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C.P. Lupita\Documents\CONTABILIDAD\CUENTA PUBLICA   CIERRES MENSUALES\CUENTA PUBLICA 2018\"/>
    </mc:Choice>
  </mc:AlternateContent>
  <bookViews>
    <workbookView xWindow="0" yWindow="0" windowWidth="27495" windowHeight="11760" activeTab="14"/>
  </bookViews>
  <sheets>
    <sheet name="INDICE" sheetId="6" r:id="rId1"/>
    <sheet name="1" sheetId="119" r:id="rId2"/>
    <sheet name="2" sheetId="120" r:id="rId3"/>
    <sheet name="3" sheetId="125" r:id="rId4"/>
    <sheet name="4" sheetId="126" r:id="rId5"/>
    <sheet name="5" sheetId="121" r:id="rId6"/>
    <sheet name="6" sheetId="122" r:id="rId7"/>
    <sheet name="8 " sheetId="123" r:id="rId8"/>
    <sheet name="9.1" sheetId="124" r:id="rId9"/>
    <sheet name="9.2" sheetId="127" r:id="rId10"/>
    <sheet name="9.3" sheetId="128" r:id="rId11"/>
    <sheet name="9.4" sheetId="129" r:id="rId12"/>
    <sheet name="9.5" sheetId="130" r:id="rId13"/>
    <sheet name="A1" sheetId="16" r:id="rId14"/>
    <sheet name="A2 faltan numeros de inventario" sheetId="17" r:id="rId15"/>
    <sheet name="A3" sheetId="47" r:id="rId16"/>
    <sheet name="A4" sheetId="65" r:id="rId17"/>
    <sheet name="A5a" sheetId="131" r:id="rId18"/>
    <sheet name="A5b" sheetId="132" r:id="rId19"/>
    <sheet name="A6" sheetId="163" r:id="rId20"/>
    <sheet name="7.I.1" sheetId="70" r:id="rId21"/>
    <sheet name="7.I.2" sheetId="49" r:id="rId22"/>
    <sheet name="7.I.3" sheetId="134" r:id="rId23"/>
    <sheet name="7.I.4" sheetId="71" r:id="rId24"/>
    <sheet name="7.I.5" sheetId="102" r:id="rId25"/>
    <sheet name="7.I.6-7" sheetId="103" r:id="rId26"/>
    <sheet name="7.I.8" sheetId="135" r:id="rId27"/>
    <sheet name="7.I.9" sheetId="136" r:id="rId28"/>
    <sheet name="7.I.10" sheetId="104" r:id="rId29"/>
    <sheet name="7.I.11" sheetId="55" r:id="rId30"/>
    <sheet name="7.I.12" sheetId="137" r:id="rId31"/>
    <sheet name="7.I.13" sheetId="105" r:id="rId32"/>
    <sheet name="7.I.14" sheetId="106" r:id="rId33"/>
    <sheet name="7.II.1" sheetId="24" r:id="rId34"/>
    <sheet name="7.II.2" sheetId="50" r:id="rId35"/>
    <sheet name="7.II.3" sheetId="107" r:id="rId36"/>
    <sheet name="7.III.2" sheetId="138" r:id="rId37"/>
    <sheet name="7.IV.1" sheetId="52" r:id="rId38"/>
    <sheet name="7.IV.2" sheetId="164" r:id="rId39"/>
    <sheet name="7.IV.3" sheetId="53" r:id="rId40"/>
    <sheet name="7.V.1" sheetId="139" r:id="rId41"/>
    <sheet name="7.V.2" sheetId="140" r:id="rId42"/>
    <sheet name="7.GA.1" sheetId="78" r:id="rId43"/>
    <sheet name="7.GA.2" sheetId="79" r:id="rId44"/>
    <sheet name="7.GA.3" sheetId="80" r:id="rId45"/>
    <sheet name="7.GA.4" sheetId="81" r:id="rId46"/>
    <sheet name="7.GA.5" sheetId="82" r:id="rId47"/>
    <sheet name="7.GA.6" sheetId="83" r:id="rId48"/>
    <sheet name="7.GA.7" sheetId="84" r:id="rId49"/>
    <sheet name="7.GA.8.1" sheetId="109" r:id="rId50"/>
    <sheet name="7.GA.8.2" sheetId="108" r:id="rId51"/>
    <sheet name="7.GA.9" sheetId="85" r:id="rId52"/>
    <sheet name="7.GA.10" sheetId="43" r:id="rId53"/>
    <sheet name="7.GA.11" sheetId="48" r:id="rId54"/>
    <sheet name="7.GA.12" sheetId="86" r:id="rId55"/>
    <sheet name="7.GA.13" sheetId="87" r:id="rId56"/>
    <sheet name="7.GA.14" sheetId="88" r:id="rId57"/>
    <sheet name="7.GA.15" sheetId="89" r:id="rId58"/>
    <sheet name="7.GA.16" sheetId="90" r:id="rId59"/>
    <sheet name="Formato 1" sheetId="156" r:id="rId60"/>
    <sheet name="Formato 2" sheetId="157" r:id="rId61"/>
    <sheet name="Formato 3" sheetId="144" r:id="rId62"/>
    <sheet name="Formato 4" sheetId="145" r:id="rId63"/>
    <sheet name="Formato 5" sheetId="158" r:id="rId64"/>
    <sheet name="Formato 6 a)" sheetId="159" r:id="rId65"/>
    <sheet name="Formato 6 b)" sheetId="161" r:id="rId66"/>
    <sheet name="Formato 6 c)" sheetId="162" r:id="rId67"/>
    <sheet name="Formato 6 d) falta " sheetId="150" r:id="rId68"/>
    <sheet name="Formato 7 a)" sheetId="151" r:id="rId69"/>
    <sheet name="Formato 7 b)" sheetId="152" r:id="rId70"/>
    <sheet name="Formato 7 c)" sheetId="153" r:id="rId71"/>
    <sheet name="Formato 7 d)" sheetId="154" r:id="rId72"/>
    <sheet name="Formato 8" sheetId="155" r:id="rId73"/>
  </sheets>
  <externalReferences>
    <externalReference r:id="rId74"/>
  </externalReferences>
  <definedNames>
    <definedName name="_xlnm._FilterDatabase" localSheetId="16" hidden="1">'A4'!$A$8:$I$8</definedName>
    <definedName name="_xlnm._FilterDatabase" localSheetId="17" hidden="1">A5a!$A$7:$Q$263</definedName>
    <definedName name="ANEXO" localSheetId="3">#REF!</definedName>
    <definedName name="ANEXO" localSheetId="4">#REF!</definedName>
    <definedName name="ANEXO" localSheetId="5">#REF!</definedName>
    <definedName name="ANEXO" localSheetId="6">#REF!</definedName>
    <definedName name="ANEXO" localSheetId="54">#REF!</definedName>
    <definedName name="ANEXO" localSheetId="55">#REF!</definedName>
    <definedName name="ANEXO" localSheetId="56">#REF!</definedName>
    <definedName name="ANEXO" localSheetId="57">#REF!</definedName>
    <definedName name="ANEXO" localSheetId="58">#REF!</definedName>
    <definedName name="ANEXO" localSheetId="43">#REF!</definedName>
    <definedName name="ANEXO" localSheetId="44">#REF!</definedName>
    <definedName name="ANEXO" localSheetId="45">#REF!</definedName>
    <definedName name="ANEXO" localSheetId="46">#REF!</definedName>
    <definedName name="ANEXO" localSheetId="47">#REF!</definedName>
    <definedName name="ANEXO" localSheetId="48">#REF!</definedName>
    <definedName name="ANEXO" localSheetId="49">#REF!</definedName>
    <definedName name="ANEXO" localSheetId="50">#REF!</definedName>
    <definedName name="ANEXO" localSheetId="51">#REF!</definedName>
    <definedName name="ANEXO" localSheetId="20">#REF!</definedName>
    <definedName name="ANEXO" localSheetId="28">#REF!</definedName>
    <definedName name="ANEXO" localSheetId="29">#REF!</definedName>
    <definedName name="ANEXO" localSheetId="30">#REF!</definedName>
    <definedName name="ANEXO" localSheetId="31">#REF!</definedName>
    <definedName name="ANEXO" localSheetId="32">#REF!</definedName>
    <definedName name="ANEXO" localSheetId="21">#REF!</definedName>
    <definedName name="ANEXO" localSheetId="22">#REF!</definedName>
    <definedName name="ANEXO" localSheetId="23">#REF!</definedName>
    <definedName name="ANEXO" localSheetId="24">#REF!</definedName>
    <definedName name="ANEXO" localSheetId="25">#REF!</definedName>
    <definedName name="ANEXO" localSheetId="34">#REF!</definedName>
    <definedName name="ANEXO" localSheetId="35">#REF!</definedName>
    <definedName name="ANEXO" localSheetId="37">#REF!</definedName>
    <definedName name="ANEXO" localSheetId="38">#REF!</definedName>
    <definedName name="ANEXO" localSheetId="39">#REF!</definedName>
    <definedName name="ANEXO" localSheetId="41">#REF!</definedName>
    <definedName name="ANEXO" localSheetId="7">#REF!</definedName>
    <definedName name="ANEXO" localSheetId="9">#REF!</definedName>
    <definedName name="ANEXO" localSheetId="10">#REF!</definedName>
    <definedName name="ANEXO" localSheetId="12">#REF!</definedName>
    <definedName name="ANEXO" localSheetId="15">#REF!</definedName>
    <definedName name="ANEXO" localSheetId="16">#REF!</definedName>
    <definedName name="ANEXO" localSheetId="17">#REF!</definedName>
    <definedName name="ANEXO" localSheetId="18">#REF!</definedName>
    <definedName name="ANEXO" localSheetId="19">#REF!</definedName>
    <definedName name="ANEXO" localSheetId="59">#REF!</definedName>
    <definedName name="ANEXO" localSheetId="60">#REF!</definedName>
    <definedName name="ANEXO" localSheetId="63">#REF!</definedName>
    <definedName name="ANEXO" localSheetId="65">#REF!</definedName>
    <definedName name="ANEXO" localSheetId="66">#REF!</definedName>
    <definedName name="ANEXO">#REF!</definedName>
    <definedName name="ANEXODOS">#REF!</definedName>
    <definedName name="_xlnm.Print_Area" localSheetId="1">'1'!$A$1:$K$67</definedName>
    <definedName name="_xlnm.Print_Area" localSheetId="2">'2'!$A$1:$G$83</definedName>
    <definedName name="_xlnm.Print_Area" localSheetId="3">'3'!$A$2:$F$46</definedName>
    <definedName name="_xlnm.Print_Area" localSheetId="4">'4'!$A$1:$C$83</definedName>
    <definedName name="_xlnm.Print_Area" localSheetId="5">'5'!$A$1:$H$111</definedName>
    <definedName name="_xlnm.Print_Area" localSheetId="6">'6'!$A$1:$G$103</definedName>
    <definedName name="_xlnm.Print_Area" localSheetId="42">'7.GA.1'!$A$1:$H$43</definedName>
    <definedName name="_xlnm.Print_Area" localSheetId="52">'7.GA.10'!$A$2:$P$96</definedName>
    <definedName name="_xlnm.Print_Area" localSheetId="53">'7.GA.11'!$A$1:$J$75</definedName>
    <definedName name="_xlnm.Print_Area" localSheetId="54">'7.GA.12'!$A$1:$H$48</definedName>
    <definedName name="_xlnm.Print_Area" localSheetId="55">'7.GA.13'!$A$1:$H$41</definedName>
    <definedName name="_xlnm.Print_Area" localSheetId="56">'7.GA.14'!$A$1:$H$48</definedName>
    <definedName name="_xlnm.Print_Area" localSheetId="57">'7.GA.15'!$A$1:$H$48</definedName>
    <definedName name="_xlnm.Print_Area" localSheetId="58">'7.GA.16'!$A$1:$H$48</definedName>
    <definedName name="_xlnm.Print_Area" localSheetId="43">'7.GA.2'!$A$1:$H$36</definedName>
    <definedName name="_xlnm.Print_Area" localSheetId="44">'7.GA.3'!$A$1:$H$43</definedName>
    <definedName name="_xlnm.Print_Area" localSheetId="45">'7.GA.4'!$A$1:$H$39</definedName>
    <definedName name="_xlnm.Print_Area" localSheetId="46">'7.GA.5'!$A$1:$H$45</definedName>
    <definedName name="_xlnm.Print_Area" localSheetId="47">'7.GA.6'!$A$1:$H$44</definedName>
    <definedName name="_xlnm.Print_Area" localSheetId="48">'7.GA.7'!$A$1:$H$48</definedName>
    <definedName name="_xlnm.Print_Area" localSheetId="49">'7.GA.8.1'!$A$1:$J$6303</definedName>
    <definedName name="_xlnm.Print_Area" localSheetId="50">'7.GA.8.2'!$A$1:$H$46</definedName>
    <definedName name="_xlnm.Print_Area" localSheetId="51">'7.GA.9'!$A$1:$H$43</definedName>
    <definedName name="_xlnm.Print_Area" localSheetId="28">'7.I.10'!$A$1:$H$46</definedName>
    <definedName name="_xlnm.Print_Area" localSheetId="29">'7.I.11'!$A$1:$E$48</definedName>
    <definedName name="_xlnm.Print_Area" localSheetId="30">'7.I.12'!$A$1:$K$1855</definedName>
    <definedName name="_xlnm.Print_Area" localSheetId="31">'7.I.13'!$A$1:$H$46</definedName>
    <definedName name="_xlnm.Print_Area" localSheetId="32">'7.I.14'!$A$1:$H$46</definedName>
    <definedName name="_xlnm.Print_Area" localSheetId="21">'7.I.2'!$A$1:$E$48</definedName>
    <definedName name="_xlnm.Print_Area" localSheetId="22">'7.I.3'!$A$2:$F$37</definedName>
    <definedName name="_xlnm.Print_Area" localSheetId="23">'7.I.4'!$A$1:$H$46</definedName>
    <definedName name="_xlnm.Print_Area" localSheetId="24">'7.I.5'!$A$1:$H$46</definedName>
    <definedName name="_xlnm.Print_Area" localSheetId="25">'7.I.6-7'!$A$1:$H$46</definedName>
    <definedName name="_xlnm.Print_Area" localSheetId="26">'7.I.8'!$A$1:$F$37</definedName>
    <definedName name="_xlnm.Print_Area" localSheetId="27">'7.I.9'!$A$1:$F$37</definedName>
    <definedName name="_xlnm.Print_Area" localSheetId="33">'7.II.1'!$A$1:$C$98</definedName>
    <definedName name="_xlnm.Print_Area" localSheetId="34">'7.II.2'!$A$1:$D$58</definedName>
    <definedName name="_xlnm.Print_Area" localSheetId="35">'7.II.3'!$A$1:$H$46</definedName>
    <definedName name="_xlnm.Print_Area" localSheetId="36">'7.III.2'!$A$1:$I$44</definedName>
    <definedName name="_xlnm.Print_Area" localSheetId="37">'7.IV.1'!$A$1:$G$64</definedName>
    <definedName name="_xlnm.Print_Area" localSheetId="39">'7.IV.3'!$A$1:$C$50</definedName>
    <definedName name="_xlnm.Print_Area" localSheetId="40">'7.V.1'!$A$1:$C$54</definedName>
    <definedName name="_xlnm.Print_Area" localSheetId="41">'7.V.2'!$A$1:$C$50</definedName>
    <definedName name="_xlnm.Print_Area" localSheetId="7">'8 '!$B$1:$I$60</definedName>
    <definedName name="_xlnm.Print_Area" localSheetId="8">'9.1'!$A$1:$I$88</definedName>
    <definedName name="_xlnm.Print_Area" localSheetId="9">'9.2'!$A$1:$I$38</definedName>
    <definedName name="_xlnm.Print_Area" localSheetId="10">'9.3'!$A$1:$I$46</definedName>
    <definedName name="_xlnm.Print_Area" localSheetId="11">'9.4'!$A$1:$I$57</definedName>
    <definedName name="_xlnm.Print_Area" localSheetId="12">'9.5'!$A$1:$I$41</definedName>
    <definedName name="_xlnm.Print_Area" localSheetId="13">'A1'!$A$1:$C$829</definedName>
    <definedName name="_xlnm.Print_Area" localSheetId="14">'A2 faltan numeros de inventario'!$A$1:$C$6218</definedName>
    <definedName name="_xlnm.Print_Area" localSheetId="15">'A3'!$A$1:$C$65</definedName>
    <definedName name="_xlnm.Print_Area" localSheetId="16">'A4'!$A$1:$H$1031</definedName>
    <definedName name="_xlnm.Print_Area" localSheetId="17">A5a!$A$1:$O$269</definedName>
    <definedName name="_xlnm.Print_Area" localSheetId="18">A5b!$A$1:$K$39</definedName>
    <definedName name="_xlnm.Print_Area" localSheetId="59">'Formato 1'!$A$1:$K$67</definedName>
    <definedName name="_xlnm.Print_Area" localSheetId="61">'Formato 3'!$A$1:$K$37</definedName>
    <definedName name="_xlnm.Print_Area" localSheetId="64">'Formato 6 a)'!$A$1:$I$195</definedName>
    <definedName name="_xlnm.Print_Area" localSheetId="65">'Formato 6 b)'!$A$1:$I$80</definedName>
    <definedName name="_xlnm.Print_Area" localSheetId="66">'Formato 6 c)'!$A$1:$I$107</definedName>
    <definedName name="_xlnm.Print_Area" localSheetId="67">'Formato 6 d) falta '!$A$1:$G$39</definedName>
    <definedName name="_xlnm.Print_Area" localSheetId="68">'Formato 7 a)'!$A$1:$G$47</definedName>
    <definedName name="_xlnm.Print_Area" localSheetId="70">'Formato 7 c)'!$A$1:$G$46</definedName>
    <definedName name="_xlnm.Print_Area" localSheetId="71">'Formato 7 d)'!$A$1:$G$45</definedName>
    <definedName name="_xlnm.Print_Area" localSheetId="72">'Formato 8'!$A$1:$F$75</definedName>
    <definedName name="d" localSheetId="3">#REF!</definedName>
    <definedName name="d" localSheetId="4">#REF!</definedName>
    <definedName name="d" localSheetId="5">#REF!</definedName>
    <definedName name="d" localSheetId="6">#REF!</definedName>
    <definedName name="d" localSheetId="50">#REF!</definedName>
    <definedName name="d" localSheetId="28">#REF!</definedName>
    <definedName name="d" localSheetId="30">#REF!</definedName>
    <definedName name="d" localSheetId="31">#REF!</definedName>
    <definedName name="d" localSheetId="32">#REF!</definedName>
    <definedName name="d" localSheetId="22">#REF!</definedName>
    <definedName name="d" localSheetId="24">#REF!</definedName>
    <definedName name="d" localSheetId="25">#REF!</definedName>
    <definedName name="d" localSheetId="35">#REF!</definedName>
    <definedName name="d" localSheetId="38">#REF!</definedName>
    <definedName name="d" localSheetId="7">#REF!</definedName>
    <definedName name="d" localSheetId="9">#REF!</definedName>
    <definedName name="d" localSheetId="10">#REF!</definedName>
    <definedName name="d" localSheetId="12">#REF!</definedName>
    <definedName name="d" localSheetId="16">#REF!</definedName>
    <definedName name="d" localSheetId="17">#REF!</definedName>
    <definedName name="d" localSheetId="18">#REF!</definedName>
    <definedName name="d" localSheetId="19">#REF!</definedName>
    <definedName name="d" localSheetId="59">#REF!</definedName>
    <definedName name="d" localSheetId="60">#REF!</definedName>
    <definedName name="d" localSheetId="63">#REF!</definedName>
    <definedName name="d" localSheetId="65">#REF!</definedName>
    <definedName name="d" localSheetId="66">#REF!</definedName>
    <definedName name="d">#REF!</definedName>
    <definedName name="FINAL" localSheetId="3">#REF!</definedName>
    <definedName name="FINAL" localSheetId="4">#REF!</definedName>
    <definedName name="FINAL" localSheetId="5">#REF!</definedName>
    <definedName name="FINAL" localSheetId="6">#REF!</definedName>
    <definedName name="FINAL" localSheetId="50">#REF!</definedName>
    <definedName name="FINAL" localSheetId="28">#REF!</definedName>
    <definedName name="FINAL" localSheetId="30">#REF!</definedName>
    <definedName name="FINAL" localSheetId="31">#REF!</definedName>
    <definedName name="FINAL" localSheetId="32">#REF!</definedName>
    <definedName name="FINAL" localSheetId="22">#REF!</definedName>
    <definedName name="FINAL" localSheetId="24">#REF!</definedName>
    <definedName name="FINAL" localSheetId="25">#REF!</definedName>
    <definedName name="FINAL" localSheetId="35">#REF!</definedName>
    <definedName name="FINAL" localSheetId="38">#REF!</definedName>
    <definedName name="FINAL" localSheetId="7">#REF!</definedName>
    <definedName name="FINAL" localSheetId="10">#REF!</definedName>
    <definedName name="FINAL" localSheetId="17">#REF!</definedName>
    <definedName name="FINAL" localSheetId="18">#REF!</definedName>
    <definedName name="FINAL" localSheetId="19">#REF!</definedName>
    <definedName name="FINAL" localSheetId="59">#REF!</definedName>
    <definedName name="FINAL" localSheetId="60">#REF!</definedName>
    <definedName name="FINAL" localSheetId="63">#REF!</definedName>
    <definedName name="FINAL" localSheetId="65">#REF!</definedName>
    <definedName name="FINAL" localSheetId="66">#REF!</definedName>
    <definedName name="FINAL">#REF!</definedName>
    <definedName name="_xlnm.Print_Titles" localSheetId="1">'1'!$2:$6</definedName>
    <definedName name="_xlnm.Print_Titles" localSheetId="2">'2'!$1:$7</definedName>
    <definedName name="_xlnm.Print_Titles" localSheetId="4">'4'!$1:$9</definedName>
    <definedName name="_xlnm.Print_Titles" localSheetId="5">'5'!$1:$9</definedName>
    <definedName name="_xlnm.Print_Titles" localSheetId="6">'6'!$1:$11</definedName>
    <definedName name="_xlnm.Print_Titles" localSheetId="52">'7.GA.10'!$2:$13</definedName>
    <definedName name="_xlnm.Print_Titles" localSheetId="49">'7.GA.8.1'!$1:$7</definedName>
    <definedName name="_xlnm.Print_Titles" localSheetId="30">'7.I.12'!$1:$6</definedName>
    <definedName name="_xlnm.Print_Titles" localSheetId="33">'7.II.1'!$1:$7</definedName>
    <definedName name="_xlnm.Print_Titles" localSheetId="34">'7.II.2'!$1:$7</definedName>
    <definedName name="_xlnm.Print_Titles" localSheetId="37">'7.IV.1'!$1:$19</definedName>
    <definedName name="_xlnm.Print_Titles" localSheetId="7">'8 '!$1:$9</definedName>
    <definedName name="_xlnm.Print_Titles" localSheetId="8">'9.1'!$1:$9</definedName>
    <definedName name="_xlnm.Print_Titles" localSheetId="9">'9.2'!$1:$14</definedName>
    <definedName name="_xlnm.Print_Titles" localSheetId="10">'9.3'!$1:$9</definedName>
    <definedName name="_xlnm.Print_Titles" localSheetId="11">'9.4'!$1:$12</definedName>
    <definedName name="_xlnm.Print_Titles" localSheetId="12">'9.5'!$1:$13</definedName>
    <definedName name="_xlnm.Print_Titles" localSheetId="13">'A1'!$1:$11</definedName>
    <definedName name="_xlnm.Print_Titles" localSheetId="14">'A2 faltan numeros de inventario'!$1:$9</definedName>
    <definedName name="_xlnm.Print_Titles" localSheetId="16">'A4'!$1:$8</definedName>
    <definedName name="_xlnm.Print_Titles" localSheetId="17">A5a!$1:$7</definedName>
    <definedName name="_xlnm.Print_Titles" localSheetId="18">A5b!$1:$9</definedName>
    <definedName name="_xlnm.Print_Titles" localSheetId="59">'Formato 1'!$2:$6</definedName>
    <definedName name="_xlnm.Print_Titles" localSheetId="63">'Formato 5'!$1:$7</definedName>
    <definedName name="_xlnm.Print_Titles" localSheetId="65">'Formato 6 b)'!$1:$9</definedName>
    <definedName name="_xlnm.Print_Titles" localSheetId="70">'Formato 7 c)'!$1:$5</definedName>
    <definedName name="_xlnm.Print_Titles" localSheetId="72">'Formato 8'!$2:$5</definedName>
    <definedName name="X" localSheetId="3">#REF!</definedName>
    <definedName name="X" localSheetId="4">#REF!</definedName>
    <definedName name="X" localSheetId="5">#REF!</definedName>
    <definedName name="X" localSheetId="6">#REF!</definedName>
    <definedName name="X" localSheetId="54">#REF!</definedName>
    <definedName name="X" localSheetId="55">#REF!</definedName>
    <definedName name="X" localSheetId="56">#REF!</definedName>
    <definedName name="X" localSheetId="57">#REF!</definedName>
    <definedName name="X" localSheetId="58">#REF!</definedName>
    <definedName name="X" localSheetId="43">#REF!</definedName>
    <definedName name="X" localSheetId="44">#REF!</definedName>
    <definedName name="X" localSheetId="45">#REF!</definedName>
    <definedName name="X" localSheetId="46">#REF!</definedName>
    <definedName name="X" localSheetId="47">#REF!</definedName>
    <definedName name="X" localSheetId="48">#REF!</definedName>
    <definedName name="X" localSheetId="49">#REF!</definedName>
    <definedName name="X" localSheetId="50">#REF!</definedName>
    <definedName name="X" localSheetId="51">#REF!</definedName>
    <definedName name="X" localSheetId="20">#REF!</definedName>
    <definedName name="X" localSheetId="28">#REF!</definedName>
    <definedName name="X" localSheetId="29">#REF!</definedName>
    <definedName name="X" localSheetId="30">#REF!</definedName>
    <definedName name="X" localSheetId="31">#REF!</definedName>
    <definedName name="X" localSheetId="32">#REF!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34">#REF!</definedName>
    <definedName name="X" localSheetId="35">#REF!</definedName>
    <definedName name="X" localSheetId="37">#REF!</definedName>
    <definedName name="X" localSheetId="38">#REF!</definedName>
    <definedName name="X" localSheetId="39">#REF!</definedName>
    <definedName name="X" localSheetId="41">#REF!</definedName>
    <definedName name="X" localSheetId="7">#REF!</definedName>
    <definedName name="X" localSheetId="9">#REF!</definedName>
    <definedName name="X" localSheetId="10">#REF!</definedName>
    <definedName name="X" localSheetId="12">#REF!</definedName>
    <definedName name="X" localSheetId="15">#REF!</definedName>
    <definedName name="X" localSheetId="16">#REF!</definedName>
    <definedName name="X" localSheetId="17">#REF!</definedName>
    <definedName name="X" localSheetId="18">#REF!</definedName>
    <definedName name="X" localSheetId="19">#REF!</definedName>
    <definedName name="X" localSheetId="59">#REF!</definedName>
    <definedName name="X" localSheetId="60">#REF!</definedName>
    <definedName name="X" localSheetId="63">#REF!</definedName>
    <definedName name="X" localSheetId="65">#REF!</definedName>
    <definedName name="X" localSheetId="66">#REF!</definedName>
    <definedName name="X">#REF!</definedName>
  </definedNames>
  <calcPr calcId="152511"/>
</workbook>
</file>

<file path=xl/calcChain.xml><?xml version="1.0" encoding="utf-8"?>
<calcChain xmlns="http://schemas.openxmlformats.org/spreadsheetml/2006/main">
  <c r="B15" i="150" l="1"/>
  <c r="C15" i="150"/>
  <c r="D15" i="150"/>
  <c r="E15" i="150"/>
  <c r="F15" i="150"/>
  <c r="F44" i="155" l="1"/>
  <c r="F43" i="155" s="1"/>
  <c r="F34" i="155"/>
  <c r="F33" i="155"/>
  <c r="F15" i="155"/>
  <c r="F31" i="155" l="1"/>
  <c r="G15" i="153"/>
  <c r="G12" i="153"/>
  <c r="G23" i="152"/>
  <c r="F23" i="152"/>
  <c r="F24" i="151"/>
  <c r="G24" i="151" s="1"/>
  <c r="F23" i="151"/>
  <c r="G23" i="151" s="1"/>
  <c r="F16" i="151"/>
  <c r="G16" i="151" s="1"/>
  <c r="F14" i="151"/>
  <c r="G14" i="151" s="1"/>
  <c r="F13" i="151"/>
  <c r="G13" i="151" s="1"/>
  <c r="F12" i="151"/>
  <c r="G12" i="151" s="1"/>
  <c r="F11" i="151"/>
  <c r="G11" i="151" s="1"/>
  <c r="G9" i="151"/>
  <c r="F9" i="151"/>
  <c r="F21" i="152"/>
  <c r="G21" i="152" s="1"/>
  <c r="F20" i="152"/>
  <c r="G20" i="152" s="1"/>
  <c r="F19" i="152"/>
  <c r="G19" i="152" s="1"/>
  <c r="F13" i="152"/>
  <c r="G13" i="152" s="1"/>
  <c r="F12" i="152"/>
  <c r="F10" i="152"/>
  <c r="G10" i="152" s="1"/>
  <c r="F9" i="152"/>
  <c r="G9" i="152" s="1"/>
  <c r="F8" i="152"/>
  <c r="G8" i="152" s="1"/>
  <c r="F7" i="152"/>
  <c r="F6" i="152" s="1"/>
  <c r="B6" i="152"/>
  <c r="C6" i="152"/>
  <c r="D6" i="152"/>
  <c r="E6" i="152"/>
  <c r="B37" i="151"/>
  <c r="G7" i="152" l="1"/>
  <c r="G12" i="152"/>
  <c r="G78" i="162"/>
  <c r="F78" i="162"/>
  <c r="G72" i="162"/>
  <c r="F72" i="162"/>
  <c r="F52" i="161"/>
  <c r="E68" i="162"/>
  <c r="G6" i="152" l="1"/>
  <c r="E95" i="162"/>
  <c r="E94" i="162" s="1"/>
  <c r="G94" i="162"/>
  <c r="F94" i="162"/>
  <c r="D94" i="162"/>
  <c r="C94" i="162"/>
  <c r="D93" i="162"/>
  <c r="D92" i="162"/>
  <c r="E91" i="162"/>
  <c r="H91" i="162" s="1"/>
  <c r="E90" i="162"/>
  <c r="H90" i="162" s="1"/>
  <c r="E89" i="162"/>
  <c r="H89" i="162" s="1"/>
  <c r="E88" i="162"/>
  <c r="H88" i="162" s="1"/>
  <c r="E87" i="162"/>
  <c r="H87" i="162" s="1"/>
  <c r="E86" i="162"/>
  <c r="E85" i="162"/>
  <c r="H85" i="162" s="1"/>
  <c r="G84" i="162"/>
  <c r="F84" i="162"/>
  <c r="C84" i="162"/>
  <c r="H83" i="162"/>
  <c r="E82" i="162"/>
  <c r="H82" i="162" s="1"/>
  <c r="E81" i="162"/>
  <c r="H81" i="162" s="1"/>
  <c r="E80" i="162"/>
  <c r="H80" i="162" s="1"/>
  <c r="E79" i="162"/>
  <c r="H79" i="162" s="1"/>
  <c r="G76" i="162"/>
  <c r="F76" i="162"/>
  <c r="E78" i="162"/>
  <c r="H78" i="162" s="1"/>
  <c r="E77" i="162"/>
  <c r="H77" i="162" s="1"/>
  <c r="C76" i="162"/>
  <c r="E75" i="162"/>
  <c r="H75" i="162" s="1"/>
  <c r="E74" i="162"/>
  <c r="H74" i="162" s="1"/>
  <c r="E73" i="162"/>
  <c r="H73" i="162" s="1"/>
  <c r="G67" i="162"/>
  <c r="F67" i="162"/>
  <c r="E72" i="162"/>
  <c r="E71" i="162"/>
  <c r="H71" i="162" s="1"/>
  <c r="E70" i="162"/>
  <c r="H70" i="162" s="1"/>
  <c r="E69" i="162"/>
  <c r="H68" i="162"/>
  <c r="D67" i="162"/>
  <c r="C67" i="162"/>
  <c r="G56" i="161"/>
  <c r="F56" i="161"/>
  <c r="F166" i="159"/>
  <c r="G52" i="161"/>
  <c r="G45" i="161" s="1"/>
  <c r="F127" i="159"/>
  <c r="D45" i="161"/>
  <c r="C45" i="161"/>
  <c r="D10" i="161"/>
  <c r="D72" i="161" s="1"/>
  <c r="C10" i="161"/>
  <c r="E71" i="161"/>
  <c r="H71" i="161" s="1"/>
  <c r="E70" i="161"/>
  <c r="H70" i="161" s="1"/>
  <c r="E69" i="161"/>
  <c r="H69" i="161" s="1"/>
  <c r="E68" i="161"/>
  <c r="H68" i="161" s="1"/>
  <c r="E67" i="161"/>
  <c r="H67" i="161" s="1"/>
  <c r="E66" i="161"/>
  <c r="H66" i="161" s="1"/>
  <c r="E65" i="161"/>
  <c r="H65" i="161" s="1"/>
  <c r="E64" i="161"/>
  <c r="H64" i="161" s="1"/>
  <c r="E63" i="161"/>
  <c r="H63" i="161" s="1"/>
  <c r="E62" i="161"/>
  <c r="H62" i="161" s="1"/>
  <c r="E61" i="161"/>
  <c r="H61" i="161" s="1"/>
  <c r="E60" i="161"/>
  <c r="H60" i="161" s="1"/>
  <c r="E59" i="161"/>
  <c r="H59" i="161" s="1"/>
  <c r="E58" i="161"/>
  <c r="H58" i="161" s="1"/>
  <c r="E57" i="161"/>
  <c r="H57" i="161" s="1"/>
  <c r="E56" i="161"/>
  <c r="H56" i="161" s="1"/>
  <c r="E55" i="161"/>
  <c r="H55" i="161" s="1"/>
  <c r="E54" i="161"/>
  <c r="H54" i="161" s="1"/>
  <c r="E53" i="161"/>
  <c r="H53" i="161" s="1"/>
  <c r="F45" i="161"/>
  <c r="E52" i="161"/>
  <c r="H52" i="161" s="1"/>
  <c r="E51" i="161"/>
  <c r="H51" i="161" s="1"/>
  <c r="E50" i="161"/>
  <c r="H50" i="161" s="1"/>
  <c r="E49" i="161"/>
  <c r="H49" i="161" s="1"/>
  <c r="E48" i="161"/>
  <c r="H48" i="161" s="1"/>
  <c r="E47" i="161"/>
  <c r="H47" i="161" s="1"/>
  <c r="E46" i="161"/>
  <c r="H46" i="161" s="1"/>
  <c r="D126" i="159"/>
  <c r="C126" i="159"/>
  <c r="D29" i="159"/>
  <c r="C29" i="159"/>
  <c r="G29" i="159"/>
  <c r="F29" i="159"/>
  <c r="G127" i="159"/>
  <c r="G126" i="159" s="1"/>
  <c r="F126" i="159"/>
  <c r="D84" i="162" l="1"/>
  <c r="C66" i="162"/>
  <c r="G66" i="162"/>
  <c r="F66" i="162"/>
  <c r="H72" i="162"/>
  <c r="E67" i="162"/>
  <c r="D76" i="162"/>
  <c r="D66" i="162" s="1"/>
  <c r="E76" i="162"/>
  <c r="E84" i="162"/>
  <c r="H76" i="162"/>
  <c r="H86" i="162"/>
  <c r="H84" i="162" s="1"/>
  <c r="H95" i="162"/>
  <c r="H94" i="162" s="1"/>
  <c r="H69" i="162"/>
  <c r="C72" i="161"/>
  <c r="H45" i="161"/>
  <c r="E45" i="161"/>
  <c r="E188" i="159"/>
  <c r="H188" i="159" s="1"/>
  <c r="E187" i="159"/>
  <c r="H187" i="159" s="1"/>
  <c r="E186" i="159"/>
  <c r="H186" i="159" s="1"/>
  <c r="E185" i="159"/>
  <c r="H185" i="159" s="1"/>
  <c r="E184" i="159"/>
  <c r="H184" i="159" s="1"/>
  <c r="E183" i="159"/>
  <c r="E182" i="159"/>
  <c r="H182" i="159" s="1"/>
  <c r="G181" i="159"/>
  <c r="F181" i="159"/>
  <c r="D181" i="159"/>
  <c r="C181" i="159"/>
  <c r="E180" i="159"/>
  <c r="H180" i="159" s="1"/>
  <c r="H177" i="159" s="1"/>
  <c r="E179" i="159"/>
  <c r="E178" i="159"/>
  <c r="G177" i="159"/>
  <c r="F177" i="159"/>
  <c r="D177" i="159"/>
  <c r="C177" i="159"/>
  <c r="E176" i="159"/>
  <c r="H176" i="159" s="1"/>
  <c r="E175" i="159"/>
  <c r="H175" i="159" s="1"/>
  <c r="E174" i="159"/>
  <c r="H174" i="159" s="1"/>
  <c r="E173" i="159"/>
  <c r="H173" i="159" s="1"/>
  <c r="E172" i="159"/>
  <c r="H172" i="159" s="1"/>
  <c r="E171" i="159"/>
  <c r="H171" i="159" s="1"/>
  <c r="E170" i="159"/>
  <c r="H170" i="159" s="1"/>
  <c r="G169" i="159"/>
  <c r="F169" i="159"/>
  <c r="D169" i="159"/>
  <c r="C169" i="159"/>
  <c r="E168" i="159"/>
  <c r="H168" i="159" s="1"/>
  <c r="E167" i="159"/>
  <c r="H167" i="159" s="1"/>
  <c r="D165" i="159"/>
  <c r="G165" i="159"/>
  <c r="F165" i="159"/>
  <c r="C165" i="159"/>
  <c r="E164" i="159"/>
  <c r="H164" i="159" s="1"/>
  <c r="E163" i="159"/>
  <c r="H163" i="159" s="1"/>
  <c r="E162" i="159"/>
  <c r="H162" i="159" s="1"/>
  <c r="E161" i="159"/>
  <c r="H161" i="159" s="1"/>
  <c r="E160" i="159"/>
  <c r="H160" i="159" s="1"/>
  <c r="E159" i="159"/>
  <c r="H159" i="159" s="1"/>
  <c r="E158" i="159"/>
  <c r="H158" i="159" s="1"/>
  <c r="E157" i="159"/>
  <c r="E156" i="159"/>
  <c r="H156" i="159" s="1"/>
  <c r="G155" i="159"/>
  <c r="F155" i="159"/>
  <c r="D155" i="159"/>
  <c r="C155" i="159"/>
  <c r="E154" i="159"/>
  <c r="E153" i="159"/>
  <c r="E152" i="159"/>
  <c r="E151" i="159"/>
  <c r="H151" i="159" s="1"/>
  <c r="E150" i="159"/>
  <c r="H150" i="159" s="1"/>
  <c r="E149" i="159"/>
  <c r="H149" i="159" s="1"/>
  <c r="E148" i="159"/>
  <c r="H148" i="159" s="1"/>
  <c r="E147" i="159"/>
  <c r="E146" i="159"/>
  <c r="H146" i="159" s="1"/>
  <c r="G145" i="159"/>
  <c r="F145" i="159"/>
  <c r="D145" i="159"/>
  <c r="C145" i="159"/>
  <c r="E144" i="159"/>
  <c r="H144" i="159" s="1"/>
  <c r="E134" i="159"/>
  <c r="H134" i="159" s="1"/>
  <c r="E133" i="159"/>
  <c r="H133" i="159" s="1"/>
  <c r="E132" i="159"/>
  <c r="H132" i="159" s="1"/>
  <c r="E131" i="159"/>
  <c r="H131" i="159" s="1"/>
  <c r="E130" i="159"/>
  <c r="H130" i="159" s="1"/>
  <c r="E129" i="159"/>
  <c r="H129" i="159" s="1"/>
  <c r="E128" i="159"/>
  <c r="E127" i="159"/>
  <c r="E125" i="159"/>
  <c r="H125" i="159" s="1"/>
  <c r="E124" i="159"/>
  <c r="H124" i="159" s="1"/>
  <c r="E123" i="159"/>
  <c r="H123" i="159" s="1"/>
  <c r="E122" i="159"/>
  <c r="H122" i="159" s="1"/>
  <c r="E121" i="159"/>
  <c r="H121" i="159" s="1"/>
  <c r="E120" i="159"/>
  <c r="H120" i="159" s="1"/>
  <c r="E119" i="159"/>
  <c r="H119" i="159" s="1"/>
  <c r="E118" i="159"/>
  <c r="E117" i="159"/>
  <c r="H117" i="159" s="1"/>
  <c r="G116" i="159"/>
  <c r="F116" i="159"/>
  <c r="D116" i="159"/>
  <c r="C116" i="159"/>
  <c r="E115" i="159"/>
  <c r="H115" i="159" s="1"/>
  <c r="E114" i="159"/>
  <c r="H114" i="159" s="1"/>
  <c r="E113" i="159"/>
  <c r="H113" i="159" s="1"/>
  <c r="E112" i="159"/>
  <c r="H112" i="159" s="1"/>
  <c r="E111" i="159"/>
  <c r="H111" i="159" s="1"/>
  <c r="E110" i="159"/>
  <c r="E109" i="159"/>
  <c r="H109" i="159" s="1"/>
  <c r="G108" i="159"/>
  <c r="F108" i="159"/>
  <c r="D108" i="159"/>
  <c r="C108" i="159"/>
  <c r="C11" i="159"/>
  <c r="D11" i="159"/>
  <c r="F11" i="159"/>
  <c r="G11" i="159"/>
  <c r="E12" i="159"/>
  <c r="E13" i="159"/>
  <c r="H13" i="159" s="1"/>
  <c r="E14" i="159"/>
  <c r="H14" i="159" s="1"/>
  <c r="E15" i="159"/>
  <c r="H15" i="159" s="1"/>
  <c r="E16" i="159"/>
  <c r="H16" i="159" s="1"/>
  <c r="E17" i="159"/>
  <c r="H17" i="159" s="1"/>
  <c r="E18" i="159"/>
  <c r="H18" i="159" s="1"/>
  <c r="C19" i="159"/>
  <c r="D19" i="159"/>
  <c r="F19" i="159"/>
  <c r="G19" i="159"/>
  <c r="E20" i="159"/>
  <c r="E21" i="159"/>
  <c r="H21" i="159" s="1"/>
  <c r="E22" i="159"/>
  <c r="H22" i="159" s="1"/>
  <c r="E23" i="159"/>
  <c r="H23" i="159" s="1"/>
  <c r="E24" i="159"/>
  <c r="H24" i="159" s="1"/>
  <c r="E25" i="159"/>
  <c r="H25" i="159" s="1"/>
  <c r="E26" i="159"/>
  <c r="H26" i="159" s="1"/>
  <c r="E27" i="159"/>
  <c r="H27" i="159" s="1"/>
  <c r="E28" i="159"/>
  <c r="H28" i="159" s="1"/>
  <c r="E30" i="159"/>
  <c r="E31" i="159"/>
  <c r="H31" i="159" s="1"/>
  <c r="E32" i="159"/>
  <c r="H32" i="159" s="1"/>
  <c r="E33" i="159"/>
  <c r="H33" i="159" s="1"/>
  <c r="E34" i="159"/>
  <c r="H34" i="159" s="1"/>
  <c r="E35" i="159"/>
  <c r="H35" i="159" s="1"/>
  <c r="E36" i="159"/>
  <c r="H36" i="159" s="1"/>
  <c r="E37" i="159"/>
  <c r="H37" i="159" s="1"/>
  <c r="E47" i="159"/>
  <c r="H47" i="159" s="1"/>
  <c r="C48" i="159"/>
  <c r="D48" i="159"/>
  <c r="F48" i="159"/>
  <c r="G48" i="159"/>
  <c r="E49" i="159"/>
  <c r="H49" i="159" s="1"/>
  <c r="E50" i="159"/>
  <c r="H50" i="159" s="1"/>
  <c r="E51" i="159"/>
  <c r="H51" i="159" s="1"/>
  <c r="E52" i="159"/>
  <c r="H52" i="159" s="1"/>
  <c r="E53" i="159"/>
  <c r="H53" i="159" s="1"/>
  <c r="E54" i="159"/>
  <c r="H54" i="159" s="1"/>
  <c r="E55" i="159"/>
  <c r="E56" i="159"/>
  <c r="E57" i="159"/>
  <c r="C58" i="159"/>
  <c r="D58" i="159"/>
  <c r="F58" i="159"/>
  <c r="G58" i="159"/>
  <c r="E59" i="159"/>
  <c r="H59" i="159" s="1"/>
  <c r="E60" i="159"/>
  <c r="H60" i="159" s="1"/>
  <c r="E61" i="159"/>
  <c r="H61" i="159" s="1"/>
  <c r="E62" i="159"/>
  <c r="H62" i="159" s="1"/>
  <c r="E63" i="159"/>
  <c r="H63" i="159" s="1"/>
  <c r="E64" i="159"/>
  <c r="H64" i="159" s="1"/>
  <c r="E65" i="159"/>
  <c r="H65" i="159" s="1"/>
  <c r="E66" i="159"/>
  <c r="H66" i="159" s="1"/>
  <c r="E67" i="159"/>
  <c r="H67" i="159" s="1"/>
  <c r="C68" i="159"/>
  <c r="F68" i="159"/>
  <c r="G68" i="159"/>
  <c r="E69" i="159"/>
  <c r="E70" i="159"/>
  <c r="H70" i="159" s="1"/>
  <c r="E71" i="159"/>
  <c r="H71" i="159" s="1"/>
  <c r="C72" i="159"/>
  <c r="D72" i="159"/>
  <c r="F72" i="159"/>
  <c r="G72" i="159"/>
  <c r="E73" i="159"/>
  <c r="E74" i="159"/>
  <c r="H74" i="159" s="1"/>
  <c r="E75" i="159"/>
  <c r="H75" i="159" s="1"/>
  <c r="E76" i="159"/>
  <c r="H76" i="159" s="1"/>
  <c r="E77" i="159"/>
  <c r="H77" i="159" s="1"/>
  <c r="E78" i="159"/>
  <c r="H78" i="159" s="1"/>
  <c r="E79" i="159"/>
  <c r="H79" i="159" s="1"/>
  <c r="C80" i="159"/>
  <c r="D80" i="159"/>
  <c r="F80" i="159"/>
  <c r="G80" i="159"/>
  <c r="E81" i="159"/>
  <c r="E82" i="159"/>
  <c r="E83" i="159"/>
  <c r="H83" i="159" s="1"/>
  <c r="H80" i="159" s="1"/>
  <c r="C84" i="159"/>
  <c r="D84" i="159"/>
  <c r="F84" i="159"/>
  <c r="G84" i="159"/>
  <c r="E85" i="159"/>
  <c r="H85" i="159" s="1"/>
  <c r="E86" i="159"/>
  <c r="H86" i="159" s="1"/>
  <c r="E87" i="159"/>
  <c r="H87" i="159" s="1"/>
  <c r="E88" i="159"/>
  <c r="H88" i="159" s="1"/>
  <c r="E89" i="159"/>
  <c r="H89" i="159" s="1"/>
  <c r="E90" i="159"/>
  <c r="H90" i="159" s="1"/>
  <c r="E91" i="159"/>
  <c r="H91" i="159" s="1"/>
  <c r="H67" i="162" l="1"/>
  <c r="H66" i="162" s="1"/>
  <c r="E66" i="162"/>
  <c r="H127" i="159"/>
  <c r="E126" i="159"/>
  <c r="H30" i="159"/>
  <c r="E29" i="159"/>
  <c r="E177" i="159"/>
  <c r="E181" i="159"/>
  <c r="E108" i="159"/>
  <c r="E155" i="159"/>
  <c r="F10" i="159"/>
  <c r="E166" i="159"/>
  <c r="E165" i="159" s="1"/>
  <c r="D107" i="159"/>
  <c r="G107" i="159"/>
  <c r="F107" i="159"/>
  <c r="E145" i="159"/>
  <c r="H157" i="159"/>
  <c r="H155" i="159" s="1"/>
  <c r="C107" i="159"/>
  <c r="E116" i="159"/>
  <c r="E11" i="159"/>
  <c r="C10" i="159"/>
  <c r="G10" i="159"/>
  <c r="E169" i="159"/>
  <c r="H169" i="159" s="1"/>
  <c r="H110" i="159"/>
  <c r="H108" i="159" s="1"/>
  <c r="H118" i="159"/>
  <c r="H116" i="159" s="1"/>
  <c r="H128" i="159"/>
  <c r="H147" i="159"/>
  <c r="H145" i="159" s="1"/>
  <c r="H183" i="159"/>
  <c r="H181" i="159" s="1"/>
  <c r="E72" i="159"/>
  <c r="H72" i="159" s="1"/>
  <c r="E48" i="159"/>
  <c r="E19" i="159"/>
  <c r="H12" i="159"/>
  <c r="H11" i="159" s="1"/>
  <c r="H84" i="159"/>
  <c r="E84" i="159"/>
  <c r="E80" i="159"/>
  <c r="H73" i="159"/>
  <c r="H48" i="159"/>
  <c r="H20" i="159"/>
  <c r="H19" i="159" s="1"/>
  <c r="H69" i="159"/>
  <c r="H68" i="159" s="1"/>
  <c r="E68" i="159"/>
  <c r="H58" i="159"/>
  <c r="E58" i="159"/>
  <c r="D68" i="159"/>
  <c r="D18" i="164"/>
  <c r="D23" i="164"/>
  <c r="D27" i="164"/>
  <c r="D32" i="164"/>
  <c r="D110" i="164"/>
  <c r="D111" i="164"/>
  <c r="D112" i="164"/>
  <c r="D113" i="164"/>
  <c r="D127" i="164"/>
  <c r="D134" i="164"/>
  <c r="D135" i="164"/>
  <c r="D23" i="163"/>
  <c r="F23" i="163"/>
  <c r="D35" i="163"/>
  <c r="F35" i="163"/>
  <c r="D37" i="163"/>
  <c r="D46" i="163"/>
  <c r="F46" i="163"/>
  <c r="D55" i="163"/>
  <c r="F55" i="163"/>
  <c r="F57" i="163"/>
  <c r="D88" i="163"/>
  <c r="F88" i="163"/>
  <c r="D100" i="163"/>
  <c r="F100" i="163"/>
  <c r="F102" i="163" s="1"/>
  <c r="D102" i="163"/>
  <c r="D111" i="163"/>
  <c r="F111" i="163"/>
  <c r="D120" i="163"/>
  <c r="D122" i="163" s="1"/>
  <c r="F120" i="163"/>
  <c r="F122" i="163"/>
  <c r="D153" i="163"/>
  <c r="F153" i="163"/>
  <c r="D165" i="163"/>
  <c r="D167" i="163" s="1"/>
  <c r="F165" i="163"/>
  <c r="D176" i="163"/>
  <c r="F176" i="163"/>
  <c r="F187" i="163" s="1"/>
  <c r="D185" i="163"/>
  <c r="F185" i="163"/>
  <c r="D218" i="163"/>
  <c r="D232" i="163" s="1"/>
  <c r="F218" i="163"/>
  <c r="D230" i="163"/>
  <c r="F230" i="163"/>
  <c r="F232" i="163" s="1"/>
  <c r="D241" i="163"/>
  <c r="F241" i="163"/>
  <c r="F252" i="163" s="1"/>
  <c r="D250" i="163"/>
  <c r="D252" i="163" s="1"/>
  <c r="F250" i="163"/>
  <c r="D283" i="163"/>
  <c r="F283" i="163"/>
  <c r="D295" i="163"/>
  <c r="D297" i="163" s="1"/>
  <c r="F295" i="163"/>
  <c r="F297" i="163" s="1"/>
  <c r="D306" i="163"/>
  <c r="F306" i="163"/>
  <c r="F317" i="163" s="1"/>
  <c r="D315" i="163"/>
  <c r="D317" i="163" s="1"/>
  <c r="F315" i="163"/>
  <c r="F342" i="163"/>
  <c r="F348" i="163" s="1"/>
  <c r="D348" i="163"/>
  <c r="D360" i="163"/>
  <c r="F360" i="163"/>
  <c r="D371" i="163"/>
  <c r="F371" i="163"/>
  <c r="D380" i="163"/>
  <c r="D382" i="163" s="1"/>
  <c r="F380" i="163"/>
  <c r="D413" i="163"/>
  <c r="F413" i="163"/>
  <c r="D425" i="163"/>
  <c r="F425" i="163"/>
  <c r="F427" i="163"/>
  <c r="D436" i="163"/>
  <c r="D447" i="163" s="1"/>
  <c r="F436" i="163"/>
  <c r="D445" i="163"/>
  <c r="F445" i="163"/>
  <c r="F447" i="163" s="1"/>
  <c r="D478" i="163"/>
  <c r="F478" i="163"/>
  <c r="F492" i="163" s="1"/>
  <c r="D490" i="163"/>
  <c r="F490" i="163"/>
  <c r="D501" i="163"/>
  <c r="F501" i="163"/>
  <c r="D510" i="163"/>
  <c r="D512" i="163" s="1"/>
  <c r="F510" i="163"/>
  <c r="F512" i="163" s="1"/>
  <c r="D543" i="163"/>
  <c r="F543" i="163"/>
  <c r="F557" i="163" s="1"/>
  <c r="D555" i="163"/>
  <c r="D557" i="163" s="1"/>
  <c r="F555" i="163"/>
  <c r="D566" i="163"/>
  <c r="F566" i="163"/>
  <c r="D575" i="163"/>
  <c r="F575" i="163"/>
  <c r="D577" i="163"/>
  <c r="D608" i="163"/>
  <c r="F608" i="163"/>
  <c r="D619" i="163"/>
  <c r="F619" i="163" s="1"/>
  <c r="D631" i="163"/>
  <c r="F631" i="163"/>
  <c r="D640" i="163"/>
  <c r="F640" i="163"/>
  <c r="F642" i="163"/>
  <c r="D673" i="163"/>
  <c r="D687" i="163" s="1"/>
  <c r="F673" i="163"/>
  <c r="F687" i="163" s="1"/>
  <c r="D685" i="163"/>
  <c r="F685" i="163"/>
  <c r="D696" i="163"/>
  <c r="F696" i="163"/>
  <c r="D705" i="163"/>
  <c r="D707" i="163" s="1"/>
  <c r="F705" i="163"/>
  <c r="F707" i="163" s="1"/>
  <c r="D738" i="163"/>
  <c r="F738" i="163"/>
  <c r="D750" i="163"/>
  <c r="F750" i="163"/>
  <c r="F752" i="163"/>
  <c r="D761" i="163"/>
  <c r="F761" i="163"/>
  <c r="D770" i="163"/>
  <c r="D772" i="163" s="1"/>
  <c r="F770" i="163"/>
  <c r="D803" i="163"/>
  <c r="F803" i="163"/>
  <c r="F817" i="163" s="1"/>
  <c r="D815" i="163"/>
  <c r="D817" i="163" s="1"/>
  <c r="F815" i="163"/>
  <c r="D826" i="163"/>
  <c r="F826" i="163"/>
  <c r="D835" i="163"/>
  <c r="F835" i="163"/>
  <c r="F837" i="163" s="1"/>
  <c r="D868" i="163"/>
  <c r="D882" i="163" s="1"/>
  <c r="F868" i="163"/>
  <c r="D880" i="163"/>
  <c r="F880" i="163"/>
  <c r="F882" i="163" s="1"/>
  <c r="D891" i="163"/>
  <c r="F891" i="163"/>
  <c r="D900" i="163"/>
  <c r="D902" i="163" s="1"/>
  <c r="F900" i="163"/>
  <c r="F902" i="163" s="1"/>
  <c r="D933" i="163"/>
  <c r="F933" i="163"/>
  <c r="D945" i="163"/>
  <c r="D947" i="163" s="1"/>
  <c r="F945" i="163"/>
  <c r="F947" i="163" s="1"/>
  <c r="D956" i="163"/>
  <c r="F956" i="163"/>
  <c r="D965" i="163"/>
  <c r="F965" i="163"/>
  <c r="F967" i="163" s="1"/>
  <c r="F995" i="163"/>
  <c r="F2296" i="163" s="1"/>
  <c r="D998" i="163"/>
  <c r="D1010" i="163"/>
  <c r="F1010" i="163"/>
  <c r="D1012" i="163"/>
  <c r="D1021" i="163"/>
  <c r="F1021" i="163"/>
  <c r="F1032" i="163" s="1"/>
  <c r="D1030" i="163"/>
  <c r="D1032" i="163" s="1"/>
  <c r="F1030" i="163"/>
  <c r="D1063" i="163"/>
  <c r="F1063" i="163"/>
  <c r="D1075" i="163"/>
  <c r="D1077" i="163" s="1"/>
  <c r="F1075" i="163"/>
  <c r="F1077" i="163" s="1"/>
  <c r="D1086" i="163"/>
  <c r="F1086" i="163"/>
  <c r="F1097" i="163" s="1"/>
  <c r="D1095" i="163"/>
  <c r="D1097" i="163" s="1"/>
  <c r="F1095" i="163"/>
  <c r="D1128" i="163"/>
  <c r="F1128" i="163"/>
  <c r="D1140" i="163"/>
  <c r="D1142" i="163" s="1"/>
  <c r="F1140" i="163"/>
  <c r="D1151" i="163"/>
  <c r="F1151" i="163"/>
  <c r="F1162" i="163" s="1"/>
  <c r="D1160" i="163"/>
  <c r="F1160" i="163"/>
  <c r="D1193" i="163"/>
  <c r="F1193" i="163"/>
  <c r="D1205" i="163"/>
  <c r="F1205" i="163"/>
  <c r="D1207" i="163"/>
  <c r="D1216" i="163"/>
  <c r="F1216" i="163"/>
  <c r="F1227" i="163" s="1"/>
  <c r="D1225" i="163"/>
  <c r="D1227" i="163" s="1"/>
  <c r="F1225" i="163"/>
  <c r="D1258" i="163"/>
  <c r="F1258" i="163"/>
  <c r="D1270" i="163"/>
  <c r="D1272" i="163" s="1"/>
  <c r="F1270" i="163"/>
  <c r="D1281" i="163"/>
  <c r="F1281" i="163"/>
  <c r="F1292" i="163" s="1"/>
  <c r="D1290" i="163"/>
  <c r="D1292" i="163" s="1"/>
  <c r="F1290" i="163"/>
  <c r="D1323" i="163"/>
  <c r="F1323" i="163"/>
  <c r="D1335" i="163"/>
  <c r="F1335" i="163"/>
  <c r="F1337" i="163" s="1"/>
  <c r="D1337" i="163"/>
  <c r="D1346" i="163"/>
  <c r="F1346" i="163"/>
  <c r="D1355" i="163"/>
  <c r="D1357" i="163" s="1"/>
  <c r="F1355" i="163"/>
  <c r="D1388" i="163"/>
  <c r="F1388" i="163"/>
  <c r="D1400" i="163"/>
  <c r="D1402" i="163" s="1"/>
  <c r="F1400" i="163"/>
  <c r="F1402" i="163" s="1"/>
  <c r="D1411" i="163"/>
  <c r="F1411" i="163"/>
  <c r="D1420" i="163"/>
  <c r="D1422" i="163" s="1"/>
  <c r="F1420" i="163"/>
  <c r="F1422" i="163"/>
  <c r="D1453" i="163"/>
  <c r="F1453" i="163"/>
  <c r="D1465" i="163"/>
  <c r="F1465" i="163"/>
  <c r="D1467" i="163"/>
  <c r="D1476" i="163"/>
  <c r="F1476" i="163"/>
  <c r="D1485" i="163"/>
  <c r="F1485" i="163"/>
  <c r="D1518" i="163"/>
  <c r="F1518" i="163"/>
  <c r="D1530" i="163"/>
  <c r="F1530" i="163"/>
  <c r="F1532" i="163" s="1"/>
  <c r="D1532" i="163"/>
  <c r="D1541" i="163"/>
  <c r="F1541" i="163"/>
  <c r="D1550" i="163"/>
  <c r="D1552" i="163" s="1"/>
  <c r="F1550" i="163"/>
  <c r="D1583" i="163"/>
  <c r="F1583" i="163"/>
  <c r="D1595" i="163"/>
  <c r="D1597" i="163" s="1"/>
  <c r="F1595" i="163"/>
  <c r="D1606" i="163"/>
  <c r="F1606" i="163"/>
  <c r="D1615" i="163"/>
  <c r="D1617" i="163" s="1"/>
  <c r="F1615" i="163"/>
  <c r="F1617" i="163"/>
  <c r="D1649" i="163"/>
  <c r="F1649" i="163"/>
  <c r="D1661" i="163"/>
  <c r="F1661" i="163"/>
  <c r="F1663" i="163" s="1"/>
  <c r="D1672" i="163"/>
  <c r="D1683" i="163" s="1"/>
  <c r="F1672" i="163"/>
  <c r="D1681" i="163"/>
  <c r="F1681" i="163"/>
  <c r="F1683" i="163" s="1"/>
  <c r="D1713" i="163"/>
  <c r="F1713" i="163"/>
  <c r="D1725" i="163"/>
  <c r="D1727" i="163" s="1"/>
  <c r="F1725" i="163"/>
  <c r="D1736" i="163"/>
  <c r="F1736" i="163"/>
  <c r="F1747" i="163" s="1"/>
  <c r="D1745" i="163"/>
  <c r="D1747" i="163" s="1"/>
  <c r="F1745" i="163"/>
  <c r="D1778" i="163"/>
  <c r="F1778" i="163"/>
  <c r="D1790" i="163"/>
  <c r="F1790" i="163"/>
  <c r="D1801" i="163"/>
  <c r="F1801" i="163"/>
  <c r="F1812" i="163" s="1"/>
  <c r="D1810" i="163"/>
  <c r="D1812" i="163" s="1"/>
  <c r="F1810" i="163"/>
  <c r="D1842" i="163"/>
  <c r="F1842" i="163"/>
  <c r="D1854" i="163"/>
  <c r="F1854" i="163"/>
  <c r="F1856" i="163" s="1"/>
  <c r="D1865" i="163"/>
  <c r="F1865" i="163"/>
  <c r="D1874" i="163"/>
  <c r="F1874" i="163"/>
  <c r="D1876" i="163"/>
  <c r="D1908" i="163"/>
  <c r="F1908" i="163"/>
  <c r="D1920" i="163"/>
  <c r="F1920" i="163"/>
  <c r="F1922" i="163" s="1"/>
  <c r="D1922" i="163"/>
  <c r="D1931" i="163"/>
  <c r="F1931" i="163"/>
  <c r="D1940" i="163"/>
  <c r="D1942" i="163" s="1"/>
  <c r="F1940" i="163"/>
  <c r="D1973" i="163"/>
  <c r="F1973" i="163"/>
  <c r="D1985" i="163"/>
  <c r="D1987" i="163" s="1"/>
  <c r="F1985" i="163"/>
  <c r="F1987" i="163" s="1"/>
  <c r="D1996" i="163"/>
  <c r="F1996" i="163"/>
  <c r="F2007" i="163" s="1"/>
  <c r="D2005" i="163"/>
  <c r="D2007" i="163" s="1"/>
  <c r="F2005" i="163"/>
  <c r="D2038" i="163"/>
  <c r="D2052" i="163" s="1"/>
  <c r="F2038" i="163"/>
  <c r="D2050" i="163"/>
  <c r="F2050" i="163"/>
  <c r="D2061" i="163"/>
  <c r="F2061" i="163"/>
  <c r="D2070" i="163"/>
  <c r="D2072" i="163" s="1"/>
  <c r="F2070" i="163"/>
  <c r="F2072" i="163" s="1"/>
  <c r="D2103" i="163"/>
  <c r="F2103" i="163"/>
  <c r="D2115" i="163"/>
  <c r="D2117" i="163" s="1"/>
  <c r="F2115" i="163"/>
  <c r="F2117" i="163" s="1"/>
  <c r="D2126" i="163"/>
  <c r="F2126" i="163"/>
  <c r="F2137" i="163" s="1"/>
  <c r="D2135" i="163"/>
  <c r="D2137" i="163" s="1"/>
  <c r="F2135" i="163"/>
  <c r="D2168" i="163"/>
  <c r="F2168" i="163"/>
  <c r="D2180" i="163"/>
  <c r="F2180" i="163"/>
  <c r="D2182" i="163"/>
  <c r="D2191" i="163"/>
  <c r="F2191" i="163"/>
  <c r="D2200" i="163"/>
  <c r="D2202" i="163" s="1"/>
  <c r="F2200" i="163"/>
  <c r="D2234" i="163"/>
  <c r="F2234" i="163"/>
  <c r="D2246" i="163"/>
  <c r="D2248" i="163" s="1"/>
  <c r="F2246" i="163"/>
  <c r="F2248" i="163" s="1"/>
  <c r="D2256" i="163"/>
  <c r="F2256" i="163"/>
  <c r="F2321" i="163" s="1"/>
  <c r="D2257" i="163"/>
  <c r="D2259" i="163"/>
  <c r="D2266" i="163" s="1"/>
  <c r="D2268" i="163" s="1"/>
  <c r="F2266" i="163"/>
  <c r="D2286" i="163"/>
  <c r="F2286" i="163"/>
  <c r="D2289" i="163"/>
  <c r="F2289" i="163"/>
  <c r="D2290" i="163"/>
  <c r="F2290" i="163"/>
  <c r="D2291" i="163"/>
  <c r="F2291" i="163"/>
  <c r="D2292" i="163"/>
  <c r="F2292" i="163"/>
  <c r="D2293" i="163"/>
  <c r="F2293" i="163"/>
  <c r="D2294" i="163"/>
  <c r="F2294" i="163"/>
  <c r="D2295" i="163"/>
  <c r="F2295" i="163"/>
  <c r="D2296" i="163"/>
  <c r="D2297" i="163"/>
  <c r="F2297" i="163"/>
  <c r="D2298" i="163"/>
  <c r="F2298" i="163"/>
  <c r="D2302" i="163"/>
  <c r="F2302" i="163"/>
  <c r="D2303" i="163"/>
  <c r="F2303" i="163"/>
  <c r="D2304" i="163"/>
  <c r="F2304" i="163"/>
  <c r="D2305" i="163"/>
  <c r="F2305" i="163"/>
  <c r="D2306" i="163"/>
  <c r="F2306" i="163"/>
  <c r="D2307" i="163"/>
  <c r="F2307" i="163"/>
  <c r="D2308" i="163"/>
  <c r="F2308" i="163"/>
  <c r="D2309" i="163"/>
  <c r="F2309" i="163"/>
  <c r="D2310" i="163"/>
  <c r="D2318" i="163"/>
  <c r="F2318" i="163"/>
  <c r="D2319" i="163"/>
  <c r="D2322" i="163" s="1"/>
  <c r="F2319" i="163"/>
  <c r="D2320" i="163"/>
  <c r="F2320" i="163"/>
  <c r="D2321" i="163"/>
  <c r="D2324" i="163"/>
  <c r="E2324" i="163"/>
  <c r="F2324" i="163"/>
  <c r="D2325" i="163"/>
  <c r="F2325" i="163"/>
  <c r="D2326" i="163"/>
  <c r="F2326" i="163"/>
  <c r="D2327" i="163"/>
  <c r="F2327" i="163"/>
  <c r="D2328" i="163"/>
  <c r="F2328" i="163"/>
  <c r="D2329" i="163"/>
  <c r="F2329" i="163"/>
  <c r="D2330" i="163"/>
  <c r="F2330" i="163"/>
  <c r="D2299" i="163" l="1"/>
  <c r="F2322" i="163"/>
  <c r="F2182" i="163"/>
  <c r="F2052" i="163"/>
  <c r="F1942" i="163"/>
  <c r="F1207" i="163"/>
  <c r="D837" i="163"/>
  <c r="F577" i="163"/>
  <c r="D492" i="163"/>
  <c r="F362" i="163"/>
  <c r="F2202" i="163"/>
  <c r="D1856" i="163"/>
  <c r="F1792" i="163"/>
  <c r="D1663" i="163"/>
  <c r="F1552" i="163"/>
  <c r="D1487" i="163"/>
  <c r="F1467" i="163"/>
  <c r="F1357" i="163"/>
  <c r="D1162" i="163"/>
  <c r="F1142" i="163"/>
  <c r="D967" i="163"/>
  <c r="F772" i="163"/>
  <c r="D752" i="163"/>
  <c r="D642" i="163"/>
  <c r="D427" i="163"/>
  <c r="F382" i="163"/>
  <c r="D187" i="163"/>
  <c r="F167" i="163"/>
  <c r="D57" i="163"/>
  <c r="F37" i="163"/>
  <c r="F2299" i="163"/>
  <c r="F2331" i="163"/>
  <c r="D2331" i="163"/>
  <c r="D2333" i="163" s="1"/>
  <c r="D2311" i="163"/>
  <c r="F1876" i="163"/>
  <c r="D1792" i="163"/>
  <c r="F1727" i="163"/>
  <c r="F1597" i="163"/>
  <c r="F1487" i="163"/>
  <c r="F1272" i="163"/>
  <c r="D362" i="163"/>
  <c r="H29" i="159"/>
  <c r="H10" i="159" s="1"/>
  <c r="C189" i="159"/>
  <c r="H126" i="159"/>
  <c r="D10" i="159"/>
  <c r="D189" i="159" s="1"/>
  <c r="G189" i="159"/>
  <c r="F189" i="159"/>
  <c r="H166" i="159"/>
  <c r="H165" i="159" s="1"/>
  <c r="H107" i="159" s="1"/>
  <c r="E10" i="159"/>
  <c r="E107" i="159"/>
  <c r="D143" i="164"/>
  <c r="F2310" i="163"/>
  <c r="F2311" i="163" s="1"/>
  <c r="F620" i="163"/>
  <c r="F622" i="163" s="1"/>
  <c r="F2257" i="163"/>
  <c r="F2268" i="163" s="1"/>
  <c r="F998" i="163"/>
  <c r="F1012" i="163" s="1"/>
  <c r="D620" i="163"/>
  <c r="D622" i="163" s="1"/>
  <c r="F2333" i="163" l="1"/>
  <c r="D2313" i="163"/>
  <c r="F2313" i="163"/>
  <c r="H189" i="159"/>
  <c r="E189" i="159"/>
  <c r="E42" i="162"/>
  <c r="H42" i="162" s="1"/>
  <c r="H41" i="162" s="1"/>
  <c r="G41" i="162"/>
  <c r="F41" i="162"/>
  <c r="D41" i="162"/>
  <c r="C41" i="162"/>
  <c r="D40" i="162"/>
  <c r="D39" i="162"/>
  <c r="E38" i="162"/>
  <c r="H38" i="162" s="1"/>
  <c r="E37" i="162"/>
  <c r="H37" i="162" s="1"/>
  <c r="E36" i="162"/>
  <c r="H36" i="162" s="1"/>
  <c r="E35" i="162"/>
  <c r="H35" i="162" s="1"/>
  <c r="E34" i="162"/>
  <c r="H34" i="162" s="1"/>
  <c r="E33" i="162"/>
  <c r="E32" i="162"/>
  <c r="H32" i="162" s="1"/>
  <c r="G31" i="162"/>
  <c r="F31" i="162"/>
  <c r="C31" i="162"/>
  <c r="H30" i="162"/>
  <c r="E29" i="162"/>
  <c r="H29" i="162" s="1"/>
  <c r="E27" i="162"/>
  <c r="H27" i="162" s="1"/>
  <c r="E26" i="162"/>
  <c r="H26" i="162" s="1"/>
  <c r="G23" i="162"/>
  <c r="E25" i="162"/>
  <c r="E24" i="162"/>
  <c r="H24" i="162" s="1"/>
  <c r="F23" i="162"/>
  <c r="C23" i="162"/>
  <c r="E22" i="162"/>
  <c r="H22" i="162" s="1"/>
  <c r="E21" i="162"/>
  <c r="H21" i="162" s="1"/>
  <c r="E20" i="162"/>
  <c r="H20" i="162" s="1"/>
  <c r="F14" i="162"/>
  <c r="E19" i="162"/>
  <c r="E18" i="162"/>
  <c r="H18" i="162" s="1"/>
  <c r="E17" i="162"/>
  <c r="H17" i="162" s="1"/>
  <c r="E16" i="162"/>
  <c r="E15" i="162"/>
  <c r="H15" i="162" s="1"/>
  <c r="G14" i="162"/>
  <c r="D14" i="162"/>
  <c r="C14" i="162"/>
  <c r="E36" i="161"/>
  <c r="H36" i="161" s="1"/>
  <c r="E35" i="161"/>
  <c r="H35" i="161" s="1"/>
  <c r="E34" i="161"/>
  <c r="H34" i="161" s="1"/>
  <c r="E33" i="161"/>
  <c r="H33" i="161" s="1"/>
  <c r="E32" i="161"/>
  <c r="H32" i="161" s="1"/>
  <c r="E31" i="161"/>
  <c r="H31" i="161" s="1"/>
  <c r="E30" i="161"/>
  <c r="H30" i="161" s="1"/>
  <c r="E29" i="161"/>
  <c r="H29" i="161" s="1"/>
  <c r="E28" i="161"/>
  <c r="H28" i="161" s="1"/>
  <c r="E27" i="161"/>
  <c r="H27" i="161" s="1"/>
  <c r="E26" i="161"/>
  <c r="H26" i="161" s="1"/>
  <c r="E25" i="161"/>
  <c r="H25" i="161" s="1"/>
  <c r="E24" i="161"/>
  <c r="H24" i="161" s="1"/>
  <c r="E23" i="161"/>
  <c r="H23" i="161" s="1"/>
  <c r="E22" i="161"/>
  <c r="H22" i="161" s="1"/>
  <c r="E21" i="161"/>
  <c r="E20" i="161"/>
  <c r="H20" i="161" s="1"/>
  <c r="E19" i="161"/>
  <c r="H19" i="161" s="1"/>
  <c r="E18" i="161"/>
  <c r="H18" i="161" s="1"/>
  <c r="F10" i="161"/>
  <c r="F72" i="161" s="1"/>
  <c r="E17" i="161"/>
  <c r="E16" i="161"/>
  <c r="H16" i="161" s="1"/>
  <c r="E15" i="161"/>
  <c r="H15" i="161" s="1"/>
  <c r="E14" i="161"/>
  <c r="H14" i="161" s="1"/>
  <c r="E13" i="161"/>
  <c r="H13" i="161" s="1"/>
  <c r="E12" i="161"/>
  <c r="H12" i="161" s="1"/>
  <c r="E11" i="161"/>
  <c r="G13" i="162" l="1"/>
  <c r="G99" i="162" s="1"/>
  <c r="F13" i="162"/>
  <c r="F99" i="162" s="1"/>
  <c r="C13" i="162"/>
  <c r="C99" i="162" s="1"/>
  <c r="D31" i="162"/>
  <c r="D23" i="162"/>
  <c r="E41" i="162"/>
  <c r="E28" i="162"/>
  <c r="H28" i="162" s="1"/>
  <c r="H19" i="162"/>
  <c r="E31" i="162"/>
  <c r="E14" i="162"/>
  <c r="H25" i="162"/>
  <c r="H11" i="161"/>
  <c r="E10" i="161"/>
  <c r="E72" i="161" s="1"/>
  <c r="G10" i="161"/>
  <c r="G72" i="161" s="1"/>
  <c r="H21" i="161"/>
  <c r="H17" i="161"/>
  <c r="H33" i="162"/>
  <c r="H31" i="162" s="1"/>
  <c r="H16" i="162"/>
  <c r="F10" i="158"/>
  <c r="I10" i="158"/>
  <c r="I11" i="158"/>
  <c r="F12" i="158"/>
  <c r="I12" i="158"/>
  <c r="F13" i="158"/>
  <c r="I13" i="158"/>
  <c r="F14" i="158"/>
  <c r="I14" i="158"/>
  <c r="F15" i="158"/>
  <c r="I15" i="158"/>
  <c r="I16" i="158"/>
  <c r="D17" i="158"/>
  <c r="E17" i="158"/>
  <c r="G17" i="158"/>
  <c r="H17" i="158"/>
  <c r="I17" i="158" s="1"/>
  <c r="I18" i="158"/>
  <c r="F19" i="158"/>
  <c r="I19" i="158"/>
  <c r="F20" i="158"/>
  <c r="I20" i="158"/>
  <c r="F21" i="158"/>
  <c r="I21" i="158"/>
  <c r="F22" i="158"/>
  <c r="I22" i="158"/>
  <c r="F23" i="158"/>
  <c r="I23" i="158"/>
  <c r="F24" i="158"/>
  <c r="I24" i="158"/>
  <c r="F25" i="158"/>
  <c r="I25" i="158"/>
  <c r="F26" i="158"/>
  <c r="I26" i="158"/>
  <c r="F27" i="158"/>
  <c r="I27" i="158"/>
  <c r="F28" i="158"/>
  <c r="I28" i="158"/>
  <c r="F29" i="158"/>
  <c r="I29" i="158"/>
  <c r="D30" i="158"/>
  <c r="E30" i="158"/>
  <c r="G30" i="158"/>
  <c r="G43" i="158" s="1"/>
  <c r="H30" i="158"/>
  <c r="I30" i="158"/>
  <c r="F31" i="158"/>
  <c r="I31" i="158"/>
  <c r="F32" i="158"/>
  <c r="I32" i="158"/>
  <c r="F33" i="158"/>
  <c r="I33" i="158"/>
  <c r="F34" i="158"/>
  <c r="I34" i="158"/>
  <c r="F35" i="158"/>
  <c r="I35" i="158"/>
  <c r="F36" i="158"/>
  <c r="I36" i="158"/>
  <c r="D37" i="158"/>
  <c r="E37" i="158"/>
  <c r="F37" i="158"/>
  <c r="G37" i="158"/>
  <c r="H37" i="158"/>
  <c r="I37" i="158" s="1"/>
  <c r="I38" i="158"/>
  <c r="D39" i="158"/>
  <c r="E39" i="158"/>
  <c r="G39" i="158"/>
  <c r="H39" i="158"/>
  <c r="I39" i="158" s="1"/>
  <c r="F40" i="158"/>
  <c r="I40" i="158"/>
  <c r="F41" i="158"/>
  <c r="I41" i="158"/>
  <c r="I44" i="158"/>
  <c r="D57" i="158"/>
  <c r="D77" i="158" s="1"/>
  <c r="E57" i="158"/>
  <c r="G57" i="158"/>
  <c r="H57" i="158"/>
  <c r="F58" i="158"/>
  <c r="I58" i="158"/>
  <c r="F59" i="158"/>
  <c r="I59" i="158"/>
  <c r="F60" i="158"/>
  <c r="I60" i="158"/>
  <c r="F61" i="158"/>
  <c r="I61" i="158"/>
  <c r="F62" i="158"/>
  <c r="I62" i="158"/>
  <c r="F63" i="158"/>
  <c r="I63" i="158"/>
  <c r="F64" i="158"/>
  <c r="I64" i="158"/>
  <c r="F65" i="158"/>
  <c r="I65" i="158"/>
  <c r="D66" i="158"/>
  <c r="E66" i="158"/>
  <c r="G66" i="158"/>
  <c r="G77" i="158" s="1"/>
  <c r="H66" i="158"/>
  <c r="I66" i="158" s="1"/>
  <c r="I67" i="158"/>
  <c r="I68" i="158"/>
  <c r="I69" i="158"/>
  <c r="F70" i="158"/>
  <c r="F66" i="158" s="1"/>
  <c r="I70" i="158"/>
  <c r="D71" i="158"/>
  <c r="E71" i="158"/>
  <c r="G71" i="158"/>
  <c r="H71" i="158"/>
  <c r="I71" i="158" s="1"/>
  <c r="F72" i="158"/>
  <c r="I72" i="158"/>
  <c r="F73" i="158"/>
  <c r="I73" i="158"/>
  <c r="I74" i="158"/>
  <c r="I75" i="158"/>
  <c r="H77" i="158"/>
  <c r="D79" i="158"/>
  <c r="E79" i="158"/>
  <c r="F79" i="158"/>
  <c r="G79" i="158"/>
  <c r="H79" i="158"/>
  <c r="I79" i="158" s="1"/>
  <c r="I80" i="158"/>
  <c r="I84" i="158"/>
  <c r="I85" i="158"/>
  <c r="I86" i="158"/>
  <c r="D87" i="158"/>
  <c r="E87" i="158"/>
  <c r="F87" i="158"/>
  <c r="G87" i="158"/>
  <c r="H87" i="158"/>
  <c r="I87" i="158" s="1"/>
  <c r="C9" i="157"/>
  <c r="C8" i="157" s="1"/>
  <c r="C19" i="157" s="1"/>
  <c r="D9" i="157"/>
  <c r="E9" i="157"/>
  <c r="F9" i="157"/>
  <c r="G9" i="157"/>
  <c r="H9" i="157"/>
  <c r="I9" i="157"/>
  <c r="C13" i="157"/>
  <c r="D13" i="157"/>
  <c r="E13" i="157"/>
  <c r="F13" i="157"/>
  <c r="F8" i="157" s="1"/>
  <c r="F19" i="157" s="1"/>
  <c r="H13" i="157"/>
  <c r="I13" i="157"/>
  <c r="G14" i="157"/>
  <c r="G13" i="157" s="1"/>
  <c r="G17" i="157"/>
  <c r="I49" i="156"/>
  <c r="H49" i="156"/>
  <c r="C48" i="156"/>
  <c r="I45" i="156"/>
  <c r="H45" i="156"/>
  <c r="I44" i="156"/>
  <c r="H44" i="156"/>
  <c r="D44" i="156"/>
  <c r="C44" i="156"/>
  <c r="I42" i="156"/>
  <c r="D41" i="156"/>
  <c r="C41" i="156"/>
  <c r="H40" i="156"/>
  <c r="H34" i="156" s="1"/>
  <c r="I35" i="156"/>
  <c r="H35" i="156"/>
  <c r="D34" i="156"/>
  <c r="C34" i="156"/>
  <c r="D33" i="156"/>
  <c r="D30" i="156" s="1"/>
  <c r="D27" i="156" s="1"/>
  <c r="C30" i="156"/>
  <c r="C27" i="156" s="1"/>
  <c r="I26" i="156"/>
  <c r="H26" i="156"/>
  <c r="H23" i="156" s="1"/>
  <c r="H32" i="156" s="1"/>
  <c r="D25" i="156"/>
  <c r="C25" i="156"/>
  <c r="I23" i="156"/>
  <c r="D18" i="156"/>
  <c r="C18" i="156"/>
  <c r="D13" i="156"/>
  <c r="C13" i="156"/>
  <c r="I9" i="156"/>
  <c r="I8" i="156" s="1"/>
  <c r="I32" i="156" s="1"/>
  <c r="H9" i="156"/>
  <c r="D9" i="156"/>
  <c r="C9" i="156"/>
  <c r="C8" i="156" s="1"/>
  <c r="H8" i="156"/>
  <c r="C51" i="156" l="1"/>
  <c r="H8" i="157"/>
  <c r="H19" i="157" s="1"/>
  <c r="F71" i="158"/>
  <c r="D43" i="158"/>
  <c r="I43" i="158" s="1"/>
  <c r="F30" i="158"/>
  <c r="G82" i="158"/>
  <c r="I40" i="156"/>
  <c r="I34" i="156" s="1"/>
  <c r="I51" i="156" s="1"/>
  <c r="I77" i="158"/>
  <c r="F39" i="158"/>
  <c r="E43" i="158"/>
  <c r="F43" i="158"/>
  <c r="I57" i="158"/>
  <c r="F17" i="158"/>
  <c r="D8" i="156"/>
  <c r="D51" i="156" s="1"/>
  <c r="F57" i="158"/>
  <c r="E77" i="158"/>
  <c r="D13" i="162"/>
  <c r="D99" i="162" s="1"/>
  <c r="E23" i="162"/>
  <c r="E13" i="162" s="1"/>
  <c r="E99" i="162" s="1"/>
  <c r="H14" i="162"/>
  <c r="H23" i="162"/>
  <c r="H10" i="161"/>
  <c r="H72" i="161" s="1"/>
  <c r="I8" i="157"/>
  <c r="I19" i="157" s="1"/>
  <c r="E8" i="157"/>
  <c r="E19" i="157" s="1"/>
  <c r="D8" i="157"/>
  <c r="D19" i="157" s="1"/>
  <c r="F77" i="158"/>
  <c r="F82" i="158"/>
  <c r="H82" i="158"/>
  <c r="G8" i="157"/>
  <c r="G19" i="157" s="1"/>
  <c r="H51" i="156"/>
  <c r="E82" i="158" l="1"/>
  <c r="D82" i="158"/>
  <c r="H13" i="162"/>
  <c r="H99" i="162" s="1"/>
  <c r="I82" i="158"/>
  <c r="H708" i="65" l="1"/>
  <c r="H1003" i="65"/>
  <c r="H984" i="65"/>
  <c r="H100" i="65"/>
  <c r="B6" i="154" l="1"/>
  <c r="C6" i="154"/>
  <c r="D6" i="154"/>
  <c r="E6" i="154"/>
  <c r="F6" i="154"/>
  <c r="G6" i="154"/>
  <c r="B17" i="154"/>
  <c r="C17" i="154"/>
  <c r="D17" i="154"/>
  <c r="E17" i="154"/>
  <c r="F17" i="154"/>
  <c r="G17" i="154"/>
  <c r="B28" i="154"/>
  <c r="B7" i="153"/>
  <c r="C7" i="153"/>
  <c r="D7" i="153"/>
  <c r="E7" i="153"/>
  <c r="F7" i="153"/>
  <c r="G7" i="153"/>
  <c r="B21" i="153"/>
  <c r="C21" i="153"/>
  <c r="D21" i="153"/>
  <c r="E21" i="153"/>
  <c r="F21" i="153"/>
  <c r="G21" i="153"/>
  <c r="B28" i="153"/>
  <c r="C28" i="153"/>
  <c r="D28" i="153"/>
  <c r="E28" i="153"/>
  <c r="F28" i="153"/>
  <c r="G28" i="153"/>
  <c r="B36" i="153"/>
  <c r="C36" i="153"/>
  <c r="D36" i="153"/>
  <c r="E36" i="153"/>
  <c r="F36" i="153"/>
  <c r="G36" i="153"/>
  <c r="B17" i="152"/>
  <c r="B28" i="152" s="1"/>
  <c r="C17" i="152"/>
  <c r="C28" i="152" s="1"/>
  <c r="D17" i="152"/>
  <c r="D28" i="152" s="1"/>
  <c r="E17" i="152"/>
  <c r="E28" i="152" s="1"/>
  <c r="F17" i="152"/>
  <c r="G17" i="152"/>
  <c r="B8" i="151"/>
  <c r="C8" i="151"/>
  <c r="D8" i="151"/>
  <c r="E8" i="151"/>
  <c r="F8" i="151"/>
  <c r="G8" i="151"/>
  <c r="B22" i="151"/>
  <c r="C22" i="151"/>
  <c r="D22" i="151"/>
  <c r="E22" i="151"/>
  <c r="F22" i="151"/>
  <c r="G22" i="151"/>
  <c r="B29" i="151"/>
  <c r="C29" i="151"/>
  <c r="D29" i="151"/>
  <c r="E29" i="151"/>
  <c r="F29" i="151"/>
  <c r="G29" i="151"/>
  <c r="C37" i="151"/>
  <c r="D37" i="151"/>
  <c r="E37" i="151"/>
  <c r="F37" i="151"/>
  <c r="G37" i="151"/>
  <c r="G9" i="150"/>
  <c r="B11" i="150"/>
  <c r="C11" i="150"/>
  <c r="D11" i="150"/>
  <c r="E11" i="150"/>
  <c r="F11" i="150"/>
  <c r="G12" i="150"/>
  <c r="G13" i="150"/>
  <c r="G14" i="150"/>
  <c r="G16" i="150"/>
  <c r="G17" i="150"/>
  <c r="G18" i="150"/>
  <c r="G21" i="150"/>
  <c r="G22" i="150"/>
  <c r="B23" i="150"/>
  <c r="C23" i="150"/>
  <c r="D23" i="150"/>
  <c r="E23" i="150"/>
  <c r="F23" i="150"/>
  <c r="G24" i="150"/>
  <c r="G25" i="150"/>
  <c r="G26" i="150"/>
  <c r="B27" i="150"/>
  <c r="C27" i="150"/>
  <c r="D27" i="150"/>
  <c r="E27" i="150"/>
  <c r="F27" i="150"/>
  <c r="G28" i="150"/>
  <c r="G29" i="150"/>
  <c r="G30" i="150"/>
  <c r="B8" i="145"/>
  <c r="C8" i="145"/>
  <c r="D8" i="145"/>
  <c r="B13" i="145"/>
  <c r="C13" i="145"/>
  <c r="D13" i="145"/>
  <c r="C17" i="145"/>
  <c r="D17" i="145"/>
  <c r="B28" i="145"/>
  <c r="C28" i="145"/>
  <c r="D28" i="145"/>
  <c r="B38" i="145"/>
  <c r="C38" i="145"/>
  <c r="D38" i="145"/>
  <c r="B41" i="145"/>
  <c r="C41" i="145"/>
  <c r="D41" i="145"/>
  <c r="B52" i="145"/>
  <c r="B60" i="145" s="1"/>
  <c r="B61" i="145" s="1"/>
  <c r="C52" i="145"/>
  <c r="C60" i="145" s="1"/>
  <c r="C61" i="145" s="1"/>
  <c r="D52" i="145"/>
  <c r="D60" i="145" s="1"/>
  <c r="D61" i="145" s="1"/>
  <c r="B68" i="145"/>
  <c r="B76" i="145" s="1"/>
  <c r="B77" i="145" s="1"/>
  <c r="C68" i="145"/>
  <c r="C76" i="145" s="1"/>
  <c r="C77" i="145" s="1"/>
  <c r="D68" i="145"/>
  <c r="D76" i="145" s="1"/>
  <c r="D77" i="145" s="1"/>
  <c r="E8" i="150" l="1"/>
  <c r="B32" i="151"/>
  <c r="F28" i="154"/>
  <c r="E28" i="154"/>
  <c r="D28" i="154"/>
  <c r="C28" i="154"/>
  <c r="G28" i="154"/>
  <c r="F31" i="153"/>
  <c r="D31" i="153"/>
  <c r="G28" i="152"/>
  <c r="G32" i="151"/>
  <c r="F28" i="152"/>
  <c r="F32" i="151"/>
  <c r="E32" i="151"/>
  <c r="D32" i="151"/>
  <c r="C32" i="151"/>
  <c r="B21" i="145"/>
  <c r="B22" i="145" s="1"/>
  <c r="B23" i="145" s="1"/>
  <c r="C45" i="145"/>
  <c r="D45" i="145"/>
  <c r="B45" i="145"/>
  <c r="D21" i="145"/>
  <c r="D22" i="145" s="1"/>
  <c r="D23" i="145" s="1"/>
  <c r="D32" i="145" s="1"/>
  <c r="C21" i="145"/>
  <c r="C22" i="145" s="1"/>
  <c r="C23" i="145" s="1"/>
  <c r="C32" i="145" s="1"/>
  <c r="E31" i="153"/>
  <c r="B31" i="153"/>
  <c r="C31" i="153"/>
  <c r="G31" i="153"/>
  <c r="G15" i="150"/>
  <c r="D20" i="150"/>
  <c r="D8" i="150"/>
  <c r="G23" i="150"/>
  <c r="C20" i="150"/>
  <c r="G11" i="150"/>
  <c r="C8" i="150"/>
  <c r="G27" i="150"/>
  <c r="F20" i="150"/>
  <c r="B20" i="150"/>
  <c r="F8" i="150"/>
  <c r="B8" i="150"/>
  <c r="E20" i="150"/>
  <c r="B32" i="145"/>
  <c r="P54" i="43"/>
  <c r="P45" i="43"/>
  <c r="O44" i="43"/>
  <c r="N44" i="43"/>
  <c r="M44" i="43"/>
  <c r="L44" i="43"/>
  <c r="K44" i="43"/>
  <c r="J44" i="43"/>
  <c r="I44" i="43"/>
  <c r="H44" i="43"/>
  <c r="G44" i="43"/>
  <c r="F44" i="43"/>
  <c r="E44" i="43"/>
  <c r="D44" i="43"/>
  <c r="L43" i="43"/>
  <c r="L40" i="43" s="1"/>
  <c r="P42" i="43"/>
  <c r="P41" i="43"/>
  <c r="O40" i="43"/>
  <c r="N40" i="43"/>
  <c r="M40" i="43"/>
  <c r="K40" i="43"/>
  <c r="J40" i="43"/>
  <c r="I40" i="43"/>
  <c r="H40" i="43"/>
  <c r="G40" i="43"/>
  <c r="F40" i="43"/>
  <c r="E40" i="43"/>
  <c r="D40" i="43"/>
  <c r="P39" i="43"/>
  <c r="P38" i="43"/>
  <c r="P37" i="43"/>
  <c r="P36" i="43"/>
  <c r="P35" i="43"/>
  <c r="P34" i="43"/>
  <c r="O33" i="43"/>
  <c r="N33" i="43"/>
  <c r="M33" i="43"/>
  <c r="L33" i="43"/>
  <c r="K33" i="43"/>
  <c r="J33" i="43"/>
  <c r="I33" i="43"/>
  <c r="H33" i="43"/>
  <c r="G33" i="43"/>
  <c r="F33" i="43"/>
  <c r="E33" i="43"/>
  <c r="D33" i="43"/>
  <c r="P32" i="43"/>
  <c r="P31" i="43"/>
  <c r="O30" i="43"/>
  <c r="N30" i="43"/>
  <c r="M30" i="43"/>
  <c r="L30" i="43"/>
  <c r="K30" i="43"/>
  <c r="J30" i="43"/>
  <c r="I30" i="43"/>
  <c r="H30" i="43"/>
  <c r="G30" i="43"/>
  <c r="F30" i="43"/>
  <c r="E30" i="43"/>
  <c r="D30" i="43"/>
  <c r="P30" i="43" s="1"/>
  <c r="P29" i="43"/>
  <c r="P28" i="43"/>
  <c r="P27" i="43"/>
  <c r="P26" i="43"/>
  <c r="P25" i="43"/>
  <c r="O24" i="43"/>
  <c r="N24" i="43"/>
  <c r="M24" i="43"/>
  <c r="L24" i="43"/>
  <c r="K24" i="43"/>
  <c r="J24" i="43"/>
  <c r="I24" i="43"/>
  <c r="H24" i="43"/>
  <c r="G24" i="43"/>
  <c r="F24" i="43"/>
  <c r="E24" i="43"/>
  <c r="D24" i="43"/>
  <c r="P23" i="43"/>
  <c r="P22" i="43"/>
  <c r="P21" i="43"/>
  <c r="P20" i="43"/>
  <c r="P19" i="43"/>
  <c r="P18" i="43"/>
  <c r="P17" i="43"/>
  <c r="P16" i="43"/>
  <c r="P15" i="43"/>
  <c r="O14" i="43"/>
  <c r="N14" i="43"/>
  <c r="M14" i="43"/>
  <c r="L14" i="43"/>
  <c r="K14" i="43"/>
  <c r="J14" i="43"/>
  <c r="I14" i="43"/>
  <c r="H14" i="43"/>
  <c r="G14" i="43"/>
  <c r="F14" i="43"/>
  <c r="E14" i="43"/>
  <c r="D14" i="43"/>
  <c r="E31" i="150" l="1"/>
  <c r="B31" i="150"/>
  <c r="P40" i="43"/>
  <c r="D31" i="150"/>
  <c r="G8" i="150"/>
  <c r="F31" i="150"/>
  <c r="C31" i="150"/>
  <c r="G20" i="150"/>
  <c r="P14" i="43"/>
  <c r="P33" i="43"/>
  <c r="P44" i="43"/>
  <c r="P24" i="43"/>
  <c r="P43" i="43"/>
  <c r="G31" i="150" l="1"/>
  <c r="G53" i="48"/>
  <c r="I6294" i="109" l="1"/>
  <c r="H6294" i="109"/>
  <c r="J6291" i="109"/>
  <c r="J6290" i="109"/>
  <c r="J6289" i="109"/>
  <c r="J6288" i="109"/>
  <c r="J6287" i="109"/>
  <c r="J6286" i="109"/>
  <c r="J6285" i="109"/>
  <c r="J6284" i="109"/>
  <c r="J6283" i="109"/>
  <c r="J6282" i="109"/>
  <c r="J6281" i="109"/>
  <c r="J6280" i="109"/>
  <c r="J6279" i="109"/>
  <c r="J6278" i="109"/>
  <c r="J6277" i="109"/>
  <c r="J6275" i="109"/>
  <c r="J6274" i="109"/>
  <c r="J6272" i="109"/>
  <c r="J6270" i="109"/>
  <c r="J6269" i="109"/>
  <c r="J6268" i="109"/>
  <c r="J6267" i="109"/>
  <c r="J6266" i="109"/>
  <c r="J6265" i="109"/>
  <c r="J6264" i="109"/>
  <c r="J6263" i="109"/>
  <c r="J6262" i="109"/>
  <c r="J6261" i="109"/>
  <c r="J6260" i="109"/>
  <c r="J6259" i="109"/>
  <c r="J6258" i="109"/>
  <c r="J6257" i="109"/>
  <c r="J6256" i="109"/>
  <c r="J6255" i="109"/>
  <c r="J6254" i="109"/>
  <c r="J6253" i="109"/>
  <c r="J6252" i="109"/>
  <c r="J6251" i="109"/>
  <c r="J6250" i="109"/>
  <c r="J6247" i="109"/>
  <c r="J6246" i="109"/>
  <c r="J6245" i="109"/>
  <c r="J6244" i="109"/>
  <c r="J6243" i="109"/>
  <c r="J6242" i="109"/>
  <c r="J6241" i="109"/>
  <c r="J6240" i="109"/>
  <c r="J6239" i="109"/>
  <c r="J6238" i="109"/>
  <c r="J6237" i="109"/>
  <c r="J6236" i="109"/>
  <c r="J6235" i="109"/>
  <c r="J6234" i="109"/>
  <c r="J6233" i="109"/>
  <c r="J6232" i="109"/>
  <c r="J6231" i="109"/>
  <c r="J6230" i="109"/>
  <c r="J6229" i="109"/>
  <c r="J6228" i="109"/>
  <c r="J6227" i="109"/>
  <c r="J6226" i="109"/>
  <c r="J6225" i="109"/>
  <c r="J6224" i="109"/>
  <c r="J6223" i="109"/>
  <c r="J6222" i="109"/>
  <c r="J6221" i="109"/>
  <c r="J6220" i="109"/>
  <c r="J6219" i="109"/>
  <c r="J6218" i="109"/>
  <c r="J6217" i="109"/>
  <c r="J6216" i="109"/>
  <c r="J6215" i="109"/>
  <c r="J6214" i="109"/>
  <c r="J6213" i="109"/>
  <c r="J6212" i="109"/>
  <c r="J6211" i="109"/>
  <c r="J6210" i="109"/>
  <c r="J6209" i="109"/>
  <c r="J6208" i="109"/>
  <c r="J6207" i="109"/>
  <c r="J6206" i="109"/>
  <c r="J6205" i="109"/>
  <c r="J6204" i="109"/>
  <c r="J6203" i="109"/>
  <c r="J6202" i="109"/>
  <c r="J6201" i="109"/>
  <c r="J6199" i="109"/>
  <c r="J6198" i="109"/>
  <c r="J6197" i="109"/>
  <c r="J6196" i="109"/>
  <c r="J6193" i="109"/>
  <c r="J6192" i="109"/>
  <c r="J6191" i="109"/>
  <c r="J6190" i="109"/>
  <c r="J6189" i="109"/>
  <c r="J6188" i="109"/>
  <c r="J6187" i="109"/>
  <c r="J6186" i="109"/>
  <c r="J6185" i="109"/>
  <c r="J6184" i="109"/>
  <c r="J6183" i="109"/>
  <c r="J6182" i="109"/>
  <c r="J6181" i="109"/>
  <c r="J6179" i="109"/>
  <c r="J6178" i="109"/>
  <c r="J6177" i="109"/>
  <c r="J6176" i="109"/>
  <c r="J6175" i="109"/>
  <c r="J6174" i="109"/>
  <c r="J6173" i="109"/>
  <c r="J6172" i="109"/>
  <c r="J6171" i="109"/>
  <c r="J6170" i="109"/>
  <c r="J6169" i="109"/>
  <c r="J6168" i="109"/>
  <c r="J6167" i="109"/>
  <c r="J6166" i="109"/>
  <c r="J6165" i="109"/>
  <c r="J6164" i="109"/>
  <c r="J6163" i="109"/>
  <c r="J6162" i="109"/>
  <c r="J6161" i="109"/>
  <c r="J6160" i="109"/>
  <c r="J6159" i="109"/>
  <c r="J6158" i="109"/>
  <c r="J6157" i="109"/>
  <c r="J6156" i="109"/>
  <c r="J6155" i="109"/>
  <c r="J6154" i="109"/>
  <c r="J6153" i="109"/>
  <c r="J6152" i="109"/>
  <c r="J6151" i="109"/>
  <c r="J6150" i="109"/>
  <c r="J6149" i="109"/>
  <c r="J6148" i="109"/>
  <c r="J6147" i="109"/>
  <c r="J6146" i="109"/>
  <c r="J6145" i="109"/>
  <c r="J6144" i="109"/>
  <c r="J6143" i="109"/>
  <c r="J6142" i="109"/>
  <c r="J6141" i="109"/>
  <c r="J6140" i="109"/>
  <c r="J6139" i="109"/>
  <c r="J6138" i="109"/>
  <c r="J6137" i="109"/>
  <c r="J6136" i="109"/>
  <c r="J6134" i="109"/>
  <c r="J6128" i="109"/>
  <c r="J6127" i="109"/>
  <c r="J6126" i="109"/>
  <c r="J6125" i="109"/>
  <c r="J6124" i="109"/>
  <c r="J6123" i="109"/>
  <c r="J6122" i="109"/>
  <c r="J6121" i="109"/>
  <c r="J6120" i="109"/>
  <c r="I65" i="109"/>
  <c r="H65" i="109"/>
  <c r="G65" i="109"/>
  <c r="G6294" i="109"/>
  <c r="C10" i="140" l="1"/>
  <c r="C38" i="140" s="1"/>
  <c r="C29" i="140"/>
  <c r="C24" i="139"/>
  <c r="E41" i="121"/>
  <c r="E60" i="121"/>
  <c r="F23" i="52" l="1"/>
  <c r="F21" i="52"/>
  <c r="F22" i="52"/>
  <c r="F24" i="52"/>
  <c r="C16" i="24" l="1"/>
  <c r="K1819" i="137"/>
  <c r="E17" i="135" l="1"/>
  <c r="D17" i="135"/>
  <c r="E24" i="134"/>
  <c r="E20" i="134"/>
  <c r="G30" i="132"/>
  <c r="H30" i="132"/>
  <c r="K8" i="131"/>
  <c r="L8" i="131"/>
  <c r="N9" i="131"/>
  <c r="N10" i="131"/>
  <c r="N11" i="131"/>
  <c r="N12" i="131"/>
  <c r="L13" i="131"/>
  <c r="N13" i="131" s="1"/>
  <c r="K14" i="131"/>
  <c r="N14" i="131" s="1"/>
  <c r="L15" i="131"/>
  <c r="N15" i="131" s="1"/>
  <c r="L16" i="131"/>
  <c r="N16" i="131" s="1"/>
  <c r="L17" i="131"/>
  <c r="N17" i="131"/>
  <c r="L18" i="131"/>
  <c r="N18" i="131" s="1"/>
  <c r="N19" i="131"/>
  <c r="K20" i="131"/>
  <c r="N20" i="131"/>
  <c r="K21" i="131"/>
  <c r="N21" i="131" s="1"/>
  <c r="N22" i="131"/>
  <c r="L23" i="131"/>
  <c r="N23" i="131" s="1"/>
  <c r="L24" i="131"/>
  <c r="N24" i="131" s="1"/>
  <c r="N25" i="131"/>
  <c r="L26" i="131"/>
  <c r="N26" i="131" s="1"/>
  <c r="L27" i="131"/>
  <c r="K28" i="131"/>
  <c r="N28" i="131" s="1"/>
  <c r="K29" i="131"/>
  <c r="N29" i="131" s="1"/>
  <c r="K30" i="131"/>
  <c r="N30" i="131" s="1"/>
  <c r="L31" i="131"/>
  <c r="N31" i="131" s="1"/>
  <c r="L32" i="131"/>
  <c r="N32" i="131" s="1"/>
  <c r="N33" i="131"/>
  <c r="L34" i="131"/>
  <c r="N34" i="131"/>
  <c r="L35" i="131"/>
  <c r="N35" i="131"/>
  <c r="L36" i="131"/>
  <c r="N36" i="131"/>
  <c r="L37" i="131"/>
  <c r="N37" i="131"/>
  <c r="K38" i="131"/>
  <c r="N38" i="131"/>
  <c r="K39" i="131"/>
  <c r="N39" i="131"/>
  <c r="L40" i="131"/>
  <c r="N40" i="131"/>
  <c r="L41" i="131"/>
  <c r="N41" i="131"/>
  <c r="N42" i="131"/>
  <c r="L43" i="131"/>
  <c r="N43" i="131" s="1"/>
  <c r="L44" i="131"/>
  <c r="N44" i="131" s="1"/>
  <c r="L45" i="131"/>
  <c r="N45" i="131" s="1"/>
  <c r="L46" i="131"/>
  <c r="N46" i="131" s="1"/>
  <c r="N47" i="131"/>
  <c r="J48" i="131"/>
  <c r="N48" i="131" s="1"/>
  <c r="K49" i="131"/>
  <c r="N49" i="131" s="1"/>
  <c r="K50" i="131"/>
  <c r="N50" i="131" s="1"/>
  <c r="K51" i="131"/>
  <c r="N51" i="131" s="1"/>
  <c r="K52" i="131"/>
  <c r="N52" i="131" s="1"/>
  <c r="K53" i="131"/>
  <c r="N53" i="131" s="1"/>
  <c r="K54" i="131"/>
  <c r="N54" i="131" s="1"/>
  <c r="N55" i="131"/>
  <c r="K56" i="131"/>
  <c r="N56" i="131"/>
  <c r="K57" i="131"/>
  <c r="N57" i="131"/>
  <c r="N58" i="131"/>
  <c r="N59" i="131"/>
  <c r="N60" i="131"/>
  <c r="K61" i="131"/>
  <c r="N61" i="131" s="1"/>
  <c r="N62" i="131"/>
  <c r="N63" i="131"/>
  <c r="K64" i="131"/>
  <c r="N64" i="131" s="1"/>
  <c r="K65" i="131"/>
  <c r="N65" i="131" s="1"/>
  <c r="K66" i="131"/>
  <c r="J66" i="131" s="1"/>
  <c r="N66" i="131" s="1"/>
  <c r="K67" i="131"/>
  <c r="N67" i="131" s="1"/>
  <c r="K68" i="131"/>
  <c r="N68" i="131" s="1"/>
  <c r="K69" i="131"/>
  <c r="N69" i="131" s="1"/>
  <c r="N70" i="131"/>
  <c r="K71" i="131"/>
  <c r="N71" i="131" s="1"/>
  <c r="K72" i="131"/>
  <c r="N72" i="131" s="1"/>
  <c r="K73" i="131"/>
  <c r="N73" i="131" s="1"/>
  <c r="K74" i="131"/>
  <c r="N74" i="131" s="1"/>
  <c r="K75" i="131"/>
  <c r="N75" i="131" s="1"/>
  <c r="K76" i="131"/>
  <c r="N76" i="131" s="1"/>
  <c r="K77" i="131"/>
  <c r="N77" i="131" s="1"/>
  <c r="K78" i="131"/>
  <c r="J78" i="131" s="1"/>
  <c r="N78" i="131" s="1"/>
  <c r="K79" i="131"/>
  <c r="N79" i="131"/>
  <c r="L80" i="131"/>
  <c r="N80" i="131" s="1"/>
  <c r="L81" i="131"/>
  <c r="N81" i="131" s="1"/>
  <c r="N82" i="131"/>
  <c r="K83" i="131"/>
  <c r="L83" i="131"/>
  <c r="N83" i="131" s="1"/>
  <c r="N84" i="131"/>
  <c r="L85" i="131"/>
  <c r="N85" i="131" s="1"/>
  <c r="K86" i="131"/>
  <c r="N86" i="131" s="1"/>
  <c r="K87" i="131"/>
  <c r="N87" i="131" s="1"/>
  <c r="N88" i="131"/>
  <c r="K89" i="131"/>
  <c r="N89" i="131"/>
  <c r="N90" i="131"/>
  <c r="L91" i="131"/>
  <c r="N91" i="131" s="1"/>
  <c r="K92" i="131"/>
  <c r="N92" i="131" s="1"/>
  <c r="N93" i="131"/>
  <c r="L94" i="131"/>
  <c r="N94" i="131"/>
  <c r="N95" i="131"/>
  <c r="K96" i="131"/>
  <c r="L96" i="131"/>
  <c r="K97" i="131"/>
  <c r="N97" i="131" s="1"/>
  <c r="K98" i="131"/>
  <c r="N98" i="131"/>
  <c r="N99" i="131"/>
  <c r="N100" i="131"/>
  <c r="L101" i="131"/>
  <c r="N101" i="131"/>
  <c r="L102" i="131"/>
  <c r="N102" i="131" s="1"/>
  <c r="L103" i="131"/>
  <c r="N103" i="131" s="1"/>
  <c r="K104" i="131"/>
  <c r="N104" i="131" s="1"/>
  <c r="L105" i="131"/>
  <c r="N105" i="131"/>
  <c r="L106" i="131"/>
  <c r="N106" i="131" s="1"/>
  <c r="L107" i="131"/>
  <c r="N107" i="131" s="1"/>
  <c r="L108" i="131"/>
  <c r="N108" i="131" s="1"/>
  <c r="L109" i="131"/>
  <c r="N109" i="131"/>
  <c r="L110" i="131"/>
  <c r="N110" i="131" s="1"/>
  <c r="L111" i="131"/>
  <c r="N111" i="131" s="1"/>
  <c r="L112" i="131"/>
  <c r="N112" i="131" s="1"/>
  <c r="L113" i="131"/>
  <c r="N113" i="131"/>
  <c r="L114" i="131"/>
  <c r="N114" i="131" s="1"/>
  <c r="N115" i="131"/>
  <c r="L116" i="131"/>
  <c r="N116" i="131" s="1"/>
  <c r="L117" i="131"/>
  <c r="N117" i="131" s="1"/>
  <c r="L118" i="131"/>
  <c r="N118" i="131" s="1"/>
  <c r="N119" i="131"/>
  <c r="L120" i="131"/>
  <c r="N120" i="131"/>
  <c r="L121" i="131"/>
  <c r="N121" i="131" s="1"/>
  <c r="L122" i="131"/>
  <c r="N122" i="131" s="1"/>
  <c r="L123" i="131"/>
  <c r="N123" i="131" s="1"/>
  <c r="L124" i="131"/>
  <c r="N124" i="131"/>
  <c r="L125" i="131"/>
  <c r="N125" i="131"/>
  <c r="L126" i="131"/>
  <c r="N126" i="131"/>
  <c r="N127" i="131"/>
  <c r="J128" i="131"/>
  <c r="N128" i="131" s="1"/>
  <c r="L129" i="131"/>
  <c r="N129" i="131" s="1"/>
  <c r="L130" i="131"/>
  <c r="N130" i="131" s="1"/>
  <c r="L131" i="131"/>
  <c r="N131" i="131" s="1"/>
  <c r="L132" i="131"/>
  <c r="N132" i="131" s="1"/>
  <c r="L133" i="131"/>
  <c r="N133" i="131" s="1"/>
  <c r="L134" i="131"/>
  <c r="N134" i="131" s="1"/>
  <c r="L135" i="131"/>
  <c r="N135" i="131" s="1"/>
  <c r="L136" i="131"/>
  <c r="N136" i="131" s="1"/>
  <c r="L137" i="131"/>
  <c r="N137" i="131" s="1"/>
  <c r="L138" i="131"/>
  <c r="N138" i="131" s="1"/>
  <c r="L139" i="131"/>
  <c r="N139" i="131" s="1"/>
  <c r="L140" i="131"/>
  <c r="N140" i="131" s="1"/>
  <c r="L141" i="131"/>
  <c r="N141" i="131" s="1"/>
  <c r="L142" i="131"/>
  <c r="N142" i="131" s="1"/>
  <c r="L143" i="131"/>
  <c r="N143" i="131" s="1"/>
  <c r="L144" i="131"/>
  <c r="N144" i="131" s="1"/>
  <c r="L145" i="131"/>
  <c r="N145" i="131" s="1"/>
  <c r="L146" i="131"/>
  <c r="N146" i="131" s="1"/>
  <c r="L147" i="131"/>
  <c r="N147" i="131" s="1"/>
  <c r="L148" i="131"/>
  <c r="N148" i="131" s="1"/>
  <c r="L149" i="131"/>
  <c r="N149" i="131" s="1"/>
  <c r="L150" i="131"/>
  <c r="N150" i="131" s="1"/>
  <c r="L151" i="131"/>
  <c r="N151" i="131" s="1"/>
  <c r="L152" i="131"/>
  <c r="N152" i="131" s="1"/>
  <c r="L153" i="131"/>
  <c r="N153" i="131" s="1"/>
  <c r="L154" i="131"/>
  <c r="N154" i="131" s="1"/>
  <c r="L155" i="131"/>
  <c r="N155" i="131" s="1"/>
  <c r="L156" i="131"/>
  <c r="N156" i="131" s="1"/>
  <c r="L157" i="131"/>
  <c r="N157" i="131" s="1"/>
  <c r="L158" i="131"/>
  <c r="N158" i="131" s="1"/>
  <c r="L159" i="131"/>
  <c r="N159" i="131" s="1"/>
  <c r="L160" i="131"/>
  <c r="N160" i="131" s="1"/>
  <c r="L161" i="131"/>
  <c r="N161" i="131" s="1"/>
  <c r="L162" i="131"/>
  <c r="N162" i="131" s="1"/>
  <c r="L163" i="131"/>
  <c r="N163" i="131" s="1"/>
  <c r="L164" i="131"/>
  <c r="N164" i="131" s="1"/>
  <c r="J165" i="131"/>
  <c r="N165" i="131" s="1"/>
  <c r="L166" i="131"/>
  <c r="N166" i="131" s="1"/>
  <c r="N167" i="131"/>
  <c r="N168" i="131"/>
  <c r="N169" i="131"/>
  <c r="N170" i="131"/>
  <c r="N171" i="131"/>
  <c r="L173" i="131"/>
  <c r="N173" i="131" s="1"/>
  <c r="L174" i="131"/>
  <c r="N174" i="131" s="1"/>
  <c r="L175" i="131"/>
  <c r="N175" i="131"/>
  <c r="L176" i="131"/>
  <c r="N176" i="131" s="1"/>
  <c r="L177" i="131"/>
  <c r="N177" i="131" s="1"/>
  <c r="L178" i="131"/>
  <c r="N178" i="131" s="1"/>
  <c r="L179" i="131"/>
  <c r="N179" i="131"/>
  <c r="L180" i="131"/>
  <c r="N180" i="131" s="1"/>
  <c r="L181" i="131"/>
  <c r="N181" i="131" s="1"/>
  <c r="L182" i="131"/>
  <c r="N182" i="131" s="1"/>
  <c r="L183" i="131"/>
  <c r="N183" i="131"/>
  <c r="L184" i="131"/>
  <c r="N184" i="131" s="1"/>
  <c r="L185" i="131"/>
  <c r="N185" i="131" s="1"/>
  <c r="L186" i="131"/>
  <c r="N186" i="131" s="1"/>
  <c r="L187" i="131"/>
  <c r="N187" i="131"/>
  <c r="L188" i="131"/>
  <c r="N188" i="131" s="1"/>
  <c r="L189" i="131"/>
  <c r="N189" i="131" s="1"/>
  <c r="L190" i="131"/>
  <c r="N190" i="131" s="1"/>
  <c r="L191" i="131"/>
  <c r="N191" i="131"/>
  <c r="L192" i="131"/>
  <c r="N192" i="131" s="1"/>
  <c r="L193" i="131"/>
  <c r="N193" i="131" s="1"/>
  <c r="L194" i="131"/>
  <c r="N194" i="131" s="1"/>
  <c r="L195" i="131"/>
  <c r="N195" i="131"/>
  <c r="L196" i="131"/>
  <c r="N196" i="131" s="1"/>
  <c r="L197" i="131"/>
  <c r="N197" i="131" s="1"/>
  <c r="L198" i="131"/>
  <c r="N198" i="131" s="1"/>
  <c r="L199" i="131"/>
  <c r="N199" i="131"/>
  <c r="L200" i="131"/>
  <c r="N200" i="131" s="1"/>
  <c r="L201" i="131"/>
  <c r="N201" i="131" s="1"/>
  <c r="L202" i="131"/>
  <c r="N202" i="131" s="1"/>
  <c r="L203" i="131"/>
  <c r="N203" i="131"/>
  <c r="L204" i="131"/>
  <c r="N204" i="131" s="1"/>
  <c r="L205" i="131"/>
  <c r="N205" i="131" s="1"/>
  <c r="L206" i="131"/>
  <c r="N206" i="131" s="1"/>
  <c r="L207" i="131"/>
  <c r="N207" i="131"/>
  <c r="L208" i="131"/>
  <c r="N208" i="131" s="1"/>
  <c r="L209" i="131"/>
  <c r="N209" i="131" s="1"/>
  <c r="L210" i="131"/>
  <c r="N210" i="131" s="1"/>
  <c r="L211" i="131"/>
  <c r="N211" i="131"/>
  <c r="L212" i="131"/>
  <c r="N212" i="131" s="1"/>
  <c r="L213" i="131"/>
  <c r="N213" i="131" s="1"/>
  <c r="L214" i="131"/>
  <c r="N214" i="131" s="1"/>
  <c r="L215" i="131"/>
  <c r="N215" i="131"/>
  <c r="L216" i="131"/>
  <c r="N216" i="131" s="1"/>
  <c r="L217" i="131"/>
  <c r="N217" i="131" s="1"/>
  <c r="L218" i="131"/>
  <c r="N218" i="131" s="1"/>
  <c r="L219" i="131"/>
  <c r="N219" i="131"/>
  <c r="L220" i="131"/>
  <c r="N220" i="131" s="1"/>
  <c r="L221" i="131"/>
  <c r="N221" i="131" s="1"/>
  <c r="L222" i="131"/>
  <c r="N222" i="131" s="1"/>
  <c r="L223" i="131"/>
  <c r="N223" i="131"/>
  <c r="L224" i="131"/>
  <c r="N224" i="131" s="1"/>
  <c r="L225" i="131"/>
  <c r="N225" i="131" s="1"/>
  <c r="L226" i="131"/>
  <c r="N226" i="131" s="1"/>
  <c r="L227" i="131"/>
  <c r="N227" i="131"/>
  <c r="L228" i="131"/>
  <c r="N228" i="131" s="1"/>
  <c r="L229" i="131"/>
  <c r="N229" i="131" s="1"/>
  <c r="L230" i="131"/>
  <c r="N230" i="131" s="1"/>
  <c r="L231" i="131"/>
  <c r="N231" i="131"/>
  <c r="L232" i="131"/>
  <c r="N232" i="131" s="1"/>
  <c r="L233" i="131"/>
  <c r="N233" i="131" s="1"/>
  <c r="L234" i="131"/>
  <c r="N234" i="131" s="1"/>
  <c r="L235" i="131"/>
  <c r="N235" i="131"/>
  <c r="L236" i="131"/>
  <c r="N236" i="131" s="1"/>
  <c r="L237" i="131"/>
  <c r="N237" i="131" s="1"/>
  <c r="L238" i="131"/>
  <c r="N238" i="131" s="1"/>
  <c r="L239" i="131"/>
  <c r="N239" i="131"/>
  <c r="L240" i="131"/>
  <c r="N240" i="131" s="1"/>
  <c r="J241" i="131"/>
  <c r="L241" i="131"/>
  <c r="L244" i="131"/>
  <c r="N244" i="131" s="1"/>
  <c r="L245" i="131"/>
  <c r="N245" i="131" s="1"/>
  <c r="L246" i="131"/>
  <c r="N246" i="131" s="1"/>
  <c r="L247" i="131"/>
  <c r="N247" i="131" s="1"/>
  <c r="L248" i="131"/>
  <c r="N248" i="131" s="1"/>
  <c r="L249" i="131"/>
  <c r="N249" i="131" s="1"/>
  <c r="N250" i="131"/>
  <c r="N251" i="131"/>
  <c r="L252" i="131"/>
  <c r="N252" i="131" s="1"/>
  <c r="L253" i="131"/>
  <c r="N253" i="131" s="1"/>
  <c r="N254" i="131"/>
  <c r="L255" i="131"/>
  <c r="N255" i="131"/>
  <c r="L256" i="131"/>
  <c r="N256" i="131" s="1"/>
  <c r="L257" i="131"/>
  <c r="N257" i="131" s="1"/>
  <c r="N258" i="131"/>
  <c r="N260" i="131"/>
  <c r="L261" i="131"/>
  <c r="N261" i="131" s="1"/>
  <c r="N262" i="131"/>
  <c r="N263" i="131"/>
  <c r="N241" i="131" l="1"/>
  <c r="N8" i="131"/>
  <c r="N96" i="131"/>
  <c r="L264" i="131"/>
  <c r="K264" i="131"/>
  <c r="J264" i="131"/>
  <c r="C6174" i="17" l="1"/>
  <c r="G79" i="121" l="1"/>
  <c r="G73" i="121"/>
  <c r="G60" i="121"/>
  <c r="G59" i="121" s="1"/>
  <c r="G54" i="121"/>
  <c r="G31" i="121"/>
  <c r="G12" i="121"/>
  <c r="G50" i="121" s="1"/>
  <c r="E79" i="121"/>
  <c r="E73" i="121"/>
  <c r="E85" i="121" s="1"/>
  <c r="E59" i="121"/>
  <c r="E64" i="121" s="1"/>
  <c r="E54" i="121"/>
  <c r="E31" i="121"/>
  <c r="E12" i="121"/>
  <c r="E71" i="120"/>
  <c r="E62" i="120"/>
  <c r="E54" i="120"/>
  <c r="E48" i="120"/>
  <c r="E38" i="120"/>
  <c r="E34" i="120"/>
  <c r="E24" i="120"/>
  <c r="E19" i="120"/>
  <c r="E9" i="120"/>
  <c r="C71" i="120"/>
  <c r="C62" i="120"/>
  <c r="C54" i="120"/>
  <c r="C48" i="120"/>
  <c r="C38" i="120"/>
  <c r="C34" i="120"/>
  <c r="C24" i="120"/>
  <c r="C19" i="120"/>
  <c r="C9" i="120"/>
  <c r="H56" i="119"/>
  <c r="I42" i="119"/>
  <c r="I9" i="119"/>
  <c r="D44" i="119"/>
  <c r="D41" i="119"/>
  <c r="D34" i="119"/>
  <c r="D33" i="119"/>
  <c r="D30" i="119" s="1"/>
  <c r="D25" i="119"/>
  <c r="D18" i="119"/>
  <c r="D13" i="119"/>
  <c r="D9" i="119"/>
  <c r="D8" i="119"/>
  <c r="C74" i="120" l="1"/>
  <c r="G64" i="121"/>
  <c r="D27" i="119"/>
  <c r="C31" i="120"/>
  <c r="E74" i="120"/>
  <c r="E76" i="120" s="1"/>
  <c r="E31" i="120"/>
  <c r="G85" i="121"/>
  <c r="E50" i="121"/>
  <c r="E87" i="121" s="1"/>
  <c r="G87" i="121"/>
  <c r="C76" i="120"/>
  <c r="C14" i="130" l="1"/>
  <c r="D14" i="130"/>
  <c r="E15" i="130"/>
  <c r="H15" i="130"/>
  <c r="E16" i="130"/>
  <c r="F16" i="130"/>
  <c r="F14" i="130" s="1"/>
  <c r="F25" i="130" s="1"/>
  <c r="G16" i="130"/>
  <c r="G14" i="130" s="1"/>
  <c r="H16" i="130"/>
  <c r="E17" i="130"/>
  <c r="H17" i="130" s="1"/>
  <c r="E18" i="130"/>
  <c r="H18" i="130" s="1"/>
  <c r="C19" i="130"/>
  <c r="D19" i="130"/>
  <c r="E19" i="130"/>
  <c r="F19" i="130"/>
  <c r="G19" i="130"/>
  <c r="H19" i="130"/>
  <c r="C21" i="130"/>
  <c r="D21" i="130"/>
  <c r="F21" i="130"/>
  <c r="G21" i="130"/>
  <c r="E22" i="130"/>
  <c r="E21" i="130" s="1"/>
  <c r="C23" i="130"/>
  <c r="D23" i="130"/>
  <c r="D25" i="130" s="1"/>
  <c r="F23" i="130"/>
  <c r="G23" i="130"/>
  <c r="E24" i="130"/>
  <c r="E23" i="130" s="1"/>
  <c r="C25" i="130"/>
  <c r="C13" i="129"/>
  <c r="D13" i="129"/>
  <c r="E14" i="129"/>
  <c r="H14" i="129" s="1"/>
  <c r="E15" i="129"/>
  <c r="H15" i="129" s="1"/>
  <c r="E16" i="129"/>
  <c r="H16" i="129" s="1"/>
  <c r="E17" i="129"/>
  <c r="H17" i="129" s="1"/>
  <c r="E18" i="129"/>
  <c r="F18" i="129"/>
  <c r="G18" i="129"/>
  <c r="G13" i="129" s="1"/>
  <c r="E19" i="129"/>
  <c r="H19" i="129" s="1"/>
  <c r="E20" i="129"/>
  <c r="H20" i="129" s="1"/>
  <c r="E21" i="129"/>
  <c r="H21" i="129" s="1"/>
  <c r="C22" i="129"/>
  <c r="E23" i="129"/>
  <c r="H23" i="129" s="1"/>
  <c r="E24" i="129"/>
  <c r="F24" i="129"/>
  <c r="G24" i="129"/>
  <c r="G22" i="129" s="1"/>
  <c r="E25" i="129"/>
  <c r="H25" i="129" s="1"/>
  <c r="D26" i="129"/>
  <c r="D22" i="129" s="1"/>
  <c r="D27" i="129"/>
  <c r="E27" i="129" s="1"/>
  <c r="H27" i="129" s="1"/>
  <c r="E28" i="129"/>
  <c r="H28" i="129" s="1"/>
  <c r="H29" i="129"/>
  <c r="C30" i="129"/>
  <c r="F30" i="129"/>
  <c r="G30" i="129"/>
  <c r="E31" i="129"/>
  <c r="H31" i="129" s="1"/>
  <c r="E32" i="129"/>
  <c r="H32" i="129" s="1"/>
  <c r="E33" i="129"/>
  <c r="H33" i="129"/>
  <c r="E34" i="129"/>
  <c r="H34" i="129" s="1"/>
  <c r="E35" i="129"/>
  <c r="H35" i="129" s="1"/>
  <c r="E36" i="129"/>
  <c r="H36" i="129" s="1"/>
  <c r="E37" i="129"/>
  <c r="H37" i="129" s="1"/>
  <c r="D38" i="129"/>
  <c r="D39" i="129"/>
  <c r="C40" i="129"/>
  <c r="D40" i="129"/>
  <c r="F40" i="129"/>
  <c r="G40" i="129"/>
  <c r="E41" i="129"/>
  <c r="H41" i="129" s="1"/>
  <c r="H40" i="129" s="1"/>
  <c r="E11" i="128"/>
  <c r="H11" i="128" s="1"/>
  <c r="E12" i="128"/>
  <c r="H12" i="128" s="1"/>
  <c r="E13" i="128"/>
  <c r="H13" i="128" s="1"/>
  <c r="E14" i="128"/>
  <c r="H14" i="128" s="1"/>
  <c r="E15" i="128"/>
  <c r="H15" i="128" s="1"/>
  <c r="E16" i="128"/>
  <c r="H16" i="128" s="1"/>
  <c r="E17" i="128"/>
  <c r="H17" i="128" s="1"/>
  <c r="F17" i="128"/>
  <c r="G17" i="128"/>
  <c r="E18" i="128"/>
  <c r="H18" i="128" s="1"/>
  <c r="E19" i="128"/>
  <c r="H19" i="128" s="1"/>
  <c r="E20" i="128"/>
  <c r="H20" i="128" s="1"/>
  <c r="E21" i="128"/>
  <c r="F21" i="128"/>
  <c r="G21" i="128"/>
  <c r="E22" i="128"/>
  <c r="H22" i="128" s="1"/>
  <c r="E23" i="128"/>
  <c r="H23" i="128" s="1"/>
  <c r="E24" i="128"/>
  <c r="H24" i="128" s="1"/>
  <c r="E25" i="128"/>
  <c r="H25" i="128" s="1"/>
  <c r="E26" i="128"/>
  <c r="H26" i="128" s="1"/>
  <c r="E27" i="128"/>
  <c r="H27" i="128" s="1"/>
  <c r="E28" i="128"/>
  <c r="H28" i="128" s="1"/>
  <c r="E29" i="128"/>
  <c r="H29" i="128" s="1"/>
  <c r="E30" i="128"/>
  <c r="H30" i="128" s="1"/>
  <c r="E31" i="128"/>
  <c r="H31" i="128" s="1"/>
  <c r="E32" i="128"/>
  <c r="H32" i="128" s="1"/>
  <c r="E33" i="128"/>
  <c r="H33" i="128" s="1"/>
  <c r="E34" i="128"/>
  <c r="H34" i="128" s="1"/>
  <c r="E35" i="128"/>
  <c r="H35" i="128" s="1"/>
  <c r="E36" i="128"/>
  <c r="H36" i="128" s="1"/>
  <c r="C37" i="128"/>
  <c r="D37" i="128"/>
  <c r="F37" i="128"/>
  <c r="E16" i="127"/>
  <c r="H16" i="127" s="1"/>
  <c r="C18" i="127"/>
  <c r="E18" i="127" s="1"/>
  <c r="D18" i="127"/>
  <c r="F18" i="127"/>
  <c r="G18" i="127"/>
  <c r="C20" i="127"/>
  <c r="D20" i="127"/>
  <c r="F20" i="127"/>
  <c r="G20" i="127"/>
  <c r="C22" i="127"/>
  <c r="D22" i="127"/>
  <c r="F22" i="127"/>
  <c r="G22" i="127"/>
  <c r="D25" i="127"/>
  <c r="B11" i="126"/>
  <c r="B10" i="126" s="1"/>
  <c r="C11" i="126"/>
  <c r="B20" i="126"/>
  <c r="C20" i="126"/>
  <c r="B32" i="126"/>
  <c r="C32" i="126"/>
  <c r="B42" i="126"/>
  <c r="B31" i="126" s="1"/>
  <c r="C42" i="126"/>
  <c r="C31" i="126" s="1"/>
  <c r="B56" i="126"/>
  <c r="B50" i="126" s="1"/>
  <c r="C56" i="126"/>
  <c r="C50" i="126" s="1"/>
  <c r="F11" i="125"/>
  <c r="F12" i="125"/>
  <c r="F13" i="125"/>
  <c r="F14" i="125"/>
  <c r="F24" i="125" s="1"/>
  <c r="F15" i="125"/>
  <c r="F16" i="125"/>
  <c r="F18" i="125"/>
  <c r="F19" i="125"/>
  <c r="F20" i="125"/>
  <c r="F21" i="125"/>
  <c r="F22" i="125"/>
  <c r="C24" i="125"/>
  <c r="C37" i="125" s="1"/>
  <c r="D24" i="125"/>
  <c r="D37" i="125" s="1"/>
  <c r="E24" i="125"/>
  <c r="E37" i="125" s="1"/>
  <c r="F26" i="125"/>
  <c r="F27" i="125"/>
  <c r="F28" i="125"/>
  <c r="F29" i="125"/>
  <c r="F31" i="125"/>
  <c r="F32" i="125"/>
  <c r="F33" i="125"/>
  <c r="F34" i="125"/>
  <c r="F35" i="125"/>
  <c r="F36" i="125"/>
  <c r="H24" i="129" l="1"/>
  <c r="D30" i="129"/>
  <c r="D45" i="129" s="1"/>
  <c r="F22" i="129"/>
  <c r="H18" i="129"/>
  <c r="H13" i="129" s="1"/>
  <c r="G25" i="130"/>
  <c r="E14" i="130"/>
  <c r="E25" i="130" s="1"/>
  <c r="F37" i="125"/>
  <c r="G37" i="128"/>
  <c r="C10" i="126"/>
  <c r="C45" i="129"/>
  <c r="E26" i="129"/>
  <c r="H26" i="129" s="1"/>
  <c r="H22" i="129" s="1"/>
  <c r="E22" i="129"/>
  <c r="E30" i="129"/>
  <c r="G45" i="129"/>
  <c r="E13" i="129"/>
  <c r="G25" i="127"/>
  <c r="F25" i="127"/>
  <c r="E20" i="127"/>
  <c r="H20" i="127" s="1"/>
  <c r="E22" i="127"/>
  <c r="H22" i="127" s="1"/>
  <c r="H21" i="128"/>
  <c r="H37" i="128" s="1"/>
  <c r="H30" i="129"/>
  <c r="H18" i="127"/>
  <c r="E25" i="127"/>
  <c r="H14" i="130"/>
  <c r="F13" i="129"/>
  <c r="F45" i="129" s="1"/>
  <c r="E40" i="129"/>
  <c r="C25" i="127"/>
  <c r="E37" i="128"/>
  <c r="H24" i="130"/>
  <c r="H23" i="130" s="1"/>
  <c r="H22" i="130"/>
  <c r="H21" i="130" s="1"/>
  <c r="C67" i="126"/>
  <c r="B67" i="126"/>
  <c r="E45" i="129" l="1"/>
  <c r="H25" i="127"/>
  <c r="H25" i="130"/>
  <c r="H45" i="129"/>
  <c r="E81" i="124" l="1"/>
  <c r="H81" i="124" s="1"/>
  <c r="E80" i="124"/>
  <c r="H80" i="124" s="1"/>
  <c r="E79" i="124"/>
  <c r="H79" i="124" s="1"/>
  <c r="E78" i="124"/>
  <c r="H78" i="124" s="1"/>
  <c r="E77" i="124"/>
  <c r="H77" i="124" s="1"/>
  <c r="E76" i="124"/>
  <c r="H76" i="124" s="1"/>
  <c r="E75" i="124"/>
  <c r="H75" i="124" s="1"/>
  <c r="H74" i="124" s="1"/>
  <c r="G74" i="124"/>
  <c r="F74" i="124"/>
  <c r="D74" i="124"/>
  <c r="C74" i="124"/>
  <c r="E73" i="124"/>
  <c r="E72" i="124"/>
  <c r="E71" i="124"/>
  <c r="G70" i="124"/>
  <c r="F70" i="124"/>
  <c r="D70" i="124"/>
  <c r="C70" i="124"/>
  <c r="E69" i="124"/>
  <c r="H69" i="124" s="1"/>
  <c r="E68" i="124"/>
  <c r="H68" i="124" s="1"/>
  <c r="E67" i="124"/>
  <c r="H67" i="124" s="1"/>
  <c r="E66" i="124"/>
  <c r="H66" i="124" s="1"/>
  <c r="E65" i="124"/>
  <c r="H65" i="124" s="1"/>
  <c r="E64" i="124"/>
  <c r="E63" i="124"/>
  <c r="H63" i="124" s="1"/>
  <c r="G62" i="124"/>
  <c r="F62" i="124"/>
  <c r="D62" i="124"/>
  <c r="C62" i="124"/>
  <c r="E61" i="124"/>
  <c r="H61" i="124" s="1"/>
  <c r="E60" i="124"/>
  <c r="H60" i="124" s="1"/>
  <c r="D59" i="124"/>
  <c r="E59" i="124" s="1"/>
  <c r="G58" i="124"/>
  <c r="F58" i="124"/>
  <c r="D58" i="124"/>
  <c r="C58" i="124"/>
  <c r="E57" i="124"/>
  <c r="H57" i="124" s="1"/>
  <c r="E56" i="124"/>
  <c r="H56" i="124" s="1"/>
  <c r="E55" i="124"/>
  <c r="H55" i="124" s="1"/>
  <c r="H54" i="124"/>
  <c r="E54" i="124"/>
  <c r="E53" i="124"/>
  <c r="H53" i="124" s="1"/>
  <c r="E52" i="124"/>
  <c r="H52" i="124" s="1"/>
  <c r="E51" i="124"/>
  <c r="H51" i="124" s="1"/>
  <c r="H50" i="124"/>
  <c r="E50" i="124"/>
  <c r="E49" i="124"/>
  <c r="H49" i="124" s="1"/>
  <c r="G48" i="124"/>
  <c r="F48" i="124"/>
  <c r="D48" i="124"/>
  <c r="C48" i="124"/>
  <c r="E47" i="124"/>
  <c r="E46" i="124"/>
  <c r="E45" i="124"/>
  <c r="E44" i="124"/>
  <c r="H44" i="124" s="1"/>
  <c r="E43" i="124"/>
  <c r="H43" i="124" s="1"/>
  <c r="H42" i="124"/>
  <c r="E42" i="124"/>
  <c r="E41" i="124"/>
  <c r="H41" i="124" s="1"/>
  <c r="E40" i="124"/>
  <c r="H40" i="124" s="1"/>
  <c r="E39" i="124"/>
  <c r="H39" i="124" s="1"/>
  <c r="G38" i="124"/>
  <c r="F38" i="124"/>
  <c r="D38" i="124"/>
  <c r="C38" i="124"/>
  <c r="E37" i="124"/>
  <c r="H37" i="124" s="1"/>
  <c r="E36" i="124"/>
  <c r="H36" i="124" s="1"/>
  <c r="E35" i="124"/>
  <c r="H35" i="124" s="1"/>
  <c r="E34" i="124"/>
  <c r="H34" i="124" s="1"/>
  <c r="E33" i="124"/>
  <c r="H33" i="124" s="1"/>
  <c r="E32" i="124"/>
  <c r="H32" i="124" s="1"/>
  <c r="E31" i="124"/>
  <c r="H31" i="124" s="1"/>
  <c r="E30" i="124"/>
  <c r="H30" i="124" s="1"/>
  <c r="E29" i="124"/>
  <c r="H29" i="124" s="1"/>
  <c r="H28" i="124" s="1"/>
  <c r="G28" i="124"/>
  <c r="F28" i="124"/>
  <c r="D28" i="124"/>
  <c r="C28" i="124"/>
  <c r="E27" i="124"/>
  <c r="H27" i="124" s="1"/>
  <c r="E26" i="124"/>
  <c r="H26" i="124" s="1"/>
  <c r="E25" i="124"/>
  <c r="H25" i="124" s="1"/>
  <c r="E24" i="124"/>
  <c r="H24" i="124" s="1"/>
  <c r="E23" i="124"/>
  <c r="H23" i="124" s="1"/>
  <c r="E22" i="124"/>
  <c r="H22" i="124" s="1"/>
  <c r="E21" i="124"/>
  <c r="H21" i="124" s="1"/>
  <c r="E20" i="124"/>
  <c r="H20" i="124" s="1"/>
  <c r="E19" i="124"/>
  <c r="H19" i="124" s="1"/>
  <c r="G18" i="124"/>
  <c r="F18" i="124"/>
  <c r="D18" i="124"/>
  <c r="C18" i="124"/>
  <c r="E17" i="124"/>
  <c r="H17" i="124" s="1"/>
  <c r="E16" i="124"/>
  <c r="H16" i="124" s="1"/>
  <c r="E15" i="124"/>
  <c r="H15" i="124" s="1"/>
  <c r="E14" i="124"/>
  <c r="H14" i="124" s="1"/>
  <c r="E13" i="124"/>
  <c r="H13" i="124" s="1"/>
  <c r="E12" i="124"/>
  <c r="H12" i="124" s="1"/>
  <c r="E11" i="124"/>
  <c r="H11" i="124" s="1"/>
  <c r="G10" i="124"/>
  <c r="F10" i="124"/>
  <c r="F82" i="124" s="1"/>
  <c r="D10" i="124"/>
  <c r="D82" i="124" s="1"/>
  <c r="C10" i="124"/>
  <c r="E50" i="123"/>
  <c r="H49" i="123"/>
  <c r="E49" i="123"/>
  <c r="H48" i="123"/>
  <c r="E48" i="123"/>
  <c r="H47" i="123"/>
  <c r="E47" i="123"/>
  <c r="H46" i="123"/>
  <c r="E46" i="123"/>
  <c r="H45" i="123"/>
  <c r="E45" i="123"/>
  <c r="H44" i="123"/>
  <c r="E44" i="123"/>
  <c r="H43" i="123"/>
  <c r="E43" i="123"/>
  <c r="H42" i="123"/>
  <c r="E42" i="123"/>
  <c r="G41" i="123"/>
  <c r="F41" i="123"/>
  <c r="D41" i="123"/>
  <c r="C41" i="123"/>
  <c r="H40" i="123"/>
  <c r="G39" i="123"/>
  <c r="F39" i="123"/>
  <c r="D39" i="123"/>
  <c r="C39" i="123"/>
  <c r="E39" i="123" s="1"/>
  <c r="E38" i="123"/>
  <c r="H38" i="123" s="1"/>
  <c r="G37" i="123"/>
  <c r="F37" i="123"/>
  <c r="D37" i="123"/>
  <c r="E37" i="123" s="1"/>
  <c r="C37" i="123"/>
  <c r="G36" i="123"/>
  <c r="F36" i="123"/>
  <c r="D36" i="123"/>
  <c r="C36" i="123"/>
  <c r="E35" i="123"/>
  <c r="H35" i="123" s="1"/>
  <c r="G34" i="123"/>
  <c r="F34" i="123"/>
  <c r="D34" i="123"/>
  <c r="C34" i="123"/>
  <c r="E34" i="123" s="1"/>
  <c r="D33" i="123"/>
  <c r="C33" i="123"/>
  <c r="E33" i="123" s="1"/>
  <c r="H33" i="123" s="1"/>
  <c r="G32" i="123"/>
  <c r="F32" i="123"/>
  <c r="D32" i="123"/>
  <c r="D51" i="123" s="1"/>
  <c r="C32" i="123"/>
  <c r="G26" i="123"/>
  <c r="F26" i="123"/>
  <c r="D26" i="123"/>
  <c r="C26" i="123"/>
  <c r="E25" i="123"/>
  <c r="H25" i="123" s="1"/>
  <c r="E24" i="123"/>
  <c r="H24" i="123" s="1"/>
  <c r="E23" i="123"/>
  <c r="H23" i="123" s="1"/>
  <c r="E22" i="123"/>
  <c r="H22" i="123" s="1"/>
  <c r="E21" i="123"/>
  <c r="H21" i="123" s="1"/>
  <c r="E20" i="123"/>
  <c r="H20" i="123" s="1"/>
  <c r="E19" i="123"/>
  <c r="H19" i="123" s="1"/>
  <c r="E18" i="123"/>
  <c r="H18" i="123" s="1"/>
  <c r="E17" i="123"/>
  <c r="H17" i="123" s="1"/>
  <c r="E16" i="123"/>
  <c r="H16" i="123" s="1"/>
  <c r="E15" i="123"/>
  <c r="H15" i="123" s="1"/>
  <c r="E14" i="123"/>
  <c r="H14" i="123" s="1"/>
  <c r="E13" i="123"/>
  <c r="H13" i="123" s="1"/>
  <c r="E12" i="123"/>
  <c r="F97" i="122"/>
  <c r="G97" i="122" s="1"/>
  <c r="G96" i="122" s="1"/>
  <c r="E96" i="122"/>
  <c r="D96" i="122"/>
  <c r="C96" i="122"/>
  <c r="F94" i="122"/>
  <c r="G94" i="122" s="1"/>
  <c r="F93" i="122"/>
  <c r="G93" i="122" s="1"/>
  <c r="G92" i="122"/>
  <c r="F92" i="122"/>
  <c r="F91" i="122"/>
  <c r="G91" i="122" s="1"/>
  <c r="F90" i="122"/>
  <c r="G90" i="122" s="1"/>
  <c r="E89" i="122"/>
  <c r="D89" i="122"/>
  <c r="C89" i="122"/>
  <c r="F87" i="122"/>
  <c r="G87" i="122" s="1"/>
  <c r="F86" i="122"/>
  <c r="G86" i="122" s="1"/>
  <c r="F85" i="122"/>
  <c r="E84" i="122"/>
  <c r="D84" i="122"/>
  <c r="C84" i="122"/>
  <c r="F83" i="122"/>
  <c r="G83" i="122" s="1"/>
  <c r="G82" i="122"/>
  <c r="F82" i="122"/>
  <c r="F81" i="122"/>
  <c r="G81" i="122" s="1"/>
  <c r="F80" i="122"/>
  <c r="G80" i="122" s="1"/>
  <c r="F79" i="122"/>
  <c r="G79" i="122" s="1"/>
  <c r="G78" i="122"/>
  <c r="F78" i="122"/>
  <c r="F77" i="122"/>
  <c r="G77" i="122" s="1"/>
  <c r="F76" i="122"/>
  <c r="G76" i="122" s="1"/>
  <c r="F75" i="122"/>
  <c r="E74" i="122"/>
  <c r="D74" i="122"/>
  <c r="C74" i="122"/>
  <c r="F73" i="122"/>
  <c r="G73" i="122" s="1"/>
  <c r="F72" i="122"/>
  <c r="G72" i="122" s="1"/>
  <c r="F71" i="122"/>
  <c r="G71" i="122" s="1"/>
  <c r="F70" i="122"/>
  <c r="G70" i="122" s="1"/>
  <c r="F69" i="122"/>
  <c r="G69" i="122" s="1"/>
  <c r="F68" i="122"/>
  <c r="G68" i="122" s="1"/>
  <c r="F67" i="122"/>
  <c r="G67" i="122" s="1"/>
  <c r="E66" i="122"/>
  <c r="D66" i="122"/>
  <c r="C66" i="122"/>
  <c r="G61" i="122"/>
  <c r="F61" i="122"/>
  <c r="E61" i="122"/>
  <c r="D61" i="122"/>
  <c r="C61" i="122"/>
  <c r="F60" i="122"/>
  <c r="G60" i="122" s="1"/>
  <c r="F59" i="122"/>
  <c r="E58" i="122"/>
  <c r="D58" i="122"/>
  <c r="D56" i="122" s="1"/>
  <c r="C58" i="122"/>
  <c r="E56" i="122"/>
  <c r="F54" i="122"/>
  <c r="G54" i="122" s="1"/>
  <c r="F53" i="122"/>
  <c r="G53" i="122" s="1"/>
  <c r="F52" i="122"/>
  <c r="E51" i="122"/>
  <c r="D51" i="122"/>
  <c r="C51" i="122"/>
  <c r="G47" i="122"/>
  <c r="F47" i="122"/>
  <c r="E47" i="122"/>
  <c r="D47" i="122"/>
  <c r="C47" i="122"/>
  <c r="F45" i="122"/>
  <c r="E44" i="122"/>
  <c r="D44" i="122"/>
  <c r="C44" i="122"/>
  <c r="F43" i="122"/>
  <c r="G43" i="122" s="1"/>
  <c r="F42" i="122"/>
  <c r="G42" i="122" s="1"/>
  <c r="F41" i="122"/>
  <c r="G41" i="122" s="1"/>
  <c r="G40" i="122"/>
  <c r="F40" i="122"/>
  <c r="F39" i="122"/>
  <c r="F38" i="122" s="1"/>
  <c r="E38" i="122"/>
  <c r="D38" i="122"/>
  <c r="C38" i="122"/>
  <c r="F37" i="122"/>
  <c r="G37" i="122" s="1"/>
  <c r="F36" i="122"/>
  <c r="G36" i="122" s="1"/>
  <c r="F35" i="122"/>
  <c r="G35" i="122" s="1"/>
  <c r="F34" i="122"/>
  <c r="G34" i="122" s="1"/>
  <c r="F33" i="122"/>
  <c r="G33" i="122" s="1"/>
  <c r="E32" i="122"/>
  <c r="D32" i="122"/>
  <c r="C32" i="122"/>
  <c r="G30" i="122"/>
  <c r="F30" i="122"/>
  <c r="F29" i="122"/>
  <c r="G29" i="122" s="1"/>
  <c r="F28" i="122"/>
  <c r="G28" i="122" s="1"/>
  <c r="F27" i="122"/>
  <c r="G27" i="122" s="1"/>
  <c r="G26" i="122"/>
  <c r="F26" i="122"/>
  <c r="F25" i="122"/>
  <c r="G25" i="122" s="1"/>
  <c r="F24" i="122"/>
  <c r="G24" i="122" s="1"/>
  <c r="E23" i="122"/>
  <c r="D23" i="122"/>
  <c r="C23" i="122"/>
  <c r="F21" i="122"/>
  <c r="G21" i="122" s="1"/>
  <c r="F20" i="122"/>
  <c r="G20" i="122" s="1"/>
  <c r="F19" i="122"/>
  <c r="G19" i="122" s="1"/>
  <c r="F18" i="122"/>
  <c r="G18" i="122" s="1"/>
  <c r="F17" i="122"/>
  <c r="G17" i="122" s="1"/>
  <c r="F16" i="122"/>
  <c r="G16" i="122" s="1"/>
  <c r="F15" i="122"/>
  <c r="E14" i="122"/>
  <c r="D14" i="122"/>
  <c r="D13" i="122" s="1"/>
  <c r="D12" i="122" s="1"/>
  <c r="C14" i="122"/>
  <c r="E13" i="122"/>
  <c r="E12" i="122" s="1"/>
  <c r="D96" i="121"/>
  <c r="C56" i="119"/>
  <c r="I49" i="119"/>
  <c r="H49" i="119"/>
  <c r="C48" i="119"/>
  <c r="I45" i="119"/>
  <c r="H45" i="119"/>
  <c r="I44" i="119"/>
  <c r="H44" i="119"/>
  <c r="C44" i="119"/>
  <c r="C41" i="119"/>
  <c r="I40" i="119"/>
  <c r="H40" i="119"/>
  <c r="I35" i="119"/>
  <c r="H35" i="119"/>
  <c r="C34" i="119"/>
  <c r="D51" i="119"/>
  <c r="C30" i="119"/>
  <c r="I26" i="119"/>
  <c r="I23" i="119" s="1"/>
  <c r="H26" i="119"/>
  <c r="H23" i="119" s="1"/>
  <c r="H32" i="119" s="1"/>
  <c r="C25" i="119"/>
  <c r="C18" i="119"/>
  <c r="C13" i="119"/>
  <c r="H9" i="119"/>
  <c r="C9" i="119"/>
  <c r="C8" i="119" s="1"/>
  <c r="I8" i="119"/>
  <c r="H8" i="119"/>
  <c r="G89" i="122" l="1"/>
  <c r="C56" i="122"/>
  <c r="F89" i="122"/>
  <c r="F96" i="122"/>
  <c r="E36" i="123"/>
  <c r="E41" i="123"/>
  <c r="E48" i="124"/>
  <c r="H34" i="119"/>
  <c r="H51" i="119" s="1"/>
  <c r="F74" i="122"/>
  <c r="E32" i="123"/>
  <c r="E51" i="123" s="1"/>
  <c r="H34" i="123"/>
  <c r="H39" i="123"/>
  <c r="H48" i="124"/>
  <c r="I34" i="119"/>
  <c r="I32" i="119"/>
  <c r="F66" i="122"/>
  <c r="G85" i="122"/>
  <c r="G84" i="122" s="1"/>
  <c r="F84" i="122"/>
  <c r="E26" i="123"/>
  <c r="H12" i="123"/>
  <c r="H26" i="123" s="1"/>
  <c r="G51" i="123"/>
  <c r="G23" i="122"/>
  <c r="G66" i="122"/>
  <c r="F51" i="123"/>
  <c r="H36" i="123"/>
  <c r="H41" i="123"/>
  <c r="C82" i="124"/>
  <c r="G82" i="124"/>
  <c r="E28" i="124"/>
  <c r="E74" i="124"/>
  <c r="C27" i="119"/>
  <c r="C51" i="119" s="1"/>
  <c r="F32" i="122"/>
  <c r="G45" i="122"/>
  <c r="G44" i="122" s="1"/>
  <c r="F44" i="122"/>
  <c r="F58" i="122"/>
  <c r="G59" i="122"/>
  <c r="G58" i="122" s="1"/>
  <c r="H37" i="123"/>
  <c r="H10" i="124"/>
  <c r="H18" i="124"/>
  <c r="H38" i="124"/>
  <c r="H59" i="124"/>
  <c r="H58" i="124" s="1"/>
  <c r="E58" i="124"/>
  <c r="E62" i="124"/>
  <c r="H62" i="124" s="1"/>
  <c r="H64" i="124"/>
  <c r="E70" i="124"/>
  <c r="H73" i="124"/>
  <c r="H70" i="124" s="1"/>
  <c r="F14" i="122"/>
  <c r="G15" i="122"/>
  <c r="G14" i="122" s="1"/>
  <c r="C13" i="122"/>
  <c r="C12" i="122" s="1"/>
  <c r="G32" i="122"/>
  <c r="F51" i="122"/>
  <c r="G52" i="122"/>
  <c r="G51" i="122" s="1"/>
  <c r="C51" i="123"/>
  <c r="E10" i="124"/>
  <c r="E18" i="124"/>
  <c r="E38" i="124"/>
  <c r="F23" i="122"/>
  <c r="G39" i="122"/>
  <c r="G38" i="122" s="1"/>
  <c r="G75" i="122"/>
  <c r="G74" i="122" s="1"/>
  <c r="H32" i="123" l="1"/>
  <c r="I51" i="119"/>
  <c r="E82" i="124"/>
  <c r="F13" i="122"/>
  <c r="G56" i="122"/>
  <c r="G13" i="122"/>
  <c r="H51" i="123"/>
  <c r="H82" i="124"/>
  <c r="F56" i="122"/>
  <c r="G12" i="122" l="1"/>
  <c r="F12" i="122"/>
  <c r="G24" i="52" l="1"/>
  <c r="G23" i="52"/>
  <c r="G22" i="52"/>
  <c r="G21" i="52"/>
  <c r="J6119" i="109" l="1"/>
  <c r="J6118" i="109"/>
  <c r="J6117" i="109"/>
  <c r="J6116" i="109"/>
  <c r="J6115" i="109"/>
  <c r="J6114" i="109"/>
  <c r="J6113" i="109"/>
  <c r="J6112" i="109"/>
  <c r="J6111" i="109"/>
  <c r="J6110" i="109"/>
  <c r="J6109" i="109"/>
  <c r="J6108" i="109"/>
  <c r="J6107" i="109"/>
  <c r="J6106" i="109"/>
  <c r="J6105" i="109"/>
  <c r="J6104" i="109"/>
  <c r="J6103" i="109"/>
  <c r="J6102" i="109"/>
  <c r="J6101" i="109"/>
  <c r="J6100" i="109"/>
  <c r="J6099" i="109"/>
  <c r="J6098" i="109"/>
  <c r="J6097" i="109"/>
  <c r="J6096" i="109"/>
  <c r="J6095" i="109"/>
  <c r="J6094" i="109"/>
  <c r="J6093" i="109"/>
  <c r="J6092" i="109"/>
  <c r="J6091" i="109"/>
  <c r="J6090" i="109"/>
  <c r="J6089" i="109"/>
  <c r="J6088" i="109"/>
  <c r="J6087" i="109"/>
  <c r="J6086" i="109"/>
  <c r="J6085" i="109"/>
  <c r="J6084" i="109"/>
  <c r="J6083" i="109"/>
  <c r="J6082" i="109"/>
  <c r="J6081" i="109"/>
  <c r="J6080" i="109"/>
  <c r="J6079" i="109"/>
  <c r="J6078" i="109"/>
  <c r="J6077" i="109"/>
  <c r="J6076" i="109"/>
  <c r="J6075" i="109"/>
  <c r="J6074" i="109"/>
  <c r="J6073" i="109"/>
  <c r="J6072" i="109"/>
  <c r="J6071" i="109"/>
  <c r="J6070" i="109"/>
  <c r="J6069" i="109"/>
  <c r="J6068" i="109"/>
  <c r="J6067" i="109"/>
  <c r="J6066" i="109"/>
  <c r="J6065" i="109"/>
  <c r="J6064" i="109"/>
  <c r="J6063" i="109"/>
  <c r="J6062" i="109"/>
  <c r="J6061" i="109"/>
  <c r="J6060" i="109"/>
  <c r="J6059" i="109"/>
  <c r="J6058" i="109"/>
  <c r="J6057" i="109"/>
  <c r="J6056" i="109"/>
  <c r="J6055" i="109"/>
  <c r="J6054" i="109"/>
  <c r="J6053" i="109"/>
  <c r="J6052" i="109"/>
  <c r="J6051" i="109"/>
  <c r="J6050" i="109"/>
  <c r="J6049" i="109"/>
  <c r="J6048" i="109"/>
  <c r="J6047" i="109"/>
  <c r="J6046" i="109"/>
  <c r="J6045" i="109"/>
  <c r="J6044" i="109"/>
  <c r="J6043" i="109"/>
  <c r="J6042" i="109"/>
  <c r="J6041" i="109"/>
  <c r="J6040" i="109"/>
  <c r="J6039" i="109"/>
  <c r="J6038" i="109"/>
  <c r="J6037" i="109"/>
  <c r="J6036" i="109"/>
  <c r="J6035" i="109"/>
  <c r="J6034" i="109"/>
  <c r="J6033" i="109"/>
  <c r="J6032" i="109"/>
  <c r="J6031" i="109"/>
  <c r="J6030" i="109"/>
  <c r="J6029" i="109"/>
  <c r="J6028" i="109"/>
  <c r="J6027" i="109"/>
  <c r="J6026" i="109"/>
  <c r="J6025" i="109"/>
  <c r="J6024" i="109"/>
  <c r="J6023" i="109"/>
  <c r="J6022" i="109"/>
  <c r="J6021" i="109"/>
  <c r="J6020" i="109"/>
  <c r="J6019" i="109"/>
  <c r="J6018" i="109"/>
  <c r="J6017" i="109"/>
  <c r="J6016" i="109"/>
  <c r="J6015" i="109"/>
  <c r="J6014" i="109"/>
  <c r="J6013" i="109"/>
  <c r="J6012" i="109"/>
  <c r="J6011" i="109"/>
  <c r="J6010" i="109"/>
  <c r="J6009" i="109"/>
  <c r="J6008" i="109"/>
  <c r="J6007" i="109"/>
  <c r="J6006" i="109"/>
  <c r="J6005" i="109"/>
  <c r="J6004" i="109"/>
  <c r="J6003" i="109"/>
  <c r="J6002" i="109"/>
  <c r="J6001" i="109"/>
  <c r="J6000" i="109"/>
  <c r="J5999" i="109"/>
  <c r="J5998" i="109"/>
  <c r="J5997" i="109"/>
  <c r="J5996" i="109"/>
  <c r="J5995" i="109"/>
  <c r="J5994" i="109"/>
  <c r="J5993" i="109"/>
  <c r="J5992" i="109"/>
  <c r="J5991" i="109"/>
  <c r="J5990" i="109"/>
  <c r="J5989" i="109"/>
  <c r="J5988" i="109"/>
  <c r="J5987" i="109"/>
  <c r="J5986" i="109"/>
  <c r="J5985" i="109"/>
  <c r="J5984" i="109"/>
  <c r="J5983" i="109"/>
  <c r="J5982" i="109"/>
  <c r="J5981" i="109"/>
  <c r="J5980" i="109"/>
  <c r="J5979" i="109"/>
  <c r="J5978" i="109"/>
  <c r="J5977" i="109"/>
  <c r="J5976" i="109"/>
  <c r="J5975" i="109"/>
  <c r="J5974" i="109"/>
  <c r="J5973" i="109"/>
  <c r="J5972" i="109"/>
  <c r="J5971" i="109"/>
  <c r="J5970" i="109"/>
  <c r="J5969" i="109"/>
  <c r="J5968" i="109"/>
  <c r="J5967" i="109"/>
  <c r="J5966" i="109"/>
  <c r="J5965" i="109"/>
  <c r="J5964" i="109"/>
  <c r="J5963" i="109"/>
  <c r="J5962" i="109"/>
  <c r="J5961" i="109"/>
  <c r="J5960" i="109"/>
  <c r="J5959" i="109"/>
  <c r="J5958" i="109"/>
  <c r="J5957" i="109"/>
  <c r="J5956" i="109"/>
  <c r="J5955" i="109"/>
  <c r="J5954" i="109"/>
  <c r="J5953" i="109"/>
  <c r="J5952" i="109"/>
  <c r="J5950" i="109"/>
  <c r="J5948" i="109"/>
  <c r="J5946" i="109"/>
  <c r="J5945" i="109"/>
  <c r="J5944" i="109"/>
  <c r="J5943" i="109"/>
  <c r="J5942" i="109"/>
  <c r="J5941" i="109"/>
  <c r="J5940" i="109"/>
  <c r="J5939" i="109"/>
  <c r="J5938" i="109"/>
  <c r="J5937" i="109"/>
  <c r="J5936" i="109"/>
  <c r="J5935" i="109"/>
  <c r="J5934" i="109"/>
  <c r="J5933" i="109"/>
  <c r="J5932" i="109"/>
  <c r="J5931" i="109"/>
  <c r="J5930" i="109"/>
  <c r="J5929" i="109"/>
  <c r="J5928" i="109"/>
  <c r="J5927" i="109"/>
  <c r="J5926" i="109"/>
  <c r="J5925" i="109"/>
  <c r="J5924" i="109"/>
  <c r="J5923" i="109"/>
  <c r="J5922" i="109"/>
  <c r="J5921" i="109"/>
  <c r="J5920" i="109"/>
  <c r="J5919" i="109"/>
  <c r="J5918" i="109"/>
  <c r="J5917" i="109"/>
  <c r="J5916" i="109"/>
  <c r="J5915" i="109"/>
  <c r="J5914" i="109"/>
  <c r="J5913" i="109"/>
  <c r="J5912" i="109"/>
  <c r="J5911" i="109"/>
  <c r="J5910" i="109"/>
  <c r="J5909" i="109"/>
  <c r="J5908" i="109"/>
  <c r="J5907" i="109"/>
  <c r="J5906" i="109"/>
  <c r="J5904" i="109"/>
  <c r="J5903" i="109"/>
  <c r="J5902" i="109"/>
  <c r="J5901" i="109"/>
  <c r="J5900" i="109"/>
  <c r="J5899" i="109"/>
  <c r="J5898" i="109"/>
  <c r="J5897" i="109"/>
  <c r="J5896" i="109"/>
  <c r="J5895" i="109"/>
  <c r="J5894" i="109"/>
  <c r="J5893" i="109"/>
  <c r="J5892" i="109"/>
  <c r="J5891" i="109"/>
  <c r="J5890" i="109"/>
  <c r="J5889" i="109"/>
  <c r="J5887" i="109"/>
  <c r="J5886" i="109"/>
  <c r="J5885" i="109"/>
  <c r="J5884" i="109"/>
  <c r="J5883" i="109"/>
  <c r="J5882" i="109"/>
  <c r="J5881" i="109"/>
  <c r="J5880" i="109"/>
  <c r="J5879" i="109"/>
  <c r="J5878" i="109"/>
  <c r="J5877" i="109"/>
  <c r="J5875" i="109"/>
  <c r="J5874" i="109"/>
  <c r="J5873" i="109"/>
  <c r="J5872" i="109"/>
  <c r="J5871" i="109"/>
  <c r="J5870" i="109"/>
  <c r="J5869" i="109"/>
  <c r="J5868" i="109"/>
  <c r="J5867" i="109"/>
  <c r="J5866" i="109"/>
  <c r="J5865" i="109"/>
  <c r="J5864" i="109"/>
  <c r="J5863" i="109"/>
  <c r="J5862" i="109"/>
  <c r="J5861" i="109"/>
  <c r="J5860" i="109"/>
  <c r="J5859" i="109"/>
  <c r="J5858" i="109"/>
  <c r="J5857" i="109"/>
  <c r="J5856" i="109"/>
  <c r="J5855" i="109"/>
  <c r="J5854" i="109"/>
  <c r="J5853" i="109"/>
  <c r="J5852" i="109"/>
  <c r="J5851" i="109"/>
  <c r="J5850" i="109"/>
  <c r="J5849" i="109"/>
  <c r="J5848" i="109"/>
  <c r="J5847" i="109"/>
  <c r="J5846" i="109"/>
  <c r="J5845" i="109"/>
  <c r="J5844" i="109"/>
  <c r="J5842" i="109"/>
  <c r="J5841" i="109"/>
  <c r="J5840" i="109"/>
  <c r="J5839" i="109"/>
  <c r="J5838" i="109"/>
  <c r="J5837" i="109"/>
  <c r="J5836" i="109"/>
  <c r="J5835" i="109"/>
  <c r="J5834" i="109"/>
  <c r="J5833" i="109"/>
  <c r="J5832" i="109"/>
  <c r="J5831" i="109"/>
  <c r="J5830" i="109"/>
  <c r="J5829" i="109"/>
  <c r="J5828" i="109"/>
  <c r="J5827" i="109"/>
  <c r="J5826" i="109"/>
  <c r="J5825" i="109"/>
  <c r="J5824" i="109"/>
  <c r="J5823" i="109"/>
  <c r="J5822" i="109"/>
  <c r="J5821" i="109"/>
  <c r="J5820" i="109"/>
  <c r="J5819" i="109"/>
  <c r="J5818" i="109"/>
  <c r="J5817" i="109"/>
  <c r="J5816" i="109"/>
  <c r="J5815" i="109"/>
  <c r="J5814" i="109"/>
  <c r="J5813" i="109"/>
  <c r="J5812" i="109"/>
  <c r="J5811" i="109"/>
  <c r="J5810" i="109"/>
  <c r="J5809" i="109"/>
  <c r="J5808" i="109"/>
  <c r="J5807" i="109"/>
  <c r="J5806" i="109"/>
  <c r="J5805" i="109"/>
  <c r="J5804" i="109"/>
  <c r="J5803" i="109"/>
  <c r="J5802" i="109"/>
  <c r="J5801" i="109"/>
  <c r="J5800" i="109"/>
  <c r="J5799" i="109"/>
  <c r="J5797" i="109"/>
  <c r="J5796" i="109"/>
  <c r="J5795" i="109"/>
  <c r="J5794" i="109"/>
  <c r="J5793" i="109"/>
  <c r="J5792" i="109"/>
  <c r="J5791" i="109"/>
  <c r="J5790" i="109"/>
  <c r="J5789" i="109"/>
  <c r="J5788" i="109"/>
  <c r="J5787" i="109"/>
  <c r="J5786" i="109"/>
  <c r="J5785" i="109"/>
  <c r="J5784" i="109"/>
  <c r="J5783" i="109"/>
  <c r="J5781" i="109"/>
  <c r="J5780" i="109"/>
  <c r="J5779" i="109"/>
  <c r="J5778" i="109"/>
  <c r="J5777" i="109"/>
  <c r="J5776" i="109"/>
  <c r="J5775" i="109"/>
  <c r="J5774" i="109"/>
  <c r="J5773" i="109"/>
  <c r="J5772" i="109"/>
  <c r="J5771" i="109"/>
  <c r="J5770" i="109"/>
  <c r="J5769" i="109"/>
  <c r="J5768" i="109"/>
  <c r="J5767" i="109"/>
  <c r="J5766" i="109"/>
  <c r="J5765" i="109"/>
  <c r="J5764" i="109"/>
  <c r="J5763" i="109"/>
  <c r="J5762" i="109"/>
  <c r="J5761" i="109"/>
  <c r="J5760" i="109"/>
  <c r="J5759" i="109"/>
  <c r="J5758" i="109"/>
  <c r="J5757" i="109"/>
  <c r="J5756" i="109"/>
  <c r="J5755" i="109"/>
  <c r="J5754" i="109"/>
  <c r="J5753" i="109"/>
  <c r="J5752" i="109"/>
  <c r="J5751" i="109"/>
  <c r="J5750" i="109"/>
  <c r="J5749" i="109"/>
  <c r="J5748" i="109"/>
  <c r="J5747" i="109"/>
  <c r="J5746" i="109"/>
  <c r="J5745" i="109"/>
  <c r="J5744" i="109"/>
  <c r="J5743" i="109"/>
  <c r="J5742" i="109"/>
  <c r="J5741" i="109"/>
  <c r="J5740" i="109"/>
  <c r="J5739" i="109"/>
  <c r="J5738" i="109"/>
  <c r="J5737" i="109"/>
  <c r="J5736" i="109"/>
  <c r="J5735" i="109"/>
  <c r="J5734" i="109"/>
  <c r="J5733" i="109"/>
  <c r="J5732" i="109"/>
  <c r="J5731" i="109"/>
  <c r="J5730" i="109"/>
  <c r="J5729" i="109"/>
  <c r="J5728" i="109"/>
  <c r="J5727" i="109"/>
  <c r="J5726" i="109"/>
  <c r="J5725" i="109"/>
  <c r="J5724" i="109"/>
  <c r="J5723" i="109"/>
  <c r="J5722" i="109"/>
  <c r="J5721" i="109"/>
  <c r="J5720" i="109"/>
  <c r="J5719" i="109"/>
  <c r="J5718" i="109"/>
  <c r="J5717" i="109"/>
  <c r="J5716" i="109"/>
  <c r="J5715" i="109"/>
  <c r="J5714" i="109"/>
  <c r="J5713" i="109"/>
  <c r="J5712" i="109"/>
  <c r="J5711" i="109"/>
  <c r="J5710" i="109"/>
  <c r="J5709" i="109"/>
  <c r="J5708" i="109"/>
  <c r="J5707" i="109"/>
  <c r="J5706" i="109"/>
  <c r="J5705" i="109"/>
  <c r="J5704" i="109"/>
  <c r="J5703" i="109"/>
  <c r="J5702" i="109"/>
  <c r="J5701" i="109"/>
  <c r="J5700" i="109"/>
  <c r="J5699" i="109"/>
  <c r="J5698" i="109"/>
  <c r="J5697" i="109"/>
  <c r="J5696" i="109"/>
  <c r="J5695" i="109"/>
  <c r="J5694" i="109"/>
  <c r="J5693" i="109"/>
  <c r="J5692" i="109"/>
  <c r="J5691" i="109"/>
  <c r="J5690" i="109"/>
  <c r="J5689" i="109"/>
  <c r="J5688" i="109"/>
  <c r="J5687" i="109"/>
  <c r="J5686" i="109"/>
  <c r="J5685" i="109"/>
  <c r="J5684" i="109"/>
  <c r="J5683" i="109"/>
  <c r="J5682" i="109"/>
  <c r="J5681" i="109"/>
  <c r="J5680" i="109"/>
  <c r="J5679" i="109"/>
  <c r="J5678" i="109"/>
  <c r="J5677" i="109"/>
  <c r="J5676" i="109"/>
  <c r="J5675" i="109"/>
  <c r="J5674" i="109"/>
  <c r="J5673" i="109"/>
  <c r="J5672" i="109"/>
  <c r="J5671" i="109"/>
  <c r="J5670" i="109"/>
  <c r="J5669" i="109"/>
  <c r="J5668" i="109"/>
  <c r="J5667" i="109"/>
  <c r="J5666" i="109"/>
  <c r="J5665" i="109"/>
  <c r="J5664" i="109"/>
  <c r="J5663" i="109"/>
  <c r="J5662" i="109"/>
  <c r="J5661" i="109"/>
  <c r="J5660" i="109"/>
  <c r="J5659" i="109"/>
  <c r="J5658" i="109"/>
  <c r="J5657" i="109"/>
  <c r="J5656" i="109"/>
  <c r="J5655" i="109"/>
  <c r="J5654" i="109"/>
  <c r="J5653" i="109"/>
  <c r="J5652" i="109"/>
  <c r="J5651" i="109"/>
  <c r="J5650" i="109"/>
  <c r="J5649" i="109"/>
  <c r="J5648" i="109"/>
  <c r="J5647" i="109"/>
  <c r="J5646" i="109"/>
  <c r="J5645" i="109"/>
  <c r="J5644" i="109"/>
  <c r="J5643" i="109"/>
  <c r="J5642" i="109"/>
  <c r="J5641" i="109"/>
  <c r="J5640" i="109"/>
  <c r="J5639" i="109"/>
  <c r="J5638" i="109"/>
  <c r="J5637" i="109"/>
  <c r="J5636" i="109"/>
  <c r="J5635" i="109"/>
  <c r="J5634" i="109"/>
  <c r="J5633" i="109"/>
  <c r="J5632" i="109"/>
  <c r="J5631" i="109"/>
  <c r="J5630" i="109"/>
  <c r="J5629" i="109"/>
  <c r="J5628" i="109"/>
  <c r="J5627" i="109"/>
  <c r="J5626" i="109"/>
  <c r="J5625" i="109"/>
  <c r="J5624" i="109"/>
  <c r="J5623" i="109"/>
  <c r="J5622" i="109"/>
  <c r="J5621" i="109"/>
  <c r="J5620" i="109"/>
  <c r="J5619" i="109"/>
  <c r="J5618" i="109"/>
  <c r="J5617" i="109"/>
  <c r="J5616" i="109"/>
  <c r="J5615" i="109"/>
  <c r="J5614" i="109"/>
  <c r="J5613" i="109"/>
  <c r="J5612" i="109"/>
  <c r="J5611" i="109"/>
  <c r="J5610" i="109"/>
  <c r="J5609" i="109"/>
  <c r="J5608" i="109"/>
  <c r="J5607" i="109"/>
  <c r="J5606" i="109"/>
  <c r="J5605" i="109"/>
  <c r="J5604" i="109"/>
  <c r="J5603" i="109"/>
  <c r="J5602" i="109"/>
  <c r="J5601" i="109"/>
  <c r="J5600" i="109"/>
  <c r="J5599" i="109"/>
  <c r="J5598" i="109"/>
  <c r="J5597" i="109"/>
  <c r="J5596" i="109"/>
  <c r="J5595" i="109"/>
  <c r="J5594" i="109"/>
  <c r="J5593" i="109"/>
  <c r="J5592" i="109"/>
  <c r="J5591" i="109"/>
  <c r="J5590" i="109"/>
  <c r="J5589" i="109"/>
  <c r="J5588" i="109"/>
  <c r="J5587" i="109"/>
  <c r="J5586" i="109"/>
  <c r="J5585" i="109"/>
  <c r="J5584" i="109"/>
  <c r="J5583" i="109"/>
  <c r="J5582" i="109"/>
  <c r="J5581" i="109"/>
  <c r="J5580" i="109"/>
  <c r="J5579" i="109"/>
  <c r="J5578" i="109"/>
  <c r="J5576" i="109"/>
  <c r="J5575" i="109"/>
  <c r="J5574" i="109"/>
  <c r="J5573" i="109"/>
  <c r="J5572" i="109"/>
  <c r="J5571" i="109"/>
  <c r="J5570" i="109"/>
  <c r="J5569" i="109"/>
  <c r="J5568" i="109"/>
  <c r="J5567" i="109"/>
  <c r="J5566" i="109"/>
  <c r="J5565" i="109"/>
  <c r="J5564" i="109"/>
  <c r="J5563" i="109"/>
  <c r="J5562" i="109"/>
  <c r="J5561" i="109"/>
  <c r="J5560" i="109"/>
  <c r="J5559" i="109"/>
  <c r="J5558" i="109"/>
  <c r="J5557" i="109"/>
  <c r="J5556" i="109"/>
  <c r="J5555" i="109"/>
  <c r="J5554" i="109"/>
  <c r="J5553" i="109"/>
  <c r="J5552" i="109"/>
  <c r="J5551" i="109"/>
  <c r="J5550" i="109"/>
  <c r="J5549" i="109"/>
  <c r="J5548" i="109"/>
  <c r="J5547" i="109"/>
  <c r="J5546" i="109"/>
  <c r="J5545" i="109"/>
  <c r="J5544" i="109"/>
  <c r="J5543" i="109"/>
  <c r="J5542" i="109"/>
  <c r="J5541" i="109"/>
  <c r="J5540" i="109"/>
  <c r="J5539" i="109"/>
  <c r="J5538" i="109"/>
  <c r="J5537" i="109"/>
  <c r="J5536" i="109"/>
  <c r="J5535" i="109"/>
  <c r="J5534" i="109"/>
  <c r="J5533" i="109"/>
  <c r="J5532" i="109"/>
  <c r="J5531" i="109"/>
  <c r="J5530" i="109"/>
  <c r="J5529" i="109"/>
  <c r="J5528" i="109"/>
  <c r="J5527" i="109"/>
  <c r="J5526" i="109"/>
  <c r="J5525" i="109"/>
  <c r="J5524" i="109"/>
  <c r="J5523" i="109"/>
  <c r="J5522" i="109"/>
  <c r="J5521" i="109"/>
  <c r="J5520" i="109"/>
  <c r="J5519" i="109"/>
  <c r="J5518" i="109"/>
  <c r="J5517" i="109"/>
  <c r="J5516" i="109"/>
  <c r="J5515" i="109"/>
  <c r="J5514" i="109"/>
  <c r="J5513" i="109"/>
  <c r="J5512" i="109"/>
  <c r="J5511" i="109"/>
  <c r="J5510" i="109"/>
  <c r="J5509" i="109"/>
  <c r="J5508" i="109"/>
  <c r="J5507" i="109"/>
  <c r="J5506" i="109"/>
  <c r="J5505" i="109"/>
  <c r="J5504" i="109"/>
  <c r="J5503" i="109"/>
  <c r="J5502" i="109"/>
  <c r="J5501" i="109"/>
  <c r="J5500" i="109"/>
  <c r="J5499" i="109"/>
  <c r="J5498" i="109"/>
  <c r="J5497" i="109"/>
  <c r="J5496" i="109"/>
  <c r="J5495" i="109"/>
  <c r="J5494" i="109"/>
  <c r="J5493" i="109"/>
  <c r="J5492" i="109"/>
  <c r="J5491" i="109"/>
  <c r="J5490" i="109"/>
  <c r="J5489" i="109"/>
  <c r="J5488" i="109"/>
  <c r="J5487" i="109"/>
  <c r="J5486" i="109"/>
  <c r="J5485" i="109"/>
  <c r="J5484" i="109"/>
  <c r="J5483" i="109"/>
  <c r="J5482" i="109"/>
  <c r="J5481" i="109"/>
  <c r="J5480" i="109"/>
  <c r="J5479" i="109"/>
  <c r="J5478" i="109"/>
  <c r="J5477" i="109"/>
  <c r="J5476" i="109"/>
  <c r="J5475" i="109"/>
  <c r="J5474" i="109"/>
  <c r="J5473" i="109"/>
  <c r="J5472" i="109"/>
  <c r="J5471" i="109"/>
  <c r="J5470" i="109"/>
  <c r="J5469" i="109"/>
  <c r="J5468" i="109"/>
  <c r="J5467" i="109"/>
  <c r="J5466" i="109"/>
  <c r="J5465" i="109"/>
  <c r="J5464" i="109"/>
  <c r="J5463" i="109"/>
  <c r="J5462" i="109"/>
  <c r="J5461" i="109"/>
  <c r="J5460" i="109"/>
  <c r="J5459" i="109"/>
  <c r="J5458" i="109"/>
  <c r="J5457" i="109"/>
  <c r="J5456" i="109"/>
  <c r="J5455" i="109"/>
  <c r="J5454" i="109"/>
  <c r="J5453" i="109"/>
  <c r="J5452" i="109"/>
  <c r="J5451" i="109"/>
  <c r="J5450" i="109"/>
  <c r="J5448" i="109"/>
  <c r="J5447" i="109"/>
  <c r="J5446" i="109"/>
  <c r="J5445" i="109"/>
  <c r="J5444" i="109"/>
  <c r="J5443" i="109"/>
  <c r="J5442" i="109"/>
  <c r="J5441" i="109"/>
  <c r="J5440" i="109"/>
  <c r="J5439" i="109"/>
  <c r="J5438" i="109"/>
  <c r="J5437" i="109"/>
  <c r="J5436" i="109"/>
  <c r="J5435" i="109"/>
  <c r="J5434" i="109"/>
  <c r="J5433" i="109"/>
  <c r="J5432" i="109"/>
  <c r="J5431" i="109"/>
  <c r="J5430" i="109"/>
  <c r="J5429" i="109"/>
  <c r="J5428" i="109"/>
  <c r="J5427" i="109"/>
  <c r="J5426" i="109"/>
  <c r="J5425" i="109"/>
  <c r="J5424" i="109"/>
  <c r="J5423" i="109"/>
  <c r="J5422" i="109"/>
  <c r="J5421" i="109"/>
  <c r="J5420" i="109"/>
  <c r="J5419" i="109"/>
  <c r="J5418" i="109"/>
  <c r="J5417" i="109"/>
  <c r="J5416" i="109"/>
  <c r="J5415" i="109"/>
  <c r="J5414" i="109"/>
  <c r="J5413" i="109"/>
  <c r="J5412" i="109"/>
  <c r="J5411" i="109"/>
  <c r="J5410" i="109"/>
  <c r="J5409" i="109"/>
  <c r="J5408" i="109"/>
  <c r="J5407" i="109"/>
  <c r="J5406" i="109"/>
  <c r="J5405" i="109"/>
  <c r="J5404" i="109"/>
  <c r="J5403" i="109"/>
  <c r="J5402" i="109"/>
  <c r="J5401" i="109"/>
  <c r="J5396" i="109"/>
  <c r="J5395" i="109"/>
  <c r="J5394" i="109"/>
  <c r="J5393" i="109"/>
  <c r="J5392" i="109"/>
  <c r="J5390" i="109"/>
  <c r="J5389" i="109"/>
  <c r="J5388" i="109"/>
  <c r="J5387" i="109"/>
  <c r="J5386" i="109"/>
  <c r="J5385" i="109"/>
  <c r="J5384" i="109"/>
  <c r="J5383" i="109"/>
  <c r="J5382" i="109"/>
  <c r="J5381" i="109"/>
  <c r="J5380" i="109"/>
  <c r="J5379" i="109"/>
  <c r="J5378" i="109"/>
  <c r="J5377" i="109"/>
  <c r="J5376" i="109"/>
  <c r="J5375" i="109"/>
  <c r="J5374" i="109"/>
  <c r="J5373" i="109"/>
  <c r="J5372" i="109"/>
  <c r="J5371" i="109"/>
  <c r="J5370" i="109"/>
  <c r="J5369" i="109"/>
  <c r="J5368" i="109"/>
  <c r="J5367" i="109"/>
  <c r="J5366" i="109"/>
  <c r="J5365" i="109"/>
  <c r="J5364" i="109"/>
  <c r="J5363" i="109"/>
  <c r="J5362" i="109"/>
  <c r="J5361" i="109"/>
  <c r="J5360" i="109"/>
  <c r="J5359" i="109"/>
  <c r="J5358" i="109"/>
  <c r="J5357" i="109"/>
  <c r="J5356" i="109"/>
  <c r="J5355" i="109"/>
  <c r="J5354" i="109"/>
  <c r="J5353" i="109"/>
  <c r="J5352" i="109"/>
  <c r="J5351" i="109"/>
  <c r="J5350" i="109"/>
  <c r="J5349" i="109"/>
  <c r="J5348" i="109"/>
  <c r="J5347" i="109"/>
  <c r="J5346" i="109"/>
  <c r="J5345" i="109"/>
  <c r="J5344" i="109"/>
  <c r="J5343" i="109"/>
  <c r="J5342" i="109"/>
  <c r="J5341" i="109"/>
  <c r="J5340" i="109"/>
  <c r="J5339" i="109"/>
  <c r="J5338" i="109"/>
  <c r="J5337" i="109"/>
  <c r="J5336" i="109"/>
  <c r="J5335" i="109"/>
  <c r="J5334" i="109"/>
  <c r="J5333" i="109"/>
  <c r="J5332" i="109"/>
  <c r="J5331" i="109"/>
  <c r="J5330" i="109"/>
  <c r="J5329" i="109"/>
  <c r="J5328" i="109"/>
  <c r="J5327" i="109"/>
  <c r="J5326" i="109"/>
  <c r="J5325" i="109"/>
  <c r="J5324" i="109"/>
  <c r="J5323" i="109"/>
  <c r="J5322" i="109"/>
  <c r="J5321" i="109"/>
  <c r="J5320" i="109"/>
  <c r="J5319" i="109"/>
  <c r="J5318" i="109"/>
  <c r="J5317" i="109"/>
  <c r="J5316" i="109"/>
  <c r="J5315" i="109"/>
  <c r="J5314" i="109"/>
  <c r="J5313" i="109"/>
  <c r="J5312" i="109"/>
  <c r="J5311" i="109"/>
  <c r="J5310" i="109"/>
  <c r="J5309" i="109"/>
  <c r="J5308" i="109"/>
  <c r="J5307" i="109"/>
  <c r="J5306" i="109"/>
  <c r="J5305" i="109"/>
  <c r="J5304" i="109"/>
  <c r="J5303" i="109"/>
  <c r="J5302" i="109"/>
  <c r="J5301" i="109"/>
  <c r="J5300" i="109"/>
  <c r="J5299" i="109"/>
  <c r="J5298" i="109"/>
  <c r="J5297" i="109"/>
  <c r="J5296" i="109"/>
  <c r="J5295" i="109"/>
  <c r="J5294" i="109"/>
  <c r="J5293" i="109"/>
  <c r="J5292" i="109"/>
  <c r="J5291" i="109"/>
  <c r="J5290" i="109"/>
  <c r="J5289" i="109"/>
  <c r="J5288" i="109"/>
  <c r="J5287" i="109"/>
  <c r="J5286" i="109"/>
  <c r="J5285" i="109"/>
  <c r="J5284" i="109"/>
  <c r="J5283" i="109"/>
  <c r="J5282" i="109"/>
  <c r="J5281" i="109"/>
  <c r="J5280" i="109"/>
  <c r="J5279" i="109"/>
  <c r="J5278" i="109"/>
  <c r="J5277" i="109"/>
  <c r="J5276" i="109"/>
  <c r="J5275" i="109"/>
  <c r="J5274" i="109"/>
  <c r="J5273" i="109"/>
  <c r="J5272" i="109"/>
  <c r="J5271" i="109"/>
  <c r="J5270" i="109"/>
  <c r="J5269" i="109"/>
  <c r="J5268" i="109"/>
  <c r="J5267" i="109"/>
  <c r="J5266" i="109"/>
  <c r="J5265" i="109"/>
  <c r="J5264" i="109"/>
  <c r="J5263" i="109"/>
  <c r="J5262" i="109"/>
  <c r="J5261" i="109"/>
  <c r="J5260" i="109"/>
  <c r="J5259" i="109"/>
  <c r="J5258" i="109"/>
  <c r="J5257" i="109"/>
  <c r="J5256" i="109"/>
  <c r="J5255" i="109"/>
  <c r="J5254" i="109"/>
  <c r="J5253" i="109"/>
  <c r="J5252" i="109"/>
  <c r="J5251" i="109"/>
  <c r="J5250" i="109"/>
  <c r="J5249" i="109"/>
  <c r="J5248" i="109"/>
  <c r="J5247" i="109"/>
  <c r="J5246" i="109"/>
  <c r="J5245" i="109"/>
  <c r="J5244" i="109"/>
  <c r="J5243" i="109"/>
  <c r="J5240" i="109"/>
  <c r="J5239" i="109"/>
  <c r="J5238" i="109"/>
  <c r="J5237" i="109"/>
  <c r="J5236" i="109"/>
  <c r="J5235" i="109"/>
  <c r="J5234" i="109"/>
  <c r="J5233" i="109"/>
  <c r="J5232" i="109"/>
  <c r="J5231" i="109"/>
  <c r="J5230" i="109"/>
  <c r="J5229" i="109"/>
  <c r="J5228" i="109"/>
  <c r="J5227" i="109"/>
  <c r="J5226" i="109"/>
  <c r="J5225" i="109"/>
  <c r="J5224" i="109"/>
  <c r="J5223" i="109"/>
  <c r="J5222" i="109"/>
  <c r="J5221" i="109"/>
  <c r="J5220" i="109"/>
  <c r="J5219" i="109"/>
  <c r="J5218" i="109"/>
  <c r="J5217" i="109"/>
  <c r="J5216" i="109"/>
  <c r="J5215" i="109"/>
  <c r="J5214" i="109"/>
  <c r="J5213" i="109"/>
  <c r="J5212" i="109"/>
  <c r="J5211" i="109"/>
  <c r="J5210" i="109"/>
  <c r="J5209" i="109"/>
  <c r="J5208" i="109"/>
  <c r="J5207" i="109"/>
  <c r="J5206" i="109"/>
  <c r="J5205" i="109"/>
  <c r="J5204" i="109"/>
  <c r="J5203" i="109"/>
  <c r="J5202" i="109"/>
  <c r="J5201" i="109"/>
  <c r="J5200" i="109"/>
  <c r="J5199" i="109"/>
  <c r="J5198" i="109"/>
  <c r="J5197" i="109"/>
  <c r="J5196" i="109"/>
  <c r="J5195" i="109"/>
  <c r="J5191" i="109"/>
  <c r="J5190" i="109"/>
  <c r="J5189" i="109"/>
  <c r="J5188" i="109"/>
  <c r="J5187" i="109"/>
  <c r="J5186" i="109"/>
  <c r="J5185" i="109"/>
  <c r="J5184" i="109"/>
  <c r="J5183" i="109"/>
  <c r="J5182" i="109"/>
  <c r="J5181" i="109"/>
  <c r="J5180" i="109"/>
  <c r="J5179" i="109"/>
  <c r="J5178" i="109"/>
  <c r="J5177" i="109"/>
  <c r="J5176" i="109"/>
  <c r="J5175" i="109"/>
  <c r="J5174" i="109"/>
  <c r="J5173" i="109"/>
  <c r="J5172" i="109"/>
  <c r="J5171" i="109"/>
  <c r="J5170" i="109"/>
  <c r="J5169" i="109"/>
  <c r="J5168" i="109"/>
  <c r="J5167" i="109"/>
  <c r="J5166" i="109"/>
  <c r="J5165" i="109"/>
  <c r="J5164" i="109"/>
  <c r="J5163" i="109"/>
  <c r="J5162" i="109"/>
  <c r="J5161" i="109"/>
  <c r="J5160" i="109"/>
  <c r="J5159" i="109"/>
  <c r="J5158" i="109"/>
  <c r="J5157" i="109"/>
  <c r="J5156" i="109"/>
  <c r="J5155" i="109"/>
  <c r="J5154" i="109"/>
  <c r="J5153" i="109"/>
  <c r="J5152" i="109"/>
  <c r="J5151" i="109"/>
  <c r="J5150" i="109"/>
  <c r="J5149" i="109"/>
  <c r="J5148" i="109"/>
  <c r="J5147" i="109"/>
  <c r="J5146" i="109"/>
  <c r="J5145" i="109"/>
  <c r="J5144" i="109"/>
  <c r="J5143" i="109"/>
  <c r="J5142" i="109"/>
  <c r="J5141" i="109"/>
  <c r="J5140" i="109"/>
  <c r="J5139" i="109"/>
  <c r="J5138" i="109"/>
  <c r="J5137" i="109"/>
  <c r="J5136" i="109"/>
  <c r="J5135" i="109"/>
  <c r="J5134" i="109"/>
  <c r="J5133" i="109"/>
  <c r="J5132" i="109"/>
  <c r="J5131" i="109"/>
  <c r="J5130" i="109"/>
  <c r="J5129" i="109"/>
  <c r="J5128" i="109"/>
  <c r="J5127" i="109"/>
  <c r="J5126" i="109"/>
  <c r="J5125" i="109"/>
  <c r="J5124" i="109"/>
  <c r="J5123" i="109"/>
  <c r="J5122" i="109"/>
  <c r="J5121" i="109"/>
  <c r="J5120" i="109"/>
  <c r="J5119" i="109"/>
  <c r="J5118" i="109"/>
  <c r="J5117" i="109"/>
  <c r="J5116" i="109"/>
  <c r="J5115" i="109"/>
  <c r="J5114" i="109"/>
  <c r="J5113" i="109"/>
  <c r="J5112" i="109"/>
  <c r="J5111" i="109"/>
  <c r="J5110" i="109"/>
  <c r="J5109" i="109"/>
  <c r="J5108" i="109"/>
  <c r="J5107" i="109"/>
  <c r="J5106" i="109"/>
  <c r="J5105" i="109"/>
  <c r="J5104" i="109"/>
  <c r="J5103" i="109"/>
  <c r="J5102" i="109"/>
  <c r="J5101" i="109"/>
  <c r="J5100" i="109"/>
  <c r="J5099" i="109"/>
  <c r="J5098" i="109"/>
  <c r="J5097" i="109"/>
  <c r="J5096" i="109"/>
  <c r="J5095" i="109"/>
  <c r="J5094" i="109"/>
  <c r="J5093" i="109"/>
  <c r="J5092" i="109"/>
  <c r="J5091" i="109"/>
  <c r="J5090" i="109"/>
  <c r="J5089" i="109"/>
  <c r="J5088" i="109"/>
  <c r="J5087" i="109"/>
  <c r="J5086" i="109"/>
  <c r="J5085" i="109"/>
  <c r="J5084" i="109"/>
  <c r="J5083" i="109"/>
  <c r="J5082" i="109"/>
  <c r="J5081" i="109"/>
  <c r="J5080" i="109"/>
  <c r="J5079" i="109"/>
  <c r="J5078" i="109"/>
  <c r="J5077" i="109"/>
  <c r="J5076" i="109"/>
  <c r="J5075" i="109"/>
  <c r="J5074" i="109"/>
  <c r="J5073" i="109"/>
  <c r="J5072" i="109"/>
  <c r="J5071" i="109"/>
  <c r="J5070" i="109"/>
  <c r="J5069" i="109"/>
  <c r="J5068" i="109"/>
  <c r="J5067" i="109"/>
  <c r="J5066" i="109"/>
  <c r="J5065" i="109"/>
  <c r="J5064" i="109"/>
  <c r="J5063" i="109"/>
  <c r="J5062" i="109"/>
  <c r="J5061" i="109"/>
  <c r="J5060" i="109"/>
  <c r="J5059" i="109"/>
  <c r="J5058" i="109"/>
  <c r="J5057" i="109"/>
  <c r="J5056" i="109"/>
  <c r="J5055" i="109"/>
  <c r="J5054" i="109"/>
  <c r="J5053" i="109"/>
  <c r="J5052" i="109"/>
  <c r="J5051" i="109"/>
  <c r="J5050" i="109"/>
  <c r="J5049" i="109"/>
  <c r="J5048" i="109"/>
  <c r="J5047" i="109"/>
  <c r="J5046" i="109"/>
  <c r="J5045" i="109"/>
  <c r="J5044" i="109"/>
  <c r="J5043" i="109"/>
  <c r="J5042" i="109"/>
  <c r="J5041" i="109"/>
  <c r="J5040" i="109"/>
  <c r="J5039" i="109"/>
  <c r="J5038" i="109"/>
  <c r="J5037" i="109"/>
  <c r="J5036" i="109"/>
  <c r="J5035" i="109"/>
  <c r="J5034" i="109"/>
  <c r="J5033" i="109"/>
  <c r="J5032" i="109"/>
  <c r="J5031" i="109"/>
  <c r="J5030" i="109"/>
  <c r="J5029" i="109"/>
  <c r="J5028" i="109"/>
  <c r="J5027" i="109"/>
  <c r="J5026" i="109"/>
  <c r="J5025" i="109"/>
  <c r="J5024" i="109"/>
  <c r="J5023" i="109"/>
  <c r="J5022" i="109"/>
  <c r="J5021" i="109"/>
  <c r="J5020" i="109"/>
  <c r="J5019" i="109"/>
  <c r="J5018" i="109"/>
  <c r="J5017" i="109"/>
  <c r="J5016" i="109"/>
  <c r="J5015" i="109"/>
  <c r="J5014" i="109"/>
  <c r="J5013" i="109"/>
  <c r="J5012" i="109"/>
  <c r="J5011" i="109"/>
  <c r="J5010" i="109"/>
  <c r="J5009" i="109"/>
  <c r="J5008" i="109"/>
  <c r="J5007" i="109"/>
  <c r="J5006" i="109"/>
  <c r="J5005" i="109"/>
  <c r="J5004" i="109"/>
  <c r="J5003" i="109"/>
  <c r="J5002" i="109"/>
  <c r="J5001" i="109"/>
  <c r="J5000" i="109"/>
  <c r="J4999" i="109"/>
  <c r="J4998" i="109"/>
  <c r="J4997" i="109"/>
  <c r="J4996" i="109"/>
  <c r="J4995" i="109"/>
  <c r="J4994" i="109"/>
  <c r="J4993" i="109"/>
  <c r="J4992" i="109"/>
  <c r="J4991" i="109"/>
  <c r="J4990" i="109"/>
  <c r="J4989" i="109"/>
  <c r="J4988" i="109"/>
  <c r="J4987" i="109"/>
  <c r="J4986" i="109"/>
  <c r="J4985" i="109"/>
  <c r="J4984" i="109"/>
  <c r="J4983" i="109"/>
  <c r="J4982" i="109"/>
  <c r="J4981" i="109"/>
  <c r="J4980" i="109"/>
  <c r="J4979" i="109"/>
  <c r="J4978" i="109"/>
  <c r="J4977" i="109"/>
  <c r="J4976" i="109"/>
  <c r="J4975" i="109"/>
  <c r="J4974" i="109"/>
  <c r="J4973" i="109"/>
  <c r="J4972" i="109"/>
  <c r="J4971" i="109"/>
  <c r="J4970" i="109"/>
  <c r="J4969" i="109"/>
  <c r="J4968" i="109"/>
  <c r="J4967" i="109"/>
  <c r="J4966" i="109"/>
  <c r="J4965" i="109"/>
  <c r="J4964" i="109"/>
  <c r="J4963" i="109"/>
  <c r="J4962" i="109"/>
  <c r="J4961" i="109"/>
  <c r="J4960" i="109"/>
  <c r="J4959" i="109"/>
  <c r="J4958" i="109"/>
  <c r="J4957" i="109"/>
  <c r="J4956" i="109"/>
  <c r="J4955" i="109"/>
  <c r="J4954" i="109"/>
  <c r="J4953" i="109"/>
  <c r="J4952" i="109"/>
  <c r="J4951" i="109"/>
  <c r="J4950" i="109"/>
  <c r="J4949" i="109"/>
  <c r="J4948" i="109"/>
  <c r="J4947" i="109"/>
  <c r="J4946" i="109"/>
  <c r="J4945" i="109"/>
  <c r="J4944" i="109"/>
  <c r="J4943" i="109"/>
  <c r="J4942" i="109"/>
  <c r="J4941" i="109"/>
  <c r="J4940" i="109"/>
  <c r="J4939" i="109"/>
  <c r="J4938" i="109"/>
  <c r="J4937" i="109"/>
  <c r="J4936" i="109"/>
  <c r="J4935" i="109"/>
  <c r="J4934" i="109"/>
  <c r="J4933" i="109"/>
  <c r="J4932" i="109"/>
  <c r="J4931" i="109"/>
  <c r="J4930" i="109"/>
  <c r="J4929" i="109"/>
  <c r="J4928" i="109"/>
  <c r="J4927" i="109"/>
  <c r="J4926" i="109"/>
  <c r="J4925" i="109"/>
  <c r="J4924" i="109"/>
  <c r="J4923" i="109"/>
  <c r="J4922" i="109"/>
  <c r="J4921" i="109"/>
  <c r="J4920" i="109"/>
  <c r="J4919" i="109"/>
  <c r="J4918" i="109"/>
  <c r="J4913" i="109"/>
  <c r="J4912" i="109"/>
  <c r="J4911" i="109"/>
  <c r="J4910" i="109"/>
  <c r="J4909" i="109"/>
  <c r="J4908" i="109"/>
  <c r="J4907" i="109"/>
  <c r="J4906" i="109"/>
  <c r="J4905" i="109"/>
  <c r="J4904" i="109"/>
  <c r="J4903" i="109"/>
  <c r="J4902" i="109"/>
  <c r="J4901" i="109"/>
  <c r="J4900" i="109"/>
  <c r="J4899" i="109"/>
  <c r="J4898" i="109"/>
  <c r="J4897" i="109"/>
  <c r="J4896" i="109"/>
  <c r="J4895" i="109"/>
  <c r="J4894" i="109"/>
  <c r="J4893" i="109"/>
  <c r="J4892" i="109"/>
  <c r="J4891" i="109"/>
  <c r="J4890" i="109"/>
  <c r="J4889" i="109"/>
  <c r="J4888" i="109"/>
  <c r="J4887" i="109"/>
  <c r="J4886" i="109"/>
  <c r="J4885" i="109"/>
  <c r="J4883" i="109"/>
  <c r="J4882" i="109"/>
  <c r="J4881" i="109"/>
  <c r="J4880" i="109"/>
  <c r="J4879" i="109"/>
  <c r="J4878" i="109"/>
  <c r="J4877" i="109"/>
  <c r="J4876" i="109"/>
  <c r="J4875" i="109"/>
  <c r="J4874" i="109"/>
  <c r="J4873" i="109"/>
  <c r="J4872" i="109"/>
  <c r="J4871" i="109"/>
  <c r="J4870" i="109"/>
  <c r="J4869" i="109"/>
  <c r="J4868" i="109"/>
  <c r="J4867" i="109"/>
  <c r="J4866" i="109"/>
  <c r="J4865" i="109"/>
  <c r="J4864" i="109"/>
  <c r="J4863" i="109"/>
  <c r="J4862" i="109"/>
  <c r="J4861" i="109"/>
  <c r="J4860" i="109"/>
  <c r="J4859" i="109"/>
  <c r="J4858" i="109"/>
  <c r="J4857" i="109"/>
  <c r="J4856" i="109"/>
  <c r="J4855" i="109"/>
  <c r="J4854" i="109"/>
  <c r="J4853" i="109"/>
  <c r="J4852" i="109"/>
  <c r="J4851" i="109"/>
  <c r="J4850" i="109"/>
  <c r="J4849" i="109"/>
  <c r="J4848" i="109"/>
  <c r="J4847" i="109"/>
  <c r="J4846" i="109"/>
  <c r="J4845" i="109"/>
  <c r="J4844" i="109"/>
  <c r="J4843" i="109"/>
  <c r="J4842" i="109"/>
  <c r="J4841" i="109"/>
  <c r="J4840" i="109"/>
  <c r="J4839" i="109"/>
  <c r="J4838" i="109"/>
  <c r="J4837" i="109"/>
  <c r="J4836" i="109"/>
  <c r="J4835" i="109"/>
  <c r="J4834" i="109"/>
  <c r="J4833" i="109"/>
  <c r="J4832" i="109"/>
  <c r="J4831" i="109"/>
  <c r="J4830" i="109"/>
  <c r="J4829" i="109"/>
  <c r="J4828" i="109"/>
  <c r="J4827" i="109"/>
  <c r="J4826" i="109"/>
  <c r="J4825" i="109"/>
  <c r="J4824" i="109"/>
  <c r="J4823" i="109"/>
  <c r="J4822" i="109"/>
  <c r="J4821" i="109"/>
  <c r="J4820" i="109"/>
  <c r="J4819" i="109"/>
  <c r="J4818" i="109"/>
  <c r="J4817" i="109"/>
  <c r="J4816" i="109"/>
  <c r="J4815" i="109"/>
  <c r="J4814" i="109"/>
  <c r="J4813" i="109"/>
  <c r="J4810" i="109"/>
  <c r="J4809" i="109"/>
  <c r="J4808" i="109"/>
  <c r="J4807" i="109"/>
  <c r="J4806" i="109"/>
  <c r="J4805" i="109"/>
  <c r="J4804" i="109"/>
  <c r="J4803" i="109"/>
  <c r="J4802" i="109"/>
  <c r="J4801" i="109"/>
  <c r="J4800" i="109"/>
  <c r="J4799" i="109"/>
  <c r="J4798" i="109"/>
  <c r="J4797" i="109"/>
  <c r="J4796" i="109"/>
  <c r="J4795" i="109"/>
  <c r="J4794" i="109"/>
  <c r="J4793" i="109"/>
  <c r="J4792" i="109"/>
  <c r="J4791" i="109"/>
  <c r="J4790" i="109"/>
  <c r="J4789" i="109"/>
  <c r="J4788" i="109"/>
  <c r="J4787" i="109"/>
  <c r="J4786" i="109"/>
  <c r="J4785" i="109"/>
  <c r="J4784" i="109"/>
  <c r="J4783" i="109"/>
  <c r="J4782" i="109"/>
  <c r="J4781" i="109"/>
  <c r="J4780" i="109"/>
  <c r="J4779" i="109"/>
  <c r="J4778" i="109"/>
  <c r="J4777" i="109"/>
  <c r="J4776" i="109"/>
  <c r="J4775" i="109"/>
  <c r="J4774" i="109"/>
  <c r="J4773" i="109"/>
  <c r="J4772" i="109"/>
  <c r="J4771" i="109"/>
  <c r="J4770" i="109"/>
  <c r="J4769" i="109"/>
  <c r="J4768" i="109"/>
  <c r="J4767" i="109"/>
  <c r="J4766" i="109"/>
  <c r="J4765" i="109"/>
  <c r="J4764" i="109"/>
  <c r="J4763" i="109"/>
  <c r="J4762" i="109"/>
  <c r="J4761" i="109"/>
  <c r="J4760" i="109"/>
  <c r="J4759" i="109"/>
  <c r="J4758" i="109"/>
  <c r="J4757" i="109"/>
  <c r="J4756" i="109"/>
  <c r="J4755" i="109"/>
  <c r="J4754" i="109"/>
  <c r="J4753" i="109"/>
  <c r="J4752" i="109"/>
  <c r="J4751" i="109"/>
  <c r="J4750" i="109"/>
  <c r="J4749" i="109"/>
  <c r="J4748" i="109"/>
  <c r="J4747" i="109"/>
  <c r="J4746" i="109"/>
  <c r="J4745" i="109"/>
  <c r="J4744" i="109"/>
  <c r="J4743" i="109"/>
  <c r="J4742" i="109"/>
  <c r="J4741" i="109"/>
  <c r="J4740" i="109"/>
  <c r="J4739" i="109"/>
  <c r="J4738" i="109"/>
  <c r="J4737" i="109"/>
  <c r="J4736" i="109"/>
  <c r="J4735" i="109"/>
  <c r="J4734" i="109"/>
  <c r="J4733" i="109"/>
  <c r="J4732" i="109"/>
  <c r="J4731" i="109"/>
  <c r="J4730" i="109"/>
  <c r="J4729" i="109"/>
  <c r="J4728" i="109"/>
  <c r="J4726" i="109"/>
  <c r="J4725" i="109"/>
  <c r="J4724" i="109"/>
  <c r="J4723" i="109"/>
  <c r="J4722" i="109"/>
  <c r="J4721" i="109"/>
  <c r="J4720" i="109"/>
  <c r="J4719" i="109"/>
  <c r="J4718" i="109"/>
  <c r="J4717" i="109"/>
  <c r="J4716" i="109"/>
  <c r="J4715" i="109"/>
  <c r="J4714" i="109"/>
  <c r="J4713" i="109"/>
  <c r="J4712" i="109"/>
  <c r="J4711" i="109"/>
  <c r="J4710" i="109"/>
  <c r="J4709" i="109"/>
  <c r="J4708" i="109"/>
  <c r="J4707" i="109"/>
  <c r="J4706" i="109"/>
  <c r="J4705" i="109"/>
  <c r="J4704" i="109"/>
  <c r="J4703" i="109"/>
  <c r="J4702" i="109"/>
  <c r="J4701" i="109"/>
  <c r="J4700" i="109"/>
  <c r="J4699" i="109"/>
  <c r="J4698" i="109"/>
  <c r="J4697" i="109"/>
  <c r="J4696" i="109"/>
  <c r="J4695" i="109"/>
  <c r="J4694" i="109"/>
  <c r="J4693" i="109"/>
  <c r="J4692" i="109"/>
  <c r="J4691" i="109"/>
  <c r="J4690" i="109"/>
  <c r="J4689" i="109"/>
  <c r="J4688" i="109"/>
  <c r="J4687" i="109"/>
  <c r="J4686" i="109"/>
  <c r="J4685" i="109"/>
  <c r="J4684" i="109"/>
  <c r="J4683" i="109"/>
  <c r="J4682" i="109"/>
  <c r="J4681" i="109"/>
  <c r="J4680" i="109"/>
  <c r="J4679" i="109"/>
  <c r="J4678" i="109"/>
  <c r="J4677" i="109"/>
  <c r="J4676" i="109"/>
  <c r="J4675" i="109"/>
  <c r="J4674" i="109"/>
  <c r="J4673" i="109"/>
  <c r="J4672" i="109"/>
  <c r="J4671" i="109"/>
  <c r="J4670" i="109"/>
  <c r="J4669" i="109"/>
  <c r="J4668" i="109"/>
  <c r="J4667" i="109"/>
  <c r="J4666" i="109"/>
  <c r="J4665" i="109"/>
  <c r="J4664" i="109"/>
  <c r="J4663" i="109"/>
  <c r="J4662" i="109"/>
  <c r="J4661" i="109"/>
  <c r="J4660" i="109"/>
  <c r="J4659" i="109"/>
  <c r="J4658" i="109"/>
  <c r="J4657" i="109"/>
  <c r="J4656" i="109"/>
  <c r="J4655" i="109"/>
  <c r="J4654" i="109"/>
  <c r="J4653" i="109"/>
  <c r="J4652" i="109"/>
  <c r="J4651" i="109"/>
  <c r="J4650" i="109"/>
  <c r="J4649" i="109"/>
  <c r="J4648" i="109"/>
  <c r="J4647" i="109"/>
  <c r="J4646" i="109"/>
  <c r="J4645" i="109"/>
  <c r="J4644" i="109"/>
  <c r="J4643" i="109"/>
  <c r="J4642" i="109"/>
  <c r="J4641" i="109"/>
  <c r="J4640" i="109"/>
  <c r="J4639" i="109"/>
  <c r="J4638" i="109"/>
  <c r="J4637" i="109"/>
  <c r="J4636" i="109"/>
  <c r="J4635" i="109"/>
  <c r="J4634" i="109"/>
  <c r="J4633" i="109"/>
  <c r="J4632" i="109"/>
  <c r="J4631" i="109"/>
  <c r="J4630" i="109"/>
  <c r="J4629" i="109"/>
  <c r="J4628" i="109"/>
  <c r="J4627" i="109"/>
  <c r="J4626" i="109"/>
  <c r="J4625" i="109"/>
  <c r="J4624" i="109"/>
  <c r="J4623" i="109"/>
  <c r="J4622" i="109"/>
  <c r="J4621" i="109"/>
  <c r="J4620" i="109"/>
  <c r="J4619" i="109"/>
  <c r="J4618" i="109"/>
  <c r="J4617" i="109"/>
  <c r="J4616" i="109"/>
  <c r="J4615" i="109"/>
  <c r="J4614" i="109"/>
  <c r="J4613" i="109"/>
  <c r="J4612" i="109"/>
  <c r="J4611" i="109"/>
  <c r="J4610" i="109"/>
  <c r="J4609" i="109"/>
  <c r="J4608" i="109"/>
  <c r="J4607" i="109"/>
  <c r="J4606" i="109"/>
  <c r="J4605" i="109"/>
  <c r="J4604" i="109"/>
  <c r="J4603" i="109"/>
  <c r="J4602" i="109"/>
  <c r="J4601" i="109"/>
  <c r="J4600" i="109"/>
  <c r="J4599" i="109"/>
  <c r="J4598" i="109"/>
  <c r="J4597" i="109"/>
  <c r="J4596" i="109"/>
  <c r="J4595" i="109"/>
  <c r="J4594" i="109"/>
  <c r="J4593" i="109"/>
  <c r="J4592" i="109"/>
  <c r="J4591" i="109"/>
  <c r="J4590" i="109"/>
  <c r="J4589" i="109"/>
  <c r="J4588" i="109"/>
  <c r="J4587" i="109"/>
  <c r="J4586" i="109"/>
  <c r="J4585" i="109"/>
  <c r="J4584" i="109"/>
  <c r="J4583" i="109"/>
  <c r="J4582" i="109"/>
  <c r="J4581" i="109"/>
  <c r="J4580" i="109"/>
  <c r="J4579" i="109"/>
  <c r="J4578" i="109"/>
  <c r="J4577" i="109"/>
  <c r="J4576" i="109"/>
  <c r="J4575" i="109"/>
  <c r="J4574" i="109"/>
  <c r="J4573" i="109"/>
  <c r="J4572" i="109"/>
  <c r="J4571" i="109"/>
  <c r="J4570" i="109"/>
  <c r="J4569" i="109"/>
  <c r="J4568" i="109"/>
  <c r="J4567" i="109"/>
  <c r="J4566" i="109"/>
  <c r="J4565" i="109"/>
  <c r="J4564" i="109"/>
  <c r="J4563" i="109"/>
  <c r="J4562" i="109"/>
  <c r="J4561" i="109"/>
  <c r="J4560" i="109"/>
  <c r="J4559" i="109"/>
  <c r="J4558" i="109"/>
  <c r="J4557" i="109"/>
  <c r="J4556" i="109"/>
  <c r="J4555" i="109"/>
  <c r="J4554" i="109"/>
  <c r="J4553" i="109"/>
  <c r="J4552" i="109"/>
  <c r="J4551" i="109"/>
  <c r="J4550" i="109"/>
  <c r="J4549" i="109"/>
  <c r="J4548" i="109"/>
  <c r="J4547" i="109"/>
  <c r="J4546" i="109"/>
  <c r="J4545" i="109"/>
  <c r="J4544" i="109"/>
  <c r="J4543" i="109"/>
  <c r="J4542" i="109"/>
  <c r="J4541" i="109"/>
  <c r="J4540" i="109"/>
  <c r="J4539" i="109"/>
  <c r="J4538" i="109"/>
  <c r="J4537" i="109"/>
  <c r="J4536" i="109"/>
  <c r="J4535" i="109"/>
  <c r="J4534" i="109"/>
  <c r="J4533" i="109"/>
  <c r="J4532" i="109"/>
  <c r="J4531" i="109"/>
  <c r="J4530" i="109"/>
  <c r="J4529" i="109"/>
  <c r="J4528" i="109"/>
  <c r="J4527" i="109"/>
  <c r="J4526" i="109"/>
  <c r="J4525" i="109"/>
  <c r="J4524" i="109"/>
  <c r="J4523" i="109"/>
  <c r="J4522" i="109"/>
  <c r="J4521" i="109"/>
  <c r="J4520" i="109"/>
  <c r="J4519" i="109"/>
  <c r="J4518" i="109"/>
  <c r="J4517" i="109"/>
  <c r="J4516" i="109"/>
  <c r="J4515" i="109"/>
  <c r="J4514" i="109"/>
  <c r="J4513" i="109"/>
  <c r="J4512" i="109"/>
  <c r="J4511" i="109"/>
  <c r="J4510" i="109"/>
  <c r="J4509" i="109"/>
  <c r="J4505" i="109"/>
  <c r="J4504" i="109"/>
  <c r="J4503" i="109"/>
  <c r="J4502" i="109"/>
  <c r="J4501" i="109"/>
  <c r="J4500" i="109"/>
  <c r="J4499" i="109"/>
  <c r="J4498" i="109"/>
  <c r="J4497" i="109"/>
  <c r="J4496" i="109"/>
  <c r="J4495" i="109"/>
  <c r="J4494" i="109"/>
  <c r="J4493" i="109"/>
  <c r="J4492" i="109"/>
  <c r="J4491" i="109"/>
  <c r="J4488" i="109"/>
  <c r="J4487" i="109"/>
  <c r="J4486" i="109"/>
  <c r="J4485" i="109"/>
  <c r="J4484" i="109"/>
  <c r="J4483" i="109"/>
  <c r="J4482" i="109"/>
  <c r="J4481" i="109"/>
  <c r="J4480" i="109"/>
  <c r="J4479" i="109"/>
  <c r="J4478" i="109"/>
  <c r="J4477" i="109"/>
  <c r="J4476" i="109"/>
  <c r="J4475" i="109"/>
  <c r="J4474" i="109"/>
  <c r="J4473" i="109"/>
  <c r="J4472" i="109"/>
  <c r="J4471" i="109"/>
  <c r="J4470" i="109"/>
  <c r="J4469" i="109"/>
  <c r="J4468" i="109"/>
  <c r="J4467" i="109"/>
  <c r="J4466" i="109"/>
  <c r="J4465" i="109"/>
  <c r="J4464" i="109"/>
  <c r="J4463" i="109"/>
  <c r="J4462" i="109"/>
  <c r="J4461" i="109"/>
  <c r="J4460" i="109"/>
  <c r="J4459" i="109"/>
  <c r="J4458" i="109"/>
  <c r="J4457" i="109"/>
  <c r="J4456" i="109"/>
  <c r="J4455" i="109"/>
  <c r="J4454" i="109"/>
  <c r="J4453" i="109"/>
  <c r="J4452" i="109"/>
  <c r="J4451" i="109"/>
  <c r="J4450" i="109"/>
  <c r="J4449" i="109"/>
  <c r="J4448" i="109"/>
  <c r="J4447" i="109"/>
  <c r="J4446" i="109"/>
  <c r="J4445" i="109"/>
  <c r="J4444" i="109"/>
  <c r="J4443" i="109"/>
  <c r="J4442" i="109"/>
  <c r="J4441" i="109"/>
  <c r="J4440" i="109"/>
  <c r="J4439" i="109"/>
  <c r="J4438" i="109"/>
  <c r="J4437" i="109"/>
  <c r="J4436" i="109"/>
  <c r="J4435" i="109"/>
  <c r="J4434" i="109"/>
  <c r="J4433" i="109"/>
  <c r="J4432" i="109"/>
  <c r="J4431" i="109"/>
  <c r="J4430" i="109"/>
  <c r="J4429" i="109"/>
  <c r="J4428" i="109"/>
  <c r="J4427" i="109"/>
  <c r="J4426" i="109"/>
  <c r="J4425" i="109"/>
  <c r="J4424" i="109"/>
  <c r="J4423" i="109"/>
  <c r="J4422" i="109"/>
  <c r="J4421" i="109"/>
  <c r="J4420" i="109"/>
  <c r="J4419" i="109"/>
  <c r="J4418" i="109"/>
  <c r="J4417" i="109"/>
  <c r="J4416" i="109"/>
  <c r="J4415" i="109"/>
  <c r="J4414" i="109"/>
  <c r="J4413" i="109"/>
  <c r="J4412" i="109"/>
  <c r="J4411" i="109"/>
  <c r="J4410" i="109"/>
  <c r="J4409" i="109"/>
  <c r="J4408" i="109"/>
  <c r="J4407" i="109"/>
  <c r="J4406" i="109"/>
  <c r="J4405" i="109"/>
  <c r="J4404" i="109"/>
  <c r="J4403" i="109"/>
  <c r="J4402" i="109"/>
  <c r="J4401" i="109"/>
  <c r="J4400" i="109"/>
  <c r="J4399" i="109"/>
  <c r="J4398" i="109"/>
  <c r="J4397" i="109"/>
  <c r="J4396" i="109"/>
  <c r="J4395" i="109"/>
  <c r="J4394" i="109"/>
  <c r="J4393" i="109"/>
  <c r="J4392" i="109"/>
  <c r="J4391" i="109"/>
  <c r="J4390" i="109"/>
  <c r="J4389" i="109"/>
  <c r="J4388" i="109"/>
  <c r="J4387" i="109"/>
  <c r="J4386" i="109"/>
  <c r="J4385" i="109"/>
  <c r="J4384" i="109"/>
  <c r="J4383" i="109"/>
  <c r="J4382" i="109"/>
  <c r="J4381" i="109"/>
  <c r="J4380" i="109"/>
  <c r="J4379" i="109"/>
  <c r="J4378" i="109"/>
  <c r="J4377" i="109"/>
  <c r="J4376" i="109"/>
  <c r="J4375" i="109"/>
  <c r="J4374" i="109"/>
  <c r="J4373" i="109"/>
  <c r="J4372" i="109"/>
  <c r="J4371" i="109"/>
  <c r="J4370" i="109"/>
  <c r="J4369" i="109"/>
  <c r="J4368" i="109"/>
  <c r="J4367" i="109"/>
  <c r="J4366" i="109"/>
  <c r="J4365" i="109"/>
  <c r="J4364" i="109"/>
  <c r="J4363" i="109"/>
  <c r="J4362" i="109"/>
  <c r="J4361" i="109"/>
  <c r="J4360" i="109"/>
  <c r="J4359" i="109"/>
  <c r="J4358" i="109"/>
  <c r="J4357" i="109"/>
  <c r="J4356" i="109"/>
  <c r="J4355" i="109"/>
  <c r="J4354" i="109"/>
  <c r="J4353" i="109"/>
  <c r="J4352" i="109"/>
  <c r="J4351" i="109"/>
  <c r="J4350" i="109"/>
  <c r="J4349" i="109"/>
  <c r="J4348" i="109"/>
  <c r="J4347" i="109"/>
  <c r="J4346" i="109"/>
  <c r="J4345" i="109"/>
  <c r="J4344" i="109"/>
  <c r="J4343" i="109"/>
  <c r="J4342" i="109"/>
  <c r="J4341" i="109"/>
  <c r="J4340" i="109"/>
  <c r="J4339" i="109"/>
  <c r="J4338" i="109"/>
  <c r="J4337" i="109"/>
  <c r="J4336" i="109"/>
  <c r="J4335" i="109"/>
  <c r="J4334" i="109"/>
  <c r="J4333" i="109"/>
  <c r="J4332" i="109"/>
  <c r="J4331" i="109"/>
  <c r="J4330" i="109"/>
  <c r="J4329" i="109"/>
  <c r="J4328" i="109"/>
  <c r="J4327" i="109"/>
  <c r="J4326" i="109"/>
  <c r="J4325" i="109"/>
  <c r="J4324" i="109"/>
  <c r="J4323" i="109"/>
  <c r="J4322" i="109"/>
  <c r="J4321" i="109"/>
  <c r="J4320" i="109"/>
  <c r="J4319" i="109"/>
  <c r="J4318" i="109"/>
  <c r="J4317" i="109"/>
  <c r="J4316" i="109"/>
  <c r="J4315" i="109"/>
  <c r="J4314" i="109"/>
  <c r="J4313" i="109"/>
  <c r="J4312" i="109"/>
  <c r="J4311" i="109"/>
  <c r="J4310" i="109"/>
  <c r="J4309" i="109"/>
  <c r="J4308" i="109"/>
  <c r="J4307" i="109"/>
  <c r="J4306" i="109"/>
  <c r="J4305" i="109"/>
  <c r="J4304" i="109"/>
  <c r="J4303" i="109"/>
  <c r="J4302" i="109"/>
  <c r="J4301" i="109"/>
  <c r="J4300" i="109"/>
  <c r="J4299" i="109"/>
  <c r="J4298" i="109"/>
  <c r="J4297" i="109"/>
  <c r="J4296" i="109"/>
  <c r="J4295" i="109"/>
  <c r="J4294" i="109"/>
  <c r="J4293" i="109"/>
  <c r="J4292" i="109"/>
  <c r="J4291" i="109"/>
  <c r="J4290" i="109"/>
  <c r="J4289" i="109"/>
  <c r="J4288" i="109"/>
  <c r="J4287" i="109"/>
  <c r="J4286" i="109"/>
  <c r="J4285" i="109"/>
  <c r="J4284" i="109"/>
  <c r="J4283" i="109"/>
  <c r="J4282" i="109"/>
  <c r="J4281" i="109"/>
  <c r="J4280" i="109"/>
  <c r="J4279" i="109"/>
  <c r="J4278" i="109"/>
  <c r="J4277" i="109"/>
  <c r="J4276" i="109"/>
  <c r="J4275" i="109"/>
  <c r="J4274" i="109"/>
  <c r="J4273" i="109"/>
  <c r="J4272" i="109"/>
  <c r="J4271" i="109"/>
  <c r="J4270" i="109"/>
  <c r="J4269" i="109"/>
  <c r="J4268" i="109"/>
  <c r="J4267" i="109"/>
  <c r="J4266" i="109"/>
  <c r="J4265" i="109"/>
  <c r="J4264" i="109"/>
  <c r="J4263" i="109"/>
  <c r="J4262" i="109"/>
  <c r="J4261" i="109"/>
  <c r="J4260" i="109"/>
  <c r="J4259" i="109"/>
  <c r="J4258" i="109"/>
  <c r="J4257" i="109"/>
  <c r="J4256" i="109"/>
  <c r="J4255" i="109"/>
  <c r="J4254" i="109"/>
  <c r="J4253" i="109"/>
  <c r="J4252" i="109"/>
  <c r="J4251" i="109"/>
  <c r="J4250" i="109"/>
  <c r="J4249" i="109"/>
  <c r="J4248" i="109"/>
  <c r="J4247" i="109"/>
  <c r="J4246" i="109"/>
  <c r="J4245" i="109"/>
  <c r="J4244" i="109"/>
  <c r="J4243" i="109"/>
  <c r="J4242" i="109"/>
  <c r="J4241" i="109"/>
  <c r="J4240" i="109"/>
  <c r="J4239" i="109"/>
  <c r="J4238" i="109"/>
  <c r="J4237" i="109"/>
  <c r="J4236" i="109"/>
  <c r="J4235" i="109"/>
  <c r="J4234" i="109"/>
  <c r="J4233" i="109"/>
  <c r="J4232" i="109"/>
  <c r="J4231" i="109"/>
  <c r="J4230" i="109"/>
  <c r="J4229" i="109"/>
  <c r="J4228" i="109"/>
  <c r="J4227" i="109"/>
  <c r="J4226" i="109"/>
  <c r="J4225" i="109"/>
  <c r="J4224" i="109"/>
  <c r="J4223" i="109"/>
  <c r="J4222" i="109"/>
  <c r="J4221" i="109"/>
  <c r="J4220" i="109"/>
  <c r="J4219" i="109"/>
  <c r="J4218" i="109"/>
  <c r="J4217" i="109"/>
  <c r="J4216" i="109"/>
  <c r="J4215" i="109"/>
  <c r="J4214" i="109"/>
  <c r="J4213" i="109"/>
  <c r="J4212" i="109"/>
  <c r="J4211" i="109"/>
  <c r="J4210" i="109"/>
  <c r="J4209" i="109"/>
  <c r="J4208" i="109"/>
  <c r="J4207" i="109"/>
  <c r="J4206" i="109"/>
  <c r="J4205" i="109"/>
  <c r="J4204" i="109"/>
  <c r="J4203" i="109"/>
  <c r="J4202" i="109"/>
  <c r="J4201" i="109"/>
  <c r="J4200" i="109"/>
  <c r="J4199" i="109"/>
  <c r="J4198" i="109"/>
  <c r="J4197" i="109"/>
  <c r="J4196" i="109"/>
  <c r="J4195" i="109"/>
  <c r="J4194" i="109"/>
  <c r="J4193" i="109"/>
  <c r="J4192" i="109"/>
  <c r="J4191" i="109"/>
  <c r="J4190" i="109"/>
  <c r="J4189" i="109"/>
  <c r="J4188" i="109"/>
  <c r="J4187" i="109"/>
  <c r="J4186" i="109"/>
  <c r="J4185" i="109"/>
  <c r="J4184" i="109"/>
  <c r="J4183" i="109"/>
  <c r="J4182" i="109"/>
  <c r="J4181" i="109"/>
  <c r="J4180" i="109"/>
  <c r="J4179" i="109"/>
  <c r="J4178" i="109"/>
  <c r="J4177" i="109"/>
  <c r="J4176" i="109"/>
  <c r="J4175" i="109"/>
  <c r="J4174" i="109"/>
  <c r="J4173" i="109"/>
  <c r="J4172" i="109"/>
  <c r="J4171" i="109"/>
  <c r="J4170" i="109"/>
  <c r="J4169" i="109"/>
  <c r="J4168" i="109"/>
  <c r="J4167" i="109"/>
  <c r="J4166" i="109"/>
  <c r="J4165" i="109"/>
  <c r="J4164" i="109"/>
  <c r="J4163" i="109"/>
  <c r="J4162" i="109"/>
  <c r="J4161" i="109"/>
  <c r="J4160" i="109"/>
  <c r="J4159" i="109"/>
  <c r="J4158" i="109"/>
  <c r="J4157" i="109"/>
  <c r="J4156" i="109"/>
  <c r="J4155" i="109"/>
  <c r="J4154" i="109"/>
  <c r="J4153" i="109"/>
  <c r="J4152" i="109"/>
  <c r="J4151" i="109"/>
  <c r="J4150" i="109"/>
  <c r="J4149" i="109"/>
  <c r="J4148" i="109"/>
  <c r="J4147" i="109"/>
  <c r="J4146" i="109"/>
  <c r="J4145" i="109"/>
  <c r="J4144" i="109"/>
  <c r="J4143" i="109"/>
  <c r="J4142" i="109"/>
  <c r="J4141" i="109"/>
  <c r="J4140" i="109"/>
  <c r="J4139" i="109"/>
  <c r="J4138" i="109"/>
  <c r="J4137" i="109"/>
  <c r="J4136" i="109"/>
  <c r="J4135" i="109"/>
  <c r="J4134" i="109"/>
  <c r="J4133" i="109"/>
  <c r="J4132" i="109"/>
  <c r="J4131" i="109"/>
  <c r="J4130" i="109"/>
  <c r="J4129" i="109"/>
  <c r="J4128" i="109"/>
  <c r="J4127" i="109"/>
  <c r="J4126" i="109"/>
  <c r="J4125" i="109"/>
  <c r="J4124" i="109"/>
  <c r="J4123" i="109"/>
  <c r="J4122" i="109"/>
  <c r="J4121" i="109"/>
  <c r="J4120" i="109"/>
  <c r="J4119" i="109"/>
  <c r="J4118" i="109"/>
  <c r="J4117" i="109"/>
  <c r="J4116" i="109"/>
  <c r="J4115" i="109"/>
  <c r="J4114" i="109"/>
  <c r="J4113" i="109"/>
  <c r="J4112" i="109"/>
  <c r="J4111" i="109"/>
  <c r="J4110" i="109"/>
  <c r="J4109" i="109"/>
  <c r="J4108" i="109"/>
  <c r="J4107" i="109"/>
  <c r="J4106" i="109"/>
  <c r="J4105" i="109"/>
  <c r="J4104" i="109"/>
  <c r="J4103" i="109"/>
  <c r="J4102" i="109"/>
  <c r="J4101" i="109"/>
  <c r="J4100" i="109"/>
  <c r="J4099" i="109"/>
  <c r="J4098" i="109"/>
  <c r="J4097" i="109"/>
  <c r="J4096" i="109"/>
  <c r="J4095" i="109"/>
  <c r="J4094" i="109"/>
  <c r="J4093" i="109"/>
  <c r="J4092" i="109"/>
  <c r="J4091" i="109"/>
  <c r="J4090" i="109"/>
  <c r="J4089" i="109"/>
  <c r="J4088" i="109"/>
  <c r="J4087" i="109"/>
  <c r="J4086" i="109"/>
  <c r="J4085" i="109"/>
  <c r="J4084" i="109"/>
  <c r="J4083" i="109"/>
  <c r="J4082" i="109"/>
  <c r="J4081" i="109"/>
  <c r="J4080" i="109"/>
  <c r="J4079" i="109"/>
  <c r="J4078" i="109"/>
  <c r="J4077" i="109"/>
  <c r="J4076" i="109"/>
  <c r="J4075" i="109"/>
  <c r="J4074" i="109"/>
  <c r="J4073" i="109"/>
  <c r="J4072" i="109"/>
  <c r="J4071" i="109"/>
  <c r="J4070" i="109"/>
  <c r="J4069" i="109"/>
  <c r="J4068" i="109"/>
  <c r="J4067" i="109"/>
  <c r="J4066" i="109"/>
  <c r="J4065" i="109"/>
  <c r="J4064" i="109"/>
  <c r="J4063" i="109"/>
  <c r="J4062" i="109"/>
  <c r="J4061" i="109"/>
  <c r="J4060" i="109"/>
  <c r="J4059" i="109"/>
  <c r="J4058" i="109"/>
  <c r="J4057" i="109"/>
  <c r="J4056" i="109"/>
  <c r="J4055" i="109"/>
  <c r="J4054" i="109"/>
  <c r="J4053" i="109"/>
  <c r="J4052" i="109"/>
  <c r="J4051" i="109"/>
  <c r="J4050" i="109"/>
  <c r="J4049" i="109"/>
  <c r="J4048" i="109"/>
  <c r="J4047" i="109"/>
  <c r="J4046" i="109"/>
  <c r="J4045" i="109"/>
  <c r="J4044" i="109"/>
  <c r="J4043" i="109"/>
  <c r="J4042" i="109"/>
  <c r="J4041" i="109"/>
  <c r="J4040" i="109"/>
  <c r="J4039" i="109"/>
  <c r="J4038" i="109"/>
  <c r="J4037" i="109"/>
  <c r="J4036" i="109"/>
  <c r="J4035" i="109"/>
  <c r="J4034" i="109"/>
  <c r="J4033" i="109"/>
  <c r="J4032" i="109"/>
  <c r="J4031" i="109"/>
  <c r="J4030" i="109"/>
  <c r="J4029" i="109"/>
  <c r="J4028" i="109"/>
  <c r="J4027" i="109"/>
  <c r="J4026" i="109"/>
  <c r="J4025" i="109"/>
  <c r="J4024" i="109"/>
  <c r="J4023" i="109"/>
  <c r="J4022" i="109"/>
  <c r="J4021" i="109"/>
  <c r="J4020" i="109"/>
  <c r="J4019" i="109"/>
  <c r="J4018" i="109"/>
  <c r="J4017" i="109"/>
  <c r="J4016" i="109"/>
  <c r="J4015" i="109"/>
  <c r="J4014" i="109"/>
  <c r="J4013" i="109"/>
  <c r="J4012" i="109"/>
  <c r="J4011" i="109"/>
  <c r="J4010" i="109"/>
  <c r="J4009" i="109"/>
  <c r="J4008" i="109"/>
  <c r="J4007" i="109"/>
  <c r="J4006" i="109"/>
  <c r="J4005" i="109"/>
  <c r="J4004" i="109"/>
  <c r="J4003" i="109"/>
  <c r="J4002" i="109"/>
  <c r="J4001" i="109"/>
  <c r="J4000" i="109"/>
  <c r="J3999" i="109"/>
  <c r="J3998" i="109"/>
  <c r="J3997" i="109"/>
  <c r="J3996" i="109"/>
  <c r="J3995" i="109"/>
  <c r="J3994" i="109"/>
  <c r="J3993" i="109"/>
  <c r="J3992" i="109"/>
  <c r="J3991" i="109"/>
  <c r="J3990" i="109"/>
  <c r="J3989" i="109"/>
  <c r="J3988" i="109"/>
  <c r="J3987" i="109"/>
  <c r="J3986" i="109"/>
  <c r="J3985" i="109"/>
  <c r="J3984" i="109"/>
  <c r="J3983" i="109"/>
  <c r="J3982" i="109"/>
  <c r="J3981" i="109"/>
  <c r="J3980" i="109"/>
  <c r="J3979" i="109"/>
  <c r="J3978" i="109"/>
  <c r="J3977" i="109"/>
  <c r="J3976" i="109"/>
  <c r="J3975" i="109"/>
  <c r="J3974" i="109"/>
  <c r="J3973" i="109"/>
  <c r="J3972" i="109"/>
  <c r="J3971" i="109"/>
  <c r="J3970" i="109"/>
  <c r="J3969" i="109"/>
  <c r="J3968" i="109"/>
  <c r="J3967" i="109"/>
  <c r="J3966" i="109"/>
  <c r="J3965" i="109"/>
  <c r="J3964" i="109"/>
  <c r="J3963" i="109"/>
  <c r="J3962" i="109"/>
  <c r="J3961" i="109"/>
  <c r="J3960" i="109"/>
  <c r="J3959" i="109"/>
  <c r="J3958" i="109"/>
  <c r="J3957" i="109"/>
  <c r="J3956" i="109"/>
  <c r="J3955" i="109"/>
  <c r="J3954" i="109"/>
  <c r="J3953" i="109"/>
  <c r="J3952" i="109"/>
  <c r="J3951" i="109"/>
  <c r="J3950" i="109"/>
  <c r="J3949" i="109"/>
  <c r="J3948" i="109"/>
  <c r="J3947" i="109"/>
  <c r="J3946" i="109"/>
  <c r="J3945" i="109"/>
  <c r="J3944" i="109"/>
  <c r="J3943" i="109"/>
  <c r="J3942" i="109"/>
  <c r="J3941" i="109"/>
  <c r="J3940" i="109"/>
  <c r="J3939" i="109"/>
  <c r="J3938" i="109"/>
  <c r="J3937" i="109"/>
  <c r="J3936" i="109"/>
  <c r="J3935" i="109"/>
  <c r="J3934" i="109"/>
  <c r="J3933" i="109"/>
  <c r="J3932" i="109"/>
  <c r="J3931" i="109"/>
  <c r="J3930" i="109"/>
  <c r="J3929" i="109"/>
  <c r="J3928" i="109"/>
  <c r="J3927" i="109"/>
  <c r="J3926" i="109"/>
  <c r="J3925" i="109"/>
  <c r="J3924" i="109"/>
  <c r="J3923" i="109"/>
  <c r="J3922" i="109"/>
  <c r="J3921" i="109"/>
  <c r="J3920" i="109"/>
  <c r="J3919" i="109"/>
  <c r="J3918" i="109"/>
  <c r="J3917" i="109"/>
  <c r="J3916" i="109"/>
  <c r="J3915" i="109"/>
  <c r="J3914" i="109"/>
  <c r="J3913" i="109"/>
  <c r="J3912" i="109"/>
  <c r="J3911" i="109"/>
  <c r="J3910" i="109"/>
  <c r="J3909" i="109"/>
  <c r="J3908" i="109"/>
  <c r="J3907" i="109"/>
  <c r="J3906" i="109"/>
  <c r="J3905" i="109"/>
  <c r="J3904" i="109"/>
  <c r="J3903" i="109"/>
  <c r="J3902" i="109"/>
  <c r="J3901" i="109"/>
  <c r="J3900" i="109"/>
  <c r="J3899" i="109"/>
  <c r="J3898" i="109"/>
  <c r="J3897" i="109"/>
  <c r="J3896" i="109"/>
  <c r="J3895" i="109"/>
  <c r="J3894" i="109"/>
  <c r="J3893" i="109"/>
  <c r="J3892" i="109"/>
  <c r="J3891" i="109"/>
  <c r="J3890" i="109"/>
  <c r="J3889" i="109"/>
  <c r="J3888" i="109"/>
  <c r="J3887" i="109"/>
  <c r="J3886" i="109"/>
  <c r="J3885" i="109"/>
  <c r="J3884" i="109"/>
  <c r="J3883" i="109"/>
  <c r="J3882" i="109"/>
  <c r="J3881" i="109"/>
  <c r="J3880" i="109"/>
  <c r="J3879" i="109"/>
  <c r="J3878" i="109"/>
  <c r="J3877" i="109"/>
  <c r="J3876" i="109"/>
  <c r="J3875" i="109"/>
  <c r="J3874" i="109"/>
  <c r="J3873" i="109"/>
  <c r="J3872" i="109"/>
  <c r="J3871" i="109"/>
  <c r="J3870" i="109"/>
  <c r="J3869" i="109"/>
  <c r="J3868" i="109"/>
  <c r="J3867" i="109"/>
  <c r="J3866" i="109"/>
  <c r="J3865" i="109"/>
  <c r="J3864" i="109"/>
  <c r="J3863" i="109"/>
  <c r="J3862" i="109"/>
  <c r="J3861" i="109"/>
  <c r="J3860" i="109"/>
  <c r="J3859" i="109"/>
  <c r="J3858" i="109"/>
  <c r="J3857" i="109"/>
  <c r="J3856" i="109"/>
  <c r="J3855" i="109"/>
  <c r="J3854" i="109"/>
  <c r="J3853" i="109"/>
  <c r="J3852" i="109"/>
  <c r="J3851" i="109"/>
  <c r="J3850" i="109"/>
  <c r="J3849" i="109"/>
  <c r="J3848" i="109"/>
  <c r="J3847" i="109"/>
  <c r="J3846" i="109"/>
  <c r="J3845" i="109"/>
  <c r="J3844" i="109"/>
  <c r="J3843" i="109"/>
  <c r="J3842" i="109"/>
  <c r="J3841" i="109"/>
  <c r="J3840" i="109"/>
  <c r="J3839" i="109"/>
  <c r="J3838" i="109"/>
  <c r="J3837" i="109"/>
  <c r="J3836" i="109"/>
  <c r="J3835" i="109"/>
  <c r="J3834" i="109"/>
  <c r="J3833" i="109"/>
  <c r="J3832" i="109"/>
  <c r="J3831" i="109"/>
  <c r="J3830" i="109"/>
  <c r="J3829" i="109"/>
  <c r="J3828" i="109"/>
  <c r="J3827" i="109"/>
  <c r="J3826" i="109"/>
  <c r="J3825" i="109"/>
  <c r="J3824" i="109"/>
  <c r="J3823" i="109"/>
  <c r="J3822" i="109"/>
  <c r="J3821" i="109"/>
  <c r="J3820" i="109"/>
  <c r="J3819" i="109"/>
  <c r="J3818" i="109"/>
  <c r="J3817" i="109"/>
  <c r="J3816" i="109"/>
  <c r="J3815" i="109"/>
  <c r="J3814" i="109"/>
  <c r="J3813" i="109"/>
  <c r="J3812" i="109"/>
  <c r="J3811" i="109"/>
  <c r="J3810" i="109"/>
  <c r="J3809" i="109"/>
  <c r="J3808" i="109"/>
  <c r="J3807" i="109"/>
  <c r="J3806" i="109"/>
  <c r="J3805" i="109"/>
  <c r="J3804" i="109"/>
  <c r="J3803" i="109"/>
  <c r="J3802" i="109"/>
  <c r="J3801" i="109"/>
  <c r="J3800" i="109"/>
  <c r="J3799" i="109"/>
  <c r="J3798" i="109"/>
  <c r="J3797" i="109"/>
  <c r="J3796" i="109"/>
  <c r="J3795" i="109"/>
  <c r="J3794" i="109"/>
  <c r="J3793" i="109"/>
  <c r="J3792" i="109"/>
  <c r="J3791" i="109"/>
  <c r="J3790" i="109"/>
  <c r="J3789" i="109"/>
  <c r="J3788" i="109"/>
  <c r="J3787" i="109"/>
  <c r="J3786" i="109"/>
  <c r="J3785" i="109"/>
  <c r="J3784" i="109"/>
  <c r="J3783" i="109"/>
  <c r="J3782" i="109"/>
  <c r="J3781" i="109"/>
  <c r="J3780" i="109"/>
  <c r="J3779" i="109"/>
  <c r="J3778" i="109"/>
  <c r="J3777" i="109"/>
  <c r="J3776" i="109"/>
  <c r="J3775" i="109"/>
  <c r="J3774" i="109"/>
  <c r="J3773" i="109"/>
  <c r="J3772" i="109"/>
  <c r="J3771" i="109"/>
  <c r="J3770" i="109"/>
  <c r="J3769" i="109"/>
  <c r="J3768" i="109"/>
  <c r="J3767" i="109"/>
  <c r="J3766" i="109"/>
  <c r="J3765" i="109"/>
  <c r="J3764" i="109"/>
  <c r="J3763" i="109"/>
  <c r="J3762" i="109"/>
  <c r="J3761" i="109"/>
  <c r="J3760" i="109"/>
  <c r="J3759" i="109"/>
  <c r="J3758" i="109"/>
  <c r="J3757" i="109"/>
  <c r="J3756" i="109"/>
  <c r="J3755" i="109"/>
  <c r="J3754" i="109"/>
  <c r="J3753" i="109"/>
  <c r="J3752" i="109"/>
  <c r="J3751" i="109"/>
  <c r="J3750" i="109"/>
  <c r="J3749" i="109"/>
  <c r="J3748" i="109"/>
  <c r="J3747" i="109"/>
  <c r="J3746" i="109"/>
  <c r="J3745" i="109"/>
  <c r="J3744" i="109"/>
  <c r="J3743" i="109"/>
  <c r="J3742" i="109"/>
  <c r="J3741" i="109"/>
  <c r="J3740" i="109"/>
  <c r="J3739" i="109"/>
  <c r="J3738" i="109"/>
  <c r="J3737" i="109"/>
  <c r="J3736" i="109"/>
  <c r="J3735" i="109"/>
  <c r="J3734" i="109"/>
  <c r="J3733" i="109"/>
  <c r="J3732" i="109"/>
  <c r="J3731" i="109"/>
  <c r="J3730" i="109"/>
  <c r="J3729" i="109"/>
  <c r="J3728" i="109"/>
  <c r="J3727" i="109"/>
  <c r="J3726" i="109"/>
  <c r="J3725" i="109"/>
  <c r="J3724" i="109"/>
  <c r="J3723" i="109"/>
  <c r="J3722" i="109"/>
  <c r="J3721" i="109"/>
  <c r="J3720" i="109"/>
  <c r="J3719" i="109"/>
  <c r="J3718" i="109"/>
  <c r="J3717" i="109"/>
  <c r="J3716" i="109"/>
  <c r="J3715" i="109"/>
  <c r="J3714" i="109"/>
  <c r="J3713" i="109"/>
  <c r="J3712" i="109"/>
  <c r="J3711" i="109"/>
  <c r="J3710" i="109"/>
  <c r="J3709" i="109"/>
  <c r="J3708" i="109"/>
  <c r="J3707" i="109"/>
  <c r="J3706" i="109"/>
  <c r="J3705" i="109"/>
  <c r="J3704" i="109"/>
  <c r="J3703" i="109"/>
  <c r="J3702" i="109"/>
  <c r="J3701" i="109"/>
  <c r="J3700" i="109"/>
  <c r="J3699" i="109"/>
  <c r="J3698" i="109"/>
  <c r="J3697" i="109"/>
  <c r="J3696" i="109"/>
  <c r="J3695" i="109"/>
  <c r="J3694" i="109"/>
  <c r="J3693" i="109"/>
  <c r="J3692" i="109"/>
  <c r="J3691" i="109"/>
  <c r="J3690" i="109"/>
  <c r="J3689" i="109"/>
  <c r="J3688" i="109"/>
  <c r="J3687" i="109"/>
  <c r="J3686" i="109"/>
  <c r="J3685" i="109"/>
  <c r="J3684" i="109"/>
  <c r="J3683" i="109"/>
  <c r="J3682" i="109"/>
  <c r="J3681" i="109"/>
  <c r="J3680" i="109"/>
  <c r="J3679" i="109"/>
  <c r="J3678" i="109"/>
  <c r="J3677" i="109"/>
  <c r="J3676" i="109"/>
  <c r="J3675" i="109"/>
  <c r="J3674" i="109"/>
  <c r="J3673" i="109"/>
  <c r="J3672" i="109"/>
  <c r="J3671" i="109"/>
  <c r="J3670" i="109"/>
  <c r="J3669" i="109"/>
  <c r="J3668" i="109"/>
  <c r="J3667" i="109"/>
  <c r="J3666" i="109"/>
  <c r="J3665" i="109"/>
  <c r="J3664" i="109"/>
  <c r="J3663" i="109"/>
  <c r="J3662" i="109"/>
  <c r="J3661" i="109"/>
  <c r="J3660" i="109"/>
  <c r="J3659" i="109"/>
  <c r="J3658" i="109"/>
  <c r="J3657" i="109"/>
  <c r="J3656" i="109"/>
  <c r="J3655" i="109"/>
  <c r="J3654" i="109"/>
  <c r="J3653" i="109"/>
  <c r="J3652" i="109"/>
  <c r="J3651" i="109"/>
  <c r="J3650" i="109"/>
  <c r="J3649" i="109"/>
  <c r="J3648" i="109"/>
  <c r="J3647" i="109"/>
  <c r="J3646" i="109"/>
  <c r="J3645" i="109"/>
  <c r="J3644" i="109"/>
  <c r="J3643" i="109"/>
  <c r="J3642" i="109"/>
  <c r="J3641" i="109"/>
  <c r="J3640" i="109"/>
  <c r="J3639" i="109"/>
  <c r="J3638" i="109"/>
  <c r="J3637" i="109"/>
  <c r="J3636" i="109"/>
  <c r="J3635" i="109"/>
  <c r="J3634" i="109"/>
  <c r="J3633" i="109"/>
  <c r="J3632" i="109"/>
  <c r="J3631" i="109"/>
  <c r="J3630" i="109"/>
  <c r="J3629" i="109"/>
  <c r="J3628" i="109"/>
  <c r="J3627" i="109"/>
  <c r="J3626" i="109"/>
  <c r="J3625" i="109"/>
  <c r="J3624" i="109"/>
  <c r="J3623" i="109"/>
  <c r="J3622" i="109"/>
  <c r="J3621" i="109"/>
  <c r="J3620" i="109"/>
  <c r="J3619" i="109"/>
  <c r="J3618" i="109"/>
  <c r="J3617" i="109"/>
  <c r="J3616" i="109"/>
  <c r="J3615" i="109"/>
  <c r="J3614" i="109"/>
  <c r="J3613" i="109"/>
  <c r="J3612" i="109"/>
  <c r="J3611" i="109"/>
  <c r="J3610" i="109"/>
  <c r="J3609" i="109"/>
  <c r="J3608" i="109"/>
  <c r="J3607" i="109"/>
  <c r="J3606" i="109"/>
  <c r="J3605" i="109"/>
  <c r="J3604" i="109"/>
  <c r="J3603" i="109"/>
  <c r="J3602" i="109"/>
  <c r="J3601" i="109"/>
  <c r="J3600" i="109"/>
  <c r="J3599" i="109"/>
  <c r="J3598" i="109"/>
  <c r="J3597" i="109"/>
  <c r="J3596" i="109"/>
  <c r="J3595" i="109"/>
  <c r="J3594" i="109"/>
  <c r="J3593" i="109"/>
  <c r="J3592" i="109"/>
  <c r="J3591" i="109"/>
  <c r="J3590" i="109"/>
  <c r="J3589" i="109"/>
  <c r="J3588" i="109"/>
  <c r="J3587" i="109"/>
  <c r="J3586" i="109"/>
  <c r="J3585" i="109"/>
  <c r="J3584" i="109"/>
  <c r="J3583" i="109"/>
  <c r="J3582" i="109"/>
  <c r="J3581" i="109"/>
  <c r="J3580" i="109"/>
  <c r="J3579" i="109"/>
  <c r="J3578" i="109"/>
  <c r="J3577" i="109"/>
  <c r="J3576" i="109"/>
  <c r="J3575" i="109"/>
  <c r="J3574" i="109"/>
  <c r="J3573" i="109"/>
  <c r="J3572" i="109"/>
  <c r="J3571" i="109"/>
  <c r="J3570" i="109"/>
  <c r="J3569" i="109"/>
  <c r="J3568" i="109"/>
  <c r="J3567" i="109"/>
  <c r="J3566" i="109"/>
  <c r="J3565" i="109"/>
  <c r="J3564" i="109"/>
  <c r="J3563" i="109"/>
  <c r="J3562" i="109"/>
  <c r="J3561" i="109"/>
  <c r="J3560" i="109"/>
  <c r="J3559" i="109"/>
  <c r="J3558" i="109"/>
  <c r="J3557" i="109"/>
  <c r="J3556" i="109"/>
  <c r="J3555" i="109"/>
  <c r="J3554" i="109"/>
  <c r="J3553" i="109"/>
  <c r="J3552" i="109"/>
  <c r="J3551" i="109"/>
  <c r="J3550" i="109"/>
  <c r="J3549" i="109"/>
  <c r="J3548" i="109"/>
  <c r="J3547" i="109"/>
  <c r="J3546" i="109"/>
  <c r="J3545" i="109"/>
  <c r="J3544" i="109"/>
  <c r="J3543" i="109"/>
  <c r="J3542" i="109"/>
  <c r="J3541" i="109"/>
  <c r="J3540" i="109"/>
  <c r="J3539" i="109"/>
  <c r="J3538" i="109"/>
  <c r="J3537" i="109"/>
  <c r="J3536" i="109"/>
  <c r="J3535" i="109"/>
  <c r="J3534" i="109"/>
  <c r="J3533" i="109"/>
  <c r="J3532" i="109"/>
  <c r="J3531" i="109"/>
  <c r="J3530" i="109"/>
  <c r="J3529" i="109"/>
  <c r="J3528" i="109"/>
  <c r="J3527" i="109"/>
  <c r="J3526" i="109"/>
  <c r="J3525" i="109"/>
  <c r="J3524" i="109"/>
  <c r="J3523" i="109"/>
  <c r="J3522" i="109"/>
  <c r="J3521" i="109"/>
  <c r="J3520" i="109"/>
  <c r="J3519" i="109"/>
  <c r="J3518" i="109"/>
  <c r="J3517" i="109"/>
  <c r="J3516" i="109"/>
  <c r="J3515" i="109"/>
  <c r="J3514" i="109"/>
  <c r="J3513" i="109"/>
  <c r="J3512" i="109"/>
  <c r="J3511" i="109"/>
  <c r="J3510" i="109"/>
  <c r="J3509" i="109"/>
  <c r="J3508" i="109"/>
  <c r="J3507" i="109"/>
  <c r="J3506" i="109"/>
  <c r="J3505" i="109"/>
  <c r="J3504" i="109"/>
  <c r="J3503" i="109"/>
  <c r="J3502" i="109"/>
  <c r="J3501" i="109"/>
  <c r="J3500" i="109"/>
  <c r="J3499" i="109"/>
  <c r="J3498" i="109"/>
  <c r="J3497" i="109"/>
  <c r="J3496" i="109"/>
  <c r="J3495" i="109"/>
  <c r="J3494" i="109"/>
  <c r="J3493" i="109"/>
  <c r="J3492" i="109"/>
  <c r="J3491" i="109"/>
  <c r="J3490" i="109"/>
  <c r="J3489" i="109"/>
  <c r="J3488" i="109"/>
  <c r="J3487" i="109"/>
  <c r="J3486" i="109"/>
  <c r="J3485" i="109"/>
  <c r="J3484" i="109"/>
  <c r="J3483" i="109"/>
  <c r="J3482" i="109"/>
  <c r="J3481" i="109"/>
  <c r="J3480" i="109"/>
  <c r="J3479" i="109"/>
  <c r="J3478" i="109"/>
  <c r="J3477" i="109"/>
  <c r="J3476" i="109"/>
  <c r="J3475" i="109"/>
  <c r="J3474" i="109"/>
  <c r="J3473" i="109"/>
  <c r="J3472" i="109"/>
  <c r="J3471" i="109"/>
  <c r="J3470" i="109"/>
  <c r="J3469" i="109"/>
  <c r="J3468" i="109"/>
  <c r="J3467" i="109"/>
  <c r="J3466" i="109"/>
  <c r="J3465" i="109"/>
  <c r="J3464" i="109"/>
  <c r="J3463" i="109"/>
  <c r="J3462" i="109"/>
  <c r="J3461" i="109"/>
  <c r="J3460" i="109"/>
  <c r="J3459" i="109"/>
  <c r="J3458" i="109"/>
  <c r="J3457" i="109"/>
  <c r="J3456" i="109"/>
  <c r="J3455" i="109"/>
  <c r="J3454" i="109"/>
  <c r="J3453" i="109"/>
  <c r="J3452" i="109"/>
  <c r="J3451" i="109"/>
  <c r="J3450" i="109"/>
  <c r="J3449" i="109"/>
  <c r="J3448" i="109"/>
  <c r="J3447" i="109"/>
  <c r="J3446" i="109"/>
  <c r="J3445" i="109"/>
  <c r="J3444" i="109"/>
  <c r="J3443" i="109"/>
  <c r="J3442" i="109"/>
  <c r="J3441" i="109"/>
  <c r="J3440" i="109"/>
  <c r="J3439" i="109"/>
  <c r="J3438" i="109"/>
  <c r="J3437" i="109"/>
  <c r="J3436" i="109"/>
  <c r="J3435" i="109"/>
  <c r="J3434" i="109"/>
  <c r="J3433" i="109"/>
  <c r="J3432" i="109"/>
  <c r="J3431" i="109"/>
  <c r="J3430" i="109"/>
  <c r="J3429" i="109"/>
  <c r="J3428" i="109"/>
  <c r="J3427" i="109"/>
  <c r="J3426" i="109"/>
  <c r="J3425" i="109"/>
  <c r="J3424" i="109"/>
  <c r="J3423" i="109"/>
  <c r="J3422" i="109"/>
  <c r="J3421" i="109"/>
  <c r="J3420" i="109"/>
  <c r="J3419" i="109"/>
  <c r="J3418" i="109"/>
  <c r="J3417" i="109"/>
  <c r="J3416" i="109"/>
  <c r="J3415" i="109"/>
  <c r="J3414" i="109"/>
  <c r="J3413" i="109"/>
  <c r="J3412" i="109"/>
  <c r="J3411" i="109"/>
  <c r="J3410" i="109"/>
  <c r="J3409" i="109"/>
  <c r="J3408" i="109"/>
  <c r="J3407" i="109"/>
  <c r="J3406" i="109"/>
  <c r="J3405" i="109"/>
  <c r="J3404" i="109"/>
  <c r="J3403" i="109"/>
  <c r="J3402" i="109"/>
  <c r="J3401" i="109"/>
  <c r="J3400" i="109"/>
  <c r="J3399" i="109"/>
  <c r="J3398" i="109"/>
  <c r="J3397" i="109"/>
  <c r="J3396" i="109"/>
  <c r="J3395" i="109"/>
  <c r="J3394" i="109"/>
  <c r="J3393" i="109"/>
  <c r="J3392" i="109"/>
  <c r="J3391" i="109"/>
  <c r="J3390" i="109"/>
  <c r="J3389" i="109"/>
  <c r="J3388" i="109"/>
  <c r="J3387" i="109"/>
  <c r="J3386" i="109"/>
  <c r="J3385" i="109"/>
  <c r="J3384" i="109"/>
  <c r="J3383" i="109"/>
  <c r="J3382" i="109"/>
  <c r="J3381" i="109"/>
  <c r="J3380" i="109"/>
  <c r="J3379" i="109"/>
  <c r="J3378" i="109"/>
  <c r="J3377" i="109"/>
  <c r="J3376" i="109"/>
  <c r="J3375" i="109"/>
  <c r="J3374" i="109"/>
  <c r="J3373" i="109"/>
  <c r="J3372" i="109"/>
  <c r="J3371" i="109"/>
  <c r="J3370" i="109"/>
  <c r="J3369" i="109"/>
  <c r="J3368" i="109"/>
  <c r="J3367" i="109"/>
  <c r="J3366" i="109"/>
  <c r="J3365" i="109"/>
  <c r="J3364" i="109"/>
  <c r="J3363" i="109"/>
  <c r="J3362" i="109"/>
  <c r="J3361" i="109"/>
  <c r="J3360" i="109"/>
  <c r="J3359" i="109"/>
  <c r="J3358" i="109"/>
  <c r="J3357" i="109"/>
  <c r="J3356" i="109"/>
  <c r="J3355" i="109"/>
  <c r="J3354" i="109"/>
  <c r="J3353" i="109"/>
  <c r="J3352" i="109"/>
  <c r="J3351" i="109"/>
  <c r="J3350" i="109"/>
  <c r="J3349" i="109"/>
  <c r="J3348" i="109"/>
  <c r="J3347" i="109"/>
  <c r="J3346" i="109"/>
  <c r="J3345" i="109"/>
  <c r="J3344" i="109"/>
  <c r="J3343" i="109"/>
  <c r="J3342" i="109"/>
  <c r="J3341" i="109"/>
  <c r="J3340" i="109"/>
  <c r="J3339" i="109"/>
  <c r="J3338" i="109"/>
  <c r="J3337" i="109"/>
  <c r="J3336" i="109"/>
  <c r="J3335" i="109"/>
  <c r="J3334" i="109"/>
  <c r="J3333" i="109"/>
  <c r="J3332" i="109"/>
  <c r="J3331" i="109"/>
  <c r="J3330" i="109"/>
  <c r="J3329" i="109"/>
  <c r="J3328" i="109"/>
  <c r="J3327" i="109"/>
  <c r="J3326" i="109"/>
  <c r="J3325" i="109"/>
  <c r="J3324" i="109"/>
  <c r="J3323" i="109"/>
  <c r="J3322" i="109"/>
  <c r="J3321" i="109"/>
  <c r="J3320" i="109"/>
  <c r="J3319" i="109"/>
  <c r="J3318" i="109"/>
  <c r="J3317" i="109"/>
  <c r="J3316" i="109"/>
  <c r="J3315" i="109"/>
  <c r="J3314" i="109"/>
  <c r="J3313" i="109"/>
  <c r="J3312" i="109"/>
  <c r="J3311" i="109"/>
  <c r="J3310" i="109"/>
  <c r="J3309" i="109"/>
  <c r="J3308" i="109"/>
  <c r="J3307" i="109"/>
  <c r="J3306" i="109"/>
  <c r="J3305" i="109"/>
  <c r="J3304" i="109"/>
  <c r="J3303" i="109"/>
  <c r="J3302" i="109"/>
  <c r="J3301" i="109"/>
  <c r="J3300" i="109"/>
  <c r="J3299" i="109"/>
  <c r="J3298" i="109"/>
  <c r="J3297" i="109"/>
  <c r="J3296" i="109"/>
  <c r="J3295" i="109"/>
  <c r="J3294" i="109"/>
  <c r="J3293" i="109"/>
  <c r="J3292" i="109"/>
  <c r="J3291" i="109"/>
  <c r="J3290" i="109"/>
  <c r="J3289" i="109"/>
  <c r="J3288" i="109"/>
  <c r="J3287" i="109"/>
  <c r="J3286" i="109"/>
  <c r="J3285" i="109"/>
  <c r="J3284" i="109"/>
  <c r="J3283" i="109"/>
  <c r="J3282" i="109"/>
  <c r="J3281" i="109"/>
  <c r="J3280" i="109"/>
  <c r="J3279" i="109"/>
  <c r="J3278" i="109"/>
  <c r="J3277" i="109"/>
  <c r="J3276" i="109"/>
  <c r="J3275" i="109"/>
  <c r="J3274" i="109"/>
  <c r="J3273" i="109"/>
  <c r="J3272" i="109"/>
  <c r="J3271" i="109"/>
  <c r="J3270" i="109"/>
  <c r="J3269" i="109"/>
  <c r="J3268" i="109"/>
  <c r="J3267" i="109"/>
  <c r="J3266" i="109"/>
  <c r="J3265" i="109"/>
  <c r="J3264" i="109"/>
  <c r="J3263" i="109"/>
  <c r="J3262" i="109"/>
  <c r="J3261" i="109"/>
  <c r="J3260" i="109"/>
  <c r="J3259" i="109"/>
  <c r="J3258" i="109"/>
  <c r="J3257" i="109"/>
  <c r="J3256" i="109"/>
  <c r="J3255" i="109"/>
  <c r="J3254" i="109"/>
  <c r="J3253" i="109"/>
  <c r="J3252" i="109"/>
  <c r="J3251" i="109"/>
  <c r="J3250" i="109"/>
  <c r="J3249" i="109"/>
  <c r="J3248" i="109"/>
  <c r="J3247" i="109"/>
  <c r="J3246" i="109"/>
  <c r="J3245" i="109"/>
  <c r="J3244" i="109"/>
  <c r="J3243" i="109"/>
  <c r="J3242" i="109"/>
  <c r="J3241" i="109"/>
  <c r="J3240" i="109"/>
  <c r="J3239" i="109"/>
  <c r="J3238" i="109"/>
  <c r="J3237" i="109"/>
  <c r="J3236" i="109"/>
  <c r="J3235" i="109"/>
  <c r="J3234" i="109"/>
  <c r="J3233" i="109"/>
  <c r="J3232" i="109"/>
  <c r="J3231" i="109"/>
  <c r="J3230" i="109"/>
  <c r="J3229" i="109"/>
  <c r="J3228" i="109"/>
  <c r="J3227" i="109"/>
  <c r="J3226" i="109"/>
  <c r="J3225" i="109"/>
  <c r="J3224" i="109"/>
  <c r="J3223" i="109"/>
  <c r="J3222" i="109"/>
  <c r="J3221" i="109"/>
  <c r="J3220" i="109"/>
  <c r="J3219" i="109"/>
  <c r="J3218" i="109"/>
  <c r="J3217" i="109"/>
  <c r="J3216" i="109"/>
  <c r="J3215" i="109"/>
  <c r="J3214" i="109"/>
  <c r="J3213" i="109"/>
  <c r="J3212" i="109"/>
  <c r="J3211" i="109"/>
  <c r="J3210" i="109"/>
  <c r="J3209" i="109"/>
  <c r="J3208" i="109"/>
  <c r="J3207" i="109"/>
  <c r="J3206" i="109"/>
  <c r="J3205" i="109"/>
  <c r="J3204" i="109"/>
  <c r="J3203" i="109"/>
  <c r="J3202" i="109"/>
  <c r="J3201" i="109"/>
  <c r="J3200" i="109"/>
  <c r="J3199" i="109"/>
  <c r="J3198" i="109"/>
  <c r="J3197" i="109"/>
  <c r="J3196" i="109"/>
  <c r="J3195" i="109"/>
  <c r="J3194" i="109"/>
  <c r="J3193" i="109"/>
  <c r="J3192" i="109"/>
  <c r="J3191" i="109"/>
  <c r="J3190" i="109"/>
  <c r="J3189" i="109"/>
  <c r="J3188" i="109"/>
  <c r="J3187" i="109"/>
  <c r="J3186" i="109"/>
  <c r="J3185" i="109"/>
  <c r="J3184" i="109"/>
  <c r="J3183" i="109"/>
  <c r="J3182" i="109"/>
  <c r="J3181" i="109"/>
  <c r="J3180" i="109"/>
  <c r="J3179" i="109"/>
  <c r="J3178" i="109"/>
  <c r="J3177" i="109"/>
  <c r="J3176" i="109"/>
  <c r="J3175" i="109"/>
  <c r="J3169" i="109"/>
  <c r="J3168" i="109"/>
  <c r="J3167" i="109"/>
  <c r="J3164" i="109"/>
  <c r="J3163" i="109"/>
  <c r="J3162" i="109"/>
  <c r="J3161" i="109"/>
  <c r="J3160" i="109"/>
  <c r="J3159" i="109"/>
  <c r="J3158" i="109"/>
  <c r="J3157" i="109"/>
  <c r="J3156" i="109"/>
  <c r="J3155" i="109"/>
  <c r="J3154" i="109"/>
  <c r="J3153" i="109"/>
  <c r="J3152" i="109"/>
  <c r="J3151" i="109"/>
  <c r="J3150" i="109"/>
  <c r="J3149" i="109"/>
  <c r="J3148" i="109"/>
  <c r="J3146" i="109"/>
  <c r="J3145" i="109"/>
  <c r="J3144" i="109"/>
  <c r="J3143" i="109"/>
  <c r="J3142" i="109"/>
  <c r="J3141" i="109"/>
  <c r="J3140" i="109"/>
  <c r="J3139" i="109"/>
  <c r="J3138" i="109"/>
  <c r="J3137" i="109"/>
  <c r="J3136" i="109"/>
  <c r="J3135" i="109"/>
  <c r="J3134" i="109"/>
  <c r="J3133" i="109"/>
  <c r="J3132" i="109"/>
  <c r="J3131" i="109"/>
  <c r="J3130" i="109"/>
  <c r="J3129" i="109"/>
  <c r="J3128" i="109"/>
  <c r="J3127" i="109"/>
  <c r="J3126" i="109"/>
  <c r="J3125" i="109"/>
  <c r="J3124" i="109"/>
  <c r="J3123" i="109"/>
  <c r="J3122" i="109"/>
  <c r="J3121" i="109"/>
  <c r="J3120" i="109"/>
  <c r="J3119" i="109"/>
  <c r="J3118" i="109"/>
  <c r="J3117" i="109"/>
  <c r="J3116" i="109"/>
  <c r="J3115" i="109"/>
  <c r="J3114" i="109"/>
  <c r="J3113" i="109"/>
  <c r="J3112" i="109"/>
  <c r="J3111" i="109"/>
  <c r="J3110" i="109"/>
  <c r="J3109" i="109"/>
  <c r="J3108" i="109"/>
  <c r="J3107" i="109"/>
  <c r="J3106" i="109"/>
  <c r="J3105" i="109"/>
  <c r="J3104" i="109"/>
  <c r="J3103" i="109"/>
  <c r="J3102" i="109"/>
  <c r="J3101" i="109"/>
  <c r="J3100" i="109"/>
  <c r="J3099" i="109"/>
  <c r="J3098" i="109"/>
  <c r="J3097" i="109"/>
  <c r="J3096" i="109"/>
  <c r="J3095" i="109"/>
  <c r="J3094" i="109"/>
  <c r="J3093" i="109"/>
  <c r="J3092" i="109"/>
  <c r="J3091" i="109"/>
  <c r="J3090" i="109"/>
  <c r="J3089" i="109"/>
  <c r="J3088" i="109"/>
  <c r="J3087" i="109"/>
  <c r="J3086" i="109"/>
  <c r="J3085" i="109"/>
  <c r="J3084" i="109"/>
  <c r="J3083" i="109"/>
  <c r="J3082" i="109"/>
  <c r="J3081" i="109"/>
  <c r="J3080" i="109"/>
  <c r="J3079" i="109"/>
  <c r="J3078" i="109"/>
  <c r="J3077" i="109"/>
  <c r="J3076" i="109"/>
  <c r="J3075" i="109"/>
  <c r="J3074" i="109"/>
  <c r="J3073" i="109"/>
  <c r="J3072" i="109"/>
  <c r="J3071" i="109"/>
  <c r="J3070" i="109"/>
  <c r="J3069" i="109"/>
  <c r="J3068" i="109"/>
  <c r="J3067" i="109"/>
  <c r="J3066" i="109"/>
  <c r="J3065" i="109"/>
  <c r="J3064" i="109"/>
  <c r="J3063" i="109"/>
  <c r="J3062" i="109"/>
  <c r="J3061" i="109"/>
  <c r="J3060" i="109"/>
  <c r="J3059" i="109"/>
  <c r="J3058" i="109"/>
  <c r="J3057" i="109"/>
  <c r="J3056" i="109"/>
  <c r="J3055" i="109"/>
  <c r="J3054" i="109"/>
  <c r="J3053" i="109"/>
  <c r="J3052" i="109"/>
  <c r="J3051" i="109"/>
  <c r="J3050" i="109"/>
  <c r="J3049" i="109"/>
  <c r="J3048" i="109"/>
  <c r="J3047" i="109"/>
  <c r="J3046" i="109"/>
  <c r="J3045" i="109"/>
  <c r="J3044" i="109"/>
  <c r="J3043" i="109"/>
  <c r="J3042" i="109"/>
  <c r="J3041" i="109"/>
  <c r="J3040" i="109"/>
  <c r="J3039" i="109"/>
  <c r="J3038" i="109"/>
  <c r="J3037" i="109"/>
  <c r="J3036" i="109"/>
  <c r="J3035" i="109"/>
  <c r="J3034" i="109"/>
  <c r="J3033" i="109"/>
  <c r="J3032" i="109"/>
  <c r="J3031" i="109"/>
  <c r="J3030" i="109"/>
  <c r="J3029" i="109"/>
  <c r="J3028" i="109"/>
  <c r="J3027" i="109"/>
  <c r="J3026" i="109"/>
  <c r="J3025" i="109"/>
  <c r="J3024" i="109"/>
  <c r="J3023" i="109"/>
  <c r="J3022" i="109"/>
  <c r="J3021" i="109"/>
  <c r="J3020" i="109"/>
  <c r="J3019" i="109"/>
  <c r="J3018" i="109"/>
  <c r="J3017" i="109"/>
  <c r="J3016" i="109"/>
  <c r="J3015" i="109"/>
  <c r="J3014" i="109"/>
  <c r="J3013" i="109"/>
  <c r="J3012" i="109"/>
  <c r="J3011" i="109"/>
  <c r="J3010" i="109"/>
  <c r="J3009" i="109"/>
  <c r="J3008" i="109"/>
  <c r="J3007" i="109"/>
  <c r="J3006" i="109"/>
  <c r="J3005" i="109"/>
  <c r="J3004" i="109"/>
  <c r="J3003" i="109"/>
  <c r="J3002" i="109"/>
  <c r="J3001" i="109"/>
  <c r="J3000" i="109"/>
  <c r="J2999" i="109"/>
  <c r="J2998" i="109"/>
  <c r="J2997" i="109"/>
  <c r="J2996" i="109"/>
  <c r="J2995" i="109"/>
  <c r="J2994" i="109"/>
  <c r="J2993" i="109"/>
  <c r="J2992" i="109"/>
  <c r="J2991" i="109"/>
  <c r="J2990" i="109"/>
  <c r="J2989" i="109"/>
  <c r="J2988" i="109"/>
  <c r="J2987" i="109"/>
  <c r="J2986" i="109"/>
  <c r="J2985" i="109"/>
  <c r="J2984" i="109"/>
  <c r="J2983" i="109"/>
  <c r="J2982" i="109"/>
  <c r="J2981" i="109"/>
  <c r="J2980" i="109"/>
  <c r="J2979" i="109"/>
  <c r="J2978" i="109"/>
  <c r="J2977" i="109"/>
  <c r="J2976" i="109"/>
  <c r="J2975" i="109"/>
  <c r="J2974" i="109"/>
  <c r="J2973" i="109"/>
  <c r="J2972" i="109"/>
  <c r="J2971" i="109"/>
  <c r="J2970" i="109"/>
  <c r="J2969" i="109"/>
  <c r="J2968" i="109"/>
  <c r="J2967" i="109"/>
  <c r="J2966" i="109"/>
  <c r="J2965" i="109"/>
  <c r="J2964" i="109"/>
  <c r="J2963" i="109"/>
  <c r="J2962" i="109"/>
  <c r="J2961" i="109"/>
  <c r="J2960" i="109"/>
  <c r="J2959" i="109"/>
  <c r="J2958" i="109"/>
  <c r="J2957" i="109"/>
  <c r="J2956" i="109"/>
  <c r="J2955" i="109"/>
  <c r="J2954" i="109"/>
  <c r="J2953" i="109"/>
  <c r="J2952" i="109"/>
  <c r="J2951" i="109"/>
  <c r="J2950" i="109"/>
  <c r="J2949" i="109"/>
  <c r="J2948" i="109"/>
  <c r="J2947" i="109"/>
  <c r="J2946" i="109"/>
  <c r="J2945" i="109"/>
  <c r="J2944" i="109"/>
  <c r="J2943" i="109"/>
  <c r="J2942" i="109"/>
  <c r="J2941" i="109"/>
  <c r="J2940" i="109"/>
  <c r="J2939" i="109"/>
  <c r="J2938" i="109"/>
  <c r="J2937" i="109"/>
  <c r="J2936" i="109"/>
  <c r="J2935" i="109"/>
  <c r="J2934" i="109"/>
  <c r="J2933" i="109"/>
  <c r="J2932" i="109"/>
  <c r="J2931" i="109"/>
  <c r="J2930" i="109"/>
  <c r="J2929" i="109"/>
  <c r="J2928" i="109"/>
  <c r="J2927" i="109"/>
  <c r="J2926" i="109"/>
  <c r="J2925" i="109"/>
  <c r="J2924" i="109"/>
  <c r="J2923" i="109"/>
  <c r="J2922" i="109"/>
  <c r="J2921" i="109"/>
  <c r="J2920" i="109"/>
  <c r="J2919" i="109"/>
  <c r="J2918" i="109"/>
  <c r="J2917" i="109"/>
  <c r="J2916" i="109"/>
  <c r="J2915" i="109"/>
  <c r="J2914" i="109"/>
  <c r="J2913" i="109"/>
  <c r="J2912" i="109"/>
  <c r="J2911" i="109"/>
  <c r="J2910" i="109"/>
  <c r="J2909" i="109"/>
  <c r="J2908" i="109"/>
  <c r="J2907" i="109"/>
  <c r="J2906" i="109"/>
  <c r="J2905" i="109"/>
  <c r="J2904" i="109"/>
  <c r="J2903" i="109"/>
  <c r="J2902" i="109"/>
  <c r="J2901" i="109"/>
  <c r="J2900" i="109"/>
  <c r="J2899" i="109"/>
  <c r="J2898" i="109"/>
  <c r="J2897" i="109"/>
  <c r="J2896" i="109"/>
  <c r="J2895" i="109"/>
  <c r="J2894" i="109"/>
  <c r="J2893" i="109"/>
  <c r="J2892" i="109"/>
  <c r="J2891" i="109"/>
  <c r="J2890" i="109"/>
  <c r="J2889" i="109"/>
  <c r="J2888" i="109"/>
  <c r="J2887" i="109"/>
  <c r="J2886" i="109"/>
  <c r="J2885" i="109"/>
  <c r="J2884" i="109"/>
  <c r="J2883" i="109"/>
  <c r="J2882" i="109"/>
  <c r="J2881" i="109"/>
  <c r="J2880" i="109"/>
  <c r="J2879" i="109"/>
  <c r="J2878" i="109"/>
  <c r="J2877" i="109"/>
  <c r="J2876" i="109"/>
  <c r="J2875" i="109"/>
  <c r="J2874" i="109"/>
  <c r="J2873" i="109"/>
  <c r="J2872" i="109"/>
  <c r="J2871" i="109"/>
  <c r="J2870" i="109"/>
  <c r="J2869" i="109"/>
  <c r="J2868" i="109"/>
  <c r="J2867" i="109"/>
  <c r="J2866" i="109"/>
  <c r="J2865" i="109"/>
  <c r="J2864" i="109"/>
  <c r="J2863" i="109"/>
  <c r="J2862" i="109"/>
  <c r="J2861" i="109"/>
  <c r="J2860" i="109"/>
  <c r="J2859" i="109"/>
  <c r="J2858" i="109"/>
  <c r="J2857" i="109"/>
  <c r="J2856" i="109"/>
  <c r="J2855" i="109"/>
  <c r="J2854" i="109"/>
  <c r="J2853" i="109"/>
  <c r="J2852" i="109"/>
  <c r="J2851" i="109"/>
  <c r="J2850" i="109"/>
  <c r="J2849" i="109"/>
  <c r="J2848" i="109"/>
  <c r="J2847" i="109"/>
  <c r="J2846" i="109"/>
  <c r="J2845" i="109"/>
  <c r="J2844" i="109"/>
  <c r="J2842" i="109"/>
  <c r="J2841" i="109"/>
  <c r="J2840" i="109"/>
  <c r="J2839" i="109"/>
  <c r="J2838" i="109"/>
  <c r="J2837" i="109"/>
  <c r="J2836" i="109"/>
  <c r="J2835" i="109"/>
  <c r="J2834" i="109"/>
  <c r="J2833" i="109"/>
  <c r="J2832" i="109"/>
  <c r="J2831" i="109"/>
  <c r="J2830" i="109"/>
  <c r="J2829" i="109"/>
  <c r="J2828" i="109"/>
  <c r="J2827" i="109"/>
  <c r="J2826" i="109"/>
  <c r="J2825" i="109"/>
  <c r="J2824" i="109"/>
  <c r="J2823" i="109"/>
  <c r="J2822" i="109"/>
  <c r="J2821" i="109"/>
  <c r="J2820" i="109"/>
  <c r="J2819" i="109"/>
  <c r="J2818" i="109"/>
  <c r="J2817" i="109"/>
  <c r="J2816" i="109"/>
  <c r="J2815" i="109"/>
  <c r="J2814" i="109"/>
  <c r="J2813" i="109"/>
  <c r="J2812" i="109"/>
  <c r="J2811" i="109"/>
  <c r="J2810" i="109"/>
  <c r="J2809" i="109"/>
  <c r="J2808" i="109"/>
  <c r="J2807" i="109"/>
  <c r="J2806" i="109"/>
  <c r="J2805" i="109"/>
  <c r="J2804" i="109"/>
  <c r="J2803" i="109"/>
  <c r="J2802" i="109"/>
  <c r="J2801" i="109"/>
  <c r="J2800" i="109"/>
  <c r="J2799" i="109"/>
  <c r="J2798" i="109"/>
  <c r="J2797" i="109"/>
  <c r="J2796" i="109"/>
  <c r="J2795" i="109"/>
  <c r="J2794" i="109"/>
  <c r="J2793" i="109"/>
  <c r="J2792" i="109"/>
  <c r="J2791" i="109"/>
  <c r="J2790" i="109"/>
  <c r="J2789" i="109"/>
  <c r="J2788" i="109"/>
  <c r="J2787" i="109"/>
  <c r="J2786" i="109"/>
  <c r="J2785" i="109"/>
  <c r="J2784" i="109"/>
  <c r="J2783" i="109"/>
  <c r="J2782" i="109"/>
  <c r="J2781" i="109"/>
  <c r="J2780" i="109"/>
  <c r="J2779" i="109"/>
  <c r="J2778" i="109"/>
  <c r="J2777" i="109"/>
  <c r="J2776" i="109"/>
  <c r="J2775" i="109"/>
  <c r="J2774" i="109"/>
  <c r="J2773" i="109"/>
  <c r="J2772" i="109"/>
  <c r="J2771" i="109"/>
  <c r="J2770" i="109"/>
  <c r="J2769" i="109"/>
  <c r="J2768" i="109"/>
  <c r="J2767" i="109"/>
  <c r="J2766" i="109"/>
  <c r="J2765" i="109"/>
  <c r="J2764" i="109"/>
  <c r="J2763" i="109"/>
  <c r="J2762" i="109"/>
  <c r="J2761" i="109"/>
  <c r="J2760" i="109"/>
  <c r="J2759" i="109"/>
  <c r="J2758" i="109"/>
  <c r="J2757" i="109"/>
  <c r="J2756" i="109"/>
  <c r="J2755" i="109"/>
  <c r="J2754" i="109"/>
  <c r="J2753" i="109"/>
  <c r="J2752" i="109"/>
  <c r="J2751" i="109"/>
  <c r="J2750" i="109"/>
  <c r="J2749" i="109"/>
  <c r="J2748" i="109"/>
  <c r="J2747" i="109"/>
  <c r="J2746" i="109"/>
  <c r="J2745" i="109"/>
  <c r="J2744" i="109"/>
  <c r="J2743" i="109"/>
  <c r="J2742" i="109"/>
  <c r="J2741" i="109"/>
  <c r="J2740" i="109"/>
  <c r="J2739" i="109"/>
  <c r="J2738" i="109"/>
  <c r="J2737" i="109"/>
  <c r="J2736" i="109"/>
  <c r="J2735" i="109"/>
  <c r="J2734" i="109"/>
  <c r="J2733" i="109"/>
  <c r="J2732" i="109"/>
  <c r="J2731" i="109"/>
  <c r="J2730" i="109"/>
  <c r="J2729" i="109"/>
  <c r="J2728" i="109"/>
  <c r="J2727" i="109"/>
  <c r="J2726" i="109"/>
  <c r="J2725" i="109"/>
  <c r="J2724" i="109"/>
  <c r="J2723" i="109"/>
  <c r="J2722" i="109"/>
  <c r="J2721" i="109"/>
  <c r="J2720" i="109"/>
  <c r="J2719" i="109"/>
  <c r="J2718" i="109"/>
  <c r="J2717" i="109"/>
  <c r="J2716" i="109"/>
  <c r="J2715" i="109"/>
  <c r="J2714" i="109"/>
  <c r="J2713" i="109"/>
  <c r="J2712" i="109"/>
  <c r="J2711" i="109"/>
  <c r="J2710" i="109"/>
  <c r="J2709" i="109"/>
  <c r="J2708" i="109"/>
  <c r="J2707" i="109"/>
  <c r="J2706" i="109"/>
  <c r="J2705" i="109"/>
  <c r="J2704" i="109"/>
  <c r="J2703" i="109"/>
  <c r="J2702" i="109"/>
  <c r="J2701" i="109"/>
  <c r="J2700" i="109"/>
  <c r="J2699" i="109"/>
  <c r="J2698" i="109"/>
  <c r="J2697" i="109"/>
  <c r="J2696" i="109"/>
  <c r="J2695" i="109"/>
  <c r="J2694" i="109"/>
  <c r="J2693" i="109"/>
  <c r="J2692" i="109"/>
  <c r="J2691" i="109"/>
  <c r="J2690" i="109"/>
  <c r="J2689" i="109"/>
  <c r="J2688" i="109"/>
  <c r="J2687" i="109"/>
  <c r="J2686" i="109"/>
  <c r="J2685" i="109"/>
  <c r="J2684" i="109"/>
  <c r="J2683" i="109"/>
  <c r="J2682" i="109"/>
  <c r="J2681" i="109"/>
  <c r="J2680" i="109"/>
  <c r="J2679" i="109"/>
  <c r="J2678" i="109"/>
  <c r="J2677" i="109"/>
  <c r="J2676" i="109"/>
  <c r="J2675" i="109"/>
  <c r="J2674" i="109"/>
  <c r="J2673" i="109"/>
  <c r="J2672" i="109"/>
  <c r="J2671" i="109"/>
  <c r="J2670" i="109"/>
  <c r="J2669" i="109"/>
  <c r="J2668" i="109"/>
  <c r="J2667" i="109"/>
  <c r="J2666" i="109"/>
  <c r="J2665" i="109"/>
  <c r="J2664" i="109"/>
  <c r="J2663" i="109"/>
  <c r="J2662" i="109"/>
  <c r="J2661" i="109"/>
  <c r="J2660" i="109"/>
  <c r="J2659" i="109"/>
  <c r="J2658" i="109"/>
  <c r="J2657" i="109"/>
  <c r="J2656" i="109"/>
  <c r="J2655" i="109"/>
  <c r="J2654" i="109"/>
  <c r="J2653" i="109"/>
  <c r="J2652" i="109"/>
  <c r="J2651" i="109"/>
  <c r="J2650" i="109"/>
  <c r="J2649" i="109"/>
  <c r="J2648" i="109"/>
  <c r="J2647" i="109"/>
  <c r="J2646" i="109"/>
  <c r="J2645" i="109"/>
  <c r="J2644" i="109"/>
  <c r="J2643" i="109"/>
  <c r="J2642" i="109"/>
  <c r="J2641" i="109"/>
  <c r="J2640" i="109"/>
  <c r="J2639" i="109"/>
  <c r="J2638" i="109"/>
  <c r="J2637" i="109"/>
  <c r="J2636" i="109"/>
  <c r="J2635" i="109"/>
  <c r="J2634" i="109"/>
  <c r="J2633" i="109"/>
  <c r="J2632" i="109"/>
  <c r="J2631" i="109"/>
  <c r="J2630" i="109"/>
  <c r="J2629" i="109"/>
  <c r="J2628" i="109"/>
  <c r="J2627" i="109"/>
  <c r="J2626" i="109"/>
  <c r="J2625" i="109"/>
  <c r="J2624" i="109"/>
  <c r="J2623" i="109"/>
  <c r="J2622" i="109"/>
  <c r="J2621" i="109"/>
  <c r="J2620" i="109"/>
  <c r="J2619" i="109"/>
  <c r="J2618" i="109"/>
  <c r="J2617" i="109"/>
  <c r="J2616" i="109"/>
  <c r="J2615" i="109"/>
  <c r="J2614" i="109"/>
  <c r="J2613" i="109"/>
  <c r="J2612" i="109"/>
  <c r="J2611" i="109"/>
  <c r="J2610" i="109"/>
  <c r="J2609" i="109"/>
  <c r="J2608" i="109"/>
  <c r="J2607" i="109"/>
  <c r="J2606" i="109"/>
  <c r="J2605" i="109"/>
  <c r="J2604" i="109"/>
  <c r="J2603" i="109"/>
  <c r="J2602" i="109"/>
  <c r="J2601" i="109"/>
  <c r="J2600" i="109"/>
  <c r="J2599" i="109"/>
  <c r="J2598" i="109"/>
  <c r="J2597" i="109"/>
  <c r="J2596" i="109"/>
  <c r="J2595" i="109"/>
  <c r="J2594" i="109"/>
  <c r="J2593" i="109"/>
  <c r="J2592" i="109"/>
  <c r="J2591" i="109"/>
  <c r="J2590" i="109"/>
  <c r="J2589" i="109"/>
  <c r="J2588" i="109"/>
  <c r="J2587" i="109"/>
  <c r="J2586" i="109"/>
  <c r="J2585" i="109"/>
  <c r="J2584" i="109"/>
  <c r="J2583" i="109"/>
  <c r="J2582" i="109"/>
  <c r="J2581" i="109"/>
  <c r="J2580" i="109"/>
  <c r="J2579" i="109"/>
  <c r="J2578" i="109"/>
  <c r="J2577" i="109"/>
  <c r="J2576" i="109"/>
  <c r="J2575" i="109"/>
  <c r="J2574" i="109"/>
  <c r="J2573" i="109"/>
  <c r="J2572" i="109"/>
  <c r="J2571" i="109"/>
  <c r="J2570" i="109"/>
  <c r="J2569" i="109"/>
  <c r="J2568" i="109"/>
  <c r="J2567" i="109"/>
  <c r="J2566" i="109"/>
  <c r="J2565" i="109"/>
  <c r="J2564" i="109"/>
  <c r="J2563" i="109"/>
  <c r="J2562" i="109"/>
  <c r="J2561" i="109"/>
  <c r="J2560" i="109"/>
  <c r="J2559" i="109"/>
  <c r="J2558" i="109"/>
  <c r="J2557" i="109"/>
  <c r="J2556" i="109"/>
  <c r="J2555" i="109"/>
  <c r="J2554" i="109"/>
  <c r="J2553" i="109"/>
  <c r="J2552" i="109"/>
  <c r="J2551" i="109"/>
  <c r="J2550" i="109"/>
  <c r="J2549" i="109"/>
  <c r="J2548" i="109"/>
  <c r="J2547" i="109"/>
  <c r="J2546" i="109"/>
  <c r="J2545" i="109"/>
  <c r="J2544" i="109"/>
  <c r="J2543" i="109"/>
  <c r="J2542" i="109"/>
  <c r="J2541" i="109"/>
  <c r="J2540" i="109"/>
  <c r="J2539" i="109"/>
  <c r="J2538" i="109"/>
  <c r="J2537" i="109"/>
  <c r="J2536" i="109"/>
  <c r="J2535" i="109"/>
  <c r="J2534" i="109"/>
  <c r="J2533" i="109"/>
  <c r="J2532" i="109"/>
  <c r="J2531" i="109"/>
  <c r="J2530" i="109"/>
  <c r="J2529" i="109"/>
  <c r="J2528" i="109"/>
  <c r="J2527" i="109"/>
  <c r="J2526" i="109"/>
  <c r="J2525" i="109"/>
  <c r="J2524" i="109"/>
  <c r="J2523" i="109"/>
  <c r="J2522" i="109"/>
  <c r="J2521" i="109"/>
  <c r="J2520" i="109"/>
  <c r="J2519" i="109"/>
  <c r="J2518" i="109"/>
  <c r="J2517" i="109"/>
  <c r="J2516" i="109"/>
  <c r="J2515" i="109"/>
  <c r="J2514" i="109"/>
  <c r="J2513" i="109"/>
  <c r="J2512" i="109"/>
  <c r="J2511" i="109"/>
  <c r="J2510" i="109"/>
  <c r="J2509" i="109"/>
  <c r="J2508" i="109"/>
  <c r="J2507" i="109"/>
  <c r="J2506" i="109"/>
  <c r="J2505" i="109"/>
  <c r="J2504" i="109"/>
  <c r="J2503" i="109"/>
  <c r="J2502" i="109"/>
  <c r="J2501" i="109"/>
  <c r="J2500" i="109"/>
  <c r="J2499" i="109"/>
  <c r="J2498" i="109"/>
  <c r="J2497" i="109"/>
  <c r="J2496" i="109"/>
  <c r="J2495" i="109"/>
  <c r="J2494" i="109"/>
  <c r="J2493" i="109"/>
  <c r="J2492" i="109"/>
  <c r="J2491" i="109"/>
  <c r="J2490" i="109"/>
  <c r="J2489" i="109"/>
  <c r="J2488" i="109"/>
  <c r="J2487" i="109"/>
  <c r="J2486" i="109"/>
  <c r="J2485" i="109"/>
  <c r="J2484" i="109"/>
  <c r="J2483" i="109"/>
  <c r="J2482" i="109"/>
  <c r="J2481" i="109"/>
  <c r="J2480" i="109"/>
  <c r="J2479" i="109"/>
  <c r="J2478" i="109"/>
  <c r="J2477" i="109"/>
  <c r="J2476" i="109"/>
  <c r="J2475" i="109"/>
  <c r="J2474" i="109"/>
  <c r="J2473" i="109"/>
  <c r="J2472" i="109"/>
  <c r="J2471" i="109"/>
  <c r="J2470" i="109"/>
  <c r="J2469" i="109"/>
  <c r="J2468" i="109"/>
  <c r="J2467" i="109"/>
  <c r="J2466" i="109"/>
  <c r="J2465" i="109"/>
  <c r="J2464" i="109"/>
  <c r="J2463" i="109"/>
  <c r="J2462" i="109"/>
  <c r="J2461" i="109"/>
  <c r="J2460" i="109"/>
  <c r="J2459" i="109"/>
  <c r="J2458" i="109"/>
  <c r="J2457" i="109"/>
  <c r="J2456" i="109"/>
  <c r="J2455" i="109"/>
  <c r="J2454" i="109"/>
  <c r="J2453" i="109"/>
  <c r="J2452" i="109"/>
  <c r="J2451" i="109"/>
  <c r="J2450" i="109"/>
  <c r="J2449" i="109"/>
  <c r="J2448" i="109"/>
  <c r="J2447" i="109"/>
  <c r="J2446" i="109"/>
  <c r="J2445" i="109"/>
  <c r="J2444" i="109"/>
  <c r="J2443" i="109"/>
  <c r="J2442" i="109"/>
  <c r="J2441" i="109"/>
  <c r="J2440" i="109"/>
  <c r="J2439" i="109"/>
  <c r="J2438" i="109"/>
  <c r="J2437" i="109"/>
  <c r="J2436" i="109"/>
  <c r="J2435" i="109"/>
  <c r="J2434" i="109"/>
  <c r="J2433" i="109"/>
  <c r="J2432" i="109"/>
  <c r="J2431" i="109"/>
  <c r="J2430" i="109"/>
  <c r="J2429" i="109"/>
  <c r="J2428" i="109"/>
  <c r="J2427" i="109"/>
  <c r="J2426" i="109"/>
  <c r="J2425" i="109"/>
  <c r="J2424" i="109"/>
  <c r="J2423" i="109"/>
  <c r="J2422" i="109"/>
  <c r="J2421" i="109"/>
  <c r="J2420" i="109"/>
  <c r="J2419" i="109"/>
  <c r="J2418" i="109"/>
  <c r="J2417" i="109"/>
  <c r="J2416" i="109"/>
  <c r="J2415" i="109"/>
  <c r="J2414" i="109"/>
  <c r="J2413" i="109"/>
  <c r="J2412" i="109"/>
  <c r="J2411" i="109"/>
  <c r="J2410" i="109"/>
  <c r="J2409" i="109"/>
  <c r="J2408" i="109"/>
  <c r="J2407" i="109"/>
  <c r="J2406" i="109"/>
  <c r="J2405" i="109"/>
  <c r="J2404" i="109"/>
  <c r="J2403" i="109"/>
  <c r="J2402" i="109"/>
  <c r="J2401" i="109"/>
  <c r="J2400" i="109"/>
  <c r="J2399" i="109"/>
  <c r="J2398" i="109"/>
  <c r="J2397" i="109"/>
  <c r="J2396" i="109"/>
  <c r="J2395" i="109"/>
  <c r="J2394" i="109"/>
  <c r="J2393" i="109"/>
  <c r="J2392" i="109"/>
  <c r="J2391" i="109"/>
  <c r="J2390" i="109"/>
  <c r="J2389" i="109"/>
  <c r="J2388" i="109"/>
  <c r="J2387" i="109"/>
  <c r="J2386" i="109"/>
  <c r="J2385" i="109"/>
  <c r="J2384" i="109"/>
  <c r="J2383" i="109"/>
  <c r="J2382" i="109"/>
  <c r="J2381" i="109"/>
  <c r="J2380" i="109"/>
  <c r="J2379" i="109"/>
  <c r="J2378" i="109"/>
  <c r="J2377" i="109"/>
  <c r="J2376" i="109"/>
  <c r="J2375" i="109"/>
  <c r="J2374" i="109"/>
  <c r="J2373" i="109"/>
  <c r="J2372" i="109"/>
  <c r="J2371" i="109"/>
  <c r="J2370" i="109"/>
  <c r="J2369" i="109"/>
  <c r="J2368" i="109"/>
  <c r="J2367" i="109"/>
  <c r="J2366" i="109"/>
  <c r="J2365" i="109"/>
  <c r="J2364" i="109"/>
  <c r="J2363" i="109"/>
  <c r="J2362" i="109"/>
  <c r="J2361" i="109"/>
  <c r="J2360" i="109"/>
  <c r="J2359" i="109"/>
  <c r="J2358" i="109"/>
  <c r="J2357" i="109"/>
  <c r="J2356" i="109"/>
  <c r="J2355" i="109"/>
  <c r="J2354" i="109"/>
  <c r="J2353" i="109"/>
  <c r="J2352" i="109"/>
  <c r="J2351" i="109"/>
  <c r="J2350" i="109"/>
  <c r="J2349" i="109"/>
  <c r="J2348" i="109"/>
  <c r="J2347" i="109"/>
  <c r="J2346" i="109"/>
  <c r="J2345" i="109"/>
  <c r="J2344" i="109"/>
  <c r="J2343" i="109"/>
  <c r="J2342" i="109"/>
  <c r="J2341" i="109"/>
  <c r="J2340" i="109"/>
  <c r="J2339" i="109"/>
  <c r="J2338" i="109"/>
  <c r="J2337" i="109"/>
  <c r="J2336" i="109"/>
  <c r="J2335" i="109"/>
  <c r="J2334" i="109"/>
  <c r="J2333" i="109"/>
  <c r="J2332" i="109"/>
  <c r="J2331" i="109"/>
  <c r="J2330" i="109"/>
  <c r="J2329" i="109"/>
  <c r="J2328" i="109"/>
  <c r="J2327" i="109"/>
  <c r="J2326" i="109"/>
  <c r="J2325" i="109"/>
  <c r="J2324" i="109"/>
  <c r="J2323" i="109"/>
  <c r="J2322" i="109"/>
  <c r="J2321" i="109"/>
  <c r="J2320" i="109"/>
  <c r="J2319" i="109"/>
  <c r="J2318" i="109"/>
  <c r="J2317" i="109"/>
  <c r="J2316" i="109"/>
  <c r="J2315" i="109"/>
  <c r="J2314" i="109"/>
  <c r="J2313" i="109"/>
  <c r="J2312" i="109"/>
  <c r="J2311" i="109"/>
  <c r="J2310" i="109"/>
  <c r="J2309" i="109"/>
  <c r="J2308" i="109"/>
  <c r="J2307" i="109"/>
  <c r="J2306" i="109"/>
  <c r="J2305" i="109"/>
  <c r="J2304" i="109"/>
  <c r="J2303" i="109"/>
  <c r="J2302" i="109"/>
  <c r="J2301" i="109"/>
  <c r="J2300" i="109"/>
  <c r="J2299" i="109"/>
  <c r="J2298" i="109"/>
  <c r="J2297" i="109"/>
  <c r="J2296" i="109"/>
  <c r="J2295" i="109"/>
  <c r="J2294" i="109"/>
  <c r="J2293" i="109"/>
  <c r="J2292" i="109"/>
  <c r="J2291" i="109"/>
  <c r="J2290" i="109"/>
  <c r="J2289" i="109"/>
  <c r="J2288" i="109"/>
  <c r="J2287" i="109"/>
  <c r="J2286" i="109"/>
  <c r="J2285" i="109"/>
  <c r="J2284" i="109"/>
  <c r="J2283" i="109"/>
  <c r="J2282" i="109"/>
  <c r="J2281" i="109"/>
  <c r="J2280" i="109"/>
  <c r="J2279" i="109"/>
  <c r="J2278" i="109"/>
  <c r="J2277" i="109"/>
  <c r="J2276" i="109"/>
  <c r="J2275" i="109"/>
  <c r="J2274" i="109"/>
  <c r="J2273" i="109"/>
  <c r="J2272" i="109"/>
  <c r="J2271" i="109"/>
  <c r="J2270" i="109"/>
  <c r="J2269" i="109"/>
  <c r="J2268" i="109"/>
  <c r="J2267" i="109"/>
  <c r="J2266" i="109"/>
  <c r="J2265" i="109"/>
  <c r="J2264" i="109"/>
  <c r="J2263" i="109"/>
  <c r="J2262" i="109"/>
  <c r="J2261" i="109"/>
  <c r="J2260" i="109"/>
  <c r="J2259" i="109"/>
  <c r="J2258" i="109"/>
  <c r="J2257" i="109"/>
  <c r="J2256" i="109"/>
  <c r="J2255" i="109"/>
  <c r="J2254" i="109"/>
  <c r="J2253" i="109"/>
  <c r="J2252" i="109"/>
  <c r="J2251" i="109"/>
  <c r="J2250" i="109"/>
  <c r="J2249" i="109"/>
  <c r="J2248" i="109"/>
  <c r="J2247" i="109"/>
  <c r="J2246" i="109"/>
  <c r="J2245" i="109"/>
  <c r="J2244" i="109"/>
  <c r="J2243" i="109"/>
  <c r="J2242" i="109"/>
  <c r="J2241" i="109"/>
  <c r="J2240" i="109"/>
  <c r="J2239" i="109"/>
  <c r="J2238" i="109"/>
  <c r="J2237" i="109"/>
  <c r="J2236" i="109"/>
  <c r="J2235" i="109"/>
  <c r="J2234" i="109"/>
  <c r="J2233" i="109"/>
  <c r="J2232" i="109"/>
  <c r="J2231" i="109"/>
  <c r="J2230" i="109"/>
  <c r="J2229" i="109"/>
  <c r="J2228" i="109"/>
  <c r="J2227" i="109"/>
  <c r="J2226" i="109"/>
  <c r="J2225" i="109"/>
  <c r="J2224" i="109"/>
  <c r="J2223" i="109"/>
  <c r="J2222" i="109"/>
  <c r="J2221" i="109"/>
  <c r="J2220" i="109"/>
  <c r="J2219" i="109"/>
  <c r="J2218" i="109"/>
  <c r="J2217" i="109"/>
  <c r="J2216" i="109"/>
  <c r="J2215" i="109"/>
  <c r="J2214" i="109"/>
  <c r="J2213" i="109"/>
  <c r="J2212" i="109"/>
  <c r="J2211" i="109"/>
  <c r="J2210" i="109"/>
  <c r="J2209" i="109"/>
  <c r="J2208" i="109"/>
  <c r="J2207" i="109"/>
  <c r="J2206" i="109"/>
  <c r="J2205" i="109"/>
  <c r="J2204" i="109"/>
  <c r="J2203" i="109"/>
  <c r="J2202" i="109"/>
  <c r="J2201" i="109"/>
  <c r="J2200" i="109"/>
  <c r="J2199" i="109"/>
  <c r="J2198" i="109"/>
  <c r="J2197" i="109"/>
  <c r="J2196" i="109"/>
  <c r="J2195" i="109"/>
  <c r="J2194" i="109"/>
  <c r="J2193" i="109"/>
  <c r="J2192" i="109"/>
  <c r="J2191" i="109"/>
  <c r="J2190" i="109"/>
  <c r="J2189" i="109"/>
  <c r="J2188" i="109"/>
  <c r="J2187" i="109"/>
  <c r="J2186" i="109"/>
  <c r="J2185" i="109"/>
  <c r="J2184" i="109"/>
  <c r="J2183" i="109"/>
  <c r="J2182" i="109"/>
  <c r="J2181" i="109"/>
  <c r="J2180" i="109"/>
  <c r="J2179" i="109"/>
  <c r="J2178" i="109"/>
  <c r="J2177" i="109"/>
  <c r="J2176" i="109"/>
  <c r="J2175" i="109"/>
  <c r="J2174" i="109"/>
  <c r="J2173" i="109"/>
  <c r="J2172" i="109"/>
  <c r="J2171" i="109"/>
  <c r="J2170" i="109"/>
  <c r="J2169" i="109"/>
  <c r="J2168" i="109"/>
  <c r="J2167" i="109"/>
  <c r="J2166" i="109"/>
  <c r="J2165" i="109"/>
  <c r="J2164" i="109"/>
  <c r="J2163" i="109"/>
  <c r="J2162" i="109"/>
  <c r="J2161" i="109"/>
  <c r="J2160" i="109"/>
  <c r="J2159" i="109"/>
  <c r="J2158" i="109"/>
  <c r="J2157" i="109"/>
  <c r="J2156" i="109"/>
  <c r="J2155" i="109"/>
  <c r="J2154" i="109"/>
  <c r="J2153" i="109"/>
  <c r="J2152" i="109"/>
  <c r="J2151" i="109"/>
  <c r="J2150" i="109"/>
  <c r="J2149" i="109"/>
  <c r="J2148" i="109"/>
  <c r="J2147" i="109"/>
  <c r="J2146" i="109"/>
  <c r="J2145" i="109"/>
  <c r="J2144" i="109"/>
  <c r="J2143" i="109"/>
  <c r="J2142" i="109"/>
  <c r="J2141" i="109"/>
  <c r="J2140" i="109"/>
  <c r="J2139" i="109"/>
  <c r="J2138" i="109"/>
  <c r="J2137" i="109"/>
  <c r="J2136" i="109"/>
  <c r="J2135" i="109"/>
  <c r="J2134" i="109"/>
  <c r="J2133" i="109"/>
  <c r="J2132" i="109"/>
  <c r="J2131" i="109"/>
  <c r="J2130" i="109"/>
  <c r="J2129" i="109"/>
  <c r="J2128" i="109"/>
  <c r="J2127" i="109"/>
  <c r="J2126" i="109"/>
  <c r="J2125" i="109"/>
  <c r="J2124" i="109"/>
  <c r="J2123" i="109"/>
  <c r="J2122" i="109"/>
  <c r="J2121" i="109"/>
  <c r="J2120" i="109"/>
  <c r="J2119" i="109"/>
  <c r="J2118" i="109"/>
  <c r="J2117" i="109"/>
  <c r="J2116" i="109"/>
  <c r="J2115" i="109"/>
  <c r="J2114" i="109"/>
  <c r="J2113" i="109"/>
  <c r="J2112" i="109"/>
  <c r="J2111" i="109"/>
  <c r="J2110" i="109"/>
  <c r="J2109" i="109"/>
  <c r="J2108" i="109"/>
  <c r="J2107" i="109"/>
  <c r="J2106" i="109"/>
  <c r="J2105" i="109"/>
  <c r="J2104" i="109"/>
  <c r="J2103" i="109"/>
  <c r="J2102" i="109"/>
  <c r="J2101" i="109"/>
  <c r="J2100" i="109"/>
  <c r="J2099" i="109"/>
  <c r="J2098" i="109"/>
  <c r="J2097" i="109"/>
  <c r="J2096" i="109"/>
  <c r="J2095" i="109"/>
  <c r="J2094" i="109"/>
  <c r="J2093" i="109"/>
  <c r="J2092" i="109"/>
  <c r="J2091" i="109"/>
  <c r="J2090" i="109"/>
  <c r="J2089" i="109"/>
  <c r="J2088" i="109"/>
  <c r="J2087" i="109"/>
  <c r="J2086" i="109"/>
  <c r="J2085" i="109"/>
  <c r="J2084" i="109"/>
  <c r="J2083" i="109"/>
  <c r="J2082" i="109"/>
  <c r="J2081" i="109"/>
  <c r="J2080" i="109"/>
  <c r="J2079" i="109"/>
  <c r="J2078" i="109"/>
  <c r="J2077" i="109"/>
  <c r="J2076" i="109"/>
  <c r="J2075" i="109"/>
  <c r="J2074" i="109"/>
  <c r="J2073" i="109"/>
  <c r="J2072" i="109"/>
  <c r="J2071" i="109"/>
  <c r="J2070" i="109"/>
  <c r="J2069" i="109"/>
  <c r="J2068" i="109"/>
  <c r="J2067" i="109"/>
  <c r="J2066" i="109"/>
  <c r="J2065" i="109"/>
  <c r="J2064" i="109"/>
  <c r="J2063" i="109"/>
  <c r="J2062" i="109"/>
  <c r="J2061" i="109"/>
  <c r="J2060" i="109"/>
  <c r="J2059" i="109"/>
  <c r="J2058" i="109"/>
  <c r="J2057" i="109"/>
  <c r="J2056" i="109"/>
  <c r="J2055" i="109"/>
  <c r="J2054" i="109"/>
  <c r="J2053" i="109"/>
  <c r="J2052" i="109"/>
  <c r="J2051" i="109"/>
  <c r="J2050" i="109"/>
  <c r="J2049" i="109"/>
  <c r="J2048" i="109"/>
  <c r="J2047" i="109"/>
  <c r="J2046" i="109"/>
  <c r="J2045" i="109"/>
  <c r="J2044" i="109"/>
  <c r="J2043" i="109"/>
  <c r="J2042" i="109"/>
  <c r="J2041" i="109"/>
  <c r="J2040" i="109"/>
  <c r="J2039" i="109"/>
  <c r="J2038" i="109"/>
  <c r="J2037" i="109"/>
  <c r="J2036" i="109"/>
  <c r="J2035" i="109"/>
  <c r="J2034" i="109"/>
  <c r="J2033" i="109"/>
  <c r="J2032" i="109"/>
  <c r="J2031" i="109"/>
  <c r="J2030" i="109"/>
  <c r="J2029" i="109"/>
  <c r="J2028" i="109"/>
  <c r="J2027" i="109"/>
  <c r="J2026" i="109"/>
  <c r="J2025" i="109"/>
  <c r="J2024" i="109"/>
  <c r="J2023" i="109"/>
  <c r="J2022" i="109"/>
  <c r="J2021" i="109"/>
  <c r="J2020" i="109"/>
  <c r="J2019" i="109"/>
  <c r="J2018" i="109"/>
  <c r="J2017" i="109"/>
  <c r="J2016" i="109"/>
  <c r="J2015" i="109"/>
  <c r="J2014" i="109"/>
  <c r="J2013" i="109"/>
  <c r="J2012" i="109"/>
  <c r="J2011" i="109"/>
  <c r="J2010" i="109"/>
  <c r="J2009" i="109"/>
  <c r="J2008" i="109"/>
  <c r="J2007" i="109"/>
  <c r="J2006" i="109"/>
  <c r="J2005" i="109"/>
  <c r="J2004" i="109"/>
  <c r="J2003" i="109"/>
  <c r="J2002" i="109"/>
  <c r="J2001" i="109"/>
  <c r="J2000" i="109"/>
  <c r="J1999" i="109"/>
  <c r="J1998" i="109"/>
  <c r="J1997" i="109"/>
  <c r="J1996" i="109"/>
  <c r="J1995" i="109"/>
  <c r="J1994" i="109"/>
  <c r="J1993" i="109"/>
  <c r="J1992" i="109"/>
  <c r="J1991" i="109"/>
  <c r="J1990" i="109"/>
  <c r="J1989" i="109"/>
  <c r="J1988" i="109"/>
  <c r="J1987" i="109"/>
  <c r="J1986" i="109"/>
  <c r="J1985" i="109"/>
  <c r="J1984" i="109"/>
  <c r="J1983" i="109"/>
  <c r="J1982" i="109"/>
  <c r="J1981" i="109"/>
  <c r="J1980" i="109"/>
  <c r="J1979" i="109"/>
  <c r="J1978" i="109"/>
  <c r="J1977" i="109"/>
  <c r="J1976" i="109"/>
  <c r="J1975" i="109"/>
  <c r="J1974" i="109"/>
  <c r="J1973" i="109"/>
  <c r="J1972" i="109"/>
  <c r="J1971" i="109"/>
  <c r="J1970" i="109"/>
  <c r="J1969" i="109"/>
  <c r="J1968" i="109"/>
  <c r="J1967" i="109"/>
  <c r="J1966" i="109"/>
  <c r="J1965" i="109"/>
  <c r="J1964" i="109"/>
  <c r="J1963" i="109"/>
  <c r="J1962" i="109"/>
  <c r="J1961" i="109"/>
  <c r="J1960" i="109"/>
  <c r="J1959" i="109"/>
  <c r="J1958" i="109"/>
  <c r="J1957" i="109"/>
  <c r="J1956" i="109"/>
  <c r="J1955" i="109"/>
  <c r="J1954" i="109"/>
  <c r="J1953" i="109"/>
  <c r="J1952" i="109"/>
  <c r="J1951" i="109"/>
  <c r="J1950" i="109"/>
  <c r="J1949" i="109"/>
  <c r="J1948" i="109"/>
  <c r="J1947" i="109"/>
  <c r="J1946" i="109"/>
  <c r="J1945" i="109"/>
  <c r="J1944" i="109"/>
  <c r="J1943" i="109"/>
  <c r="J1942" i="109"/>
  <c r="J1941" i="109"/>
  <c r="J1940" i="109"/>
  <c r="J1939" i="109"/>
  <c r="J1938" i="109"/>
  <c r="J1937" i="109"/>
  <c r="J1936" i="109"/>
  <c r="J1935" i="109"/>
  <c r="J1934" i="109"/>
  <c r="J1933" i="109"/>
  <c r="J1932" i="109"/>
  <c r="J1931" i="109"/>
  <c r="J1930" i="109"/>
  <c r="J1929" i="109"/>
  <c r="J1928" i="109"/>
  <c r="J1927" i="109"/>
  <c r="J1926" i="109"/>
  <c r="J1925" i="109"/>
  <c r="J1924" i="109"/>
  <c r="J1923" i="109"/>
  <c r="J1922" i="109"/>
  <c r="J1921" i="109"/>
  <c r="J1920" i="109"/>
  <c r="J1919" i="109"/>
  <c r="J1918" i="109"/>
  <c r="J1917" i="109"/>
  <c r="J1916" i="109"/>
  <c r="J1915" i="109"/>
  <c r="J1914" i="109"/>
  <c r="J1913" i="109"/>
  <c r="J1912" i="109"/>
  <c r="J1911" i="109"/>
  <c r="J1910" i="109"/>
  <c r="J1909" i="109"/>
  <c r="J1908" i="109"/>
  <c r="J1907" i="109"/>
  <c r="J1906" i="109"/>
  <c r="J1905" i="109"/>
  <c r="J1904" i="109"/>
  <c r="J1903" i="109"/>
  <c r="J1902" i="109"/>
  <c r="J1901" i="109"/>
  <c r="J1900" i="109"/>
  <c r="J1899" i="109"/>
  <c r="J1898" i="109"/>
  <c r="J1897" i="109"/>
  <c r="J1896" i="109"/>
  <c r="J1895" i="109"/>
  <c r="J1894" i="109"/>
  <c r="J1893" i="109"/>
  <c r="J1892" i="109"/>
  <c r="J1891" i="109"/>
  <c r="J1890" i="109"/>
  <c r="J1889" i="109"/>
  <c r="J1888" i="109"/>
  <c r="J1887" i="109"/>
  <c r="J1886" i="109"/>
  <c r="J1885" i="109"/>
  <c r="J1884" i="109"/>
  <c r="J1883" i="109"/>
  <c r="J1882" i="109"/>
  <c r="J1881" i="109"/>
  <c r="J1880" i="109"/>
  <c r="J1879" i="109"/>
  <c r="J1878" i="109"/>
  <c r="J1877" i="109"/>
  <c r="J1876" i="109"/>
  <c r="J1875" i="109"/>
  <c r="J1874" i="109"/>
  <c r="J1873" i="109"/>
  <c r="J1872" i="109"/>
  <c r="J1871" i="109"/>
  <c r="J1870" i="109"/>
  <c r="J1869" i="109"/>
  <c r="J1868" i="109"/>
  <c r="J1867" i="109"/>
  <c r="J1866" i="109"/>
  <c r="J1865" i="109"/>
  <c r="J1864" i="109"/>
  <c r="J1863" i="109"/>
  <c r="J1862" i="109"/>
  <c r="J1861" i="109"/>
  <c r="J1860" i="109"/>
  <c r="J1859" i="109"/>
  <c r="J1858" i="109"/>
  <c r="J1857" i="109"/>
  <c r="J1856" i="109"/>
  <c r="J1855" i="109"/>
  <c r="J1854" i="109"/>
  <c r="J1853" i="109"/>
  <c r="J1852" i="109"/>
  <c r="J1851" i="109"/>
  <c r="J1850" i="109"/>
  <c r="J1849" i="109"/>
  <c r="J1848" i="109"/>
  <c r="J1847" i="109"/>
  <c r="J1846" i="109"/>
  <c r="J1845" i="109"/>
  <c r="J1844" i="109"/>
  <c r="J1843" i="109"/>
  <c r="J1842" i="109"/>
  <c r="J1841" i="109"/>
  <c r="J1840" i="109"/>
  <c r="J1839" i="109"/>
  <c r="J1838" i="109"/>
  <c r="J1837" i="109"/>
  <c r="J1836" i="109"/>
  <c r="J1835" i="109"/>
  <c r="J1834" i="109"/>
  <c r="J1833" i="109"/>
  <c r="J1832" i="109"/>
  <c r="J1831" i="109"/>
  <c r="J1830" i="109"/>
  <c r="J1829" i="109"/>
  <c r="J1828" i="109"/>
  <c r="J1827" i="109"/>
  <c r="J1826" i="109"/>
  <c r="J1825" i="109"/>
  <c r="J1824" i="109"/>
  <c r="J1823" i="109"/>
  <c r="J1822" i="109"/>
  <c r="J1821" i="109"/>
  <c r="J1820" i="109"/>
  <c r="J1819" i="109"/>
  <c r="J1818" i="109"/>
  <c r="J1817" i="109"/>
  <c r="J1816" i="109"/>
  <c r="J1815" i="109"/>
  <c r="J1814" i="109"/>
  <c r="J1813" i="109"/>
  <c r="J1812" i="109"/>
  <c r="J1811" i="109"/>
  <c r="J1810" i="109"/>
  <c r="J1809" i="109"/>
  <c r="J1808" i="109"/>
  <c r="J1807" i="109"/>
  <c r="J1806" i="109"/>
  <c r="J1805" i="109"/>
  <c r="J1804" i="109"/>
  <c r="J1803" i="109"/>
  <c r="J1802" i="109"/>
  <c r="J1801" i="109"/>
  <c r="J1800" i="109"/>
  <c r="J1799" i="109"/>
  <c r="J1798" i="109"/>
  <c r="J1797" i="109"/>
  <c r="J1796" i="109"/>
  <c r="J1795" i="109"/>
  <c r="J1794" i="109"/>
  <c r="J1793" i="109"/>
  <c r="J1792" i="109"/>
  <c r="J1791" i="109"/>
  <c r="J1790" i="109"/>
  <c r="J1789" i="109"/>
  <c r="J1788" i="109"/>
  <c r="J1787" i="109"/>
  <c r="J1786" i="109"/>
  <c r="J1785" i="109"/>
  <c r="J1784" i="109"/>
  <c r="J1783" i="109"/>
  <c r="J1782" i="109"/>
  <c r="J1781" i="109"/>
  <c r="J1780" i="109"/>
  <c r="J1779" i="109"/>
  <c r="J1778" i="109"/>
  <c r="J1777" i="109"/>
  <c r="J1776" i="109"/>
  <c r="J1775" i="109"/>
  <c r="J1774" i="109"/>
  <c r="J1773" i="109"/>
  <c r="J1772" i="109"/>
  <c r="J1771" i="109"/>
  <c r="J1770" i="109"/>
  <c r="J1769" i="109"/>
  <c r="J1768" i="109"/>
  <c r="J1767" i="109"/>
  <c r="J1766" i="109"/>
  <c r="J1765" i="109"/>
  <c r="J1764" i="109"/>
  <c r="J1763" i="109"/>
  <c r="J1762" i="109"/>
  <c r="J1761" i="109"/>
  <c r="J1760" i="109"/>
  <c r="J1759" i="109"/>
  <c r="J1758" i="109"/>
  <c r="J1757" i="109"/>
  <c r="J1756" i="109"/>
  <c r="J1755" i="109"/>
  <c r="J1754" i="109"/>
  <c r="J1753" i="109"/>
  <c r="J1752" i="109"/>
  <c r="J1751" i="109"/>
  <c r="J1750" i="109"/>
  <c r="J1749" i="109"/>
  <c r="J1748" i="109"/>
  <c r="J1747" i="109"/>
  <c r="J1746" i="109"/>
  <c r="J1745" i="109"/>
  <c r="J1744" i="109"/>
  <c r="J1743" i="109"/>
  <c r="J1742" i="109"/>
  <c r="J1741" i="109"/>
  <c r="J1740" i="109"/>
  <c r="J1739" i="109"/>
  <c r="J1738" i="109"/>
  <c r="J1737" i="109"/>
  <c r="J1736" i="109"/>
  <c r="J1735" i="109"/>
  <c r="J1734" i="109"/>
  <c r="J1733" i="109"/>
  <c r="J1732" i="109"/>
  <c r="J1731" i="109"/>
  <c r="J1730" i="109"/>
  <c r="J1729" i="109"/>
  <c r="J1728" i="109"/>
  <c r="J1727" i="109"/>
  <c r="J1726" i="109"/>
  <c r="J1725" i="109"/>
  <c r="J1724" i="109"/>
  <c r="J1723" i="109"/>
  <c r="J1722" i="109"/>
  <c r="J1721" i="109"/>
  <c r="J1720" i="109"/>
  <c r="J1719" i="109"/>
  <c r="J1718" i="109"/>
  <c r="J1717" i="109"/>
  <c r="J1716" i="109"/>
  <c r="J1715" i="109"/>
  <c r="J1714" i="109"/>
  <c r="J1713" i="109"/>
  <c r="J1712" i="109"/>
  <c r="J1711" i="109"/>
  <c r="J1710" i="109"/>
  <c r="J1709" i="109"/>
  <c r="J1708" i="109"/>
  <c r="J1707" i="109"/>
  <c r="J1706" i="109"/>
  <c r="J1705" i="109"/>
  <c r="J1704" i="109"/>
  <c r="J1703" i="109"/>
  <c r="J1702" i="109"/>
  <c r="J1701" i="109"/>
  <c r="J1700" i="109"/>
  <c r="J1699" i="109"/>
  <c r="J1698" i="109"/>
  <c r="J1697" i="109"/>
  <c r="J1696" i="109"/>
  <c r="J1695" i="109"/>
  <c r="J1694" i="109"/>
  <c r="J1693" i="109"/>
  <c r="J1692" i="109"/>
  <c r="J1691" i="109"/>
  <c r="J1690" i="109"/>
  <c r="J1689" i="109"/>
  <c r="J1688" i="109"/>
  <c r="J1687" i="109"/>
  <c r="J1686" i="109"/>
  <c r="J1685" i="109"/>
  <c r="J1684" i="109"/>
  <c r="J1683" i="109"/>
  <c r="J1682" i="109"/>
  <c r="J1681" i="109"/>
  <c r="J1680" i="109"/>
  <c r="J1679" i="109"/>
  <c r="J1678" i="109"/>
  <c r="J1677" i="109"/>
  <c r="J1676" i="109"/>
  <c r="J1675" i="109"/>
  <c r="J1674" i="109"/>
  <c r="J1673" i="109"/>
  <c r="J1672" i="109"/>
  <c r="J1671" i="109"/>
  <c r="J1670" i="109"/>
  <c r="J1669" i="109"/>
  <c r="J1668" i="109"/>
  <c r="J1667" i="109"/>
  <c r="J1666" i="109"/>
  <c r="J1665" i="109"/>
  <c r="J1664" i="109"/>
  <c r="J1663" i="109"/>
  <c r="J1662" i="109"/>
  <c r="J1661" i="109"/>
  <c r="J1660" i="109"/>
  <c r="J1659" i="109"/>
  <c r="J1658" i="109"/>
  <c r="J1657" i="109"/>
  <c r="J1656" i="109"/>
  <c r="J1655" i="109"/>
  <c r="J1654" i="109"/>
  <c r="J1653" i="109"/>
  <c r="J1652" i="109"/>
  <c r="J1651" i="109"/>
  <c r="J1650" i="109"/>
  <c r="J1649" i="109"/>
  <c r="J1648" i="109"/>
  <c r="J1647" i="109"/>
  <c r="J1646" i="109"/>
  <c r="J1645" i="109"/>
  <c r="J1644" i="109"/>
  <c r="J1643" i="109"/>
  <c r="J1642" i="109"/>
  <c r="J1641" i="109"/>
  <c r="J1640" i="109"/>
  <c r="J1639" i="109"/>
  <c r="J1638" i="109"/>
  <c r="J1637" i="109"/>
  <c r="J1636" i="109"/>
  <c r="J1635" i="109"/>
  <c r="J1634" i="109"/>
  <c r="J1633" i="109"/>
  <c r="J1632" i="109"/>
  <c r="J1631" i="109"/>
  <c r="J1630" i="109"/>
  <c r="J1629" i="109"/>
  <c r="J1628" i="109"/>
  <c r="J1627" i="109"/>
  <c r="J1626" i="109"/>
  <c r="J1625" i="109"/>
  <c r="J1624" i="109"/>
  <c r="J1623" i="109"/>
  <c r="J1622" i="109"/>
  <c r="J1621" i="109"/>
  <c r="J1620" i="109"/>
  <c r="J1619" i="109"/>
  <c r="J1618" i="109"/>
  <c r="J1617" i="109"/>
  <c r="J1616" i="109"/>
  <c r="J1615" i="109"/>
  <c r="J1614" i="109"/>
  <c r="J1613" i="109"/>
  <c r="J1612" i="109"/>
  <c r="J1611" i="109"/>
  <c r="J1610" i="109"/>
  <c r="J1609" i="109"/>
  <c r="J1608" i="109"/>
  <c r="J1607" i="109"/>
  <c r="J1606" i="109"/>
  <c r="J1605" i="109"/>
  <c r="J1604" i="109"/>
  <c r="J1603" i="109"/>
  <c r="J1602" i="109"/>
  <c r="J1601" i="109"/>
  <c r="J1600" i="109"/>
  <c r="J1599" i="109"/>
  <c r="J1598" i="109"/>
  <c r="J1597" i="109"/>
  <c r="J1596" i="109"/>
  <c r="J1595" i="109"/>
  <c r="J1594" i="109"/>
  <c r="J1593" i="109"/>
  <c r="J1592" i="109"/>
  <c r="J1591" i="109"/>
  <c r="J1590" i="109"/>
  <c r="J1589" i="109"/>
  <c r="J1588" i="109"/>
  <c r="J1587" i="109"/>
  <c r="J1586" i="109"/>
  <c r="J1585" i="109"/>
  <c r="J1584" i="109"/>
  <c r="J1583" i="109"/>
  <c r="J1582" i="109"/>
  <c r="J1581" i="109"/>
  <c r="J1580" i="109"/>
  <c r="J1579" i="109"/>
  <c r="J1578" i="109"/>
  <c r="J1577" i="109"/>
  <c r="J1576" i="109"/>
  <c r="J1575" i="109"/>
  <c r="J1574" i="109"/>
  <c r="J1573" i="109"/>
  <c r="J1572" i="109"/>
  <c r="J1571" i="109"/>
  <c r="J1570" i="109"/>
  <c r="J1569" i="109"/>
  <c r="J1568" i="109"/>
  <c r="J1567" i="109"/>
  <c r="J1566" i="109"/>
  <c r="J1565" i="109"/>
  <c r="J1564" i="109"/>
  <c r="J1563" i="109"/>
  <c r="J1562" i="109"/>
  <c r="J1561" i="109"/>
  <c r="J1560" i="109"/>
  <c r="J1559" i="109"/>
  <c r="J1558" i="109"/>
  <c r="J1557" i="109"/>
  <c r="J1556" i="109"/>
  <c r="J1555" i="109"/>
  <c r="J1554" i="109"/>
  <c r="J1553" i="109"/>
  <c r="J1552" i="109"/>
  <c r="J1551" i="109"/>
  <c r="J1550" i="109"/>
  <c r="J1549" i="109"/>
  <c r="J1548" i="109"/>
  <c r="J1547" i="109"/>
  <c r="J1546" i="109"/>
  <c r="J1545" i="109"/>
  <c r="J1544" i="109"/>
  <c r="J1543" i="109"/>
  <c r="J1542" i="109"/>
  <c r="J1541" i="109"/>
  <c r="J1540" i="109"/>
  <c r="J1539" i="109"/>
  <c r="J1538" i="109"/>
  <c r="J1537" i="109"/>
  <c r="J1536" i="109"/>
  <c r="J1535" i="109"/>
  <c r="J1534" i="109"/>
  <c r="J1533" i="109"/>
  <c r="J1532" i="109"/>
  <c r="J1531" i="109"/>
  <c r="J1530" i="109"/>
  <c r="J1529" i="109"/>
  <c r="J1528" i="109"/>
  <c r="J1527" i="109"/>
  <c r="J1526" i="109"/>
  <c r="J1525" i="109"/>
  <c r="J1524" i="109"/>
  <c r="J1523" i="109"/>
  <c r="J1522" i="109"/>
  <c r="J1521" i="109"/>
  <c r="J1520" i="109"/>
  <c r="J1519" i="109"/>
  <c r="J1518" i="109"/>
  <c r="J1517" i="109"/>
  <c r="J1516" i="109"/>
  <c r="J1515" i="109"/>
  <c r="J1514" i="109"/>
  <c r="J1513" i="109"/>
  <c r="J1512" i="109"/>
  <c r="J1511" i="109"/>
  <c r="J1510" i="109"/>
  <c r="J1509" i="109"/>
  <c r="J1508" i="109"/>
  <c r="J1507" i="109"/>
  <c r="J1506" i="109"/>
  <c r="J1505" i="109"/>
  <c r="J1504" i="109"/>
  <c r="J1503" i="109"/>
  <c r="J1502" i="109"/>
  <c r="J1501" i="109"/>
  <c r="J1500" i="109"/>
  <c r="J1499" i="109"/>
  <c r="J1498" i="109"/>
  <c r="J1497" i="109"/>
  <c r="J1496" i="109"/>
  <c r="J1495" i="109"/>
  <c r="J1494" i="109"/>
  <c r="J1493" i="109"/>
  <c r="J1492" i="109"/>
  <c r="J1491" i="109"/>
  <c r="J1490" i="109"/>
  <c r="J1489" i="109"/>
  <c r="J1488" i="109"/>
  <c r="J1487" i="109"/>
  <c r="J1486" i="109"/>
  <c r="J1485" i="109"/>
  <c r="J1484" i="109"/>
  <c r="J1483" i="109"/>
  <c r="J1482" i="109"/>
  <c r="J1481" i="109"/>
  <c r="J1480" i="109"/>
  <c r="J1479" i="109"/>
  <c r="J1478" i="109"/>
  <c r="J1477" i="109"/>
  <c r="J1476" i="109"/>
  <c r="J1475" i="109"/>
  <c r="J1474" i="109"/>
  <c r="J1473" i="109"/>
  <c r="J1472" i="109"/>
  <c r="J1471" i="109"/>
  <c r="J1470" i="109"/>
  <c r="J1469" i="109"/>
  <c r="J1468" i="109"/>
  <c r="J1467" i="109"/>
  <c r="J1466" i="109"/>
  <c r="J1465" i="109"/>
  <c r="J1464" i="109"/>
  <c r="J1463" i="109"/>
  <c r="J1462" i="109"/>
  <c r="J1461" i="109"/>
  <c r="J1460" i="109"/>
  <c r="J1459" i="109"/>
  <c r="J1458" i="109"/>
  <c r="J1457" i="109"/>
  <c r="J1456" i="109"/>
  <c r="J1455" i="109"/>
  <c r="J1454" i="109"/>
  <c r="J1453" i="109"/>
  <c r="J1452" i="109"/>
  <c r="J1451" i="109"/>
  <c r="J1450" i="109"/>
  <c r="J1449" i="109"/>
  <c r="J1448" i="109"/>
  <c r="J1447" i="109"/>
  <c r="J1446" i="109"/>
  <c r="J1445" i="109"/>
  <c r="J1444" i="109"/>
  <c r="J1443" i="109"/>
  <c r="J1442" i="109"/>
  <c r="J1441" i="109"/>
  <c r="J1440" i="109"/>
  <c r="J1439" i="109"/>
  <c r="J1438" i="109"/>
  <c r="J1437" i="109"/>
  <c r="J1436" i="109"/>
  <c r="J1435" i="109"/>
  <c r="J1434" i="109"/>
  <c r="J1433" i="109"/>
  <c r="J1432" i="109"/>
  <c r="J1431" i="109"/>
  <c r="J1430" i="109"/>
  <c r="J1429" i="109"/>
  <c r="J1428" i="109"/>
  <c r="J1427" i="109"/>
  <c r="J1426" i="109"/>
  <c r="J1425" i="109"/>
  <c r="J1424" i="109"/>
  <c r="J1423" i="109"/>
  <c r="J1422" i="109"/>
  <c r="J1421" i="109"/>
  <c r="J1420" i="109"/>
  <c r="J1419" i="109"/>
  <c r="J1418" i="109"/>
  <c r="J1417" i="109"/>
  <c r="J1416" i="109"/>
  <c r="J1415" i="109"/>
  <c r="J1414" i="109"/>
  <c r="J1413" i="109"/>
  <c r="J1412" i="109"/>
  <c r="J1411" i="109"/>
  <c r="J1410" i="109"/>
  <c r="J1409" i="109"/>
  <c r="J1408" i="109"/>
  <c r="J1407" i="109"/>
  <c r="J1406" i="109"/>
  <c r="J1405" i="109"/>
  <c r="J1404" i="109"/>
  <c r="J1403" i="109"/>
  <c r="J1402" i="109"/>
  <c r="J1401" i="109"/>
  <c r="J1400" i="109"/>
  <c r="J1399" i="109"/>
  <c r="J1398" i="109"/>
  <c r="J1397" i="109"/>
  <c r="J1396" i="109"/>
  <c r="J1395" i="109"/>
  <c r="J1394" i="109"/>
  <c r="J1393" i="109"/>
  <c r="J1392" i="109"/>
  <c r="J1391" i="109"/>
  <c r="J1390" i="109"/>
  <c r="J1389" i="109"/>
  <c r="J1388" i="109"/>
  <c r="J1387" i="109"/>
  <c r="J1386" i="109"/>
  <c r="J1385" i="109"/>
  <c r="J1384" i="109"/>
  <c r="J1383" i="109"/>
  <c r="J1382" i="109"/>
  <c r="J1381" i="109"/>
  <c r="J1380" i="109"/>
  <c r="J1379" i="109"/>
  <c r="J1378" i="109"/>
  <c r="J1377" i="109"/>
  <c r="J1376" i="109"/>
  <c r="J1375" i="109"/>
  <c r="J1374" i="109"/>
  <c r="J1373" i="109"/>
  <c r="J1372" i="109"/>
  <c r="J1371" i="109"/>
  <c r="J1370" i="109"/>
  <c r="J1369" i="109"/>
  <c r="J1368" i="109"/>
  <c r="J1367" i="109"/>
  <c r="J1366" i="109"/>
  <c r="J1365" i="109"/>
  <c r="J1364" i="109"/>
  <c r="J1363" i="109"/>
  <c r="J1362" i="109"/>
  <c r="J1361" i="109"/>
  <c r="J1360" i="109"/>
  <c r="J1359" i="109"/>
  <c r="J1358" i="109"/>
  <c r="J1357" i="109"/>
  <c r="J1356" i="109"/>
  <c r="J1355" i="109"/>
  <c r="J1354" i="109"/>
  <c r="J1353" i="109"/>
  <c r="J1352" i="109"/>
  <c r="J1351" i="109"/>
  <c r="J1350" i="109"/>
  <c r="J1349" i="109"/>
  <c r="J1348" i="109"/>
  <c r="J1347" i="109"/>
  <c r="J1346" i="109"/>
  <c r="J1345" i="109"/>
  <c r="J1344" i="109"/>
  <c r="J1343" i="109"/>
  <c r="J1342" i="109"/>
  <c r="J1341" i="109"/>
  <c r="J1340" i="109"/>
  <c r="J1339" i="109"/>
  <c r="J1338" i="109"/>
  <c r="J1337" i="109"/>
  <c r="J1336" i="109"/>
  <c r="J1335" i="109"/>
  <c r="J1334" i="109"/>
  <c r="J1333" i="109"/>
  <c r="J1332" i="109"/>
  <c r="J1331" i="109"/>
  <c r="J1330" i="109"/>
  <c r="J1329" i="109"/>
  <c r="J1328" i="109"/>
  <c r="J1327" i="109"/>
  <c r="J1326" i="109"/>
  <c r="J1325" i="109"/>
  <c r="J1324" i="109"/>
  <c r="J1323" i="109"/>
  <c r="J1322" i="109"/>
  <c r="J1321" i="109"/>
  <c r="J1320" i="109"/>
  <c r="J1319" i="109"/>
  <c r="J1318" i="109"/>
  <c r="J1317" i="109"/>
  <c r="J1316" i="109"/>
  <c r="J1315" i="109"/>
  <c r="J1314" i="109"/>
  <c r="J1313" i="109"/>
  <c r="J1312" i="109"/>
  <c r="J1311" i="109"/>
  <c r="J1310" i="109"/>
  <c r="J1309" i="109"/>
  <c r="J1308" i="109"/>
  <c r="J1307" i="109"/>
  <c r="J1306" i="109"/>
  <c r="J1305" i="109"/>
  <c r="J1304" i="109"/>
  <c r="J1303" i="109"/>
  <c r="J1302" i="109"/>
  <c r="J1301" i="109"/>
  <c r="J1300" i="109"/>
  <c r="J1299" i="109"/>
  <c r="J1298" i="109"/>
  <c r="J1297" i="109"/>
  <c r="J1296" i="109"/>
  <c r="J1295" i="109"/>
  <c r="J1294" i="109"/>
  <c r="J1293" i="109"/>
  <c r="J1292" i="109"/>
  <c r="J1291" i="109"/>
  <c r="J1290" i="109"/>
  <c r="J1289" i="109"/>
  <c r="J1288" i="109"/>
  <c r="J1287" i="109"/>
  <c r="J1286" i="109"/>
  <c r="J1285" i="109"/>
  <c r="J1284" i="109"/>
  <c r="J1283" i="109"/>
  <c r="J1282" i="109"/>
  <c r="J1281" i="109"/>
  <c r="J1280" i="109"/>
  <c r="J1279" i="109"/>
  <c r="J1278" i="109"/>
  <c r="J1277" i="109"/>
  <c r="J1276" i="109"/>
  <c r="J1275" i="109"/>
  <c r="J1274" i="109"/>
  <c r="J1273" i="109"/>
  <c r="J1272" i="109"/>
  <c r="J1271" i="109"/>
  <c r="J1270" i="109"/>
  <c r="J1269" i="109"/>
  <c r="J1268" i="109"/>
  <c r="J1267" i="109"/>
  <c r="J1266" i="109"/>
  <c r="J1265" i="109"/>
  <c r="J1264" i="109"/>
  <c r="J1263" i="109"/>
  <c r="J1262" i="109"/>
  <c r="J1261" i="109"/>
  <c r="J1260" i="109"/>
  <c r="J1259" i="109"/>
  <c r="J1258" i="109"/>
  <c r="J1257" i="109"/>
  <c r="J1256" i="109"/>
  <c r="J1255" i="109"/>
  <c r="J1254" i="109"/>
  <c r="J1253" i="109"/>
  <c r="J1252" i="109"/>
  <c r="J1251" i="109"/>
  <c r="J1250" i="109"/>
  <c r="J1249" i="109"/>
  <c r="J1248" i="109"/>
  <c r="J1247" i="109"/>
  <c r="J1246" i="109"/>
  <c r="J1245" i="109"/>
  <c r="J1244" i="109"/>
  <c r="J1243" i="109"/>
  <c r="J1242" i="109"/>
  <c r="J1241" i="109"/>
  <c r="J1240" i="109"/>
  <c r="J1239" i="109"/>
  <c r="J1238" i="109"/>
  <c r="J1237" i="109"/>
  <c r="J1236" i="109"/>
  <c r="J1235" i="109"/>
  <c r="J1234" i="109"/>
  <c r="J1233" i="109"/>
  <c r="J1232" i="109"/>
  <c r="J1231" i="109"/>
  <c r="J1230" i="109"/>
  <c r="J1229" i="109"/>
  <c r="J1228" i="109"/>
  <c r="J1227" i="109"/>
  <c r="J1226" i="109"/>
  <c r="J1225" i="109"/>
  <c r="J1224" i="109"/>
  <c r="J1223" i="109"/>
  <c r="J1222" i="109"/>
  <c r="J1221" i="109"/>
  <c r="J1220" i="109"/>
  <c r="J1219" i="109"/>
  <c r="J1218" i="109"/>
  <c r="J1217" i="109"/>
  <c r="J1216" i="109"/>
  <c r="J1215" i="109"/>
  <c r="J1214" i="109"/>
  <c r="J1213" i="109"/>
  <c r="J1212" i="109"/>
  <c r="J1211" i="109"/>
  <c r="J1210" i="109"/>
  <c r="J1209" i="109"/>
  <c r="J1207" i="109"/>
  <c r="J1206" i="109"/>
  <c r="J1205" i="109"/>
  <c r="J1204" i="109"/>
  <c r="J1203" i="109"/>
  <c r="J1202" i="109"/>
  <c r="J1201" i="109"/>
  <c r="J1200" i="109"/>
  <c r="J1199" i="109"/>
  <c r="J1198" i="109"/>
  <c r="J1197" i="109"/>
  <c r="J1196" i="109"/>
  <c r="J1195" i="109"/>
  <c r="J1194" i="109"/>
  <c r="J1193" i="109"/>
  <c r="J1192" i="109"/>
  <c r="J1191" i="109"/>
  <c r="J1190" i="109"/>
  <c r="J1189" i="109"/>
  <c r="J1188" i="109"/>
  <c r="J1187" i="109"/>
  <c r="J1186" i="109"/>
  <c r="J1185" i="109"/>
  <c r="J1184" i="109"/>
  <c r="J1183" i="109"/>
  <c r="J1182" i="109"/>
  <c r="J1181" i="109"/>
  <c r="J1180" i="109"/>
  <c r="J1179" i="109"/>
  <c r="J1178" i="109"/>
  <c r="J1177" i="109"/>
  <c r="J1176" i="109"/>
  <c r="J1175" i="109"/>
  <c r="J1174" i="109"/>
  <c r="J1173" i="109"/>
  <c r="J1172" i="109"/>
  <c r="J1171" i="109"/>
  <c r="J1170" i="109"/>
  <c r="J1169" i="109"/>
  <c r="J1168" i="109"/>
  <c r="J1167" i="109"/>
  <c r="J1166" i="109"/>
  <c r="J1165" i="109"/>
  <c r="J1164" i="109"/>
  <c r="J1163" i="109"/>
  <c r="J1162" i="109"/>
  <c r="J1161" i="109"/>
  <c r="J1160" i="109"/>
  <c r="J1159" i="109"/>
  <c r="J1158" i="109"/>
  <c r="J1157" i="109"/>
  <c r="J1156" i="109"/>
  <c r="J1155" i="109"/>
  <c r="J1154" i="109"/>
  <c r="J1153" i="109"/>
  <c r="J1152" i="109"/>
  <c r="J1151" i="109"/>
  <c r="J1150" i="109"/>
  <c r="J1149" i="109"/>
  <c r="J1148" i="109"/>
  <c r="J1147" i="109"/>
  <c r="J1146" i="109"/>
  <c r="J1145" i="109"/>
  <c r="J1144" i="109"/>
  <c r="J1143" i="109"/>
  <c r="J1142" i="109"/>
  <c r="J1141" i="109"/>
  <c r="J1140" i="109"/>
  <c r="J1139" i="109"/>
  <c r="J1138" i="109"/>
  <c r="J1137" i="109"/>
  <c r="J1136" i="109"/>
  <c r="J1135" i="109"/>
  <c r="J1134" i="109"/>
  <c r="J1133" i="109"/>
  <c r="J1132" i="109"/>
  <c r="J1131" i="109"/>
  <c r="J1130" i="109"/>
  <c r="J1129" i="109"/>
  <c r="J1128" i="109"/>
  <c r="J1127" i="109"/>
  <c r="J1126" i="109"/>
  <c r="J1125" i="109"/>
  <c r="J1124" i="109"/>
  <c r="J1123" i="109"/>
  <c r="J1122" i="109"/>
  <c r="J1121" i="109"/>
  <c r="J1120" i="109"/>
  <c r="J1119" i="109"/>
  <c r="J1118" i="109"/>
  <c r="J1117" i="109"/>
  <c r="J1116" i="109"/>
  <c r="J1115" i="109"/>
  <c r="J1114" i="109"/>
  <c r="J1113" i="109"/>
  <c r="J1112" i="109"/>
  <c r="J1111" i="109"/>
  <c r="J1110" i="109"/>
  <c r="J1109" i="109"/>
  <c r="J1108" i="109"/>
  <c r="J1107" i="109"/>
  <c r="J1106" i="109"/>
  <c r="J1105" i="109"/>
  <c r="J1104" i="109"/>
  <c r="J1103" i="109"/>
  <c r="J1102" i="109"/>
  <c r="J1101" i="109"/>
  <c r="J1100" i="109"/>
  <c r="J1099" i="109"/>
  <c r="J1098" i="109"/>
  <c r="J1097" i="109"/>
  <c r="J1096" i="109"/>
  <c r="J1095" i="109"/>
  <c r="J1094" i="109"/>
  <c r="J1093" i="109"/>
  <c r="J1092" i="109"/>
  <c r="J1091" i="109"/>
  <c r="J1090" i="109"/>
  <c r="J1089" i="109"/>
  <c r="J1088" i="109"/>
  <c r="J1087" i="109"/>
  <c r="J1086" i="109"/>
  <c r="J1085" i="109"/>
  <c r="J1084" i="109"/>
  <c r="J1083" i="109"/>
  <c r="J1082" i="109"/>
  <c r="J1081" i="109"/>
  <c r="J1080" i="109"/>
  <c r="J1079" i="109"/>
  <c r="J1078" i="109"/>
  <c r="J1077" i="109"/>
  <c r="J1076" i="109"/>
  <c r="J1075" i="109"/>
  <c r="J1074" i="109"/>
  <c r="J1073" i="109"/>
  <c r="J1072" i="109"/>
  <c r="J1071" i="109"/>
  <c r="J1070" i="109"/>
  <c r="J1069" i="109"/>
  <c r="J1068" i="109"/>
  <c r="J1067" i="109"/>
  <c r="J1066" i="109"/>
  <c r="J1065" i="109"/>
  <c r="J1064" i="109"/>
  <c r="J1063" i="109"/>
  <c r="J1062" i="109"/>
  <c r="J1061" i="109"/>
  <c r="J1060" i="109"/>
  <c r="J1059" i="109"/>
  <c r="J1058" i="109"/>
  <c r="J1057" i="109"/>
  <c r="J1056" i="109"/>
  <c r="J1055" i="109"/>
  <c r="J1054" i="109"/>
  <c r="J1053" i="109"/>
  <c r="J1052" i="109"/>
  <c r="J1051" i="109"/>
  <c r="J1050" i="109"/>
  <c r="J1049" i="109"/>
  <c r="J1048" i="109"/>
  <c r="J1047" i="109"/>
  <c r="J1046" i="109"/>
  <c r="J1045" i="109"/>
  <c r="J1044" i="109"/>
  <c r="J1043" i="109"/>
  <c r="J1042" i="109"/>
  <c r="J1041" i="109"/>
  <c r="J1040" i="109"/>
  <c r="J1039" i="109"/>
  <c r="J1038" i="109"/>
  <c r="J1037" i="109"/>
  <c r="J1036" i="109"/>
  <c r="J1035" i="109"/>
  <c r="J1034" i="109"/>
  <c r="J1033" i="109"/>
  <c r="J1032" i="109"/>
  <c r="J1031" i="109"/>
  <c r="J1030" i="109"/>
  <c r="J1029" i="109"/>
  <c r="J1028" i="109"/>
  <c r="J1027" i="109"/>
  <c r="J1026" i="109"/>
  <c r="J1025" i="109"/>
  <c r="J1024" i="109"/>
  <c r="J1023" i="109"/>
  <c r="J1022" i="109"/>
  <c r="J1021" i="109"/>
  <c r="J1020" i="109"/>
  <c r="J1019" i="109"/>
  <c r="J1018" i="109"/>
  <c r="J1017" i="109"/>
  <c r="J1016" i="109"/>
  <c r="J1015" i="109"/>
  <c r="J1014" i="109"/>
  <c r="J1013" i="109"/>
  <c r="J1012" i="109"/>
  <c r="J1011" i="109"/>
  <c r="J1010" i="109"/>
  <c r="J1009" i="109"/>
  <c r="J1008" i="109"/>
  <c r="J1007" i="109"/>
  <c r="J1006" i="109"/>
  <c r="J1005" i="109"/>
  <c r="J1004" i="109"/>
  <c r="J1003" i="109"/>
  <c r="J1002" i="109"/>
  <c r="J1001" i="109"/>
  <c r="J1000" i="109"/>
  <c r="J999" i="109"/>
  <c r="J998" i="109"/>
  <c r="J997" i="109"/>
  <c r="J996" i="109"/>
  <c r="J995" i="109"/>
  <c r="J994" i="109"/>
  <c r="J993" i="109"/>
  <c r="J992" i="109"/>
  <c r="J991" i="109"/>
  <c r="J990" i="109"/>
  <c r="J989" i="109"/>
  <c r="J988" i="109"/>
  <c r="J987" i="109"/>
  <c r="J986" i="109"/>
  <c r="J985" i="109"/>
  <c r="J984" i="109"/>
  <c r="J983" i="109"/>
  <c r="J982" i="109"/>
  <c r="J981" i="109"/>
  <c r="J980" i="109"/>
  <c r="J979" i="109"/>
  <c r="J978" i="109"/>
  <c r="J977" i="109"/>
  <c r="J976" i="109"/>
  <c r="J975" i="109"/>
  <c r="J974" i="109"/>
  <c r="J973" i="109"/>
  <c r="J972" i="109"/>
  <c r="J971" i="109"/>
  <c r="J970" i="109"/>
  <c r="J969" i="109"/>
  <c r="J968" i="109"/>
  <c r="J967" i="109"/>
  <c r="J966" i="109"/>
  <c r="J965" i="109"/>
  <c r="J964" i="109"/>
  <c r="J963" i="109"/>
  <c r="J962" i="109"/>
  <c r="J961" i="109"/>
  <c r="J960" i="109"/>
  <c r="J959" i="109"/>
  <c r="J958" i="109"/>
  <c r="J957" i="109"/>
  <c r="J956" i="109"/>
  <c r="J955" i="109"/>
  <c r="J954" i="109"/>
  <c r="J953" i="109"/>
  <c r="J952" i="109"/>
  <c r="J951" i="109"/>
  <c r="J950" i="109"/>
  <c r="J949" i="109"/>
  <c r="J948" i="109"/>
  <c r="J947" i="109"/>
  <c r="J946" i="109"/>
  <c r="J945" i="109"/>
  <c r="J944" i="109"/>
  <c r="J943" i="109"/>
  <c r="J942" i="109"/>
  <c r="J941" i="109"/>
  <c r="J940" i="109"/>
  <c r="J939" i="109"/>
  <c r="J938" i="109"/>
  <c r="J937" i="109"/>
  <c r="J936" i="109"/>
  <c r="J935" i="109"/>
  <c r="J934" i="109"/>
  <c r="J933" i="109"/>
  <c r="J932" i="109"/>
  <c r="J931" i="109"/>
  <c r="J930" i="109"/>
  <c r="J929" i="109"/>
  <c r="J928" i="109"/>
  <c r="J927" i="109"/>
  <c r="J926" i="109"/>
  <c r="J925" i="109"/>
  <c r="J924" i="109"/>
  <c r="J923" i="109"/>
  <c r="J922" i="109"/>
  <c r="J921" i="109"/>
  <c r="J920" i="109"/>
  <c r="J919" i="109"/>
  <c r="J918" i="109"/>
  <c r="J917" i="109"/>
  <c r="J916" i="109"/>
  <c r="J915" i="109"/>
  <c r="J914" i="109"/>
  <c r="J913" i="109"/>
  <c r="J912" i="109"/>
  <c r="J911" i="109"/>
  <c r="J910" i="109"/>
  <c r="J909" i="109"/>
  <c r="J908" i="109"/>
  <c r="J907" i="109"/>
  <c r="J906" i="109"/>
  <c r="J905" i="109"/>
  <c r="J904" i="109"/>
  <c r="J903" i="109"/>
  <c r="J902" i="109"/>
  <c r="J901" i="109"/>
  <c r="J900" i="109"/>
  <c r="J899" i="109"/>
  <c r="J898" i="109"/>
  <c r="J897" i="109"/>
  <c r="J896" i="109"/>
  <c r="J895" i="109"/>
  <c r="J894" i="109"/>
  <c r="J893" i="109"/>
  <c r="J892" i="109"/>
  <c r="J891" i="109"/>
  <c r="J890" i="109"/>
  <c r="J889" i="109"/>
  <c r="J888" i="109"/>
  <c r="J887" i="109"/>
  <c r="J886" i="109"/>
  <c r="J885" i="109"/>
  <c r="J884" i="109"/>
  <c r="J883" i="109"/>
  <c r="J882" i="109"/>
  <c r="J881" i="109"/>
  <c r="J880" i="109"/>
  <c r="J879" i="109"/>
  <c r="J878" i="109"/>
  <c r="J877" i="109"/>
  <c r="J876" i="109"/>
  <c r="J875" i="109"/>
  <c r="J874" i="109"/>
  <c r="J873" i="109"/>
  <c r="J872" i="109"/>
  <c r="J871" i="109"/>
  <c r="J870" i="109"/>
  <c r="J869" i="109"/>
  <c r="J868" i="109"/>
  <c r="J867" i="109"/>
  <c r="J866" i="109"/>
  <c r="J865" i="109"/>
  <c r="J864" i="109"/>
  <c r="J863" i="109"/>
  <c r="J862" i="109"/>
  <c r="J861" i="109"/>
  <c r="J860" i="109"/>
  <c r="J859" i="109"/>
  <c r="J858" i="109"/>
  <c r="J857" i="109"/>
  <c r="J856" i="109"/>
  <c r="J855" i="109"/>
  <c r="J854" i="109"/>
  <c r="J853" i="109"/>
  <c r="J852" i="109"/>
  <c r="J851" i="109"/>
  <c r="J850" i="109"/>
  <c r="J849" i="109"/>
  <c r="J848" i="109"/>
  <c r="J847" i="109"/>
  <c r="J846" i="109"/>
  <c r="J845" i="109"/>
  <c r="J844" i="109"/>
  <c r="J843" i="109"/>
  <c r="J842" i="109"/>
  <c r="J841" i="109"/>
  <c r="J840" i="109"/>
  <c r="J839" i="109"/>
  <c r="J838" i="109"/>
  <c r="J837" i="109"/>
  <c r="J836" i="109"/>
  <c r="J835" i="109"/>
  <c r="J834" i="109"/>
  <c r="J833" i="109"/>
  <c r="J832" i="109"/>
  <c r="J831" i="109"/>
  <c r="J830" i="109"/>
  <c r="J829" i="109"/>
  <c r="J828" i="109"/>
  <c r="J827" i="109"/>
  <c r="J826" i="109"/>
  <c r="J825" i="109"/>
  <c r="J824" i="109"/>
  <c r="J823" i="109"/>
  <c r="J822" i="109"/>
  <c r="J821" i="109"/>
  <c r="J820" i="109"/>
  <c r="J819" i="109"/>
  <c r="J818" i="109"/>
  <c r="J817" i="109"/>
  <c r="J816" i="109"/>
  <c r="J815" i="109"/>
  <c r="J814" i="109"/>
  <c r="J813" i="109"/>
  <c r="J812" i="109"/>
  <c r="J811" i="109"/>
  <c r="J810" i="109"/>
  <c r="J809" i="109"/>
  <c r="J808" i="109"/>
  <c r="J807" i="109"/>
  <c r="J806" i="109"/>
  <c r="J805" i="109"/>
  <c r="J804" i="109"/>
  <c r="J803" i="109"/>
  <c r="J802" i="109"/>
  <c r="J801" i="109"/>
  <c r="J800" i="109"/>
  <c r="J799" i="109"/>
  <c r="J798" i="109"/>
  <c r="J797" i="109"/>
  <c r="J796" i="109"/>
  <c r="J795" i="109"/>
  <c r="J794" i="109"/>
  <c r="J793" i="109"/>
  <c r="J792" i="109"/>
  <c r="J791" i="109"/>
  <c r="J790" i="109"/>
  <c r="J789" i="109"/>
  <c r="J788" i="109"/>
  <c r="J787" i="109"/>
  <c r="J786" i="109"/>
  <c r="J785" i="109"/>
  <c r="J784" i="109"/>
  <c r="J783" i="109"/>
  <c r="J782" i="109"/>
  <c r="J781" i="109"/>
  <c r="J780" i="109"/>
  <c r="J779" i="109"/>
  <c r="J778" i="109"/>
  <c r="J777" i="109"/>
  <c r="J776" i="109"/>
  <c r="J775" i="109"/>
  <c r="J774" i="109"/>
  <c r="J773" i="109"/>
  <c r="J772" i="109"/>
  <c r="J771" i="109"/>
  <c r="J770" i="109"/>
  <c r="J769" i="109"/>
  <c r="J768" i="109"/>
  <c r="J767" i="109"/>
  <c r="J766" i="109"/>
  <c r="J765" i="109"/>
  <c r="J764" i="109"/>
  <c r="J763" i="109"/>
  <c r="J762" i="109"/>
  <c r="J761" i="109"/>
  <c r="J760" i="109"/>
  <c r="J759" i="109"/>
  <c r="J758" i="109"/>
  <c r="J757" i="109"/>
  <c r="J756" i="109"/>
  <c r="J755" i="109"/>
  <c r="J754" i="109"/>
  <c r="J753" i="109"/>
  <c r="J752" i="109"/>
  <c r="J751" i="109"/>
  <c r="J750" i="109"/>
  <c r="J749" i="109"/>
  <c r="J748" i="109"/>
  <c r="J747" i="109"/>
  <c r="J746" i="109"/>
  <c r="J745" i="109"/>
  <c r="J744" i="109"/>
  <c r="J743" i="109"/>
  <c r="J742" i="109"/>
  <c r="J741" i="109"/>
  <c r="J740" i="109"/>
  <c r="J739" i="109"/>
  <c r="J738" i="109"/>
  <c r="J737" i="109"/>
  <c r="J736" i="109"/>
  <c r="J735" i="109"/>
  <c r="J734" i="109"/>
  <c r="J733" i="109"/>
  <c r="J732" i="109"/>
  <c r="J731" i="109"/>
  <c r="J730" i="109"/>
  <c r="J729" i="109"/>
  <c r="J728" i="109"/>
  <c r="J727" i="109"/>
  <c r="J726" i="109"/>
  <c r="J725" i="109"/>
  <c r="J724" i="109"/>
  <c r="J723" i="109"/>
  <c r="J722" i="109"/>
  <c r="J721" i="109"/>
  <c r="J720" i="109"/>
  <c r="J719" i="109"/>
  <c r="J718" i="109"/>
  <c r="J717" i="109"/>
  <c r="J716" i="109"/>
  <c r="J715" i="109"/>
  <c r="J714" i="109"/>
  <c r="J713" i="109"/>
  <c r="J712" i="109"/>
  <c r="J711" i="109"/>
  <c r="J710" i="109"/>
  <c r="J709" i="109"/>
  <c r="J708" i="109"/>
  <c r="J707" i="109"/>
  <c r="J706" i="109"/>
  <c r="J705" i="109"/>
  <c r="J704" i="109"/>
  <c r="J703" i="109"/>
  <c r="J702" i="109"/>
  <c r="J701" i="109"/>
  <c r="J700" i="109"/>
  <c r="J699" i="109"/>
  <c r="J698" i="109"/>
  <c r="J697" i="109"/>
  <c r="J696" i="109"/>
  <c r="J695" i="109"/>
  <c r="J694" i="109"/>
  <c r="J693" i="109"/>
  <c r="J692" i="109"/>
  <c r="J691" i="109"/>
  <c r="J690" i="109"/>
  <c r="J689" i="109"/>
  <c r="J688" i="109"/>
  <c r="J687" i="109"/>
  <c r="J686" i="109"/>
  <c r="J685" i="109"/>
  <c r="J684" i="109"/>
  <c r="J683" i="109"/>
  <c r="J682" i="109"/>
  <c r="J681" i="109"/>
  <c r="J680" i="109"/>
  <c r="J679" i="109"/>
  <c r="J678" i="109"/>
  <c r="J677" i="109"/>
  <c r="J676" i="109"/>
  <c r="J675" i="109"/>
  <c r="J674" i="109"/>
  <c r="J673" i="109"/>
  <c r="J672" i="109"/>
  <c r="J671" i="109"/>
  <c r="J670" i="109"/>
  <c r="J669" i="109"/>
  <c r="J668" i="109"/>
  <c r="J667" i="109"/>
  <c r="J666" i="109"/>
  <c r="J665" i="109"/>
  <c r="J664" i="109"/>
  <c r="J663" i="109"/>
  <c r="J662" i="109"/>
  <c r="J661" i="109"/>
  <c r="J660" i="109"/>
  <c r="J659" i="109"/>
  <c r="J658" i="109"/>
  <c r="J657" i="109"/>
  <c r="J656" i="109"/>
  <c r="J655" i="109"/>
  <c r="J654" i="109"/>
  <c r="J653" i="109"/>
  <c r="J652" i="109"/>
  <c r="J651" i="109"/>
  <c r="J650" i="109"/>
  <c r="J649" i="109"/>
  <c r="J648" i="109"/>
  <c r="J647" i="109"/>
  <c r="J646" i="109"/>
  <c r="J645" i="109"/>
  <c r="J644" i="109"/>
  <c r="J643" i="109"/>
  <c r="J642" i="109"/>
  <c r="J641" i="109"/>
  <c r="J640" i="109"/>
  <c r="J639" i="109"/>
  <c r="J638" i="109"/>
  <c r="J637" i="109"/>
  <c r="J636" i="109"/>
  <c r="J635" i="109"/>
  <c r="J634" i="109"/>
  <c r="J633" i="109"/>
  <c r="J632" i="109"/>
  <c r="J631" i="109"/>
  <c r="J630" i="109"/>
  <c r="J629" i="109"/>
  <c r="J628" i="109"/>
  <c r="J627" i="109"/>
  <c r="J626" i="109"/>
  <c r="J625" i="109"/>
  <c r="J624" i="109"/>
  <c r="J623" i="109"/>
  <c r="J622" i="109"/>
  <c r="J621" i="109"/>
  <c r="J620" i="109"/>
  <c r="J619" i="109"/>
  <c r="J618" i="109"/>
  <c r="J617" i="109"/>
  <c r="J616" i="109"/>
  <c r="J615" i="109"/>
  <c r="J614" i="109"/>
  <c r="J613" i="109"/>
  <c r="J612" i="109"/>
  <c r="J611" i="109"/>
  <c r="J610" i="109"/>
  <c r="J609" i="109"/>
  <c r="J608" i="109"/>
  <c r="J607" i="109"/>
  <c r="J606" i="109"/>
  <c r="J605" i="109"/>
  <c r="J604" i="109"/>
  <c r="J603" i="109"/>
  <c r="J602" i="109"/>
  <c r="J601" i="109"/>
  <c r="J600" i="109"/>
  <c r="J599" i="109"/>
  <c r="J598" i="109"/>
  <c r="J597" i="109"/>
  <c r="J596" i="109"/>
  <c r="J595" i="109"/>
  <c r="J594" i="109"/>
  <c r="J593" i="109"/>
  <c r="J592" i="109"/>
  <c r="J591" i="109"/>
  <c r="J590" i="109"/>
  <c r="J589" i="109"/>
  <c r="J588" i="109"/>
  <c r="J587" i="109"/>
  <c r="J586" i="109"/>
  <c r="J585" i="109"/>
  <c r="J584" i="109"/>
  <c r="J583" i="109"/>
  <c r="J582" i="109"/>
  <c r="J581" i="109"/>
  <c r="J580" i="109"/>
  <c r="J579" i="109"/>
  <c r="J578" i="109"/>
  <c r="J577" i="109"/>
  <c r="J576" i="109"/>
  <c r="J575" i="109"/>
  <c r="J574" i="109"/>
  <c r="J573" i="109"/>
  <c r="J572" i="109"/>
  <c r="J571" i="109"/>
  <c r="J570" i="109"/>
  <c r="J569" i="109"/>
  <c r="J568" i="109"/>
  <c r="J567" i="109"/>
  <c r="J566" i="109"/>
  <c r="J565" i="109"/>
  <c r="J564" i="109"/>
  <c r="J563" i="109"/>
  <c r="J562" i="109"/>
  <c r="J561" i="109"/>
  <c r="J560" i="109"/>
  <c r="J559" i="109"/>
  <c r="J558" i="109"/>
  <c r="J557" i="109"/>
  <c r="J556" i="109"/>
  <c r="J555" i="109"/>
  <c r="J554" i="109"/>
  <c r="J553" i="109"/>
  <c r="J552" i="109"/>
  <c r="J551" i="109"/>
  <c r="J550" i="109"/>
  <c r="J549" i="109"/>
  <c r="J548" i="109"/>
  <c r="J547" i="109"/>
  <c r="J546" i="109"/>
  <c r="J545" i="109"/>
  <c r="J544" i="109"/>
  <c r="J543" i="109"/>
  <c r="J542" i="109"/>
  <c r="J541" i="109"/>
  <c r="J540" i="109"/>
  <c r="J539" i="109"/>
  <c r="J538" i="109"/>
  <c r="J537" i="109"/>
  <c r="J536" i="109"/>
  <c r="J535" i="109"/>
  <c r="J534" i="109"/>
  <c r="J533" i="109"/>
  <c r="J532" i="109"/>
  <c r="J531" i="109"/>
  <c r="J530" i="109"/>
  <c r="J529" i="109"/>
  <c r="J528" i="109"/>
  <c r="J527" i="109"/>
  <c r="J526" i="109"/>
  <c r="J525" i="109"/>
  <c r="J524" i="109"/>
  <c r="J523" i="109"/>
  <c r="J522" i="109"/>
  <c r="J521" i="109"/>
  <c r="J520" i="109"/>
  <c r="J519" i="109"/>
  <c r="J518" i="109"/>
  <c r="J517" i="109"/>
  <c r="J516" i="109"/>
  <c r="J515" i="109"/>
  <c r="J514" i="109"/>
  <c r="J513" i="109"/>
  <c r="J512" i="109"/>
  <c r="J511" i="109"/>
  <c r="J510" i="109"/>
  <c r="J509" i="109"/>
  <c r="J508" i="109"/>
  <c r="J507" i="109"/>
  <c r="J506" i="109"/>
  <c r="J505" i="109"/>
  <c r="J504" i="109"/>
  <c r="J503" i="109"/>
  <c r="J502" i="109"/>
  <c r="J501" i="109"/>
  <c r="J500" i="109"/>
  <c r="J499" i="109"/>
  <c r="J498" i="109"/>
  <c r="J497" i="109"/>
  <c r="J496" i="109"/>
  <c r="J495" i="109"/>
  <c r="J494" i="109"/>
  <c r="J493" i="109"/>
  <c r="J492" i="109"/>
  <c r="J491" i="109"/>
  <c r="J490" i="109"/>
  <c r="J489" i="109"/>
  <c r="J488" i="109"/>
  <c r="J487" i="109"/>
  <c r="J486" i="109"/>
  <c r="J485" i="109"/>
  <c r="J484" i="109"/>
  <c r="J483" i="109"/>
  <c r="J482" i="109"/>
  <c r="J481" i="109"/>
  <c r="J480" i="109"/>
  <c r="J479" i="109"/>
  <c r="J478" i="109"/>
  <c r="J477" i="109"/>
  <c r="J476" i="109"/>
  <c r="J475" i="109"/>
  <c r="J474" i="109"/>
  <c r="J473" i="109"/>
  <c r="J472" i="109"/>
  <c r="J471" i="109"/>
  <c r="J470" i="109"/>
  <c r="J469" i="109"/>
  <c r="J468" i="109"/>
  <c r="J467" i="109"/>
  <c r="J466" i="109"/>
  <c r="J465" i="109"/>
  <c r="J464" i="109"/>
  <c r="J463" i="109"/>
  <c r="J462" i="109"/>
  <c r="J461" i="109"/>
  <c r="J460" i="109"/>
  <c r="J459" i="109"/>
  <c r="J458" i="109"/>
  <c r="J457" i="109"/>
  <c r="J456" i="109"/>
  <c r="J455" i="109"/>
  <c r="J454" i="109"/>
  <c r="J453" i="109"/>
  <c r="J452" i="109"/>
  <c r="J451" i="109"/>
  <c r="J450" i="109"/>
  <c r="J449" i="109"/>
  <c r="J448" i="109"/>
  <c r="J447" i="109"/>
  <c r="J446" i="109"/>
  <c r="J445" i="109"/>
  <c r="J444" i="109"/>
  <c r="J443" i="109"/>
  <c r="J442" i="109"/>
  <c r="J441" i="109"/>
  <c r="J440" i="109"/>
  <c r="J439" i="109"/>
  <c r="J438" i="109"/>
  <c r="J437" i="109"/>
  <c r="J436" i="109"/>
  <c r="J435" i="109"/>
  <c r="J434" i="109"/>
  <c r="J433" i="109"/>
  <c r="J432" i="109"/>
  <c r="J431" i="109"/>
  <c r="J430" i="109"/>
  <c r="J429" i="109"/>
  <c r="J428" i="109"/>
  <c r="J427" i="109"/>
  <c r="J426" i="109"/>
  <c r="J425" i="109"/>
  <c r="J424" i="109"/>
  <c r="J423" i="109"/>
  <c r="J422" i="109"/>
  <c r="J421" i="109"/>
  <c r="J420" i="109"/>
  <c r="J419" i="109"/>
  <c r="J418" i="109"/>
  <c r="J417" i="109"/>
  <c r="J416" i="109"/>
  <c r="J415" i="109"/>
  <c r="J414" i="109"/>
  <c r="J413" i="109"/>
  <c r="J412" i="109"/>
  <c r="J411" i="109"/>
  <c r="J410" i="109"/>
  <c r="J409" i="109"/>
  <c r="J408" i="109"/>
  <c r="J407" i="109"/>
  <c r="J406" i="109"/>
  <c r="J405" i="109"/>
  <c r="J404" i="109"/>
  <c r="J403" i="109"/>
  <c r="J402" i="109"/>
  <c r="J401" i="109"/>
  <c r="J400" i="109"/>
  <c r="J399" i="109"/>
  <c r="J398" i="109"/>
  <c r="J397" i="109"/>
  <c r="J396" i="109"/>
  <c r="J395" i="109"/>
  <c r="J394" i="109"/>
  <c r="J393" i="109"/>
  <c r="J392" i="109"/>
  <c r="J391" i="109"/>
  <c r="J390" i="109"/>
  <c r="J389" i="109"/>
  <c r="J388" i="109"/>
  <c r="J387" i="109"/>
  <c r="J386" i="109"/>
  <c r="J385" i="109"/>
  <c r="J384" i="109"/>
  <c r="J383" i="109"/>
  <c r="J382" i="109"/>
  <c r="J381" i="109"/>
  <c r="J380" i="109"/>
  <c r="J379" i="109"/>
  <c r="J378" i="109"/>
  <c r="J377" i="109"/>
  <c r="J376" i="109"/>
  <c r="J375" i="109"/>
  <c r="J374" i="109"/>
  <c r="J373" i="109"/>
  <c r="J372" i="109"/>
  <c r="J371" i="109"/>
  <c r="J370" i="109"/>
  <c r="J369" i="109"/>
  <c r="J368" i="109"/>
  <c r="J367" i="109"/>
  <c r="J366" i="109"/>
  <c r="J365" i="109"/>
  <c r="J364" i="109"/>
  <c r="J363" i="109"/>
  <c r="J362" i="109"/>
  <c r="J361" i="109"/>
  <c r="J360" i="109"/>
  <c r="J359" i="109"/>
  <c r="J358" i="109"/>
  <c r="J357" i="109"/>
  <c r="J356" i="109"/>
  <c r="J355" i="109"/>
  <c r="J354" i="109"/>
  <c r="J353" i="109"/>
  <c r="J352" i="109"/>
  <c r="J351" i="109"/>
  <c r="J350" i="109"/>
  <c r="J349" i="109"/>
  <c r="J348" i="109"/>
  <c r="J347" i="109"/>
  <c r="J346" i="109"/>
  <c r="J345" i="109"/>
  <c r="J344" i="109"/>
  <c r="J343" i="109"/>
  <c r="J342" i="109"/>
  <c r="J341" i="109"/>
  <c r="J340" i="109"/>
  <c r="J339" i="109"/>
  <c r="J338" i="109"/>
  <c r="J337" i="109"/>
  <c r="J336" i="109"/>
  <c r="J335" i="109"/>
  <c r="J334" i="109"/>
  <c r="J333" i="109"/>
  <c r="J332" i="109"/>
  <c r="J331" i="109"/>
  <c r="J330" i="109"/>
  <c r="J329" i="109"/>
  <c r="J328" i="109"/>
  <c r="J327" i="109"/>
  <c r="J326" i="109"/>
  <c r="J325" i="109"/>
  <c r="J324" i="109"/>
  <c r="J323" i="109"/>
  <c r="J322" i="109"/>
  <c r="J321" i="109"/>
  <c r="J320" i="109"/>
  <c r="J319" i="109"/>
  <c r="J318" i="109"/>
  <c r="J317" i="109"/>
  <c r="J316" i="109"/>
  <c r="J315" i="109"/>
  <c r="J314" i="109"/>
  <c r="J313" i="109"/>
  <c r="J312" i="109"/>
  <c r="J311" i="109"/>
  <c r="J310" i="109"/>
  <c r="J309" i="109"/>
  <c r="J308" i="109"/>
  <c r="J307" i="109"/>
  <c r="J306" i="109"/>
  <c r="J305" i="109"/>
  <c r="J304" i="109"/>
  <c r="J303" i="109"/>
  <c r="J302" i="109"/>
  <c r="J301" i="109"/>
  <c r="J300" i="109"/>
  <c r="J299" i="109"/>
  <c r="J298" i="109"/>
  <c r="J297" i="109"/>
  <c r="J296" i="109"/>
  <c r="J295" i="109"/>
  <c r="J294" i="109"/>
  <c r="J293" i="109"/>
  <c r="J292" i="109"/>
  <c r="J291" i="109"/>
  <c r="J290" i="109"/>
  <c r="J289" i="109"/>
  <c r="J288" i="109"/>
  <c r="J287" i="109"/>
  <c r="J286" i="109"/>
  <c r="J285" i="109"/>
  <c r="J284" i="109"/>
  <c r="J283" i="109"/>
  <c r="J282" i="109"/>
  <c r="J281" i="109"/>
  <c r="J280" i="109"/>
  <c r="J279" i="109"/>
  <c r="J278" i="109"/>
  <c r="J277" i="109"/>
  <c r="J276" i="109"/>
  <c r="J275" i="109"/>
  <c r="J274" i="109"/>
  <c r="J273" i="109"/>
  <c r="J272" i="109"/>
  <c r="J271" i="109"/>
  <c r="J270" i="109"/>
  <c r="J269" i="109"/>
  <c r="J268" i="109"/>
  <c r="J267" i="109"/>
  <c r="J266" i="109"/>
  <c r="J265" i="109"/>
  <c r="J264" i="109"/>
  <c r="J263" i="109"/>
  <c r="J262" i="109"/>
  <c r="J261" i="109"/>
  <c r="J260" i="109"/>
  <c r="J259" i="109"/>
  <c r="J258" i="109"/>
  <c r="J257" i="109"/>
  <c r="J256" i="109"/>
  <c r="J255" i="109"/>
  <c r="J254" i="109"/>
  <c r="J253" i="109"/>
  <c r="J252" i="109"/>
  <c r="J251" i="109"/>
  <c r="J250" i="109"/>
  <c r="J249" i="109"/>
  <c r="J248" i="109"/>
  <c r="J247" i="109"/>
  <c r="J246" i="109"/>
  <c r="J245" i="109"/>
  <c r="J244" i="109"/>
  <c r="J243" i="109"/>
  <c r="J242" i="109"/>
  <c r="J241" i="109"/>
  <c r="J240" i="109"/>
  <c r="J239" i="109"/>
  <c r="J238" i="109"/>
  <c r="J237" i="109"/>
  <c r="J236" i="109"/>
  <c r="J235" i="109"/>
  <c r="J234" i="109"/>
  <c r="J233" i="109"/>
  <c r="J232" i="109"/>
  <c r="J231" i="109"/>
  <c r="J230" i="109"/>
  <c r="J229" i="109"/>
  <c r="J228" i="109"/>
  <c r="J227" i="109"/>
  <c r="J226" i="109"/>
  <c r="J225" i="109"/>
  <c r="J224" i="109"/>
  <c r="J223" i="109"/>
  <c r="J222" i="109"/>
  <c r="J221" i="109"/>
  <c r="J220" i="109"/>
  <c r="J219" i="109"/>
  <c r="J218" i="109"/>
  <c r="J217" i="109"/>
  <c r="J216" i="109"/>
  <c r="J215" i="109"/>
  <c r="J214" i="109"/>
  <c r="J213" i="109"/>
  <c r="J212" i="109"/>
  <c r="J211" i="109"/>
  <c r="J210" i="109"/>
  <c r="J209" i="109"/>
  <c r="J208" i="109"/>
  <c r="J207" i="109"/>
  <c r="J206" i="109"/>
  <c r="J205" i="109"/>
  <c r="J204" i="109"/>
  <c r="J203" i="109"/>
  <c r="J202" i="109"/>
  <c r="J201" i="109"/>
  <c r="J200" i="109"/>
  <c r="J199" i="109"/>
  <c r="J198" i="109"/>
  <c r="J197" i="109"/>
  <c r="J196" i="109"/>
  <c r="J195" i="109"/>
  <c r="J194" i="109"/>
  <c r="J193" i="109"/>
  <c r="J192" i="109"/>
  <c r="J191" i="109"/>
  <c r="J190" i="109"/>
  <c r="J189" i="109"/>
  <c r="J188" i="109"/>
  <c r="J187" i="109"/>
  <c r="J186" i="109"/>
  <c r="J185" i="109"/>
  <c r="J184" i="109"/>
  <c r="J183" i="109"/>
  <c r="J182" i="109"/>
  <c r="J181" i="109"/>
  <c r="J180" i="109"/>
  <c r="J179" i="109"/>
  <c r="J178" i="109"/>
  <c r="J177" i="109"/>
  <c r="J176" i="109"/>
  <c r="J175" i="109"/>
  <c r="J174" i="109"/>
  <c r="J173" i="109"/>
  <c r="J172" i="109"/>
  <c r="J171" i="109"/>
  <c r="J170" i="109"/>
  <c r="J169" i="109"/>
  <c r="J168" i="109"/>
  <c r="J167" i="109"/>
  <c r="J166" i="109"/>
  <c r="J165" i="109"/>
  <c r="J164" i="109"/>
  <c r="J163" i="109"/>
  <c r="J162" i="109"/>
  <c r="J161" i="109"/>
  <c r="J160" i="109"/>
  <c r="J159" i="109"/>
  <c r="J158" i="109"/>
  <c r="J157" i="109"/>
  <c r="J156" i="109"/>
  <c r="J155" i="109"/>
  <c r="J154" i="109"/>
  <c r="J153" i="109"/>
  <c r="J152" i="109"/>
  <c r="J151" i="109"/>
  <c r="J150" i="109"/>
  <c r="J149" i="109"/>
  <c r="J148" i="109"/>
  <c r="J147" i="109"/>
  <c r="J146" i="109"/>
  <c r="J145" i="109"/>
  <c r="J144" i="109"/>
  <c r="J143" i="109"/>
  <c r="J142" i="109"/>
  <c r="J141" i="109"/>
  <c r="J140" i="109"/>
  <c r="J139" i="109"/>
  <c r="J138" i="109"/>
  <c r="J137" i="109"/>
  <c r="J136" i="109"/>
  <c r="J135" i="109"/>
  <c r="J134" i="109"/>
  <c r="J133" i="109"/>
  <c r="J132" i="109"/>
  <c r="J131" i="109"/>
  <c r="J130" i="109"/>
  <c r="J129" i="109"/>
  <c r="J128" i="109"/>
  <c r="J127" i="109"/>
  <c r="J126" i="109"/>
  <c r="J125" i="109"/>
  <c r="J124" i="109"/>
  <c r="J123" i="109"/>
  <c r="J122" i="109"/>
  <c r="J121" i="109"/>
  <c r="J120" i="109"/>
  <c r="J119" i="109"/>
  <c r="J118" i="109"/>
  <c r="J117" i="109"/>
  <c r="J116" i="109"/>
  <c r="J115" i="109"/>
  <c r="J114" i="109"/>
  <c r="J113" i="109"/>
  <c r="J112" i="109"/>
  <c r="J111" i="109"/>
  <c r="J110" i="109"/>
  <c r="J109" i="109"/>
  <c r="J108" i="109"/>
  <c r="J107" i="109"/>
  <c r="J106" i="109"/>
  <c r="J105" i="109"/>
  <c r="J104" i="109"/>
  <c r="J103" i="109"/>
  <c r="J102" i="109"/>
  <c r="J101" i="109"/>
  <c r="J100" i="109"/>
  <c r="J99" i="109"/>
  <c r="J98" i="109"/>
  <c r="J97" i="109"/>
  <c r="J96" i="109"/>
  <c r="J95" i="109"/>
  <c r="J94" i="109"/>
  <c r="J93" i="109"/>
  <c r="J92" i="109"/>
  <c r="J91" i="109"/>
  <c r="J90" i="109"/>
  <c r="J89" i="109"/>
  <c r="J88" i="109"/>
  <c r="J87" i="109"/>
  <c r="J86" i="109"/>
  <c r="J85" i="109"/>
  <c r="J84" i="109"/>
  <c r="J83" i="109"/>
  <c r="J82" i="109"/>
  <c r="J81" i="109"/>
  <c r="J80" i="109"/>
  <c r="J79" i="109"/>
  <c r="J78" i="109"/>
  <c r="J77" i="109"/>
  <c r="J76" i="109"/>
  <c r="J75" i="109"/>
  <c r="J74" i="109"/>
  <c r="J73" i="109"/>
  <c r="J72" i="109"/>
  <c r="J71" i="109"/>
  <c r="J70" i="109"/>
  <c r="J69" i="109"/>
  <c r="J68" i="109"/>
  <c r="J67" i="109"/>
  <c r="J63" i="109"/>
  <c r="J62" i="109"/>
  <c r="J61" i="109"/>
  <c r="J60" i="109"/>
  <c r="J59" i="109"/>
  <c r="J58" i="109"/>
  <c r="J57" i="109"/>
  <c r="J56" i="109"/>
  <c r="J55" i="109"/>
  <c r="J54" i="109"/>
  <c r="J53" i="109"/>
  <c r="J52" i="109"/>
  <c r="J51" i="109"/>
  <c r="J50" i="109"/>
  <c r="J49" i="109"/>
  <c r="J48" i="109"/>
  <c r="J47" i="109"/>
  <c r="J46" i="109"/>
  <c r="J45" i="109"/>
  <c r="J44" i="109"/>
  <c r="J43" i="109"/>
  <c r="J42" i="109"/>
  <c r="J41" i="109"/>
  <c r="J40" i="109"/>
  <c r="J39" i="109"/>
  <c r="J38" i="109"/>
  <c r="J37" i="109"/>
  <c r="J36" i="109"/>
  <c r="J35" i="109"/>
  <c r="J34" i="109"/>
  <c r="J33" i="109"/>
  <c r="J32" i="109"/>
  <c r="J31" i="109"/>
  <c r="J30" i="109"/>
  <c r="J29" i="109"/>
  <c r="J28" i="109"/>
  <c r="J27" i="109"/>
  <c r="J26" i="109"/>
  <c r="J25" i="109"/>
  <c r="J24" i="109"/>
  <c r="J23" i="109"/>
  <c r="J22" i="109"/>
  <c r="J21" i="109"/>
  <c r="J20" i="109"/>
  <c r="J19" i="109"/>
  <c r="J18" i="109"/>
  <c r="J17" i="109"/>
  <c r="J16" i="109"/>
  <c r="J15" i="109"/>
  <c r="J14" i="109"/>
  <c r="J13" i="109"/>
  <c r="J12" i="109"/>
  <c r="J11" i="109"/>
  <c r="J10" i="109"/>
  <c r="J9" i="109"/>
  <c r="J8" i="109"/>
  <c r="J65" i="109" l="1"/>
  <c r="J6294" i="109"/>
  <c r="O52" i="43"/>
  <c r="N52" i="43"/>
  <c r="M52" i="43"/>
  <c r="L52" i="43"/>
  <c r="K52" i="43"/>
  <c r="J52" i="43"/>
  <c r="I52" i="43"/>
  <c r="H52" i="43"/>
  <c r="G52" i="43"/>
  <c r="F52" i="43"/>
  <c r="E52" i="43"/>
  <c r="D52" i="43"/>
  <c r="O48" i="43"/>
  <c r="N48" i="43"/>
  <c r="M48" i="43"/>
  <c r="L48" i="43"/>
  <c r="K48" i="43"/>
  <c r="J48" i="43"/>
  <c r="I48" i="43"/>
  <c r="H48" i="43"/>
  <c r="G48" i="43"/>
  <c r="F48" i="43"/>
  <c r="E48" i="43"/>
  <c r="D48" i="43"/>
  <c r="C47" i="24" l="1"/>
  <c r="C44" i="24"/>
  <c r="C43" i="24" l="1"/>
  <c r="C784" i="16" l="1"/>
  <c r="C765" i="16"/>
  <c r="C320" i="16"/>
  <c r="C14" i="16"/>
  <c r="C763" i="16" l="1"/>
  <c r="C12" i="16"/>
  <c r="C17" i="53" l="1"/>
  <c r="C23" i="53" s="1"/>
  <c r="I53" i="48" l="1"/>
  <c r="C69" i="24" l="1"/>
  <c r="C66" i="24"/>
  <c r="C59" i="24"/>
  <c r="C58" i="24" l="1"/>
  <c r="C19" i="24"/>
  <c r="C51" i="24"/>
  <c r="C40" i="24"/>
  <c r="C27" i="24"/>
  <c r="C24" i="24"/>
  <c r="C14" i="24"/>
  <c r="C9" i="24"/>
  <c r="C23" i="24" l="1"/>
  <c r="D32" i="55" l="1"/>
  <c r="F27" i="52"/>
  <c r="G27" i="52" s="1"/>
  <c r="F26" i="52"/>
  <c r="G26" i="52" s="1"/>
  <c r="F25" i="52"/>
  <c r="G25" i="52" s="1"/>
  <c r="E20" i="52"/>
  <c r="D20" i="52"/>
  <c r="C20" i="52"/>
  <c r="G20" i="52" l="1"/>
  <c r="F20" i="52"/>
  <c r="D46" i="50"/>
  <c r="D14" i="49"/>
  <c r="J37" i="48" l="1"/>
  <c r="I37" i="48"/>
  <c r="H37" i="48"/>
  <c r="G37" i="48"/>
  <c r="F37" i="48"/>
  <c r="E37" i="48"/>
  <c r="D37" i="48"/>
  <c r="E33" i="48"/>
  <c r="J33" i="48" s="1"/>
  <c r="H32" i="48"/>
  <c r="G32" i="48"/>
  <c r="F32" i="48"/>
  <c r="D32" i="48"/>
  <c r="J22" i="48"/>
  <c r="I22" i="48"/>
  <c r="H22" i="48"/>
  <c r="G22" i="48"/>
  <c r="G28" i="48" s="1"/>
  <c r="F22" i="48"/>
  <c r="E22" i="48"/>
  <c r="D22" i="48"/>
  <c r="J18" i="48"/>
  <c r="J17" i="48" s="1"/>
  <c r="J28" i="48" s="1"/>
  <c r="I17" i="48"/>
  <c r="H17" i="48"/>
  <c r="F17" i="48"/>
  <c r="F28" i="48" s="1"/>
  <c r="E17" i="48"/>
  <c r="E28" i="48" s="1"/>
  <c r="D17" i="48"/>
  <c r="J15" i="48"/>
  <c r="H43" i="48" l="1"/>
  <c r="E32" i="48"/>
  <c r="E43" i="48" s="1"/>
  <c r="E56" i="48" s="1"/>
  <c r="H28" i="48"/>
  <c r="H56" i="48" s="1"/>
  <c r="G43" i="48"/>
  <c r="G56" i="48" s="1"/>
  <c r="D43" i="48"/>
  <c r="D28" i="48"/>
  <c r="F43" i="48"/>
  <c r="F56" i="48" s="1"/>
  <c r="J32" i="48"/>
  <c r="I33" i="48"/>
  <c r="I32" i="48" s="1"/>
  <c r="D56" i="48" l="1"/>
  <c r="J43" i="48"/>
  <c r="J56" i="48" s="1"/>
  <c r="P64" i="43" l="1"/>
  <c r="P63" i="43"/>
  <c r="O62" i="43"/>
  <c r="O65" i="43" s="1"/>
  <c r="N62" i="43"/>
  <c r="M62" i="43"/>
  <c r="L62" i="43"/>
  <c r="K62" i="43"/>
  <c r="J62" i="43"/>
  <c r="I62" i="43"/>
  <c r="H62" i="43"/>
  <c r="G62" i="43"/>
  <c r="G65" i="43" s="1"/>
  <c r="F62" i="43"/>
  <c r="E62" i="43"/>
  <c r="D62" i="43"/>
  <c r="P61" i="43"/>
  <c r="P60" i="43"/>
  <c r="P59" i="43"/>
  <c r="P58" i="43"/>
  <c r="P57" i="43"/>
  <c r="P56" i="43"/>
  <c r="P51" i="43"/>
  <c r="P50" i="43"/>
  <c r="P49" i="43"/>
  <c r="P47" i="43"/>
  <c r="P46" i="43"/>
  <c r="K65" i="43"/>
  <c r="E65" i="43" l="1"/>
  <c r="I65" i="43"/>
  <c r="M65" i="43"/>
  <c r="P48" i="43"/>
  <c r="P62" i="43"/>
  <c r="D65" i="43"/>
  <c r="F65" i="43"/>
  <c r="H65" i="43"/>
  <c r="J65" i="43"/>
  <c r="L65" i="43"/>
  <c r="N65" i="43"/>
  <c r="P52" i="43"/>
  <c r="C50" i="24"/>
  <c r="C11" i="24"/>
  <c r="C8" i="24" s="1"/>
  <c r="C82" i="24" l="1"/>
  <c r="P65" i="43"/>
  <c r="P53" i="43" l="1"/>
</calcChain>
</file>

<file path=xl/sharedStrings.xml><?xml version="1.0" encoding="utf-8"?>
<sst xmlns="http://schemas.openxmlformats.org/spreadsheetml/2006/main" count="47939" uniqueCount="12256">
  <si>
    <t>Estado de Situación Financiera</t>
  </si>
  <si>
    <t>ACTIVO</t>
  </si>
  <si>
    <t>PASIVO</t>
  </si>
  <si>
    <t>Activo Circulante</t>
  </si>
  <si>
    <t>Pasivo Circulante</t>
  </si>
  <si>
    <t>1.1.1</t>
  </si>
  <si>
    <t>Efectivo y Equivalentes</t>
  </si>
  <si>
    <t>2.1.1</t>
  </si>
  <si>
    <t>Cuentas por Pagar a Corto Plazo</t>
  </si>
  <si>
    <t>1.1.2</t>
  </si>
  <si>
    <t>Derechos a Recibir Efectivo o Equivalentes</t>
  </si>
  <si>
    <t>2.1.2</t>
  </si>
  <si>
    <t>Documentos por Pagar Corto Plazo</t>
  </si>
  <si>
    <t>1.1.3</t>
  </si>
  <si>
    <t>Derechos a Recibir Bienes o Servicios</t>
  </si>
  <si>
    <t>2.1.3</t>
  </si>
  <si>
    <t>Porción a Corto Plazo de la Deuda Pública a Largo Plazo</t>
  </si>
  <si>
    <t>1.1.4</t>
  </si>
  <si>
    <t>Inventarios</t>
  </si>
  <si>
    <t>2.1.4</t>
  </si>
  <si>
    <t>Títulos y Valores a Corto Plazo</t>
  </si>
  <si>
    <t>1.1.5</t>
  </si>
  <si>
    <t>Almacenes</t>
  </si>
  <si>
    <t>Pasivos Diferidos a Corto Plazo</t>
  </si>
  <si>
    <t>1.1.6</t>
  </si>
  <si>
    <t>Estimación por Pérdida o Deterioro de Activos Circulantes</t>
  </si>
  <si>
    <t>Fondos y Bienes de Terceros en Garantía y/o Administración a Corto Plazo</t>
  </si>
  <si>
    <t>1.1.9</t>
  </si>
  <si>
    <t>Otros Activos Circulantes</t>
  </si>
  <si>
    <t>Provisiones a Corto Plazo</t>
  </si>
  <si>
    <t>Otros Pasivos a Corto Plazo</t>
  </si>
  <si>
    <t>Activo No Circulante</t>
  </si>
  <si>
    <t>Pasivo No Circulante</t>
  </si>
  <si>
    <t>1.2.1</t>
  </si>
  <si>
    <t>Inversiones Financieras a Largo Plazo</t>
  </si>
  <si>
    <t>2.2.1</t>
  </si>
  <si>
    <t>Cuentas por Pagar a Largo Plazo</t>
  </si>
  <si>
    <t>1.2.2</t>
  </si>
  <si>
    <t>Derechos a Recibir Efectivo o Equivalentes a Largo Plazo</t>
  </si>
  <si>
    <t>2.2.2</t>
  </si>
  <si>
    <t>Documentos por Pagar a Largo Plazo</t>
  </si>
  <si>
    <t>1.2.3</t>
  </si>
  <si>
    <t>Bienes Inmuebles, Infraestructura y Construcciónes en Proceso</t>
  </si>
  <si>
    <t>2.2.3</t>
  </si>
  <si>
    <t>Deuda Pública a Largo Plazo</t>
  </si>
  <si>
    <t>1.2.4</t>
  </si>
  <si>
    <t>Bienes Muebles</t>
  </si>
  <si>
    <t>Pasivos Diferidos a Largo Plazo</t>
  </si>
  <si>
    <t>1.2.5</t>
  </si>
  <si>
    <t>Activos Intangibles</t>
  </si>
  <si>
    <t>Fondos y Bienes de Terceros en Garantia y/o Administración a Largo Plazo</t>
  </si>
  <si>
    <t>1.2.6</t>
  </si>
  <si>
    <t>Depreciaciones, Deterioro y Amortización Acumulada de Bienes</t>
  </si>
  <si>
    <t>Provisiones a Largo Plazo</t>
  </si>
  <si>
    <t>Activos Diferidos</t>
  </si>
  <si>
    <t>Otros Activos no Circulantes</t>
  </si>
  <si>
    <t>HACIENDA PÚBLICA / PATRIMONIO</t>
  </si>
  <si>
    <t>Hacienda Pública / Patrimonio Contribuido</t>
  </si>
  <si>
    <t>3.1.1</t>
  </si>
  <si>
    <t>Aportaciones</t>
  </si>
  <si>
    <t>3.1.2</t>
  </si>
  <si>
    <t>Donaciones de Capital</t>
  </si>
  <si>
    <t>3.1.3</t>
  </si>
  <si>
    <t>Actualización de la Hacienda Pública / Patrimonio</t>
  </si>
  <si>
    <t>Hacienda Pública / Patrimonio Generado</t>
  </si>
  <si>
    <t>3.2.1</t>
  </si>
  <si>
    <t>Resultado del Ejercicio (Ahorro/Desahorro)</t>
  </si>
  <si>
    <t>3.2.2</t>
  </si>
  <si>
    <t>Resultado de Ejercicios Anteriores</t>
  </si>
  <si>
    <t>3.2.3</t>
  </si>
  <si>
    <t>Revalúos</t>
  </si>
  <si>
    <t>3.2.4</t>
  </si>
  <si>
    <t>Reservas</t>
  </si>
  <si>
    <t>3.2.5</t>
  </si>
  <si>
    <t>Rectificaciones de Resultados de Ejercicios Anteriores</t>
  </si>
  <si>
    <t>Exceso o Insuficiencia en la Actualización de la Hacienda Pública / Patrimonio</t>
  </si>
  <si>
    <t>Resultado por Posición Monetaria</t>
  </si>
  <si>
    <t>Resultado por Tenencia de Activos no Monetarios</t>
  </si>
  <si>
    <t>LEY DE INGRESOS</t>
  </si>
  <si>
    <t>PRESUPUESTO DE EGRESOS</t>
  </si>
  <si>
    <t>8.1.1</t>
  </si>
  <si>
    <t>Ley de Ingresos Estimada</t>
  </si>
  <si>
    <t>8.2.1</t>
  </si>
  <si>
    <t>Presupuesto de Egresos Aprobado</t>
  </si>
  <si>
    <t>8.1.2</t>
  </si>
  <si>
    <t>Ley de Ingresos por Ejecutar</t>
  </si>
  <si>
    <t>8.2.2</t>
  </si>
  <si>
    <t>Presupuesto de Egresos por Ejercer</t>
  </si>
  <si>
    <t>8.1.3</t>
  </si>
  <si>
    <t>Modificaciones a la Ley de Ingresos Estimada</t>
  </si>
  <si>
    <t>8.2.3</t>
  </si>
  <si>
    <t>Modificaciones al Presupuesto de Egresos Aprobado</t>
  </si>
  <si>
    <t>8.1.4</t>
  </si>
  <si>
    <t>Ley de Ingresos Devengada</t>
  </si>
  <si>
    <t>8.2.4</t>
  </si>
  <si>
    <t>Presupuesto de Egresos Comprometido</t>
  </si>
  <si>
    <t>8.1.5</t>
  </si>
  <si>
    <t>Ley de Ingresos Recaudada</t>
  </si>
  <si>
    <t>8.2.5</t>
  </si>
  <si>
    <t>Presupuesto de Egresos Devengado</t>
  </si>
  <si>
    <t>8.2.6</t>
  </si>
  <si>
    <t>Presupuesto de Egresos Ejercido</t>
  </si>
  <si>
    <t>8.2.7</t>
  </si>
  <si>
    <t>Presupuesto de Egresos Pagado</t>
  </si>
  <si>
    <t>Estado de Actividades</t>
  </si>
  <si>
    <t>INGRESOS Y OTROS BENEFICIOS</t>
  </si>
  <si>
    <t>4.1.1</t>
  </si>
  <si>
    <t>Impuestos</t>
  </si>
  <si>
    <t>4.1.2</t>
  </si>
  <si>
    <t>Cuotas y aportaciones de seguridad social</t>
  </si>
  <si>
    <t>4.1.3</t>
  </si>
  <si>
    <t>Contribuciones de Mejoras</t>
  </si>
  <si>
    <t>4.1.4</t>
  </si>
  <si>
    <t>Derechos</t>
  </si>
  <si>
    <t>4.1.5</t>
  </si>
  <si>
    <t>4.1.6</t>
  </si>
  <si>
    <t>Aprovechamientos de Tipo corriente</t>
  </si>
  <si>
    <t>4.1.7</t>
  </si>
  <si>
    <t>4.1.9</t>
  </si>
  <si>
    <t>Ingresos no Comprendidos en las Fracciones de la Ley de Ingresos Causados en Ejercicios Fiscales Anteriores Pendientes de Liquidación o Pago</t>
  </si>
  <si>
    <t>4.2.1</t>
  </si>
  <si>
    <t>Participaciones y Aportaciones</t>
  </si>
  <si>
    <t>4.2.2</t>
  </si>
  <si>
    <t>Transferencias, Asignaciones, subsidios y Otras Ayudas</t>
  </si>
  <si>
    <t>4.3.1</t>
  </si>
  <si>
    <t>Ingresos Financieros</t>
  </si>
  <si>
    <t>4.3.2</t>
  </si>
  <si>
    <t>Incremento por Variacion de Inventarios</t>
  </si>
  <si>
    <t>4.3.3</t>
  </si>
  <si>
    <t>4.3.4</t>
  </si>
  <si>
    <t>Disminución del Exceso de Provisiones</t>
  </si>
  <si>
    <t>4.3.9</t>
  </si>
  <si>
    <t>Otros Ingresos y Beneficios Varios</t>
  </si>
  <si>
    <t>GASTOS Y OTRAS PÉRDIDAS</t>
  </si>
  <si>
    <t>5.1.1</t>
  </si>
  <si>
    <t>Servicios Personales</t>
  </si>
  <si>
    <t>5.1.2</t>
  </si>
  <si>
    <t>Materiales y Suministros</t>
  </si>
  <si>
    <t>5.1.3</t>
  </si>
  <si>
    <t>Servicios Generales</t>
  </si>
  <si>
    <t>Transferencias, Asignaciones, Subsidios y Otras Ayudas</t>
  </si>
  <si>
    <t>5.2.1</t>
  </si>
  <si>
    <t>Transferencias Internas y Asignaciones al Sector Público</t>
  </si>
  <si>
    <t>5.2.2</t>
  </si>
  <si>
    <t>Transferencias al Resto del Sector Público</t>
  </si>
  <si>
    <t>Subsidios y Subvenciones</t>
  </si>
  <si>
    <t>5.2.4</t>
  </si>
  <si>
    <t>Ayudas Sociales</t>
  </si>
  <si>
    <t>5.2.5</t>
  </si>
  <si>
    <t>Pensiones y Jubilaciones</t>
  </si>
  <si>
    <t>5.2.6</t>
  </si>
  <si>
    <t>Transferencias a Fideicomisos, Mandatos y Contratos Análogos</t>
  </si>
  <si>
    <t>5.2.7</t>
  </si>
  <si>
    <t>Transferencias a la Seguridad Social</t>
  </si>
  <si>
    <t>5.2.8</t>
  </si>
  <si>
    <t>Donativos</t>
  </si>
  <si>
    <t>5.2.9</t>
  </si>
  <si>
    <t>Transferencias al Exterior</t>
  </si>
  <si>
    <t>5.3.1</t>
  </si>
  <si>
    <t xml:space="preserve">Participaciones </t>
  </si>
  <si>
    <t>5.3.2</t>
  </si>
  <si>
    <t>5.3.3</t>
  </si>
  <si>
    <t>Convenios</t>
  </si>
  <si>
    <t>5.4.1</t>
  </si>
  <si>
    <t>Intereses de la Deuda Pública</t>
  </si>
  <si>
    <t>5.4.2</t>
  </si>
  <si>
    <t>Comisiones de la Deuda Pública</t>
  </si>
  <si>
    <t>5.4.3</t>
  </si>
  <si>
    <t>Gastos de la Deuda Pública</t>
  </si>
  <si>
    <t>5.4.4</t>
  </si>
  <si>
    <t>Costo por Coberturas</t>
  </si>
  <si>
    <t>5.4.5</t>
  </si>
  <si>
    <t>Apoyos Financieros</t>
  </si>
  <si>
    <t>5.5.1</t>
  </si>
  <si>
    <t>5.5.2</t>
  </si>
  <si>
    <t>Provisiones</t>
  </si>
  <si>
    <t>5.5.3</t>
  </si>
  <si>
    <t>Disminución de Inventarios</t>
  </si>
  <si>
    <t>5.5.4</t>
  </si>
  <si>
    <t>5.5.5</t>
  </si>
  <si>
    <t>Aumento por Insuficiencia de Provisiones</t>
  </si>
  <si>
    <t>5.5.9</t>
  </si>
  <si>
    <t>Otros Gastos</t>
  </si>
  <si>
    <t>Inversión Pública</t>
  </si>
  <si>
    <t>5.6.1</t>
  </si>
  <si>
    <t>Inversión Pública No Capitalizable</t>
  </si>
  <si>
    <t>Estado de Variación en la Hacienda Pública</t>
  </si>
  <si>
    <t>CONCEPTO</t>
  </si>
  <si>
    <t>TOTAL</t>
  </si>
  <si>
    <t>Patrimonio Neto Inicial Ajustado del Ejercicio</t>
  </si>
  <si>
    <t>Actualización de la Hacienda Pública/Patrimonio</t>
  </si>
  <si>
    <t>Variaciones de la Hacienda Pública / Patrimonio Neto del Ejercicio</t>
  </si>
  <si>
    <t>Resultado del ejercicio (Ahorro / Desahorro)</t>
  </si>
  <si>
    <t>Resultados de Ejercicios Anteriores</t>
  </si>
  <si>
    <t>Estado de Flujos de Efectivo</t>
  </si>
  <si>
    <t>Origen</t>
  </si>
  <si>
    <t>Cuotas y Aportaciones de Seguridad Social</t>
  </si>
  <si>
    <t>Productos de Tipo Corriente</t>
  </si>
  <si>
    <t>Participaciones</t>
  </si>
  <si>
    <t>Bienes Inmuebles, Infraestructura y Construcciones en Proceso</t>
  </si>
  <si>
    <t>Estado Analítico del Activo</t>
  </si>
  <si>
    <t>Concepto</t>
  </si>
  <si>
    <t>4 (1+2-3)</t>
  </si>
  <si>
    <t>Depreciación, Deterioro y Amortización Acumulada de Bienes</t>
  </si>
  <si>
    <t>Estimación por Pérdida o Deterioro de Activos No Circulantes</t>
  </si>
  <si>
    <t>1.-</t>
  </si>
  <si>
    <t>2.-</t>
  </si>
  <si>
    <t>3.-</t>
  </si>
  <si>
    <t>4.-</t>
  </si>
  <si>
    <t>Estado de Cambios en la Situación Financiera</t>
  </si>
  <si>
    <t>5.-</t>
  </si>
  <si>
    <t>6.-</t>
  </si>
  <si>
    <t>Notas a los Estados Financieros</t>
  </si>
  <si>
    <t>Estado Analítico de Ingresos</t>
  </si>
  <si>
    <t>Rubros de los Ingresos</t>
  </si>
  <si>
    <t>Ingreso</t>
  </si>
  <si>
    <t>Diferencia</t>
  </si>
  <si>
    <t>Estimado</t>
  </si>
  <si>
    <t>Ampliaciones y Reducciones</t>
  </si>
  <si>
    <t xml:space="preserve">Modificado </t>
  </si>
  <si>
    <t>Devengado</t>
  </si>
  <si>
    <t>Recaudado</t>
  </si>
  <si>
    <t>(1)</t>
  </si>
  <si>
    <t>(2)</t>
  </si>
  <si>
    <t>(3= 1 + 2)</t>
  </si>
  <si>
    <t>(4)</t>
  </si>
  <si>
    <t>(5)</t>
  </si>
  <si>
    <t>(6 = 5 - 1)</t>
  </si>
  <si>
    <t>Productos</t>
  </si>
  <si>
    <t xml:space="preserve">     Corriente</t>
  </si>
  <si>
    <t xml:space="preserve">     Capital</t>
  </si>
  <si>
    <t>Aprovechamientos</t>
  </si>
  <si>
    <t>Ingresos por Ventas de Bienes y Servicios</t>
  </si>
  <si>
    <t>Ingresos Derivados de Financiamientos</t>
  </si>
  <si>
    <t>Total</t>
  </si>
  <si>
    <t>Estado Analítico de Ingresos por Fuente de Financiamiento</t>
  </si>
  <si>
    <t>Ingresos del Gobierno</t>
  </si>
  <si>
    <t>Ingresos de Organismos y Empresas</t>
  </si>
  <si>
    <t>Ingresos Derivados de Financiamiento</t>
  </si>
  <si>
    <t>Estado Analítico del Ejercicio del Presupuesto de Egresos</t>
  </si>
  <si>
    <t>Clasificación por Objeto del Gasto Capítulo del Gasto (Capítulo y Concepto)</t>
  </si>
  <si>
    <t>Egresos</t>
  </si>
  <si>
    <t>Subejercicio</t>
  </si>
  <si>
    <t>Aprobado</t>
  </si>
  <si>
    <t>Ampliaciones/
(Reducciones)</t>
  </si>
  <si>
    <t>Modificado</t>
  </si>
  <si>
    <t>Pagado</t>
  </si>
  <si>
    <t>(3=1+2)</t>
  </si>
  <si>
    <t>6 = ( 3 - 4 )</t>
  </si>
  <si>
    <t>Remuneraciones al Personal de Carácter Permanente</t>
  </si>
  <si>
    <t>Remuneraciones al Personal de Caracter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</si>
  <si>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</si>
  <si>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</si>
  <si>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</si>
  <si>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</si>
  <si>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</si>
  <si>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</si>
  <si>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</si>
  <si>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</si>
  <si>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</si>
  <si>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</si>
  <si>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</si>
  <si>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</si>
  <si>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</si>
  <si>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</si>
  <si>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</si>
  <si>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</si>
  <si>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</si>
  <si>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</si>
  <si>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</si>
  <si>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</si>
  <si>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</si>
  <si>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</si>
  <si>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</si>
  <si>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 xml:space="preserve"> Ayudas Sociales</t>
  </si>
  <si>
    <t>Transferencias a Fideicomisos, Mandatos y Otros Análogos</t>
  </si>
  <si>
    <t xml:space="preserve"> Transferencias al Exterior</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</si>
  <si>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</si>
  <si>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</si>
  <si>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</si>
  <si>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</si>
  <si>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</si>
  <si>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</si>
  <si>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</si>
  <si>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Biologicos</t>
  </si>
  <si>
    <t>Bienes Inmuebles</t>
  </si>
  <si>
    <t>Obra Pública en Bienes de Dominio Público</t>
  </si>
  <si>
    <t>Obra Pública en Bienes Propios</t>
  </si>
  <si>
    <t>Proyectos Productivos y Acciones de Fomento</t>
  </si>
  <si>
    <t>Inversiones Financieras y Otras Provisiones</t>
  </si>
  <si>
    <t>Inversiones para el Fomento de Actividades 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</si>
  <si>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</si>
  <si>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</si>
  <si>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</si>
  <si>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</si>
  <si>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</si>
  <si>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</si>
  <si>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</si>
  <si>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</si>
  <si>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</si>
  <si>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TOTALES</t>
  </si>
  <si>
    <t>Clasificación Económica (por Tipo de Gasto)</t>
  </si>
  <si>
    <t>01</t>
  </si>
  <si>
    <t>Gasto Corriente</t>
  </si>
  <si>
    <t>02</t>
  </si>
  <si>
    <t>Gasto de Capital</t>
  </si>
  <si>
    <t>03</t>
  </si>
  <si>
    <t>Amortización de la Deuda y Disminución de Pasivos</t>
  </si>
  <si>
    <t>Clasificación Administrativa</t>
  </si>
  <si>
    <t>Clasificación Funcional (Finalidad y Función)</t>
  </si>
  <si>
    <t>Gobierno</t>
  </si>
  <si>
    <t>1.1.</t>
  </si>
  <si>
    <t>Legislacion</t>
  </si>
  <si>
    <t>1.2.</t>
  </si>
  <si>
    <t>Justicia</t>
  </si>
  <si>
    <t>1.3.</t>
  </si>
  <si>
    <t>Coordinación de la Politica de Gobierno</t>
  </si>
  <si>
    <t>1.4.</t>
  </si>
  <si>
    <t>Relaciones Exteriores</t>
  </si>
  <si>
    <t>1.5.</t>
  </si>
  <si>
    <t>Asuntos Financieros y Hacendarios</t>
  </si>
  <si>
    <t>1.6.</t>
  </si>
  <si>
    <t>Seguridad Nacional</t>
  </si>
  <si>
    <t>1.7.</t>
  </si>
  <si>
    <t>Asuntos de Orden Público y de Seguridad Interior</t>
  </si>
  <si>
    <t>1.8.</t>
  </si>
  <si>
    <t>Desarrollo Social</t>
  </si>
  <si>
    <t>2.1.</t>
  </si>
  <si>
    <t>Protección Ambiental</t>
  </si>
  <si>
    <t>2.2.</t>
  </si>
  <si>
    <t>Vivienda y Servicios a la Comunidad</t>
  </si>
  <si>
    <t>2.3.</t>
  </si>
  <si>
    <t>Salud</t>
  </si>
  <si>
    <t>2.4.</t>
  </si>
  <si>
    <t>Recreación, Cultura y otras Manifestaciones Sociales</t>
  </si>
  <si>
    <t>2.5.</t>
  </si>
  <si>
    <t>Educación</t>
  </si>
  <si>
    <t>2.6.</t>
  </si>
  <si>
    <t>Protección Social</t>
  </si>
  <si>
    <t>2.7.</t>
  </si>
  <si>
    <t>Otros Asuntos Sociales</t>
  </si>
  <si>
    <t>Desarrollo Económico</t>
  </si>
  <si>
    <t>3.1.</t>
  </si>
  <si>
    <t>Asuntos Económicos, Comerciales y Laborales en General</t>
  </si>
  <si>
    <t>3.2.</t>
  </si>
  <si>
    <t>Agropecuaria, Silvicultura, Pesca y Caza</t>
  </si>
  <si>
    <t>3.3.</t>
  </si>
  <si>
    <t>Combustibles y Energía</t>
  </si>
  <si>
    <t>3.4.</t>
  </si>
  <si>
    <t>Minería, Manufacturas y Construcción</t>
  </si>
  <si>
    <t>3.5.</t>
  </si>
  <si>
    <t>Transporte</t>
  </si>
  <si>
    <t>3.6.</t>
  </si>
  <si>
    <t>Comunicaciones</t>
  </si>
  <si>
    <t>3.7.</t>
  </si>
  <si>
    <t>Turismo</t>
  </si>
  <si>
    <t>3.8.</t>
  </si>
  <si>
    <t>Ciencia, Tecnología e Innovación</t>
  </si>
  <si>
    <t>3.9.</t>
  </si>
  <si>
    <t>Otras Industrias y Otros Asuntos Económicos</t>
  </si>
  <si>
    <t>4.1.</t>
  </si>
  <si>
    <t>Transacciones de la Deuda Pública / Costo Financiero de la Deuda</t>
  </si>
  <si>
    <t>4.2.</t>
  </si>
  <si>
    <t>Transferencias, Participaciones y Aportaciones Entre Diferentes Niveles y Órdenes de Gobierno</t>
  </si>
  <si>
    <t>4.3.</t>
  </si>
  <si>
    <t>Saneamiento del Sistema Financiero</t>
  </si>
  <si>
    <t>4.4.</t>
  </si>
  <si>
    <t>Adeudos de Ejercicios Fiscales Anteriores</t>
  </si>
  <si>
    <t>Estados e Información Contable</t>
  </si>
  <si>
    <t>8.-</t>
  </si>
  <si>
    <t>9.-</t>
  </si>
  <si>
    <t>9.1.-</t>
  </si>
  <si>
    <t>9.2.-</t>
  </si>
  <si>
    <t>9.3.-</t>
  </si>
  <si>
    <t>9.4.-</t>
  </si>
  <si>
    <t>Anexos</t>
  </si>
  <si>
    <t>Relación de Bienes Inmuebles que Componen el Patrimonio</t>
  </si>
  <si>
    <t>Relación de Bienes Muebles que Componen el Patrimonio</t>
  </si>
  <si>
    <t>Relación de cuentas bancarias productivas específicas</t>
  </si>
  <si>
    <t>A1</t>
  </si>
  <si>
    <t>A2</t>
  </si>
  <si>
    <t>A3</t>
  </si>
  <si>
    <t>Relación de Bienes Inmuebles que componen el Patrimonio</t>
  </si>
  <si>
    <t>Código</t>
  </si>
  <si>
    <t>Descripción del Bien</t>
  </si>
  <si>
    <t>Valor en Libros</t>
  </si>
  <si>
    <t>Relación de Bienes Muebles que componen el Patrimonio</t>
  </si>
  <si>
    <t>Fondo, Programa o Convenio</t>
  </si>
  <si>
    <t>Datos de la Cuenta Bancaria</t>
  </si>
  <si>
    <t>Institución Bancaria</t>
  </si>
  <si>
    <t>Número de Cuenta</t>
  </si>
  <si>
    <t>Relación de Cuenta Bancarias Productivas Específicas</t>
  </si>
  <si>
    <t>Notas al Estado de Situación Financiera</t>
  </si>
  <si>
    <t>Estimaciones y Deterioros</t>
  </si>
  <si>
    <t>Otros Activos</t>
  </si>
  <si>
    <t>Notas al Estado de Actividades</t>
  </si>
  <si>
    <t>Notas al Estado de Variación en la Hacienda Pública</t>
  </si>
  <si>
    <t>Notas al Estado de Flujos de Efectivo</t>
  </si>
  <si>
    <t>Introducción</t>
  </si>
  <si>
    <t>Panorama Económico y Financiero</t>
  </si>
  <si>
    <t>Autorización e Historia</t>
  </si>
  <si>
    <t>Organización y Objeto Social</t>
  </si>
  <si>
    <t>Bases de Preparación de los Estados Financieros</t>
  </si>
  <si>
    <t>Políticas de Contabilidad Significativas</t>
  </si>
  <si>
    <t>Posición en Moneda Extranjera y Protección por Riesgo Cambiario</t>
  </si>
  <si>
    <t>Fideicomisos, Mandatos y Análogos</t>
  </si>
  <si>
    <t>Reporte de la Recaudación</t>
  </si>
  <si>
    <t>Información sobre la Deuda y el Reporte Analítico de la Deuda</t>
  </si>
  <si>
    <t>Proceso de Mejora</t>
  </si>
  <si>
    <t>Información por Segmentos</t>
  </si>
  <si>
    <t>Eventos Posteriores al Cierre</t>
  </si>
  <si>
    <t>Partes Relacionadas</t>
  </si>
  <si>
    <t>Fondos de afectación específica e Inversiones Financieras</t>
  </si>
  <si>
    <t>Contribuciones pendientes de cobro y por recuperar de hasta cinco ejercicios anteriores.</t>
  </si>
  <si>
    <t>Derechos a recibir efectivo y equivalentes, y bienes o servicios a recibir, desagregados por su fecha de vencimiento.</t>
  </si>
  <si>
    <t>Almacén y método de valuación</t>
  </si>
  <si>
    <t>Bienes Muebles e Inmuebles. Monto, método de depreciación, tasas aplicadas y los criterios de aplicación.</t>
  </si>
  <si>
    <t>Activos intangibles y diferidos, su monto y naturaleza, amortización, tasa y método aplicados.</t>
  </si>
  <si>
    <t>Relación de las cuentas y documentos por pagar por su vencimiento.</t>
  </si>
  <si>
    <t>Fondos de Bienes de Terceros en Administración y/o en Garantía a corto y largo plazo.</t>
  </si>
  <si>
    <t>Tipo, monto, naturaleza y caracteristicas de Pasivos diferidos y otros.</t>
  </si>
  <si>
    <t>Informar los montos totales de cada clase (tercer nivel del Clasificador por Rubro de Ingresos).</t>
  </si>
  <si>
    <t>Tipo, monto y naturaleza de la cuenta de otros ingresos.</t>
  </si>
  <si>
    <t>Explicar aquellas cuentas de gastos que en lo individual representen el 10% o más del total de los gastos.</t>
  </si>
  <si>
    <t>Análisis de los saldos inicial y final en la cuenta de efectivo y equivalentes.</t>
  </si>
  <si>
    <t>Detallar las adquisiciones de bienes muebles e inmuebles.</t>
  </si>
  <si>
    <t>Conciliación de los Flujos de Efectivo Netos de las Actividades de Operación y la cuenta de Ahorro/Desahorro antes de Rubros Extraordinarios.</t>
  </si>
  <si>
    <t>Calificaciones otorgadas</t>
  </si>
  <si>
    <t>Inversiones Financieras (Hasta 3 meses)</t>
  </si>
  <si>
    <t>No. Cuenta Bancaria</t>
  </si>
  <si>
    <t>Tipo de Inversión</t>
  </si>
  <si>
    <t>Monto</t>
  </si>
  <si>
    <t>Fecha de Vencimiento</t>
  </si>
  <si>
    <t>Conciliación entre los ingresos presupuestarios y contables, así como entre los egresos presupuestarios y los gastos contables</t>
  </si>
  <si>
    <t>Reporte Analítico del Activo</t>
  </si>
  <si>
    <t>Relación de Deudores Diversos y Anticipos</t>
  </si>
  <si>
    <t>Cuenta</t>
  </si>
  <si>
    <t>Subcuenta</t>
  </si>
  <si>
    <t>Nombre o Razón Social</t>
  </si>
  <si>
    <t>Saldo</t>
  </si>
  <si>
    <t>Depreciación de Bienes Muebles e  Inmuebles</t>
  </si>
  <si>
    <t>Cuenta Contable</t>
  </si>
  <si>
    <t>% de depreciación anual</t>
  </si>
  <si>
    <t>Depreciación del período</t>
  </si>
  <si>
    <t>Depreciación acumulada</t>
  </si>
  <si>
    <t>Estado Físico del Bien</t>
  </si>
  <si>
    <t>Método de Depreciación:</t>
  </si>
  <si>
    <t>Amortización de Activos Intangibles y Diferidos</t>
  </si>
  <si>
    <t>Monto Original</t>
  </si>
  <si>
    <t>% de amortización</t>
  </si>
  <si>
    <t>Amortización del período</t>
  </si>
  <si>
    <t>Amortización acumulada</t>
  </si>
  <si>
    <t>Método Aplicado:</t>
  </si>
  <si>
    <t>CRI</t>
  </si>
  <si>
    <t>IMPUESTOS</t>
  </si>
  <si>
    <t>IMPUESTOS SOBRE EL PATRIMONIO</t>
  </si>
  <si>
    <t>ACCESORIOS</t>
  </si>
  <si>
    <t>1.7.2</t>
  </si>
  <si>
    <t>CUOTAS Y APORTACIONES DE SEGURIDAD SOCIAL</t>
  </si>
  <si>
    <t>CONTRIBUCIONES DE MEJORAS</t>
  </si>
  <si>
    <t>DERECHOS</t>
  </si>
  <si>
    <t>DERECHOS POR EL USO, GOCE, APROVECHAMIENTO O EXPLOTACIÓN DE BIENES DE DOMINIO PÚBLICO</t>
  </si>
  <si>
    <t>DERECHOS POR PRESTACIÓN DE SERVICIOS</t>
  </si>
  <si>
    <t>PRODUCTOS</t>
  </si>
  <si>
    <t>PRODUCTOS DE TIPO CORRIENTE</t>
  </si>
  <si>
    <t>PRODUCTOS DE CAPITAL</t>
  </si>
  <si>
    <t>APROVECHAMIENTOS</t>
  </si>
  <si>
    <t>APROVECHAMIENTOS DE TIPO CORRIENTE</t>
  </si>
  <si>
    <t>PARTICIPACIONES Y APORTACIONES</t>
  </si>
  <si>
    <t>PARTICIPACIONES</t>
  </si>
  <si>
    <t>CONVENIOS</t>
  </si>
  <si>
    <t>TRANSFERENCIAS, ASIGNACIONES, SUBSIDIOS Y OTRAS AYUDAS</t>
  </si>
  <si>
    <t>TRANSFERENCIAS INTERNAS Y ASIGNACIONES AL SECTOR PÚBLICO</t>
  </si>
  <si>
    <t>TRANSFERENCIAS AL RESTO DEL SECTOR PÚBLICO</t>
  </si>
  <si>
    <t>SUBSIDIOS Y SUBVENCIONES</t>
  </si>
  <si>
    <t xml:space="preserve">AYUDAS SOCIALES </t>
  </si>
  <si>
    <t xml:space="preserve">PENSIONES Y JUBILACIONES </t>
  </si>
  <si>
    <t>TRANSFERENCIAS A FIDEICOMISOS, MANDATOS Y ANÁLOGOS</t>
  </si>
  <si>
    <t>INGRESOS DERIVADOS DE FINANCIAMIENTOS</t>
  </si>
  <si>
    <t>ENDEUDAMIENTO INTERNO</t>
  </si>
  <si>
    <t>ENDEUDAMIENTO EXTERNO</t>
  </si>
  <si>
    <t>Clasificador por Rubro de Ingresos por Clase (tercer nivel)</t>
  </si>
  <si>
    <t>Modificaciones al Patrimonio Generado</t>
  </si>
  <si>
    <t>Clave S/ Catálogo de Bienes</t>
  </si>
  <si>
    <t>Fecha de Adquisición</t>
  </si>
  <si>
    <t xml:space="preserve">Descripción del Bien </t>
  </si>
  <si>
    <t>Monto Original de Inversión</t>
  </si>
  <si>
    <t>Porcentaje de adquisiciones que fueron realizadas mediante subsidios de capital del sector central.</t>
  </si>
  <si>
    <t>Conciliación entre los Ingresos Presupuestarios y Contables</t>
  </si>
  <si>
    <t>(Cifras en pesos)</t>
  </si>
  <si>
    <t>1. Ingresos Presupuestarios</t>
  </si>
  <si>
    <t>2. Más ingresos contables no presupuestarios</t>
  </si>
  <si>
    <t>Incremento por variación de inventarios</t>
  </si>
  <si>
    <t>Disminución del exceso de estimaciones por pérdida o deterioro u obsolescencia</t>
  </si>
  <si>
    <t>Disminución del exceso de provisiones</t>
  </si>
  <si>
    <t>Otros ingresos y beneficios varios</t>
  </si>
  <si>
    <t>Otros ingresos contables no presupuestarios</t>
  </si>
  <si>
    <t>3. Menos ingresos presupuestarios no contables</t>
  </si>
  <si>
    <t>Productos de capital</t>
  </si>
  <si>
    <t>Aprovechamientos de capital</t>
  </si>
  <si>
    <t>Ingresos derivados de financiamientos</t>
  </si>
  <si>
    <t>Otros Ingresos Presupuestarios no contables</t>
  </si>
  <si>
    <t>4. Ingresos Contables (4 = 1 + 2 - 3)</t>
  </si>
  <si>
    <t>Adquisiciones de Bienes Muebles e Inmuebles</t>
  </si>
  <si>
    <t>Conciliación entre los Egresos Presupuestarios y los Gastos Contables</t>
  </si>
  <si>
    <t>1. Total de egresos (presupuestarios)</t>
  </si>
  <si>
    <t>2. Menos egresos presupuestarios no contables</t>
  </si>
  <si>
    <t>Mobiliario y equipo de administración</t>
  </si>
  <si>
    <t>Mobiliario y equipo educacional recreativo</t>
  </si>
  <si>
    <t>Equipo e instrumental médico de laboratorio</t>
  </si>
  <si>
    <t>Vehículos y equipo de transporte</t>
  </si>
  <si>
    <t>Equipo de defensa y seguridad</t>
  </si>
  <si>
    <t>Maquinaria, otros equipos y herramientas</t>
  </si>
  <si>
    <t>Activos biológicos</t>
  </si>
  <si>
    <t>Bienes inmuebles</t>
  </si>
  <si>
    <t>Activos intangibles</t>
  </si>
  <si>
    <t>Obra pública en bienes propios</t>
  </si>
  <si>
    <t>Acciones y participaciones de capital</t>
  </si>
  <si>
    <t>Compra de títulos y valores</t>
  </si>
  <si>
    <t>Inversiones en fideicomisos, mandatos y otros análogos</t>
  </si>
  <si>
    <t>Provisiones para contingencias y otras erogaciones especiales</t>
  </si>
  <si>
    <t>Amortización de la deuda pública</t>
  </si>
  <si>
    <t>Adeudos de ejercicios fiscales anteriores (ADEFAS)</t>
  </si>
  <si>
    <t>Otros Egresos Presupuestales No Contables</t>
  </si>
  <si>
    <t>3. Mas gastos contables no presupuestales</t>
  </si>
  <si>
    <t>Estimaciones, depreciaciones, deterioros, obsolescencia y amortizaciones</t>
  </si>
  <si>
    <t>Disminución de inventarios</t>
  </si>
  <si>
    <t>Aumento por insuficiencia de estimaciones por pérdida o deterioro u obsolescencia</t>
  </si>
  <si>
    <t>Aumento por insuficiencia de provisiones</t>
  </si>
  <si>
    <t>Otros Gastos Contables No Presupuestales</t>
  </si>
  <si>
    <t>4. Total de Gasto Contable (4 = 1 - 2 + 3)</t>
  </si>
  <si>
    <t>Descripción del Activo</t>
  </si>
  <si>
    <t>Fecha de Incorporación</t>
  </si>
  <si>
    <t>Valor de incorporación</t>
  </si>
  <si>
    <t>Valor neto en libros</t>
  </si>
  <si>
    <t>Federales</t>
  </si>
  <si>
    <t>Estatales</t>
  </si>
  <si>
    <t>Hacienda Pública / Patrimonio Generado De Ejercicios Anteriores</t>
  </si>
  <si>
    <t>Hacienda Pública / Patrimonio Generado Del Ejercicio</t>
  </si>
  <si>
    <t>Ajustes Por Cambios De Valor</t>
  </si>
  <si>
    <t>Fecha</t>
  </si>
  <si>
    <t>Importe</t>
  </si>
  <si>
    <t xml:space="preserve"> Nº  Póliza</t>
  </si>
  <si>
    <t>Nombre de la Cuenta</t>
  </si>
  <si>
    <t>Debe</t>
  </si>
  <si>
    <t>Haber</t>
  </si>
  <si>
    <t>Contracuenta</t>
  </si>
  <si>
    <t>Concepto del Movimiento</t>
  </si>
  <si>
    <t>Montos pagados por ayudas y subsidios</t>
  </si>
  <si>
    <t>COG</t>
  </si>
  <si>
    <t>Sector</t>
  </si>
  <si>
    <t>Social
(ayudas)</t>
  </si>
  <si>
    <t>Economico
(subsidio)</t>
  </si>
  <si>
    <t>Beneficiario</t>
  </si>
  <si>
    <t>CURP</t>
  </si>
  <si>
    <t>RFC</t>
  </si>
  <si>
    <t>Monto Pagado</t>
  </si>
  <si>
    <t xml:space="preserve">A4 </t>
  </si>
  <si>
    <t>Montos Pagados por Ayudas y Subsidios</t>
  </si>
  <si>
    <t xml:space="preserve"> </t>
  </si>
  <si>
    <t>No.</t>
  </si>
  <si>
    <t>Nombre de la Obra</t>
  </si>
  <si>
    <t>Ubicación</t>
  </si>
  <si>
    <t>Avance (%)</t>
  </si>
  <si>
    <t>Físico</t>
  </si>
  <si>
    <t>Financiero</t>
  </si>
  <si>
    <t>MUNICIPIO DE VICTORIA, TAMAULIPAS</t>
  </si>
  <si>
    <t>ACTIVO CIRCULANTE</t>
  </si>
  <si>
    <t>PASIVO CIRCULANTE</t>
  </si>
  <si>
    <t>1.1.1.1.</t>
  </si>
  <si>
    <t xml:space="preserve">Efectivo </t>
  </si>
  <si>
    <t>2.1.1.1.</t>
  </si>
  <si>
    <t xml:space="preserve">Servicios personales por pagar </t>
  </si>
  <si>
    <t>1.1.1.2.</t>
  </si>
  <si>
    <t>Bancos/Tesorería</t>
  </si>
  <si>
    <t>2.1.1.2.</t>
  </si>
  <si>
    <t xml:space="preserve">Proveedores por pagar </t>
  </si>
  <si>
    <t>1.1.1.4.</t>
  </si>
  <si>
    <t>Inversiones Temporales (hasta 3 meses)</t>
  </si>
  <si>
    <t>2.1.1.3.</t>
  </si>
  <si>
    <t>2.1.1.7.</t>
  </si>
  <si>
    <t xml:space="preserve">Retenciones y contribuciones por pagar </t>
  </si>
  <si>
    <t>1.1.2.3.</t>
  </si>
  <si>
    <t xml:space="preserve">Deudores diversos por cobrar </t>
  </si>
  <si>
    <t>2.1.1.9.</t>
  </si>
  <si>
    <t xml:space="preserve">Otras cuentas por pagar </t>
  </si>
  <si>
    <t>1.1.2.4.</t>
  </si>
  <si>
    <t xml:space="preserve">Ingresos por recuperar </t>
  </si>
  <si>
    <t>1.1.2.6.</t>
  </si>
  <si>
    <t xml:space="preserve">Préstamos otrogados </t>
  </si>
  <si>
    <t>1.1.2.9.</t>
  </si>
  <si>
    <t xml:space="preserve">Otros derechos a recibir efectivo o equivalentes </t>
  </si>
  <si>
    <t>2.1.5.</t>
  </si>
  <si>
    <t>1.1.3.1.</t>
  </si>
  <si>
    <t xml:space="preserve">Anticipo a proveedores por prestación de servicios </t>
  </si>
  <si>
    <t>2.1.6.</t>
  </si>
  <si>
    <t>1.1.3.2.</t>
  </si>
  <si>
    <t>Anticipo a proveedores por adq. de bienes</t>
  </si>
  <si>
    <t>2.1.7.</t>
  </si>
  <si>
    <t>1.1.3.3.</t>
  </si>
  <si>
    <t>2.1.9.</t>
  </si>
  <si>
    <t>PASIVO NO CIRCULANTE</t>
  </si>
  <si>
    <t>1.1.9.1</t>
  </si>
  <si>
    <t>Valores en garantía</t>
  </si>
  <si>
    <t>2.2.3.3.</t>
  </si>
  <si>
    <t>Préstamos de la deuda pública interna por pagar a largo plazo</t>
  </si>
  <si>
    <t>ACTIVO NO CIRCULANTE</t>
  </si>
  <si>
    <t>2.2.4.</t>
  </si>
  <si>
    <t>2.2.5.</t>
  </si>
  <si>
    <t>2.2.6.</t>
  </si>
  <si>
    <t>1.2.3.1</t>
  </si>
  <si>
    <t>Terrenos</t>
  </si>
  <si>
    <t>1.2.3.3</t>
  </si>
  <si>
    <t>Edificios no Habitacionales</t>
  </si>
  <si>
    <t>Construcciones en Proceso en Bienes del Dominio Público</t>
  </si>
  <si>
    <t>HACIENDA PÚBLICA/PATRIMONIO</t>
  </si>
  <si>
    <t>HACIENDA PÚBLICA/PATRIMONIO CONTRIBUIDO</t>
  </si>
  <si>
    <t>1.2.4.1</t>
  </si>
  <si>
    <t>Mobiliario y equipo de administracion</t>
  </si>
  <si>
    <t>1.2.4.2</t>
  </si>
  <si>
    <t>Mobiliario y equipo educacional y recreativo</t>
  </si>
  <si>
    <t>1.2.4.4</t>
  </si>
  <si>
    <t>1.2.4.6</t>
  </si>
  <si>
    <t>Maquinaría, otros equipos y herrramientas</t>
  </si>
  <si>
    <t>1.2.4.7</t>
  </si>
  <si>
    <t>Colecciones, obras de arte y objetos valiosos</t>
  </si>
  <si>
    <t>HACIENDA PÚBLICA/PATRIMONIO GENERADO</t>
  </si>
  <si>
    <t>1.2.5.1</t>
  </si>
  <si>
    <t>Software</t>
  </si>
  <si>
    <t>1.2.6.3</t>
  </si>
  <si>
    <t>Depreciación Acum. de Bienes Muebles</t>
  </si>
  <si>
    <t>8   CUENTAS DE ORDEN PRESUPUESTARIAS</t>
  </si>
  <si>
    <t>INGRESOS DE LA GESTIÓN</t>
  </si>
  <si>
    <t>Ingresos por Venta de Bienes y Servicios Producidos en establecimientos del Gobierno</t>
  </si>
  <si>
    <t>PARTICIPACIONES, APORTACIONES, TRANSFERENCIAS, ASIGNACIONES, SUBSIDIOS Y OTRAS AYUDAS</t>
  </si>
  <si>
    <t>OTROS INGRESOS Y BENEFICIOS</t>
  </si>
  <si>
    <t>Disminucion del Exceso de Estimaciones por Perdida o Deterioro u Obsolescencia y Provisiones</t>
  </si>
  <si>
    <t>GASTOS DE FUNCIONAMIENTO</t>
  </si>
  <si>
    <t>Transferencias Internas y asignaciones al Sector Publico</t>
  </si>
  <si>
    <t>Transferencias al resto del sector publico</t>
  </si>
  <si>
    <t>INTERESES, COMISIONES Y OTROS GASTOS DE LA DEUDA PÚBLICA</t>
  </si>
  <si>
    <t>OTROS GASTOS Y PÉRDIDAS EXTRAORDINARIAS</t>
  </si>
  <si>
    <t xml:space="preserve">Estimaciones, Depreciaciones, Deterioros, Obsolescencia, Amortizaciones </t>
  </si>
  <si>
    <t>Aumento por Insuficiencia de Estimaciones por Pérdida o Deterioro u Obsolencia</t>
  </si>
  <si>
    <t>INVERSION PÚBLICA</t>
  </si>
  <si>
    <t>TOTAL DE GASTOS Y OTRAS PERDIDAS</t>
  </si>
  <si>
    <t>MUNICIPIO VICTORIA, TAMAULIPAS</t>
  </si>
  <si>
    <t>ORIGEN</t>
  </si>
  <si>
    <t>INGRESOS POR VENTA DE BIENES Y SERVICIOS</t>
  </si>
  <si>
    <t>APORTACIONES</t>
  </si>
  <si>
    <t>TRANSFERENCIAS AL RESTO DEL SECTOR PUBLICO</t>
  </si>
  <si>
    <t>AYUDAS SOCIALES</t>
  </si>
  <si>
    <t>PENSIONES Y JUBILACIONES</t>
  </si>
  <si>
    <t>APLICACIÓN</t>
  </si>
  <si>
    <t>DONATIVOS</t>
  </si>
  <si>
    <t>TRANSFERENCIAS AL EXTERIOR</t>
  </si>
  <si>
    <t>FLUJOS NETOS DE EFECTIVO POR ACTIVIDAD DE OPERACIÓN</t>
  </si>
  <si>
    <t>FLUJOS DE EFECTIVO DE LAS ACTIVIDADES DE INVERSION</t>
  </si>
  <si>
    <t>FLUJOS NETOS DE EFECTIVO POR ACTIVIDAD DE INVERSION</t>
  </si>
  <si>
    <t>FLUJOS DE EFECTIVO POR ACTIVIDAD DE FINANCIAMIENTO</t>
  </si>
  <si>
    <t>FLUJOS NETOS DE EFECTIVO POR ACTIVIDAD DE FINANCIAMIENTO</t>
  </si>
  <si>
    <t>INCREMENTO / DISMINUCION NETA EN EL EFECTIVO Y EQUIVALENTE DE EFECTIVO</t>
  </si>
  <si>
    <t>EFECTIVO Y EQUIVALENTE AL EFECTIVO AL INICIO DEL EJERCICIO</t>
  </si>
  <si>
    <t>EFECTIVO Y EQUIVALENTE AL EFECTIVO AL FINAL DEL EJERCICIO</t>
  </si>
  <si>
    <t>CUENTA CONTABLE</t>
  </si>
  <si>
    <t xml:space="preserve">SALDO INICIAL </t>
  </si>
  <si>
    <t>CARGOS DEL PERIODO</t>
  </si>
  <si>
    <t>ABONOS DEL PERÍODO</t>
  </si>
  <si>
    <t>SALDO FINAL</t>
  </si>
  <si>
    <t>FLUJO DEL PERÍODO</t>
  </si>
  <si>
    <t>(SI)</t>
  </si>
  <si>
    <t>(SF)</t>
  </si>
  <si>
    <t>(SI-SF)</t>
  </si>
  <si>
    <t>5= (1 - 4)</t>
  </si>
  <si>
    <t>1.1.1.3.</t>
  </si>
  <si>
    <t>Bancos/Dependencias y otros</t>
  </si>
  <si>
    <t>1.1.1.5.</t>
  </si>
  <si>
    <t>Fondos con afectación específica</t>
  </si>
  <si>
    <t>1.1.1.6.</t>
  </si>
  <si>
    <t>Depósitos de fondos de terceros en grantía y/o administración</t>
  </si>
  <si>
    <t>1.1.1.9.</t>
  </si>
  <si>
    <t>Otros efectivos y equivalentes</t>
  </si>
  <si>
    <t>Deudores diversos por cobrar a corto plazo</t>
  </si>
  <si>
    <t>Anticipo a proveedores por adq. de bienes y prestación de servicios a corto plazo</t>
  </si>
  <si>
    <t>Anticipo a proveedores por adq. de bienes inmuebles y muebles a corto plazo</t>
  </si>
  <si>
    <t>1.2.1.1.</t>
  </si>
  <si>
    <t>Inversiones a largo plazo</t>
  </si>
  <si>
    <t>1.2.1.2.</t>
  </si>
  <si>
    <t>Fideicomisos, mandatos y contratos análogos de municipios</t>
  </si>
  <si>
    <t>1.2.2.1.</t>
  </si>
  <si>
    <t>Documentos por cobrar</t>
  </si>
  <si>
    <t>1.2.2.2.</t>
  </si>
  <si>
    <t>Deudores diversos</t>
  </si>
  <si>
    <t>1.2.2.3.</t>
  </si>
  <si>
    <t>Ingresos por recuperar</t>
  </si>
  <si>
    <t>1.2.2.4.</t>
  </si>
  <si>
    <t>Otros derechos a recibir efectivo o equivalentes</t>
  </si>
  <si>
    <t>1.2.3.1.</t>
  </si>
  <si>
    <t>1.2.3.3.</t>
  </si>
  <si>
    <t>Edificios no habitacionales</t>
  </si>
  <si>
    <t>1.2.3.5.</t>
  </si>
  <si>
    <t>Construcciones en proceso en bienes de dominio público</t>
  </si>
  <si>
    <t>Maquinaria, otros equipos y herrramientas</t>
  </si>
  <si>
    <t>1.2.5.4</t>
  </si>
  <si>
    <t>Licencias</t>
  </si>
  <si>
    <t>1.2.6.1</t>
  </si>
  <si>
    <t>Depreciación Acum. de Bienes Inmuebles</t>
  </si>
  <si>
    <t>1.2.6.5</t>
  </si>
  <si>
    <t>Amortización Acum.  de Activos Intangibles</t>
  </si>
  <si>
    <t xml:space="preserve">SALDO </t>
  </si>
  <si>
    <t>CONSTRUCTORA C-G</t>
  </si>
  <si>
    <t>CHEQUES DEVUELTOS</t>
  </si>
  <si>
    <t>BANORTE</t>
  </si>
  <si>
    <t>GASTOS A COMPROBAR</t>
  </si>
  <si>
    <t>TARJETAS CARNET</t>
  </si>
  <si>
    <t>11230-00000-0004-000001</t>
  </si>
  <si>
    <t>SUBSIDIO AL EMPLEO</t>
  </si>
  <si>
    <t>Linea recta</t>
  </si>
  <si>
    <t>BUENO</t>
  </si>
  <si>
    <t>MUNICIPIO DE VICTORIA TAMAULIPAS</t>
  </si>
  <si>
    <t>SUBCUENTA ESPECIFICA</t>
  </si>
  <si>
    <t>PÓLIZA DE REGISTRO</t>
  </si>
  <si>
    <t>No. FACT./ DOCUMENTO</t>
  </si>
  <si>
    <t xml:space="preserve">NOMBRE O RAZÓN SOCIAL </t>
  </si>
  <si>
    <t>VALOR DEL DOC.</t>
  </si>
  <si>
    <t>PLAZO EN DIAS</t>
  </si>
  <si>
    <t>PAGO A DOC.</t>
  </si>
  <si>
    <t xml:space="preserve">PAGO ACUMULADO </t>
  </si>
  <si>
    <t>FECHA</t>
  </si>
  <si>
    <t>PÓLIZA</t>
  </si>
  <si>
    <t>365 DIAS</t>
  </si>
  <si>
    <t>TIENDAS GRAN'D S.A. DE C.V.</t>
  </si>
  <si>
    <t xml:space="preserve"> MUNICIPIO DE VICTORIA TAMAULIPAS</t>
  </si>
  <si>
    <t>Impuestos Ecológicos</t>
  </si>
  <si>
    <t>Otros Impuestos</t>
  </si>
  <si>
    <t>Accesorios</t>
  </si>
  <si>
    <t>TECLADO</t>
  </si>
  <si>
    <t>DESBROZADORA</t>
  </si>
  <si>
    <t>EQUIPO DE SONIDO</t>
  </si>
  <si>
    <t>Reporte Analítico del Activo Capitalizable</t>
  </si>
  <si>
    <t>Impuestos sobre los Ingresos</t>
  </si>
  <si>
    <t>Impuestos sobre Patrimonio</t>
  </si>
  <si>
    <t>Impuestos sobre la Producción, el Consumo y las Transferencias</t>
  </si>
  <si>
    <t>Impuestos al Comercio Exterior</t>
  </si>
  <si>
    <t>Impuestos Sobre Nominas y Asimilables</t>
  </si>
  <si>
    <t>Impuestos no comprendidos en las fracciones de la Ley de Ingresos causadas en ejercicios fiscales anteriores pendientes de liquidación o pago</t>
  </si>
  <si>
    <t>Aportaciones a fondos de vivienda</t>
  </si>
  <si>
    <t>Cuotas para Seguro Social</t>
  </si>
  <si>
    <t>Cuotas de Ahorro para el Retiro</t>
  </si>
  <si>
    <t>Otras Cuotas y Aportaciones para la Seguridad Social</t>
  </si>
  <si>
    <t>Contribuciones de Mejoras para Obras Publicas</t>
  </si>
  <si>
    <t>Contribuciones de Mejoras no comprendidos en las fracciones de la Ley de Ingresos causadas en ejercicios fiscales anteriores pendientes de liquidacion o pago.</t>
  </si>
  <si>
    <t>Derechos por Uso, Goce, Aprovechamiento o Explotación de Bienes de dominio público</t>
  </si>
  <si>
    <t>Derechos a los Hidrocarburos</t>
  </si>
  <si>
    <t>Derechos por Prestación de Servicios</t>
  </si>
  <si>
    <t>Otros Derechos</t>
  </si>
  <si>
    <t>Derechos no comprendidos en las fracciones de la Ley de Ingresos causadas en ejercicios fiscales anteriores pendientes de liquidación o pago</t>
  </si>
  <si>
    <t>Productos de Capital</t>
  </si>
  <si>
    <t>Productos no comprendidos en las fracciones de la Ley de Ingresos causadas en ejercicios fiscales anteriores pendientes de liquidación o pago</t>
  </si>
  <si>
    <t>Aprovechamiento de Tipo Corriente</t>
  </si>
  <si>
    <t>Aprovechamiento de Capital</t>
  </si>
  <si>
    <t>Aprovechamientos no comprendidos en las fracciones de la Ley de Ingresos causadas en ejercicios fiscales anteriores pendientes de liquidacion o pago</t>
  </si>
  <si>
    <t>Ingresos por Venta de Bienes y Servicios de organismos descentralizados</t>
  </si>
  <si>
    <t>Ingresos de operación de entidades paraestatales empresariales</t>
  </si>
  <si>
    <t>Ingresos por Venta de Bienes y Servicios producidos en establecimientos del Gobierno Central</t>
  </si>
  <si>
    <t>Transferencias al Resto del Sector Publico</t>
  </si>
  <si>
    <t>Transferencias  a Fideicomisos, Mandatos y Análogos</t>
  </si>
  <si>
    <t xml:space="preserve">Endeudamiento Interno </t>
  </si>
  <si>
    <t>Endeudamiento Externo</t>
  </si>
  <si>
    <t>Reporte de Recaudación</t>
  </si>
  <si>
    <t>Enero</t>
  </si>
  <si>
    <t>Febrero</t>
  </si>
  <si>
    <t>Marzo</t>
  </si>
  <si>
    <t>Abril</t>
  </si>
  <si>
    <t>Mayo</t>
  </si>
  <si>
    <t>Junio</t>
  </si>
  <si>
    <t>Julio</t>
  </si>
  <si>
    <t>Agosto</t>
  </si>
  <si>
    <t>Septiembre</t>
  </si>
  <si>
    <t>Octubre</t>
  </si>
  <si>
    <t>Noviembre</t>
  </si>
  <si>
    <t>Diciembre</t>
  </si>
  <si>
    <t>MUNICIPIO DE VICTORIA</t>
  </si>
  <si>
    <t>DEUDA PÚBLICA</t>
  </si>
  <si>
    <t>TERRENOS</t>
  </si>
  <si>
    <t>SILLA</t>
  </si>
  <si>
    <t>SILLON</t>
  </si>
  <si>
    <t>ESCRITORIO</t>
  </si>
  <si>
    <t>LIBRERO</t>
  </si>
  <si>
    <t>PIZARRON</t>
  </si>
  <si>
    <t>MESA</t>
  </si>
  <si>
    <t>ARCHIVERO</t>
  </si>
  <si>
    <t>PINTARRON</t>
  </si>
  <si>
    <t>SILA</t>
  </si>
  <si>
    <t>GUILLOTINA</t>
  </si>
  <si>
    <t>SOFA</t>
  </si>
  <si>
    <t>CUBICULO</t>
  </si>
  <si>
    <t>PUPITRE</t>
  </si>
  <si>
    <t>MAQUINA DE ESCRIBIR</t>
  </si>
  <si>
    <t>MAQUINA ENMICADORA</t>
  </si>
  <si>
    <t>MAQUINA ENGARGOLADORA</t>
  </si>
  <si>
    <t>MODULO EJECUTIVO</t>
  </si>
  <si>
    <t>VITRINA</t>
  </si>
  <si>
    <t>MESABANCO</t>
  </si>
  <si>
    <t>GABINETE</t>
  </si>
  <si>
    <t>PEDESTAL</t>
  </si>
  <si>
    <t>CREDENZA</t>
  </si>
  <si>
    <t>ENCUADERNADORA</t>
  </si>
  <si>
    <t>BURO</t>
  </si>
  <si>
    <t>MODULO DERECHO</t>
  </si>
  <si>
    <t>MODULO SECRETARIAL</t>
  </si>
  <si>
    <t>MESA REDONDA</t>
  </si>
  <si>
    <t>SILLA SECRETARIAL</t>
  </si>
  <si>
    <t>SACAPUNTAS</t>
  </si>
  <si>
    <t>MAQUINA CALCULADORA</t>
  </si>
  <si>
    <t>PORTAPAPELERA</t>
  </si>
  <si>
    <t>ESTANTE METALICO</t>
  </si>
  <si>
    <t xml:space="preserve">MAQUINA ENGARGOLADORA </t>
  </si>
  <si>
    <t>TARJETERO</t>
  </si>
  <si>
    <t>VENTILADOR</t>
  </si>
  <si>
    <t>LOCKER</t>
  </si>
  <si>
    <t>SILLA PLASTICA</t>
  </si>
  <si>
    <t>MESA DE PLASTICO</t>
  </si>
  <si>
    <t xml:space="preserve">SILLA </t>
  </si>
  <si>
    <t>MESA REVISTERA</t>
  </si>
  <si>
    <t xml:space="preserve">ARCHIVERO </t>
  </si>
  <si>
    <t>ROTAFOLIO</t>
  </si>
  <si>
    <t>MODULO DE INFORMACION</t>
  </si>
  <si>
    <t>ESTANTE</t>
  </si>
  <si>
    <t>ESTANTES</t>
  </si>
  <si>
    <t>ANAQUEL</t>
  </si>
  <si>
    <t xml:space="preserve">LIBRERO </t>
  </si>
  <si>
    <t>BUTACA</t>
  </si>
  <si>
    <t>SILLON EJECUTIVO</t>
  </si>
  <si>
    <t>CALCULADORA</t>
  </si>
  <si>
    <t>CAJON</t>
  </si>
  <si>
    <t>MOSTRADOR</t>
  </si>
  <si>
    <t>MAQUINA CONTADORA DE BILLETES</t>
  </si>
  <si>
    <t>SILLA FIJA</t>
  </si>
  <si>
    <t>MODULO IZQUIERDO</t>
  </si>
  <si>
    <t xml:space="preserve">SILLON </t>
  </si>
  <si>
    <t>PIROGRABADOR</t>
  </si>
  <si>
    <t>MAQUINA DUPLICADORA</t>
  </si>
  <si>
    <t>ENGARGOLADORA</t>
  </si>
  <si>
    <t>SACAPUNTAS ELECTRICO</t>
  </si>
  <si>
    <t xml:space="preserve">TARJETERO </t>
  </si>
  <si>
    <t>MAQUINA</t>
  </si>
  <si>
    <t>RESTIRADOR</t>
  </si>
  <si>
    <t>ESTADAL DE ALUMINIO</t>
  </si>
  <si>
    <t>PERFORADORA</t>
  </si>
  <si>
    <t>RIBETEADORA PARA DIBUJO</t>
  </si>
  <si>
    <t>MAQUINA ENCUADERNADORA</t>
  </si>
  <si>
    <t>MODULO ESPECIAL ESCUADRA DERECHA</t>
  </si>
  <si>
    <t xml:space="preserve">ESCRITORIO </t>
  </si>
  <si>
    <t>ESCRITORIO METALICO</t>
  </si>
  <si>
    <t>PONCHADORA</t>
  </si>
  <si>
    <t xml:space="preserve">VENTILADOR </t>
  </si>
  <si>
    <t>FOTOCOPIADOR</t>
  </si>
  <si>
    <t>RETROPROYECTOR DIAPOSITIVAS</t>
  </si>
  <si>
    <t>PLOTTER</t>
  </si>
  <si>
    <t>SOPORTE PARA TECHO</t>
  </si>
  <si>
    <t>SOPORTE PARA PROYECTOR</t>
  </si>
  <si>
    <t>GENERADOR DE TONOS ALTA</t>
  </si>
  <si>
    <t>BANCO</t>
  </si>
  <si>
    <t>BANCA</t>
  </si>
  <si>
    <t>CUADRO</t>
  </si>
  <si>
    <t>JUEGO DE SALA</t>
  </si>
  <si>
    <t>CAFETERA</t>
  </si>
  <si>
    <t>PUERTA GIRATORIA ELECTRONICA</t>
  </si>
  <si>
    <t>LITERA</t>
  </si>
  <si>
    <t>BOQUILLA DE MEDIA PULGADA</t>
  </si>
  <si>
    <t>PEINADOR</t>
  </si>
  <si>
    <t>BOQUILLA PARA MANGUERA BOMBEROS</t>
  </si>
  <si>
    <t>CAJA FUERTE</t>
  </si>
  <si>
    <t>PERSIANA</t>
  </si>
  <si>
    <t>PERTIGA DESCONECTADORA DE FIBRA DE VIDRIO</t>
  </si>
  <si>
    <t>LAMPARA PARA RESTIRADOR</t>
  </si>
  <si>
    <t>MAQUINA DE COSER</t>
  </si>
  <si>
    <t xml:space="preserve">BANCO </t>
  </si>
  <si>
    <t>LAMPARA</t>
  </si>
  <si>
    <t>CAMINADORA ELECTRICA</t>
  </si>
  <si>
    <t>BICICLETA ELECTRICA</t>
  </si>
  <si>
    <t>BASE PARA COLOCAR MANCUERNAS</t>
  </si>
  <si>
    <t>BANCO PARA LEVANTAR PESAS</t>
  </si>
  <si>
    <t>ABANICO DE TECHO</t>
  </si>
  <si>
    <t>TELEVISOR</t>
  </si>
  <si>
    <t>TELEVISION</t>
  </si>
  <si>
    <t>ATRIL TRIPIE</t>
  </si>
  <si>
    <t>REGULADOR UPS</t>
  </si>
  <si>
    <t>REGULADOR</t>
  </si>
  <si>
    <t>REGULADOR DE CORRIENTE</t>
  </si>
  <si>
    <t>PROYECTOR</t>
  </si>
  <si>
    <t>IMPRESORA</t>
  </si>
  <si>
    <t>MONITOR</t>
  </si>
  <si>
    <t>PROCESADOR</t>
  </si>
  <si>
    <t>CONCENTRADOR</t>
  </si>
  <si>
    <t>TARJETA DE RED</t>
  </si>
  <si>
    <t>MOUSE</t>
  </si>
  <si>
    <t>DISCO DURO</t>
  </si>
  <si>
    <t>SCANNER</t>
  </si>
  <si>
    <t>COMPUTADORA PORTATIL</t>
  </si>
  <si>
    <t>COMPUTADORA TABLET</t>
  </si>
  <si>
    <t>DISCO DURO EXTERNO</t>
  </si>
  <si>
    <t>QUEMADOR DE DISCO CD</t>
  </si>
  <si>
    <t xml:space="preserve"> REGULADOR DE CORRIENTE</t>
  </si>
  <si>
    <t>DISCO DURO INTERNO</t>
  </si>
  <si>
    <t>MEMORIA USB</t>
  </si>
  <si>
    <t>BOCINA</t>
  </si>
  <si>
    <t>IMPRESORA REGISTRADORA</t>
  </si>
  <si>
    <t>IMPRESORA REGISTRADORA DE RECIBOS</t>
  </si>
  <si>
    <t>MINICOMPUTADORA</t>
  </si>
  <si>
    <t>SERVIDOR</t>
  </si>
  <si>
    <t>MULTIPLEXOR/IMPRESORA</t>
  </si>
  <si>
    <t>MEMORIA</t>
  </si>
  <si>
    <t>QUEMADOR DE DISCOS</t>
  </si>
  <si>
    <t>FUENTE DE PODER</t>
  </si>
  <si>
    <t>BOCINA CON CONTROL REMOTO</t>
  </si>
  <si>
    <t>BOCINA DE POTENCIA</t>
  </si>
  <si>
    <t>ESPEJO</t>
  </si>
  <si>
    <t>TRIPIE PARA BOCINA</t>
  </si>
  <si>
    <t>TRIPIE PARA PINTURA</t>
  </si>
  <si>
    <t>ESCALERA</t>
  </si>
  <si>
    <t>PODIUM</t>
  </si>
  <si>
    <t>MODULO DE RECEPCION</t>
  </si>
  <si>
    <t>CASCO</t>
  </si>
  <si>
    <t>EXTRACTOR</t>
  </si>
  <si>
    <t>RELOJ</t>
  </si>
  <si>
    <t>EXTRACTOR CENTRIFUGO</t>
  </si>
  <si>
    <t>MOTOR ELECTRICO</t>
  </si>
  <si>
    <t>TINACO</t>
  </si>
  <si>
    <t>ESTUFA</t>
  </si>
  <si>
    <t>CEREBRO ELECTRO SIRENA</t>
  </si>
  <si>
    <t>EUIPO DE RESPIRACION AUTONOMA</t>
  </si>
  <si>
    <t>CEREBRO ELECTRON</t>
  </si>
  <si>
    <t>ESTACION DE TRABAJO</t>
  </si>
  <si>
    <t>TOMBOLA METALICA</t>
  </si>
  <si>
    <t>RELOJ CHECADOR</t>
  </si>
  <si>
    <t>TANQUE</t>
  </si>
  <si>
    <t>DIABLO PARA CARGA</t>
  </si>
  <si>
    <t>CASCO PARA MOTOCICLISTA</t>
  </si>
  <si>
    <t>CEPILLO</t>
  </si>
  <si>
    <t>PLANCHA</t>
  </si>
  <si>
    <t>BASCULA DE PLATAFORMA</t>
  </si>
  <si>
    <t>BASCULA DE PORCIONADORA</t>
  </si>
  <si>
    <t>CARRO RECOLECTOR</t>
  </si>
  <si>
    <t>BASCULA</t>
  </si>
  <si>
    <t xml:space="preserve">CASCO PARA MOTOCICLISTA </t>
  </si>
  <si>
    <t>TORRETA CON EQUIPO INTEGRADO</t>
  </si>
  <si>
    <t>GUITARRA</t>
  </si>
  <si>
    <t>KIT PROBADOR DE TONOS</t>
  </si>
  <si>
    <t>MALACATE</t>
  </si>
  <si>
    <t>EQUIPO UNIVERSAL DE GIMNASIO</t>
  </si>
  <si>
    <t>ESCALADORA</t>
  </si>
  <si>
    <t>MANCUERNA DE 5 LBS</t>
  </si>
  <si>
    <t>MANCUERNA DE 10 LBS</t>
  </si>
  <si>
    <t>MANCUERNA DE 15 LBS</t>
  </si>
  <si>
    <t>MANCUERNA DE 20 LBS</t>
  </si>
  <si>
    <t>MANCUERNA DE 25 LBS</t>
  </si>
  <si>
    <t>MANCUERNA DE 30 LBS</t>
  </si>
  <si>
    <t>MANCUERNA DE 35 LBS</t>
  </si>
  <si>
    <t>MANCUERNA DE 40 LBS</t>
  </si>
  <si>
    <t>MANCUERNA DE 45 LBS</t>
  </si>
  <si>
    <t>MANCUERNA DE 50 LBS</t>
  </si>
  <si>
    <t>TABLA PARA ABDOMINALES</t>
  </si>
  <si>
    <t>GPS</t>
  </si>
  <si>
    <t>ESTACION CLIMATOLOGICA</t>
  </si>
  <si>
    <t>TORRETA</t>
  </si>
  <si>
    <t>CONSOLA</t>
  </si>
  <si>
    <t>PANTALLA DE PROYECCION DE VIDEO</t>
  </si>
  <si>
    <t>VIDEO PROYECTOR</t>
  </si>
  <si>
    <t>PANTALLA PARA PROYECTOR</t>
  </si>
  <si>
    <t>VIDEOPROYECTOR PLUS</t>
  </si>
  <si>
    <t>CAMARA FOTOGRAFICA</t>
  </si>
  <si>
    <t>CAMARA CON LENTE</t>
  </si>
  <si>
    <t>FLASH</t>
  </si>
  <si>
    <t>CAMARA DIGITAL</t>
  </si>
  <si>
    <t>MOTOBOMBA</t>
  </si>
  <si>
    <t>PICK UP</t>
  </si>
  <si>
    <t>REMOLQUE</t>
  </si>
  <si>
    <t>AVENGER</t>
  </si>
  <si>
    <t>GRUA</t>
  </si>
  <si>
    <t>DAKOTA</t>
  </si>
  <si>
    <t>MINIVAN</t>
  </si>
  <si>
    <t>REMOLQUE CABALLOS</t>
  </si>
  <si>
    <t>CAMION PIPA</t>
  </si>
  <si>
    <t>PICK-UP</t>
  </si>
  <si>
    <t>TRACTOR</t>
  </si>
  <si>
    <t>PLUMA</t>
  </si>
  <si>
    <t>CAMION RECOLECTOR</t>
  </si>
  <si>
    <t>BARREDORA</t>
  </si>
  <si>
    <t>CAMION</t>
  </si>
  <si>
    <t>VOLKSWAGEN</t>
  </si>
  <si>
    <t>PETROLIZADORA</t>
  </si>
  <si>
    <t>PARCHADORA ASF</t>
  </si>
  <si>
    <t>RETRO 4X4</t>
  </si>
  <si>
    <t>RETRO</t>
  </si>
  <si>
    <t>CAMION DE VOLTEO</t>
  </si>
  <si>
    <t>DOBLE RODADO</t>
  </si>
  <si>
    <t>VAN EXPRES</t>
  </si>
  <si>
    <t>COMBI</t>
  </si>
  <si>
    <t>MOTOCICLETA</t>
  </si>
  <si>
    <t>BICICLETA</t>
  </si>
  <si>
    <t>BOMBA HIDRONEUMATICA</t>
  </si>
  <si>
    <t>BOMBA DE AGUA</t>
  </si>
  <si>
    <t>BLOCKERA MOVIL</t>
  </si>
  <si>
    <t>INYECTOR DE GRASA</t>
  </si>
  <si>
    <t>HIDROLAVADORA</t>
  </si>
  <si>
    <t>AIRE ACONDICIONADO</t>
  </si>
  <si>
    <t>AIRE HUMEDO</t>
  </si>
  <si>
    <t>ENFRIADOR DE AGUA</t>
  </si>
  <si>
    <t>REFRIGERADOR</t>
  </si>
  <si>
    <t>PANEL DE PARCHEO</t>
  </si>
  <si>
    <t>PANTALLA</t>
  </si>
  <si>
    <t>MULTIPLEXOR</t>
  </si>
  <si>
    <t>PANEL DE PACHEO</t>
  </si>
  <si>
    <t>PANEL PACHECO</t>
  </si>
  <si>
    <t>CAMARA DE VIGILANCIA</t>
  </si>
  <si>
    <t>MICROFONO</t>
  </si>
  <si>
    <t>RADIO PORTATIL</t>
  </si>
  <si>
    <t>MICROFONO DE DIADEMA</t>
  </si>
  <si>
    <t>TELEFONO</t>
  </si>
  <si>
    <t>EQUIPO DE VIDEO</t>
  </si>
  <si>
    <t>MODULAR</t>
  </si>
  <si>
    <t>GABINETE CENTRAL PARA TELEFONOS</t>
  </si>
  <si>
    <t>MODULO PROTECTOR DE LINEAS TELEFONICAS</t>
  </si>
  <si>
    <t>RADIO MOVIL</t>
  </si>
  <si>
    <t>FAX</t>
  </si>
  <si>
    <t xml:space="preserve">TELEFONO </t>
  </si>
  <si>
    <t>MICROFONOS</t>
  </si>
  <si>
    <t>DVD GRABADOR</t>
  </si>
  <si>
    <t>DVD REPRODUCTOR</t>
  </si>
  <si>
    <t>MICROGRABADORA</t>
  </si>
  <si>
    <t>RADIOGRABADORA</t>
  </si>
  <si>
    <t>VIDEOCASETERA</t>
  </si>
  <si>
    <t>EQUIPO DE VIDEOGRABACION</t>
  </si>
  <si>
    <t>ANTENA</t>
  </si>
  <si>
    <t>TORRE PARA COMUNICACION</t>
  </si>
  <si>
    <t>RADIO BASE</t>
  </si>
  <si>
    <t>ANTENA  DE VHF</t>
  </si>
  <si>
    <t>CAMARA</t>
  </si>
  <si>
    <t>FUENTE DE PODER PARA RADIO</t>
  </si>
  <si>
    <t>DVD REPRODUCTOR EXTERNA</t>
  </si>
  <si>
    <t>EQUIPO MODULAR</t>
  </si>
  <si>
    <t>HOME THEATRE C/5 BOCINAS</t>
  </si>
  <si>
    <t>TEATRO EN CASA</t>
  </si>
  <si>
    <t>REPETIDOR DE SEÑAL</t>
  </si>
  <si>
    <t>INTERCOMUNICADOR</t>
  </si>
  <si>
    <t>MAQUINA PINTARRAYA</t>
  </si>
  <si>
    <t>NICHO CON BANDERA</t>
  </si>
  <si>
    <t>DESTRUCTORA</t>
  </si>
  <si>
    <t>DESTRUCTORA DE DOCUMENTOS</t>
  </si>
  <si>
    <t>SIERRA ELECTRICA</t>
  </si>
  <si>
    <t>BOMBA ELECTRICA</t>
  </si>
  <si>
    <t>BOMBA MOTOR</t>
  </si>
  <si>
    <t>EQUIPO DE RESPIRACION AUTONOMA</t>
  </si>
  <si>
    <t>CILINDRO PORTATIL PARA OXIGENO</t>
  </si>
  <si>
    <t>MOTOSIERRA</t>
  </si>
  <si>
    <t>EQUIPO RESPIRACION AUTONOMA</t>
  </si>
  <si>
    <t>SIERRA SABLE</t>
  </si>
  <si>
    <t>BOMBA</t>
  </si>
  <si>
    <t>EQUIPO PARA SOLDAR</t>
  </si>
  <si>
    <t>TRANSFORMADOR DE ENERGIA</t>
  </si>
  <si>
    <t>MARCADOR ELRICK</t>
  </si>
  <si>
    <t>COMPRESOR</t>
  </si>
  <si>
    <t>GATO PATIN</t>
  </si>
  <si>
    <t>ASPERSORA</t>
  </si>
  <si>
    <t>ESMERIL ELECTRICO</t>
  </si>
  <si>
    <t>TALADRO</t>
  </si>
  <si>
    <t>FLEJADORA</t>
  </si>
  <si>
    <t>MULTIAMPERIMETRO</t>
  </si>
  <si>
    <t>GATO HIDRAHULICO</t>
  </si>
  <si>
    <t>DESMONTADOR DE LLANTAS COMPLETO</t>
  </si>
  <si>
    <t>PODADORA</t>
  </si>
  <si>
    <t>EQUIPO PINTARRAYAS</t>
  </si>
  <si>
    <t>CIZALLA CORTAPERNOS</t>
  </si>
  <si>
    <t>SOPLETE</t>
  </si>
  <si>
    <t>CILINDRO</t>
  </si>
  <si>
    <t>PLANTA DE LUZ</t>
  </si>
  <si>
    <t>ESMERIL</t>
  </si>
  <si>
    <t>CORTADORA DE VITROPISO</t>
  </si>
  <si>
    <t>CARETA PARA SOLDAR</t>
  </si>
  <si>
    <t>ODOMETRO</t>
  </si>
  <si>
    <t>ODOMETRO-DISTOMETRO</t>
  </si>
  <si>
    <t>ODOMETRO DISTOMETRO</t>
  </si>
  <si>
    <t>ODOMETRO -DISTOMETRO</t>
  </si>
  <si>
    <t>MAQUINA SUMADORA</t>
  </si>
  <si>
    <t>DESBROZADORA CON JUEGO DE HERRAMIENTA</t>
  </si>
  <si>
    <t>MAQUINA PODADORA</t>
  </si>
  <si>
    <t>BOMBA PARA AGUA</t>
  </si>
  <si>
    <t>PISTOLA DE AIRE</t>
  </si>
  <si>
    <t>MULTIMETRO</t>
  </si>
  <si>
    <t>MAQUINA SOLDADORA</t>
  </si>
  <si>
    <t>TORNILLO DE BANCO</t>
  </si>
  <si>
    <t>POLIPASTO</t>
  </si>
  <si>
    <t>ESMERIL DE BANCO</t>
  </si>
  <si>
    <t>ESMERILADORA</t>
  </si>
  <si>
    <t>ROTOMARTILLO</t>
  </si>
  <si>
    <t>DOBLATUBOS HIDRAULICO</t>
  </si>
  <si>
    <t>MULTIMETRO DIGITAL DE GANCHO</t>
  </si>
  <si>
    <t>CHIP</t>
  </si>
  <si>
    <t>CARGADOR DE PILAS</t>
  </si>
  <si>
    <t>CARGADOR DE BATERIA</t>
  </si>
  <si>
    <t>CARGADOR ELECTRICO</t>
  </si>
  <si>
    <t>CARGADOR PARA PILAS AA</t>
  </si>
  <si>
    <t xml:space="preserve">CARGADOR </t>
  </si>
  <si>
    <t>EQUIPO DE MONITOREO AMBIENTAL</t>
  </si>
  <si>
    <t>EQUIPO PARA EXIBICION DE FOTOGRAFIAS</t>
  </si>
  <si>
    <t>INFRAESTRUCTURA 2014</t>
  </si>
  <si>
    <t>NOMINA DISPERSORA</t>
  </si>
  <si>
    <t>NOMINA DE CONTRATO</t>
  </si>
  <si>
    <t>NOMINA PENSIONADOS Y JUBILADOS</t>
  </si>
  <si>
    <t>NOMINA DE SINDICATO</t>
  </si>
  <si>
    <t>NOMINA COMPENSACION</t>
  </si>
  <si>
    <t>DIFERENTES SECTORES DE LA CIUDAD</t>
  </si>
  <si>
    <t>PAVIMENTACION CON CONCRETO HIDRAULICO</t>
  </si>
  <si>
    <t>BACHEO DE CALLES</t>
  </si>
  <si>
    <t>137</t>
  </si>
  <si>
    <t>DENOMINACIÓN DE LAS DEUDAS</t>
  </si>
  <si>
    <t>MONEDA DE CONTRATACIÓN</t>
  </si>
  <si>
    <t>INSTITUCIÓN O PAIS ACREEDOR</t>
  </si>
  <si>
    <t>MOVIMIENTOS</t>
  </si>
  <si>
    <t>OPERACIONES DE ENDEUDAMIENTO DEL PERÍODO</t>
  </si>
  <si>
    <t>DEPURACIÓN O CONCILIACIÓN</t>
  </si>
  <si>
    <t>VARIACIÓN DEL ENDEUDAMIENTO DEL PERÍODO %</t>
  </si>
  <si>
    <t>AMORTIZACIÓN BRUTA</t>
  </si>
  <si>
    <t>COLOCACIÓN BRUTA</t>
  </si>
  <si>
    <t>ENDEUDAMIENTO NETO  DEL PERÍODO</t>
  </si>
  <si>
    <t>CORTO PLAZO:</t>
  </si>
  <si>
    <t>DEUDA PÚBLICA INTERIOR:</t>
  </si>
  <si>
    <t>INSTITUCIONES DE CREDITO:</t>
  </si>
  <si>
    <t>TÍTULOS Y VALORES</t>
  </si>
  <si>
    <t>ARRENDAMIENTOS FINANCIEROS</t>
  </si>
  <si>
    <t>DEUDA PÚBLICA EXTERIOR</t>
  </si>
  <si>
    <t>ORGANISMOS FINANCIEROS INTERNACIONALES</t>
  </si>
  <si>
    <t>DEUDA BILATERAL:</t>
  </si>
  <si>
    <t>SUBTOTAL A CORTO PLAZO</t>
  </si>
  <si>
    <t xml:space="preserve">LARGO PLAZO: </t>
  </si>
  <si>
    <t>PESOS</t>
  </si>
  <si>
    <t>MEXICO</t>
  </si>
  <si>
    <t>TÍTULOS Y VALORES:</t>
  </si>
  <si>
    <t>ORG. FINANC. INTERNACIONALES:</t>
  </si>
  <si>
    <t>SUBTOTAL A LARGO PLAZO</t>
  </si>
  <si>
    <t>OTROS PASIVOS</t>
  </si>
  <si>
    <t>TOTAL DE DEUDA Y OTROS PASIVOS</t>
  </si>
  <si>
    <t>X</t>
  </si>
  <si>
    <t>APOYO ECONOMICO</t>
  </si>
  <si>
    <t>ROSA DELIA CANTU RODRIGUEZ</t>
  </si>
  <si>
    <t>CARR630807MTSNDS08</t>
  </si>
  <si>
    <t>APOYO EN ESPECIE</t>
  </si>
  <si>
    <t>LEGE550917MTSNRL01</t>
  </si>
  <si>
    <t>LECM560602MTSJRR09</t>
  </si>
  <si>
    <t>AFN970826413</t>
  </si>
  <si>
    <t>MOVIMIENTO ANTORCHISTA DE TAMAULIPAS</t>
  </si>
  <si>
    <t>SIMONA MORENO ORTIZ</t>
  </si>
  <si>
    <t>SACF640617MTSNNR05</t>
  </si>
  <si>
    <t>MARTINA DUQUE ZUÑIGA</t>
  </si>
  <si>
    <t>MACRINA ALVAREZ ZAPATA</t>
  </si>
  <si>
    <t>BENJAMIN TORRES HERNANDEZ</t>
  </si>
  <si>
    <t>TOHB620501HTSRRN11</t>
  </si>
  <si>
    <t>CORNELIA GUZMAN RETA</t>
  </si>
  <si>
    <t>GURC550916MTSZTR05</t>
  </si>
  <si>
    <t>VIHL731203MTSLRC00</t>
  </si>
  <si>
    <t>GABA390219MTSMRG04</t>
  </si>
  <si>
    <t>Status</t>
  </si>
  <si>
    <t>Verificar relación anexa</t>
  </si>
  <si>
    <t>Pendiente</t>
  </si>
  <si>
    <t>Faltan datos de apoyos</t>
  </si>
  <si>
    <t>OK</t>
  </si>
  <si>
    <t>Relación de Contribuciones pendientes de cobro y por recuperar</t>
  </si>
  <si>
    <t>NO APLICA</t>
  </si>
  <si>
    <t>Recurso</t>
  </si>
  <si>
    <t>RENDIMIENTOS FINANCIEROS</t>
  </si>
  <si>
    <t>FONDO DE FORTALECIMIENTO MUNICIPAL</t>
  </si>
  <si>
    <t>FONDO DE INFRAESTRUCTURA SOCIAL</t>
  </si>
  <si>
    <t>IMPORTE</t>
  </si>
  <si>
    <t>Ahorro/Desahorro antes de Rubros Extraordinarios</t>
  </si>
  <si>
    <t>Depreciación</t>
  </si>
  <si>
    <t>Flujos Netos de Efectivo Por Actividades De Operación</t>
  </si>
  <si>
    <t>(Más)  Movimientos de partidas que no afectan al efectivo</t>
  </si>
  <si>
    <t>SERGIO VALADEZ CARDOZA</t>
  </si>
  <si>
    <t>ANGEL JASSO RODRIGUEZ</t>
  </si>
  <si>
    <t>VICTOR ALFONSO MANRIQUE JUAREZ</t>
  </si>
  <si>
    <t>CESAR MUÑOZ KOSTURAKIS</t>
  </si>
  <si>
    <t>MANUEL CASANOVA LOPEZ</t>
  </si>
  <si>
    <t>ZAMI MAYID ASSAD SALAZAR</t>
  </si>
  <si>
    <t>OPERVIC S.A. DE C.V.</t>
  </si>
  <si>
    <t>SHAIS FARHA ARAUJO</t>
  </si>
  <si>
    <t>NOE ANGEL RODRIGUEZ JASSO</t>
  </si>
  <si>
    <t>JUAN RAUL LOPEZ</t>
  </si>
  <si>
    <t>RAFAEL SANTIAGO AMARO</t>
  </si>
  <si>
    <t>FELIPE ANGEL BAZALDUA BORREGO</t>
  </si>
  <si>
    <t>HECTOR GONZALEZ FREGOSO GALVEZ</t>
  </si>
  <si>
    <t>RAUL SOTO MENODZA</t>
  </si>
  <si>
    <t>LUIS FELIPE VILLARREAL</t>
  </si>
  <si>
    <t>CREDITO SANTANDER</t>
  </si>
  <si>
    <t>11910-00000-0002-000051</t>
  </si>
  <si>
    <t>MUNICIPIO DE VICTORIA, TAMAILIPAS</t>
  </si>
  <si>
    <t>GRACIELA ALVAREZ SANCHEZ</t>
  </si>
  <si>
    <t>AASG550916MTSLNR07</t>
  </si>
  <si>
    <t>HERLINDA VERDINES VILLASANA</t>
  </si>
  <si>
    <t>VEVH681028MTSRLR09</t>
  </si>
  <si>
    <t>HONORABLE CABILDO MUNICIPAL</t>
  </si>
  <si>
    <t>CONTRALORÍA MUNICIPAL</t>
  </si>
  <si>
    <t>GASTOS GENERALES DE OPERACIÓN</t>
  </si>
  <si>
    <t>Otras no Clasificadas en Funciones Anteriores</t>
  </si>
  <si>
    <t>Corte</t>
  </si>
  <si>
    <t>1.2.3.5</t>
  </si>
  <si>
    <t>OTROS DEUDORES DIVERSOS</t>
  </si>
  <si>
    <t>1244</t>
  </si>
  <si>
    <t>ASOCIACION FALCONE PARA NIÑOS C/DISCAPACIDAD</t>
  </si>
  <si>
    <t>VALES PERSONAL SINDICALIZADO</t>
  </si>
  <si>
    <t>IMPUESTOS SOBRE LOS INGRESOS</t>
  </si>
  <si>
    <t>IMPUESTOS SOBRE ESP. PUBLICOS</t>
  </si>
  <si>
    <t>IMPUESTO SOBRE LA PROPIEDAD URBANA</t>
  </si>
  <si>
    <t>IMPUESTO SOBRE LA PROPIEDAD RÚSTICA</t>
  </si>
  <si>
    <t>1.3.1</t>
  </si>
  <si>
    <t>IMPUESTO SOBRE LA ADQUISICIÓN DE INMUEBLES</t>
  </si>
  <si>
    <t>1.7.3</t>
  </si>
  <si>
    <t>RECARGOS</t>
  </si>
  <si>
    <t>GASTOS DE EJECUCIÓN Y COBRANZA</t>
  </si>
  <si>
    <t>VEHÍCULOS DE ALQUILER Y USO DE VÍA PÚBLICA</t>
  </si>
  <si>
    <t>USO DE VÍA PÚBLICA POR COMERCIANTES</t>
  </si>
  <si>
    <t>4.3.5</t>
  </si>
  <si>
    <t>4.3.6</t>
  </si>
  <si>
    <t>4.3.8</t>
  </si>
  <si>
    <t>4.3.19</t>
  </si>
  <si>
    <t>4.3.23</t>
  </si>
  <si>
    <t>4.3.24</t>
  </si>
  <si>
    <t>4.3.26</t>
  </si>
  <si>
    <t>4.3.29</t>
  </si>
  <si>
    <t>EXPEDICIÓN DE CERTIFICADOS DE RESIDENCIA</t>
  </si>
  <si>
    <t>MANIFIESTOS DE PROPIEDAD URBANA Y RÚSTICA</t>
  </si>
  <si>
    <t>EXPEDICIÓN DE PERMISO EVENTUAL DE ALCOHOLES</t>
  </si>
  <si>
    <t>EXPEDICIÓN DE CONSTANCIA  DE APTITUD PARA MANEJO</t>
  </si>
  <si>
    <t>EXPEDICIÓN DE CERTIFICADOS DE PREDIAL</t>
  </si>
  <si>
    <t>EXPEDICIÓN DE AVALÚOS PERICIALES</t>
  </si>
  <si>
    <t>PERMISO PARA CIRCULAR SIN PLACAS</t>
  </si>
  <si>
    <t>PLANIFICACIÓN, URBANIZACIÓN Y PAVIMENTACIÓN</t>
  </si>
  <si>
    <t>SERVICIOS DE PANTEONES</t>
  </si>
  <si>
    <t>4.5.1</t>
  </si>
  <si>
    <t>RECARGOS DE DERECHOS</t>
  </si>
  <si>
    <t>6.1.1</t>
  </si>
  <si>
    <t>6.1.2</t>
  </si>
  <si>
    <t>6.1.3</t>
  </si>
  <si>
    <t>6.1.4</t>
  </si>
  <si>
    <t>MULTAS POR AUTORIDADES MUNICIPALES</t>
  </si>
  <si>
    <t>MULTAS DE TRÁNSITO</t>
  </si>
  <si>
    <t>MULTAS DE PROTECCIÓN CIVIL</t>
  </si>
  <si>
    <t>MULTAS FEDERALES NO FISCALES</t>
  </si>
  <si>
    <t>1.9.1</t>
  </si>
  <si>
    <t>REZAGO DE IMPUESTO PREDIAL URBANO</t>
  </si>
  <si>
    <t>IMPUESTOS NO COMPRENDIDOS EN LAS FRACCIONES DE LA LEY DE INGRESOS</t>
  </si>
  <si>
    <t>IMPUESTOS SOBRE LA PRODUCCIÓN, EL CONSUMO Y LAS TRANSACCIONES</t>
  </si>
  <si>
    <t>ARRENDAMIENTO DE MERCADOS EN MERCADOS, PLAZAS Y JARDINES</t>
  </si>
  <si>
    <t>PARTICIPACIONES FEDERALES A TRAVES DEL ESTADO</t>
  </si>
  <si>
    <t>8.1.6</t>
  </si>
  <si>
    <t>8.1.7</t>
  </si>
  <si>
    <t>FONDO DE EXTRACCIÓN DE HIDROCARBUROS</t>
  </si>
  <si>
    <t>FONDO DE FISCALIZACIÓN</t>
  </si>
  <si>
    <t>INCENTIVO EN VENTA FINAL DE GASOLINA Y DIESEL 9/11</t>
  </si>
  <si>
    <t>REZAGO INCENTIVO EN VENTA FINAL DE GASOLINA Y DIES</t>
  </si>
  <si>
    <t>ISR PARTICIPABLE</t>
  </si>
  <si>
    <t>8.3.1</t>
  </si>
  <si>
    <t>8.3.2</t>
  </si>
  <si>
    <t>CONVENIOS FEDERALES</t>
  </si>
  <si>
    <t>CONVENIOS ESTATALES</t>
  </si>
  <si>
    <t>OTROS INGRESOS</t>
  </si>
  <si>
    <t>RENDIMIENTOS BANCARIOS</t>
  </si>
  <si>
    <t>CONSTRUCCION DE COMEDOR COMUNITARIO</t>
  </si>
  <si>
    <t>(6 = 5 - 3)</t>
  </si>
  <si>
    <t>Ingresos excedentes</t>
  </si>
  <si>
    <t>010104028016 ZONA CENTRO</t>
  </si>
  <si>
    <t>010119029045 COLONIA IGNACIO ALLENDE</t>
  </si>
  <si>
    <t>010113007010 COLONIA JOSÉ LÓPEZ PORTILLO</t>
  </si>
  <si>
    <t>010105104006  COLONIA PEDRO SOSA (PARTE SUR)</t>
  </si>
  <si>
    <t xml:space="preserve">010108104004 COLONIA UNIDAD MODELO  </t>
  </si>
  <si>
    <t>010108153003 COLONIA MANUEL A RAVIZE</t>
  </si>
  <si>
    <t>010116267040 COLONIA SAGITARIO</t>
  </si>
  <si>
    <t>010113242001 COLONIA LIBERTAD</t>
  </si>
  <si>
    <t>010116090001 COLONIA BUENA VISTA</t>
  </si>
  <si>
    <t>010104028013 ZONA CENTRO</t>
  </si>
  <si>
    <t>010104028012 ZONA CENTRO</t>
  </si>
  <si>
    <t>010113052001 COLONIA ENRIQUE CARDENAS GONZALEZ</t>
  </si>
  <si>
    <t xml:space="preserve">010113228051 COLONIA LIBERTAD </t>
  </si>
  <si>
    <t xml:space="preserve">010108104003 COLONIA UNIDAD MODELO  </t>
  </si>
  <si>
    <t>010116117001 COLONIA BENITO JUAREZ</t>
  </si>
  <si>
    <t xml:space="preserve">010401026005  EJIDO LA BOCA </t>
  </si>
  <si>
    <t>010102301035 UNIDAD HABITACIONAL FIDEL VELAZQUEZ(ADELITAS)</t>
  </si>
  <si>
    <t>010102301036 UNIDAD HABITACIONAL FIDEL VELAZQUEZ(ADELITAS)</t>
  </si>
  <si>
    <t>010102061001 ZONA CENTRO</t>
  </si>
  <si>
    <t>010102428019 UNIDAD HABITACIONAL FIDEL VELAZQUEZ(ADELITAS)</t>
  </si>
  <si>
    <t>010102306133 UNIDAD HABITACIONAL FIDEL VELAZQUEZ (ADELITAS) COAHULI ARTICULO 123</t>
  </si>
  <si>
    <t xml:space="preserve">010102282028 UNIDAD HABITACIONAL FIDEL VELAZQUEZ(ADELITAS) </t>
  </si>
  <si>
    <t xml:space="preserve">010102307029 UNIDAD HABITACIONAL FIDEL VELAZQUEZ(ADELITAS)JESUS ELIAS PIÑA 24 </t>
  </si>
  <si>
    <t xml:space="preserve">010102307032 UNIDAD HABITACIONAL FIDEL VELAZQUEZ(ADELITAS) </t>
  </si>
  <si>
    <t xml:space="preserve">010102307033 UNIDAD HABITACIONAL FIDEL VELAZQUEZ(ADELITAS) </t>
  </si>
  <si>
    <t>010103147026 COLONIA BURÓCRATAS MUNICIPALES I</t>
  </si>
  <si>
    <t>010103192001 COLONIA DOCTORES</t>
  </si>
  <si>
    <t>010103167001 FRACCIONAMIENTO LAS PALMAS</t>
  </si>
  <si>
    <t>010103160001 FRACCIONAMIENTO LAS PALMAS</t>
  </si>
  <si>
    <t>010103146001 COLONIA BURÓCRATAS MUNICIPALES I</t>
  </si>
  <si>
    <t>010105020001 COLONIA PEDRO SOSA</t>
  </si>
  <si>
    <t>010105021010 COLONIA PEDRO SOSA</t>
  </si>
  <si>
    <t>010105238001 COLONIA HORACIO TERÁN ZOZAYA</t>
  </si>
  <si>
    <t>010105238002 COLONIA HORACIO TERÁN ZOZAYA</t>
  </si>
  <si>
    <t>010105239001 COLONIA HORACIO TERÁN ZOZAYA</t>
  </si>
  <si>
    <t>010107238137 FRACCIONAMIENTO HACIENDA DEL SANTUARIO</t>
  </si>
  <si>
    <t>010107235015 FRACCIONAMIENTO HACIENDA DEL SANTUARIO (VIALIDADES 59,846.21 M2)</t>
  </si>
  <si>
    <t>010107234017 FRACCIONAMIENTO HACIENDA DEL SANTUARIO (VIALIDADES 59,846.21 M2)</t>
  </si>
  <si>
    <t>010107229001 FRACCIONAMIENTO HACIENDA DEL SANTUARIO (VIALIDADES 59,846.21 M2)</t>
  </si>
  <si>
    <t>010107229007 FRACCIONAMIENTO HACIENDA DEL SANTUARIO (VIALIDADES 59,846.21 M2)</t>
  </si>
  <si>
    <t>010107240001 FRACCIONAMIENTO HACIENDA DEL SANTUARIO (VIALIDADES 59,846.21 M2)</t>
  </si>
  <si>
    <t>010107223001 FRACCIONAMIENTO HACIENDA DEL SANTUARIO (VIALIDADES 59,846.21 M2)</t>
  </si>
  <si>
    <t>010107227001 FRACCIONAMIENTO HACIENDA DEL SANTUARIO (VIALIDADES 59,846.21 M2)</t>
  </si>
  <si>
    <t>010107242008 FRACCIONAMIENTO HACIENDA DEL SANTUARIO (VIALIDADES 59,846.21 M2)</t>
  </si>
  <si>
    <t>010107236040 FRACCIONAMIENTO HACIENDA DEL SANTUARIO (VIALIDADES 59,846.21 M2)</t>
  </si>
  <si>
    <t>010107236041 FRACCIONAMIENTO HACIENDA DEL SANTUARIO (VIALIDADES 59,846.21 M2)</t>
  </si>
  <si>
    <t>010107253001 FRACCIONAMIENTO BALCONES DEL VALLE</t>
  </si>
  <si>
    <t>010107254001 FRACCIONAMIENTO BALCONES DEL VALLE</t>
  </si>
  <si>
    <t>010107255001 FRACCIONAMIENTO BALCONES DEL VALLE</t>
  </si>
  <si>
    <t>010107229008 FRACCIONAMIENTO HACIENDA DEL SANTUARIO</t>
  </si>
  <si>
    <t>010108030004 FRACCIONAMIENTO VERGEL DE LA SIERRA</t>
  </si>
  <si>
    <t>010108332020 COLONIA AMALIA G. DE CASTILLO LEDÓN SECTOR II</t>
  </si>
  <si>
    <t>010108332019 COLONIA AMALIA G. DE CASTILLO LEDÓN SECTOR II</t>
  </si>
  <si>
    <t>010108031001 COLONIA FRANCISCO I MADERO</t>
  </si>
  <si>
    <t>010108039001 COLONIA FRANCISCO I MADERO</t>
  </si>
  <si>
    <t xml:space="preserve">010108220001 COLONIA AMPLIACION FRANCISCO I MADERO </t>
  </si>
  <si>
    <t xml:space="preserve">010108220002 COLONIA AMPLIACION FRANCISCO I MADERO </t>
  </si>
  <si>
    <t xml:space="preserve">010108220003 COLONIA AMPLIACION FRANCISCO I MADERO </t>
  </si>
  <si>
    <t xml:space="preserve">010108300028 COLONIA AMPLIACION BERTHA DEL AVELLANO </t>
  </si>
  <si>
    <t xml:space="preserve">010108301033 COLONIA AMPLIACION BERTHA DEL AVELLANO </t>
  </si>
  <si>
    <t xml:space="preserve">010108302014 COLONIA AMPLIACION BERTHA DEL AVELLANO </t>
  </si>
  <si>
    <t xml:space="preserve">010108303001 COLONIA AMPLIACION BERTHA DEL AVELLANO </t>
  </si>
  <si>
    <t>010108341018 COLONIA AMALIA G. DE CASTILLO LEDON II</t>
  </si>
  <si>
    <t>010108144007 COLONIA MANUEL A RAVIZE</t>
  </si>
  <si>
    <t>010108154005 COLONIA MANUEL A RAVIZE</t>
  </si>
  <si>
    <t>010108367001 COLONIA MANUEL A RAVIZE</t>
  </si>
  <si>
    <t xml:space="preserve">010108104005 COLONIA UNIDAD MODELO  </t>
  </si>
  <si>
    <t xml:space="preserve">010108104006 COLONIA UNIDAD MODELO  </t>
  </si>
  <si>
    <t>010110348001 COLONIA CUAUHTEMOC</t>
  </si>
  <si>
    <t>010110348003 COLONIA CUAUHTEMOC</t>
  </si>
  <si>
    <t>010110348004 COLONIA CUAUHTEMOC</t>
  </si>
  <si>
    <t xml:space="preserve">010110382001 UNIDAD HABITACIONAL LUIS QUINTERO </t>
  </si>
  <si>
    <t>010110066119 FRACCIONAMIENTO LAS FLORES</t>
  </si>
  <si>
    <t xml:space="preserve">010110493021 COLONIA LA GLORIA </t>
  </si>
  <si>
    <t xml:space="preserve">010110492001 COLONIA LA GLORIA </t>
  </si>
  <si>
    <t xml:space="preserve">010110492009 COLONIA LA GLORIA </t>
  </si>
  <si>
    <t>010110508004 COLONIA AMERICA DE JUAREZ</t>
  </si>
  <si>
    <t>010110066066 FRACCIONAMIENTO LAS FLORES</t>
  </si>
  <si>
    <t>010110066067 FRACCIONAMIENTO LAS FLORES</t>
  </si>
  <si>
    <t>010111097001 COLONIA MIGUEL ALEMÁN</t>
  </si>
  <si>
    <t>010111536019 FRACCIÓNAMIENTO AMPLIACIÓN COLONIA MIGUEL ALEMÁN</t>
  </si>
  <si>
    <t>010111540021 FRACCIÓNAMIENTO AMPLIACIÓN COLONIA MIGUEL ALEMÁN</t>
  </si>
  <si>
    <t>010111539021 FRACCIÓNAMIENTO AMPLIACIÓN COLONIA MIGUEL ALEMÁN</t>
  </si>
  <si>
    <t>010111538021 FRACCIÓNAMIENTO AMPLIACIÓN COLONIA MIGUEL ALEMÁN</t>
  </si>
  <si>
    <t>010111537018 FRACCIÓNAMIENTO AMPLIACIÓN COLONIA MIGUEL ALEMÁN</t>
  </si>
  <si>
    <t xml:space="preserve">010112959005 COLONIA CASAS BLANCAS </t>
  </si>
  <si>
    <t xml:space="preserve">010112518002 FRACCIONAMIENTO IMPERIAL </t>
  </si>
  <si>
    <t>010112108001 FRACCIONAMIENTO SIERRA MADRE</t>
  </si>
  <si>
    <t>010112143001 FRACCIONAMIENTO SIERRA MADRE DEL SUR</t>
  </si>
  <si>
    <t>010112146003 FRACCIONAMIENTO SIERRA MADRE DEL SUR</t>
  </si>
  <si>
    <t>010112961010 FRACCIONAMIENTO COLINAS DEL PARQUE (4,784.847 M2 VIALIDAD)</t>
  </si>
  <si>
    <t>010112135001 COLONIA JARDIN NORTE</t>
  </si>
  <si>
    <t>010112949001 COLONIA JARDIN NORTE</t>
  </si>
  <si>
    <t>010112011001 COLONIA LOS EBANOS</t>
  </si>
  <si>
    <t>010112496010 FRACCIONAMIENTO FUEGO NUEVO</t>
  </si>
  <si>
    <t>010112501040 FRACCIONAMIENTO FUEGO NUEVO</t>
  </si>
  <si>
    <t>010112502010 FRACCIONAMIENTO FUEGO NUEVO</t>
  </si>
  <si>
    <t>010112505010 FRACCIONAMIENTO FUEGO NUEVO</t>
  </si>
  <si>
    <t>010112506010 FRACCIONAMIENTO FUEGO NUEVO</t>
  </si>
  <si>
    <t>010112508010 FRACCIONAMIENTO FUEGO NUEVO</t>
  </si>
  <si>
    <t>010112509010 FRACCIONAMIENTO FUEGO NUEVO</t>
  </si>
  <si>
    <t>010112095001 COLONIA LÁZARO CÁRDENAS</t>
  </si>
  <si>
    <t>010112076001 COLONIA LÁZARO CÁRDENAS</t>
  </si>
  <si>
    <t>010112950001 COLONIA JARDIN NORTE</t>
  </si>
  <si>
    <t>010112145001 FRACCIONAMIENTO SIERRA MADRE DEL SUR</t>
  </si>
  <si>
    <t>010132022001 COLONIA ESTRELLA</t>
  </si>
  <si>
    <t>010132022002 COLONIA ESTRELLA</t>
  </si>
  <si>
    <t>010132022003 COLONIA ESTRELLA</t>
  </si>
  <si>
    <t>010132022004 COLONIA ESTRELLA</t>
  </si>
  <si>
    <t>010132042001 AMPLIACION COLONIA ESTRELLA</t>
  </si>
  <si>
    <t>010132078002 COLONIA VAMOS TAMAULIPAS</t>
  </si>
  <si>
    <t>010113028002 COLONIA JOSÉ LÓPEZ PORTILLO</t>
  </si>
  <si>
    <t>010113006001 COLONIA JOSÉ LÓPEZ PORTILLO</t>
  </si>
  <si>
    <t>010113242002 COLONIA LIBERTAD</t>
  </si>
  <si>
    <t>010113242003 COLONIA LIBERTAD</t>
  </si>
  <si>
    <t>010113242004 COLONIA LIBERTAD</t>
  </si>
  <si>
    <t>010113044001 COLONIA ENRIQUE CARDENAS GONZALEZ</t>
  </si>
  <si>
    <t>010113044003 COLONIA ENRIQUE CARDENAS GONZALEZ</t>
  </si>
  <si>
    <t>010113044004 COLONIA ENRIQUE CARDENAS GONZALEZ</t>
  </si>
  <si>
    <t>010113937001 FRACCIONAMIENTO FRAMBOYANES (AREA VIAL 52,273.60)</t>
  </si>
  <si>
    <t>010113947002 FRACCIONAMIENTO FRAMBOYANES (AREA VIAL 52,273.60)</t>
  </si>
  <si>
    <t>010113947001 FRACCIONAMIENTO FRAMBOYANES (AREA VIAL 52,273.60)</t>
  </si>
  <si>
    <t>010113954001 FRACCIONAMIENTO FRAMBOYANES (AREA VIAL 52,273.60)</t>
  </si>
  <si>
    <t>010113320001 FRACCIONAMIENTO CERRADA LOS OLIVOS 2 ETAPA</t>
  </si>
  <si>
    <t>010113983001 COLONIA JOSÉ LÓPEZ PORTILLO</t>
  </si>
  <si>
    <t>010113311041 COLONIA LIBERTAD II</t>
  </si>
  <si>
    <t>010113306040 COLONIA LIBERTAD II</t>
  </si>
  <si>
    <t>010113306041 COLONIA LIBERTAD II</t>
  </si>
  <si>
    <t xml:space="preserve">010113933001 FRACCIONAMIENTO FRAMBOYANES </t>
  </si>
  <si>
    <t xml:space="preserve">010113956001 FRACCIONAMIENTO FRAMBOYANES </t>
  </si>
  <si>
    <t xml:space="preserve">010113945001 FRACCIONAMIENTO FRAMBOYANES </t>
  </si>
  <si>
    <t>010113641001 FRACCIONAMIENTO HABITACIONAL LOMAS DE CALAMACO</t>
  </si>
  <si>
    <t>010113933002 FRACCIONAMIENTO HABITACIONAL LOMAS DE CALAMACO</t>
  </si>
  <si>
    <t>010113933003 FRACCIONAMIENTO HABITACIONAL LOMAS DE CALAMACO</t>
  </si>
  <si>
    <t>010113933004 FRACCIONAMIENTO HABITACIONAL LOMAS DE CALAMACO</t>
  </si>
  <si>
    <t>010113641002 FRACCIONAMIENTO HABITACIONAL LOMAS DE CALAMACO</t>
  </si>
  <si>
    <t>010113633001 FRACCIONAMIENTO HABITACIONAL LOMAS DE CALAMACO</t>
  </si>
  <si>
    <t>010114150001 COLONIA ORALIA GUERRA DE VILLARREAL</t>
  </si>
  <si>
    <t>010114150002 COLONIA ORALIA GUERRA DE VILLARREAL</t>
  </si>
  <si>
    <t>010114070007 FRACCIONAMIENTO VALLE DE AGUAYO</t>
  </si>
  <si>
    <t>010114074007 FRACCIONAMIENTO VALLE DE AGUAYO</t>
  </si>
  <si>
    <t>010114418001 CONJUNTO HABITACIONAL LAS AMERICAS AMPLIACION</t>
  </si>
  <si>
    <t>010114402026 CONJUNTO HABITACIONAL LAS AMERICAS (5,320.32 M2 DE VIALIDAD)</t>
  </si>
  <si>
    <t>010114131001 FRACCIONAMIENTO VILLA JARDÍN</t>
  </si>
  <si>
    <t>010114682077 FRACCIONAMIENTO LOS ALMENDROS II</t>
  </si>
  <si>
    <t>010114684007 FRACCIONAMIENTO LOS ALMENDROS</t>
  </si>
  <si>
    <t>010114685006 FRACCIONAMIENTO LOS ALMENDROS</t>
  </si>
  <si>
    <t>010114242066 COLONIA MEXICO</t>
  </si>
  <si>
    <t>010114111001 FRACCIONAMIENTO VILLA JARDÍN</t>
  </si>
  <si>
    <t>010114417008 CONJUNTO HABITACIONAL AMÉRICAS AMPLIACIÓN</t>
  </si>
  <si>
    <t>010114526002 FRACCIONAMIENTO  SAN LUISITO</t>
  </si>
  <si>
    <t>010114587001 FRACCIONAMIENTO  SAN LUISITO</t>
  </si>
  <si>
    <t>010114588001 FRACCIONAMIENTO  SAN LUISITO</t>
  </si>
  <si>
    <t>010115306007 FRACCIONAMIENTO TEOCALTICHE</t>
  </si>
  <si>
    <t>010115303012 FRACCIONAMIENTO TEOCALTICHE</t>
  </si>
  <si>
    <t xml:space="preserve">010115310001 FRACCIONAMIENTO TEOCALTICHE </t>
  </si>
  <si>
    <t xml:space="preserve">010115310002 FRACCIONAMIENTO TEOCALTICHE </t>
  </si>
  <si>
    <t xml:space="preserve">010115412001 FRACCIONAMIENTO TEOCALTICHE </t>
  </si>
  <si>
    <t xml:space="preserve">010115412002 FRACCIONAMIENTO TEOCALTICHE </t>
  </si>
  <si>
    <t>010115452002 COLONIA ADOLFO LOPEZ MATEOS ESCUADRA NORTE</t>
  </si>
  <si>
    <t>010115452003 COLONIA ADOLFO LOPEZ MATEOS ESCUADRA NORTE</t>
  </si>
  <si>
    <t>010115452001 COLONIA ADOLFO LOPEZ MATEOS ESCUADRA NORTE</t>
  </si>
  <si>
    <t>010115418001 FRACCIONAMIENTO ITACE</t>
  </si>
  <si>
    <t>010115572001 COLONIA MARIANO MATAMOROS II ETAPA</t>
  </si>
  <si>
    <t>010115581001 COLONIA MARIANO MATAMOROS II ETAPA</t>
  </si>
  <si>
    <t>010115735001 FRACCIONAMIENTO PRIVANZAS I</t>
  </si>
  <si>
    <t>010115734024 FRACCIONAMIENTO PRIVANZAS I</t>
  </si>
  <si>
    <t>010115739024 FRACCIONAMIENTO PRIVANZAS I</t>
  </si>
  <si>
    <t>010115659016 FRACCIONAMIENTO VISTA AZUL (5,370.23 VIALIDADES)</t>
  </si>
  <si>
    <t>010115659020 FRACCIONAMIENTO VISTA AZUL (5,370.23 VIALIDADES)</t>
  </si>
  <si>
    <t>010115664051 FRACCIONAMIENTO VISTA AZUL II</t>
  </si>
  <si>
    <t>010115665001 FRACCIONAMIENTO VISTA AZUL II</t>
  </si>
  <si>
    <t>010115135001 FRACCIONAMIENTO RESIDENCIAL DEL VALLE</t>
  </si>
  <si>
    <t>010115139001 FRACCIONAMIENTO RESIDENCIAL DEL VALLE</t>
  </si>
  <si>
    <t>010115141001 FRACCIONAMIENTO RESIDENCIAL DEL VALLE</t>
  </si>
  <si>
    <t>010115143001 FRACCIONAMIENTO RESIDENCIAL DEL VALLE</t>
  </si>
  <si>
    <t>010115033001 FRACCIONAMIENTO RESIDENCIAL CABAÑAS (2,223.00 M2 AREA DE VIALIDAD)</t>
  </si>
  <si>
    <t>010115005001 FRACCIONAMIENTO CAMPESTRE</t>
  </si>
  <si>
    <t>010115796001 FRACCIONAMIENTO CAMPESTRE</t>
  </si>
  <si>
    <t>010115005042 FRACCIONAMIENTO CAMPESTRE</t>
  </si>
  <si>
    <t>010115509001 FRACCIONAMIENTO ING. CARLOS ANZURES (AGRONOMOS)</t>
  </si>
  <si>
    <t>010115603034 UNIDAD HABITACIONAL AZTECA</t>
  </si>
  <si>
    <t>010115603036 UNIDAD HABITACIONAL AZTECA</t>
  </si>
  <si>
    <t>010115309001 FRACCIONAMIENTO TEOCALTICHE</t>
  </si>
  <si>
    <t>010115028004 FRACCIONAMIENTO RESIDENCIAL CABAÑAS (2,223.00 M2 AREA DE VIALIDAD)</t>
  </si>
  <si>
    <t>010115029017 FRACCIONAMIENTO RESIDENCIAL CABAÑAS (2,223.00 M2 AREA DE VIALIDAD)</t>
  </si>
  <si>
    <t>010115029018 FRACCIONAMIENTO RESIDENCIAL CABAÑAS (2,223.00 M2 AREA DE VIALIDAD)</t>
  </si>
  <si>
    <t>010115037009 FRACCIONAMIENTO RESIDENCIAL CABAÑAS (2,223.00 M2 AREA DE VIALIDAD)</t>
  </si>
  <si>
    <t>010115005130 FRACCIONAMIENTO CAMPESTRE</t>
  </si>
  <si>
    <t>010115280028 FRACCIONAMIENTO CLUB CAMPESTRE</t>
  </si>
  <si>
    <t>010115694014 FRACCIONAMIENTO PRIVADA BILBAO</t>
  </si>
  <si>
    <t>010115778001 FRACCIONAMIENTO PRIVADA BILBAO</t>
  </si>
  <si>
    <t>010115778011 FRACCIONAMIENTO PRIVADA BILBAO</t>
  </si>
  <si>
    <t>010115778012 FRACCIONAMIENTO PRIVADA BILBAO</t>
  </si>
  <si>
    <t>010116349001 COLONIA SAGITARIO</t>
  </si>
  <si>
    <t>010116352030 COLONIA SAGITARIO</t>
  </si>
  <si>
    <t>010116351001 COLONIA SAGITARIO</t>
  </si>
  <si>
    <t>010116356001 COLONIA SAGITARIO</t>
  </si>
  <si>
    <t>010116336001 COLONIA SAGITARIO</t>
  </si>
  <si>
    <t>010116336002 COLONIA SAGITARIO</t>
  </si>
  <si>
    <t>010116309005 COLONIA SATELITE II</t>
  </si>
  <si>
    <t>010116312033 COLONIA SATELITE II</t>
  </si>
  <si>
    <t xml:space="preserve">010116226016 COLONIA EMILIANO ZAPATA </t>
  </si>
  <si>
    <t xml:space="preserve">010116226017 COLONIA EMILIANO ZAPATA </t>
  </si>
  <si>
    <t>010116286002 COLONIA LIBERAL</t>
  </si>
  <si>
    <t>010116286001 COLONIA LIBERAL</t>
  </si>
  <si>
    <t>010116291001 COLONIA LIBERAL</t>
  </si>
  <si>
    <t>010116796002 COLONIA BENITO JUAREZ</t>
  </si>
  <si>
    <t>010116549012 COLOLINIA MATÍAS HINOJOSA</t>
  </si>
  <si>
    <t>010116796001 COLONIA BENITO JUAREZ</t>
  </si>
  <si>
    <t>010117093014 COLONIA MODERNA</t>
  </si>
  <si>
    <t>010117093015 COLONIA MODERNA</t>
  </si>
  <si>
    <t xml:space="preserve">010117126001 COLONIA LINDA VISTA </t>
  </si>
  <si>
    <t>010117557002 FRACCIONAMIENTO ALTA VISTA</t>
  </si>
  <si>
    <t>010117046001 COLONIA MODERNA</t>
  </si>
  <si>
    <t>010117046002 COLONIA MODERNA</t>
  </si>
  <si>
    <t>010117046003 COLONIA MODERNA</t>
  </si>
  <si>
    <t>010117046004 COLONIA MODERNA</t>
  </si>
  <si>
    <t>010117046005 COLONIA MODERNA</t>
  </si>
  <si>
    <t>010117111001 FRACCIONAMIENTO LAS PALOMAS (DONACION)</t>
  </si>
  <si>
    <t>010117110006 FRACCIONAMIENTO LAS PALOMAS (DONACION)</t>
  </si>
  <si>
    <t>010118144034 COLONIA VISTA HERMOSA (2,377.76 M2 DE VIALIDAD)</t>
  </si>
  <si>
    <t>010118147031 COLONIA VISTA HERMOSA (2,377.76 M2 DE VIALIDAD)</t>
  </si>
  <si>
    <t>010118147033 COLONIA VISTA HERMOSA (2,377.76 M2 DE VIALIDAD)</t>
  </si>
  <si>
    <t>010118545005 FRACCIONAMIENTO INTEGRACIÓN FAMILIAR</t>
  </si>
  <si>
    <t>010118551001 FRACCIONAMIENTO INTEGRACIÓN FAMILIAR</t>
  </si>
  <si>
    <t>010118551002 FRACCIONAMIENTO INTEGRACIÓN FAMILIAR</t>
  </si>
  <si>
    <t>010118542001 COLONIA FRANCISCO VILLA</t>
  </si>
  <si>
    <t>010118607001 FRACCIONAMIENTO VISTA HERMOSA ( AREA DE VAILIDAD SUPERFICIE 2,377.76 M2 )</t>
  </si>
  <si>
    <t>010118608001 FRACCIONAMIENTO VISTA HERMOSA ( AREA DE VAILIDAD SUPERFICIE 2,377.76 M2 )</t>
  </si>
  <si>
    <t>010118537001 COLONIA PEDRO JOSE MENDEZ II</t>
  </si>
  <si>
    <t>010118702008 FRACCIONAMIENTO CHAPULTEPEC</t>
  </si>
  <si>
    <t>010119549001 COLONIA LOMA ALTA</t>
  </si>
  <si>
    <t>010119548019 COLONIA LOMA ALTA</t>
  </si>
  <si>
    <t>010119045001 COLONIA NUEVO TAMAULIPAS</t>
  </si>
  <si>
    <t>010123061001 COLONIA ALTAS CUMBRES</t>
  </si>
  <si>
    <t>010124022004 COLONIA EXHACIENDA DE TAMATAN</t>
  </si>
  <si>
    <t>010125390011 FRACCIONAMIENTO VERGEL DE LA SIERRA</t>
  </si>
  <si>
    <t>010125381001 FRACCIONAMIENTO VERGEL DE LA SIERRA</t>
  </si>
  <si>
    <t>010125382014 FRACCIONAMIENTO VERGEL DE LA SIERRA</t>
  </si>
  <si>
    <t>010125304006 COLONIA LA ESPERANZA</t>
  </si>
  <si>
    <t>010125375001 FRACCIONAMIENTO VERGEL DE LA SIERRA</t>
  </si>
  <si>
    <t>010125382022 FRACCIONAMIENTO VERGEL DE LA SIERRA</t>
  </si>
  <si>
    <t>010125386001 FRACCIONAMIENTO VERGEL DE LA SIERRA</t>
  </si>
  <si>
    <t>010125392010 FRACCIONAMIENTO VERGEL DE LA SIERRA</t>
  </si>
  <si>
    <t>010125389010 FRACCIONAMIENTO VERGEL DE LA SIERRA</t>
  </si>
  <si>
    <t>010125379010 FRACCIONAMIENTO VERGEL DE LA SIERRA</t>
  </si>
  <si>
    <t>010125375002 FRACCIONAMIENTO VERGEL DE LA SIERRA</t>
  </si>
  <si>
    <t>010125380001 FRACCIONAMIENTO VERGEL DE LA SIERRA</t>
  </si>
  <si>
    <t>010125382047 FRACCIONAMIENTO VERGEL DE LA SIERRA</t>
  </si>
  <si>
    <t>010125382027 FRACCIONAMIENTO VERGEL DE LA SIERRA</t>
  </si>
  <si>
    <t>010125383001 FRACCIONAMIENTO VERGEL DE LA SIERRA</t>
  </si>
  <si>
    <t xml:space="preserve">010125031003 COLONIA ALVARO OBREGON </t>
  </si>
  <si>
    <t>010127057001 COLONIA SOLIDARIDAD VOLUNTAD Y TRABAJO</t>
  </si>
  <si>
    <t>010127025001 COLONIA NIÑOS HEROES</t>
  </si>
  <si>
    <t>010127024001 COLONIA NIÑOS HEROES</t>
  </si>
  <si>
    <t>010127023002 COLONIA NIÑOS HEROES</t>
  </si>
  <si>
    <t>010127007001 FRACCIONAMIENTO RECIDENCIAL LA PAZ</t>
  </si>
  <si>
    <t>010127008001 FRACCIONAMIENTO RECIDENCIAL LA PAZ</t>
  </si>
  <si>
    <t>010127008012 FRACCIONAMIENTO RECIDENCIAL LA PAZ</t>
  </si>
  <si>
    <t>010127415001 COLONIA AZTECA I</t>
  </si>
  <si>
    <t>010127747001 BARRIO DE PAJARITOS SECTOR (COLIBRI)</t>
  </si>
  <si>
    <t>010127736002  BARRIO DE PAJARITOS SECTOR (CANARIO)</t>
  </si>
  <si>
    <t>010127564012 COLONIA NUEVO AMANECER</t>
  </si>
  <si>
    <t>010127816001 COLONIA AZTECA (MÁRGEN DEL RÍO)</t>
  </si>
  <si>
    <t>010128033020 FRACCIONAMIENTO PUERTA DE HIERRO (PRIVADA SUR)</t>
  </si>
  <si>
    <t>010128050011 FRACCIONAMIENTO HACIENDA DEL COLIBRÍ</t>
  </si>
  <si>
    <t>010128049018 FRACCIONAMIENTO HACIENDA DEL COLIBRÍ</t>
  </si>
  <si>
    <t>010128043001 FRACCIONAMIENTO PUERTA DE HIERRO PRIVADA PONIENTE</t>
  </si>
  <si>
    <t>010128027019 FRACCIONAMIENTO PUERTA DE HIERRO PRIVADA PONIENTE</t>
  </si>
  <si>
    <t>010128030030 FRACCIONAMIENTO PUERTA DE HIERRO PRIVADA PONIENTE</t>
  </si>
  <si>
    <t>010128029001 FRACCIONAMIENTO PUERTA DE HIERRO PRIVADA PONIENTE</t>
  </si>
  <si>
    <t>010128045009 FRACCIONAMIENTO PUERTA DE HIERRO PRIVADA PONIENTE</t>
  </si>
  <si>
    <t>010128034002 FRACCIONAMIENTO PUERTA DE HIERRO PRIVADA PONIENTE</t>
  </si>
  <si>
    <t>010128045001 FRACCIONAMIENTO PUERTA DE HIERRO PRIVADA PONIENTE</t>
  </si>
  <si>
    <t>010128039001 FRACCIONAMIENTO PUERTA DE HIERRO PRIVADA PONIENTE</t>
  </si>
  <si>
    <t>010128033006 FRACCIONAMIENTO PUERTA DE HIERRO PRIVADA SUR</t>
  </si>
  <si>
    <t>010128037001 FRACCIONAMIENTO PUERTA DE HIERRA PRIVADA PONIENTE</t>
  </si>
  <si>
    <t>010128033018 FRACCIONAMIENTO PUERTA DE HIERRO PRIVADA SUR</t>
  </si>
  <si>
    <t>010131016005 FRACCIONAMIENTO MISIÓN DE SAN AGUSTIN (10,732.0428 M2 DE VIALIDAD)</t>
  </si>
  <si>
    <t>010131017001 FRACCIONAMIENTO MISIÓN DE SAN AGUSTIN (10,732.0428 M2 DE VIALIDAD)</t>
  </si>
  <si>
    <t>010131019006 FRACCIONAMIENTO MISIÓN DE SAN AGUSTIN</t>
  </si>
  <si>
    <t>010131001001 COLONIA ORALIA GUERRA DE VILLARREAL</t>
  </si>
  <si>
    <t>010132090001 COLONIA VAMOS TAMAULIPAS</t>
  </si>
  <si>
    <t>010132135006 CONJUNTO HABITACIONAL ENFERMERAS</t>
  </si>
  <si>
    <t>010132130001 CONJUNTO HABITACIONAL ENFERMERAS</t>
  </si>
  <si>
    <t>010132123001 CONJUNTO HABITACIONAL ENFERMERAS</t>
  </si>
  <si>
    <t>010132355001 COLONIA BARRIO CAÑON DE LA PEREGRINA SECTOR B</t>
  </si>
  <si>
    <t>010132136001 CONJUNTO HABITACIONAL ENFERMERAS</t>
  </si>
  <si>
    <t>010133063001 COLONIA LUIS DONALDO COLOSIO MURRIETA</t>
  </si>
  <si>
    <t>010133004004 COLONIA EL MIRADOR</t>
  </si>
  <si>
    <t>010133004005 COLONIA EL MIRADOR</t>
  </si>
  <si>
    <t>010133004006 COLONIA EL MIRADOR</t>
  </si>
  <si>
    <t>010137017001 FRACCIONAMIENTO AGROPECUARIO LOS OLIVOS II</t>
  </si>
  <si>
    <t>010137007008 FRACCIONAMIENTO AGROPECUARIO LOS OLIVOS I (AREA DE VIALIDAD 67,115.077 M2)</t>
  </si>
  <si>
    <t>010137008007 FRACCIONAMIENTO AGROPECUARIO LOS OLIVOS I (AREA DE VIALIDAD 67,115.077 M2)</t>
  </si>
  <si>
    <t>010137009008 FRACCIONAMIENTO AGROPECUARIO LOS OLIVOS I (AREA DE VIALIDAD 67,115.077 M2)</t>
  </si>
  <si>
    <t>010137010006 FRACCIONAMIENTO AGROPECUARIO LOS OLIVOS I (AREA DE VIALIDAD 67,115.077 M2)</t>
  </si>
  <si>
    <t>010137007016 FRACCIONAMIENTO AGROPECUARIO LOS OLIVOS I (AREA DE VIALIDAD 67,115.077 M2)</t>
  </si>
  <si>
    <t>010137008014 FRACCIONAMIENTO AGROPECUARIO LOS OLIVOS I (AREA DE VIALIDAD 67,115.077 M2)</t>
  </si>
  <si>
    <t>010137009016 FRACCIONAMIENTO AGROPECUARIO LOS OLIVOS I (AREA DE VIALIDAD 67,115.077 M2)</t>
  </si>
  <si>
    <t>010137010014 FRACCIONAMIENTO AGROPECUARIO LOS OLIVOS I (AREA DE VIALIDAD 67,115.077 M2)</t>
  </si>
  <si>
    <t>010137002007 FRACCIONAMIENTO AGROPECUARIO LOS OLIVOS I (AREA DE VIALIDAD 67,115.077 M2)</t>
  </si>
  <si>
    <t>010137003008 FRACCIONAMIENTO AGROPECUARIO LOS OLIVOS I (AREA DE VIALIDAD 67,115.077 M2)</t>
  </si>
  <si>
    <t>010137004007 FRACCIONAMIENTO AGROPECUARIO LOS OLIVOS I (AREA DE VIALIDAD 67,115.077 M2)</t>
  </si>
  <si>
    <t>010137006009 FRACCIONAMIENTO AGROPECUARIO LOS OLIVOS I (AREA DE VIALIDAD 67,115.077 M2)</t>
  </si>
  <si>
    <t>010137006024 FRACCIONAMIENTOAGROPECUARIO LOS OLIVOS I (AREA DE VIALIDAD 67,115.077 M2)</t>
  </si>
  <si>
    <t>010137006031 FRACCIONAMIENTO AGROPECUARIO LOS OLIVOS I (AREA DE VIALIDAD 67,115.077 M2)</t>
  </si>
  <si>
    <t>010137020020 FRACCIONAMIENTO LA RIOJA</t>
  </si>
  <si>
    <t>010137020001 FRACCIONAMIENTO LA RIOJA</t>
  </si>
  <si>
    <t>010137023001 FRACCIONAMIENTO LA RIOJA</t>
  </si>
  <si>
    <t>010105104002 CARRETERA SOTO LA MARINA</t>
  </si>
  <si>
    <t>010105044025 CALLE CANALES S/N</t>
  </si>
  <si>
    <t>010105104003 CARRETERA SOTO LA MARINA</t>
  </si>
  <si>
    <t>010105030006 RIO SAN MARCOS ESQ. JC DORIA</t>
  </si>
  <si>
    <t>010105030005 ZONA CENTRO</t>
  </si>
  <si>
    <t xml:space="preserve">010105039017 COLONIA PEDRO SOSA </t>
  </si>
  <si>
    <t>010112057016 COLONIA JUNTA LOCAL DE CAMINOS (CAMINERA)</t>
  </si>
  <si>
    <t>010108007005 COLONIA FRANCISCO I MADERO</t>
  </si>
  <si>
    <t>010105018001 COLONIA PEDRO SOSA</t>
  </si>
  <si>
    <t>010116238008 COLONIA JOSE DE ESCANDON</t>
  </si>
  <si>
    <t>010102104018 19 CONRRADO CASTILLO</t>
  </si>
  <si>
    <t>010102195002 COLONIA NORBERTO TREVIÑO ZAPATA</t>
  </si>
  <si>
    <t>010104009029 ZONA CENTRO</t>
  </si>
  <si>
    <t xml:space="preserve">010116054021 COLONIA VICTORIA JAR NIÑOS </t>
  </si>
  <si>
    <t>010116270002 COLONIA BENITO JUAREZ</t>
  </si>
  <si>
    <t>010110426003 COLONIA AMÉRICO VILLARREAL GUERRA</t>
  </si>
  <si>
    <t>010110005045 COLONIA 7 DE NOVIEMBRE</t>
  </si>
  <si>
    <t>010104010001 ZONA CENTRO</t>
  </si>
  <si>
    <t>010114032002 UNIDAD HABITACIONAL PEDRO JOSE MENDEZ FOVISSSTE</t>
  </si>
  <si>
    <t>010114105013 FRACCIONAMIENTO VALLE DE AGUAYO</t>
  </si>
  <si>
    <t>010116211001 COLONIA VICENTE GUERRERO</t>
  </si>
  <si>
    <t>010110426002 COLONIA AMÉRICO VILLARREAL GUERRA</t>
  </si>
  <si>
    <t>010110426001 COLONIA AMÉRICO VILLARREAL GUERRA</t>
  </si>
  <si>
    <t>010116166024 COLONIA JOSE DE ESCANDON</t>
  </si>
  <si>
    <t>010114414002 UNIDAD HABITACIONAL PEDRO JOSE MENDEZ FOVISSSTE</t>
  </si>
  <si>
    <t>010123021001 COLONIA SAN MARCOS II</t>
  </si>
  <si>
    <t>010110097001 FRACCIONAMIENTO LAS FLORES</t>
  </si>
  <si>
    <t>010113210001 COLONIA LIBERTAD</t>
  </si>
  <si>
    <t>010116254001 COLONIA AMPLIACION LAS PLAYAS</t>
  </si>
  <si>
    <t>010113248021 COLONIA LIBERTAD</t>
  </si>
  <si>
    <t>010104065014 ZONA CENTRO</t>
  </si>
  <si>
    <t>010103127005 FRACCIONAMIENTO LOS ARCOS</t>
  </si>
  <si>
    <t>010101112010 ZONA CENTRO</t>
  </si>
  <si>
    <t>010116129001 COLONIA BENITO JUAREZ</t>
  </si>
  <si>
    <t>010114100017 FRACCIONAMIENTO VALLE DE AGUAYO</t>
  </si>
  <si>
    <t>010110300001 FRACCIONAMIENTO LAS FLORES</t>
  </si>
  <si>
    <t>010104013001 ZONA CENTRO</t>
  </si>
  <si>
    <t>010116128001 COLONIA BENITO JUAREZ</t>
  </si>
  <si>
    <t>010104159100 ZONA CENTRO</t>
  </si>
  <si>
    <t>010101195001 ZONA CENTRO</t>
  </si>
  <si>
    <t>010101100001 ZONA CENTRO</t>
  </si>
  <si>
    <t>010101101002 ZONA CENTRO</t>
  </si>
  <si>
    <t>010101224001 ZONA CENTRO</t>
  </si>
  <si>
    <t>010101151001     ZONA CENTRO</t>
  </si>
  <si>
    <t>010101048033  ZONA CENTRO</t>
  </si>
  <si>
    <t>010101006001 ZONA CENTRO</t>
  </si>
  <si>
    <t>010101016001 ZONA CENTRO</t>
  </si>
  <si>
    <t>010101078001 ZONA CENTRO</t>
  </si>
  <si>
    <t xml:space="preserve">010102212001 FRACCIONAMIENTO SAN JOSÉ </t>
  </si>
  <si>
    <t>010102299032 ANDADOR M-1</t>
  </si>
  <si>
    <t>010102123012 FRACCIONAMIENTO SAN JOSÉ (JARDINES)</t>
  </si>
  <si>
    <t>010102124012 FRACCIONAMIENTO SAN JOSÉ (JARDINES)</t>
  </si>
  <si>
    <t>010102093016 FRACCIONAMIENTO SAN JOSÉ (JARDINES)</t>
  </si>
  <si>
    <t>010102097019 FRACCIONAMIENTO SAN JOSÉ (JARDINES)</t>
  </si>
  <si>
    <t>010102139012 21 Y 24 COAHUILA</t>
  </si>
  <si>
    <t>010102139013 21 Y 24 COAHUILA</t>
  </si>
  <si>
    <t>010102435005 AVENIDA LAZARO CARDENAS Y CALLE COAHUILA</t>
  </si>
  <si>
    <t xml:space="preserve">010102307027 UNIDAD HABITACIONAL FIDEL VELAZQUEZ(ADELITAS) RIO BLANCO </t>
  </si>
  <si>
    <t xml:space="preserve">010102307030 UNIDAD HABITACIONAL FIDEL VELAZQUEZ(ADELITAS) ALEJANDRO PRIETO </t>
  </si>
  <si>
    <t>010102288001 UNIDAD HABITACIONAL FIDEL VELAZQUEZ(ADELITAS)</t>
  </si>
  <si>
    <t>010103009001 ZONA CENTRO</t>
  </si>
  <si>
    <t>010103071001 COLONIA ADOLFO LOPEZ MATEOS</t>
  </si>
  <si>
    <t>010103070011 COLONIA REVOLUCION VERDE</t>
  </si>
  <si>
    <t>010103071003 COLONIA ADOLFO LOPEZ MATEOS (JARDIN DE NIÑOS)</t>
  </si>
  <si>
    <t>010103071004 COLONIA ADOLFO LOPEZ MATEOS (ESC. PRIMARIA)</t>
  </si>
  <si>
    <t>010103071005 COLONIA ADOLFO LOPEZ MATEOS (SEC. NO.7)</t>
  </si>
  <si>
    <t>010103071006 COLONIA ADOLFO LOPEZ MATEOS (LICONSA)</t>
  </si>
  <si>
    <t>010103071007 COLONIA ADOLFO LOPEZ MATEOS (IGLESIA DIVINA PROVIDENCIA)</t>
  </si>
  <si>
    <t>010103110001 JUAN CABALLERO ESQ. HUASTECOS</t>
  </si>
  <si>
    <t xml:space="preserve">010103152001 COLONIA ESTUDIANTIL </t>
  </si>
  <si>
    <t>010104093001 ZONA CENTRO</t>
  </si>
  <si>
    <t>010104149001 ZONA CENTRO</t>
  </si>
  <si>
    <t>010105237001 COLONIA GUADALUPE MAINERO JUÁREZ</t>
  </si>
  <si>
    <t>010106051001 COLONIA BURÓCRATAS ESTATALES</t>
  </si>
  <si>
    <t>010106051002 COLONIA BURÓCRATAS ESTATALES</t>
  </si>
  <si>
    <t>010107028021 COLONIA LOS PINOS</t>
  </si>
  <si>
    <t>010107001101 FRACCIONAMIENTO LAS PALMAS</t>
  </si>
  <si>
    <t>010107039008 COLONIA LOS PINOS</t>
  </si>
  <si>
    <t xml:space="preserve">010107267001 COLONIA EL PALMAR </t>
  </si>
  <si>
    <t>010108029001 COLONIA FRANCISCO I MADERO</t>
  </si>
  <si>
    <t xml:space="preserve">010108312001 COLONIA AMALIA G. DE CASTILLO LEDÓN </t>
  </si>
  <si>
    <t>010108232002 COLONIA CASAS BLANCAS</t>
  </si>
  <si>
    <t>010108029002 COLONIA FCO. I MADERO ( JARDIN DE NIÑOS FEDERICO FROEBEL)</t>
  </si>
  <si>
    <t>010108089001 COLONIA BERNARDO GUTIERREZ DE LARA</t>
  </si>
  <si>
    <t xml:space="preserve">010108078019 COLONIA BERTHA DEL AVELLANO </t>
  </si>
  <si>
    <t xml:space="preserve">010108078020 COLONIA BERTHA DEL AVELLANO </t>
  </si>
  <si>
    <t xml:space="preserve">010108082040 COLONIA BERTHA DEL AVELLANO </t>
  </si>
  <si>
    <t xml:space="preserve">010108075017 COLONIA BERTHA DEL AVELLANO </t>
  </si>
  <si>
    <t xml:space="preserve">010108072001 COLONIA BERTHA DEL AVELLANO </t>
  </si>
  <si>
    <t>010108332018 COLONIA AMALIA G. DE CASTILLO LEDON II</t>
  </si>
  <si>
    <t xml:space="preserve">010108387001 COLONIA VETERANOS DE LA REVOLUCION </t>
  </si>
  <si>
    <t xml:space="preserve">010108386001 COLONIA VETERANOS DE LA REVOLUCION </t>
  </si>
  <si>
    <t>010108089002 COLONIA BERNARDO GUTIERREZ DE LARA</t>
  </si>
  <si>
    <t>010108231001 COLONIA CASAS BLANCAS</t>
  </si>
  <si>
    <t>010108232001 COLONIA CASAS BLANCAS</t>
  </si>
  <si>
    <t>010108196015 COLONIA CASAS BLANCAS</t>
  </si>
  <si>
    <t>010108233001 COLONIA CASAS BLANCAS</t>
  </si>
  <si>
    <t xml:space="preserve">010109019014 COLONIA CAMINO REAL A TULA </t>
  </si>
  <si>
    <t>010110011013 CALLE 3 INFONAVIT TAMATAN</t>
  </si>
  <si>
    <t xml:space="preserve">010110383023 UNIDAD HABITACIONAL LUIS QUINTERO </t>
  </si>
  <si>
    <t>010110520001 COLONIA AMERICA DE JUAREZ</t>
  </si>
  <si>
    <t xml:space="preserve">010110382002 UNIDAD HABITACIONAL LUIS QUINTERO </t>
  </si>
  <si>
    <t>010110335001 COLONIA CUAUHTEMOC</t>
  </si>
  <si>
    <t>010110335014 COLONIA CUAUHTEMOC</t>
  </si>
  <si>
    <t>010110123001 FRACCIONAMIENTO RINCON DE TAMATAN II</t>
  </si>
  <si>
    <t>010110120017 FRACCIONAMIENTO RINCON DE TAMATAN II</t>
  </si>
  <si>
    <t>010110120018 FRACCIONAMIENTO RINCON DE TAMATAN II</t>
  </si>
  <si>
    <t>010110079002 FRACCIONAMIENTO LAS FLORES</t>
  </si>
  <si>
    <t>010110076001 FRACCIONAMIENTO LAS FLORES</t>
  </si>
  <si>
    <t>010110069001 COLONIA 7 DE NOVIEMBRE</t>
  </si>
  <si>
    <t>010110067064 FRACCIONAMIENTO LAS FLORES</t>
  </si>
  <si>
    <t>010110063001 FRACCIONAMIENTO LAS FLORES</t>
  </si>
  <si>
    <t xml:space="preserve">010110377021 UNIDAD HABITACIONAL LUIS QUINTERO </t>
  </si>
  <si>
    <t>010110390001 FRACCIONAMIENTO RINCON DE TAMATAN</t>
  </si>
  <si>
    <t>010110389001 FRACCIONAMIENTO RINCON DE TAMATAN</t>
  </si>
  <si>
    <t>010110016077 UNIDAD HAB LUIS ECHEVERRIA</t>
  </si>
  <si>
    <t>010110014001 UNIDAD HAB LUIS ECHEVERRIA</t>
  </si>
  <si>
    <t>010110014051 UNIDAD HAB LUIS ECHEVERRIA</t>
  </si>
  <si>
    <t>010110014015 UNIDAD HAB LUIS ECHEVERRIA</t>
  </si>
  <si>
    <t>010110015058 UNIDAD HAB LUIS ECHEVERRIA</t>
  </si>
  <si>
    <t>010110015001 UNIDAD HAB LUIS ECHEVERRIA</t>
  </si>
  <si>
    <t>010110014052 UNIDAD HAB LUIS ECHEVERRIA</t>
  </si>
  <si>
    <t>010110014053 UNIDAD HAB LUIS ECHEVERRIA</t>
  </si>
  <si>
    <t>010110036036 UNIDAD HAB LUIS ECHEVERRIA</t>
  </si>
  <si>
    <t>010110036037 UNIDAD HAB LUIS ECHEVERRIA</t>
  </si>
  <si>
    <t>010110011044 UNIDAD HAB LUIS ECHEVERRIA</t>
  </si>
  <si>
    <t xml:space="preserve">010110055005 COLONIA DEL MAESTRO </t>
  </si>
  <si>
    <t>010110329001 COLONIA CUAUHTEMOC</t>
  </si>
  <si>
    <t>010110519001 COLONIA AMERICA DE JUAREZ</t>
  </si>
  <si>
    <t>010110427001 COLONIA AMÉRICO VILLARREAL GUERRA</t>
  </si>
  <si>
    <t>010110427002 COLONIA AMÉRICO VILLARREAL GUERRA</t>
  </si>
  <si>
    <t>010110427003 COLONIA AMÉRICO VILLARREAL GUERRA</t>
  </si>
  <si>
    <t xml:space="preserve">010110001002 CALLE OCAMPO 30 Y 29 </t>
  </si>
  <si>
    <t xml:space="preserve">010110060010 FRACCIONAMIENTO LAS FLORES </t>
  </si>
  <si>
    <t xml:space="preserve">010110061002 FRACCIONAMIENTO LAS FLORES </t>
  </si>
  <si>
    <t xml:space="preserve">010110061003 CALLE OCAMPO 30 Y 29 </t>
  </si>
  <si>
    <t>010110061009 CALLE OCAMPO 29</t>
  </si>
  <si>
    <t xml:space="preserve">010110061011 FRACCIONAMIENTO LAS FLORES </t>
  </si>
  <si>
    <t xml:space="preserve">010110061015 FRACCIONAMIENTO LAS FLORES </t>
  </si>
  <si>
    <t>010110010071 UNIDAD HABITACIONAL LUIS ECHEVERRIA</t>
  </si>
  <si>
    <t>010110374033 FRACCIONAMIENTO RINCON DE TAMATAN</t>
  </si>
  <si>
    <t>010111120007 COLONIA MIGUEL ALEMÁN</t>
  </si>
  <si>
    <t>010111246023 CALENDARIO AZTECA COL. FSTSE</t>
  </si>
  <si>
    <t>010111243001 FRACCIONAMIENTO FSTSE</t>
  </si>
  <si>
    <t>010111231001 FRACCIONAMIENTO FSTSE</t>
  </si>
  <si>
    <t>010111244001 FRACCIONAMIENTO FSTSE</t>
  </si>
  <si>
    <t>010111999001 COLONIA HÉROES NACOZARI</t>
  </si>
  <si>
    <t>010111535001 FRACCIONAMIENTO FSTSE</t>
  </si>
  <si>
    <t>010111019021 COLONIA HÉROES NACOZARI</t>
  </si>
  <si>
    <t>010111019037 COLONIA HÉROES NACOZARI</t>
  </si>
  <si>
    <t>010111012052 COLONIA HÉROES NACOZARI</t>
  </si>
  <si>
    <t>010111012024 COLONIA HÉROES NACOZARI</t>
  </si>
  <si>
    <t>010111019036 COLONIA HÉROES NACOZARI</t>
  </si>
  <si>
    <t>010111012026 COLONIA HÉROES NACOZARI</t>
  </si>
  <si>
    <t>010111012027 COLONIA HÉROES NACOZARI</t>
  </si>
  <si>
    <t>010111012043 COLONIA HÉROES NACOZARI</t>
  </si>
  <si>
    <t>010111012025 COLONIA HÉROES NACOZARI</t>
  </si>
  <si>
    <t>010111012028 COLONIA HÉROES NACOZARI</t>
  </si>
  <si>
    <t>010111012029 COLONIA HÉROES NACOZARI</t>
  </si>
  <si>
    <t>010111012044 COLONIA HÉROES NACOZARI</t>
  </si>
  <si>
    <t>010111019020 COLONIA HÉROES NACOZARI</t>
  </si>
  <si>
    <t>010111012021 COLONIA HÉROES NACOZARI</t>
  </si>
  <si>
    <t>010111012023 COLONIA HÉROES NACOZARI</t>
  </si>
  <si>
    <t>010111012022 COLONIA HÉROES NACOZARI</t>
  </si>
  <si>
    <t xml:space="preserve">010112521001 FRACCIONAMIENTO IMPERIAL </t>
  </si>
  <si>
    <t>010112319001 FRACCIONAMIENTO SIERRA VENTANA</t>
  </si>
  <si>
    <t>010112320020 FRACCIONAMIENTO SIERRA VENTANA</t>
  </si>
  <si>
    <t>010112340001 FRACCIONAMIENTO SIERRA VENTANA</t>
  </si>
  <si>
    <t>010112343002 FRACCIONAMIENTO SIERRA VENTANA</t>
  </si>
  <si>
    <t>010112343003 FRACCIONAMIENTO SIERRA VENTANA</t>
  </si>
  <si>
    <t>010112343004 FRACCIONAMIENTO SIERRA VENTANA</t>
  </si>
  <si>
    <t>010112343005 FRACCIONAMIENTO SIERRA VENTANA</t>
  </si>
  <si>
    <t>010112541001 COLONIA TECNOLOGICO</t>
  </si>
  <si>
    <t>010112056001 COLONIA JUNTA LOCAL DE CAMINOS (CAMINERA)</t>
  </si>
  <si>
    <t>010112065004 COLONIA JUNTA LOCAL DE CAMINOS (CAMINERA)</t>
  </si>
  <si>
    <t>010112057017 COLONIA JUNTA LOCAL DE CAMINOS (CAMINERA)</t>
  </si>
  <si>
    <t>010112061022 COLONIA JUNTA LOCAL DE CAMINOS (CAMINERA)</t>
  </si>
  <si>
    <t>010112060006 COLONIA JUNTA LOCAL DE CAMINOS (CAMINERA)</t>
  </si>
  <si>
    <t>010112055001 COLONIA JUNTA LOCAL DE CAMINOS (CAMINERA)</t>
  </si>
  <si>
    <t>010112510001 FRACCIONAMIENTO FUEGO NUEVO</t>
  </si>
  <si>
    <t>010112128003 COLONIA LÁZARO CÁRDENAS</t>
  </si>
  <si>
    <t>010112049025 COLONIA LÁZARO CÁRDENAS</t>
  </si>
  <si>
    <t>010112076002 COLONIA LÁZARO CÁRDENAS</t>
  </si>
  <si>
    <t>010112072008 COLONIA LÁZARO CÁRDENAS</t>
  </si>
  <si>
    <t>010112092016 COLONIA LÁZARO CÁRDENAS</t>
  </si>
  <si>
    <t>010112943001 UNIDAD HABITACIONAL LOMAS DE SANTANDER</t>
  </si>
  <si>
    <t>010112944001 UNIDAD HABITACIONAL LOMAS DE SANTANDER</t>
  </si>
  <si>
    <t>010112057019 COLONIA JUNTA LOCAL DE CAMINOS (CAMINERA)</t>
  </si>
  <si>
    <t>010112163001 COLONIA HÉROES NACOZARI</t>
  </si>
  <si>
    <t>010112341045 FRACCIONAMIENTO SIERRA VENTANA</t>
  </si>
  <si>
    <t>010112061041 COLONIA JUNTA LOCAL DE CAMINOS (CAMINERA)</t>
  </si>
  <si>
    <t>010112510002 FRACCIONAMIENTO FUEGO NUEVO</t>
  </si>
  <si>
    <t>010132078001 COLONIA VAMOS TAMAULIPAS</t>
  </si>
  <si>
    <t>010132079001 COLONIA VAMOS TAMAULIPAS</t>
  </si>
  <si>
    <t>010132083002 COLONIA VAMOS TAMAULIPAS</t>
  </si>
  <si>
    <t>010113140031 COLONIA INDUSTRIAL</t>
  </si>
  <si>
    <t>010113958049 FRACCIONAMIENTO PRADERAS DE LA VICTORIA (SAN MARCOS)</t>
  </si>
  <si>
    <t>010113958050 FRACCIONAMIENTO PRADERAS DE LA VICTORIA (SAN MARCOS)</t>
  </si>
  <si>
    <t>010113028003 COLONIA JOSÉ LÓPEZ PORTILLO</t>
  </si>
  <si>
    <t>010113210003 COLONIA LIBERTAD</t>
  </si>
  <si>
    <t>010113210004 COLONIA LIBERTAD</t>
  </si>
  <si>
    <t>010113210005 COLONIA LIBERTAD</t>
  </si>
  <si>
    <t>010113220001 COLONIA LIBERTAD</t>
  </si>
  <si>
    <t>010113220002 COLONIA LIBERTAD</t>
  </si>
  <si>
    <t>010113220003 COLONIA LIBERTAD</t>
  </si>
  <si>
    <t>010113220004 COLONIA LIBERTAD</t>
  </si>
  <si>
    <t>010113201215 COLONIA LIBERTAD</t>
  </si>
  <si>
    <t>010113927001 CONJUNTO HABITACIONAL COLINAS DEL VALLE</t>
  </si>
  <si>
    <t>010113920001 CONJUNTO HABITACIONAL COLINAS DEL VALLE</t>
  </si>
  <si>
    <t>010113917001 CONJUNTO HABITACIONAL COLINAS DEL VALLE</t>
  </si>
  <si>
    <t>010113201196 COLONIA BUROCRATAS MUNICIPALES II</t>
  </si>
  <si>
    <t>010113201197 COLONIA BUROCRATAS MUNICIPALES II</t>
  </si>
  <si>
    <t>010113320023 FRACCIONAMIENTO CERRADA LOS OLIVOS 2 ETAPA</t>
  </si>
  <si>
    <t>010113320024 FRACCIONAMIENTO CERRADA LOS OLIVOS 2 ETAPA</t>
  </si>
  <si>
    <t>010113320025 FRACCIONAMIENTO CERRADA LOS OLIVOS 2 ETAPA</t>
  </si>
  <si>
    <t>010113324048 FRACCIONAMIENTO CERRADA LOS OLIVOS 2 ETAPA</t>
  </si>
  <si>
    <t>010113129015 COLONIA AMPLIACION INDUSTRIAL</t>
  </si>
  <si>
    <t>010113129001 COLONIA AMPLIACION INDUSTRIAL</t>
  </si>
  <si>
    <t>010113131001 FRACCIONAMIENTO INDUSTRIAL</t>
  </si>
  <si>
    <t>010113248018 COLONIA LIBERTAD</t>
  </si>
  <si>
    <t>010113194068 FRACCIONAMIENTO AMPLIACIÓN INDUSTRIAL</t>
  </si>
  <si>
    <t>010113136020 FRACCIONAMIENTO INDUSTRIAL</t>
  </si>
  <si>
    <t>010113978001 FRACCIONAMIENTO COLINAS DE SAN ROBERTO</t>
  </si>
  <si>
    <t>010113248024 COLONIA LIBERTAD</t>
  </si>
  <si>
    <t>010114563014 FRACCIONAMIENTO HACIENDAS DEL BOSQUE</t>
  </si>
  <si>
    <t>010114539002 FRACCIONAMIENTO AMPLIACIÓN VILLARREAL</t>
  </si>
  <si>
    <t>010114565001 FRACCIONAMIENTO HACIENDAS DEL BOSQUE</t>
  </si>
  <si>
    <t>010114583001 FRACCIONAMIENTO HACIENDAS DEL BOSQUE</t>
  </si>
  <si>
    <t>010114560001 FRACCIONAMIENTO HACIENDAS DEL BOSQUE</t>
  </si>
  <si>
    <t>010114325007 COLONIA DEL SUTSPET</t>
  </si>
  <si>
    <t>010114326016 COLONIA DEL SUTSPET</t>
  </si>
  <si>
    <t>010114327002 COLONIA DEL SUTSPET</t>
  </si>
  <si>
    <t>010114603001 COLONIA VAMOS TAMAULIPAS ORIENTE</t>
  </si>
  <si>
    <t>010114603008 COLONIA VAMOS TAMAULIPAS ORIENTE</t>
  </si>
  <si>
    <t>010114645024 COLONIA VAMOS TAMAULIPAS ORIENTE</t>
  </si>
  <si>
    <t>010114645023 COLONIA VAMOS TAMAULIPAS ORIENTE</t>
  </si>
  <si>
    <t>010114646018 COLONIA VAMOS TAMAULIPAS ORIENTE</t>
  </si>
  <si>
    <t>010114646019 COLONIA VAMOS TAMAULIPAS ORIENTE</t>
  </si>
  <si>
    <t>010114641021 FRACCIONAMIENTO SANTA MARTHA</t>
  </si>
  <si>
    <t>010114641031 FRACCIONAMIENTO SANTA MARTHA</t>
  </si>
  <si>
    <t>010114182018 FRACCIONAMIENTO ARBOLEDAS</t>
  </si>
  <si>
    <t>010114182034 FRACCIONAMIENTO ARBOLEDAS</t>
  </si>
  <si>
    <t>010114505025 FRACCIONAMIENTO ARBOLEDAS</t>
  </si>
  <si>
    <t>010114506001 FRACCIONAMIENTO ARBOLEDAS</t>
  </si>
  <si>
    <t>010114687013 FRACCIONAMIENTO RESIDENCIAL LAS TORRES</t>
  </si>
  <si>
    <t>010114330021 FRACCIONAMIENTO VALLE ESCONDIDO (2,617.56 M2 QUE COSNTITUYEN LA VIALIDAD)</t>
  </si>
  <si>
    <t>010114330011 FRACCIONAMIENTO VALLE ESCONDIDO (2,617.56 M2 QUE COSNTITUYEN LA VIALIDAD)</t>
  </si>
  <si>
    <t>010114330001 FRACCIONAMIENTO VALLE ESCONDIDO (2,617.56 M2 QUE COSNTITUYEN LA VIALIDAD)</t>
  </si>
  <si>
    <t>010114701001 UNIDAD HABITACIONAL PEDRO JOSE MENDEZ FOVISSSTE</t>
  </si>
  <si>
    <t>010114702001 UNIDAD HABITACIONAL PEDRO JOSE MENDEZ FOVISSSTE</t>
  </si>
  <si>
    <t>010114371007 UNIDAD HABITACIONAL PEDRO JOSE MENDEZ FOVISSSTE</t>
  </si>
  <si>
    <t>010114370007 UNIDAD HABITACIONAL PEDRO JOSE MENDEZ FOVISSSTE</t>
  </si>
  <si>
    <t>010114414001 UNIDAD HABITACIONAL PEDRO JOSE MENDEZ FOVISSSTE</t>
  </si>
  <si>
    <t>010114414003 UNIDAD HABITACIONAL PEDRO JOSE MENDEZ FOVISSSTE</t>
  </si>
  <si>
    <t>010114379025 UNIDAD HABITACIONAL PEDRO JOSE MENDEZ FOVISSSTE</t>
  </si>
  <si>
    <t>010114382025 UNIDAD HABITACIONAL PEDRO JOSE MENDEZ FOVISSSTE</t>
  </si>
  <si>
    <t>010114378027 UNIDAD HABITACIONAL PEDRO JOSE MENDEZ FOVISSSTE</t>
  </si>
  <si>
    <t>010114383026 UNIDAD HABITACIONAL PEDRO JOSE MENDEZ FOVISSSTE</t>
  </si>
  <si>
    <t>010114703001 UNIDAD HABITACIONAL PEDRO JOSE MENDEZ FOVISSSTE</t>
  </si>
  <si>
    <t>010114704001 UNIDAD HABITACIONAL PEDRO JOSE MENDEZ FOVISSSTE</t>
  </si>
  <si>
    <t>010114705001 UNIDAD HABITACIONAL PEDRO JOSE MENDEZ FOVISSSTE</t>
  </si>
  <si>
    <t>010114706001 UNIDAD HABITACIONAL PEDRO JOSE MENDEZ FOVISSSTE</t>
  </si>
  <si>
    <t>010114707001 UNIDAD HABITACIONAL PEDRO JOSE MENDEZ FOVISSSTE</t>
  </si>
  <si>
    <t>010114708001 UNIDAD HABITACIONAL PEDRO JOSE MENDEZ FOVISSSTE</t>
  </si>
  <si>
    <t>010114695015 FRACCIONAMIENTO SANTO TOMAS</t>
  </si>
  <si>
    <t xml:space="preserve">010114182015 FRACCIONAMIENTO VILLARREAL </t>
  </si>
  <si>
    <t>010114526003 FRACCIONAMIENTO  SAN LUISITO</t>
  </si>
  <si>
    <t>010114563001 FRACCIONAMIENTO HACIENDA DEL BOSQUE</t>
  </si>
  <si>
    <t>010114596037 COLONIA VAMOS TAMAULIPAS ORIENTE</t>
  </si>
  <si>
    <t>010114533020 CONJUNTO HABITACIONAL LOS MEZQUITES</t>
  </si>
  <si>
    <t>010114695016 FRACCIONAMIENTO SANTO TOMAS</t>
  </si>
  <si>
    <t>010114542023 FRACCIONAMIENTO LAS MISIONES</t>
  </si>
  <si>
    <t>010115630015 CONJUNTO HABITACIONAL VILLAS DEL BOSQUE</t>
  </si>
  <si>
    <t>010115629021 CONJUNTO HABITACIONAL VILLAS DEL BOSQUE</t>
  </si>
  <si>
    <t>010115628085 CONJUNTO HABITACIONAL VILLAS DEL BOSQUE</t>
  </si>
  <si>
    <t>010115627079 CONJUNTO HABITACIONAL VILLAS DEL BOSQUE</t>
  </si>
  <si>
    <t>010115478001 COLONIA AMPLIACION ADOLFO LOPEZ MATEOS</t>
  </si>
  <si>
    <t>010115712001 COLONIA MARIANO MATAMOROS I ETAPA</t>
  </si>
  <si>
    <t>010115710001 COLONIA MARIANO MATAMOROS I ETAPA</t>
  </si>
  <si>
    <t>010115711001 COLONIA MARIANO MATAMOROS I ETAPA</t>
  </si>
  <si>
    <t>010115434001 COLONIA IGNACIO ZARAGOZA</t>
  </si>
  <si>
    <t>010115434002 COLONIA IGNACIO ZARAGOZA</t>
  </si>
  <si>
    <t>010115420053 COLONIA IGNACIO ZARAGOZA</t>
  </si>
  <si>
    <t>010115420056 COLONIA IGNACIO ZARAGOZA</t>
  </si>
  <si>
    <t>010115620001 FRACCIONAMIENTO NUEVA AURORA</t>
  </si>
  <si>
    <t>010115632001 FRACCIONAMIENTO NUEVA AURORA</t>
  </si>
  <si>
    <t>010115660033 FRACCIONAMIENTO DEL SOL</t>
  </si>
  <si>
    <t>010115004017 FRACCIONAMIENTO LOS NARANJOS</t>
  </si>
  <si>
    <t>010115523001 FRACCIONAMIENTO ING. CARLOS ANZURES (AGRONOMOS)</t>
  </si>
  <si>
    <t>010115653001 FRACCIONAMIENTO ING. CARLOS ANZURES (AGRONOMOS)</t>
  </si>
  <si>
    <t>010115510001 FRACCIONAMIENTO ING. CARLOS ANZURES (AGRONOMOS)</t>
  </si>
  <si>
    <t>010115126016 FRACCIONAMIENTO RESIDENCIAL DEL VALLE</t>
  </si>
  <si>
    <t>010115041005 FRACCIONAMIENTO VILLA JARDÍN</t>
  </si>
  <si>
    <t>010115043001 FRACCIONAMIENTO LAS HUERTAS</t>
  </si>
  <si>
    <t>010115130001 FRACCIONAMIENTO RESIDENCIAL DEL VALLE</t>
  </si>
  <si>
    <t>010116332001 COLONIA SATELITE</t>
  </si>
  <si>
    <t>010116332002 COLONIA SATELITE</t>
  </si>
  <si>
    <t>010116232031 COLONIA SATELITE</t>
  </si>
  <si>
    <t>010116333017 COLONIA SATELITE</t>
  </si>
  <si>
    <t>010116216001 COLONIA VICENTE GUERRERO</t>
  </si>
  <si>
    <t>010116055001 COLONIA VICTORIA</t>
  </si>
  <si>
    <t>010116149002 COLONIA VICTORIA</t>
  </si>
  <si>
    <t>010116797001 COLONIA CORREGIDORA</t>
  </si>
  <si>
    <t>010116798001 COLONIA CORREGIDORA</t>
  </si>
  <si>
    <t>010116178001 COLONIA AMPLIACION EMILIO PORTES GIL</t>
  </si>
  <si>
    <t>010116149016 COLONIA VICTORIA</t>
  </si>
  <si>
    <t xml:space="preserve">010116227046 COLONIA EMILIANO ZAPATA </t>
  </si>
  <si>
    <t>010116264001 L TRANSITO PESADO ESQ CARRERA V MATAMOROS</t>
  </si>
  <si>
    <t>010117126002 COLONIA AMPLIACION LINDA VISTA II</t>
  </si>
  <si>
    <t>010117148017 COLONIA AMPLIACION LINDA VISTA II</t>
  </si>
  <si>
    <t xml:space="preserve">010117151002 COLONIA LINDA VISTA </t>
  </si>
  <si>
    <t>010117030001 COLONIA PRIMAVERA</t>
  </si>
  <si>
    <t>010117030019 COLONIA PRIMAVERA</t>
  </si>
  <si>
    <t>010117030020 COLONIA PRIMAVERA</t>
  </si>
  <si>
    <t>010117546001 COLONIA SERVIDOR PUBLICO</t>
  </si>
  <si>
    <t>010117542001 COLONIA SERVIDOR PUBLICO</t>
  </si>
  <si>
    <t>010117545001 COLONIA SERVIDOR PUBLICO</t>
  </si>
  <si>
    <t>010117722002 FRACCIONAMIENTO UNIDOS AVANZAMOS</t>
  </si>
  <si>
    <t>010117722001 FRACCIONAMIENTO UNIDOS AVANZAMOS</t>
  </si>
  <si>
    <t xml:space="preserve">010117151001 COLONIA LINDA VISTA </t>
  </si>
  <si>
    <t>010118603001 FRACCIONAMIENTO RINCON DE LAS MONTAÑAS</t>
  </si>
  <si>
    <t>010118603002 FRACCIONAMIENTO RINCON DE LAS MONTAÑAS</t>
  </si>
  <si>
    <t>010118602001 FRACCIONAMIENTO RINCON DE LAS MONTAÑAS</t>
  </si>
  <si>
    <t>010118581001 COLONIA HUERTA SAN JAVIER</t>
  </si>
  <si>
    <t>010118523001 COLONIA LA GLORIA OTE</t>
  </si>
  <si>
    <t>010118519001 COLONIA LA GLORIA OTE</t>
  </si>
  <si>
    <t>010118632016 FRACCIONAMIENTO LOS PRADOS</t>
  </si>
  <si>
    <t>010118632017 FRACCIONAMIENTO LOS PRADOS</t>
  </si>
  <si>
    <t>010118016001 COLONIA CHAPULTEPEC</t>
  </si>
  <si>
    <t>010118515001 COLONIA CHAPULTEPEC V</t>
  </si>
  <si>
    <t>010118160001 COLONIA CHAPULTEPEC V</t>
  </si>
  <si>
    <t>010118498001 COLONIA CHAPULTEPEC V</t>
  </si>
  <si>
    <t>010118199001 COLONIA CHAPULTEPEC V</t>
  </si>
  <si>
    <t>010118691013 FRACCIONAMIENTO NORIA DE LOS ANGELES</t>
  </si>
  <si>
    <t>010118690001 FRACCIONAMIENTO NORIA DE LOS ANGELES</t>
  </si>
  <si>
    <t>010118693001 FRACCIONAMIENTO NORIA DE LOS ANGELES</t>
  </si>
  <si>
    <t>010118693002 FRACCIONAMIENTO NORIA DE LOS ANGELES</t>
  </si>
  <si>
    <t>010118696104 FRACCIONAMIENTO PASEO DE LOS OLIVOS IV</t>
  </si>
  <si>
    <t>010118697002 FRACCIONAMIENTO PASEO DE LOS OLIVOS IV</t>
  </si>
  <si>
    <t>010118696031 FRACCIONAMIENTO PASEO DE LOS OLIVOS IV</t>
  </si>
  <si>
    <t>010118696069 FRACCIONAMIENTO PASEO DE LOS OLIVOS IV</t>
  </si>
  <si>
    <t>010118696055 FRACCIONAMIENTO PASEO DE LOS OLIVOS IV</t>
  </si>
  <si>
    <t>010118699001 FRACCIONAMIENTO PASEO DE LOS OLIVOS IV</t>
  </si>
  <si>
    <t>010118700022 FRACCIONAMIENTO PASEO DE LOS OLIVOS IV</t>
  </si>
  <si>
    <t>010118700055 FRACCIONAMIENTO PASEO DE LOS OLIVOS IV</t>
  </si>
  <si>
    <t>010118697001 FRACCIONAMIENTO PASEO DE LOS OLIVOS IV</t>
  </si>
  <si>
    <t>010118698001 FRACCIONAMIENTO PASEO DE LOS OLIVOS IV</t>
  </si>
  <si>
    <t>010118665040 FRACCIONAMIENTO PASEO DE LOS OLIVOS II</t>
  </si>
  <si>
    <t>010118666001 FRACCIONAMIENTO PASEO DE LOS OLIVOS II</t>
  </si>
  <si>
    <t>010118665055 FRACCIONAMIENTO PASEO DE LOS OLIVOS II</t>
  </si>
  <si>
    <t>010118665054 FRACCIONAMIENTO PASEO DE LOS OLIVOS II</t>
  </si>
  <si>
    <t>010118652001 FRACCIONAMIENTO PRIVADA CANTERAS</t>
  </si>
  <si>
    <t>010118651008 FRACCIONAMIENTO PRIVADA CANTERAS</t>
  </si>
  <si>
    <t>010118651027 FRACCIONAMIENTO PRIVADA CANTERAS</t>
  </si>
  <si>
    <t>010118667001 FRACCIONAMIENTO PASEO DE LOS OLIVOS III</t>
  </si>
  <si>
    <t>010118680016 FRACCIONAMIENTO PASEO DE LOS OLIVOS III</t>
  </si>
  <si>
    <t>010118673015 FRACCIONAMIENTO PASEO DE LOS OLIVOS III</t>
  </si>
  <si>
    <t>010119033001 COLONIA IGNACIO ALLENDE</t>
  </si>
  <si>
    <t>010119042011 COLONIA 12 DE SEPTIEMBRE</t>
  </si>
  <si>
    <t>010119563011 COLONIA AMPLIACION PEDRO SOSA (LA LOMA)</t>
  </si>
  <si>
    <t>010119010001 COLONIA SOP</t>
  </si>
  <si>
    <t>010119003011 COLONIA SOP</t>
  </si>
  <si>
    <t>010119013009 COLONIA SOP</t>
  </si>
  <si>
    <t>010119014001 COLONIA SOP</t>
  </si>
  <si>
    <t>010119102001 COLONIA ESFUERZO POPULAR</t>
  </si>
  <si>
    <t>010119121055 COLONIA ESFUERZO POPULAR</t>
  </si>
  <si>
    <t>010119031002 COLONIA IGNACIO ALLENDE</t>
  </si>
  <si>
    <t>010119037001 COLONIA IGNACIO ALLENDE</t>
  </si>
  <si>
    <t>010119051010 FRACCIONAMIENTO RINCONADA LAS HACIENDAS</t>
  </si>
  <si>
    <t>010119067001 COLONIA LAS BRISAS</t>
  </si>
  <si>
    <t>010119066001 COLONIA LAS BRISAS</t>
  </si>
  <si>
    <t>010119050001 FRACCIONAMIENTO RINCONADA LAS HACIENDAS</t>
  </si>
  <si>
    <t>010119016002 COLONIA SOP</t>
  </si>
  <si>
    <t>010119564048 COLONIA AMPLIACION PEDRO SOSA (LA LOMA)</t>
  </si>
  <si>
    <t>010119646001 FRACCIONAMIENTO LOMAS DE GUADALUPE</t>
  </si>
  <si>
    <t>010119602001 FRACCIONAMIENTO LOMAS DE GUADALUPE</t>
  </si>
  <si>
    <t>010119627001 FRACCIONAMIENTO LOMAS DE GUADALUPE</t>
  </si>
  <si>
    <t>010119647044 FRACCIONAMIENTO LOMAS DE GUADALUPE</t>
  </si>
  <si>
    <t>010119655013 FRACCIONAMIENTO MISIÓN DEL PALMAR</t>
  </si>
  <si>
    <t>010119656001 FRACCIONAMIENTO MISIÓN DEL PALMAR</t>
  </si>
  <si>
    <t>010123093001  AMPLIACIÓN ALTAS CUMBRES</t>
  </si>
  <si>
    <t>010123073004 COLONIA ALTAS CUMBRES</t>
  </si>
  <si>
    <t>010123034003 COLONIA SAN MARCOS II</t>
  </si>
  <si>
    <t>010123034001 COLONIA SAN MARCOS II</t>
  </si>
  <si>
    <t>010123029010 COLONIA SAN MARCOS II</t>
  </si>
  <si>
    <t>010123029005 COLONIA SAN MARCOS II</t>
  </si>
  <si>
    <t>010124052001 COLONIA ESTUDIANTIL</t>
  </si>
  <si>
    <t>010124049001 COLONIA ESTUDIANTIL</t>
  </si>
  <si>
    <t>010124272001 COLONIA SIMON TORRES</t>
  </si>
  <si>
    <t>010124272002 COLONIA SIMON TORRES</t>
  </si>
  <si>
    <t>010124372001 COLONIA SIMON TORRES</t>
  </si>
  <si>
    <t>010124300001 COLONIA AMPLIACION LUIS ECHEVERRIA ALVAREZ</t>
  </si>
  <si>
    <t>010124342001 COLONIA AMPLIACION LUIS ECHEVERRIA ALVAREZ</t>
  </si>
  <si>
    <t>010124336001 COLONIA AMPLIACION LUIS ECHEVERRIA ALVAREZ</t>
  </si>
  <si>
    <t>010124334001 COLONIA AMPLIACION LUIS ECHEVERRIA ALVAREZ</t>
  </si>
  <si>
    <t>010124103001 COLONIA AMPLIACION LUIS ECHEVERRIA ALVAREZ</t>
  </si>
  <si>
    <t xml:space="preserve">010124004023 COLOLONIA TAMATAN </t>
  </si>
  <si>
    <t>010125131001 COLONIA LA ESPERANZA</t>
  </si>
  <si>
    <t>010125140001 COLONIA LA ESPERANZA</t>
  </si>
  <si>
    <t>010127072001 FRACCIONAMIENTO SCT (UNIDAD SINDICAL)</t>
  </si>
  <si>
    <t>010127073001 FRACCIONAMIENTO SCT (UNIDAD SINDICAL)</t>
  </si>
  <si>
    <t>010127710003 COLONIA AREA DE PAJARITOS  JUAN DIEGO TERCERO</t>
  </si>
  <si>
    <t>010127116001 COLONIA NUEVO SANTANDER</t>
  </si>
  <si>
    <t>010127112001 COLONIA NUEVO SANTANDER</t>
  </si>
  <si>
    <t>010127703001 FRACCIONAMIENTO CANACO</t>
  </si>
  <si>
    <t>010127721013 FRACCIONAMIENTO VALLE DEL MAGISTERIO</t>
  </si>
  <si>
    <t>010127564001 COLONIA NUEVO AMANECER</t>
  </si>
  <si>
    <t>010127564009 COLONIA NUEVO AMANECER</t>
  </si>
  <si>
    <t>010127564011 COLONIA NUEVO AMANECER</t>
  </si>
  <si>
    <t>010127564010 COLONIA NUEVO AMANECER</t>
  </si>
  <si>
    <t>010127415002 COLONIA AZTECA I</t>
  </si>
  <si>
    <t>010127490001 COLONIA AZTECA I</t>
  </si>
  <si>
    <t>010128073020 FRACCIONAMIENTO RESIDENCIAL SANTA REGINA</t>
  </si>
  <si>
    <t>010128076004 FRACCIONAMIENTO RESIDENCIAL SANTA REGINA</t>
  </si>
  <si>
    <t>010128045010 FRACCIONAMIENTO PUERTA DE HIERRO PRIVADA PONIENTE</t>
  </si>
  <si>
    <t>010128045011 FRACCIONAMIENTO PUERTA DE HIERRO PRIVADA PONIENTE</t>
  </si>
  <si>
    <t>010128045002 FRACCIONAMIENTO PUERTA DE HIERRO PRIVADA PONIENTE</t>
  </si>
  <si>
    <t>010128045012 FRACCIONAMIENTO PUERTA DE HIERRO PRIVADA PONIENTE</t>
  </si>
  <si>
    <t>010128045005 FRACCIONAMIENTO PUERTA DE HIERRO PRIVADA PONIENTE</t>
  </si>
  <si>
    <t>010128045006 FRACCIONAMIENTO PUERTA DE HIERRO PRIVADA PONIENTE</t>
  </si>
  <si>
    <t>010128045007 FRACCIONAMIENTO PUERTA DE HIERRO PRIVADA PONIENTE</t>
  </si>
  <si>
    <t>010114242001 FRACCIONAMIENTO MÉXICO</t>
  </si>
  <si>
    <t>010114242063 FRACCIONAMIENTO MÉXICO</t>
  </si>
  <si>
    <t>010127710001 EJIDO GUADALUPE VICTORIA AREA DE PAJARITOS</t>
  </si>
  <si>
    <t>010114247002 FRACCIONAMIENTO MÉXICO</t>
  </si>
  <si>
    <t>010114247001 FRACCIONAMIENTO MÉXICO</t>
  </si>
  <si>
    <t>010114247003 FRACCIONAMIENTO MÉXICO</t>
  </si>
  <si>
    <t>010109001075 FRACCIONAMIENTO ZOZAYA</t>
  </si>
  <si>
    <t>010801143006 FRACCIONAMIENTO ECOLOGICO AGROPECUARIO PIE DE LA MONTAÑA</t>
  </si>
  <si>
    <t>010114226001 FRACCIONAMIENTO MÉXICO</t>
  </si>
  <si>
    <t>010128045004 FRACCIONAMIENTO PUERTA DE HIERRO PRIVADA PONIENTE</t>
  </si>
  <si>
    <t>010128045008 FRACCIONAMIENTO PUERTA DE HIERRO PRIVADA PONIENTE</t>
  </si>
  <si>
    <t>010128045003 FRACCIONAMIENTO PUERTA DE HIERRO PRIVADA PONIENTE</t>
  </si>
  <si>
    <t>010128033019 FRACCIONAMIENTO PUERTA DE HIERRO PRIVADA SUR</t>
  </si>
  <si>
    <t xml:space="preserve">010131023039 FRACCIONAMIENTO LOS CRISTALES </t>
  </si>
  <si>
    <t xml:space="preserve">010131022040 FRACCIONAMIENTO LOS CRISTALES </t>
  </si>
  <si>
    <t xml:space="preserve">010131023026 FRACCIONAMIENTO LOS CRISTALES </t>
  </si>
  <si>
    <t xml:space="preserve">010131023014 FRACCIONAMIENTO LOS CRISTALES </t>
  </si>
  <si>
    <t xml:space="preserve">010131022001 FRACCIONAMIENTO LOS CRISTALES </t>
  </si>
  <si>
    <t xml:space="preserve">010131022015 FRACCIONAMIENTO LOS CRISTALES </t>
  </si>
  <si>
    <t xml:space="preserve">010131022027 FRACCIONAMIENTO LOS CRISTALES </t>
  </si>
  <si>
    <t>010132121001 CONJUNTO HABITACIONAL ENFERMERAS</t>
  </si>
  <si>
    <t>010132120001 CONJUNTO HABITACIONAL ENFERMERAS</t>
  </si>
  <si>
    <t>010132065013 COLONIA VAMOS TAMAULIPAS</t>
  </si>
  <si>
    <t>010132090002 COLONIA VAMOS TAMAULIPAS</t>
  </si>
  <si>
    <t>010132267027 FRACCIONAMIENTO PRIVADA SAN IGNACIO</t>
  </si>
  <si>
    <t>010132267008 FRACCIONAMIENTO PRIVADA SAN IGNACIO</t>
  </si>
  <si>
    <t>010132268024 FRACCIONAMIENTO PRIVADA SAN IGNACIO</t>
  </si>
  <si>
    <t>010132268008 FRACCIONAMIENTO PRIVADA SAN IGNACIO</t>
  </si>
  <si>
    <t>010132381047 FRACCIONAMIENTO RINCÓN DEL VALLE ELITE</t>
  </si>
  <si>
    <t>010132382001 FRACCIONAMIENTO RINCÓN DEL VALLE ELITE</t>
  </si>
  <si>
    <t>010132307025 FRACCIONAMIENTO RINCÓN DEL VALLE II</t>
  </si>
  <si>
    <t>010132305025 FRACCIONAMIENTO RINCÓN DEL VALLE II</t>
  </si>
  <si>
    <t>010132306001 FRACCIONAMIENTO RINCÓN DEL VALLE II</t>
  </si>
  <si>
    <t>010132304001 FRACCIONAMIENTO RINCÓN DEL VALLE II</t>
  </si>
  <si>
    <t>010132270025 FRACCIONAMIENTO RINCÓN DEL VALLE</t>
  </si>
  <si>
    <t>010132271026 FRACCIONAMIENTO RINCÓN DEL VALLE</t>
  </si>
  <si>
    <t>010132272005 FRACCIONAMIENTO RINCÓN DEL VALLE</t>
  </si>
  <si>
    <t>010132122001 CONJUNTO HABITACIONAL ENFERMERAS</t>
  </si>
  <si>
    <t>010133046001 COLONIA LUCIO BLANCO</t>
  </si>
  <si>
    <t>010133076001 COLONIA EMILIO CABALLERO</t>
  </si>
  <si>
    <t>010133075001 COLONIA EMILIO CABALLERO</t>
  </si>
  <si>
    <t>010133076002 COLONIA EMILIO CABALLERO</t>
  </si>
  <si>
    <t>010133076003 COLONIA EMILIO CABALLERO</t>
  </si>
  <si>
    <t>010135003041 PARQUE INDUSTRIAL NUEVO SANTANDER SECC. II</t>
  </si>
  <si>
    <t xml:space="preserve">010135003040 PARQUE INDUSTRIAL NUEVO SANTANDER SECC. II FUTURO 5 </t>
  </si>
  <si>
    <t>010135006001 PARQUE CIENTIFICO Y TECNOLOGICO</t>
  </si>
  <si>
    <t>010137001008 FRACCIONAMIENTO AGROPECUARIO LOS OLIVOS I</t>
  </si>
  <si>
    <t>010137118055 FRACCIONAMIENTO RESIDENCIAL LOS CANARIOS</t>
  </si>
  <si>
    <t>010137119050 FRACCIONAMIENTO RESIDENCIAL LOS CANARIOS</t>
  </si>
  <si>
    <t>010137121001 FRACCIONAMIENTO RESIDENCIAL LOS CANARIOS</t>
  </si>
  <si>
    <t>010137127001 FRACCIONAMIENTO RESIDENCIAL LOS CANARIOS</t>
  </si>
  <si>
    <t>010137006016 FRACCIONAMIENTO AGROPECUARIO LOS OLIVOS I</t>
  </si>
  <si>
    <t xml:space="preserve">000001051394 EJIDO BENITO JUAREZ </t>
  </si>
  <si>
    <t>000001091327 VIALIDAD DEL FRACCIONAMIENTO "PASEO DE LAS AMERICAS"</t>
  </si>
  <si>
    <t>000001090364 VIALIDAD DEL FRACCIONAMIENTO "PASEO DE LAS AMERICAS"</t>
  </si>
  <si>
    <t>000001091226 AL NORTE DE LA CIUDAD</t>
  </si>
  <si>
    <t>000001091227 FRACCIONAMIENTO AMPLIACIÓN VILLARREAL</t>
  </si>
  <si>
    <t xml:space="preserve">000001091708 COLONIA VAMOS TAMAULIPAS </t>
  </si>
  <si>
    <t>000001092040 AV LAZARO CARDENAS Y CALLE COAHUILA</t>
  </si>
  <si>
    <t>000001092053  EJIDO GUADALUPE VICTORIA</t>
  </si>
  <si>
    <t>000001092522 CARRETERA VIC-MTY KM 5.7 LADO PONIENTE DIV. 1</t>
  </si>
  <si>
    <t>000001092523 CARRETERA VIC-MTY KM 5.7 LADO PONIENTE DIV. 2</t>
  </si>
  <si>
    <t xml:space="preserve">000001092525 CARRETERA FEDERAL 85 MEXICO-LAREDO KM 5 + 700 </t>
  </si>
  <si>
    <t>000001092722 DIV. DEL GOLFO AL ESTE DE LA COL. ENRIQUE CARDENAS</t>
  </si>
  <si>
    <t>000001101403 ARTICULO 16A CALLE PINO SUAREZ ESQ. AV. JOSE SULEIMAN CHAGNON</t>
  </si>
  <si>
    <t>MOVIMIENTO RED TAMAULIPECA</t>
  </si>
  <si>
    <t>GAMC520214MTSYJR01</t>
  </si>
  <si>
    <t>EJIDO ESTACION CARBONEROS</t>
  </si>
  <si>
    <t>LAMG670312MTSRRL09</t>
  </si>
  <si>
    <t>ANA MARIA VEGA HERNANDEZ</t>
  </si>
  <si>
    <t>VEHA420414MTSGRN01</t>
  </si>
  <si>
    <t>FISMUN 2015</t>
  </si>
  <si>
    <t>FISMUN 2014</t>
  </si>
  <si>
    <t>200020</t>
  </si>
  <si>
    <t>200019</t>
  </si>
  <si>
    <t>200022</t>
  </si>
  <si>
    <t>200021</t>
  </si>
  <si>
    <t>360002</t>
  </si>
  <si>
    <t>050039</t>
  </si>
  <si>
    <t>090008</t>
  </si>
  <si>
    <t>090006</t>
  </si>
  <si>
    <t>090003</t>
  </si>
  <si>
    <t>090005</t>
  </si>
  <si>
    <t>090004</t>
  </si>
  <si>
    <t>090007</t>
  </si>
  <si>
    <t>240003</t>
  </si>
  <si>
    <t>100002</t>
  </si>
  <si>
    <t>100001</t>
  </si>
  <si>
    <t>200026</t>
  </si>
  <si>
    <t>200024</t>
  </si>
  <si>
    <t>200025</t>
  </si>
  <si>
    <t>200029</t>
  </si>
  <si>
    <t>200027</t>
  </si>
  <si>
    <t>200028</t>
  </si>
  <si>
    <t>200034</t>
  </si>
  <si>
    <t>200032</t>
  </si>
  <si>
    <t>200030</t>
  </si>
  <si>
    <t>200031</t>
  </si>
  <si>
    <t>150010</t>
  </si>
  <si>
    <t>070002</t>
  </si>
  <si>
    <t>890001</t>
  </si>
  <si>
    <t>370005</t>
  </si>
  <si>
    <t>370007</t>
  </si>
  <si>
    <t>370014</t>
  </si>
  <si>
    <t>370006</t>
  </si>
  <si>
    <t>370016</t>
  </si>
  <si>
    <t>370015</t>
  </si>
  <si>
    <t>370013</t>
  </si>
  <si>
    <t>370011</t>
  </si>
  <si>
    <t>370009</t>
  </si>
  <si>
    <t>370010</t>
  </si>
  <si>
    <t>370018</t>
  </si>
  <si>
    <t>370012</t>
  </si>
  <si>
    <t>370008</t>
  </si>
  <si>
    <t>370017</t>
  </si>
  <si>
    <t>390002</t>
  </si>
  <si>
    <t>390006</t>
  </si>
  <si>
    <t>390005</t>
  </si>
  <si>
    <t>390004</t>
  </si>
  <si>
    <t>390003</t>
  </si>
  <si>
    <t>470001</t>
  </si>
  <si>
    <t>370025</t>
  </si>
  <si>
    <t>370042</t>
  </si>
  <si>
    <t>370023</t>
  </si>
  <si>
    <t>370029</t>
  </si>
  <si>
    <t>370043</t>
  </si>
  <si>
    <t>370044</t>
  </si>
  <si>
    <t>370041</t>
  </si>
  <si>
    <t>370048</t>
  </si>
  <si>
    <t>370040</t>
  </si>
  <si>
    <t>370047</t>
  </si>
  <si>
    <t>370038</t>
  </si>
  <si>
    <t>370045</t>
  </si>
  <si>
    <t>370024</t>
  </si>
  <si>
    <t>370046</t>
  </si>
  <si>
    <t>370033</t>
  </si>
  <si>
    <t>370032</t>
  </si>
  <si>
    <t>370037</t>
  </si>
  <si>
    <t>370036</t>
  </si>
  <si>
    <t>370035</t>
  </si>
  <si>
    <t>370034</t>
  </si>
  <si>
    <t>370031</t>
  </si>
  <si>
    <t>370026</t>
  </si>
  <si>
    <t>370028</t>
  </si>
  <si>
    <t>370027</t>
  </si>
  <si>
    <t>370039</t>
  </si>
  <si>
    <t>370030</t>
  </si>
  <si>
    <t>370004</t>
  </si>
  <si>
    <t>370003</t>
  </si>
  <si>
    <t>370002</t>
  </si>
  <si>
    <t>370001</t>
  </si>
  <si>
    <t>390018</t>
  </si>
  <si>
    <t>390019</t>
  </si>
  <si>
    <t>390026</t>
  </si>
  <si>
    <t>390025</t>
  </si>
  <si>
    <t>390024</t>
  </si>
  <si>
    <t>390023</t>
  </si>
  <si>
    <t>390021</t>
  </si>
  <si>
    <t>390022</t>
  </si>
  <si>
    <t>390032</t>
  </si>
  <si>
    <t>390031</t>
  </si>
  <si>
    <t>390030</t>
  </si>
  <si>
    <t>390027</t>
  </si>
  <si>
    <t>390028</t>
  </si>
  <si>
    <t>390033</t>
  </si>
  <si>
    <t>390007</t>
  </si>
  <si>
    <t>390009</t>
  </si>
  <si>
    <t>390029</t>
  </si>
  <si>
    <t>390008</t>
  </si>
  <si>
    <t>390014</t>
  </si>
  <si>
    <t>390010</t>
  </si>
  <si>
    <t>390012</t>
  </si>
  <si>
    <t>390013</t>
  </si>
  <si>
    <t>390020</t>
  </si>
  <si>
    <t>390011</t>
  </si>
  <si>
    <t>390017</t>
  </si>
  <si>
    <t>390016</t>
  </si>
  <si>
    <t>050011</t>
  </si>
  <si>
    <t>490003</t>
  </si>
  <si>
    <t>490002</t>
  </si>
  <si>
    <t>370021</t>
  </si>
  <si>
    <t>370020</t>
  </si>
  <si>
    <t>370019</t>
  </si>
  <si>
    <t>370022</t>
  </si>
  <si>
    <t>370049</t>
  </si>
  <si>
    <t>370050</t>
  </si>
  <si>
    <t>370052</t>
  </si>
  <si>
    <t>370051</t>
  </si>
  <si>
    <t>370054</t>
  </si>
  <si>
    <t>370055</t>
  </si>
  <si>
    <t>370053</t>
  </si>
  <si>
    <t>350001</t>
  </si>
  <si>
    <t>580003</t>
  </si>
  <si>
    <t>350002</t>
  </si>
  <si>
    <t>350003</t>
  </si>
  <si>
    <t>800001</t>
  </si>
  <si>
    <t>620011</t>
  </si>
  <si>
    <t>050012</t>
  </si>
  <si>
    <t>150001</t>
  </si>
  <si>
    <t>620003</t>
  </si>
  <si>
    <t>620001</t>
  </si>
  <si>
    <t>760008</t>
  </si>
  <si>
    <t>760009</t>
  </si>
  <si>
    <t>170006</t>
  </si>
  <si>
    <t>170008</t>
  </si>
  <si>
    <t>170007</t>
  </si>
  <si>
    <t>710002</t>
  </si>
  <si>
    <t>170004</t>
  </si>
  <si>
    <t>230389</t>
  </si>
  <si>
    <t>710003</t>
  </si>
  <si>
    <t>890765</t>
  </si>
  <si>
    <t>100004</t>
  </si>
  <si>
    <t>120003</t>
  </si>
  <si>
    <t>120002</t>
  </si>
  <si>
    <t>120001</t>
  </si>
  <si>
    <t>480002</t>
  </si>
  <si>
    <t>860001</t>
  </si>
  <si>
    <t>860005</t>
  </si>
  <si>
    <t>860004</t>
  </si>
  <si>
    <t>860003</t>
  </si>
  <si>
    <t>860002</t>
  </si>
  <si>
    <t>490050</t>
  </si>
  <si>
    <t>490048</t>
  </si>
  <si>
    <t>490047</t>
  </si>
  <si>
    <t>490049</t>
  </si>
  <si>
    <t>490042</t>
  </si>
  <si>
    <t>490037</t>
  </si>
  <si>
    <t>490038</t>
  </si>
  <si>
    <t>490041</t>
  </si>
  <si>
    <t>490043</t>
  </si>
  <si>
    <t>490044</t>
  </si>
  <si>
    <t>490045</t>
  </si>
  <si>
    <t>490046</t>
  </si>
  <si>
    <t>490039</t>
  </si>
  <si>
    <t>490040</t>
  </si>
  <si>
    <t>920011</t>
  </si>
  <si>
    <t>920008</t>
  </si>
  <si>
    <t>920007</t>
  </si>
  <si>
    <t>920012</t>
  </si>
  <si>
    <t>920010</t>
  </si>
  <si>
    <t>920009</t>
  </si>
  <si>
    <t>920015</t>
  </si>
  <si>
    <t>920013</t>
  </si>
  <si>
    <t>920004</t>
  </si>
  <si>
    <t>920005</t>
  </si>
  <si>
    <t>920006</t>
  </si>
  <si>
    <t>920001</t>
  </si>
  <si>
    <t>920003</t>
  </si>
  <si>
    <t>920002</t>
  </si>
  <si>
    <t>020036</t>
  </si>
  <si>
    <t>020035</t>
  </si>
  <si>
    <t>020028</t>
  </si>
  <si>
    <t>020037</t>
  </si>
  <si>
    <t>020034</t>
  </si>
  <si>
    <t>020011</t>
  </si>
  <si>
    <t>020010</t>
  </si>
  <si>
    <t>020020</t>
  </si>
  <si>
    <t>020019</t>
  </si>
  <si>
    <t>020021</t>
  </si>
  <si>
    <t>020018</t>
  </si>
  <si>
    <t>020017</t>
  </si>
  <si>
    <t>020016</t>
  </si>
  <si>
    <t>020015</t>
  </si>
  <si>
    <t>020014</t>
  </si>
  <si>
    <t>020013</t>
  </si>
  <si>
    <t>020012</t>
  </si>
  <si>
    <t>020026</t>
  </si>
  <si>
    <t>020023</t>
  </si>
  <si>
    <t>020025</t>
  </si>
  <si>
    <t>020039</t>
  </si>
  <si>
    <t>020024</t>
  </si>
  <si>
    <t>020022</t>
  </si>
  <si>
    <t>020038</t>
  </si>
  <si>
    <t>620008</t>
  </si>
  <si>
    <t>620009</t>
  </si>
  <si>
    <t>620002</t>
  </si>
  <si>
    <t>620004</t>
  </si>
  <si>
    <t>620005</t>
  </si>
  <si>
    <t>620007</t>
  </si>
  <si>
    <t>620010</t>
  </si>
  <si>
    <t>620006</t>
  </si>
  <si>
    <t>050019</t>
  </si>
  <si>
    <t>050020</t>
  </si>
  <si>
    <t>050021</t>
  </si>
  <si>
    <t>050016</t>
  </si>
  <si>
    <t>050026</t>
  </si>
  <si>
    <t>040003</t>
  </si>
  <si>
    <t>050025</t>
  </si>
  <si>
    <t>050037</t>
  </si>
  <si>
    <t>050036</t>
  </si>
  <si>
    <t>050035</t>
  </si>
  <si>
    <t>050034</t>
  </si>
  <si>
    <t>050032</t>
  </si>
  <si>
    <t>050033</t>
  </si>
  <si>
    <t>180004</t>
  </si>
  <si>
    <t>180012</t>
  </si>
  <si>
    <t>180009</t>
  </si>
  <si>
    <t>180010</t>
  </si>
  <si>
    <t>180006</t>
  </si>
  <si>
    <t>180011</t>
  </si>
  <si>
    <t>180005</t>
  </si>
  <si>
    <t>180008</t>
  </si>
  <si>
    <t>180007</t>
  </si>
  <si>
    <t>180013</t>
  </si>
  <si>
    <t>050013</t>
  </si>
  <si>
    <t>050014</t>
  </si>
  <si>
    <t>050024</t>
  </si>
  <si>
    <t>050017</t>
  </si>
  <si>
    <t>050018</t>
  </si>
  <si>
    <t>050015</t>
  </si>
  <si>
    <t>700003</t>
  </si>
  <si>
    <t>700004</t>
  </si>
  <si>
    <t>050031</t>
  </si>
  <si>
    <t>050022</t>
  </si>
  <si>
    <t>050038</t>
  </si>
  <si>
    <t>200006</t>
  </si>
  <si>
    <t>200005</t>
  </si>
  <si>
    <t>280009</t>
  </si>
  <si>
    <t>280012</t>
  </si>
  <si>
    <t>280011</t>
  </si>
  <si>
    <t>280010</t>
  </si>
  <si>
    <t>280013</t>
  </si>
  <si>
    <t>280015</t>
  </si>
  <si>
    <t>280014</t>
  </si>
  <si>
    <t>330001</t>
  </si>
  <si>
    <t>550005</t>
  </si>
  <si>
    <t>550004</t>
  </si>
  <si>
    <t>040006</t>
  </si>
  <si>
    <t>420002</t>
  </si>
  <si>
    <t>040005</t>
  </si>
  <si>
    <t>420001</t>
  </si>
  <si>
    <t>040004</t>
  </si>
  <si>
    <t>640001</t>
  </si>
  <si>
    <t>720001</t>
  </si>
  <si>
    <t>650019</t>
  </si>
  <si>
    <t>880004</t>
  </si>
  <si>
    <t>880006</t>
  </si>
  <si>
    <t>880003</t>
  </si>
  <si>
    <t>880002</t>
  </si>
  <si>
    <t>880001</t>
  </si>
  <si>
    <t>880005</t>
  </si>
  <si>
    <t>700006</t>
  </si>
  <si>
    <t>700005</t>
  </si>
  <si>
    <t>050023</t>
  </si>
  <si>
    <t>050027</t>
  </si>
  <si>
    <t>BAFLE</t>
  </si>
  <si>
    <t>CAMARAS</t>
  </si>
  <si>
    <t>CAMION DE BOMBEROS</t>
  </si>
  <si>
    <t>CARRO ORGANIZADOR</t>
  </si>
  <si>
    <t>CLIECHE METALICO</t>
  </si>
  <si>
    <t>COMPUTADORA</t>
  </si>
  <si>
    <t>MINI SPLIT</t>
  </si>
  <si>
    <t>EQIPO DE SONIDO</t>
  </si>
  <si>
    <t>EQUIPO DE CORTE Y SOLDADURA</t>
  </si>
  <si>
    <t>ESCALERA DE TIJERA</t>
  </si>
  <si>
    <t>EXTENSION</t>
  </si>
  <si>
    <t>GABINETE METALICO</t>
  </si>
  <si>
    <t>LAPTOP</t>
  </si>
  <si>
    <t>MANIQUI</t>
  </si>
  <si>
    <t>MESA DE TRABAJO</t>
  </si>
  <si>
    <t>PENINSULA</t>
  </si>
  <si>
    <t>NO BREAK</t>
  </si>
  <si>
    <t>PANTALLA DE PARED</t>
  </si>
  <si>
    <t>PLANCHADORA DE VAPOR</t>
  </si>
  <si>
    <t>TELEVISOR LED</t>
  </si>
  <si>
    <t>TERMINAL  CON LECTOR DE HUELLA</t>
  </si>
  <si>
    <t xml:space="preserve">CABLE RUDO </t>
  </si>
  <si>
    <t>1241</t>
  </si>
  <si>
    <t>1242</t>
  </si>
  <si>
    <t>1246</t>
  </si>
  <si>
    <t>TOTAL DERECHOS A RECIBIR EFECTIVO</t>
  </si>
  <si>
    <t>ANTICIPO A PROVEEDORES</t>
  </si>
  <si>
    <t>TOTAL DERECHOS A RECIBIR BIENES</t>
  </si>
  <si>
    <t>Aplicación</t>
  </si>
  <si>
    <t>CON REGISTRO</t>
  </si>
  <si>
    <t>SIN REGISTRO</t>
  </si>
  <si>
    <t>010801142010 FRACCIONAMIENTO ECOLOGICO AGROPECUARIO PIE DE LA MONTAÑA</t>
  </si>
  <si>
    <t>010114247004 FRACCIONAMIENTO MÉXICO</t>
  </si>
  <si>
    <t>010102281019 UNIDAD HABITACIONAL FIDEL VELAZQUEZ(ADELITAS)</t>
  </si>
  <si>
    <t>EDIFICIOS</t>
  </si>
  <si>
    <t>010801141006 FRACCIONAMIENTO ECOLOGICO AGROPECUARIO PIE DE LA MONTAÑA</t>
  </si>
  <si>
    <t>Fondo o Recurso</t>
  </si>
  <si>
    <t>Inicio</t>
  </si>
  <si>
    <t>Término</t>
  </si>
  <si>
    <t xml:space="preserve">Ejercido </t>
  </si>
  <si>
    <t>DIRECCIÓN O SECRETARÍA DE OBRAS PÚBLICAS</t>
  </si>
  <si>
    <t xml:space="preserve">Periodo de ejecución de la obra </t>
  </si>
  <si>
    <r>
      <t xml:space="preserve">Situación de la obra </t>
    </r>
    <r>
      <rPr>
        <sz val="10"/>
        <rFont val="Arial"/>
        <family val="2"/>
      </rPr>
      <t>(terminada, en proceso, suspendida, cancelada )</t>
    </r>
  </si>
  <si>
    <t>Autorizado</t>
  </si>
  <si>
    <t>Mensual</t>
  </si>
  <si>
    <t>Acumulado</t>
  </si>
  <si>
    <t>Disponibilidad Inicial</t>
  </si>
  <si>
    <t>INGRESOS</t>
  </si>
  <si>
    <t>Contribuciones de mejoras</t>
  </si>
  <si>
    <t>Ingresos por venta de bienes y servicios</t>
  </si>
  <si>
    <t>Participaciones y aportaciones</t>
  </si>
  <si>
    <t>Transferencias, asignaciones, subsidios y otras ayudas</t>
  </si>
  <si>
    <t xml:space="preserve">Total de Ingresos </t>
  </si>
  <si>
    <t>EGRESOS</t>
  </si>
  <si>
    <t>Servicios personales</t>
  </si>
  <si>
    <t>Materiales y suministros</t>
  </si>
  <si>
    <t>Servicios generales</t>
  </si>
  <si>
    <t>Bienes muebles, inmuebles e intangibles</t>
  </si>
  <si>
    <t>Inversión pública</t>
  </si>
  <si>
    <t>Inversiones financieras y otras provisiones</t>
  </si>
  <si>
    <t>Deuda pública</t>
  </si>
  <si>
    <t xml:space="preserve">Total de Egresos </t>
  </si>
  <si>
    <t xml:space="preserve">Disponibilidad Final </t>
  </si>
  <si>
    <t>Comprobación de la Disponibilidad Final</t>
  </si>
  <si>
    <t>Activo Circulante  (Excepto Inventarios y Almacen)</t>
  </si>
  <si>
    <t>Total Activo Circulante</t>
  </si>
  <si>
    <t>Pasivo Circulante Generado en el Ejercicio</t>
  </si>
  <si>
    <t>Fondos y bienes de Terceros en Garantia y/o Administracion a Corto Plazo</t>
  </si>
  <si>
    <t>Provisiones a corto Plazo</t>
  </si>
  <si>
    <t>Otros Pasivos a corto Plazo</t>
  </si>
  <si>
    <t>Total Pasivo Circulante Generado en el Ejercicio</t>
  </si>
  <si>
    <t>Disponibilidad Comprobada</t>
  </si>
  <si>
    <t>Tipo</t>
  </si>
  <si>
    <t>Responsable</t>
  </si>
  <si>
    <t>Destino</t>
  </si>
  <si>
    <t>Bienes Disponibles para su Transformación (Inventarios)</t>
  </si>
  <si>
    <t>Fondos de Bienes de Terceros en Administración y/o Garantía</t>
  </si>
  <si>
    <t>Pasivos Diferidos y Otros</t>
  </si>
  <si>
    <t>Otros Ingresos</t>
  </si>
  <si>
    <t>Gastos y Otras Pérdidas</t>
  </si>
  <si>
    <t>Análisis de los saldos inicial y final del Efectivo y equivalentes</t>
  </si>
  <si>
    <t>Notas de Gestión Administrativa</t>
  </si>
  <si>
    <t>1. Introducción</t>
  </si>
  <si>
    <t>2. Panorama Económico y Financiero</t>
  </si>
  <si>
    <t>3. Autorización e Historia</t>
  </si>
  <si>
    <t>4. Organización y Objeto Social</t>
  </si>
  <si>
    <t>5. Bases de Preparación de los Estados Financieros</t>
  </si>
  <si>
    <t>6. Políticas de Contabilidad Significativas</t>
  </si>
  <si>
    <t>9. Fideicomisos, Mandatos y Análogos</t>
  </si>
  <si>
    <t>12. Calificaciones otorgadas</t>
  </si>
  <si>
    <t>13. Proceso de Mejora</t>
  </si>
  <si>
    <t>14. Información por Segmentos</t>
  </si>
  <si>
    <t>15. Eventos Posteriores al Cierre</t>
  </si>
  <si>
    <t>16. Partes Relacionadas</t>
  </si>
  <si>
    <t>04</t>
  </si>
  <si>
    <t>Clasificación Programática</t>
  </si>
  <si>
    <t>Programas</t>
  </si>
  <si>
    <t>Programa Subsidios: Sector Social y Privado o Entidades Federativas y Municipios</t>
  </si>
  <si>
    <t>Programa Desempeño de las Funciones</t>
  </si>
  <si>
    <t>Programa Administrativo y de Apoyo</t>
  </si>
  <si>
    <t>Programa Obligaciones</t>
  </si>
  <si>
    <t>Costo Financiero, Deuda o Apoyos a Deudores y Ahorradores de la Banca</t>
  </si>
  <si>
    <t>CPM-01.100</t>
  </si>
  <si>
    <t>Contratistas por Obras Públicas por Pagar a Corto Plazo</t>
  </si>
  <si>
    <t>Anticipo a contratistas (obras) a corto plazo</t>
  </si>
  <si>
    <t xml:space="preserve">TOTAL DE PASIVO </t>
  </si>
  <si>
    <t>TOTAL DE ACTIVOS</t>
  </si>
  <si>
    <t>TOTAL DE PASIVO Y HACIENDA PUBLICA / PATRIMONIO</t>
  </si>
  <si>
    <t>TOTAL DE INGRESOS Y OTROS BENEFICIOS</t>
  </si>
  <si>
    <t>RESULTADO DEL EJERCICIO (AHORRO/DESAHORRO)</t>
  </si>
  <si>
    <t>Estado de Flujo de Efectivo</t>
  </si>
  <si>
    <t>FLUJOS DE EFECTIVO DE LAS ACTIVIDADES DE OPERACIÓN</t>
  </si>
  <si>
    <t xml:space="preserve">Impuestos </t>
  </si>
  <si>
    <t>Aprovechamientos de Tipo Corriente</t>
  </si>
  <si>
    <t>Ingresos por Venta de Bienes y Servicios</t>
  </si>
  <si>
    <t>Otras Aplicaciones de Operación</t>
  </si>
  <si>
    <t>Otros Orígenes de Inversión</t>
  </si>
  <si>
    <t xml:space="preserve">Endeudamiento Neto </t>
  </si>
  <si>
    <t>Interno</t>
  </si>
  <si>
    <t>Externo</t>
  </si>
  <si>
    <t>Otros Orígenes de Financiamiento</t>
  </si>
  <si>
    <t>Servicios de la Deuda</t>
  </si>
  <si>
    <t>Otras Aplicaciones de Financiamiento</t>
  </si>
  <si>
    <t>Depreciación Acum. de Activos Intangibles</t>
  </si>
  <si>
    <t>05</t>
  </si>
  <si>
    <t>08</t>
  </si>
  <si>
    <t>TRANSFORMADOR</t>
  </si>
  <si>
    <t>VEHICULO PLATINA</t>
  </si>
  <si>
    <t>CAMIONETA TAHOE</t>
  </si>
  <si>
    <t>CAMIONETA CUSTOM</t>
  </si>
  <si>
    <t>AUTOBUS</t>
  </si>
  <si>
    <t>CAMIONETA PICK-UP</t>
  </si>
  <si>
    <t>CAMION PETROLIZADORA</t>
  </si>
  <si>
    <t>CAMION VOLTEO</t>
  </si>
  <si>
    <t>CAMIONETA PATRIOT</t>
  </si>
  <si>
    <t>VEHICULO NEON</t>
  </si>
  <si>
    <t>AMBULANCIA</t>
  </si>
  <si>
    <t>CAMIONETA GRAND CHEROKEE</t>
  </si>
  <si>
    <t>CAMIONETA CHEYENNE</t>
  </si>
  <si>
    <t>CARGADOR FRONTAL</t>
  </si>
  <si>
    <t>CAMPACTADOR</t>
  </si>
  <si>
    <t>THINKSERVER TD 350</t>
  </si>
  <si>
    <t>MINISPLIT</t>
  </si>
  <si>
    <t>CAMION  BOMBERO</t>
  </si>
  <si>
    <t>ARCHIVERO METALICO</t>
  </si>
  <si>
    <t>BUTACA METALICA</t>
  </si>
  <si>
    <t>SILLA METALICA</t>
  </si>
  <si>
    <t>CAMION ESCALERA</t>
  </si>
  <si>
    <t>ANTECOMEDOR</t>
  </si>
  <si>
    <t>ESCANER DE CAMA PLANA</t>
  </si>
  <si>
    <t>IMPRESORA MULTIFUNCIONAL</t>
  </si>
  <si>
    <t>DESKTOP DELL</t>
  </si>
  <si>
    <t>MAQUINA ELECTRICA</t>
  </si>
  <si>
    <t>PANTALLA CLASIC HD</t>
  </si>
  <si>
    <t xml:space="preserve">CAMION RECOLECTOR COMPACTADOR PARA BASURA </t>
  </si>
  <si>
    <t xml:space="preserve">AMOLLADORA ANGULAR </t>
  </si>
  <si>
    <t>TV 1500M GP4 TB COMPLETO</t>
  </si>
  <si>
    <t>EULOGIO TOVAR RODRIGUEZ</t>
  </si>
  <si>
    <t>FUSR750806MTSNCS04</t>
  </si>
  <si>
    <t>ELVIA LUMBRERAS HERNANDEZ</t>
  </si>
  <si>
    <t>LUHE450515</t>
  </si>
  <si>
    <t>LICE730630MTSMDM03</t>
  </si>
  <si>
    <t>JOSEFINA MEDINA RUIZ</t>
  </si>
  <si>
    <t>MERJ710318MTSDZS01</t>
  </si>
  <si>
    <t>MA DEL ROSARIO RODRIGUEZ AVALOS</t>
  </si>
  <si>
    <t>ROAR611007MTSDVS09</t>
  </si>
  <si>
    <t>MARCELINA LEIJA CRUZ</t>
  </si>
  <si>
    <t>MOOS620605MTSRRM05</t>
  </si>
  <si>
    <t>MARIA BELEN CAMACHO</t>
  </si>
  <si>
    <t>FRANCISCA SANCHEZ CANO</t>
  </si>
  <si>
    <t>RIGP750222MTSCZS00</t>
  </si>
  <si>
    <t>NORMA PATRICIA PUENTE MONTALVO</t>
  </si>
  <si>
    <t>PUMN770806MTSNNR06</t>
  </si>
  <si>
    <t>MARIA TERESA MATA HERNANDEZ</t>
  </si>
  <si>
    <t>MARTHA PATRICIA MORENO MARTINEZ</t>
  </si>
  <si>
    <t>MOMM720919MTSRRR07</t>
  </si>
  <si>
    <t>FELICITAS TOVAR PARRA</t>
  </si>
  <si>
    <t>TOPF521120MTSVRL00</t>
  </si>
  <si>
    <t>TOPG640322MTSRRD01</t>
  </si>
  <si>
    <t>CARLOS MEJIA MARTINEZ</t>
  </si>
  <si>
    <t>MEMC780622HTSJRR07</t>
  </si>
  <si>
    <t>SANJ451224MTSLXS06</t>
  </si>
  <si>
    <t>MA. GUADALUPE LOPEZ RODRIGUEZ</t>
  </si>
  <si>
    <t>LORG571212MTSPDD05</t>
  </si>
  <si>
    <t>MARIA ANTONIETA PEREZ ZAMORA</t>
  </si>
  <si>
    <t>ISIDRO HERNANDEZ SALDAÑA</t>
  </si>
  <si>
    <t>HESI501114HTSRLS02</t>
  </si>
  <si>
    <t>BARTOLA GARCIA FLORES</t>
  </si>
  <si>
    <t>GAFB460208MTSRLR01</t>
  </si>
  <si>
    <t>MERCEDES TORRES ROCHA</t>
  </si>
  <si>
    <t>TORM590226MTSRCR02</t>
  </si>
  <si>
    <t>TOVM591121HTSRRR08</t>
  </si>
  <si>
    <t>CAMERINA SALAS GAMBOA</t>
  </si>
  <si>
    <t>VELIA SANCHEZ SALAZAR</t>
  </si>
  <si>
    <t>YAKELI YAZMIN WALLE SALAZAR</t>
  </si>
  <si>
    <t>MARIA CRUZ QUINTERO ANDAVERDE</t>
  </si>
  <si>
    <t>BENITA MARTINEZ MORALES</t>
  </si>
  <si>
    <t>MAMB670321MTSRRN09</t>
  </si>
  <si>
    <t>ALMA LAURA RODRIGUEZ LOPEZ</t>
  </si>
  <si>
    <t>MARIA GUADALUPE GUEVARA MARTINEZ</t>
  </si>
  <si>
    <t>GUMG320227MTSVRD09</t>
  </si>
  <si>
    <t>EJIDO LA MISION</t>
  </si>
  <si>
    <t>PEAD860514MTSSLL06</t>
  </si>
  <si>
    <t>PASCUALA RICARDO GUZMAN</t>
  </si>
  <si>
    <t>AZARIAS DE VICTORIA, A.C.</t>
  </si>
  <si>
    <t>AVI0906084W2</t>
  </si>
  <si>
    <t>ROSS490203HTSSLL08</t>
  </si>
  <si>
    <t>MAGC691219MTSTZR04</t>
  </si>
  <si>
    <t>CELIA MARCELINA LOPEZ DE LEON</t>
  </si>
  <si>
    <t>JUAN JESUS MARTINEZ MONTOYA</t>
  </si>
  <si>
    <t>MAMJ540624HTSRNN02</t>
  </si>
  <si>
    <t>MARIA EDITH ACUÑA CARDENAS</t>
  </si>
  <si>
    <t>AUCE480108MTSCRD07</t>
  </si>
  <si>
    <t>GLORIA LARA MARTINEZ</t>
  </si>
  <si>
    <t>KARLA ELIZABETH MATA CHIQUITO</t>
  </si>
  <si>
    <t>MACK951117MTSTHR03</t>
  </si>
  <si>
    <t>JOSE NESTOR OVALLE CASTILLO</t>
  </si>
  <si>
    <t>SEGE531128MTSGNS01</t>
  </si>
  <si>
    <t>JOSEFINA COLUNGA GALLEGOS</t>
  </si>
  <si>
    <t>COGJ780319MTSLLS06</t>
  </si>
  <si>
    <t>MARIA DE LOURDES ACUÑA COLUNGA</t>
  </si>
  <si>
    <t>AUCL730211MTSCLR00</t>
  </si>
  <si>
    <t>RAMJ610228MTSMRS09</t>
  </si>
  <si>
    <t>ROGELIA RODRIGUEZ MENDOZA</t>
  </si>
  <si>
    <t>ROMR500330MTSDNG01</t>
  </si>
  <si>
    <t>JUANA MARTINEZ VAZQUEZ</t>
  </si>
  <si>
    <t>RAQUEL LOPEZ DIMAS</t>
  </si>
  <si>
    <t>OBDULIA VAZQUEZ ECHARTEA</t>
  </si>
  <si>
    <t>VAEO781005MTSZCB05</t>
  </si>
  <si>
    <t>ALVARO VAZQUEZ REYES</t>
  </si>
  <si>
    <t>VARA790210HTSZYL06</t>
  </si>
  <si>
    <t>PABLO ZOZAYA HUERTA</t>
  </si>
  <si>
    <t>JOSEFINA IBARRA PEÑA</t>
  </si>
  <si>
    <t>IAPJ850607MJCBXS00</t>
  </si>
  <si>
    <t>LODR611223MTSPMQ02</t>
  </si>
  <si>
    <t>SANTA GARCIA CERVANTES</t>
  </si>
  <si>
    <t>GACS531006MTSRRN09</t>
  </si>
  <si>
    <t>ISMAEL CARREON RODRIGUEZ</t>
  </si>
  <si>
    <t>CELIA CRUZ ROSALES</t>
  </si>
  <si>
    <t>CURC681026MTSRSL06</t>
  </si>
  <si>
    <t>VIZD580326MTSLPL12</t>
  </si>
  <si>
    <t>JOAQUINA MACIAS ZUÑIGA</t>
  </si>
  <si>
    <t>MAZJ590903MTSCXQ03</t>
  </si>
  <si>
    <t>ROSA RODRIGUEZ FLORES</t>
  </si>
  <si>
    <t>RITA MORENO MARTINEZ</t>
  </si>
  <si>
    <t>MARTHA ELENA MARTINEZ SANCHEZ</t>
  </si>
  <si>
    <t>MARIA GUADALUPE VILLA PARRAS</t>
  </si>
  <si>
    <t>VIPG840215MTSLRD05</t>
  </si>
  <si>
    <t>RAQUEL DE LEON MENDEZ</t>
  </si>
  <si>
    <t>HUJE580805MTSRSS03</t>
  </si>
  <si>
    <t>ESTEFANA SEGOVIA GONZALEZ</t>
  </si>
  <si>
    <t>MARIA DEL ROSARIO SANDOVAL MARTINEZ</t>
  </si>
  <si>
    <t>ROSA MIREYA RODRIGUEZ TORRES</t>
  </si>
  <si>
    <t>ROTR790302MTSDRS01</t>
  </si>
  <si>
    <t>LUCILA GUADALUPE VILLELA HERNANDEZ</t>
  </si>
  <si>
    <t>MAHT610609MTSTRR02</t>
  </si>
  <si>
    <t>ROFR601117</t>
  </si>
  <si>
    <t>MOMR620522</t>
  </si>
  <si>
    <t>ZUEI651231MTSXLS08</t>
  </si>
  <si>
    <t>HOMERO ZUÑIGA NIÑO</t>
  </si>
  <si>
    <t>ZUNH681019HTSXXM09</t>
  </si>
  <si>
    <t>GUADALUPE CASTELLANOS IZAGUIRRE</t>
  </si>
  <si>
    <t>KEILA ABIGAIL ORNELAS NAVA</t>
  </si>
  <si>
    <t>OENK970727MTSRVL06</t>
  </si>
  <si>
    <t>RAMO 28 PARTICIPACIONES</t>
  </si>
  <si>
    <t>FISMUN 2016</t>
  </si>
  <si>
    <t>COL CAÑON DE LA PEREGRINA</t>
  </si>
  <si>
    <t>COL ESFUERZO POPULAR</t>
  </si>
  <si>
    <t>CONSTRUCCION DE SEIS CUARTOS DORMITORIOS</t>
  </si>
  <si>
    <t>CONSTRUCCION DE NUEVE CUARTOS DORMITORIOS</t>
  </si>
  <si>
    <t>SUMINISTRO DE CARPETA ASFALTICA</t>
  </si>
  <si>
    <t>'11230-00000-0001-000001</t>
  </si>
  <si>
    <t>'11230-00000-0001-000002</t>
  </si>
  <si>
    <t>'11230-00000-0001-141007</t>
  </si>
  <si>
    <t>PRESTAMO</t>
  </si>
  <si>
    <t>'11230-00000-0003-000219</t>
  </si>
  <si>
    <t>SECRETARIA DE FINANZAS DEL GOBIERNO DEL ESTADO</t>
  </si>
  <si>
    <t>Edificio no Habitacional</t>
  </si>
  <si>
    <t>957</t>
  </si>
  <si>
    <t>SECRETARIA DE FINANZAS DE GOBIERNO DEL EDO.T.</t>
  </si>
  <si>
    <t>6.1.5</t>
  </si>
  <si>
    <t>DONATIVO EN EFECTIVO</t>
  </si>
  <si>
    <t xml:space="preserve">Conciliación de los Flujos de Efectivo Netos de las Actividades </t>
  </si>
  <si>
    <t>de Operación y la cuenta de Ahorro/Desahorro</t>
  </si>
  <si>
    <t>Clave s/catálogo de bienes</t>
  </si>
  <si>
    <t>Vida Útil</t>
  </si>
  <si>
    <t>% de depreciación, deterioro o amortización anual</t>
  </si>
  <si>
    <t>1247</t>
  </si>
  <si>
    <t>5111001536</t>
  </si>
  <si>
    <t>5111000142</t>
  </si>
  <si>
    <t>5111000017</t>
  </si>
  <si>
    <t>5111000019</t>
  </si>
  <si>
    <t>5111000052</t>
  </si>
  <si>
    <t>5111000159</t>
  </si>
  <si>
    <t>5111630001</t>
  </si>
  <si>
    <t>5111000006</t>
  </si>
  <si>
    <t>5110230005</t>
  </si>
  <si>
    <t>5111000151</t>
  </si>
  <si>
    <t>5110230012</t>
  </si>
  <si>
    <t>5111000249</t>
  </si>
  <si>
    <t>5111000250</t>
  </si>
  <si>
    <t>5111000251</t>
  </si>
  <si>
    <t>5111000252</t>
  </si>
  <si>
    <t>5111000253</t>
  </si>
  <si>
    <t>5111000264</t>
  </si>
  <si>
    <t>5111000616</t>
  </si>
  <si>
    <t>5112030013</t>
  </si>
  <si>
    <t>5111000737</t>
  </si>
  <si>
    <t>5111000434</t>
  </si>
  <si>
    <t>5111100004</t>
  </si>
  <si>
    <t>5112130005</t>
  </si>
  <si>
    <t>5111100009</t>
  </si>
  <si>
    <t>5110360017</t>
  </si>
  <si>
    <t>5112650029</t>
  </si>
  <si>
    <t>5112650030</t>
  </si>
  <si>
    <t>5110380006</t>
  </si>
  <si>
    <t>5111000499</t>
  </si>
  <si>
    <t>5111000502</t>
  </si>
  <si>
    <t>5111000509</t>
  </si>
  <si>
    <t>5111000511</t>
  </si>
  <si>
    <t>5110760016</t>
  </si>
  <si>
    <t>5111000515</t>
  </si>
  <si>
    <t>5112680015</t>
  </si>
  <si>
    <t>5111000560</t>
  </si>
  <si>
    <t>5111000562</t>
  </si>
  <si>
    <t>5111000588</t>
  </si>
  <si>
    <t>5111000589</t>
  </si>
  <si>
    <t>5111000593</t>
  </si>
  <si>
    <t>5110380004</t>
  </si>
  <si>
    <t>5111000500</t>
  </si>
  <si>
    <t>5112150001</t>
  </si>
  <si>
    <t>5111001030</t>
  </si>
  <si>
    <t>5111001046</t>
  </si>
  <si>
    <t>5111760003</t>
  </si>
  <si>
    <t>5111001097</t>
  </si>
  <si>
    <t>5111001100</t>
  </si>
  <si>
    <t>5110490013</t>
  </si>
  <si>
    <t>5111001154</t>
  </si>
  <si>
    <t>5110590001</t>
  </si>
  <si>
    <t>5111001166</t>
  </si>
  <si>
    <t>5110550001</t>
  </si>
  <si>
    <t>5112670007</t>
  </si>
  <si>
    <t>5111001168</t>
  </si>
  <si>
    <t>5111001170</t>
  </si>
  <si>
    <t>5112650039</t>
  </si>
  <si>
    <t>5112650040</t>
  </si>
  <si>
    <t>5112650041</t>
  </si>
  <si>
    <t>5112650042</t>
  </si>
  <si>
    <t>5112650043</t>
  </si>
  <si>
    <t>5112650044</t>
  </si>
  <si>
    <t>5112650045</t>
  </si>
  <si>
    <t>5111001206</t>
  </si>
  <si>
    <t>5112650048</t>
  </si>
  <si>
    <t>5110490033</t>
  </si>
  <si>
    <t>5111001356</t>
  </si>
  <si>
    <t>5112150002</t>
  </si>
  <si>
    <t>5111001251</t>
  </si>
  <si>
    <t>5110540006</t>
  </si>
  <si>
    <t>5111001216</t>
  </si>
  <si>
    <t>5112670008</t>
  </si>
  <si>
    <t>5111001233</t>
  </si>
  <si>
    <t>5111001235</t>
  </si>
  <si>
    <t>5111001238</t>
  </si>
  <si>
    <t>5111001241</t>
  </si>
  <si>
    <t>5111001292</t>
  </si>
  <si>
    <t>5112150003</t>
  </si>
  <si>
    <t>5111001302</t>
  </si>
  <si>
    <t>5111001304</t>
  </si>
  <si>
    <t>5111001305</t>
  </si>
  <si>
    <t>5111001306</t>
  </si>
  <si>
    <t>5111001307</t>
  </si>
  <si>
    <t>5111001309</t>
  </si>
  <si>
    <t>5111001310</t>
  </si>
  <si>
    <t>5111001312</t>
  </si>
  <si>
    <t>5111001314</t>
  </si>
  <si>
    <t>5111001315</t>
  </si>
  <si>
    <t>5111001316</t>
  </si>
  <si>
    <t>5111001317</t>
  </si>
  <si>
    <t>5111001319</t>
  </si>
  <si>
    <t>5111001320</t>
  </si>
  <si>
    <t>5111001321</t>
  </si>
  <si>
    <t>5111001322</t>
  </si>
  <si>
    <t>5111001323</t>
  </si>
  <si>
    <t>5111001325</t>
  </si>
  <si>
    <t>5111001326</t>
  </si>
  <si>
    <t>5111001328</t>
  </si>
  <si>
    <t>5111001329</t>
  </si>
  <si>
    <t>5111001331</t>
  </si>
  <si>
    <t>5111001333</t>
  </si>
  <si>
    <t>5111001334</t>
  </si>
  <si>
    <t>5111001335</t>
  </si>
  <si>
    <t>5111001336</t>
  </si>
  <si>
    <t>5111001342</t>
  </si>
  <si>
    <t>5111001343</t>
  </si>
  <si>
    <t>5112480001</t>
  </si>
  <si>
    <t>5111000211</t>
  </si>
  <si>
    <t>5110370009</t>
  </si>
  <si>
    <t>5110370010</t>
  </si>
  <si>
    <t>5111000216</t>
  </si>
  <si>
    <t>5110660001</t>
  </si>
  <si>
    <t>5111000220</t>
  </si>
  <si>
    <t>5111000224</t>
  </si>
  <si>
    <t>5111000225</t>
  </si>
  <si>
    <t>5111000227</t>
  </si>
  <si>
    <t>5111100001</t>
  </si>
  <si>
    <t>5111000268</t>
  </si>
  <si>
    <t>5111000269</t>
  </si>
  <si>
    <t>5110370013</t>
  </si>
  <si>
    <t>5110850001</t>
  </si>
  <si>
    <t>5111000307</t>
  </si>
  <si>
    <t>5111000309</t>
  </si>
  <si>
    <t>5110530001</t>
  </si>
  <si>
    <t>5111000315</t>
  </si>
  <si>
    <t>5110370014</t>
  </si>
  <si>
    <t>5111760001</t>
  </si>
  <si>
    <t>5112640001</t>
  </si>
  <si>
    <t>5111000342</t>
  </si>
  <si>
    <t>5111000343</t>
  </si>
  <si>
    <t>5111000345</t>
  </si>
  <si>
    <t>5111000357</t>
  </si>
  <si>
    <t>5111000358</t>
  </si>
  <si>
    <t>5111000381</t>
  </si>
  <si>
    <t>5111000412</t>
  </si>
  <si>
    <t>5111000445</t>
  </si>
  <si>
    <t>5111000456</t>
  </si>
  <si>
    <t>5111000464</t>
  </si>
  <si>
    <t>5111000473</t>
  </si>
  <si>
    <t>5111000476</t>
  </si>
  <si>
    <t>5111000549</t>
  </si>
  <si>
    <t>5111000862</t>
  </si>
  <si>
    <t>5110230031</t>
  </si>
  <si>
    <t>5111000877</t>
  </si>
  <si>
    <t>5111000900</t>
  </si>
  <si>
    <t>5111000904</t>
  </si>
  <si>
    <t>5110780034</t>
  </si>
  <si>
    <t>5111000922</t>
  </si>
  <si>
    <t>5111000452</t>
  </si>
  <si>
    <t>5111000455</t>
  </si>
  <si>
    <t>5111000529</t>
  </si>
  <si>
    <t>5111000530</t>
  </si>
  <si>
    <t>5111000532</t>
  </si>
  <si>
    <t>5110370033</t>
  </si>
  <si>
    <t>5110380001</t>
  </si>
  <si>
    <t>5111000535</t>
  </si>
  <si>
    <t>5111000537</t>
  </si>
  <si>
    <t>5111000365</t>
  </si>
  <si>
    <t>5110760009</t>
  </si>
  <si>
    <t>5112580001</t>
  </si>
  <si>
    <t>5110760012</t>
  </si>
  <si>
    <t>5110760013</t>
  </si>
  <si>
    <t>5111000881</t>
  </si>
  <si>
    <t>5110230033</t>
  </si>
  <si>
    <t>5111000891</t>
  </si>
  <si>
    <t>5111000894</t>
  </si>
  <si>
    <t>5111000895</t>
  </si>
  <si>
    <t>5110230034</t>
  </si>
  <si>
    <t>5111000907</t>
  </si>
  <si>
    <t>5111000858</t>
  </si>
  <si>
    <t>5110760002</t>
  </si>
  <si>
    <t>5110760003</t>
  </si>
  <si>
    <t>5110760004</t>
  </si>
  <si>
    <t>5110380007</t>
  </si>
  <si>
    <t>5111700008</t>
  </si>
  <si>
    <t>5111000952</t>
  </si>
  <si>
    <t>5110380008</t>
  </si>
  <si>
    <t>5111000953</t>
  </si>
  <si>
    <t>5110380009</t>
  </si>
  <si>
    <t>5110520004</t>
  </si>
  <si>
    <t>5110780038</t>
  </si>
  <si>
    <t>5112030022</t>
  </si>
  <si>
    <t>5112680017</t>
  </si>
  <si>
    <t>5110250007</t>
  </si>
  <si>
    <t>5110250008</t>
  </si>
  <si>
    <t>5111000718</t>
  </si>
  <si>
    <t>5111000732</t>
  </si>
  <si>
    <t>5111002391</t>
  </si>
  <si>
    <t>5110240002</t>
  </si>
  <si>
    <t>5111000397</t>
  </si>
  <si>
    <t>5110780137</t>
  </si>
  <si>
    <t>5110780138</t>
  </si>
  <si>
    <t>5110250003</t>
  </si>
  <si>
    <t>5111000958</t>
  </si>
  <si>
    <t>5111000747</t>
  </si>
  <si>
    <t>5111000749</t>
  </si>
  <si>
    <t>5111000753</t>
  </si>
  <si>
    <t>5111000755</t>
  </si>
  <si>
    <t>5111000761</t>
  </si>
  <si>
    <t>5111000837</t>
  </si>
  <si>
    <t>5110810002</t>
  </si>
  <si>
    <t>5110780022</t>
  </si>
  <si>
    <t>5111000682</t>
  </si>
  <si>
    <t>5111000685</t>
  </si>
  <si>
    <t>5111000688</t>
  </si>
  <si>
    <t>5112680016</t>
  </si>
  <si>
    <t>5111760002</t>
  </si>
  <si>
    <t>5110380003</t>
  </si>
  <si>
    <t>5110490004</t>
  </si>
  <si>
    <t>5111000748</t>
  </si>
  <si>
    <t>5111000757</t>
  </si>
  <si>
    <t>5111000760</t>
  </si>
  <si>
    <t>5110390012</t>
  </si>
  <si>
    <t>5111000793</t>
  </si>
  <si>
    <t>5111000795</t>
  </si>
  <si>
    <t>5111000797</t>
  </si>
  <si>
    <t>5110390013</t>
  </si>
  <si>
    <t>5111000824</t>
  </si>
  <si>
    <t>5110370048</t>
  </si>
  <si>
    <t>5110780031</t>
  </si>
  <si>
    <t>5111002388</t>
  </si>
  <si>
    <t>5110370073</t>
  </si>
  <si>
    <t>5110780055</t>
  </si>
  <si>
    <t>5110230037</t>
  </si>
  <si>
    <t>5111080004</t>
  </si>
  <si>
    <t>5110370097</t>
  </si>
  <si>
    <t>5110490022</t>
  </si>
  <si>
    <t>5110490023</t>
  </si>
  <si>
    <t>5110490024</t>
  </si>
  <si>
    <t>5111001358</t>
  </si>
  <si>
    <t>5111300005</t>
  </si>
  <si>
    <t>5111300006</t>
  </si>
  <si>
    <t>5111300007</t>
  </si>
  <si>
    <t>5110370100</t>
  </si>
  <si>
    <t>5111001374</t>
  </si>
  <si>
    <t>5111300011</t>
  </si>
  <si>
    <t>5110780085</t>
  </si>
  <si>
    <t>5110780059</t>
  </si>
  <si>
    <t>5110780064</t>
  </si>
  <si>
    <t>5110780067</t>
  </si>
  <si>
    <t>5112010001</t>
  </si>
  <si>
    <t>5110540004</t>
  </si>
  <si>
    <t>5110380013</t>
  </si>
  <si>
    <t>5110850005</t>
  </si>
  <si>
    <t>5110250010</t>
  </si>
  <si>
    <t>5110550002</t>
  </si>
  <si>
    <t>5110780071</t>
  </si>
  <si>
    <t>5110780072</t>
  </si>
  <si>
    <t>5111270001</t>
  </si>
  <si>
    <t>5110250011</t>
  </si>
  <si>
    <t>5110780074</t>
  </si>
  <si>
    <t>5112650035</t>
  </si>
  <si>
    <t>5111001082</t>
  </si>
  <si>
    <t>5110370072</t>
  </si>
  <si>
    <t>5111760004</t>
  </si>
  <si>
    <t>5110490027</t>
  </si>
  <si>
    <t>5110250012</t>
  </si>
  <si>
    <t>5112480003</t>
  </si>
  <si>
    <t>5111001429</t>
  </si>
  <si>
    <t>5111000962</t>
  </si>
  <si>
    <t>5111001499</t>
  </si>
  <si>
    <t>5110770006</t>
  </si>
  <si>
    <t>5110780104</t>
  </si>
  <si>
    <t>5110780105</t>
  </si>
  <si>
    <t>5110780109</t>
  </si>
  <si>
    <t>5111001571</t>
  </si>
  <si>
    <t>5111001574</t>
  </si>
  <si>
    <t>5112480004</t>
  </si>
  <si>
    <t>5112480005</t>
  </si>
  <si>
    <t>5111001586</t>
  </si>
  <si>
    <t>5111001652</t>
  </si>
  <si>
    <t>5110380022</t>
  </si>
  <si>
    <t>5111001663</t>
  </si>
  <si>
    <t>5111001665</t>
  </si>
  <si>
    <t>5111001668</t>
  </si>
  <si>
    <t>5111001670</t>
  </si>
  <si>
    <t>5111000968</t>
  </si>
  <si>
    <t>5111000969</t>
  </si>
  <si>
    <t>5110390024</t>
  </si>
  <si>
    <t>5110390025</t>
  </si>
  <si>
    <t>5111000993</t>
  </si>
  <si>
    <t>5111000997</t>
  </si>
  <si>
    <t>5111001005</t>
  </si>
  <si>
    <t>5112480002</t>
  </si>
  <si>
    <t>5110490011</t>
  </si>
  <si>
    <t>5110370068</t>
  </si>
  <si>
    <t>5111001503</t>
  </si>
  <si>
    <t>5112030033</t>
  </si>
  <si>
    <t>5111001507</t>
  </si>
  <si>
    <t>5110370122</t>
  </si>
  <si>
    <t>5110370123</t>
  </si>
  <si>
    <t>5111001527</t>
  </si>
  <si>
    <t>5111001529</t>
  </si>
  <si>
    <t>5110380026</t>
  </si>
  <si>
    <t>5110380028</t>
  </si>
  <si>
    <t>5110760021</t>
  </si>
  <si>
    <t>5111002153</t>
  </si>
  <si>
    <t>5110380029</t>
  </si>
  <si>
    <t>5111002237</t>
  </si>
  <si>
    <t>5111001437</t>
  </si>
  <si>
    <t>5111001440</t>
  </si>
  <si>
    <t>5110380015</t>
  </si>
  <si>
    <t>5110380017</t>
  </si>
  <si>
    <t>5110380018</t>
  </si>
  <si>
    <t>5110380019</t>
  </si>
  <si>
    <t>5111001494</t>
  </si>
  <si>
    <t>5111001496</t>
  </si>
  <si>
    <t>5111001498</t>
  </si>
  <si>
    <t>5111001500</t>
  </si>
  <si>
    <t>5111001502</t>
  </si>
  <si>
    <t>5111001504</t>
  </si>
  <si>
    <t>5112650060</t>
  </si>
  <si>
    <t>5111001600</t>
  </si>
  <si>
    <t>5110380021</t>
  </si>
  <si>
    <t>5111001606</t>
  </si>
  <si>
    <t>5111001609</t>
  </si>
  <si>
    <t>5111001613</t>
  </si>
  <si>
    <t>5111001616</t>
  </si>
  <si>
    <t>5111001866</t>
  </si>
  <si>
    <t>5110380024</t>
  </si>
  <si>
    <t>5110380025</t>
  </si>
  <si>
    <t>5110240027</t>
  </si>
  <si>
    <t>5111001989</t>
  </si>
  <si>
    <t>5111001991</t>
  </si>
  <si>
    <t>5110370125</t>
  </si>
  <si>
    <t>5111002109</t>
  </si>
  <si>
    <t>5111002111</t>
  </si>
  <si>
    <t>5111002156</t>
  </si>
  <si>
    <t>5111002163</t>
  </si>
  <si>
    <t>5111002168</t>
  </si>
  <si>
    <t>5110230057</t>
  </si>
  <si>
    <t>5110230058</t>
  </si>
  <si>
    <t>5111002211</t>
  </si>
  <si>
    <t>5111002213</t>
  </si>
  <si>
    <t>5111002216</t>
  </si>
  <si>
    <t>5111002226</t>
  </si>
  <si>
    <t>5110370127</t>
  </si>
  <si>
    <t>5112670011</t>
  </si>
  <si>
    <t>5111002239</t>
  </si>
  <si>
    <t>5110250019</t>
  </si>
  <si>
    <t>5110380030</t>
  </si>
  <si>
    <t>5112130007</t>
  </si>
  <si>
    <t>5110250020</t>
  </si>
  <si>
    <t>5111002240</t>
  </si>
  <si>
    <t>5111001923</t>
  </si>
  <si>
    <t>5111001936</t>
  </si>
  <si>
    <t>5111001943</t>
  </si>
  <si>
    <t>5111001506</t>
  </si>
  <si>
    <t>5111002007</t>
  </si>
  <si>
    <t>5111002014</t>
  </si>
  <si>
    <t>5111002029</t>
  </si>
  <si>
    <t>5112480006</t>
  </si>
  <si>
    <t>5111002046</t>
  </si>
  <si>
    <t>5111002056</t>
  </si>
  <si>
    <t>5111002060</t>
  </si>
  <si>
    <t>5111002062</t>
  </si>
  <si>
    <t>5111002069</t>
  </si>
  <si>
    <t>5111002071</t>
  </si>
  <si>
    <t>5111002072</t>
  </si>
  <si>
    <t>5111002085</t>
  </si>
  <si>
    <t>5110230056</t>
  </si>
  <si>
    <t>5111002088</t>
  </si>
  <si>
    <t>5111002094</t>
  </si>
  <si>
    <t>5110230053</t>
  </si>
  <si>
    <t>5111001601</t>
  </si>
  <si>
    <t>5111001620</t>
  </si>
  <si>
    <t>5111001622</t>
  </si>
  <si>
    <t>5111001624</t>
  </si>
  <si>
    <t>5111001722</t>
  </si>
  <si>
    <t>5111001610</t>
  </si>
  <si>
    <t>5111001614</t>
  </si>
  <si>
    <t>5111001626</t>
  </si>
  <si>
    <t>5110390030</t>
  </si>
  <si>
    <t>5110390032</t>
  </si>
  <si>
    <t>5110390034</t>
  </si>
  <si>
    <t>5110390035</t>
  </si>
  <si>
    <t>5111001656</t>
  </si>
  <si>
    <t>5111001717</t>
  </si>
  <si>
    <t>5111001794</t>
  </si>
  <si>
    <t>5111001849</t>
  </si>
  <si>
    <t>5111001858</t>
  </si>
  <si>
    <t>5111001859</t>
  </si>
  <si>
    <t>5111000193</t>
  </si>
  <si>
    <t>5111000194</t>
  </si>
  <si>
    <t>5111000195</t>
  </si>
  <si>
    <t>5111000198</t>
  </si>
  <si>
    <t>5111000199</t>
  </si>
  <si>
    <t>5111000200</t>
  </si>
  <si>
    <t>5111000201</t>
  </si>
  <si>
    <t>5111000202</t>
  </si>
  <si>
    <t>5111000203</t>
  </si>
  <si>
    <t>5111000204</t>
  </si>
  <si>
    <t>5111000205</t>
  </si>
  <si>
    <t>5111000206</t>
  </si>
  <si>
    <t>5110230014</t>
  </si>
  <si>
    <t>5110230015</t>
  </si>
  <si>
    <t>5111000212</t>
  </si>
  <si>
    <t>5111000213</t>
  </si>
  <si>
    <t>5111000215</t>
  </si>
  <si>
    <t>5111000221</t>
  </si>
  <si>
    <t>5111000222</t>
  </si>
  <si>
    <t>5111000223</t>
  </si>
  <si>
    <t>5111000226</t>
  </si>
  <si>
    <t>5111000230</t>
  </si>
  <si>
    <t>5111000231</t>
  </si>
  <si>
    <t>5111000232</t>
  </si>
  <si>
    <t>5111000233</t>
  </si>
  <si>
    <t>5111000234</t>
  </si>
  <si>
    <t>5111000235</t>
  </si>
  <si>
    <t>5111000237</t>
  </si>
  <si>
    <t>5111000238</t>
  </si>
  <si>
    <t>5111000240</t>
  </si>
  <si>
    <t>5111000241</t>
  </si>
  <si>
    <t>5111001548</t>
  </si>
  <si>
    <t>5111001554</t>
  </si>
  <si>
    <t>5111001557</t>
  </si>
  <si>
    <t>5111001560</t>
  </si>
  <si>
    <t>5111001562</t>
  </si>
  <si>
    <t>5111001566</t>
  </si>
  <si>
    <t>5111001570</t>
  </si>
  <si>
    <t>5111001888</t>
  </si>
  <si>
    <t>5111001386</t>
  </si>
  <si>
    <t>5111001388</t>
  </si>
  <si>
    <t>5111001389</t>
  </si>
  <si>
    <t>5111001393</t>
  </si>
  <si>
    <t>5111001394</t>
  </si>
  <si>
    <t>5111001486</t>
  </si>
  <si>
    <t>5111001488</t>
  </si>
  <si>
    <t>5110360019</t>
  </si>
  <si>
    <t>5111001509</t>
  </si>
  <si>
    <t>5111001513</t>
  </si>
  <si>
    <t>5111001515</t>
  </si>
  <si>
    <t>5111001517</t>
  </si>
  <si>
    <t>5111001518</t>
  </si>
  <si>
    <t>5111001519</t>
  </si>
  <si>
    <t>5111001520</t>
  </si>
  <si>
    <t>5111001521</t>
  </si>
  <si>
    <t>5111001522</t>
  </si>
  <si>
    <t>5111001534</t>
  </si>
  <si>
    <t>5111001542</t>
  </si>
  <si>
    <t>5111001544</t>
  </si>
  <si>
    <t>5111001418</t>
  </si>
  <si>
    <t>5111001419</t>
  </si>
  <si>
    <t>5111001425</t>
  </si>
  <si>
    <t>5111001426</t>
  </si>
  <si>
    <t>5111001427</t>
  </si>
  <si>
    <t>5111001428</t>
  </si>
  <si>
    <t>5111001433</t>
  </si>
  <si>
    <t>5111001434</t>
  </si>
  <si>
    <t>5111001435</t>
  </si>
  <si>
    <t>5111001436</t>
  </si>
  <si>
    <t>5111001399</t>
  </si>
  <si>
    <t>5111001400</t>
  </si>
  <si>
    <t>5111001401</t>
  </si>
  <si>
    <t>5111001402</t>
  </si>
  <si>
    <t>5111001403</t>
  </si>
  <si>
    <t>5111001404</t>
  </si>
  <si>
    <t>5111001405</t>
  </si>
  <si>
    <t>5111001408</t>
  </si>
  <si>
    <t>5111001409</t>
  </si>
  <si>
    <t>5111001410</t>
  </si>
  <si>
    <t>5111001413</t>
  </si>
  <si>
    <t>5111001414</t>
  </si>
  <si>
    <t>5111001415</t>
  </si>
  <si>
    <t>5111001625</t>
  </si>
  <si>
    <t>5111001641</t>
  </si>
  <si>
    <t>5110360022</t>
  </si>
  <si>
    <t>5110360023</t>
  </si>
  <si>
    <t>5110360024</t>
  </si>
  <si>
    <t>5111001695</t>
  </si>
  <si>
    <t>5111001699</t>
  </si>
  <si>
    <t>5111001702</t>
  </si>
  <si>
    <t>5111001718</t>
  </si>
  <si>
    <t>5111001720</t>
  </si>
  <si>
    <t>5111001721</t>
  </si>
  <si>
    <t>5111001723</t>
  </si>
  <si>
    <t>5111001727</t>
  </si>
  <si>
    <t>5111001741</t>
  </si>
  <si>
    <t>5110230042</t>
  </si>
  <si>
    <t>5111001754</t>
  </si>
  <si>
    <t>5111001757</t>
  </si>
  <si>
    <t>5111001759</t>
  </si>
  <si>
    <t>5111001760</t>
  </si>
  <si>
    <t>5111001444</t>
  </si>
  <si>
    <t>5111001454</t>
  </si>
  <si>
    <t>5111001456</t>
  </si>
  <si>
    <t>5111001458</t>
  </si>
  <si>
    <t>5111001461</t>
  </si>
  <si>
    <t>5111001466</t>
  </si>
  <si>
    <t>5111001471</t>
  </si>
  <si>
    <t>5111001474</t>
  </si>
  <si>
    <t>5111001477</t>
  </si>
  <si>
    <t>5111001480</t>
  </si>
  <si>
    <t>5111000261</t>
  </si>
  <si>
    <t>5110230025</t>
  </si>
  <si>
    <t>5110230026</t>
  </si>
  <si>
    <t>5110360016</t>
  </si>
  <si>
    <t>5110390011</t>
  </si>
  <si>
    <t>5111000579</t>
  </si>
  <si>
    <t>5111000585</t>
  </si>
  <si>
    <t>5111000595</t>
  </si>
  <si>
    <t>5111000597</t>
  </si>
  <si>
    <t>5111000599</t>
  </si>
  <si>
    <t>5111000600</t>
  </si>
  <si>
    <t>5111000601</t>
  </si>
  <si>
    <t>5111000603</t>
  </si>
  <si>
    <t>5111000605</t>
  </si>
  <si>
    <t>5111000606</t>
  </si>
  <si>
    <t>5111000607</t>
  </si>
  <si>
    <t>5111000609</t>
  </si>
  <si>
    <t>5111000613</t>
  </si>
  <si>
    <t>5111000615</t>
  </si>
  <si>
    <t>5111000617</t>
  </si>
  <si>
    <t>5111000620</t>
  </si>
  <si>
    <t>5111000622</t>
  </si>
  <si>
    <t>5111000623</t>
  </si>
  <si>
    <t>5111000625</t>
  </si>
  <si>
    <t>5111000626</t>
  </si>
  <si>
    <t>5111000628</t>
  </si>
  <si>
    <t>5111000630</t>
  </si>
  <si>
    <t>5111000632</t>
  </si>
  <si>
    <t>5111000634</t>
  </si>
  <si>
    <t>5111000637</t>
  </si>
  <si>
    <t>5111000641</t>
  </si>
  <si>
    <t>5111000644</t>
  </si>
  <si>
    <t>5111000645</t>
  </si>
  <si>
    <t>5111000646</t>
  </si>
  <si>
    <t>5111000647</t>
  </si>
  <si>
    <t>5111000650</t>
  </si>
  <si>
    <t>5111000651</t>
  </si>
  <si>
    <t>5111000652</t>
  </si>
  <si>
    <t>5111000655</t>
  </si>
  <si>
    <t>5111000660</t>
  </si>
  <si>
    <t>5111000662</t>
  </si>
  <si>
    <t>5111000663</t>
  </si>
  <si>
    <t>5111000664</t>
  </si>
  <si>
    <t>5111000665</t>
  </si>
  <si>
    <t>5111000666</t>
  </si>
  <si>
    <t>5111000668</t>
  </si>
  <si>
    <t>5111000669</t>
  </si>
  <si>
    <t>5111000670</t>
  </si>
  <si>
    <t>5111000671</t>
  </si>
  <si>
    <t>5111000672</t>
  </si>
  <si>
    <t>5111000673</t>
  </si>
  <si>
    <t>5111000674</t>
  </si>
  <si>
    <t>5111000675</t>
  </si>
  <si>
    <t>5111000676</t>
  </si>
  <si>
    <t>5111000684</t>
  </si>
  <si>
    <t>5111000686</t>
  </si>
  <si>
    <t>5111000687</t>
  </si>
  <si>
    <t>5111000689</t>
  </si>
  <si>
    <t>5111000690</t>
  </si>
  <si>
    <t>5111000691</t>
  </si>
  <si>
    <t>5111000692</t>
  </si>
  <si>
    <t>5111000693</t>
  </si>
  <si>
    <t>5111000695</t>
  </si>
  <si>
    <t>5111000697</t>
  </si>
  <si>
    <t>5111000698</t>
  </si>
  <si>
    <t>5111000699</t>
  </si>
  <si>
    <t>5111000700</t>
  </si>
  <si>
    <t>5111000702</t>
  </si>
  <si>
    <t>5111000703</t>
  </si>
  <si>
    <t>5111000705</t>
  </si>
  <si>
    <t>5111000708</t>
  </si>
  <si>
    <t>5111000713</t>
  </si>
  <si>
    <t>5111000717</t>
  </si>
  <si>
    <t>5111000719</t>
  </si>
  <si>
    <t>5111000722</t>
  </si>
  <si>
    <t>5111000724</t>
  </si>
  <si>
    <t>5111000726</t>
  </si>
  <si>
    <t>5111000728</t>
  </si>
  <si>
    <t>5111000729</t>
  </si>
  <si>
    <t>5111000750</t>
  </si>
  <si>
    <t>5111000752</t>
  </si>
  <si>
    <t>5111000754</t>
  </si>
  <si>
    <t>5111000758</t>
  </si>
  <si>
    <t>5111000759</t>
  </si>
  <si>
    <t>5111000762</t>
  </si>
  <si>
    <t>5111000770</t>
  </si>
  <si>
    <t>5111000783</t>
  </si>
  <si>
    <t>5111000786</t>
  </si>
  <si>
    <t>5111000787</t>
  </si>
  <si>
    <t>5111000789</t>
  </si>
  <si>
    <t>5111000791</t>
  </si>
  <si>
    <t>5111000883</t>
  </si>
  <si>
    <t>5111000885</t>
  </si>
  <si>
    <t>5111000888</t>
  </si>
  <si>
    <t>5111000906</t>
  </si>
  <si>
    <t>5111000910</t>
  </si>
  <si>
    <t>5111000912</t>
  </si>
  <si>
    <t>5111000913</t>
  </si>
  <si>
    <t>5111000915</t>
  </si>
  <si>
    <t>5111000917</t>
  </si>
  <si>
    <t>5111000919</t>
  </si>
  <si>
    <t>5111000921</t>
  </si>
  <si>
    <t>5111000923</t>
  </si>
  <si>
    <t>5111000924</t>
  </si>
  <si>
    <t>5111000925</t>
  </si>
  <si>
    <t>5111000926</t>
  </si>
  <si>
    <t>5111000927</t>
  </si>
  <si>
    <t>5111000929</t>
  </si>
  <si>
    <t>5111000930</t>
  </si>
  <si>
    <t>5111000931</t>
  </si>
  <si>
    <t>5111000933</t>
  </si>
  <si>
    <t>5111000934</t>
  </si>
  <si>
    <t>5111000937</t>
  </si>
  <si>
    <t>5111000938</t>
  </si>
  <si>
    <t>5111000940</t>
  </si>
  <si>
    <t>5111000942</t>
  </si>
  <si>
    <t>5111000944</t>
  </si>
  <si>
    <t>5111000945</t>
  </si>
  <si>
    <t>5111000974</t>
  </si>
  <si>
    <t>5111000975</t>
  </si>
  <si>
    <t>5111000976</t>
  </si>
  <si>
    <t>5111000977</t>
  </si>
  <si>
    <t>5111000985</t>
  </si>
  <si>
    <t>5111000986</t>
  </si>
  <si>
    <t>5111000987</t>
  </si>
  <si>
    <t>5111000988</t>
  </si>
  <si>
    <t>5111000989</t>
  </si>
  <si>
    <t>5111000990</t>
  </si>
  <si>
    <t>5111000991</t>
  </si>
  <si>
    <t>5111000992</t>
  </si>
  <si>
    <t>5111000994</t>
  </si>
  <si>
    <t>5111001065</t>
  </si>
  <si>
    <t>5111001067</t>
  </si>
  <si>
    <t>5111001072</t>
  </si>
  <si>
    <t>5111001074</t>
  </si>
  <si>
    <t>5111001076</t>
  </si>
  <si>
    <t>5111001077</t>
  </si>
  <si>
    <t>5111001078</t>
  </si>
  <si>
    <t>5111001079</t>
  </si>
  <si>
    <t>5111001080</t>
  </si>
  <si>
    <t>5111001083</t>
  </si>
  <si>
    <t>5111001085</t>
  </si>
  <si>
    <t>5111001087</t>
  </si>
  <si>
    <t>5111001088</t>
  </si>
  <si>
    <t>5111001090</t>
  </si>
  <si>
    <t>5111001101</t>
  </si>
  <si>
    <t>5111001143</t>
  </si>
  <si>
    <t>5111001145</t>
  </si>
  <si>
    <t>5111001148</t>
  </si>
  <si>
    <t>5111001150</t>
  </si>
  <si>
    <t>5111001151</t>
  </si>
  <si>
    <t>5111001153</t>
  </si>
  <si>
    <t>5111001157</t>
  </si>
  <si>
    <t>5110390026</t>
  </si>
  <si>
    <t>5110390027</t>
  </si>
  <si>
    <t>5110390028</t>
  </si>
  <si>
    <t>5110390029</t>
  </si>
  <si>
    <t>5111001161</t>
  </si>
  <si>
    <t>5111001163</t>
  </si>
  <si>
    <t>5111001188</t>
  </si>
  <si>
    <t>5111001194</t>
  </si>
  <si>
    <t>5111001196</t>
  </si>
  <si>
    <t>5111001197</t>
  </si>
  <si>
    <t>5111001198</t>
  </si>
  <si>
    <t>5111001199</t>
  </si>
  <si>
    <t>5111001203</t>
  </si>
  <si>
    <t>5111001208</t>
  </si>
  <si>
    <t>5111001210</t>
  </si>
  <si>
    <t>5111001211</t>
  </si>
  <si>
    <t>5111001212</t>
  </si>
  <si>
    <t>5111001213</t>
  </si>
  <si>
    <t>5111001217</t>
  </si>
  <si>
    <t>5111001220</t>
  </si>
  <si>
    <t>5111001222</t>
  </si>
  <si>
    <t>5111001227</t>
  </si>
  <si>
    <t>5111001230</t>
  </si>
  <si>
    <t>5111001232</t>
  </si>
  <si>
    <t>5111001272</t>
  </si>
  <si>
    <t>5111001274</t>
  </si>
  <si>
    <t>5111001276</t>
  </si>
  <si>
    <t>5111001279</t>
  </si>
  <si>
    <t>5111001286</t>
  </si>
  <si>
    <t>5111001287</t>
  </si>
  <si>
    <t>5111001288</t>
  </si>
  <si>
    <t>5111001290</t>
  </si>
  <si>
    <t>5111001297</t>
  </si>
  <si>
    <t>5111001299</t>
  </si>
  <si>
    <t>5111001324</t>
  </si>
  <si>
    <t>5111001327</t>
  </si>
  <si>
    <t>5111001330</t>
  </si>
  <si>
    <t>5111001332</t>
  </si>
  <si>
    <t>5111001337</t>
  </si>
  <si>
    <t>5111001340</t>
  </si>
  <si>
    <t>5111001348</t>
  </si>
  <si>
    <t>5111001349</t>
  </si>
  <si>
    <t>5111001351</t>
  </si>
  <si>
    <t>5111001353</t>
  </si>
  <si>
    <t>5111001355</t>
  </si>
  <si>
    <t>5111001359</t>
  </si>
  <si>
    <t>5111001364</t>
  </si>
  <si>
    <t>5111001365</t>
  </si>
  <si>
    <t>5111000245</t>
  </si>
  <si>
    <t>5111000248</t>
  </si>
  <si>
    <t>5111000258</t>
  </si>
  <si>
    <t>5111000260</t>
  </si>
  <si>
    <t>5111000263</t>
  </si>
  <si>
    <t>5111000266</t>
  </si>
  <si>
    <t>5110230016</t>
  </si>
  <si>
    <t>5110230017</t>
  </si>
  <si>
    <t>5110230018</t>
  </si>
  <si>
    <t>5111000280</t>
  </si>
  <si>
    <t>5110360006</t>
  </si>
  <si>
    <t>5111000284</t>
  </si>
  <si>
    <t>5111000292</t>
  </si>
  <si>
    <t>5111000293</t>
  </si>
  <si>
    <t>5111000294</t>
  </si>
  <si>
    <t>5111000295</t>
  </si>
  <si>
    <t>5111000296</t>
  </si>
  <si>
    <t>5111000304</t>
  </si>
  <si>
    <t>5111000305</t>
  </si>
  <si>
    <t>5111000306</t>
  </si>
  <si>
    <t>5111000310</t>
  </si>
  <si>
    <t>5111000311</t>
  </si>
  <si>
    <t>5111000321</t>
  </si>
  <si>
    <t>5111000323</t>
  </si>
  <si>
    <t>5111000324</t>
  </si>
  <si>
    <t>5111000331</t>
  </si>
  <si>
    <t>5111000336</t>
  </si>
  <si>
    <t>5111000369</t>
  </si>
  <si>
    <t>5111000372</t>
  </si>
  <si>
    <t>5111000374</t>
  </si>
  <si>
    <t>5111000376</t>
  </si>
  <si>
    <t>5111000377</t>
  </si>
  <si>
    <t>5110360009</t>
  </si>
  <si>
    <t>5111000449</t>
  </si>
  <si>
    <t>5111000451</t>
  </si>
  <si>
    <t>5111000454</t>
  </si>
  <si>
    <t>5111000548</t>
  </si>
  <si>
    <t>5111000550</t>
  </si>
  <si>
    <t>5111000558</t>
  </si>
  <si>
    <t>5111000561</t>
  </si>
  <si>
    <t>5111000564</t>
  </si>
  <si>
    <t>5111000566</t>
  </si>
  <si>
    <t>5111000568</t>
  </si>
  <si>
    <t>5111000569</t>
  </si>
  <si>
    <t>5111001366</t>
  </si>
  <si>
    <t>5111001367</t>
  </si>
  <si>
    <t>5111001368</t>
  </si>
  <si>
    <t>5111001372</t>
  </si>
  <si>
    <t>5111001379</t>
  </si>
  <si>
    <t>5111001381</t>
  </si>
  <si>
    <t>5111001382</t>
  </si>
  <si>
    <t>5111001383</t>
  </si>
  <si>
    <t>5111001384</t>
  </si>
  <si>
    <t>5111001385</t>
  </si>
  <si>
    <t>5111000064</t>
  </si>
  <si>
    <t>5111000140</t>
  </si>
  <si>
    <t>5111000147</t>
  </si>
  <si>
    <t>5111000149</t>
  </si>
  <si>
    <t>5110230002</t>
  </si>
  <si>
    <t>5111000061</t>
  </si>
  <si>
    <t>5111000001</t>
  </si>
  <si>
    <t>5111000003</t>
  </si>
  <si>
    <t>5111000004</t>
  </si>
  <si>
    <t>5110230004</t>
  </si>
  <si>
    <t>5111000011</t>
  </si>
  <si>
    <t>5111000015</t>
  </si>
  <si>
    <t>5111000029</t>
  </si>
  <si>
    <t>5111000030</t>
  </si>
  <si>
    <t>5111000032</t>
  </si>
  <si>
    <t>5111000035</t>
  </si>
  <si>
    <t>5111000036</t>
  </si>
  <si>
    <t>5111000037</t>
  </si>
  <si>
    <t>5111000038</t>
  </si>
  <si>
    <t>5111000040</t>
  </si>
  <si>
    <t>5111000042</t>
  </si>
  <si>
    <t>5111000044</t>
  </si>
  <si>
    <t>5111000046</t>
  </si>
  <si>
    <t>5111000048</t>
  </si>
  <si>
    <t>5111000051</t>
  </si>
  <si>
    <t>5111000053</t>
  </si>
  <si>
    <t>5111000054</t>
  </si>
  <si>
    <t>5111000055</t>
  </si>
  <si>
    <t>5111000056</t>
  </si>
  <si>
    <t>5111000063</t>
  </si>
  <si>
    <t>5111000072</t>
  </si>
  <si>
    <t>5111000074</t>
  </si>
  <si>
    <t>5111000078</t>
  </si>
  <si>
    <t>5111000082</t>
  </si>
  <si>
    <t>5112610001</t>
  </si>
  <si>
    <t>5111000094</t>
  </si>
  <si>
    <t>5111000097</t>
  </si>
  <si>
    <t>5111000101</t>
  </si>
  <si>
    <t>5111001339</t>
  </si>
  <si>
    <t>5111000872</t>
  </si>
  <si>
    <t>5110270001</t>
  </si>
  <si>
    <t>5111000889</t>
  </si>
  <si>
    <t>5111000892</t>
  </si>
  <si>
    <t>5111000763</t>
  </si>
  <si>
    <t>5111250002</t>
  </si>
  <si>
    <t>5111250003</t>
  </si>
  <si>
    <t>5111001422</t>
  </si>
  <si>
    <t>5110100001</t>
  </si>
  <si>
    <t>5111001728</t>
  </si>
  <si>
    <t>5112020001</t>
  </si>
  <si>
    <t>5112020003</t>
  </si>
  <si>
    <t>5650010002</t>
  </si>
  <si>
    <t>5650600001</t>
  </si>
  <si>
    <t>5652650010</t>
  </si>
  <si>
    <t>5652650011</t>
  </si>
  <si>
    <t>5650460002</t>
  </si>
  <si>
    <t>5111001376</t>
  </si>
  <si>
    <t>5111001159</t>
  </si>
  <si>
    <t>5111001225</t>
  </si>
  <si>
    <t>5111001615</t>
  </si>
  <si>
    <t>5111001751</t>
  </si>
  <si>
    <t>5111000208</t>
  </si>
  <si>
    <t>5111001387</t>
  </si>
  <si>
    <t>5150890031</t>
  </si>
  <si>
    <t>5150890094</t>
  </si>
  <si>
    <t>5150890103</t>
  </si>
  <si>
    <t>5151350002</t>
  </si>
  <si>
    <t>5150890121</t>
  </si>
  <si>
    <t>5150890124</t>
  </si>
  <si>
    <t>5150890464</t>
  </si>
  <si>
    <t>5150890495</t>
  </si>
  <si>
    <t>5150890505</t>
  </si>
  <si>
    <t>5150890496</t>
  </si>
  <si>
    <t>5150890509</t>
  </si>
  <si>
    <t>5150890510</t>
  </si>
  <si>
    <t>5150890480</t>
  </si>
  <si>
    <t>5150890493</t>
  </si>
  <si>
    <t>5150890494</t>
  </si>
  <si>
    <t>5150890502</t>
  </si>
  <si>
    <t>5150890503</t>
  </si>
  <si>
    <t>5150890504</t>
  </si>
  <si>
    <t>5150890490</t>
  </si>
  <si>
    <t>5150890491</t>
  </si>
  <si>
    <t>5150890497</t>
  </si>
  <si>
    <t>5151210003</t>
  </si>
  <si>
    <t>5150930004</t>
  </si>
  <si>
    <t>5151280004</t>
  </si>
  <si>
    <t>5150890084</t>
  </si>
  <si>
    <t>5150890086</t>
  </si>
  <si>
    <t>5150890087</t>
  </si>
  <si>
    <t>5150890088</t>
  </si>
  <si>
    <t>5150890095</t>
  </si>
  <si>
    <t>5150890098</t>
  </si>
  <si>
    <t>5150890102</t>
  </si>
  <si>
    <t>5150890104</t>
  </si>
  <si>
    <t>5150890107</t>
  </si>
  <si>
    <t>5150890108</t>
  </si>
  <si>
    <t>5150890109</t>
  </si>
  <si>
    <t>5150890110</t>
  </si>
  <si>
    <t>5150890111</t>
  </si>
  <si>
    <t>5150890122</t>
  </si>
  <si>
    <t>5150890091</t>
  </si>
  <si>
    <t>5150890092</t>
  </si>
  <si>
    <t>5150890093</t>
  </si>
  <si>
    <t>5150890097</t>
  </si>
  <si>
    <t>5150890100</t>
  </si>
  <si>
    <t>5150890101</t>
  </si>
  <si>
    <t>5150890105</t>
  </si>
  <si>
    <t>5150890106</t>
  </si>
  <si>
    <t>5150890112</t>
  </si>
  <si>
    <t>5150890113</t>
  </si>
  <si>
    <t>5150890114</t>
  </si>
  <si>
    <t>5150890115</t>
  </si>
  <si>
    <t>5150890116</t>
  </si>
  <si>
    <t>5150890125</t>
  </si>
  <si>
    <t>5150890128</t>
  </si>
  <si>
    <t>5151210004</t>
  </si>
  <si>
    <t>5150890129</t>
  </si>
  <si>
    <t>5150890184</t>
  </si>
  <si>
    <t>5150890193</t>
  </si>
  <si>
    <t>5150890173</t>
  </si>
  <si>
    <t>5150890174</t>
  </si>
  <si>
    <t>5150890176</t>
  </si>
  <si>
    <t>5150890178</t>
  </si>
  <si>
    <t>5150890179</t>
  </si>
  <si>
    <t>5150890177</t>
  </si>
  <si>
    <t>5150890368</t>
  </si>
  <si>
    <t>5150890400</t>
  </si>
  <si>
    <t>5150890410</t>
  </si>
  <si>
    <t>5150890411</t>
  </si>
  <si>
    <t>5150890413</t>
  </si>
  <si>
    <t>5150890415</t>
  </si>
  <si>
    <t>5150890418</t>
  </si>
  <si>
    <t>5150890419</t>
  </si>
  <si>
    <t>5150890420</t>
  </si>
  <si>
    <t>5150890421</t>
  </si>
  <si>
    <t>5150890441</t>
  </si>
  <si>
    <t>5150890701</t>
  </si>
  <si>
    <t>5150890702</t>
  </si>
  <si>
    <t>5150890377</t>
  </si>
  <si>
    <t>5150890387</t>
  </si>
  <si>
    <t>5150890404</t>
  </si>
  <si>
    <t>5150890408</t>
  </si>
  <si>
    <t>5150890409</t>
  </si>
  <si>
    <t>5150890436</t>
  </si>
  <si>
    <t>5150890424</t>
  </si>
  <si>
    <t>5150890445</t>
  </si>
  <si>
    <t>5150890370</t>
  </si>
  <si>
    <t>5150890382</t>
  </si>
  <si>
    <t>5150890427</t>
  </si>
  <si>
    <t>5150890428</t>
  </si>
  <si>
    <t>5150890430</t>
  </si>
  <si>
    <t>5150890431</t>
  </si>
  <si>
    <t>5150890433</t>
  </si>
  <si>
    <t>5150890451</t>
  </si>
  <si>
    <t>5150890452</t>
  </si>
  <si>
    <t>5150890432</t>
  </si>
  <si>
    <t>5150890375</t>
  </si>
  <si>
    <t>5150890244</t>
  </si>
  <si>
    <t>5150890394</t>
  </si>
  <si>
    <t>5150890401</t>
  </si>
  <si>
    <t>5150890407</t>
  </si>
  <si>
    <t>5150890426</t>
  </si>
  <si>
    <t>5150890447</t>
  </si>
  <si>
    <t>5150890521</t>
  </si>
  <si>
    <t>5150890542</t>
  </si>
  <si>
    <t>5150890543</t>
  </si>
  <si>
    <t>5150890552</t>
  </si>
  <si>
    <t>5150890556</t>
  </si>
  <si>
    <t>5150890531</t>
  </si>
  <si>
    <t>5150890533</t>
  </si>
  <si>
    <t>5150260001</t>
  </si>
  <si>
    <t>5150890548</t>
  </si>
  <si>
    <t>5150890550</t>
  </si>
  <si>
    <t>5150890541</t>
  </si>
  <si>
    <t>5150890545</t>
  </si>
  <si>
    <t>5150890546</t>
  </si>
  <si>
    <t>5150890547</t>
  </si>
  <si>
    <t>5151170003</t>
  </si>
  <si>
    <t>5150890710</t>
  </si>
  <si>
    <t>5150890621</t>
  </si>
  <si>
    <t>5150890656</t>
  </si>
  <si>
    <t>5150890658</t>
  </si>
  <si>
    <t>5150890703</t>
  </si>
  <si>
    <t>5150890704</t>
  </si>
  <si>
    <t>5151060004</t>
  </si>
  <si>
    <t>5150890705</t>
  </si>
  <si>
    <t>5150890712</t>
  </si>
  <si>
    <t>5150890713</t>
  </si>
  <si>
    <t>5150890714</t>
  </si>
  <si>
    <t>5150890715</t>
  </si>
  <si>
    <t>5150890716</t>
  </si>
  <si>
    <t>5150890717</t>
  </si>
  <si>
    <t>5150890563</t>
  </si>
  <si>
    <t>5150890564</t>
  </si>
  <si>
    <t>5150890565</t>
  </si>
  <si>
    <t>5150890566</t>
  </si>
  <si>
    <t>5150890609</t>
  </si>
  <si>
    <t>5150890588</t>
  </si>
  <si>
    <t>5150890582</t>
  </si>
  <si>
    <t>5150890586</t>
  </si>
  <si>
    <t>5150890593</t>
  </si>
  <si>
    <t>5150890567</t>
  </si>
  <si>
    <t>5150890568</t>
  </si>
  <si>
    <t>5150890569</t>
  </si>
  <si>
    <t>5150890571</t>
  </si>
  <si>
    <t>5150890573</t>
  </si>
  <si>
    <t>5150890576</t>
  </si>
  <si>
    <t>5150890611</t>
  </si>
  <si>
    <t>5150890618</t>
  </si>
  <si>
    <t>5150890231</t>
  </si>
  <si>
    <t>5150890227</t>
  </si>
  <si>
    <t>5150890228</t>
  </si>
  <si>
    <t>5151280007</t>
  </si>
  <si>
    <t>5150890229</t>
  </si>
  <si>
    <t>5150890005</t>
  </si>
  <si>
    <t>5150890006</t>
  </si>
  <si>
    <t>5150890007</t>
  </si>
  <si>
    <t>5150890009</t>
  </si>
  <si>
    <t>5151280001</t>
  </si>
  <si>
    <t>5652570001</t>
  </si>
  <si>
    <t>5112450001</t>
  </si>
  <si>
    <t>5111000148</t>
  </si>
  <si>
    <t>5111000229</t>
  </si>
  <si>
    <t>5111620002</t>
  </si>
  <si>
    <t>5111000751</t>
  </si>
  <si>
    <t>5111720001</t>
  </si>
  <si>
    <t>5111000746</t>
  </si>
  <si>
    <t>5111390004</t>
  </si>
  <si>
    <t>5111000821</t>
  </si>
  <si>
    <t>5110380005</t>
  </si>
  <si>
    <t>5111350001</t>
  </si>
  <si>
    <t>5111000217</t>
  </si>
  <si>
    <t>5652550002</t>
  </si>
  <si>
    <t>5410230053</t>
  </si>
  <si>
    <t>5410470002</t>
  </si>
  <si>
    <t>5410150009</t>
  </si>
  <si>
    <t>5410470001</t>
  </si>
  <si>
    <t>5410540002</t>
  </si>
  <si>
    <t>5410540003</t>
  </si>
  <si>
    <t>5410540004</t>
  </si>
  <si>
    <t>5410540005</t>
  </si>
  <si>
    <t>5410540006</t>
  </si>
  <si>
    <t>5410540007</t>
  </si>
  <si>
    <t>5410540008</t>
  </si>
  <si>
    <t>5410540009</t>
  </si>
  <si>
    <t>5410540010</t>
  </si>
  <si>
    <t>5410230049</t>
  </si>
  <si>
    <t>5410230050</t>
  </si>
  <si>
    <t>5410060033</t>
  </si>
  <si>
    <t>5410250021</t>
  </si>
  <si>
    <t>5410250023</t>
  </si>
  <si>
    <t>5410250037</t>
  </si>
  <si>
    <t>5410250038</t>
  </si>
  <si>
    <t>5410060047</t>
  </si>
  <si>
    <t>5410060048</t>
  </si>
  <si>
    <t>5410060049</t>
  </si>
  <si>
    <t>5410250039</t>
  </si>
  <si>
    <t>5410250040</t>
  </si>
  <si>
    <t>5410250041</t>
  </si>
  <si>
    <t>5410060053</t>
  </si>
  <si>
    <t>5410290004</t>
  </si>
  <si>
    <t>5410540011</t>
  </si>
  <si>
    <t>5410540012</t>
  </si>
  <si>
    <t>5410230029</t>
  </si>
  <si>
    <t>5410510001</t>
  </si>
  <si>
    <t>5410060037</t>
  </si>
  <si>
    <t>5410060038</t>
  </si>
  <si>
    <t>5410060039</t>
  </si>
  <si>
    <t>5410310006</t>
  </si>
  <si>
    <t>5410160001</t>
  </si>
  <si>
    <t>5410460003</t>
  </si>
  <si>
    <t>5410060056</t>
  </si>
  <si>
    <t>5410060057</t>
  </si>
  <si>
    <t>5410060058</t>
  </si>
  <si>
    <t>5410060059</t>
  </si>
  <si>
    <t>5410550001</t>
  </si>
  <si>
    <t>5410060060</t>
  </si>
  <si>
    <t>5410060061</t>
  </si>
  <si>
    <t>5410060062</t>
  </si>
  <si>
    <t>5410060063</t>
  </si>
  <si>
    <t>5410060064</t>
  </si>
  <si>
    <t>5410550002</t>
  </si>
  <si>
    <t>5410060065</t>
  </si>
  <si>
    <t>5410060066</t>
  </si>
  <si>
    <t>5410060067</t>
  </si>
  <si>
    <t>5410060045</t>
  </si>
  <si>
    <t>5410060046</t>
  </si>
  <si>
    <t>5410060050</t>
  </si>
  <si>
    <t>5410060051</t>
  </si>
  <si>
    <t>5410060052</t>
  </si>
  <si>
    <t>5111000162</t>
  </si>
  <si>
    <t>5111000165</t>
  </si>
  <si>
    <t>5111000262</t>
  </si>
  <si>
    <t>5111000735</t>
  </si>
  <si>
    <t>5111000815</t>
  </si>
  <si>
    <t>5111001037</t>
  </si>
  <si>
    <t>5111050001</t>
  </si>
  <si>
    <t>5111050002</t>
  </si>
  <si>
    <t>5111000191</t>
  </si>
  <si>
    <t>5111050003</t>
  </si>
  <si>
    <t>5111000209</t>
  </si>
  <si>
    <t>5111000210</t>
  </si>
  <si>
    <t>5111000267</t>
  </si>
  <si>
    <t>5111000338</t>
  </si>
  <si>
    <t>5111000410</t>
  </si>
  <si>
    <t>5111000462</t>
  </si>
  <si>
    <t>5111050004</t>
  </si>
  <si>
    <t>5111000834</t>
  </si>
  <si>
    <t>5111000835</t>
  </si>
  <si>
    <t>5111000681</t>
  </si>
  <si>
    <t>5111000819</t>
  </si>
  <si>
    <t>5111001619</t>
  </si>
  <si>
    <t>5111001648</t>
  </si>
  <si>
    <t>5111040002</t>
  </si>
  <si>
    <t>5111000967</t>
  </si>
  <si>
    <t>5111001026</t>
  </si>
  <si>
    <t>5112520002</t>
  </si>
  <si>
    <t>5111001044</t>
  </si>
  <si>
    <t>5111001934</t>
  </si>
  <si>
    <t>5111001935</t>
  </si>
  <si>
    <t>5111001758</t>
  </si>
  <si>
    <t>5111000214</t>
  </si>
  <si>
    <t>5111001545</t>
  </si>
  <si>
    <t>5110760020</t>
  </si>
  <si>
    <t>5111001282</t>
  </si>
  <si>
    <t>5111000542</t>
  </si>
  <si>
    <t>5111000543</t>
  </si>
  <si>
    <t>5111000570</t>
  </si>
  <si>
    <t>5111000089</t>
  </si>
  <si>
    <t>5150890056</t>
  </si>
  <si>
    <t>5150890053</t>
  </si>
  <si>
    <t>5150890175</t>
  </si>
  <si>
    <t>5150890355</t>
  </si>
  <si>
    <t>5150890358</t>
  </si>
  <si>
    <t>5150890361</t>
  </si>
  <si>
    <t>5150890362</t>
  </si>
  <si>
    <t>5150890363</t>
  </si>
  <si>
    <t>5150890364</t>
  </si>
  <si>
    <t>5150890397</t>
  </si>
  <si>
    <t>5150890700</t>
  </si>
  <si>
    <t>5150890220</t>
  </si>
  <si>
    <t>5650670013</t>
  </si>
  <si>
    <t>5650670014</t>
  </si>
  <si>
    <t>5650670015</t>
  </si>
  <si>
    <t>5650670005</t>
  </si>
  <si>
    <t>5650670007</t>
  </si>
  <si>
    <t>5650670006</t>
  </si>
  <si>
    <t>5652450001</t>
  </si>
  <si>
    <t>5652450002</t>
  </si>
  <si>
    <t>5650670010</t>
  </si>
  <si>
    <t>5650200001</t>
  </si>
  <si>
    <t>5652420007</t>
  </si>
  <si>
    <t>5652640038</t>
  </si>
  <si>
    <t>5652640032</t>
  </si>
  <si>
    <t>5652640039</t>
  </si>
  <si>
    <t>5650670008</t>
  </si>
  <si>
    <t>5650670012</t>
  </si>
  <si>
    <t>5650670017</t>
  </si>
  <si>
    <t>5652580001</t>
  </si>
  <si>
    <t>5652640021</t>
  </si>
  <si>
    <t>5652710005</t>
  </si>
  <si>
    <t>5652640048</t>
  </si>
  <si>
    <t>5652630001</t>
  </si>
  <si>
    <t>5650670025</t>
  </si>
  <si>
    <t>5652220001</t>
  </si>
  <si>
    <t>5650670004</t>
  </si>
  <si>
    <t>5652170001</t>
  </si>
  <si>
    <t>5652170002</t>
  </si>
  <si>
    <t>5652710001</t>
  </si>
  <si>
    <t>5652640003</t>
  </si>
  <si>
    <t>5111000256</t>
  </si>
  <si>
    <t>5111000950</t>
  </si>
  <si>
    <t>5111570001</t>
  </si>
  <si>
    <t>5111000772</t>
  </si>
  <si>
    <t>5111570002</t>
  </si>
  <si>
    <t>5111570003</t>
  </si>
  <si>
    <t>5111570004</t>
  </si>
  <si>
    <t>5111570005</t>
  </si>
  <si>
    <t>5111000785</t>
  </si>
  <si>
    <t>5112270003</t>
  </si>
  <si>
    <t>5112270004</t>
  </si>
  <si>
    <t>5112270005</t>
  </si>
  <si>
    <t>5112630001</t>
  </si>
  <si>
    <t>5111001591</t>
  </si>
  <si>
    <t>5111001594</t>
  </si>
  <si>
    <t>5111001947</t>
  </si>
  <si>
    <t>5111650001</t>
  </si>
  <si>
    <t>5111500001</t>
  </si>
  <si>
    <t>5111002186</t>
  </si>
  <si>
    <t>5111002224</t>
  </si>
  <si>
    <t>5652640058</t>
  </si>
  <si>
    <t>5652340001</t>
  </si>
  <si>
    <t>5110780033</t>
  </si>
  <si>
    <t>5112660001</t>
  </si>
  <si>
    <t>5112660002</t>
  </si>
  <si>
    <t>5150890530</t>
  </si>
  <si>
    <t>5150890626</t>
  </si>
  <si>
    <t>5150890637</t>
  </si>
  <si>
    <t>5150890639</t>
  </si>
  <si>
    <t>5150890695</t>
  </si>
  <si>
    <t>5150890696</t>
  </si>
  <si>
    <t>5150890011</t>
  </si>
  <si>
    <t>5150890555</t>
  </si>
  <si>
    <t>5111000326</t>
  </si>
  <si>
    <t>5111000327</t>
  </si>
  <si>
    <t>5111000328</t>
  </si>
  <si>
    <t>5150890672</t>
  </si>
  <si>
    <t>5150890643</t>
  </si>
  <si>
    <t>5111001053</t>
  </si>
  <si>
    <t>5111001054</t>
  </si>
  <si>
    <t>5111001055</t>
  </si>
  <si>
    <t>5111001058</t>
  </si>
  <si>
    <t>5111001059</t>
  </si>
  <si>
    <t>5150890034</t>
  </si>
  <si>
    <t>5150890506</t>
  </si>
  <si>
    <t>5150890440</t>
  </si>
  <si>
    <t>5150890454</t>
  </si>
  <si>
    <t>5150890238</t>
  </si>
  <si>
    <t>5150890239</t>
  </si>
  <si>
    <t>5150890240</t>
  </si>
  <si>
    <t>5150890448</t>
  </si>
  <si>
    <t>5150890557</t>
  </si>
  <si>
    <t>5150890644</t>
  </si>
  <si>
    <t>5150890600</t>
  </si>
  <si>
    <t>5150890592</t>
  </si>
  <si>
    <t>5150890575</t>
  </si>
  <si>
    <t>5150890232</t>
  </si>
  <si>
    <t>5110780078</t>
  </si>
  <si>
    <t>5111002180</t>
  </si>
  <si>
    <t>5111002184</t>
  </si>
  <si>
    <t>5111001603</t>
  </si>
  <si>
    <t>5111001607</t>
  </si>
  <si>
    <t>5111001837</t>
  </si>
  <si>
    <t>5111001839</t>
  </si>
  <si>
    <t>5111000839</t>
  </si>
  <si>
    <t>5111000840</t>
  </si>
  <si>
    <t>5111000843</t>
  </si>
  <si>
    <t>5111000844</t>
  </si>
  <si>
    <t>5150890450</t>
  </si>
  <si>
    <t>5150890596</t>
  </si>
  <si>
    <t>5150890680</t>
  </si>
  <si>
    <t>5111001019</t>
  </si>
  <si>
    <t>5111001020</t>
  </si>
  <si>
    <t>5111001021</t>
  </si>
  <si>
    <t>5111001024</t>
  </si>
  <si>
    <t>5111001028</t>
  </si>
  <si>
    <t>5111001031</t>
  </si>
  <si>
    <t>5111001033</t>
  </si>
  <si>
    <t>5111001034</t>
  </si>
  <si>
    <t>5111001035</t>
  </si>
  <si>
    <t>5111001036</t>
  </si>
  <si>
    <t>5111001038</t>
  </si>
  <si>
    <t>5111001039</t>
  </si>
  <si>
    <t>5111001040</t>
  </si>
  <si>
    <t>5111001766</t>
  </si>
  <si>
    <t>5111001730</t>
  </si>
  <si>
    <t>5111001732</t>
  </si>
  <si>
    <t>5150890619</t>
  </si>
  <si>
    <t>5110780084</t>
  </si>
  <si>
    <t>5111000050</t>
  </si>
  <si>
    <t>5110760011</t>
  </si>
  <si>
    <t>5110780004</t>
  </si>
  <si>
    <t>5111001920</t>
  </si>
  <si>
    <t>5111001103</t>
  </si>
  <si>
    <t>5111001234</t>
  </si>
  <si>
    <t>5150890331</t>
  </si>
  <si>
    <t>5150890332</t>
  </si>
  <si>
    <t>5111000093</t>
  </si>
  <si>
    <t>5111002390</t>
  </si>
  <si>
    <t>5110780080</t>
  </si>
  <si>
    <t>5111001584</t>
  </si>
  <si>
    <t>5111001585</t>
  </si>
  <si>
    <t>5111000318</t>
  </si>
  <si>
    <t>5111000319</t>
  </si>
  <si>
    <t>5111001612</t>
  </si>
  <si>
    <t>5111000802</t>
  </si>
  <si>
    <t>5111000803</t>
  </si>
  <si>
    <t>5111000808</t>
  </si>
  <si>
    <t>5111000809</t>
  </si>
  <si>
    <t>5111000810</t>
  </si>
  <si>
    <t>5111000811</t>
  </si>
  <si>
    <t>5111000812</t>
  </si>
  <si>
    <t>5111000813</t>
  </si>
  <si>
    <t>5111000814</t>
  </si>
  <si>
    <t>5111000817</t>
  </si>
  <si>
    <t>5111000818</t>
  </si>
  <si>
    <t>5111000820</t>
  </si>
  <si>
    <t>5111000823</t>
  </si>
  <si>
    <t>5111000825</t>
  </si>
  <si>
    <t>5111000826</t>
  </si>
  <si>
    <t>5111000827</t>
  </si>
  <si>
    <t>5111000828</t>
  </si>
  <si>
    <t>5111000831</t>
  </si>
  <si>
    <t>5111000832</t>
  </si>
  <si>
    <t>5111000836</t>
  </si>
  <si>
    <t>5150890414</t>
  </si>
  <si>
    <t>5111001441</t>
  </si>
  <si>
    <t>5111001442</t>
  </si>
  <si>
    <t>5112000012</t>
  </si>
  <si>
    <t>5111000492</t>
  </si>
  <si>
    <t>5110780051</t>
  </si>
  <si>
    <t>5111001835</t>
  </si>
  <si>
    <t>5111000658</t>
  </si>
  <si>
    <t>5111000320</t>
  </si>
  <si>
    <t>5110810003</t>
  </si>
  <si>
    <t>5111001508</t>
  </si>
  <si>
    <t>5111001052</t>
  </si>
  <si>
    <t>5111001933</t>
  </si>
  <si>
    <t>5111001865</t>
  </si>
  <si>
    <t>5111001867</t>
  </si>
  <si>
    <t>5111001869</t>
  </si>
  <si>
    <t>5110780082</t>
  </si>
  <si>
    <t>5111001443</t>
  </si>
  <si>
    <t>5111001761</t>
  </si>
  <si>
    <t>5111001011</t>
  </si>
  <si>
    <t>5111001013</t>
  </si>
  <si>
    <t>5111001015</t>
  </si>
  <si>
    <t>5111001016</t>
  </si>
  <si>
    <t>5111001017</t>
  </si>
  <si>
    <t>5111001018</t>
  </si>
  <si>
    <t>5111001944</t>
  </si>
  <si>
    <t>5111002187</t>
  </si>
  <si>
    <t>5112610006</t>
  </si>
  <si>
    <t>5111000540</t>
  </si>
  <si>
    <t>5112610004</t>
  </si>
  <si>
    <t>5111001634</t>
  </si>
  <si>
    <t>5111001229</t>
  </si>
  <si>
    <t>5111001231</t>
  </si>
  <si>
    <t>5111002091</t>
  </si>
  <si>
    <t>5111001753</t>
  </si>
  <si>
    <t>5150890417</t>
  </si>
  <si>
    <t>5150890625</t>
  </si>
  <si>
    <t>5150890624</t>
  </si>
  <si>
    <t>5150890634</t>
  </si>
  <si>
    <t>5150890636</t>
  </si>
  <si>
    <t>5150890574</t>
  </si>
  <si>
    <t>5111001158</t>
  </si>
  <si>
    <t>5111001127</t>
  </si>
  <si>
    <t>5111001871</t>
  </si>
  <si>
    <t>5150890181</t>
  </si>
  <si>
    <t>5111002221</t>
  </si>
  <si>
    <t>5111002028</t>
  </si>
  <si>
    <t>5111002093</t>
  </si>
  <si>
    <t>5111001975</t>
  </si>
  <si>
    <t>5112530008</t>
  </si>
  <si>
    <t>5111001877</t>
  </si>
  <si>
    <t>5111001378</t>
  </si>
  <si>
    <t>5111001380</t>
  </si>
  <si>
    <t>5111001863</t>
  </si>
  <si>
    <t>5111001973</t>
  </si>
  <si>
    <t>5111002026</t>
  </si>
  <si>
    <t>5150890708</t>
  </si>
  <si>
    <t>5111000911</t>
  </si>
  <si>
    <t>5111001482</t>
  </si>
  <si>
    <t>5150890202</t>
  </si>
  <si>
    <t>5110780114</t>
  </si>
  <si>
    <t>5112650059</t>
  </si>
  <si>
    <t>5150890617</t>
  </si>
  <si>
    <t>5111001938</t>
  </si>
  <si>
    <t>5110780057</t>
  </si>
  <si>
    <t>5111000092</t>
  </si>
  <si>
    <t>5111000069</t>
  </si>
  <si>
    <t>5111000999</t>
  </si>
  <si>
    <t>5111001001</t>
  </si>
  <si>
    <t>5111000996</t>
  </si>
  <si>
    <t>5111000998</t>
  </si>
  <si>
    <t>5111001000</t>
  </si>
  <si>
    <t>5111001004</t>
  </si>
  <si>
    <t>5111001006</t>
  </si>
  <si>
    <t>5110520005</t>
  </si>
  <si>
    <t>5111001009</t>
  </si>
  <si>
    <t>5111001262</t>
  </si>
  <si>
    <t>5111001128</t>
  </si>
  <si>
    <t>5112530009</t>
  </si>
  <si>
    <t>5111001875</t>
  </si>
  <si>
    <t>5112530006</t>
  </si>
  <si>
    <t>5111001303</t>
  </si>
  <si>
    <t>5150890492</t>
  </si>
  <si>
    <t>5150890412</t>
  </si>
  <si>
    <t>5150890429</t>
  </si>
  <si>
    <t>5150890549</t>
  </si>
  <si>
    <t>5150890551</t>
  </si>
  <si>
    <t>5150890554</t>
  </si>
  <si>
    <t>5150890677</t>
  </si>
  <si>
    <t>5150890678</t>
  </si>
  <si>
    <t>5150890591</t>
  </si>
  <si>
    <t>5111000903</t>
  </si>
  <si>
    <t>5111001967</t>
  </si>
  <si>
    <t>5111000887</t>
  </si>
  <si>
    <t>5110780039</t>
  </si>
  <si>
    <t>5110780043</t>
  </si>
  <si>
    <t>5111001596</t>
  </si>
  <si>
    <t>5111001599</t>
  </si>
  <si>
    <t>5112650065</t>
  </si>
  <si>
    <t>5111000481</t>
  </si>
  <si>
    <t>5111000483</t>
  </si>
  <si>
    <t>5150890393</t>
  </si>
  <si>
    <t>5111000519</t>
  </si>
  <si>
    <t>5111001390</t>
  </si>
  <si>
    <t>5111001391</t>
  </si>
  <si>
    <t>5111001392</t>
  </si>
  <si>
    <t>5112650036</t>
  </si>
  <si>
    <t>5111000039</t>
  </si>
  <si>
    <t>5150890241</t>
  </si>
  <si>
    <t>5112650032</t>
  </si>
  <si>
    <t>5110780036</t>
  </si>
  <si>
    <t>5110780040</t>
  </si>
  <si>
    <t>5110780041</t>
  </si>
  <si>
    <t>5111000725</t>
  </si>
  <si>
    <t>5111000727</t>
  </si>
  <si>
    <t>5150890383</t>
  </si>
  <si>
    <t>5111001590</t>
  </si>
  <si>
    <t>5111000656</t>
  </si>
  <si>
    <t>5111000657</t>
  </si>
  <si>
    <t>5111000316</t>
  </si>
  <si>
    <t>5112650033</t>
  </si>
  <si>
    <t>5112650034</t>
  </si>
  <si>
    <t>5112650037</t>
  </si>
  <si>
    <t>5112650038</t>
  </si>
  <si>
    <t>5111000422</t>
  </si>
  <si>
    <t>5111000533</t>
  </si>
  <si>
    <t>5111000720</t>
  </si>
  <si>
    <t>5110760015</t>
  </si>
  <si>
    <t>5111002218</t>
  </si>
  <si>
    <t>5111001104</t>
  </si>
  <si>
    <t>5111001108</t>
  </si>
  <si>
    <t>5111001110</t>
  </si>
  <si>
    <t>5111001113</t>
  </si>
  <si>
    <t>5111001115</t>
  </si>
  <si>
    <t>5111001116</t>
  </si>
  <si>
    <t>5111001119</t>
  </si>
  <si>
    <t>5111001121</t>
  </si>
  <si>
    <t>5111001122</t>
  </si>
  <si>
    <t>5111001124</t>
  </si>
  <si>
    <t>5111001125</t>
  </si>
  <si>
    <t>5111001129</t>
  </si>
  <si>
    <t>5111001130</t>
  </si>
  <si>
    <t>5111001131</t>
  </si>
  <si>
    <t>5111001132</t>
  </si>
  <si>
    <t>5111001133</t>
  </si>
  <si>
    <t>5111001134</t>
  </si>
  <si>
    <t>5111001135</t>
  </si>
  <si>
    <t>5111001136</t>
  </si>
  <si>
    <t>5111001137</t>
  </si>
  <si>
    <t>5111001138</t>
  </si>
  <si>
    <t>5111000197</t>
  </si>
  <si>
    <t>5111001406</t>
  </si>
  <si>
    <t>5111001647</t>
  </si>
  <si>
    <t>5111001649</t>
  </si>
  <si>
    <t>5111001651</t>
  </si>
  <si>
    <t>5111001654</t>
  </si>
  <si>
    <t>5111000020</t>
  </si>
  <si>
    <t>5111000909</t>
  </si>
  <si>
    <t>5111000437</t>
  </si>
  <si>
    <t>5111001582</t>
  </si>
  <si>
    <t>5111001581</t>
  </si>
  <si>
    <t>5111001265</t>
  </si>
  <si>
    <t>5112530007</t>
  </si>
  <si>
    <t>5111001467</t>
  </si>
  <si>
    <t>5150890422</t>
  </si>
  <si>
    <t>5150890423</t>
  </si>
  <si>
    <t>5111001963</t>
  </si>
  <si>
    <t>5151190006</t>
  </si>
  <si>
    <t>5151110002</t>
  </si>
  <si>
    <t>5150890237</t>
  </si>
  <si>
    <t>5111001237</t>
  </si>
  <si>
    <t>5111001240</t>
  </si>
  <si>
    <t>5111001242</t>
  </si>
  <si>
    <t>5111001244</t>
  </si>
  <si>
    <t>5111001247</t>
  </si>
  <si>
    <t>5111001249</t>
  </si>
  <si>
    <t>5111001250</t>
  </si>
  <si>
    <t>5111001252</t>
  </si>
  <si>
    <t>5111001254</t>
  </si>
  <si>
    <t>5111001257</t>
  </si>
  <si>
    <t>5111001259</t>
  </si>
  <si>
    <t>5111001260</t>
  </si>
  <si>
    <t>5111001261</t>
  </si>
  <si>
    <t>5111001445</t>
  </si>
  <si>
    <t>5150890218</t>
  </si>
  <si>
    <t>5112650019</t>
  </si>
  <si>
    <t>5112650020</t>
  </si>
  <si>
    <t>5112650021</t>
  </si>
  <si>
    <t>5112650022</t>
  </si>
  <si>
    <t>5111630005</t>
  </si>
  <si>
    <t>5111001962</t>
  </si>
  <si>
    <t>5111001855</t>
  </si>
  <si>
    <t>5150890139</t>
  </si>
  <si>
    <t>5111000485</t>
  </si>
  <si>
    <t>5111000490</t>
  </si>
  <si>
    <t>5111000491</t>
  </si>
  <si>
    <t>5111000493</t>
  </si>
  <si>
    <t>5111002395</t>
  </si>
  <si>
    <t>5111001511</t>
  </si>
  <si>
    <t>5111001549</t>
  </si>
  <si>
    <t>5111000796</t>
  </si>
  <si>
    <t>5111000798</t>
  </si>
  <si>
    <t>5111000799</t>
  </si>
  <si>
    <t>5111000800</t>
  </si>
  <si>
    <t>5111000801</t>
  </si>
  <si>
    <t>5111000071</t>
  </si>
  <si>
    <t>5112410001</t>
  </si>
  <si>
    <t>5150890372</t>
  </si>
  <si>
    <t>5110780068</t>
  </si>
  <si>
    <t>5111001910</t>
  </si>
  <si>
    <t>5111002104</t>
  </si>
  <si>
    <t>5111002107</t>
  </si>
  <si>
    <t>5111001889</t>
  </si>
  <si>
    <t>5111000918</t>
  </si>
  <si>
    <t>5112650006</t>
  </si>
  <si>
    <t>5112650008</t>
  </si>
  <si>
    <t>5111000447</t>
  </si>
  <si>
    <t>5112650009</t>
  </si>
  <si>
    <t>5110780010</t>
  </si>
  <si>
    <t>5111002392</t>
  </si>
  <si>
    <t>5111002005</t>
  </si>
  <si>
    <t>5111000694</t>
  </si>
  <si>
    <t>5150890222</t>
  </si>
  <si>
    <t>5111001487</t>
  </si>
  <si>
    <t>5111000482</t>
  </si>
  <si>
    <t>5111002031</t>
  </si>
  <si>
    <t>5111001833</t>
  </si>
  <si>
    <t>5111000914</t>
  </si>
  <si>
    <t>5110780017</t>
  </si>
  <si>
    <t>5110850004</t>
  </si>
  <si>
    <t>5112650058</t>
  </si>
  <si>
    <t>5111002057</t>
  </si>
  <si>
    <t>5111620008</t>
  </si>
  <si>
    <t>5111000243</t>
  </si>
  <si>
    <t>5111000366</t>
  </si>
  <si>
    <t>5111000368</t>
  </si>
  <si>
    <t>5111001922</t>
  </si>
  <si>
    <t>5150890535</t>
  </si>
  <si>
    <t>5111000777</t>
  </si>
  <si>
    <t>5111002100</t>
  </si>
  <si>
    <t>5111002102</t>
  </si>
  <si>
    <t>5111000531</t>
  </si>
  <si>
    <t>5110780013</t>
  </si>
  <si>
    <t>5111000852</t>
  </si>
  <si>
    <t>5150890356</t>
  </si>
  <si>
    <t>5150890357</t>
  </si>
  <si>
    <t>5150890359</t>
  </si>
  <si>
    <t>5150890360</t>
  </si>
  <si>
    <t>5150890336</t>
  </si>
  <si>
    <t>5111001048</t>
  </si>
  <si>
    <t>5111001911</t>
  </si>
  <si>
    <t>5111002065</t>
  </si>
  <si>
    <t>5111002067</t>
  </si>
  <si>
    <t>5111001854</t>
  </si>
  <si>
    <t>5111001523</t>
  </si>
  <si>
    <t>5111001658</t>
  </si>
  <si>
    <t>5111001660</t>
  </si>
  <si>
    <t>5111001661</t>
  </si>
  <si>
    <t>5111001664</t>
  </si>
  <si>
    <t>5111001667</t>
  </si>
  <si>
    <t>5111001669</t>
  </si>
  <si>
    <t>5110390036</t>
  </si>
  <si>
    <t>5111001673</t>
  </si>
  <si>
    <t>5111001675</t>
  </si>
  <si>
    <t>5111001676</t>
  </si>
  <si>
    <t>5110550004</t>
  </si>
  <si>
    <t>5111000086</t>
  </si>
  <si>
    <t>5110390033</t>
  </si>
  <si>
    <t>5652500001</t>
  </si>
  <si>
    <t>5111002182</t>
  </si>
  <si>
    <t>5652530001</t>
  </si>
  <si>
    <t>5111001061</t>
  </si>
  <si>
    <t>5111001062</t>
  </si>
  <si>
    <t>5111001063</t>
  </si>
  <si>
    <t>5111000077</t>
  </si>
  <si>
    <t>5111000079</t>
  </si>
  <si>
    <t>5110780113</t>
  </si>
  <si>
    <t>5111001974</t>
  </si>
  <si>
    <t>5111001056</t>
  </si>
  <si>
    <t>5111000847</t>
  </si>
  <si>
    <t>5111000677</t>
  </si>
  <si>
    <t>5111000683</t>
  </si>
  <si>
    <t>5111000337</t>
  </si>
  <si>
    <t>5111000339</t>
  </si>
  <si>
    <t>5111000340</t>
  </si>
  <si>
    <t>5111000341</t>
  </si>
  <si>
    <t>5111000344</t>
  </si>
  <si>
    <t>5111000347</t>
  </si>
  <si>
    <t>5111000348</t>
  </si>
  <si>
    <t>5111000350</t>
  </si>
  <si>
    <t>5111000352</t>
  </si>
  <si>
    <t>5111000353</t>
  </si>
  <si>
    <t>5111000356</t>
  </si>
  <si>
    <t>5112650051</t>
  </si>
  <si>
    <t>5112650052</t>
  </si>
  <si>
    <t>5111001960</t>
  </si>
  <si>
    <t>5111000765</t>
  </si>
  <si>
    <t>5111000767</t>
  </si>
  <si>
    <t>5111000768</t>
  </si>
  <si>
    <t>5111000769</t>
  </si>
  <si>
    <t>5111001363</t>
  </si>
  <si>
    <t>5111000380</t>
  </si>
  <si>
    <t>5111000742</t>
  </si>
  <si>
    <t>5111000741</t>
  </si>
  <si>
    <t>5111000744</t>
  </si>
  <si>
    <t>5111000591</t>
  </si>
  <si>
    <t>5111000592</t>
  </si>
  <si>
    <t>5111000596</t>
  </si>
  <si>
    <t>5111000611</t>
  </si>
  <si>
    <t>5111000602</t>
  </si>
  <si>
    <t>5111000604</t>
  </si>
  <si>
    <t>5111000614</t>
  </si>
  <si>
    <t>5111000619</t>
  </si>
  <si>
    <t>5111000639</t>
  </si>
  <si>
    <t>5111000642</t>
  </si>
  <si>
    <t>5112030009</t>
  </si>
  <si>
    <t>5111000236</t>
  </si>
  <si>
    <t>5111000463</t>
  </si>
  <si>
    <t>5111000467</t>
  </si>
  <si>
    <t>5111000468</t>
  </si>
  <si>
    <t>5111000469</t>
  </si>
  <si>
    <t>5111000472</t>
  </si>
  <si>
    <t>5111000474</t>
  </si>
  <si>
    <t>5111000477</t>
  </si>
  <si>
    <t>5111000478</t>
  </si>
  <si>
    <t>5111001373</t>
  </si>
  <si>
    <t>5111001629</t>
  </si>
  <si>
    <t>5111001162</t>
  </si>
  <si>
    <t>5111000860</t>
  </si>
  <si>
    <t>5111000739</t>
  </si>
  <si>
    <t>5111000740</t>
  </si>
  <si>
    <t>5111000780</t>
  </si>
  <si>
    <t>5111000784</t>
  </si>
  <si>
    <t>5111000788</t>
  </si>
  <si>
    <t>5111000790</t>
  </si>
  <si>
    <t>5111000794</t>
  </si>
  <si>
    <t>5111000582</t>
  </si>
  <si>
    <t>5111000583</t>
  </si>
  <si>
    <t>5111000586</t>
  </si>
  <si>
    <t>5111000587</t>
  </si>
  <si>
    <t>5111000590</t>
  </si>
  <si>
    <t>5111000707</t>
  </si>
  <si>
    <t>5111000709</t>
  </si>
  <si>
    <t>5111000711</t>
  </si>
  <si>
    <t>5111000714</t>
  </si>
  <si>
    <t>5111000715</t>
  </si>
  <si>
    <t>5111001345</t>
  </si>
  <si>
    <t>5111000312</t>
  </si>
  <si>
    <t>5111000494</t>
  </si>
  <si>
    <t>5111000158</t>
  </si>
  <si>
    <t>5111000034</t>
  </si>
  <si>
    <t>5110520003</t>
  </si>
  <si>
    <t>5111000971</t>
  </si>
  <si>
    <t>5111000972</t>
  </si>
  <si>
    <t>5111000973</t>
  </si>
  <si>
    <t>5652610002</t>
  </si>
  <si>
    <t>5150890145</t>
  </si>
  <si>
    <t>5111001790</t>
  </si>
  <si>
    <t>5111001139</t>
  </si>
  <si>
    <t>5111000333</t>
  </si>
  <si>
    <t>5111001228</t>
  </si>
  <si>
    <t>5111001924</t>
  </si>
  <si>
    <t>5111001926</t>
  </si>
  <si>
    <t>5111001927</t>
  </si>
  <si>
    <t>5150890165</t>
  </si>
  <si>
    <t>5150890140</t>
  </si>
  <si>
    <t>5112580002</t>
  </si>
  <si>
    <t>5111000095</t>
  </si>
  <si>
    <t>5111001468</t>
  </si>
  <si>
    <t>5112680010</t>
  </si>
  <si>
    <t>5111000849</t>
  </si>
  <si>
    <t>5110780087</t>
  </si>
  <si>
    <t>5111000313</t>
  </si>
  <si>
    <t>5112000004</t>
  </si>
  <si>
    <t>5111790002</t>
  </si>
  <si>
    <t>5111001029</t>
  </si>
  <si>
    <t>5111001942</t>
  </si>
  <si>
    <t>5110780052</t>
  </si>
  <si>
    <t>5110780007</t>
  </si>
  <si>
    <t>5110780012</t>
  </si>
  <si>
    <t>5112670006</t>
  </si>
  <si>
    <t>5111001674</t>
  </si>
  <si>
    <t>5111001459</t>
  </si>
  <si>
    <t>5111000964</t>
  </si>
  <si>
    <t>5110490007</t>
  </si>
  <si>
    <t>5150890577</t>
  </si>
  <si>
    <t>5110780065</t>
  </si>
  <si>
    <t>5151120002</t>
  </si>
  <si>
    <t>5110780037</t>
  </si>
  <si>
    <t>5111001002</t>
  </si>
  <si>
    <t>5111001764</t>
  </si>
  <si>
    <t>5111001617</t>
  </si>
  <si>
    <t>5111000170</t>
  </si>
  <si>
    <t>5112650001</t>
  </si>
  <si>
    <t>5111000496</t>
  </si>
  <si>
    <t>5111000764</t>
  </si>
  <si>
    <t>5111000766</t>
  </si>
  <si>
    <t>5110380016</t>
  </si>
  <si>
    <t>5111000287</t>
  </si>
  <si>
    <t>5111000289</t>
  </si>
  <si>
    <t>5111000291</t>
  </si>
  <si>
    <t>5150890537</t>
  </si>
  <si>
    <t>5150890581</t>
  </si>
  <si>
    <t>5111630006</t>
  </si>
  <si>
    <t>5110170001</t>
  </si>
  <si>
    <t>5111001219</t>
  </si>
  <si>
    <t>5111001221</t>
  </si>
  <si>
    <t>5111001223</t>
  </si>
  <si>
    <t>5111001224</t>
  </si>
  <si>
    <t>5111620003</t>
  </si>
  <si>
    <t>5112650017</t>
  </si>
  <si>
    <t>5110780042</t>
  </si>
  <si>
    <t>5111000721</t>
  </si>
  <si>
    <t>5111000723</t>
  </si>
  <si>
    <t>5110780079</t>
  </si>
  <si>
    <t>5110770004</t>
  </si>
  <si>
    <t>5110780049</t>
  </si>
  <si>
    <t>5110780107</t>
  </si>
  <si>
    <t>5110780108</t>
  </si>
  <si>
    <t>5111002160</t>
  </si>
  <si>
    <t>5111001939</t>
  </si>
  <si>
    <t>5111002055</t>
  </si>
  <si>
    <t>5111001587</t>
  </si>
  <si>
    <t>5111000317</t>
  </si>
  <si>
    <t>5111000073</t>
  </si>
  <si>
    <t>5111001160</t>
  </si>
  <si>
    <t>5150890395</t>
  </si>
  <si>
    <t>5112000010</t>
  </si>
  <si>
    <t>5111000081</t>
  </si>
  <si>
    <t>5110780026</t>
  </si>
  <si>
    <t>5111001893</t>
  </si>
  <si>
    <t>5150890337</t>
  </si>
  <si>
    <t>5111000145</t>
  </si>
  <si>
    <t>5650110001</t>
  </si>
  <si>
    <t>5111001642</t>
  </si>
  <si>
    <t>5111000461</t>
  </si>
  <si>
    <t>5150890223</t>
  </si>
  <si>
    <t>5150890028</t>
  </si>
  <si>
    <t>5150890010</t>
  </si>
  <si>
    <t>5111001512</t>
  </si>
  <si>
    <t>5111001998</t>
  </si>
  <si>
    <t>5110780023</t>
  </si>
  <si>
    <t>5111001245</t>
  </si>
  <si>
    <t>5111001636</t>
  </si>
  <si>
    <t>5111001639</t>
  </si>
  <si>
    <t>5111001976</t>
  </si>
  <si>
    <t>5150890469</t>
  </si>
  <si>
    <t>5110230008</t>
  </si>
  <si>
    <t>5111001218</t>
  </si>
  <si>
    <t>5111000552</t>
  </si>
  <si>
    <t>5110780063</t>
  </si>
  <si>
    <t>5111001226</t>
  </si>
  <si>
    <t>5111001595</t>
  </si>
  <si>
    <t>5111000033</t>
  </si>
  <si>
    <t>5150890398</t>
  </si>
  <si>
    <t>5111001580</t>
  </si>
  <si>
    <t>5111001093</t>
  </si>
  <si>
    <t>5111001095</t>
  </si>
  <si>
    <t>5111001096</t>
  </si>
  <si>
    <t>5111001098</t>
  </si>
  <si>
    <t>5111001099</t>
  </si>
  <si>
    <t>5150890215</t>
  </si>
  <si>
    <t>5651830001</t>
  </si>
  <si>
    <t>5112650050</t>
  </si>
  <si>
    <t>5111001928</t>
  </si>
  <si>
    <t>5111001929</t>
  </si>
  <si>
    <t>5111001930</t>
  </si>
  <si>
    <t>5111001931</t>
  </si>
  <si>
    <t>5110530002</t>
  </si>
  <si>
    <t>5111000488</t>
  </si>
  <si>
    <t>5111001289</t>
  </si>
  <si>
    <t>5110850002</t>
  </si>
  <si>
    <t>5110760014</t>
  </si>
  <si>
    <t>5112000007</t>
  </si>
  <si>
    <t>5111001979</t>
  </si>
  <si>
    <t>5111001712</t>
  </si>
  <si>
    <t>5111001301</t>
  </si>
  <si>
    <t>5111001318</t>
  </si>
  <si>
    <t>5111000164</t>
  </si>
  <si>
    <t>5111001940</t>
  </si>
  <si>
    <t>5111001632</t>
  </si>
  <si>
    <t>5111001844</t>
  </si>
  <si>
    <t>5111001846</t>
  </si>
  <si>
    <t>5110780035</t>
  </si>
  <si>
    <t>5112020002</t>
  </si>
  <si>
    <t>5150890711</t>
  </si>
  <si>
    <t>5150890709</t>
  </si>
  <si>
    <t>5150890707</t>
  </si>
  <si>
    <t>5111001941</t>
  </si>
  <si>
    <t>5111001627</t>
  </si>
  <si>
    <t>5650670038</t>
  </si>
  <si>
    <t>5112030017</t>
  </si>
  <si>
    <t>5110230048</t>
  </si>
  <si>
    <t>5112680019</t>
  </si>
  <si>
    <t>5111001955</t>
  </si>
  <si>
    <t>5111620004</t>
  </si>
  <si>
    <t>5112170001</t>
  </si>
  <si>
    <t>5150890020</t>
  </si>
  <si>
    <t>5111001731</t>
  </si>
  <si>
    <t>5111001715</t>
  </si>
  <si>
    <t>5111001360</t>
  </si>
  <si>
    <t>5111000335</t>
  </si>
  <si>
    <t>5110490002</t>
  </si>
  <si>
    <t>5111000995</t>
  </si>
  <si>
    <t>5110250016</t>
  </si>
  <si>
    <t>5110250015</t>
  </si>
  <si>
    <t>5650670003</t>
  </si>
  <si>
    <t>5111001679</t>
  </si>
  <si>
    <t>5111001682</t>
  </si>
  <si>
    <t>5111001685</t>
  </si>
  <si>
    <t>5111001688</t>
  </si>
  <si>
    <t>5111001690</t>
  </si>
  <si>
    <t>5111001693</t>
  </si>
  <si>
    <t>5111001696</t>
  </si>
  <si>
    <t>5111001697</t>
  </si>
  <si>
    <t>5111001700</t>
  </si>
  <si>
    <t>5150890334</t>
  </si>
  <si>
    <t>5150890164</t>
  </si>
  <si>
    <t>5112030002</t>
  </si>
  <si>
    <t>5150890138</t>
  </si>
  <si>
    <t>5110390004</t>
  </si>
  <si>
    <t>5110390005</t>
  </si>
  <si>
    <t>5110390006</t>
  </si>
  <si>
    <t>5110390007</t>
  </si>
  <si>
    <t>5111000314</t>
  </si>
  <si>
    <t>5110390008</t>
  </si>
  <si>
    <t>5111700001</t>
  </si>
  <si>
    <t>5111000322</t>
  </si>
  <si>
    <t>5110390009</t>
  </si>
  <si>
    <t>5111700002</t>
  </si>
  <si>
    <t>5111700003</t>
  </si>
  <si>
    <t>5111700004</t>
  </si>
  <si>
    <t>5111700005</t>
  </si>
  <si>
    <t>5110390037</t>
  </si>
  <si>
    <t>5650010004</t>
  </si>
  <si>
    <t>5110370075</t>
  </si>
  <si>
    <t>5110370028</t>
  </si>
  <si>
    <t>5111002074</t>
  </si>
  <si>
    <t>5110360020</t>
  </si>
  <si>
    <t>5111001041</t>
  </si>
  <si>
    <t>5111001042</t>
  </si>
  <si>
    <t>5111001043</t>
  </si>
  <si>
    <t>5111001045</t>
  </si>
  <si>
    <t>5111001047</t>
  </si>
  <si>
    <t>5111001049</t>
  </si>
  <si>
    <t>5111001051</t>
  </si>
  <si>
    <t>5110380012</t>
  </si>
  <si>
    <t>5111000013</t>
  </si>
  <si>
    <t>5111001256</t>
  </si>
  <si>
    <t>5110250006</t>
  </si>
  <si>
    <t>5110230028</t>
  </si>
  <si>
    <t>5110250014</t>
  </si>
  <si>
    <t>5110250018</t>
  </si>
  <si>
    <t>5111001972</t>
  </si>
  <si>
    <t>5110380010</t>
  </si>
  <si>
    <t>5111000979</t>
  </si>
  <si>
    <t>5150890023</t>
  </si>
  <si>
    <t>5150890171</t>
  </si>
  <si>
    <t>5150890133</t>
  </si>
  <si>
    <t>5150890134</t>
  </si>
  <si>
    <t>5150890294</t>
  </si>
  <si>
    <t>5150890287</t>
  </si>
  <si>
    <t>5150890281</t>
  </si>
  <si>
    <t>5150890313</t>
  </si>
  <si>
    <t>5150890649</t>
  </si>
  <si>
    <t>5150890561</t>
  </si>
  <si>
    <t>5150890580</t>
  </si>
  <si>
    <t>5150890583</t>
  </si>
  <si>
    <t>5150890002</t>
  </si>
  <si>
    <t>5110380002</t>
  </si>
  <si>
    <t>5111000806</t>
  </si>
  <si>
    <t>5111630017</t>
  </si>
  <si>
    <t>5110230043</t>
  </si>
  <si>
    <t>5150890608</t>
  </si>
  <si>
    <t>5150890660</t>
  </si>
  <si>
    <t>5111000090</t>
  </si>
  <si>
    <t>5111001411</t>
  </si>
  <si>
    <t>5111001412</t>
  </si>
  <si>
    <t>5150890540</t>
  </si>
  <si>
    <t>5150890001</t>
  </si>
  <si>
    <t>5112680011</t>
  </si>
  <si>
    <t>5110540008</t>
  </si>
  <si>
    <t>5110230040</t>
  </si>
  <si>
    <t>5150890216</t>
  </si>
  <si>
    <t>5150890046</t>
  </si>
  <si>
    <t>5150890167</t>
  </si>
  <si>
    <t>5112260001</t>
  </si>
  <si>
    <t>5110370088</t>
  </si>
  <si>
    <t>5110370089</t>
  </si>
  <si>
    <t>5112530004</t>
  </si>
  <si>
    <t>5111000428</t>
  </si>
  <si>
    <t>5112530005</t>
  </si>
  <si>
    <t>5112130006</t>
  </si>
  <si>
    <t>5111001149</t>
  </si>
  <si>
    <t>5110780032</t>
  </si>
  <si>
    <t>5111000425</t>
  </si>
  <si>
    <t>5110780014</t>
  </si>
  <si>
    <t>5110780015</t>
  </si>
  <si>
    <t>5111000534</t>
  </si>
  <si>
    <t>5110780016</t>
  </si>
  <si>
    <t>5111000896</t>
  </si>
  <si>
    <t>5111000899</t>
  </si>
  <si>
    <t>5111000902</t>
  </si>
  <si>
    <t>5111000853</t>
  </si>
  <si>
    <t>5111000855</t>
  </si>
  <si>
    <t>5111000308</t>
  </si>
  <si>
    <t>5110780001</t>
  </si>
  <si>
    <t>5110760018</t>
  </si>
  <si>
    <t>5111000083</t>
  </si>
  <si>
    <t>5110230051</t>
  </si>
  <si>
    <t>5111001746</t>
  </si>
  <si>
    <t>5111001750</t>
  </si>
  <si>
    <t>5150890307</t>
  </si>
  <si>
    <t>5150890488</t>
  </si>
  <si>
    <t>5111001396</t>
  </si>
  <si>
    <t>5111001701</t>
  </si>
  <si>
    <t>5111001707</t>
  </si>
  <si>
    <t>5111001710</t>
  </si>
  <si>
    <t>5652640007</t>
  </si>
  <si>
    <t>5652640022</t>
  </si>
  <si>
    <t>5652640023</t>
  </si>
  <si>
    <t>5652640024</t>
  </si>
  <si>
    <t>5652640025</t>
  </si>
  <si>
    <t>5652640026</t>
  </si>
  <si>
    <t>5652640027</t>
  </si>
  <si>
    <t>5652640033</t>
  </si>
  <si>
    <t>5652660001</t>
  </si>
  <si>
    <t>5650670021</t>
  </si>
  <si>
    <t>5652640059</t>
  </si>
  <si>
    <t>5652640013</t>
  </si>
  <si>
    <t>5652640014</t>
  </si>
  <si>
    <t>5652640018</t>
  </si>
  <si>
    <t>5652640019</t>
  </si>
  <si>
    <t>5650670031</t>
  </si>
  <si>
    <t>5650670032</t>
  </si>
  <si>
    <t>5650670033</t>
  </si>
  <si>
    <t>5652640057</t>
  </si>
  <si>
    <t>5652640055</t>
  </si>
  <si>
    <t>5652640053</t>
  </si>
  <si>
    <t>5652710008</t>
  </si>
  <si>
    <t>5650670002</t>
  </si>
  <si>
    <t>5650010001</t>
  </si>
  <si>
    <t>5111001155</t>
  </si>
  <si>
    <t>5110490014</t>
  </si>
  <si>
    <t>5112680012</t>
  </si>
  <si>
    <t>5112130003</t>
  </si>
  <si>
    <t>5110230030</t>
  </si>
  <si>
    <t>5110230054</t>
  </si>
  <si>
    <t>5650670037</t>
  </si>
  <si>
    <t>5652610003</t>
  </si>
  <si>
    <t>5150710001</t>
  </si>
  <si>
    <t>5150890052</t>
  </si>
  <si>
    <t>5111000080</t>
  </si>
  <si>
    <t>5111000435</t>
  </si>
  <si>
    <t>5111001543</t>
  </si>
  <si>
    <t>5112030034</t>
  </si>
  <si>
    <t>5112030046</t>
  </si>
  <si>
    <t>5112030024</t>
  </si>
  <si>
    <t>5650670001</t>
  </si>
  <si>
    <t>5112130004</t>
  </si>
  <si>
    <t>5111000648</t>
  </si>
  <si>
    <t>5110780053</t>
  </si>
  <si>
    <t>5111001164</t>
  </si>
  <si>
    <t>5110230009</t>
  </si>
  <si>
    <t>5110360004</t>
  </si>
  <si>
    <t>5111001107</t>
  </si>
  <si>
    <t>5111001109</t>
  </si>
  <si>
    <t>5111001111</t>
  </si>
  <si>
    <t>5111001178</t>
  </si>
  <si>
    <t>5111001179</t>
  </si>
  <si>
    <t>5111001180</t>
  </si>
  <si>
    <t>5111001182</t>
  </si>
  <si>
    <t>5111001183</t>
  </si>
  <si>
    <t>5111001184</t>
  </si>
  <si>
    <t>5111001185</t>
  </si>
  <si>
    <t>5111001186</t>
  </si>
  <si>
    <t>5111001187</t>
  </si>
  <si>
    <t>5111001189</t>
  </si>
  <si>
    <t>5110230032</t>
  </si>
  <si>
    <t>5110540003</t>
  </si>
  <si>
    <t>5110010001</t>
  </si>
  <si>
    <t>5110230055</t>
  </si>
  <si>
    <t>5111002083</t>
  </si>
  <si>
    <t>5111000102</t>
  </si>
  <si>
    <t>5150890320</t>
  </si>
  <si>
    <t>5652270001</t>
  </si>
  <si>
    <t>5111650002</t>
  </si>
  <si>
    <t>5111001862</t>
  </si>
  <si>
    <t>5110540007</t>
  </si>
  <si>
    <t>5111002063</t>
  </si>
  <si>
    <t>5111001583</t>
  </si>
  <si>
    <t>5652650007</t>
  </si>
  <si>
    <t>5652690001</t>
  </si>
  <si>
    <t>5111001460</t>
  </si>
  <si>
    <t>5110230019</t>
  </si>
  <si>
    <t>5111001726</t>
  </si>
  <si>
    <t>5150890063</t>
  </si>
  <si>
    <t>5110390001</t>
  </si>
  <si>
    <t>5110390002</t>
  </si>
  <si>
    <t>5110370064</t>
  </si>
  <si>
    <t>5151110003</t>
  </si>
  <si>
    <t>5111100011</t>
  </si>
  <si>
    <t>5110250009</t>
  </si>
  <si>
    <t>5110230052</t>
  </si>
  <si>
    <t>5110370047</t>
  </si>
  <si>
    <t>5111001012</t>
  </si>
  <si>
    <t>5111001014</t>
  </si>
  <si>
    <t>5111001915</t>
  </si>
  <si>
    <t>5111001951</t>
  </si>
  <si>
    <t>5111001990</t>
  </si>
  <si>
    <t>5111001992</t>
  </si>
  <si>
    <t>5111001994</t>
  </si>
  <si>
    <t>5111001996</t>
  </si>
  <si>
    <t>5111001997</t>
  </si>
  <si>
    <t>5111002000</t>
  </si>
  <si>
    <t>5111002001</t>
  </si>
  <si>
    <t>5111001953</t>
  </si>
  <si>
    <t>5111001891</t>
  </si>
  <si>
    <t>5111001892</t>
  </si>
  <si>
    <t>5111001890</t>
  </si>
  <si>
    <t>5111001799</t>
  </si>
  <si>
    <t>5110370074</t>
  </si>
  <si>
    <t>5111100013</t>
  </si>
  <si>
    <t>5111001971</t>
  </si>
  <si>
    <t>5110230039</t>
  </si>
  <si>
    <t>5110360005</t>
  </si>
  <si>
    <t>5111001362</t>
  </si>
  <si>
    <t>5111000898</t>
  </si>
  <si>
    <t>5112680013</t>
  </si>
  <si>
    <t>5110380027</t>
  </si>
  <si>
    <t>5110370046</t>
  </si>
  <si>
    <t>5111000018</t>
  </si>
  <si>
    <t>5110230049</t>
  </si>
  <si>
    <t>5150890162</t>
  </si>
  <si>
    <t>5110240006</t>
  </si>
  <si>
    <t>5150890057</t>
  </si>
  <si>
    <t>5150890354</t>
  </si>
  <si>
    <t>5151110001</t>
  </si>
  <si>
    <t>5150890284</t>
  </si>
  <si>
    <t>5110230006</t>
  </si>
  <si>
    <t>5110520001</t>
  </si>
  <si>
    <t>5111001253</t>
  </si>
  <si>
    <t>5112070004</t>
  </si>
  <si>
    <t>5111002009</t>
  </si>
  <si>
    <t>5111000951</t>
  </si>
  <si>
    <t>5111000480</t>
  </si>
  <si>
    <t>5110390003</t>
  </si>
  <si>
    <t>5111001705</t>
  </si>
  <si>
    <t>5111001662</t>
  </si>
  <si>
    <t>5110490015</t>
  </si>
  <si>
    <t>5111001071</t>
  </si>
  <si>
    <t>5111001190</t>
  </si>
  <si>
    <t>5110230022</t>
  </si>
  <si>
    <t>5150890353</t>
  </si>
  <si>
    <t>5110370054</t>
  </si>
  <si>
    <t>5110370056</t>
  </si>
  <si>
    <t>5110370057</t>
  </si>
  <si>
    <t>5111001176</t>
  </si>
  <si>
    <t>5111300001</t>
  </si>
  <si>
    <t>5150890465</t>
  </si>
  <si>
    <t>5150890075</t>
  </si>
  <si>
    <t>5111100012</t>
  </si>
  <si>
    <t>5110250002</t>
  </si>
  <si>
    <t>5111760005</t>
  </si>
  <si>
    <t>5150890538</t>
  </si>
  <si>
    <t>5151170002</t>
  </si>
  <si>
    <t>5150890183</t>
  </si>
  <si>
    <t>5150890050</t>
  </si>
  <si>
    <t>5111000457</t>
  </si>
  <si>
    <t>5652420006</t>
  </si>
  <si>
    <t>5110250001</t>
  </si>
  <si>
    <t>5111001010</t>
  </si>
  <si>
    <t>5112650061</t>
  </si>
  <si>
    <t>5112650063</t>
  </si>
  <si>
    <t>5111001956</t>
  </si>
  <si>
    <t>5110230041</t>
  </si>
  <si>
    <t>5111001969</t>
  </si>
  <si>
    <t>5111080003</t>
  </si>
  <si>
    <t>5111001535</t>
  </si>
  <si>
    <t>5111001008</t>
  </si>
  <si>
    <t>5110540011</t>
  </si>
  <si>
    <t>5111001069</t>
  </si>
  <si>
    <t>5150890161</t>
  </si>
  <si>
    <t>5111000169</t>
  </si>
  <si>
    <t>5110370007</t>
  </si>
  <si>
    <t>5111000270</t>
  </si>
  <si>
    <t>5110370011</t>
  </si>
  <si>
    <t>5110370012</t>
  </si>
  <si>
    <t>5110370015</t>
  </si>
  <si>
    <t>5110370017</t>
  </si>
  <si>
    <t>5110370018</t>
  </si>
  <si>
    <t>5111000527</t>
  </si>
  <si>
    <t>5110370037</t>
  </si>
  <si>
    <t>5110370039</t>
  </si>
  <si>
    <t>5110780086</t>
  </si>
  <si>
    <t>5110370107</t>
  </si>
  <si>
    <t>5652650001</t>
  </si>
  <si>
    <t>5652650002</t>
  </si>
  <si>
    <t>5110490017</t>
  </si>
  <si>
    <t>5110230021</t>
  </si>
  <si>
    <t>5111001988</t>
  </si>
  <si>
    <t>5150890367</t>
  </si>
  <si>
    <t>5111000460</t>
  </si>
  <si>
    <t>5150890667</t>
  </si>
  <si>
    <t>5150890219</t>
  </si>
  <si>
    <t>5150890059</t>
  </si>
  <si>
    <t>5150890058</t>
  </si>
  <si>
    <t>5150890072</t>
  </si>
  <si>
    <t>5150890079</t>
  </si>
  <si>
    <t>5150890141</t>
  </si>
  <si>
    <t>5111001438</t>
  </si>
  <si>
    <t>5650140003</t>
  </si>
  <si>
    <t>5110370105</t>
  </si>
  <si>
    <t>5111001169</t>
  </si>
  <si>
    <t>5111001602</t>
  </si>
  <si>
    <t>5110230050</t>
  </si>
  <si>
    <t>5650670009</t>
  </si>
  <si>
    <t>5111000167</t>
  </si>
  <si>
    <t>5111000373</t>
  </si>
  <si>
    <t>5111000375</t>
  </si>
  <si>
    <t>5111001774</t>
  </si>
  <si>
    <t>5111000667</t>
  </si>
  <si>
    <t>5150890154</t>
  </si>
  <si>
    <t>5652650004</t>
  </si>
  <si>
    <t>5652650005</t>
  </si>
  <si>
    <t>5652640050</t>
  </si>
  <si>
    <t>5111000733</t>
  </si>
  <si>
    <t>5110490005</t>
  </si>
  <si>
    <t>5110490018</t>
  </si>
  <si>
    <t>5110490029</t>
  </si>
  <si>
    <t>5110490030</t>
  </si>
  <si>
    <t>5110490032</t>
  </si>
  <si>
    <t>5652640049</t>
  </si>
  <si>
    <t>5111002010</t>
  </si>
  <si>
    <t>5111001165</t>
  </si>
  <si>
    <t>5652270007</t>
  </si>
  <si>
    <t>5112030036</t>
  </si>
  <si>
    <t>5110380023</t>
  </si>
  <si>
    <t>5110380011</t>
  </si>
  <si>
    <t>5111002178</t>
  </si>
  <si>
    <t>5150890536</t>
  </si>
  <si>
    <t>5110370116</t>
  </si>
  <si>
    <t>5111001447</t>
  </si>
  <si>
    <t>5111001448</t>
  </si>
  <si>
    <t>5111001450</t>
  </si>
  <si>
    <t>5650670026</t>
  </si>
  <si>
    <t>5110490025</t>
  </si>
  <si>
    <t>5110380014</t>
  </si>
  <si>
    <t>5150890146</t>
  </si>
  <si>
    <t>5111000947</t>
  </si>
  <si>
    <t>5111000948</t>
  </si>
  <si>
    <t>5110490008</t>
  </si>
  <si>
    <t>5110230020</t>
  </si>
  <si>
    <t>5150890528</t>
  </si>
  <si>
    <t>5652420001</t>
  </si>
  <si>
    <t>5111001611</t>
  </si>
  <si>
    <t>5110390014</t>
  </si>
  <si>
    <t>5111000980</t>
  </si>
  <si>
    <t>5111001457</t>
  </si>
  <si>
    <t>5652270008</t>
  </si>
  <si>
    <t>5652270009</t>
  </si>
  <si>
    <t>5112680006</t>
  </si>
  <si>
    <t>5110230029</t>
  </si>
  <si>
    <t>5110230003</t>
  </si>
  <si>
    <t>5111000028</t>
  </si>
  <si>
    <t>5150890647</t>
  </si>
  <si>
    <t>5111300002</t>
  </si>
  <si>
    <t>5111300004</t>
  </si>
  <si>
    <t>5111300008</t>
  </si>
  <si>
    <t>5111300012</t>
  </si>
  <si>
    <t>5110490016</t>
  </si>
  <si>
    <t>5150890610</t>
  </si>
  <si>
    <t>5150890638</t>
  </si>
  <si>
    <t>5111000949</t>
  </si>
  <si>
    <t>5111001025</t>
  </si>
  <si>
    <t>5110370117</t>
  </si>
  <si>
    <t>5111000486</t>
  </si>
  <si>
    <t>5151170001</t>
  </si>
  <si>
    <t>5111002154</t>
  </si>
  <si>
    <t>5112030025</t>
  </si>
  <si>
    <t>5111000139</t>
  </si>
  <si>
    <t>5111001174</t>
  </si>
  <si>
    <t>5111001175</t>
  </si>
  <si>
    <t>5111001294</t>
  </si>
  <si>
    <t>5111001295</t>
  </si>
  <si>
    <t>5111001803</t>
  </si>
  <si>
    <t>5150890646</t>
  </si>
  <si>
    <t>5150890686</t>
  </si>
  <si>
    <t>5652420008</t>
  </si>
  <si>
    <t>5150890076</t>
  </si>
  <si>
    <t>5111510001</t>
  </si>
  <si>
    <t>5111001588</t>
  </si>
  <si>
    <t>5111001592</t>
  </si>
  <si>
    <t>5111000459</t>
  </si>
  <si>
    <t>5111080002</t>
  </si>
  <si>
    <t>5111002017</t>
  </si>
  <si>
    <t>5110230044</t>
  </si>
  <si>
    <t>5151210008</t>
  </si>
  <si>
    <t>5150890681</t>
  </si>
  <si>
    <t>5150890650</t>
  </si>
  <si>
    <t>5150890670</t>
  </si>
  <si>
    <t>5111001200</t>
  </si>
  <si>
    <t>5112190001</t>
  </si>
  <si>
    <t>5110240005</t>
  </si>
  <si>
    <t>5112070005</t>
  </si>
  <si>
    <t>5111001872</t>
  </si>
  <si>
    <t>5110370078</t>
  </si>
  <si>
    <t>5110370071</t>
  </si>
  <si>
    <t>5110370113</t>
  </si>
  <si>
    <t>5111001215</t>
  </si>
  <si>
    <t>5110490006</t>
  </si>
  <si>
    <t>5110490020</t>
  </si>
  <si>
    <t>5110490012</t>
  </si>
  <si>
    <t>5110380020</t>
  </si>
  <si>
    <t>5111100002</t>
  </si>
  <si>
    <t>5111100003</t>
  </si>
  <si>
    <t>5111000577</t>
  </si>
  <si>
    <t>5111100005</t>
  </si>
  <si>
    <t>5111100006</t>
  </si>
  <si>
    <t>5111002081</t>
  </si>
  <si>
    <t>5111550002</t>
  </si>
  <si>
    <t>5111250001</t>
  </si>
  <si>
    <t>5110370126</t>
  </si>
  <si>
    <t>5652640030</t>
  </si>
  <si>
    <t>5652640028</t>
  </si>
  <si>
    <t>5652710002</t>
  </si>
  <si>
    <t>5652640004</t>
  </si>
  <si>
    <t>5652640005</t>
  </si>
  <si>
    <t>5650670018</t>
  </si>
  <si>
    <t>5650670019</t>
  </si>
  <si>
    <t>5652710003</t>
  </si>
  <si>
    <t>5652640060</t>
  </si>
  <si>
    <t>5650670020</t>
  </si>
  <si>
    <t>5652640008</t>
  </si>
  <si>
    <t>5650140002</t>
  </si>
  <si>
    <t>5650670029</t>
  </si>
  <si>
    <t>5650670030</t>
  </si>
  <si>
    <t>5652640016</t>
  </si>
  <si>
    <t>5652420005</t>
  </si>
  <si>
    <t>5652640017</t>
  </si>
  <si>
    <t>5650670028</t>
  </si>
  <si>
    <t>5652710007</t>
  </si>
  <si>
    <t>5652710006</t>
  </si>
  <si>
    <t>5652640040</t>
  </si>
  <si>
    <t>5652640042</t>
  </si>
  <si>
    <t>5650140005</t>
  </si>
  <si>
    <t>5652640043</t>
  </si>
  <si>
    <t>5652640054</t>
  </si>
  <si>
    <t>5652640052</t>
  </si>
  <si>
    <t>5652640056</t>
  </si>
  <si>
    <t>5652270005</t>
  </si>
  <si>
    <t>5652200004</t>
  </si>
  <si>
    <t>5650670034</t>
  </si>
  <si>
    <t>5652620001</t>
  </si>
  <si>
    <t>5652640001</t>
  </si>
  <si>
    <t>5652640002</t>
  </si>
  <si>
    <t>5652640015</t>
  </si>
  <si>
    <t>5112030003</t>
  </si>
  <si>
    <t>5652650006</t>
  </si>
  <si>
    <t>5652510002</t>
  </si>
  <si>
    <t>5112030004</t>
  </si>
  <si>
    <t>5652260001</t>
  </si>
  <si>
    <t>5110240001</t>
  </si>
  <si>
    <t>5110230027</t>
  </si>
  <si>
    <t>5110230036</t>
  </si>
  <si>
    <t>5112680021</t>
  </si>
  <si>
    <t>5652420003</t>
  </si>
  <si>
    <t>5150890366</t>
  </si>
  <si>
    <t>5150890251</t>
  </si>
  <si>
    <t>5150890250</t>
  </si>
  <si>
    <t>5150890249</t>
  </si>
  <si>
    <t>5150890252</t>
  </si>
  <si>
    <t>5150890247</t>
  </si>
  <si>
    <t>5150890511</t>
  </si>
  <si>
    <t>5110370079</t>
  </si>
  <si>
    <t>5151210001</t>
  </si>
  <si>
    <t>5151210002</t>
  </si>
  <si>
    <t>5150890048</t>
  </si>
  <si>
    <t>5150890472</t>
  </si>
  <si>
    <t>5150890471</t>
  </si>
  <si>
    <t>5150890476</t>
  </si>
  <si>
    <t>5150930001</t>
  </si>
  <si>
    <t>5150890049</t>
  </si>
  <si>
    <t>5150890155</t>
  </si>
  <si>
    <t>5150890156</t>
  </si>
  <si>
    <t>5150890346</t>
  </si>
  <si>
    <t>5150890365</t>
  </si>
  <si>
    <t>5150890339</t>
  </si>
  <si>
    <t>5150890352</t>
  </si>
  <si>
    <t>5150890371</t>
  </si>
  <si>
    <t>5150890342</t>
  </si>
  <si>
    <t>5150890343</t>
  </si>
  <si>
    <t>5151010001</t>
  </si>
  <si>
    <t>5150890402</t>
  </si>
  <si>
    <t>5150890519</t>
  </si>
  <si>
    <t>5150890525</t>
  </si>
  <si>
    <t>5150890614</t>
  </si>
  <si>
    <t>5150890630</t>
  </si>
  <si>
    <t>5150890597</t>
  </si>
  <si>
    <t>5150890562</t>
  </si>
  <si>
    <t>5150890584</t>
  </si>
  <si>
    <t>5150890035</t>
  </si>
  <si>
    <t>5150890036</t>
  </si>
  <si>
    <t>5150890004</t>
  </si>
  <si>
    <t>5111550001</t>
  </si>
  <si>
    <t>5111000905</t>
  </si>
  <si>
    <t>5110370016</t>
  </si>
  <si>
    <t>5111001694</t>
  </si>
  <si>
    <t>5110370038</t>
  </si>
  <si>
    <t>5111000776</t>
  </si>
  <si>
    <t>5112520001</t>
  </si>
  <si>
    <t>5150890669</t>
  </si>
  <si>
    <t>5150890671</t>
  </si>
  <si>
    <t>5150890683</t>
  </si>
  <si>
    <t>5150890687</t>
  </si>
  <si>
    <t>5150890688</t>
  </si>
  <si>
    <t>5112050001</t>
  </si>
  <si>
    <t>5111001479</t>
  </si>
  <si>
    <t>5652410002</t>
  </si>
  <si>
    <t>5150890629</t>
  </si>
  <si>
    <t>5111000049</t>
  </si>
  <si>
    <t>5111000043</t>
  </si>
  <si>
    <t>5111000047</t>
  </si>
  <si>
    <t>5111001311</t>
  </si>
  <si>
    <t>5111001313</t>
  </si>
  <si>
    <t>5111000546</t>
  </si>
  <si>
    <t>5111000547</t>
  </si>
  <si>
    <t>5150890326</t>
  </si>
  <si>
    <t>5111000391</t>
  </si>
  <si>
    <t>5111000105</t>
  </si>
  <si>
    <t>5110370058</t>
  </si>
  <si>
    <t>5111630002</t>
  </si>
  <si>
    <t>5110370098</t>
  </si>
  <si>
    <t>5110370103</t>
  </si>
  <si>
    <t>5110370077</t>
  </si>
  <si>
    <t>5110370085</t>
  </si>
  <si>
    <t>5110370034</t>
  </si>
  <si>
    <t>5111001177</t>
  </si>
  <si>
    <t>5111000680</t>
  </si>
  <si>
    <t>5110490031</t>
  </si>
  <si>
    <t>5150890214</t>
  </si>
  <si>
    <t>5112370001</t>
  </si>
  <si>
    <t>5112520003</t>
  </si>
  <si>
    <t>5150890309</t>
  </si>
  <si>
    <t>5111001472</t>
  </si>
  <si>
    <t>5150890054</t>
  </si>
  <si>
    <t>5652420002</t>
  </si>
  <si>
    <t>5111001091</t>
  </si>
  <si>
    <t>5111001092</t>
  </si>
  <si>
    <t>5110370035</t>
  </si>
  <si>
    <t>5111002011</t>
  </si>
  <si>
    <t>5150890303</t>
  </si>
  <si>
    <t>5111000420</t>
  </si>
  <si>
    <t>5111000465</t>
  </si>
  <si>
    <t>5110370019</t>
  </si>
  <si>
    <t>5110370026</t>
  </si>
  <si>
    <t>5110370036</t>
  </si>
  <si>
    <t>5111001152</t>
  </si>
  <si>
    <t>5110240007</t>
  </si>
  <si>
    <t>5111000961</t>
  </si>
  <si>
    <t>5110490003</t>
  </si>
  <si>
    <t>5111000554</t>
  </si>
  <si>
    <t>5111001023</t>
  </si>
  <si>
    <t>5110370060</t>
  </si>
  <si>
    <t>5110370092</t>
  </si>
  <si>
    <t>5110370093</t>
  </si>
  <si>
    <t>5110370094</t>
  </si>
  <si>
    <t>5110370095</t>
  </si>
  <si>
    <t>5110370101</t>
  </si>
  <si>
    <t>5110370106</t>
  </si>
  <si>
    <t>5110370084</t>
  </si>
  <si>
    <t>5110370086</t>
  </si>
  <si>
    <t>5111001598</t>
  </si>
  <si>
    <t>5111090002</t>
  </si>
  <si>
    <t>5112030030</t>
  </si>
  <si>
    <t>5111001370</t>
  </si>
  <si>
    <t>5150890389</t>
  </si>
  <si>
    <t>5110370059</t>
  </si>
  <si>
    <t>5111630003</t>
  </si>
  <si>
    <t>5111000710</t>
  </si>
  <si>
    <t>5111000712</t>
  </si>
  <si>
    <t>5110370102</t>
  </si>
  <si>
    <t>5110370104</t>
  </si>
  <si>
    <t>5111002174</t>
  </si>
  <si>
    <t>5110390031</t>
  </si>
  <si>
    <t>5112690001</t>
  </si>
  <si>
    <t>5111001341</t>
  </si>
  <si>
    <t>5650460001</t>
  </si>
  <si>
    <t>5652300001</t>
  </si>
  <si>
    <t>5112030012</t>
  </si>
  <si>
    <t>5112030028</t>
  </si>
  <si>
    <t>5112030040</t>
  </si>
  <si>
    <t>5112030037</t>
  </si>
  <si>
    <t>5652640045</t>
  </si>
  <si>
    <t>5112030032</t>
  </si>
  <si>
    <t>5110370096</t>
  </si>
  <si>
    <t>5110370083</t>
  </si>
  <si>
    <t>5111000458</t>
  </si>
  <si>
    <t>5111000661</t>
  </si>
  <si>
    <t>5111000290</t>
  </si>
  <si>
    <t>5111000168</t>
  </si>
  <si>
    <t>5111000182</t>
  </si>
  <si>
    <t>5111000297</t>
  </si>
  <si>
    <t>5111000325</t>
  </si>
  <si>
    <t>5111000524</t>
  </si>
  <si>
    <t>5111000525</t>
  </si>
  <si>
    <t>5111000526</t>
  </si>
  <si>
    <t>5111000557</t>
  </si>
  <si>
    <t>5110240004</t>
  </si>
  <si>
    <t>5110240008</t>
  </si>
  <si>
    <t>5111001308</t>
  </si>
  <si>
    <t>5110230013</t>
  </si>
  <si>
    <t>5111002076</t>
  </si>
  <si>
    <t>5150890318</t>
  </si>
  <si>
    <t>5110370008</t>
  </si>
  <si>
    <t>5112030021</t>
  </si>
  <si>
    <t>5110370041</t>
  </si>
  <si>
    <t>5110240026</t>
  </si>
  <si>
    <t>5111000859</t>
  </si>
  <si>
    <t>5111001193</t>
  </si>
  <si>
    <t>5652180002</t>
  </si>
  <si>
    <t>5652640044</t>
  </si>
  <si>
    <t>5652640046</t>
  </si>
  <si>
    <t>5652630002</t>
  </si>
  <si>
    <t>5652590001</t>
  </si>
  <si>
    <t>5150890373</t>
  </si>
  <si>
    <t>5111002012</t>
  </si>
  <si>
    <t>5110360025</t>
  </si>
  <si>
    <t>5111001895</t>
  </si>
  <si>
    <t>5111000536</t>
  </si>
  <si>
    <t>5112680018</t>
  </si>
  <si>
    <t>5110370082</t>
  </si>
  <si>
    <t>5110370070</t>
  </si>
  <si>
    <t>5111001102</t>
  </si>
  <si>
    <t>5111001894</t>
  </si>
  <si>
    <t>5150890690</t>
  </si>
  <si>
    <t>5150890691</t>
  </si>
  <si>
    <t>5150890692</t>
  </si>
  <si>
    <t>5151250001</t>
  </si>
  <si>
    <t>5150890693</t>
  </si>
  <si>
    <t>5150890047</t>
  </si>
  <si>
    <t>5111001293</t>
  </si>
  <si>
    <t>5111002158</t>
  </si>
  <si>
    <t>5112030045</t>
  </si>
  <si>
    <t>5112130002</t>
  </si>
  <si>
    <t>5110390010</t>
  </si>
  <si>
    <t>5111700007</t>
  </si>
  <si>
    <t>5110490009</t>
  </si>
  <si>
    <t>5150890347</t>
  </si>
  <si>
    <t>5111001567</t>
  </si>
  <si>
    <t>5150890060</t>
  </si>
  <si>
    <t>5150890065</t>
  </si>
  <si>
    <t>5150890066</t>
  </si>
  <si>
    <t>5150890080</t>
  </si>
  <si>
    <t>5150890069</t>
  </si>
  <si>
    <t>5150890070</t>
  </si>
  <si>
    <t>5150890071</t>
  </si>
  <si>
    <t>5150890073</t>
  </si>
  <si>
    <t>5150890077</t>
  </si>
  <si>
    <t>5150890142</t>
  </si>
  <si>
    <t>5151210005</t>
  </si>
  <si>
    <t>5111001027</t>
  </si>
  <si>
    <t>5150890652</t>
  </si>
  <si>
    <t>5111001075</t>
  </si>
  <si>
    <t>5111001081</t>
  </si>
  <si>
    <t>5110370069</t>
  </si>
  <si>
    <t>5150890478</t>
  </si>
  <si>
    <t>5150890463</t>
  </si>
  <si>
    <t>5150890168</t>
  </si>
  <si>
    <t>5150890147</t>
  </si>
  <si>
    <t>5150890532</t>
  </si>
  <si>
    <t>5150890523</t>
  </si>
  <si>
    <t>5150890674</t>
  </si>
  <si>
    <t>5150890673</t>
  </si>
  <si>
    <t>5150890585</t>
  </si>
  <si>
    <t>5150890037</t>
  </si>
  <si>
    <t>5111000731</t>
  </si>
  <si>
    <t>5111630009</t>
  </si>
  <si>
    <t>5110370119</t>
  </si>
  <si>
    <t>5110370120</t>
  </si>
  <si>
    <t>5150890518</t>
  </si>
  <si>
    <t>5111400001</t>
  </si>
  <si>
    <t>5111001908</t>
  </si>
  <si>
    <t>5150890055</t>
  </si>
  <si>
    <t>5652650009</t>
  </si>
  <si>
    <t>5111000884</t>
  </si>
  <si>
    <t>5150890148</t>
  </si>
  <si>
    <t>5110370029</t>
  </si>
  <si>
    <t>5110370030</t>
  </si>
  <si>
    <t>5110370031</t>
  </si>
  <si>
    <t>5110370032</t>
  </si>
  <si>
    <t>5111000857</t>
  </si>
  <si>
    <t>5110360021</t>
  </si>
  <si>
    <t>5150890351</t>
  </si>
  <si>
    <t>5111001112</t>
  </si>
  <si>
    <t>5111001114</t>
  </si>
  <si>
    <t>5150890679</t>
  </si>
  <si>
    <t>5150890032</t>
  </si>
  <si>
    <t>5111001851</t>
  </si>
  <si>
    <t>5111000349</t>
  </si>
  <si>
    <t>5110380031</t>
  </si>
  <si>
    <t>5110380032</t>
  </si>
  <si>
    <t>5111001853</t>
  </si>
  <si>
    <t>5111001371</t>
  </si>
  <si>
    <t>5111000247</t>
  </si>
  <si>
    <t>5110550003</t>
  </si>
  <si>
    <t>5111001147</t>
  </si>
  <si>
    <t>5110370002</t>
  </si>
  <si>
    <t>5150890516</t>
  </si>
  <si>
    <t>5110240024</t>
  </si>
  <si>
    <t>5110240023</t>
  </si>
  <si>
    <t>5150890640</t>
  </si>
  <si>
    <t>5150890376</t>
  </si>
  <si>
    <t>5111001064</t>
  </si>
  <si>
    <t>5111001066</t>
  </si>
  <si>
    <t>5111001068</t>
  </si>
  <si>
    <t>5111001070</t>
  </si>
  <si>
    <t>5111001073</t>
  </si>
  <si>
    <t>5150890341</t>
  </si>
  <si>
    <t>5111000002</t>
  </si>
  <si>
    <t>5110360014</t>
  </si>
  <si>
    <t>5111000897</t>
  </si>
  <si>
    <t>5110240003</t>
  </si>
  <si>
    <t>5150890348</t>
  </si>
  <si>
    <t>5150890349</t>
  </si>
  <si>
    <t>5652340002</t>
  </si>
  <si>
    <t>5652250001</t>
  </si>
  <si>
    <t>5652250002</t>
  </si>
  <si>
    <t>5112030035</t>
  </si>
  <si>
    <t>5112030031</t>
  </si>
  <si>
    <t>5112030005</t>
  </si>
  <si>
    <t>5150890522</t>
  </si>
  <si>
    <t>5150890406</t>
  </si>
  <si>
    <t>5111001530</t>
  </si>
  <si>
    <t>5110540002</t>
  </si>
  <si>
    <t>5652670001</t>
  </si>
  <si>
    <t>5652670002</t>
  </si>
  <si>
    <t>5652670003</t>
  </si>
  <si>
    <t>5652670004</t>
  </si>
  <si>
    <t>5652670005</t>
  </si>
  <si>
    <t>5652670006</t>
  </si>
  <si>
    <t>5652670007</t>
  </si>
  <si>
    <t>5652670008</t>
  </si>
  <si>
    <t>5652670009</t>
  </si>
  <si>
    <t>5652640006</t>
  </si>
  <si>
    <t>5110370061</t>
  </si>
  <si>
    <t>5150890160</t>
  </si>
  <si>
    <t>5150890374</t>
  </si>
  <si>
    <t>5111001605</t>
  </si>
  <si>
    <t>5111001608</t>
  </si>
  <si>
    <t>5652180001</t>
  </si>
  <si>
    <t>5652650013</t>
  </si>
  <si>
    <t>5150890648</t>
  </si>
  <si>
    <t>5150890601</t>
  </si>
  <si>
    <t>5111630010</t>
  </si>
  <si>
    <t>5111000970</t>
  </si>
  <si>
    <t>5652180003</t>
  </si>
  <si>
    <t>5652640047</t>
  </si>
  <si>
    <t>5111001879</t>
  </si>
  <si>
    <t>5150890470</t>
  </si>
  <si>
    <t>5110540010</t>
  </si>
  <si>
    <t>5110370121</t>
  </si>
  <si>
    <t>5150890483</t>
  </si>
  <si>
    <t>5111400002</t>
  </si>
  <si>
    <t>5150890651</t>
  </si>
  <si>
    <t>5111000155</t>
  </si>
  <si>
    <t>5150890635</t>
  </si>
  <si>
    <t>5150890682</t>
  </si>
  <si>
    <t>5150890659</t>
  </si>
  <si>
    <t>5150890661</t>
  </si>
  <si>
    <t>5150890662</t>
  </si>
  <si>
    <t>5150890369</t>
  </si>
  <si>
    <t>5150890622</t>
  </si>
  <si>
    <t>5150890462</t>
  </si>
  <si>
    <t>5150890137</t>
  </si>
  <si>
    <t>5150890517</t>
  </si>
  <si>
    <t>5111000957</t>
  </si>
  <si>
    <t>5150890096</t>
  </si>
  <si>
    <t>5150890390</t>
  </si>
  <si>
    <t>5111001881</t>
  </si>
  <si>
    <t>5652670010</t>
  </si>
  <si>
    <t>5111000573</t>
  </si>
  <si>
    <t>5110370087</t>
  </si>
  <si>
    <t>5111000351</t>
  </si>
  <si>
    <t>5150890026</t>
  </si>
  <si>
    <t>5150890029</t>
  </si>
  <si>
    <t>5150890473</t>
  </si>
  <si>
    <t>5150890474</t>
  </si>
  <si>
    <t>5150890479</t>
  </si>
  <si>
    <t>5150890157</t>
  </si>
  <si>
    <t>5150890158</t>
  </si>
  <si>
    <t>5150890340</t>
  </si>
  <si>
    <t>5150890379</t>
  </si>
  <si>
    <t>5150890378</t>
  </si>
  <si>
    <t>5150890384</t>
  </si>
  <si>
    <t>5150890344</t>
  </si>
  <si>
    <t>5150890345</t>
  </si>
  <si>
    <t>5150890526</t>
  </si>
  <si>
    <t>5150890527</t>
  </si>
  <si>
    <t>5150890616</t>
  </si>
  <si>
    <t>5150890632</t>
  </si>
  <si>
    <t>5150890599</t>
  </si>
  <si>
    <t>5150890579</t>
  </si>
  <si>
    <t>5150890589</t>
  </si>
  <si>
    <t>5150890572</t>
  </si>
  <si>
    <t>5150890038</t>
  </si>
  <si>
    <t>5150890039</t>
  </si>
  <si>
    <t>5150890040</t>
  </si>
  <si>
    <t>5151180003</t>
  </si>
  <si>
    <t>5150890132</t>
  </si>
  <si>
    <t>5150890698</t>
  </si>
  <si>
    <t>5110240011</t>
  </si>
  <si>
    <t>5110370040</t>
  </si>
  <si>
    <t>5111000346</t>
  </si>
  <si>
    <t>5110490021</t>
  </si>
  <si>
    <t>5150890335</t>
  </si>
  <si>
    <t>5652220006</t>
  </si>
  <si>
    <t>5652220007</t>
  </si>
  <si>
    <t>5150890350</t>
  </si>
  <si>
    <t>5150890385</t>
  </si>
  <si>
    <t>5650860001</t>
  </si>
  <si>
    <t>5111001354</t>
  </si>
  <si>
    <t>5150890308</t>
  </si>
  <si>
    <t>5150890380</t>
  </si>
  <si>
    <t>5150890381</t>
  </si>
  <si>
    <t>5150890642</t>
  </si>
  <si>
    <t>5111002098</t>
  </si>
  <si>
    <t>5110490010</t>
  </si>
  <si>
    <t>5150890067</t>
  </si>
  <si>
    <t>5150890068</t>
  </si>
  <si>
    <t>5150890062</t>
  </si>
  <si>
    <t>5150890074</t>
  </si>
  <si>
    <t>5150890061</t>
  </si>
  <si>
    <t>5150890078</t>
  </si>
  <si>
    <t>5150890131</t>
  </si>
  <si>
    <t>5150890143</t>
  </si>
  <si>
    <t>5150890144</t>
  </si>
  <si>
    <t>5150890256</t>
  </si>
  <si>
    <t>5150890255</t>
  </si>
  <si>
    <t>5150890254</t>
  </si>
  <si>
    <t>5150890257</t>
  </si>
  <si>
    <t>5150890248</t>
  </si>
  <si>
    <t>5150890253</t>
  </si>
  <si>
    <t>5150890655</t>
  </si>
  <si>
    <t>5150890030</t>
  </si>
  <si>
    <t>5150890481</t>
  </si>
  <si>
    <t>5150890689</t>
  </si>
  <si>
    <t>5110370067</t>
  </si>
  <si>
    <t>5110370124</t>
  </si>
  <si>
    <t>5150890014</t>
  </si>
  <si>
    <t>5150890606</t>
  </si>
  <si>
    <t>5652370001</t>
  </si>
  <si>
    <t>5111000908</t>
  </si>
  <si>
    <t>5110370118</t>
  </si>
  <si>
    <t>5110570001</t>
  </si>
  <si>
    <t>5110370001</t>
  </si>
  <si>
    <t>5111001084</t>
  </si>
  <si>
    <t>5150890631</t>
  </si>
  <si>
    <t>5150890685</t>
  </si>
  <si>
    <t>5150890654</t>
  </si>
  <si>
    <t>5150890663</t>
  </si>
  <si>
    <t>5150890664</t>
  </si>
  <si>
    <t>5111000433</t>
  </si>
  <si>
    <t>5150890604</t>
  </si>
  <si>
    <t>5110370053</t>
  </si>
  <si>
    <t>5111001756</t>
  </si>
  <si>
    <t>5111001141</t>
  </si>
  <si>
    <t>5111000505</t>
  </si>
  <si>
    <t>5111000963</t>
  </si>
  <si>
    <t>5150890043</t>
  </si>
  <si>
    <t>5110360002</t>
  </si>
  <si>
    <t>5150890468</t>
  </si>
  <si>
    <t>5652460001</t>
  </si>
  <si>
    <t>5150890684</t>
  </si>
  <si>
    <t>5110250017</t>
  </si>
  <si>
    <t>5151180001</t>
  </si>
  <si>
    <t>5650670036</t>
  </si>
  <si>
    <t>5111000246</t>
  </si>
  <si>
    <t>5652270004</t>
  </si>
  <si>
    <t>5111000108</t>
  </si>
  <si>
    <t>5150890295</t>
  </si>
  <si>
    <t>5150890296</t>
  </si>
  <si>
    <t>5150890297</t>
  </si>
  <si>
    <t>5150890399</t>
  </si>
  <si>
    <t>5151180002</t>
  </si>
  <si>
    <t>5111001057</t>
  </si>
  <si>
    <t>5150890466</t>
  </si>
  <si>
    <t>5150890467</t>
  </si>
  <si>
    <t>5150890169</t>
  </si>
  <si>
    <t>5150890170</t>
  </si>
  <si>
    <t>5150890149</t>
  </si>
  <si>
    <t>5150890534</t>
  </si>
  <si>
    <t>5150890524</t>
  </si>
  <si>
    <t>5150890539</t>
  </si>
  <si>
    <t>5150890595</t>
  </si>
  <si>
    <t>5150890590</t>
  </si>
  <si>
    <t>5150890226</t>
  </si>
  <si>
    <t>5652710004</t>
  </si>
  <si>
    <t>5652640011</t>
  </si>
  <si>
    <t>5150890477</t>
  </si>
  <si>
    <t>5111000978</t>
  </si>
  <si>
    <t>5150890338</t>
  </si>
  <si>
    <t>5150890003</t>
  </si>
  <si>
    <t>5150890675</t>
  </si>
  <si>
    <t>5150890676</t>
  </si>
  <si>
    <t>5111001060</t>
  </si>
  <si>
    <t>5150890612</t>
  </si>
  <si>
    <t>5150890041</t>
  </si>
  <si>
    <t>5150890212</t>
  </si>
  <si>
    <t>5150890042</t>
  </si>
  <si>
    <t>5410520001</t>
  </si>
  <si>
    <t>5410290003</t>
  </si>
  <si>
    <t>5150890520</t>
  </si>
  <si>
    <t>5111050005</t>
  </si>
  <si>
    <t>5111000678</t>
  </si>
  <si>
    <t>5111001553</t>
  </si>
  <si>
    <t>5111001556</t>
  </si>
  <si>
    <t>5150890213</t>
  </si>
  <si>
    <t>5111001298</t>
  </si>
  <si>
    <t>5111000954</t>
  </si>
  <si>
    <t>5111000244</t>
  </si>
  <si>
    <t>5150890386</t>
  </si>
  <si>
    <t>5111000730</t>
  </si>
  <si>
    <t>5111001537</t>
  </si>
  <si>
    <t>5111001094</t>
  </si>
  <si>
    <t>5111000594</t>
  </si>
  <si>
    <t>5650140001</t>
  </si>
  <si>
    <t>5111001589</t>
  </si>
  <si>
    <t>5112800001</t>
  </si>
  <si>
    <t>5111001089</t>
  </si>
  <si>
    <t>5111000946</t>
  </si>
  <si>
    <t>5111001564</t>
  </si>
  <si>
    <t>5111001539</t>
  </si>
  <si>
    <t>5111001546</t>
  </si>
  <si>
    <t>5111001547</t>
  </si>
  <si>
    <t>5111001551</t>
  </si>
  <si>
    <t>5111001552</t>
  </si>
  <si>
    <t>5111001555</t>
  </si>
  <si>
    <t>5110370052</t>
  </si>
  <si>
    <t>5652590003</t>
  </si>
  <si>
    <t>5652590004</t>
  </si>
  <si>
    <t>5652590005</t>
  </si>
  <si>
    <t>5652590006</t>
  </si>
  <si>
    <t>5652590007</t>
  </si>
  <si>
    <t>5652770001</t>
  </si>
  <si>
    <t>5151100001</t>
  </si>
  <si>
    <t>5151100002</t>
  </si>
  <si>
    <t>5652390001</t>
  </si>
  <si>
    <t>5150890150</t>
  </si>
  <si>
    <t>5111001909</t>
  </si>
  <si>
    <t>5151100003</t>
  </si>
  <si>
    <t>5150890217</t>
  </si>
  <si>
    <t>5111000538</t>
  </si>
  <si>
    <t>5111040001</t>
  </si>
  <si>
    <t>5111001621</t>
  </si>
  <si>
    <t>5111000378</t>
  </si>
  <si>
    <t>5410060024</t>
  </si>
  <si>
    <t>5410060025</t>
  </si>
  <si>
    <t>5410060026</t>
  </si>
  <si>
    <t>5410060023</t>
  </si>
  <si>
    <t>5410080001</t>
  </si>
  <si>
    <t>5410060027</t>
  </si>
  <si>
    <t>5410060028</t>
  </si>
  <si>
    <t>5410060044</t>
  </si>
  <si>
    <t>5111000131</t>
  </si>
  <si>
    <t>5111001618</t>
  </si>
  <si>
    <t>5111001631</t>
  </si>
  <si>
    <t>5650140004</t>
  </si>
  <si>
    <t>5652410001</t>
  </si>
  <si>
    <t>5111001481</t>
  </si>
  <si>
    <t>5410090015</t>
  </si>
  <si>
    <t>5111001628</t>
  </si>
  <si>
    <t>5410230031</t>
  </si>
  <si>
    <t>5410230033</t>
  </si>
  <si>
    <t>5410150006</t>
  </si>
  <si>
    <t>5652640009</t>
  </si>
  <si>
    <t>5410230030</t>
  </si>
  <si>
    <t>5410260001</t>
  </si>
  <si>
    <t>5410230047</t>
  </si>
  <si>
    <t>5410250026</t>
  </si>
  <si>
    <t>5410230036</t>
  </si>
  <si>
    <t>5410230037</t>
  </si>
  <si>
    <t>5410230038</t>
  </si>
  <si>
    <t>5410230039</t>
  </si>
  <si>
    <t>5410230040</t>
  </si>
  <si>
    <t>5410230041</t>
  </si>
  <si>
    <t>5410230042</t>
  </si>
  <si>
    <t>5150890152</t>
  </si>
  <si>
    <t>5410230004</t>
  </si>
  <si>
    <t>5410230017</t>
  </si>
  <si>
    <t>5410230018</t>
  </si>
  <si>
    <t>5410230027</t>
  </si>
  <si>
    <t>5410230028</t>
  </si>
  <si>
    <t>5410230034</t>
  </si>
  <si>
    <t>5410230035</t>
  </si>
  <si>
    <t>5410230043</t>
  </si>
  <si>
    <t>5410230044</t>
  </si>
  <si>
    <t>5410230046</t>
  </si>
  <si>
    <t>5410230002</t>
  </si>
  <si>
    <t>5410230005</t>
  </si>
  <si>
    <t>5410090010</t>
  </si>
  <si>
    <t>5410230032</t>
  </si>
  <si>
    <t>5410460009</t>
  </si>
  <si>
    <t>5410230045</t>
  </si>
  <si>
    <t>5410170002</t>
  </si>
  <si>
    <t>5410170003</t>
  </si>
  <si>
    <t>5410060030</t>
  </si>
  <si>
    <t>5410170001</t>
  </si>
  <si>
    <t>5410530001</t>
  </si>
  <si>
    <t>5410060029</t>
  </si>
  <si>
    <t>5410250014</t>
  </si>
  <si>
    <t>5410250015</t>
  </si>
  <si>
    <t>5410250016</t>
  </si>
  <si>
    <t>5410250017</t>
  </si>
  <si>
    <t>5410250018</t>
  </si>
  <si>
    <t>5410250019</t>
  </si>
  <si>
    <t>5410250020</t>
  </si>
  <si>
    <t>5410250022</t>
  </si>
  <si>
    <t>5410250004</t>
  </si>
  <si>
    <t>5410250005</t>
  </si>
  <si>
    <t>5410250006</t>
  </si>
  <si>
    <t>5410250007</t>
  </si>
  <si>
    <t>5410250008</t>
  </si>
  <si>
    <t>5410250010</t>
  </si>
  <si>
    <t>5410250011</t>
  </si>
  <si>
    <t>5410250012</t>
  </si>
  <si>
    <t>5410250013</t>
  </si>
  <si>
    <t>5410250009</t>
  </si>
  <si>
    <t>5652610001</t>
  </si>
  <si>
    <t>5410290001</t>
  </si>
  <si>
    <t>5410290002</t>
  </si>
  <si>
    <t>5111000012</t>
  </si>
  <si>
    <t>5111002019</t>
  </si>
  <si>
    <t>5110240010</t>
  </si>
  <si>
    <t>5110230047</t>
  </si>
  <si>
    <t>5112680014</t>
  </si>
  <si>
    <t>5110230007</t>
  </si>
  <si>
    <t>5110230024</t>
  </si>
  <si>
    <t>5110240025</t>
  </si>
  <si>
    <t>5111000016</t>
  </si>
  <si>
    <t>5111001968</t>
  </si>
  <si>
    <t>5110370090</t>
  </si>
  <si>
    <t>5111630011</t>
  </si>
  <si>
    <t>5110370024</t>
  </si>
  <si>
    <t>5111001961</t>
  </si>
  <si>
    <t>5110360003</t>
  </si>
  <si>
    <t>5111001856</t>
  </si>
  <si>
    <t>5111001857</t>
  </si>
  <si>
    <t>5110370003</t>
  </si>
  <si>
    <t>5111000523</t>
  </si>
  <si>
    <t>5110370076</t>
  </si>
  <si>
    <t>5110360001</t>
  </si>
  <si>
    <t>5110370091</t>
  </si>
  <si>
    <t>5110370066</t>
  </si>
  <si>
    <t>5111001644</t>
  </si>
  <si>
    <t>5111001672</t>
  </si>
  <si>
    <t>5111001296</t>
  </si>
  <si>
    <t>5111001195</t>
  </si>
  <si>
    <t>5111000021</t>
  </si>
  <si>
    <t>5111000024</t>
  </si>
  <si>
    <t>5111000734</t>
  </si>
  <si>
    <t>5112030026</t>
  </si>
  <si>
    <t>5112030023</t>
  </si>
  <si>
    <t>5112030019</t>
  </si>
  <si>
    <t>5112030011</t>
  </si>
  <si>
    <t>5112030007</t>
  </si>
  <si>
    <t>5110540005</t>
  </si>
  <si>
    <t>5111001925</t>
  </si>
  <si>
    <t>5112210001</t>
  </si>
  <si>
    <t>5111000716</t>
  </si>
  <si>
    <t>5111001657</t>
  </si>
  <si>
    <t>5111001497</t>
  </si>
  <si>
    <t>5111000106</t>
  </si>
  <si>
    <t>5111001769</t>
  </si>
  <si>
    <t>5111001983</t>
  </si>
  <si>
    <t>5111000845</t>
  </si>
  <si>
    <t>5111000848</t>
  </si>
  <si>
    <t>5111000851</t>
  </si>
  <si>
    <t>5111000854</t>
  </si>
  <si>
    <t>5111000856</t>
  </si>
  <si>
    <t>5111000864</t>
  </si>
  <si>
    <t>5111000866</t>
  </si>
  <si>
    <t>5111000869</t>
  </si>
  <si>
    <t>5111000870</t>
  </si>
  <si>
    <t>5111000873</t>
  </si>
  <si>
    <t>5111000874</t>
  </si>
  <si>
    <t>5111000875</t>
  </si>
  <si>
    <t>5111000876</t>
  </si>
  <si>
    <t>5111000878</t>
  </si>
  <si>
    <t>5111000879</t>
  </si>
  <si>
    <t>5111000880</t>
  </si>
  <si>
    <t>5111001593</t>
  </si>
  <si>
    <t>5111000416</t>
  </si>
  <si>
    <t>5111001576</t>
  </si>
  <si>
    <t>5111001578</t>
  </si>
  <si>
    <t>5112650062</t>
  </si>
  <si>
    <t>5112650064</t>
  </si>
  <si>
    <t>5111001708</t>
  </si>
  <si>
    <t>5111001709</t>
  </si>
  <si>
    <t>5111001711</t>
  </si>
  <si>
    <t>5111001713</t>
  </si>
  <si>
    <t>5111001714</t>
  </si>
  <si>
    <t>5111001716</t>
  </si>
  <si>
    <t>5111000370</t>
  </si>
  <si>
    <t>5111001263</t>
  </si>
  <si>
    <t>5110780058</t>
  </si>
  <si>
    <t>5111000171</t>
  </si>
  <si>
    <t>5111000110</t>
  </si>
  <si>
    <t>5111000112</t>
  </si>
  <si>
    <t>5111000117</t>
  </si>
  <si>
    <t>5111000119</t>
  </si>
  <si>
    <t>5111001267</t>
  </si>
  <si>
    <t>5111001346</t>
  </si>
  <si>
    <t>5111000099</t>
  </si>
  <si>
    <t>5111000104</t>
  </si>
  <si>
    <t>5111001493</t>
  </si>
  <si>
    <t>5111001495</t>
  </si>
  <si>
    <t>5111001917</t>
  </si>
  <si>
    <t>5111001918</t>
  </si>
  <si>
    <t>5111001959</t>
  </si>
  <si>
    <t>5111001822</t>
  </si>
  <si>
    <t>5111001704</t>
  </si>
  <si>
    <t>5111000553</t>
  </si>
  <si>
    <t>5111000572</t>
  </si>
  <si>
    <t>5111001361</t>
  </si>
  <si>
    <t>5111001192</t>
  </si>
  <si>
    <t>5112650047</t>
  </si>
  <si>
    <t>5112650054</t>
  </si>
  <si>
    <t>5111000066</t>
  </si>
  <si>
    <t>5111000068</t>
  </si>
  <si>
    <t>5111000070</t>
  </si>
  <si>
    <t>5110780112</t>
  </si>
  <si>
    <t>5111000555</t>
  </si>
  <si>
    <t>5111000126</t>
  </si>
  <si>
    <t>5111000128</t>
  </si>
  <si>
    <t>5111001209</t>
  </si>
  <si>
    <t>5111000882</t>
  </si>
  <si>
    <t>5111001117</t>
  </si>
  <si>
    <t>5111001181</t>
  </si>
  <si>
    <t>5111001022</t>
  </si>
  <si>
    <t>5111001086</t>
  </si>
  <si>
    <t>5111001643</t>
  </si>
  <si>
    <t>5150890529</t>
  </si>
  <si>
    <t>5150890180</t>
  </si>
  <si>
    <t>5150890594</t>
  </si>
  <si>
    <t>5150890697</t>
  </si>
  <si>
    <t>5150890613</t>
  </si>
  <si>
    <t>5150890489</t>
  </si>
  <si>
    <t>5151060003</t>
  </si>
  <si>
    <t>5150890403</t>
  </si>
  <si>
    <t>5150890623</t>
  </si>
  <si>
    <t>5150890598</t>
  </si>
  <si>
    <t>5150890587</t>
  </si>
  <si>
    <t>5150890570</t>
  </si>
  <si>
    <t>5150890225</t>
  </si>
  <si>
    <t>5150890578</t>
  </si>
  <si>
    <t>5150890615</t>
  </si>
  <si>
    <t>5150890391</t>
  </si>
  <si>
    <t>5150890392</t>
  </si>
  <si>
    <t>5150890657</t>
  </si>
  <si>
    <t>5150890694</t>
  </si>
  <si>
    <t>5150890627</t>
  </si>
  <si>
    <t>5150890544</t>
  </si>
  <si>
    <t>5150890245</t>
  </si>
  <si>
    <t>5150890246</t>
  </si>
  <si>
    <t>5111001462</t>
  </si>
  <si>
    <t>5111001464</t>
  </si>
  <si>
    <t>5111001465</t>
  </si>
  <si>
    <t>5111000850</t>
  </si>
  <si>
    <t>5111001473</t>
  </si>
  <si>
    <t>5111001475</t>
  </si>
  <si>
    <t>5111001476</t>
  </si>
  <si>
    <t>5111001478</t>
  </si>
  <si>
    <t>5111620006</t>
  </si>
  <si>
    <t>5111390003</t>
  </si>
  <si>
    <t>5111390001</t>
  </si>
  <si>
    <t>5111390002</t>
  </si>
  <si>
    <t>5410150005</t>
  </si>
  <si>
    <t>5410090008</t>
  </si>
  <si>
    <t>5410090011</t>
  </si>
  <si>
    <t>5410090012</t>
  </si>
  <si>
    <t>5410090013</t>
  </si>
  <si>
    <t>5410090014</t>
  </si>
  <si>
    <t>5410090007</t>
  </si>
  <si>
    <t>5410090009</t>
  </si>
  <si>
    <t>5410090001</t>
  </si>
  <si>
    <t>5410230048</t>
  </si>
  <si>
    <t>5410230014</t>
  </si>
  <si>
    <t>5410230019</t>
  </si>
  <si>
    <t>5410230024</t>
  </si>
  <si>
    <t>5410460002</t>
  </si>
  <si>
    <t>5410150004</t>
  </si>
  <si>
    <t>5111620007</t>
  </si>
  <si>
    <t>5111001484</t>
  </si>
  <si>
    <t>5111001446</t>
  </si>
  <si>
    <t>5111001452</t>
  </si>
  <si>
    <t>5111001453</t>
  </si>
  <si>
    <t>5111001455</t>
  </si>
  <si>
    <t>5112310001</t>
  </si>
  <si>
    <t>5111002070</t>
  </si>
  <si>
    <t>5150890499</t>
  </si>
  <si>
    <t>5150890443</t>
  </si>
  <si>
    <t>5150890446</t>
  </si>
  <si>
    <t>5150890500</t>
  </si>
  <si>
    <t>5150890123</t>
  </si>
  <si>
    <t>5150890126</t>
  </si>
  <si>
    <t>5150890127</t>
  </si>
  <si>
    <t>5150890333</t>
  </si>
  <si>
    <t>5150890434</t>
  </si>
  <si>
    <t>5150890515</t>
  </si>
  <si>
    <t>5150890230</t>
  </si>
  <si>
    <t>5150890033</t>
  </si>
  <si>
    <t>5150890027</t>
  </si>
  <si>
    <t>5150890602</t>
  </si>
  <si>
    <t>5652240001</t>
  </si>
  <si>
    <t>5150890607</t>
  </si>
  <si>
    <t>5150890013</t>
  </si>
  <si>
    <t>5150890298</t>
  </si>
  <si>
    <t>5150890292</t>
  </si>
  <si>
    <t>5150890172</t>
  </si>
  <si>
    <t>5652650012</t>
  </si>
  <si>
    <t>5652200001</t>
  </si>
  <si>
    <t>5150890207</t>
  </si>
  <si>
    <t>5652330004</t>
  </si>
  <si>
    <t>5150890633</t>
  </si>
  <si>
    <t>5150890603</t>
  </si>
  <si>
    <t>5652640031</t>
  </si>
  <si>
    <t>5652640034</t>
  </si>
  <si>
    <t>5652640035</t>
  </si>
  <si>
    <t>5650460004</t>
  </si>
  <si>
    <t>5650670035</t>
  </si>
  <si>
    <t>5150890288</t>
  </si>
  <si>
    <t>5150890159</t>
  </si>
  <si>
    <t>5150890324</t>
  </si>
  <si>
    <t>5652640041</t>
  </si>
  <si>
    <t>5150890329</t>
  </si>
  <si>
    <t>5111001142</t>
  </si>
  <si>
    <t>5652210003</t>
  </si>
  <si>
    <t>5650100001</t>
  </si>
  <si>
    <t>5150890317</t>
  </si>
  <si>
    <t>5150890314</t>
  </si>
  <si>
    <t>5150890283</t>
  </si>
  <si>
    <t>5150890487</t>
  </si>
  <si>
    <t>5150890319</t>
  </si>
  <si>
    <t>5150890641</t>
  </si>
  <si>
    <t>5652640037</t>
  </si>
  <si>
    <t>5150890513</t>
  </si>
  <si>
    <t>5652210008</t>
  </si>
  <si>
    <t>5652210012</t>
  </si>
  <si>
    <t>5652210013</t>
  </si>
  <si>
    <t>5650010005</t>
  </si>
  <si>
    <t>5150890051</t>
  </si>
  <si>
    <t>5150890486</t>
  </si>
  <si>
    <t>5652220005</t>
  </si>
  <si>
    <t>5652220004</t>
  </si>
  <si>
    <t>5652210001</t>
  </si>
  <si>
    <t>5652210004</t>
  </si>
  <si>
    <t>5652210005</t>
  </si>
  <si>
    <t>5652210006</t>
  </si>
  <si>
    <t>5652210007</t>
  </si>
  <si>
    <t>5652210009</t>
  </si>
  <si>
    <t>5652210010</t>
  </si>
  <si>
    <t>5652220002</t>
  </si>
  <si>
    <t>5652220003</t>
  </si>
  <si>
    <t>5151260001</t>
  </si>
  <si>
    <t>5650670023</t>
  </si>
  <si>
    <t>5150890290</t>
  </si>
  <si>
    <t>5150890485</t>
  </si>
  <si>
    <t>5150890653</t>
  </si>
  <si>
    <t>5652510001</t>
  </si>
  <si>
    <t>5150930003</t>
  </si>
  <si>
    <t>5650010003</t>
  </si>
  <si>
    <t>5652650008</t>
  </si>
  <si>
    <t>5150890668</t>
  </si>
  <si>
    <t>5150930002</t>
  </si>
  <si>
    <t>5150890299</t>
  </si>
  <si>
    <t>5150890285</t>
  </si>
  <si>
    <t>5150890300</t>
  </si>
  <si>
    <t>5150890512</t>
  </si>
  <si>
    <t>5150890699</t>
  </si>
  <si>
    <t>5150890135</t>
  </si>
  <si>
    <t>5150890484</t>
  </si>
  <si>
    <t>5150890286</t>
  </si>
  <si>
    <t>5150890136</t>
  </si>
  <si>
    <t>5150890301</t>
  </si>
  <si>
    <t>5150890289</t>
  </si>
  <si>
    <t>5652590002</t>
  </si>
  <si>
    <t>5150890163</t>
  </si>
  <si>
    <t>5150890310</t>
  </si>
  <si>
    <t>5150890211</t>
  </si>
  <si>
    <t>5652260002</t>
  </si>
  <si>
    <t>5652270010</t>
  </si>
  <si>
    <t>5151210007</t>
  </si>
  <si>
    <t>5652270006</t>
  </si>
  <si>
    <t>5652270011</t>
  </si>
  <si>
    <t>5150890560</t>
  </si>
  <si>
    <t>5150890236</t>
  </si>
  <si>
    <t>5652330002</t>
  </si>
  <si>
    <t>5652330001</t>
  </si>
  <si>
    <t>5650670027</t>
  </si>
  <si>
    <t>5150890645</t>
  </si>
  <si>
    <t>5150890117</t>
  </si>
  <si>
    <t>5150890118</t>
  </si>
  <si>
    <t>5150890119</t>
  </si>
  <si>
    <t>5111001463</t>
  </si>
  <si>
    <t>5111001932</t>
  </si>
  <si>
    <t>5150890482</t>
  </si>
  <si>
    <t>5150890291</t>
  </si>
  <si>
    <t>5650460003</t>
  </si>
  <si>
    <t>5150890280</t>
  </si>
  <si>
    <t>5150890559</t>
  </si>
  <si>
    <t>5111000157</t>
  </si>
  <si>
    <t>5151280006</t>
  </si>
  <si>
    <t>5111000154</t>
  </si>
  <si>
    <t>5112530002</t>
  </si>
  <si>
    <t>5150890475</t>
  </si>
  <si>
    <t>5150890153</t>
  </si>
  <si>
    <t>5150890017</t>
  </si>
  <si>
    <t>5150890416</t>
  </si>
  <si>
    <t>5112530003</t>
  </si>
  <si>
    <t>5150890553</t>
  </si>
  <si>
    <t>5150890243</t>
  </si>
  <si>
    <t>5111001531</t>
  </si>
  <si>
    <t>5111001532</t>
  </si>
  <si>
    <t>5111001533</t>
  </si>
  <si>
    <t>5111001659</t>
  </si>
  <si>
    <t>5111000867</t>
  </si>
  <si>
    <t>5150890458</t>
  </si>
  <si>
    <t>5150890501</t>
  </si>
  <si>
    <t>5150890444</t>
  </si>
  <si>
    <t>5150890233</t>
  </si>
  <si>
    <t>5151190003</t>
  </si>
  <si>
    <t>5151350001</t>
  </si>
  <si>
    <t>5150890620</t>
  </si>
  <si>
    <t>5110810020</t>
  </si>
  <si>
    <t>5111002219</t>
  </si>
  <si>
    <t>5111001921</t>
  </si>
  <si>
    <t>5110780066</t>
  </si>
  <si>
    <t>5111000771</t>
  </si>
  <si>
    <t>5111000774</t>
  </si>
  <si>
    <t>5111000775</t>
  </si>
  <si>
    <t>5111000778</t>
  </si>
  <si>
    <t>5111000781</t>
  </si>
  <si>
    <t>5111000782</t>
  </si>
  <si>
    <t>5111000150</t>
  </si>
  <si>
    <t>5112680020</t>
  </si>
  <si>
    <t>5111000539</t>
  </si>
  <si>
    <t>5111002222</t>
  </si>
  <si>
    <t>5111001884</t>
  </si>
  <si>
    <t>5111001886</t>
  </si>
  <si>
    <t>5150890628</t>
  </si>
  <si>
    <t>5111300009</t>
  </si>
  <si>
    <t>5111300010</t>
  </si>
  <si>
    <t>5111000010</t>
  </si>
  <si>
    <t>5112610008</t>
  </si>
  <si>
    <t>5652640010</t>
  </si>
  <si>
    <t>5111001729</t>
  </si>
  <si>
    <t>5652290005</t>
  </si>
  <si>
    <t>5110780069</t>
  </si>
  <si>
    <t>5110780044</t>
  </si>
  <si>
    <t>5110780045</t>
  </si>
  <si>
    <t>5110780047</t>
  </si>
  <si>
    <t>5110780048</t>
  </si>
  <si>
    <t>5110850003</t>
  </si>
  <si>
    <t>5111000085</t>
  </si>
  <si>
    <t>5111000088</t>
  </si>
  <si>
    <t>5111000076</t>
  </si>
  <si>
    <t>5111000091</t>
  </si>
  <si>
    <t>5111001771</t>
  </si>
  <si>
    <t>5112650046</t>
  </si>
  <si>
    <t>5110780054</t>
  </si>
  <si>
    <t>5110770003</t>
  </si>
  <si>
    <t>5110780081</t>
  </si>
  <si>
    <t>5111001344</t>
  </si>
  <si>
    <t>5110780061</t>
  </si>
  <si>
    <t>5110780062</t>
  </si>
  <si>
    <t>5110780070</t>
  </si>
  <si>
    <t>5111000152</t>
  </si>
  <si>
    <t>5111002189</t>
  </si>
  <si>
    <t>5112650023</t>
  </si>
  <si>
    <t>5112650003</t>
  </si>
  <si>
    <t>5112650005</t>
  </si>
  <si>
    <t>5112650007</t>
  </si>
  <si>
    <t>5110780011</t>
  </si>
  <si>
    <t>5111000161</t>
  </si>
  <si>
    <t>5111001829</t>
  </si>
  <si>
    <t>5110780060</t>
  </si>
  <si>
    <t>5111000133</t>
  </si>
  <si>
    <t>5111002030</t>
  </si>
  <si>
    <t>5111001806</t>
  </si>
  <si>
    <t>5111000448</t>
  </si>
  <si>
    <t>5111000450</t>
  </si>
  <si>
    <t>5150890205</t>
  </si>
  <si>
    <t>5110760001</t>
  </si>
  <si>
    <t>5111000098</t>
  </si>
  <si>
    <t>5111000100</t>
  </si>
  <si>
    <t>5111000103</t>
  </si>
  <si>
    <t>5111000107</t>
  </si>
  <si>
    <t>5110780002</t>
  </si>
  <si>
    <t>5111001958</t>
  </si>
  <si>
    <t>5111002002</t>
  </si>
  <si>
    <t>5111002004</t>
  </si>
  <si>
    <t>5111001821</t>
  </si>
  <si>
    <t>5111001439</t>
  </si>
  <si>
    <t>5112380001</t>
  </si>
  <si>
    <t>5111002148</t>
  </si>
  <si>
    <t>5111000440</t>
  </si>
  <si>
    <t>5111001937</t>
  </si>
  <si>
    <t>5111001957</t>
  </si>
  <si>
    <t>5111001809</t>
  </si>
  <si>
    <t>5111001813</t>
  </si>
  <si>
    <t>5111001815</t>
  </si>
  <si>
    <t>5111001818</t>
  </si>
  <si>
    <t>5111001725</t>
  </si>
  <si>
    <t>5111000114</t>
  </si>
  <si>
    <t>5111000116</t>
  </si>
  <si>
    <t>5111000118</t>
  </si>
  <si>
    <t>5111000120</t>
  </si>
  <si>
    <t>5111000122</t>
  </si>
  <si>
    <t>5111000124</t>
  </si>
  <si>
    <t>5111001357</t>
  </si>
  <si>
    <t>5110760008</t>
  </si>
  <si>
    <t>5110760010</t>
  </si>
  <si>
    <t>5111000466</t>
  </si>
  <si>
    <t>5111000471</t>
  </si>
  <si>
    <t>5110780003</t>
  </si>
  <si>
    <t>5110780006</t>
  </si>
  <si>
    <t>5110780008</t>
  </si>
  <si>
    <t>5110780009</t>
  </si>
  <si>
    <t>5110780140</t>
  </si>
  <si>
    <t>5110780027</t>
  </si>
  <si>
    <t>5110780029</t>
  </si>
  <si>
    <t>5110780030</t>
  </si>
  <si>
    <t>5111000359</t>
  </si>
  <si>
    <t>5111000360</t>
  </si>
  <si>
    <t>5111000361</t>
  </si>
  <si>
    <t>5111000363</t>
  </si>
  <si>
    <t>5111000364</t>
  </si>
  <si>
    <t>5112060003</t>
  </si>
  <si>
    <t>5111001105</t>
  </si>
  <si>
    <t>5111001106</t>
  </si>
  <si>
    <t>5111001171</t>
  </si>
  <si>
    <t>5111001172</t>
  </si>
  <si>
    <t>5111001630</t>
  </si>
  <si>
    <t>5111001635</t>
  </si>
  <si>
    <t>5111000541</t>
  </si>
  <si>
    <t>5111001264</t>
  </si>
  <si>
    <t>5111000115</t>
  </si>
  <si>
    <t>5111000075</t>
  </si>
  <si>
    <t>5111001655</t>
  </si>
  <si>
    <t>5111000984</t>
  </si>
  <si>
    <t>5111000982</t>
  </si>
  <si>
    <t>5111000983</t>
  </si>
  <si>
    <t>5111460001</t>
  </si>
  <si>
    <t>5111002051</t>
  </si>
  <si>
    <t>5111002054</t>
  </si>
  <si>
    <t>5111000901</t>
  </si>
  <si>
    <t>5110760017</t>
  </si>
  <si>
    <t>5111000111</t>
  </si>
  <si>
    <t>5111000113</t>
  </si>
  <si>
    <t>5111000096</t>
  </si>
  <si>
    <t>5112680002</t>
  </si>
  <si>
    <t>5112680003</t>
  </si>
  <si>
    <t>5112680004</t>
  </si>
  <si>
    <t>5111001300</t>
  </si>
  <si>
    <t>5110520006</t>
  </si>
  <si>
    <t>5110240012</t>
  </si>
  <si>
    <t>5110780056</t>
  </si>
  <si>
    <t>5111620010</t>
  </si>
  <si>
    <t>5111002223</t>
  </si>
  <si>
    <t>5112030047</t>
  </si>
  <si>
    <t>5112030039</t>
  </si>
  <si>
    <t>5111001797</t>
  </si>
  <si>
    <t>5112680005</t>
  </si>
  <si>
    <t>5111000067</t>
  </si>
  <si>
    <t>5111002162</t>
  </si>
  <si>
    <t>5111002201</t>
  </si>
  <si>
    <t>5112680001</t>
  </si>
  <si>
    <t>5111001914</t>
  </si>
  <si>
    <t>5111001949</t>
  </si>
  <si>
    <t>5111001558</t>
  </si>
  <si>
    <t>5111002044</t>
  </si>
  <si>
    <t>5111001032</t>
  </si>
  <si>
    <t>5111000418</t>
  </si>
  <si>
    <t>5110370065</t>
  </si>
  <si>
    <t>5111000060</t>
  </si>
  <si>
    <t>5111001270</t>
  </si>
  <si>
    <t>5111001202</t>
  </si>
  <si>
    <t>5111000059</t>
  </si>
  <si>
    <t>5111000196</t>
  </si>
  <si>
    <t>5111000057</t>
  </si>
  <si>
    <t>5111000041</t>
  </si>
  <si>
    <t>5111000045</t>
  </si>
  <si>
    <t>5110370062</t>
  </si>
  <si>
    <t>5111001516</t>
  </si>
  <si>
    <t>5111001269</t>
  </si>
  <si>
    <t>5111002075</t>
  </si>
  <si>
    <t>5111002077</t>
  </si>
  <si>
    <t>5111002078</t>
  </si>
  <si>
    <t>5111002079</t>
  </si>
  <si>
    <t>5111670001</t>
  </si>
  <si>
    <t>5111002087</t>
  </si>
  <si>
    <t>5111002089</t>
  </si>
  <si>
    <t>5111002092</t>
  </si>
  <si>
    <t>5112680022</t>
  </si>
  <si>
    <t>5112680009</t>
  </si>
  <si>
    <t>5110790001</t>
  </si>
  <si>
    <t>5111000520</t>
  </si>
  <si>
    <t>5111000521</t>
  </si>
  <si>
    <t>5111000965</t>
  </si>
  <si>
    <t>5112130001</t>
  </si>
  <si>
    <t>5111630007</t>
  </si>
  <si>
    <t>5111630008</t>
  </si>
  <si>
    <t>5111630013</t>
  </si>
  <si>
    <t>5110370021</t>
  </si>
  <si>
    <t>5110370022</t>
  </si>
  <si>
    <t>5111000026</t>
  </si>
  <si>
    <t>5111001964</t>
  </si>
  <si>
    <t>5111001966</t>
  </si>
  <si>
    <t>5111080001</t>
  </si>
  <si>
    <t>5110230010</t>
  </si>
  <si>
    <t>5111000058</t>
  </si>
  <si>
    <t>5110230011</t>
  </si>
  <si>
    <t>5111090001</t>
  </si>
  <si>
    <t>5111000062</t>
  </si>
  <si>
    <t>5111000065</t>
  </si>
  <si>
    <t>5111000144</t>
  </si>
  <si>
    <t>5111340001</t>
  </si>
  <si>
    <t>5111001637</t>
  </si>
  <si>
    <t>5111001640</t>
  </si>
  <si>
    <t>5111001645</t>
  </si>
  <si>
    <t>5111001671</t>
  </si>
  <si>
    <t>5111001677</t>
  </si>
  <si>
    <t>5111001678</t>
  </si>
  <si>
    <t>5111001681</t>
  </si>
  <si>
    <t>5111001683</t>
  </si>
  <si>
    <t>5111001686</t>
  </si>
  <si>
    <t>5111001687</t>
  </si>
  <si>
    <t>5111001689</t>
  </si>
  <si>
    <t>5111001692</t>
  </si>
  <si>
    <t>5111001698</t>
  </si>
  <si>
    <t>5111001703</t>
  </si>
  <si>
    <t>5111001706</t>
  </si>
  <si>
    <t>5111001724</t>
  </si>
  <si>
    <t>5111001733</t>
  </si>
  <si>
    <t>5111001735</t>
  </si>
  <si>
    <t>5111001736</t>
  </si>
  <si>
    <t>5111001737</t>
  </si>
  <si>
    <t>5111001739</t>
  </si>
  <si>
    <t>5111001740</t>
  </si>
  <si>
    <t>5111001742</t>
  </si>
  <si>
    <t>5111001743</t>
  </si>
  <si>
    <t>5111001745</t>
  </si>
  <si>
    <t>5111001747</t>
  </si>
  <si>
    <t>5111001748</t>
  </si>
  <si>
    <t>5111001752</t>
  </si>
  <si>
    <t>5111001755</t>
  </si>
  <si>
    <t>5111001762</t>
  </si>
  <si>
    <t>5111001763</t>
  </si>
  <si>
    <t>5111001765</t>
  </si>
  <si>
    <t>5111001768</t>
  </si>
  <si>
    <t>5111001770</t>
  </si>
  <si>
    <t>5111001772</t>
  </si>
  <si>
    <t>5111001773</t>
  </si>
  <si>
    <t>5111001775</t>
  </si>
  <si>
    <t>5111001777</t>
  </si>
  <si>
    <t>5111001778</t>
  </si>
  <si>
    <t>5111001779</t>
  </si>
  <si>
    <t>5111001780</t>
  </si>
  <si>
    <t>5111001781</t>
  </si>
  <si>
    <t>5111001782</t>
  </si>
  <si>
    <t>5111001783</t>
  </si>
  <si>
    <t>5111001786</t>
  </si>
  <si>
    <t>5111001787</t>
  </si>
  <si>
    <t>5111001789</t>
  </si>
  <si>
    <t>5111001792</t>
  </si>
  <si>
    <t>5111001793</t>
  </si>
  <si>
    <t>5111001795</t>
  </si>
  <si>
    <t>5111001796</t>
  </si>
  <si>
    <t>5111001798</t>
  </si>
  <si>
    <t>5111001800</t>
  </si>
  <si>
    <t>5111001801</t>
  </si>
  <si>
    <t>5111001804</t>
  </si>
  <si>
    <t>5111001805</t>
  </si>
  <si>
    <t>5111001808</t>
  </si>
  <si>
    <t>5111001810</t>
  </si>
  <si>
    <t>5111001811</t>
  </si>
  <si>
    <t>5111001814</t>
  </si>
  <si>
    <t>5111001416</t>
  </si>
  <si>
    <t>5112210002</t>
  </si>
  <si>
    <t>5110230045</t>
  </si>
  <si>
    <t>5652640012</t>
  </si>
  <si>
    <t>5111000132</t>
  </si>
  <si>
    <t>5111001563</t>
  </si>
  <si>
    <t>5111001565</t>
  </si>
  <si>
    <t>5111001569</t>
  </si>
  <si>
    <t>5111001572</t>
  </si>
  <si>
    <t>5111000506</t>
  </si>
  <si>
    <t>5110240009</t>
  </si>
  <si>
    <t>5111001156</t>
  </si>
  <si>
    <t>5111001970</t>
  </si>
  <si>
    <t>5112270006</t>
  </si>
  <si>
    <t>5111001646</t>
  </si>
  <si>
    <t>5111002073</t>
  </si>
  <si>
    <t>5111001204</t>
  </si>
  <si>
    <t>5111000846</t>
  </si>
  <si>
    <t>5111000109</t>
  </si>
  <si>
    <t>5110490001</t>
  </si>
  <si>
    <t>5111000135</t>
  </si>
  <si>
    <t>5111001993</t>
  </si>
  <si>
    <t>5111001995</t>
  </si>
  <si>
    <t>5110370005</t>
  </si>
  <si>
    <t>5110370006</t>
  </si>
  <si>
    <t>5111000087</t>
  </si>
  <si>
    <t>5111001767</t>
  </si>
  <si>
    <t>5111001489</t>
  </si>
  <si>
    <t>5150890665</t>
  </si>
  <si>
    <t>5150890666</t>
  </si>
  <si>
    <t>5111000510</t>
  </si>
  <si>
    <t>5111001492</t>
  </si>
  <si>
    <t>5111001948</t>
  </si>
  <si>
    <t>5111001950</t>
  </si>
  <si>
    <t>5111001538</t>
  </si>
  <si>
    <t>5111001540</t>
  </si>
  <si>
    <t>5112180002</t>
  </si>
  <si>
    <t>5111001633</t>
  </si>
  <si>
    <t>5111002209</t>
  </si>
  <si>
    <t>5111002210</t>
  </si>
  <si>
    <t>5111001505</t>
  </si>
  <si>
    <t>5111001559</t>
  </si>
  <si>
    <t>5111001561</t>
  </si>
  <si>
    <t>5111001118</t>
  </si>
  <si>
    <t>5111050006</t>
  </si>
  <si>
    <t>5111002016</t>
  </si>
  <si>
    <t>5150890151</t>
  </si>
  <si>
    <t>5111000129</t>
  </si>
  <si>
    <t>5652220008</t>
  </si>
  <si>
    <t>5111002229</t>
  </si>
  <si>
    <t>5111000022</t>
  </si>
  <si>
    <t>5110490028</t>
  </si>
  <si>
    <t>5112180001</t>
  </si>
  <si>
    <t>5111002387</t>
  </si>
  <si>
    <t>5111001375</t>
  </si>
  <si>
    <t>5110370055</t>
  </si>
  <si>
    <t>5110370004</t>
  </si>
  <si>
    <t>5111001491</t>
  </si>
  <si>
    <t>5111001913</t>
  </si>
  <si>
    <t>5111001985</t>
  </si>
  <si>
    <t>5111001986</t>
  </si>
  <si>
    <t>5111001987</t>
  </si>
  <si>
    <t>5111001885</t>
  </si>
  <si>
    <t>5111001501</t>
  </si>
  <si>
    <t>5110360026</t>
  </si>
  <si>
    <t>5111001965</t>
  </si>
  <si>
    <t>5111001597</t>
  </si>
  <si>
    <t>5111001550</t>
  </si>
  <si>
    <t>5111460002</t>
  </si>
  <si>
    <t>5111002018</t>
  </si>
  <si>
    <t>5111002021</t>
  </si>
  <si>
    <t>5111002023</t>
  </si>
  <si>
    <t>5111002202</t>
  </si>
  <si>
    <t>5111002203</t>
  </si>
  <si>
    <t>5111002205</t>
  </si>
  <si>
    <t>5111002206</t>
  </si>
  <si>
    <t>5111002207</t>
  </si>
  <si>
    <t>5111002208</t>
  </si>
  <si>
    <t>5112200004</t>
  </si>
  <si>
    <t>5111002227</t>
  </si>
  <si>
    <t>5110760019</t>
  </si>
  <si>
    <t>5150890064</t>
  </si>
  <si>
    <t>5112610005</t>
  </si>
  <si>
    <t>5110810001</t>
  </si>
  <si>
    <t>5111001285</t>
  </si>
  <si>
    <t>5111001236</t>
  </si>
  <si>
    <t>5111001347</t>
  </si>
  <si>
    <t>5111001350</t>
  </si>
  <si>
    <t>5111001352</t>
  </si>
  <si>
    <t>5111001430</t>
  </si>
  <si>
    <t>5111001431</t>
  </si>
  <si>
    <t>5111001432</t>
  </si>
  <si>
    <t>5111001424</t>
  </si>
  <si>
    <t>5112650024</t>
  </si>
  <si>
    <t>5112650025</t>
  </si>
  <si>
    <t>5112650010</t>
  </si>
  <si>
    <t>5111000528</t>
  </si>
  <si>
    <t>5111000842</t>
  </si>
  <si>
    <t>5112650004</t>
  </si>
  <si>
    <t>5110780088</t>
  </si>
  <si>
    <t>5110780089</t>
  </si>
  <si>
    <t>5110770005</t>
  </si>
  <si>
    <t>5110780090</t>
  </si>
  <si>
    <t>5111000395</t>
  </si>
  <si>
    <t>5111000598</t>
  </si>
  <si>
    <t>5112650014</t>
  </si>
  <si>
    <t>5112650015</t>
  </si>
  <si>
    <t>5112650016</t>
  </si>
  <si>
    <t>5111000861</t>
  </si>
  <si>
    <t>5111000863</t>
  </si>
  <si>
    <t>5111000865</t>
  </si>
  <si>
    <t>5112650031</t>
  </si>
  <si>
    <t>5111000470</t>
  </si>
  <si>
    <t>5111000638</t>
  </si>
  <si>
    <t>5111000640</t>
  </si>
  <si>
    <t>5111000643</t>
  </si>
  <si>
    <t>5111000649</t>
  </si>
  <si>
    <t>5111000654</t>
  </si>
  <si>
    <t>5111000696</t>
  </si>
  <si>
    <t>5111001271</t>
  </si>
  <si>
    <t>5111001273</t>
  </si>
  <si>
    <t>5111001275</t>
  </si>
  <si>
    <t>5111001277</t>
  </si>
  <si>
    <t>5111001278</t>
  </si>
  <si>
    <t>5111001280</t>
  </si>
  <si>
    <t>5111001255</t>
  </si>
  <si>
    <t>5111001258</t>
  </si>
  <si>
    <t>5111000390</t>
  </si>
  <si>
    <t>5111000429</t>
  </si>
  <si>
    <t>5111000430</t>
  </si>
  <si>
    <t>5111000172</t>
  </si>
  <si>
    <t>5111000207</t>
  </si>
  <si>
    <t>5111000299</t>
  </si>
  <si>
    <t>5111000300</t>
  </si>
  <si>
    <t>5111000301</t>
  </si>
  <si>
    <t>5111000302</t>
  </si>
  <si>
    <t>5111000303</t>
  </si>
  <si>
    <t>5111000329</t>
  </si>
  <si>
    <t>5111000330</t>
  </si>
  <si>
    <t>5111000743</t>
  </si>
  <si>
    <t>5110780018</t>
  </si>
  <si>
    <t>5110780019</t>
  </si>
  <si>
    <t>5110780021</t>
  </si>
  <si>
    <t>5110780024</t>
  </si>
  <si>
    <t>5110780025</t>
  </si>
  <si>
    <t>5112700001</t>
  </si>
  <si>
    <t>5111000153</t>
  </si>
  <si>
    <t>5111000156</t>
  </si>
  <si>
    <t>5111000401</t>
  </si>
  <si>
    <t>5112000001</t>
  </si>
  <si>
    <t>5110780093</t>
  </si>
  <si>
    <t>5110780094</t>
  </si>
  <si>
    <t>5110780095</t>
  </si>
  <si>
    <t>5110780096</t>
  </si>
  <si>
    <t>5110780097</t>
  </si>
  <si>
    <t>5110780098</t>
  </si>
  <si>
    <t>5110780099</t>
  </si>
  <si>
    <t>5110780100</t>
  </si>
  <si>
    <t>5110780101</t>
  </si>
  <si>
    <t>5110780102</t>
  </si>
  <si>
    <t>5111001266</t>
  </si>
  <si>
    <t>5111001268</t>
  </si>
  <si>
    <t>5111070001</t>
  </si>
  <si>
    <t>5111000334</t>
  </si>
  <si>
    <t>5111700006</t>
  </si>
  <si>
    <t>5112650018</t>
  </si>
  <si>
    <t>5112650026</t>
  </si>
  <si>
    <t>5112650027</t>
  </si>
  <si>
    <t>5112650028</t>
  </si>
  <si>
    <t>5111000479</t>
  </si>
  <si>
    <t>5111000484</t>
  </si>
  <si>
    <t>5111000489</t>
  </si>
  <si>
    <t>5111000559</t>
  </si>
  <si>
    <t>5111000183</t>
  </si>
  <si>
    <t>5111000298</t>
  </si>
  <si>
    <t>5111000354</t>
  </si>
  <si>
    <t>5111000382</t>
  </si>
  <si>
    <t>5111000407</t>
  </si>
  <si>
    <t>5111000545</t>
  </si>
  <si>
    <t>5111000522</t>
  </si>
  <si>
    <t>5111001524</t>
  </si>
  <si>
    <t>5111001525</t>
  </si>
  <si>
    <t>5111001377</t>
  </si>
  <si>
    <t>5111000121</t>
  </si>
  <si>
    <t>5110390015</t>
  </si>
  <si>
    <t>5110390016</t>
  </si>
  <si>
    <t>5110390018</t>
  </si>
  <si>
    <t>5110390019</t>
  </si>
  <si>
    <t>5110390020</t>
  </si>
  <si>
    <t>5110390021</t>
  </si>
  <si>
    <t>5110390022</t>
  </si>
  <si>
    <t>5110390023</t>
  </si>
  <si>
    <t>5111000184</t>
  </si>
  <si>
    <t>5111000185</t>
  </si>
  <si>
    <t>5111000186</t>
  </si>
  <si>
    <t>5111000187</t>
  </si>
  <si>
    <t>5111000188</t>
  </si>
  <si>
    <t>5112650012</t>
  </si>
  <si>
    <t>5112650013</t>
  </si>
  <si>
    <t>5111000773</t>
  </si>
  <si>
    <t>5110790002</t>
  </si>
  <si>
    <t>5111000271</t>
  </si>
  <si>
    <t>5110360015</t>
  </si>
  <si>
    <t>5111000745</t>
  </si>
  <si>
    <t>5112030014</t>
  </si>
  <si>
    <t>5112030015</t>
  </si>
  <si>
    <t>5111000403</t>
  </si>
  <si>
    <t>5111000399</t>
  </si>
  <si>
    <t>5111001878</t>
  </si>
  <si>
    <t>5111001880</t>
  </si>
  <si>
    <t>5111001283</t>
  </si>
  <si>
    <t>5110240019</t>
  </si>
  <si>
    <t>5110240020</t>
  </si>
  <si>
    <t>5110240021</t>
  </si>
  <si>
    <t>5110240022</t>
  </si>
  <si>
    <t>5111001191</t>
  </si>
  <si>
    <t>5110780092</t>
  </si>
  <si>
    <t>5111000254</t>
  </si>
  <si>
    <t>5111000507</t>
  </si>
  <si>
    <t>5111630016</t>
  </si>
  <si>
    <t>5110540009</t>
  </si>
  <si>
    <t>5111001421</t>
  </si>
  <si>
    <t>5111001407</t>
  </si>
  <si>
    <t>5111000868</t>
  </si>
  <si>
    <t>5110360007</t>
  </si>
  <si>
    <t>5111000175</t>
  </si>
  <si>
    <t>5111000190</t>
  </si>
  <si>
    <t>5111000265</t>
  </si>
  <si>
    <t>5111000453</t>
  </si>
  <si>
    <t>5111980001</t>
  </si>
  <si>
    <t>5111030001</t>
  </si>
  <si>
    <t>5111001830</t>
  </si>
  <si>
    <t>5111900001</t>
  </si>
  <si>
    <t>5111010001</t>
  </si>
  <si>
    <t>5111010002</t>
  </si>
  <si>
    <t>5111020001</t>
  </si>
  <si>
    <t>5111920001</t>
  </si>
  <si>
    <t>5111930001</t>
  </si>
  <si>
    <t>5111930002</t>
  </si>
  <si>
    <t>5111940001</t>
  </si>
  <si>
    <t>5111940002</t>
  </si>
  <si>
    <t>5111950001</t>
  </si>
  <si>
    <t>5111950002</t>
  </si>
  <si>
    <t>5111960001</t>
  </si>
  <si>
    <t>5111960002</t>
  </si>
  <si>
    <t>5111970001</t>
  </si>
  <si>
    <t>5111970002</t>
  </si>
  <si>
    <t>5111990001</t>
  </si>
  <si>
    <t>5111990002</t>
  </si>
  <si>
    <t>5111000189</t>
  </si>
  <si>
    <t>5110370099</t>
  </si>
  <si>
    <t>5110240013</t>
  </si>
  <si>
    <t>5110240014</t>
  </si>
  <si>
    <t>5110240015</t>
  </si>
  <si>
    <t>5110240016</t>
  </si>
  <si>
    <t>5110240017</t>
  </si>
  <si>
    <t>5110240018</t>
  </si>
  <si>
    <t>5111000138</t>
  </si>
  <si>
    <t>5111000141</t>
  </si>
  <si>
    <t>5111000176</t>
  </si>
  <si>
    <t>5111000177</t>
  </si>
  <si>
    <t>5111000178</t>
  </si>
  <si>
    <t>5111000179</t>
  </si>
  <si>
    <t>5111000181</t>
  </si>
  <si>
    <t>5111000871</t>
  </si>
  <si>
    <t>5110370049</t>
  </si>
  <si>
    <t>5110370050</t>
  </si>
  <si>
    <t>5111000886</t>
  </si>
  <si>
    <t>5110370051</t>
  </si>
  <si>
    <t>5110370043</t>
  </si>
  <si>
    <t>5110370044</t>
  </si>
  <si>
    <t>5110370045</t>
  </si>
  <si>
    <t>5111000841</t>
  </si>
  <si>
    <t>5111000446</t>
  </si>
  <si>
    <t>5110360011</t>
  </si>
  <si>
    <t>5110360012</t>
  </si>
  <si>
    <t>5110360013</t>
  </si>
  <si>
    <t>5111000805</t>
  </si>
  <si>
    <t>5111000807</t>
  </si>
  <si>
    <t>5111000442</t>
  </si>
  <si>
    <t>5112540001</t>
  </si>
  <si>
    <t>5110370108</t>
  </si>
  <si>
    <t>5110370109</t>
  </si>
  <si>
    <t>5110370110</t>
  </si>
  <si>
    <t>5110370111</t>
  </si>
  <si>
    <t>5110370112</t>
  </si>
  <si>
    <t>5111001146</t>
  </si>
  <si>
    <t>5111001284</t>
  </si>
  <si>
    <t>5112030001</t>
  </si>
  <si>
    <t>5111000242</t>
  </si>
  <si>
    <t>5111000612</t>
  </si>
  <si>
    <t>5111100010</t>
  </si>
  <si>
    <t>5110250004</t>
  </si>
  <si>
    <t>5110250005</t>
  </si>
  <si>
    <t>5111000756</t>
  </si>
  <si>
    <t>5111100007</t>
  </si>
  <si>
    <t>5111100008</t>
  </si>
  <si>
    <t>5110230023</t>
  </si>
  <si>
    <t>5111000563</t>
  </si>
  <si>
    <t>5111000571</t>
  </si>
  <si>
    <t>5111000574</t>
  </si>
  <si>
    <t>5111000575</t>
  </si>
  <si>
    <t>5111000584</t>
  </si>
  <si>
    <t>5112230001</t>
  </si>
  <si>
    <t>5111000259</t>
  </si>
  <si>
    <t>5111001514</t>
  </si>
  <si>
    <t>5110370114</t>
  </si>
  <si>
    <t>5111000636</t>
  </si>
  <si>
    <t>5110370042</t>
  </si>
  <si>
    <t>5111000779</t>
  </si>
  <si>
    <t>5110360008</t>
  </si>
  <si>
    <t>5111000443</t>
  </si>
  <si>
    <t>5110230038</t>
  </si>
  <si>
    <t>5111001281</t>
  </si>
  <si>
    <t>5111000255</t>
  </si>
  <si>
    <t>5111000959</t>
  </si>
  <si>
    <t>5111000556</t>
  </si>
  <si>
    <t>5112200003</t>
  </si>
  <si>
    <t>5111000580</t>
  </si>
  <si>
    <t>5111000219</t>
  </si>
  <si>
    <t>5111000618</t>
  </si>
  <si>
    <t>5111000621</t>
  </si>
  <si>
    <t>5111000624</t>
  </si>
  <si>
    <t>5111000627</t>
  </si>
  <si>
    <t>5111000629</t>
  </si>
  <si>
    <t>5111000631</t>
  </si>
  <si>
    <t>5111000633</t>
  </si>
  <si>
    <t>5111000635</t>
  </si>
  <si>
    <t>5111000239</t>
  </si>
  <si>
    <t>5111000180</t>
  </si>
  <si>
    <t>5111001397</t>
  </si>
  <si>
    <t>5111001398</t>
  </si>
  <si>
    <t>5111000504</t>
  </si>
  <si>
    <t>5111001120</t>
  </si>
  <si>
    <t>5111000355</t>
  </si>
  <si>
    <t>5111000257</t>
  </si>
  <si>
    <t>5111000143</t>
  </si>
  <si>
    <t>5111000146</t>
  </si>
  <si>
    <t>5111001870</t>
  </si>
  <si>
    <t>5111001873</t>
  </si>
  <si>
    <t>5111002024</t>
  </si>
  <si>
    <t>5111002025</t>
  </si>
  <si>
    <t>5111002027</t>
  </si>
  <si>
    <t>5111002212</t>
  </si>
  <si>
    <t>5111002214</t>
  </si>
  <si>
    <t>5111002215</t>
  </si>
  <si>
    <t>5111002217</t>
  </si>
  <si>
    <t>5111002220</t>
  </si>
  <si>
    <t>5111002225</t>
  </si>
  <si>
    <t>5111001876</t>
  </si>
  <si>
    <t>5112200002</t>
  </si>
  <si>
    <t>5111001874</t>
  </si>
  <si>
    <t>5111180001</t>
  </si>
  <si>
    <t>5111001791</t>
  </si>
  <si>
    <t>5111600001</t>
  </si>
  <si>
    <t>5111001807</t>
  </si>
  <si>
    <t>5111001812</t>
  </si>
  <si>
    <t>5111001784</t>
  </si>
  <si>
    <t>5111001802</t>
  </si>
  <si>
    <t>5110780020</t>
  </si>
  <si>
    <t>5111001623</t>
  </si>
  <si>
    <t>5110810004</t>
  </si>
  <si>
    <t>5110810005</t>
  </si>
  <si>
    <t>5110810006</t>
  </si>
  <si>
    <t>5110810007</t>
  </si>
  <si>
    <t>5110810009</t>
  </si>
  <si>
    <t>5110810010</t>
  </si>
  <si>
    <t>5110810011</t>
  </si>
  <si>
    <t>5110810012</t>
  </si>
  <si>
    <t>5110810013</t>
  </si>
  <si>
    <t>5110810014</t>
  </si>
  <si>
    <t>5110810015</t>
  </si>
  <si>
    <t>5111001946</t>
  </si>
  <si>
    <t>5110810016</t>
  </si>
  <si>
    <t>5110810017</t>
  </si>
  <si>
    <t>5110810018</t>
  </si>
  <si>
    <t>5110810019</t>
  </si>
  <si>
    <t>5110810008</t>
  </si>
  <si>
    <t>5110780046</t>
  </si>
  <si>
    <t>5111000981</t>
  </si>
  <si>
    <t>5110540001</t>
  </si>
  <si>
    <t>5111001167</t>
  </si>
  <si>
    <t>5111001369</t>
  </si>
  <si>
    <t>5111001579</t>
  </si>
  <si>
    <t>5110780091</t>
  </si>
  <si>
    <t>5111000943</t>
  </si>
  <si>
    <t>5111300003</t>
  </si>
  <si>
    <t>5111000610</t>
  </si>
  <si>
    <t>5110370080</t>
  </si>
  <si>
    <t>5111001952</t>
  </si>
  <si>
    <t>5111001954</t>
  </si>
  <si>
    <t>5110230035</t>
  </si>
  <si>
    <t>5110370081</t>
  </si>
  <si>
    <t>5111001201</t>
  </si>
  <si>
    <t>5111001423</t>
  </si>
  <si>
    <t>5111001449</t>
  </si>
  <si>
    <t>5111001451</t>
  </si>
  <si>
    <t>5111000890</t>
  </si>
  <si>
    <t>5111000218</t>
  </si>
  <si>
    <t>5111000228</t>
  </si>
  <si>
    <t>5111002032</t>
  </si>
  <si>
    <t>5111002033</t>
  </si>
  <si>
    <t>5111002034</t>
  </si>
  <si>
    <t>5111002036</t>
  </si>
  <si>
    <t>5111002179</t>
  </si>
  <si>
    <t>5111490001</t>
  </si>
  <si>
    <t>5111002183</t>
  </si>
  <si>
    <t>5111002185</t>
  </si>
  <si>
    <t>5111002231</t>
  </si>
  <si>
    <t>5111002233</t>
  </si>
  <si>
    <t>5111002041</t>
  </si>
  <si>
    <t>5112200001</t>
  </si>
  <si>
    <t>5112000008</t>
  </si>
  <si>
    <t>5112000013</t>
  </si>
  <si>
    <t>5112030029</t>
  </si>
  <si>
    <t>5112110001</t>
  </si>
  <si>
    <t>5111001912</t>
  </si>
  <si>
    <t>5111001841</t>
  </si>
  <si>
    <t>5112000014</t>
  </si>
  <si>
    <t>5112000006</t>
  </si>
  <si>
    <t>5111001919</t>
  </si>
  <si>
    <t>5112600001</t>
  </si>
  <si>
    <t>5111001977</t>
  </si>
  <si>
    <t>5111000608</t>
  </si>
  <si>
    <t>5111360001</t>
  </si>
  <si>
    <t>5111000384</t>
  </si>
  <si>
    <t>5111000385</t>
  </si>
  <si>
    <t>5111000386</t>
  </si>
  <si>
    <t>5111000388</t>
  </si>
  <si>
    <t>5111000517</t>
  </si>
  <si>
    <t>5112000002</t>
  </si>
  <si>
    <t>5112000003</t>
  </si>
  <si>
    <t>5111001897</t>
  </si>
  <si>
    <t>5112740001</t>
  </si>
  <si>
    <t>5111001898</t>
  </si>
  <si>
    <t>5111001899</t>
  </si>
  <si>
    <t>5111001901</t>
  </si>
  <si>
    <t>5111001902</t>
  </si>
  <si>
    <t>5111001903</t>
  </si>
  <si>
    <t>5111001904</t>
  </si>
  <si>
    <t>5111001905</t>
  </si>
  <si>
    <t>5111001906</t>
  </si>
  <si>
    <t>5111001907</t>
  </si>
  <si>
    <t>5111001900</t>
  </si>
  <si>
    <t>5110780110</t>
  </si>
  <si>
    <t>5111790003</t>
  </si>
  <si>
    <t>5111200001</t>
  </si>
  <si>
    <t>5111001882</t>
  </si>
  <si>
    <t>5111001883</t>
  </si>
  <si>
    <t>5111000487</t>
  </si>
  <si>
    <t>5111000495</t>
  </si>
  <si>
    <t>5111000503</t>
  </si>
  <si>
    <t>5111000518</t>
  </si>
  <si>
    <t>5111000432</t>
  </si>
  <si>
    <t>5111000508</t>
  </si>
  <si>
    <t>5111000512</t>
  </si>
  <si>
    <t>5111000514</t>
  </si>
  <si>
    <t>5111000516</t>
  </si>
  <si>
    <t>5111000475</t>
  </si>
  <si>
    <t>5112640002</t>
  </si>
  <si>
    <t>5111000501</t>
  </si>
  <si>
    <t>5110780005</t>
  </si>
  <si>
    <t>5110780028</t>
  </si>
  <si>
    <t>5111000956</t>
  </si>
  <si>
    <t>5110780111</t>
  </si>
  <si>
    <t>5111001577</t>
  </si>
  <si>
    <t>5111000920</t>
  </si>
  <si>
    <t>5111000738</t>
  </si>
  <si>
    <t>5111000084</t>
  </si>
  <si>
    <t>5111001338</t>
  </si>
  <si>
    <t>5111001788</t>
  </si>
  <si>
    <t>5111001776</t>
  </si>
  <si>
    <t>5111001785</t>
  </si>
  <si>
    <t>5111000960</t>
  </si>
  <si>
    <t>5111001207</t>
  </si>
  <si>
    <t>5112070002</t>
  </si>
  <si>
    <t>5111002020</t>
  </si>
  <si>
    <t>5111001978</t>
  </si>
  <si>
    <t>5112640003</t>
  </si>
  <si>
    <t>5110760007</t>
  </si>
  <si>
    <t>5112670001</t>
  </si>
  <si>
    <t>5112650011</t>
  </si>
  <si>
    <t>5112670002</t>
  </si>
  <si>
    <t>5112670003</t>
  </si>
  <si>
    <t>5112670004</t>
  </si>
  <si>
    <t>5112670005</t>
  </si>
  <si>
    <t>5111002394</t>
  </si>
  <si>
    <t>5111000955</t>
  </si>
  <si>
    <t>5111001981</t>
  </si>
  <si>
    <t>5111002161</t>
  </si>
  <si>
    <t>5111002008</t>
  </si>
  <si>
    <t>5111001291</t>
  </si>
  <si>
    <t>5112070003</t>
  </si>
  <si>
    <t>5110760005</t>
  </si>
  <si>
    <t>5110760006</t>
  </si>
  <si>
    <t>5111000025</t>
  </si>
  <si>
    <t>5112060002</t>
  </si>
  <si>
    <t>5110480001</t>
  </si>
  <si>
    <t>5111002169</t>
  </si>
  <si>
    <t>5111001510</t>
  </si>
  <si>
    <t>5111620005</t>
  </si>
  <si>
    <t>5112030018</t>
  </si>
  <si>
    <t>5112030008</t>
  </si>
  <si>
    <t>5112030020</t>
  </si>
  <si>
    <t>5112030016</t>
  </si>
  <si>
    <t>5112030043</t>
  </si>
  <si>
    <t>5112030044</t>
  </si>
  <si>
    <t>5110230001</t>
  </si>
  <si>
    <t>5110490026</t>
  </si>
  <si>
    <t>5110490019</t>
  </si>
  <si>
    <t>5111001980</t>
  </si>
  <si>
    <t>5111002080</t>
  </si>
  <si>
    <t>5111001050</t>
  </si>
  <si>
    <t>5111620001</t>
  </si>
  <si>
    <t>5110370020</t>
  </si>
  <si>
    <t>5111000497</t>
  </si>
  <si>
    <t>5111630012</t>
  </si>
  <si>
    <t>5110770002</t>
  </si>
  <si>
    <t>5111630014</t>
  </si>
  <si>
    <t>5111000513</t>
  </si>
  <si>
    <t>5111630015</t>
  </si>
  <si>
    <t>5110370023</t>
  </si>
  <si>
    <t>5110370027</t>
  </si>
  <si>
    <t>5110370115</t>
  </si>
  <si>
    <t>5111001734</t>
  </si>
  <si>
    <t>5111002015</t>
  </si>
  <si>
    <t>5111000576</t>
  </si>
  <si>
    <t>5111000578</t>
  </si>
  <si>
    <t>5111000701</t>
  </si>
  <si>
    <t>5111870001</t>
  </si>
  <si>
    <t>5111001816</t>
  </si>
  <si>
    <t>5111001817</t>
  </si>
  <si>
    <t>5111001819</t>
  </si>
  <si>
    <t>5111001820</t>
  </si>
  <si>
    <t>5111001823</t>
  </si>
  <si>
    <t>5111001824</t>
  </si>
  <si>
    <t>5111001825</t>
  </si>
  <si>
    <t>5111001826</t>
  </si>
  <si>
    <t>5111001827</t>
  </si>
  <si>
    <t>5111001828</t>
  </si>
  <si>
    <t>5111001831</t>
  </si>
  <si>
    <t>5111001832</t>
  </si>
  <si>
    <t>5111001834</t>
  </si>
  <si>
    <t>5111001836</t>
  </si>
  <si>
    <t>5111001838</t>
  </si>
  <si>
    <t>5111001840</t>
  </si>
  <si>
    <t>5111001842</t>
  </si>
  <si>
    <t>5111001843</t>
  </si>
  <si>
    <t>5111001845</t>
  </si>
  <si>
    <t>5111001847</t>
  </si>
  <si>
    <t>5111001848</t>
  </si>
  <si>
    <t>5111001850</t>
  </si>
  <si>
    <t>5111001852</t>
  </si>
  <si>
    <t>5111001860</t>
  </si>
  <si>
    <t>5111001861</t>
  </si>
  <si>
    <t>5112680007</t>
  </si>
  <si>
    <t>5111000332</t>
  </si>
  <si>
    <t>5111002013</t>
  </si>
  <si>
    <t>5111630004</t>
  </si>
  <si>
    <t>5111001638</t>
  </si>
  <si>
    <t>5111002006</t>
  </si>
  <si>
    <t>5111002175</t>
  </si>
  <si>
    <t>5111001684</t>
  </si>
  <si>
    <t>5111780001</t>
  </si>
  <si>
    <t>5111001680</t>
  </si>
  <si>
    <t>5110250013</t>
  </si>
  <si>
    <t>5111001469</t>
  </si>
  <si>
    <t>5111001650</t>
  </si>
  <si>
    <t>5111000137</t>
  </si>
  <si>
    <t>5111050007</t>
  </si>
  <si>
    <t>5111001470</t>
  </si>
  <si>
    <t>5111000659</t>
  </si>
  <si>
    <t>5112270002</t>
  </si>
  <si>
    <t>5112270001</t>
  </si>
  <si>
    <t>5111001864</t>
  </si>
  <si>
    <t>5112040001</t>
  </si>
  <si>
    <t>5111000816</t>
  </si>
  <si>
    <t>5111000383</t>
  </si>
  <si>
    <t>5111000387</t>
  </si>
  <si>
    <t>5111000389</t>
  </si>
  <si>
    <t>5111000392</t>
  </si>
  <si>
    <t>5111000394</t>
  </si>
  <si>
    <t>5111000396</t>
  </si>
  <si>
    <t>5111000398</t>
  </si>
  <si>
    <t>5111000400</t>
  </si>
  <si>
    <t>5111000402</t>
  </si>
  <si>
    <t>5111000404</t>
  </si>
  <si>
    <t>5111000405</t>
  </si>
  <si>
    <t>5111000406</t>
  </si>
  <si>
    <t>5111000408</t>
  </si>
  <si>
    <t>5111000409</t>
  </si>
  <si>
    <t>5111000411</t>
  </si>
  <si>
    <t>5111000413</t>
  </si>
  <si>
    <t>5111000414</t>
  </si>
  <si>
    <t>5111000415</t>
  </si>
  <si>
    <t>5111130001</t>
  </si>
  <si>
    <t>5111000379</t>
  </si>
  <si>
    <t>5652290004</t>
  </si>
  <si>
    <t>5111001239</t>
  </si>
  <si>
    <t>5111001243</t>
  </si>
  <si>
    <t>5111001246</t>
  </si>
  <si>
    <t>5111001248</t>
  </si>
  <si>
    <t>5110780075</t>
  </si>
  <si>
    <t>5110780076</t>
  </si>
  <si>
    <t>5110780077</t>
  </si>
  <si>
    <t>5110780083</t>
  </si>
  <si>
    <t>5110780115</t>
  </si>
  <si>
    <t>5110780116</t>
  </si>
  <si>
    <t>5110780117</t>
  </si>
  <si>
    <t>5110780118</t>
  </si>
  <si>
    <t>5112610009</t>
  </si>
  <si>
    <t>5112610003</t>
  </si>
  <si>
    <t>5111000174</t>
  </si>
  <si>
    <t>5111000362</t>
  </si>
  <si>
    <t>5111350002</t>
  </si>
  <si>
    <t>5111002035</t>
  </si>
  <si>
    <t>5111002037</t>
  </si>
  <si>
    <t>5111002038</t>
  </si>
  <si>
    <t>5111000431</t>
  </si>
  <si>
    <t>5111000436</t>
  </si>
  <si>
    <t>5111000792</t>
  </si>
  <si>
    <t>5111000565</t>
  </si>
  <si>
    <t>5111000653</t>
  </si>
  <si>
    <t>5111000941</t>
  </si>
  <si>
    <t>5111800001</t>
  </si>
  <si>
    <t>5111000417</t>
  </si>
  <si>
    <t>5111000419</t>
  </si>
  <si>
    <t>5111000421</t>
  </si>
  <si>
    <t>5111000423</t>
  </si>
  <si>
    <t>5111000424</t>
  </si>
  <si>
    <t>5111000426</t>
  </si>
  <si>
    <t>5111000427</t>
  </si>
  <si>
    <t>5111000439</t>
  </si>
  <si>
    <t>5111000441</t>
  </si>
  <si>
    <t>5111000173</t>
  </si>
  <si>
    <t>5111790001</t>
  </si>
  <si>
    <t>5110780103</t>
  </si>
  <si>
    <t>5111000367</t>
  </si>
  <si>
    <t>5111000371</t>
  </si>
  <si>
    <t>5111000438</t>
  </si>
  <si>
    <t>5111000893</t>
  </si>
  <si>
    <t>5110780050</t>
  </si>
  <si>
    <t>5111001916</t>
  </si>
  <si>
    <t>5112670010</t>
  </si>
  <si>
    <t>5112000009</t>
  </si>
  <si>
    <t>5111000023</t>
  </si>
  <si>
    <t>5112650049</t>
  </si>
  <si>
    <t>5111001214</t>
  </si>
  <si>
    <t>5112000011</t>
  </si>
  <si>
    <t>5111001568</t>
  </si>
  <si>
    <t>5111001573</t>
  </si>
  <si>
    <t>5111000393</t>
  </si>
  <si>
    <t>5111000551</t>
  </si>
  <si>
    <t>5111002040</t>
  </si>
  <si>
    <t>5111002042</t>
  </si>
  <si>
    <t>5111000928</t>
  </si>
  <si>
    <t>5112260002</t>
  </si>
  <si>
    <t>5112260003</t>
  </si>
  <si>
    <t>5111000935</t>
  </si>
  <si>
    <t>5112060001</t>
  </si>
  <si>
    <t>5110360018</t>
  </si>
  <si>
    <t>5112070001</t>
  </si>
  <si>
    <t>5112030010</t>
  </si>
  <si>
    <t>5112030006</t>
  </si>
  <si>
    <t>5112030027</t>
  </si>
  <si>
    <t>5112030041</t>
  </si>
  <si>
    <t>5112030038</t>
  </si>
  <si>
    <t>5111000285</t>
  </si>
  <si>
    <t>5111000286</t>
  </si>
  <si>
    <t>5111000288</t>
  </si>
  <si>
    <t>5111001604</t>
  </si>
  <si>
    <t>5652200002</t>
  </si>
  <si>
    <t>5652190001</t>
  </si>
  <si>
    <t>5652190002</t>
  </si>
  <si>
    <t>5111000272</t>
  </si>
  <si>
    <t>5111000273</t>
  </si>
  <si>
    <t>5111000274</t>
  </si>
  <si>
    <t>5111000275</t>
  </si>
  <si>
    <t>5111000276</t>
  </si>
  <si>
    <t>5111000277</t>
  </si>
  <si>
    <t>5111001719</t>
  </si>
  <si>
    <t>5111001945</t>
  </si>
  <si>
    <t>5111770001</t>
  </si>
  <si>
    <t>5111001420</t>
  </si>
  <si>
    <t>5150890605</t>
  </si>
  <si>
    <t>5111001653</t>
  </si>
  <si>
    <t>5110230046</t>
  </si>
  <si>
    <t>5111001738</t>
  </si>
  <si>
    <t>5111001744</t>
  </si>
  <si>
    <t>5111002139</t>
  </si>
  <si>
    <t>5111002142</t>
  </si>
  <si>
    <t>5111001999</t>
  </si>
  <si>
    <t>5111002167</t>
  </si>
  <si>
    <t>5111001749</t>
  </si>
  <si>
    <t>5111001666</t>
  </si>
  <si>
    <t>5111002043</t>
  </si>
  <si>
    <t>5111000932</t>
  </si>
  <si>
    <t>5111000936</t>
  </si>
  <si>
    <t>5111000939</t>
  </si>
  <si>
    <t>5652190003</t>
  </si>
  <si>
    <t>5111000192</t>
  </si>
  <si>
    <t>5111002045</t>
  </si>
  <si>
    <t>5111002049</t>
  </si>
  <si>
    <t>5111002052</t>
  </si>
  <si>
    <t>5111002058</t>
  </si>
  <si>
    <t>5111002061</t>
  </si>
  <si>
    <t>5111002064</t>
  </si>
  <si>
    <t>5111002066</t>
  </si>
  <si>
    <t>5111002068</t>
  </si>
  <si>
    <t>5111002039</t>
  </si>
  <si>
    <t>5111002188</t>
  </si>
  <si>
    <t>5111002191</t>
  </si>
  <si>
    <t>5111002192</t>
  </si>
  <si>
    <t>5111002193</t>
  </si>
  <si>
    <t>5111002195</t>
  </si>
  <si>
    <t>5111002196</t>
  </si>
  <si>
    <t>5111002197</t>
  </si>
  <si>
    <t>5111002235</t>
  </si>
  <si>
    <t>5111002236</t>
  </si>
  <si>
    <t>5652290001</t>
  </si>
  <si>
    <t>5652290002</t>
  </si>
  <si>
    <t>5652290003</t>
  </si>
  <si>
    <t>5111001483</t>
  </si>
  <si>
    <t>5112610007</t>
  </si>
  <si>
    <t>5112820001</t>
  </si>
  <si>
    <t>5112820002</t>
  </si>
  <si>
    <t>5112820003</t>
  </si>
  <si>
    <t>5112820004</t>
  </si>
  <si>
    <t>5112820005</t>
  </si>
  <si>
    <t>5112820006</t>
  </si>
  <si>
    <t>5112820007</t>
  </si>
  <si>
    <t>5112820008</t>
  </si>
  <si>
    <t>5112820009</t>
  </si>
  <si>
    <t>5112820010</t>
  </si>
  <si>
    <t>5112820011</t>
  </si>
  <si>
    <t>5112820012</t>
  </si>
  <si>
    <t>5112820013</t>
  </si>
  <si>
    <t>5112820014</t>
  </si>
  <si>
    <t>5112820015</t>
  </si>
  <si>
    <t>5111000679</t>
  </si>
  <si>
    <t>5111002238</t>
  </si>
  <si>
    <t>5111280002</t>
  </si>
  <si>
    <t>5111001417</t>
  </si>
  <si>
    <t>5111001982</t>
  </si>
  <si>
    <t>5111000123</t>
  </si>
  <si>
    <t>5111002384</t>
  </si>
  <si>
    <t>5111000544</t>
  </si>
  <si>
    <t>5111280001</t>
  </si>
  <si>
    <t>5112000005</t>
  </si>
  <si>
    <t>5111002385</t>
  </si>
  <si>
    <t>5111001896</t>
  </si>
  <si>
    <t>5111000966</t>
  </si>
  <si>
    <t>5112650053</t>
  </si>
  <si>
    <t>5112670009</t>
  </si>
  <si>
    <t>5112650055</t>
  </si>
  <si>
    <t>5112650056</t>
  </si>
  <si>
    <t>5112650057</t>
  </si>
  <si>
    <t>5111002047</t>
  </si>
  <si>
    <t>5111002050</t>
  </si>
  <si>
    <t>5111000163</t>
  </si>
  <si>
    <t>5112010002</t>
  </si>
  <si>
    <t>5110520002</t>
  </si>
  <si>
    <t>5112810001</t>
  </si>
  <si>
    <t>5112810002</t>
  </si>
  <si>
    <t>5110490034</t>
  </si>
  <si>
    <t>5111002382</t>
  </si>
  <si>
    <t>5110490035</t>
  </si>
  <si>
    <t>5110490036</t>
  </si>
  <si>
    <t>5112290001</t>
  </si>
  <si>
    <t>5112290002</t>
  </si>
  <si>
    <t>5111001395</t>
  </si>
  <si>
    <t>5111001007</t>
  </si>
  <si>
    <t>5111001485</t>
  </si>
  <si>
    <t>5111000134</t>
  </si>
  <si>
    <t>5111000136</t>
  </si>
  <si>
    <t>5110780119</t>
  </si>
  <si>
    <t>5110780120</t>
  </si>
  <si>
    <t>5110780121</t>
  </si>
  <si>
    <t>5110780122</t>
  </si>
  <si>
    <t>5110780123</t>
  </si>
  <si>
    <t>5110780124</t>
  </si>
  <si>
    <t>5110780125</t>
  </si>
  <si>
    <t>5110780126</t>
  </si>
  <si>
    <t>5110780127</t>
  </si>
  <si>
    <t>5110780128</t>
  </si>
  <si>
    <t>5110780129</t>
  </si>
  <si>
    <t>5110780130</t>
  </si>
  <si>
    <t>5110780131</t>
  </si>
  <si>
    <t>5110780132</t>
  </si>
  <si>
    <t>5110780133</t>
  </si>
  <si>
    <t>5112650066</t>
  </si>
  <si>
    <t>5112650067</t>
  </si>
  <si>
    <t>5112650068</t>
  </si>
  <si>
    <t>5112650069</t>
  </si>
  <si>
    <t>5112650070</t>
  </si>
  <si>
    <t>5112650071</t>
  </si>
  <si>
    <t>5111002372</t>
  </si>
  <si>
    <t>5111002373</t>
  </si>
  <si>
    <t>5111002374</t>
  </si>
  <si>
    <t>5112650072</t>
  </si>
  <si>
    <t>5112650073</t>
  </si>
  <si>
    <t>5112650074</t>
  </si>
  <si>
    <t>5112650075</t>
  </si>
  <si>
    <t>5112650076</t>
  </si>
  <si>
    <t>5112650077</t>
  </si>
  <si>
    <t>5112650078</t>
  </si>
  <si>
    <t>5112650079</t>
  </si>
  <si>
    <t>5110780134</t>
  </si>
  <si>
    <t>5110780135</t>
  </si>
  <si>
    <t>5110780136</t>
  </si>
  <si>
    <t>5111001887</t>
  </si>
  <si>
    <t>5111001003</t>
  </si>
  <si>
    <t>5111850001</t>
  </si>
  <si>
    <t>5111000130</t>
  </si>
  <si>
    <t>5111001144</t>
  </si>
  <si>
    <t>5110780073</t>
  </si>
  <si>
    <t>5111002190</t>
  </si>
  <si>
    <t>5111001868</t>
  </si>
  <si>
    <t>5111650003</t>
  </si>
  <si>
    <t>5112680008</t>
  </si>
  <si>
    <t>5111002376</t>
  </si>
  <si>
    <t>5111001575</t>
  </si>
  <si>
    <t>5111620009</t>
  </si>
  <si>
    <t>5112030042</t>
  </si>
  <si>
    <t>5111000160</t>
  </si>
  <si>
    <t>5111001140</t>
  </si>
  <si>
    <t>5111002381</t>
  </si>
  <si>
    <t>5111002380</t>
  </si>
  <si>
    <t>5111060001</t>
  </si>
  <si>
    <t>5111060002</t>
  </si>
  <si>
    <t>5111001126</t>
  </si>
  <si>
    <t>5111001526</t>
  </si>
  <si>
    <t>5111001528</t>
  </si>
  <si>
    <t>5111820001</t>
  </si>
  <si>
    <t>5112090001</t>
  </si>
  <si>
    <t>5112090002</t>
  </si>
  <si>
    <t>5111001123</t>
  </si>
  <si>
    <t>5111002377</t>
  </si>
  <si>
    <t>5111002378</t>
  </si>
  <si>
    <t>5111670002</t>
  </si>
  <si>
    <t>5111580001</t>
  </si>
  <si>
    <t>5111001984</t>
  </si>
  <si>
    <t>5111002101</t>
  </si>
  <si>
    <t>5111002105</t>
  </si>
  <si>
    <t>5111002106</t>
  </si>
  <si>
    <t>5111002108</t>
  </si>
  <si>
    <t>5111002110</t>
  </si>
  <si>
    <t>5111002127</t>
  </si>
  <si>
    <t>5111002128</t>
  </si>
  <si>
    <t>5111002131</t>
  </si>
  <si>
    <t>5111002133</t>
  </si>
  <si>
    <t>5111002135</t>
  </si>
  <si>
    <t>5111002137</t>
  </si>
  <si>
    <t>5111002199</t>
  </si>
  <si>
    <t>5111002200</t>
  </si>
  <si>
    <t>5111002228</t>
  </si>
  <si>
    <t>5111002230</t>
  </si>
  <si>
    <t>5111002232</t>
  </si>
  <si>
    <t>5111002234</t>
  </si>
  <si>
    <t>5111050010</t>
  </si>
  <si>
    <t>5111000125</t>
  </si>
  <si>
    <t>5111000127</t>
  </si>
  <si>
    <t>5111002159</t>
  </si>
  <si>
    <t>5111580002</t>
  </si>
  <si>
    <t>5112430001</t>
  </si>
  <si>
    <t>5111000833</t>
  </si>
  <si>
    <t>5111590001</t>
  </si>
  <si>
    <t>5111002164</t>
  </si>
  <si>
    <t>5111002165</t>
  </si>
  <si>
    <t>5111002166</t>
  </si>
  <si>
    <t>5110760022</t>
  </si>
  <si>
    <t>5111002170</t>
  </si>
  <si>
    <t>5111002171</t>
  </si>
  <si>
    <t>5111002172</t>
  </si>
  <si>
    <t>5111002173</t>
  </si>
  <si>
    <t>5111002176</t>
  </si>
  <si>
    <t>5111002177</t>
  </si>
  <si>
    <t>5111002181</t>
  </si>
  <si>
    <t>5111002194</t>
  </si>
  <si>
    <t>5111002198</t>
  </si>
  <si>
    <t>5112660003</t>
  </si>
  <si>
    <t>5112660004</t>
  </si>
  <si>
    <t>5112660005</t>
  </si>
  <si>
    <t>5111002241</t>
  </si>
  <si>
    <t>5111002242</t>
  </si>
  <si>
    <t>5111002243</t>
  </si>
  <si>
    <t>5111002244</t>
  </si>
  <si>
    <t>5111002245</t>
  </si>
  <si>
    <t>5112660006</t>
  </si>
  <si>
    <t>5111002246</t>
  </si>
  <si>
    <t>5111002247</t>
  </si>
  <si>
    <t>5111002248</t>
  </si>
  <si>
    <t>5111002249</t>
  </si>
  <si>
    <t>5111002250</t>
  </si>
  <si>
    <t>5111002251</t>
  </si>
  <si>
    <t>5111002252</t>
  </si>
  <si>
    <t>5111002253</t>
  </si>
  <si>
    <t>5111002254</t>
  </si>
  <si>
    <t>5111002255</t>
  </si>
  <si>
    <t>5111002256</t>
  </si>
  <si>
    <t>5111002257</t>
  </si>
  <si>
    <t>5111002258</t>
  </si>
  <si>
    <t>5111002259</t>
  </si>
  <si>
    <t>5111002260</t>
  </si>
  <si>
    <t>5112660007</t>
  </si>
  <si>
    <t>5110760023</t>
  </si>
  <si>
    <t>5111002303</t>
  </si>
  <si>
    <t>5111002304</t>
  </si>
  <si>
    <t>5111002305</t>
  </si>
  <si>
    <t>5111002306</t>
  </si>
  <si>
    <t>5111002307</t>
  </si>
  <si>
    <t>5111002308</t>
  </si>
  <si>
    <t>5111002309</t>
  </si>
  <si>
    <t>5111002310</t>
  </si>
  <si>
    <t>5111002311</t>
  </si>
  <si>
    <t>5111002312</t>
  </si>
  <si>
    <t>5111002317</t>
  </si>
  <si>
    <t>5111002318</t>
  </si>
  <si>
    <t>5111002319</t>
  </si>
  <si>
    <t>5111002320</t>
  </si>
  <si>
    <t>5111002321</t>
  </si>
  <si>
    <t>5111002322</t>
  </si>
  <si>
    <t>5111002261</t>
  </si>
  <si>
    <t>5111002262</t>
  </si>
  <si>
    <t>5111002263</t>
  </si>
  <si>
    <t>5111002264</t>
  </si>
  <si>
    <t>5111002155</t>
  </si>
  <si>
    <t>5111002157</t>
  </si>
  <si>
    <t>5111002274</t>
  </si>
  <si>
    <t>5111002275</t>
  </si>
  <si>
    <t>5111002276</t>
  </si>
  <si>
    <t>5111002277</t>
  </si>
  <si>
    <t>5111002278</t>
  </si>
  <si>
    <t>5111002327</t>
  </si>
  <si>
    <t>5111002326</t>
  </si>
  <si>
    <t>5111002328</t>
  </si>
  <si>
    <t>5111002329</t>
  </si>
  <si>
    <t>5111002330</t>
  </si>
  <si>
    <t>5111002331</t>
  </si>
  <si>
    <t>5111050008</t>
  </si>
  <si>
    <t>5111000009</t>
  </si>
  <si>
    <t>5111002333</t>
  </si>
  <si>
    <t>5111002332</t>
  </si>
  <si>
    <t>5111350003</t>
  </si>
  <si>
    <t>5111350004</t>
  </si>
  <si>
    <t>5111350005</t>
  </si>
  <si>
    <t>5111002280</t>
  </si>
  <si>
    <t>5111002281</t>
  </si>
  <si>
    <t>5111350006</t>
  </si>
  <si>
    <t>5111002269</t>
  </si>
  <si>
    <t>5111002270</t>
  </si>
  <si>
    <t>5111002271</t>
  </si>
  <si>
    <t>5111002272</t>
  </si>
  <si>
    <t>5111002265</t>
  </si>
  <si>
    <t>5111002266</t>
  </si>
  <si>
    <t>5111002369</t>
  </si>
  <si>
    <t>5111002267</t>
  </si>
  <si>
    <t>5111002268</t>
  </si>
  <si>
    <t>5110060001</t>
  </si>
  <si>
    <t>5111002314</t>
  </si>
  <si>
    <t>5111002315</t>
  </si>
  <si>
    <t>5111002316</t>
  </si>
  <si>
    <t>5111002313</t>
  </si>
  <si>
    <t>5112770001</t>
  </si>
  <si>
    <t>5111002059</t>
  </si>
  <si>
    <t>5111002048</t>
  </si>
  <si>
    <t>5111002053</t>
  </si>
  <si>
    <t>5111002003</t>
  </si>
  <si>
    <t>5111002022</t>
  </si>
  <si>
    <t>5111002325</t>
  </si>
  <si>
    <t>5111170001</t>
  </si>
  <si>
    <t>5111160001</t>
  </si>
  <si>
    <t>5111420002</t>
  </si>
  <si>
    <t>5111002097</t>
  </si>
  <si>
    <t>5111002096</t>
  </si>
  <si>
    <t>5111002129</t>
  </si>
  <si>
    <t>5111002130</t>
  </si>
  <si>
    <t>5111002132</t>
  </si>
  <si>
    <t>5111002134</t>
  </si>
  <si>
    <t>5111002136</t>
  </si>
  <si>
    <t>5111002138</t>
  </si>
  <si>
    <t>5111002140</t>
  </si>
  <si>
    <t>5111002141</t>
  </si>
  <si>
    <t>5111002143</t>
  </si>
  <si>
    <t>5111002144</t>
  </si>
  <si>
    <t>5111002145</t>
  </si>
  <si>
    <t>5111002146</t>
  </si>
  <si>
    <t>5111002147</t>
  </si>
  <si>
    <t>5111002149</t>
  </si>
  <si>
    <t>5111002150</t>
  </si>
  <si>
    <t>5111002112</t>
  </si>
  <si>
    <t>5111002113</t>
  </si>
  <si>
    <t>5111002114</t>
  </si>
  <si>
    <t>5111002115</t>
  </si>
  <si>
    <t>5111002116</t>
  </si>
  <si>
    <t>5111002117</t>
  </si>
  <si>
    <t>5111002118</t>
  </si>
  <si>
    <t>5111002119</t>
  </si>
  <si>
    <t>5111002120</t>
  </si>
  <si>
    <t>5111002121</t>
  </si>
  <si>
    <t>5111002122</t>
  </si>
  <si>
    <t>5111002123</t>
  </si>
  <si>
    <t>5111002124</t>
  </si>
  <si>
    <t>5111002125</t>
  </si>
  <si>
    <t>5111002126</t>
  </si>
  <si>
    <t>5111002282</t>
  </si>
  <si>
    <t>5111002283</t>
  </si>
  <si>
    <t>5111420003</t>
  </si>
  <si>
    <t>5111420004</t>
  </si>
  <si>
    <t>5111420005</t>
  </si>
  <si>
    <t>5112300001</t>
  </si>
  <si>
    <t>5112300002</t>
  </si>
  <si>
    <t>5112300003</t>
  </si>
  <si>
    <t>5112300004</t>
  </si>
  <si>
    <t>5112300005</t>
  </si>
  <si>
    <t>5112300006</t>
  </si>
  <si>
    <t>5112300007</t>
  </si>
  <si>
    <t>5111002288</t>
  </si>
  <si>
    <t>5111002287</t>
  </si>
  <si>
    <t>5111002285</t>
  </si>
  <si>
    <t>5112590001</t>
  </si>
  <si>
    <t>5111002284</t>
  </si>
  <si>
    <t>5111002290</t>
  </si>
  <si>
    <t>5111002286</t>
  </si>
  <si>
    <t>5111002289</t>
  </si>
  <si>
    <t>5112100001</t>
  </si>
  <si>
    <t>5111002103</t>
  </si>
  <si>
    <t>5111002386</t>
  </si>
  <si>
    <t>5111450001</t>
  </si>
  <si>
    <t>5111002151</t>
  </si>
  <si>
    <t>5111002152</t>
  </si>
  <si>
    <t>5112390001</t>
  </si>
  <si>
    <t>5111002379</t>
  </si>
  <si>
    <t>5111002291</t>
  </si>
  <si>
    <t>5111002292</t>
  </si>
  <si>
    <t>5111002293</t>
  </si>
  <si>
    <t>5111002294</t>
  </si>
  <si>
    <t>5111002295</t>
  </si>
  <si>
    <t>5111002296</t>
  </si>
  <si>
    <t>5111002298</t>
  </si>
  <si>
    <t>5111002297</t>
  </si>
  <si>
    <t>5110760024</t>
  </si>
  <si>
    <t>5111002383</t>
  </si>
  <si>
    <t>5111002299</t>
  </si>
  <si>
    <t>5111002300</t>
  </si>
  <si>
    <t>5111002301</t>
  </si>
  <si>
    <t>5111210001</t>
  </si>
  <si>
    <t>5112080001</t>
  </si>
  <si>
    <t>5652280001</t>
  </si>
  <si>
    <t>5652280002</t>
  </si>
  <si>
    <t>5652280003</t>
  </si>
  <si>
    <t>5652280004</t>
  </si>
  <si>
    <t>5652280005</t>
  </si>
  <si>
    <t>5652600007</t>
  </si>
  <si>
    <t>5652290006</t>
  </si>
  <si>
    <t>5111002350</t>
  </si>
  <si>
    <t>5111002353</t>
  </si>
  <si>
    <t>5111002354</t>
  </si>
  <si>
    <t>5112610010</t>
  </si>
  <si>
    <t>5111002368</t>
  </si>
  <si>
    <t>5111002367</t>
  </si>
  <si>
    <t>5111002370</t>
  </si>
  <si>
    <t>5112110002</t>
  </si>
  <si>
    <t>5111350007</t>
  </si>
  <si>
    <t>5111350008</t>
  </si>
  <si>
    <t>5111350009</t>
  </si>
  <si>
    <t>5111002334</t>
  </si>
  <si>
    <t>5111002335</t>
  </si>
  <si>
    <t>5111002336</t>
  </si>
  <si>
    <t>5111002337</t>
  </si>
  <si>
    <t>5111690001</t>
  </si>
  <si>
    <t>5111002273</t>
  </si>
  <si>
    <t>5112030048</t>
  </si>
  <si>
    <t>5111002375</t>
  </si>
  <si>
    <t>5111002371</t>
  </si>
  <si>
    <t>5111330002</t>
  </si>
  <si>
    <t>5111002351</t>
  </si>
  <si>
    <t>5111330003</t>
  </si>
  <si>
    <t>5111330004</t>
  </si>
  <si>
    <t>5111200002</t>
  </si>
  <si>
    <t>5410230015</t>
  </si>
  <si>
    <t>5410230016</t>
  </si>
  <si>
    <t>5410230020</t>
  </si>
  <si>
    <t>5410230021</t>
  </si>
  <si>
    <t>5410230022</t>
  </si>
  <si>
    <t>5410230023</t>
  </si>
  <si>
    <t>5410230026</t>
  </si>
  <si>
    <t>5111002095</t>
  </si>
  <si>
    <t>5111002099</t>
  </si>
  <si>
    <t>5410060031</t>
  </si>
  <si>
    <t>5410060032</t>
  </si>
  <si>
    <t>5410150003</t>
  </si>
  <si>
    <t>5410250024</t>
  </si>
  <si>
    <t>5410250025</t>
  </si>
  <si>
    <t>5410080002</t>
  </si>
  <si>
    <t>5410060035</t>
  </si>
  <si>
    <t>5410060036</t>
  </si>
  <si>
    <t>5410070001</t>
  </si>
  <si>
    <t>5410060034</t>
  </si>
  <si>
    <t>5410060054</t>
  </si>
  <si>
    <t>5410060041</t>
  </si>
  <si>
    <t>5410070002</t>
  </si>
  <si>
    <t>5410080003</t>
  </si>
  <si>
    <t>5410060040</t>
  </si>
  <si>
    <t>5410060042</t>
  </si>
  <si>
    <t>5410060043</t>
  </si>
  <si>
    <t>5410460005</t>
  </si>
  <si>
    <t>5410250034</t>
  </si>
  <si>
    <t>5410250035</t>
  </si>
  <si>
    <t>5410250036</t>
  </si>
  <si>
    <t>5410250027</t>
  </si>
  <si>
    <t>5410250028</t>
  </si>
  <si>
    <t>5410250029</t>
  </si>
  <si>
    <t>5410250030</t>
  </si>
  <si>
    <t>5410250031</t>
  </si>
  <si>
    <t>5410250032</t>
  </si>
  <si>
    <t>5410250033</t>
  </si>
  <si>
    <t>5151060002</t>
  </si>
  <si>
    <t>5150890706</t>
  </si>
  <si>
    <t>5150890514</t>
  </si>
  <si>
    <t>5150890224</t>
  </si>
  <si>
    <t>5150890273</t>
  </si>
  <si>
    <t>5150890277</t>
  </si>
  <si>
    <t>5150890437</t>
  </si>
  <si>
    <t>5150890438</t>
  </si>
  <si>
    <t>5150890449</t>
  </si>
  <si>
    <t>5150890442</t>
  </si>
  <si>
    <t>5150890435</t>
  </si>
  <si>
    <t>5150890453</t>
  </si>
  <si>
    <t>5150890234</t>
  </si>
  <si>
    <t>5150890015</t>
  </si>
  <si>
    <t>5150890016</t>
  </si>
  <si>
    <t>5150890018</t>
  </si>
  <si>
    <t>5150890019</t>
  </si>
  <si>
    <t>5150890021</t>
  </si>
  <si>
    <t>5150890022</t>
  </si>
  <si>
    <t>5150890024</t>
  </si>
  <si>
    <t>5150890025</t>
  </si>
  <si>
    <t>5151190001</t>
  </si>
  <si>
    <t>5151190002</t>
  </si>
  <si>
    <t>5150890269</t>
  </si>
  <si>
    <t>5150890439</t>
  </si>
  <si>
    <t>5150890235</t>
  </si>
  <si>
    <t>5150890457</t>
  </si>
  <si>
    <t>5150890130</t>
  </si>
  <si>
    <t>5151340002</t>
  </si>
  <si>
    <t>5150890258</t>
  </si>
  <si>
    <t>5150890190</t>
  </si>
  <si>
    <t>5150890508</t>
  </si>
  <si>
    <t>5150890507</t>
  </si>
  <si>
    <t>5150890045</t>
  </si>
  <si>
    <t>5151340001</t>
  </si>
  <si>
    <t>5150890044</t>
  </si>
  <si>
    <t>5150890558</t>
  </si>
  <si>
    <t>5650670024</t>
  </si>
  <si>
    <t>5150890498</t>
  </si>
  <si>
    <t>5150890459</t>
  </si>
  <si>
    <t>5151190004</t>
  </si>
  <si>
    <t>5151190005</t>
  </si>
  <si>
    <t>5151190007</t>
  </si>
  <si>
    <t>5151190008</t>
  </si>
  <si>
    <t>5151190009</t>
  </si>
  <si>
    <t>5151190010</t>
  </si>
  <si>
    <t>5150890263</t>
  </si>
  <si>
    <t>5150890264</t>
  </si>
  <si>
    <t>5150890265</t>
  </si>
  <si>
    <t>5150890266</t>
  </si>
  <si>
    <t>5151120001</t>
  </si>
  <si>
    <t>5151060001</t>
  </si>
  <si>
    <t>5150890242</t>
  </si>
  <si>
    <t>5150890425</t>
  </si>
  <si>
    <t>5151210023</t>
  </si>
  <si>
    <t>5151060005</t>
  </si>
  <si>
    <t>5151350016</t>
  </si>
  <si>
    <t>5150890268</t>
  </si>
  <si>
    <t>5150890276</t>
  </si>
  <si>
    <t>5150890166</t>
  </si>
  <si>
    <t>5150890456</t>
  </si>
  <si>
    <t>5652260003</t>
  </si>
  <si>
    <t>5150890304</t>
  </si>
  <si>
    <t>5150890305</t>
  </si>
  <si>
    <t>5150890306</t>
  </si>
  <si>
    <t>5150890293</t>
  </si>
  <si>
    <t>5150890312</t>
  </si>
  <si>
    <t>5150890206</t>
  </si>
  <si>
    <t>5150890210</t>
  </si>
  <si>
    <t>5652270002</t>
  </si>
  <si>
    <t>5652270003</t>
  </si>
  <si>
    <t>5150890388</t>
  </si>
  <si>
    <t>5150890282</t>
  </si>
  <si>
    <t>5150890279</t>
  </si>
  <si>
    <t>5150890272</t>
  </si>
  <si>
    <t>5652640020</t>
  </si>
  <si>
    <t>5652520001</t>
  </si>
  <si>
    <t>5150890405</t>
  </si>
  <si>
    <t>5150890089</t>
  </si>
  <si>
    <t>5150890090</t>
  </si>
  <si>
    <t>5150890270</t>
  </si>
  <si>
    <t>5150890274</t>
  </si>
  <si>
    <t>5150890278</t>
  </si>
  <si>
    <t>5652780015</t>
  </si>
  <si>
    <t>5652200018</t>
  </si>
  <si>
    <t>5652780016</t>
  </si>
  <si>
    <t>5150890302</t>
  </si>
  <si>
    <t>5652640051</t>
  </si>
  <si>
    <t>5150890762</t>
  </si>
  <si>
    <t>5151060034</t>
  </si>
  <si>
    <t>5151340006</t>
  </si>
  <si>
    <t>5151060016</t>
  </si>
  <si>
    <t>5151060021</t>
  </si>
  <si>
    <t>5150890748</t>
  </si>
  <si>
    <t>5151060025</t>
  </si>
  <si>
    <t>5151060027</t>
  </si>
  <si>
    <t>5151060023</t>
  </si>
  <si>
    <t>5151060031</t>
  </si>
  <si>
    <t>5151060022</t>
  </si>
  <si>
    <t>5151060026</t>
  </si>
  <si>
    <t>5151060028</t>
  </si>
  <si>
    <t>5150890756</t>
  </si>
  <si>
    <t>5151060030</t>
  </si>
  <si>
    <t>5150890759</t>
  </si>
  <si>
    <t>5151060032</t>
  </si>
  <si>
    <t>5151060033</t>
  </si>
  <si>
    <t>5150230008</t>
  </si>
  <si>
    <t>5151060029</t>
  </si>
  <si>
    <t>5151060009</t>
  </si>
  <si>
    <t>5150890737</t>
  </si>
  <si>
    <t>5151060008</t>
  </si>
  <si>
    <t>5150890316</t>
  </si>
  <si>
    <t>5150890321</t>
  </si>
  <si>
    <t>5150890322</t>
  </si>
  <si>
    <t>5150890315</t>
  </si>
  <si>
    <t>5151350020</t>
  </si>
  <si>
    <t>5151350004</t>
  </si>
  <si>
    <t>5652210002</t>
  </si>
  <si>
    <t>5150890325</t>
  </si>
  <si>
    <t>5150890327</t>
  </si>
  <si>
    <t>5150890328</t>
  </si>
  <si>
    <t>5150890330</t>
  </si>
  <si>
    <t>5150890209</t>
  </si>
  <si>
    <t>5151350005</t>
  </si>
  <si>
    <t>5150890730</t>
  </si>
  <si>
    <t>5150890731</t>
  </si>
  <si>
    <t>5150890732</t>
  </si>
  <si>
    <t>5150890733</t>
  </si>
  <si>
    <t>5151060010</t>
  </si>
  <si>
    <t>5151060011</t>
  </si>
  <si>
    <t>5151060012</t>
  </si>
  <si>
    <t>5151060013</t>
  </si>
  <si>
    <t>5151060014</t>
  </si>
  <si>
    <t>5151060015</t>
  </si>
  <si>
    <t>5150890460</t>
  </si>
  <si>
    <t>5150890461</t>
  </si>
  <si>
    <t>5652200003</t>
  </si>
  <si>
    <t>5652210014</t>
  </si>
  <si>
    <t>5652210015</t>
  </si>
  <si>
    <t>5652210016</t>
  </si>
  <si>
    <t>5652210017</t>
  </si>
  <si>
    <t>5111002279</t>
  </si>
  <si>
    <t>5150890311</t>
  </si>
  <si>
    <t>5151060036</t>
  </si>
  <si>
    <t>5650670022</t>
  </si>
  <si>
    <t>5151350006</t>
  </si>
  <si>
    <t>5151350007</t>
  </si>
  <si>
    <t>5150890747</t>
  </si>
  <si>
    <t>5151350011</t>
  </si>
  <si>
    <t>5151350013</t>
  </si>
  <si>
    <t>5151350014</t>
  </si>
  <si>
    <t>5151350009</t>
  </si>
  <si>
    <t>5151350012</t>
  </si>
  <si>
    <t>5151350017</t>
  </si>
  <si>
    <t>5150890008</t>
  </si>
  <si>
    <t>5151350003</t>
  </si>
  <si>
    <t>5151350008</t>
  </si>
  <si>
    <t>5150890752</t>
  </si>
  <si>
    <t>5150890755</t>
  </si>
  <si>
    <t>5151350015</t>
  </si>
  <si>
    <t>5150890758</t>
  </si>
  <si>
    <t>5151350018</t>
  </si>
  <si>
    <t>5151350019</t>
  </si>
  <si>
    <t>5150890208</t>
  </si>
  <si>
    <t>5150890323</t>
  </si>
  <si>
    <t>5150890271</t>
  </si>
  <si>
    <t>5150890267</t>
  </si>
  <si>
    <t>5150890275</t>
  </si>
  <si>
    <t>5151090001</t>
  </si>
  <si>
    <t>5150890764</t>
  </si>
  <si>
    <t>5111002356</t>
  </si>
  <si>
    <t>5111002357</t>
  </si>
  <si>
    <t>5111002358</t>
  </si>
  <si>
    <t>5111002359</t>
  </si>
  <si>
    <t>5111002360</t>
  </si>
  <si>
    <t>5111002361</t>
  </si>
  <si>
    <t>5111002362</t>
  </si>
  <si>
    <t>5112530012</t>
  </si>
  <si>
    <t>5112530013</t>
  </si>
  <si>
    <t>5112530014</t>
  </si>
  <si>
    <t>5111002363</t>
  </si>
  <si>
    <t>5111002364</t>
  </si>
  <si>
    <t>5111002365</t>
  </si>
  <si>
    <t>5111002366</t>
  </si>
  <si>
    <t>5150890120</t>
  </si>
  <si>
    <t>5151060035</t>
  </si>
  <si>
    <t>5151350021</t>
  </si>
  <si>
    <t>5151350022</t>
  </si>
  <si>
    <t>5150890259</t>
  </si>
  <si>
    <t>5150890260</t>
  </si>
  <si>
    <t>5150890261</t>
  </si>
  <si>
    <t>5150890262</t>
  </si>
  <si>
    <t>5112530011</t>
  </si>
  <si>
    <t>5652330003</t>
  </si>
  <si>
    <t>5150230009</t>
  </si>
  <si>
    <t>5151060006</t>
  </si>
  <si>
    <t>5151120003</t>
  </si>
  <si>
    <t>5150890763</t>
  </si>
  <si>
    <t>5150230005</t>
  </si>
  <si>
    <t>5150890745</t>
  </si>
  <si>
    <t>5150230001</t>
  </si>
  <si>
    <t>5151120004</t>
  </si>
  <si>
    <t>5150890718</t>
  </si>
  <si>
    <t>5150230002</t>
  </si>
  <si>
    <t>5150230007</t>
  </si>
  <si>
    <t>5652360001</t>
  </si>
  <si>
    <t>5652580002</t>
  </si>
  <si>
    <t>5151210015</t>
  </si>
  <si>
    <t>5150930005</t>
  </si>
  <si>
    <t>5111002082</t>
  </si>
  <si>
    <t>5111002084</t>
  </si>
  <si>
    <t>5111002086</t>
  </si>
  <si>
    <t>5111002090</t>
  </si>
  <si>
    <t>5150890012</t>
  </si>
  <si>
    <t>5151210011</t>
  </si>
  <si>
    <t>5151210012</t>
  </si>
  <si>
    <t>5150930006</t>
  </si>
  <si>
    <t>5150930007</t>
  </si>
  <si>
    <t>5150930008</t>
  </si>
  <si>
    <t>5151210019</t>
  </si>
  <si>
    <t>5151210010</t>
  </si>
  <si>
    <t>5150890751</t>
  </si>
  <si>
    <t>5150890753</t>
  </si>
  <si>
    <t>5150890757</t>
  </si>
  <si>
    <t>5151210020</t>
  </si>
  <si>
    <t>5151210021</t>
  </si>
  <si>
    <t>5151210014</t>
  </si>
  <si>
    <t>5151210009</t>
  </si>
  <si>
    <t>5151210013</t>
  </si>
  <si>
    <t>5151210016</t>
  </si>
  <si>
    <t>5151210018</t>
  </si>
  <si>
    <t>5150230003</t>
  </si>
  <si>
    <t>5150230004</t>
  </si>
  <si>
    <t>5150890455</t>
  </si>
  <si>
    <t>5150890743</t>
  </si>
  <si>
    <t>5150890720</t>
  </si>
  <si>
    <t>5650010007</t>
  </si>
  <si>
    <t>5652200005</t>
  </si>
  <si>
    <t>5652200006</t>
  </si>
  <si>
    <t>5652200007</t>
  </si>
  <si>
    <t>5652200008</t>
  </si>
  <si>
    <t>5652200009</t>
  </si>
  <si>
    <t>5652200010</t>
  </si>
  <si>
    <t>5652200011</t>
  </si>
  <si>
    <t>5650010008</t>
  </si>
  <si>
    <t>5652200012</t>
  </si>
  <si>
    <t>5652200013</t>
  </si>
  <si>
    <t>5652200014</t>
  </si>
  <si>
    <t>5652200015</t>
  </si>
  <si>
    <t>5652200016</t>
  </si>
  <si>
    <t>5652200017</t>
  </si>
  <si>
    <t>5151260013</t>
  </si>
  <si>
    <t>5150890735</t>
  </si>
  <si>
    <t>5150890740</t>
  </si>
  <si>
    <t>5150890741</t>
  </si>
  <si>
    <t>5151260020</t>
  </si>
  <si>
    <t>5151260019</t>
  </si>
  <si>
    <t>5151260005</t>
  </si>
  <si>
    <t>5151260006</t>
  </si>
  <si>
    <t>5151260012</t>
  </si>
  <si>
    <t>5151260014</t>
  </si>
  <si>
    <t>5151260016</t>
  </si>
  <si>
    <t>5151260003</t>
  </si>
  <si>
    <t>5151260004</t>
  </si>
  <si>
    <t>5151260002</t>
  </si>
  <si>
    <t>5151260018</t>
  </si>
  <si>
    <t>5151260011</t>
  </si>
  <si>
    <t>5150890760</t>
  </si>
  <si>
    <t>5150890754</t>
  </si>
  <si>
    <t>5151260017</t>
  </si>
  <si>
    <t>5151260021</t>
  </si>
  <si>
    <t>5151260007</t>
  </si>
  <si>
    <t>5151260010</t>
  </si>
  <si>
    <t>5151260015</t>
  </si>
  <si>
    <t>5151300001</t>
  </si>
  <si>
    <t>5150890761</t>
  </si>
  <si>
    <t>5652270012</t>
  </si>
  <si>
    <t>5151130002</t>
  </si>
  <si>
    <t>5652550003</t>
  </si>
  <si>
    <t>5652600001</t>
  </si>
  <si>
    <t>5652600002</t>
  </si>
  <si>
    <t>5652600003</t>
  </si>
  <si>
    <t>5652600004</t>
  </si>
  <si>
    <t>5650540001</t>
  </si>
  <si>
    <t>5652590008</t>
  </si>
  <si>
    <t>5652590009</t>
  </si>
  <si>
    <t>5652590010</t>
  </si>
  <si>
    <t>5652590011</t>
  </si>
  <si>
    <t>5652590012</t>
  </si>
  <si>
    <t>5652590013</t>
  </si>
  <si>
    <t>5652590014</t>
  </si>
  <si>
    <t>5652590015</t>
  </si>
  <si>
    <t>5652590016</t>
  </si>
  <si>
    <t>5652590017</t>
  </si>
  <si>
    <t>5652590018</t>
  </si>
  <si>
    <t>5652590019</t>
  </si>
  <si>
    <t>5652590020</t>
  </si>
  <si>
    <t>5652590021</t>
  </si>
  <si>
    <t>5652590022</t>
  </si>
  <si>
    <t>5652590023</t>
  </si>
  <si>
    <t>5652590024</t>
  </si>
  <si>
    <t>5652590025</t>
  </si>
  <si>
    <t>5652590026</t>
  </si>
  <si>
    <t>5652590027</t>
  </si>
  <si>
    <t>5652590028</t>
  </si>
  <si>
    <t>5652590029</t>
  </si>
  <si>
    <t>5652590030</t>
  </si>
  <si>
    <t>5652590031</t>
  </si>
  <si>
    <t>5652590032</t>
  </si>
  <si>
    <t>5652590033</t>
  </si>
  <si>
    <t>5652590034</t>
  </si>
  <si>
    <t>5652590035</t>
  </si>
  <si>
    <t>5652590036</t>
  </si>
  <si>
    <t>5650140006</t>
  </si>
  <si>
    <t>5151340005</t>
  </si>
  <si>
    <t>5650730001</t>
  </si>
  <si>
    <t>5650670041</t>
  </si>
  <si>
    <t>5650670042</t>
  </si>
  <si>
    <t>5650670039</t>
  </si>
  <si>
    <t>5151210017</t>
  </si>
  <si>
    <t>5151110009</t>
  </si>
  <si>
    <t>5151110010</t>
  </si>
  <si>
    <t>5150230006</t>
  </si>
  <si>
    <t>5652250003</t>
  </si>
  <si>
    <t>5652250004</t>
  </si>
  <si>
    <t>5652250005</t>
  </si>
  <si>
    <t>5652250006</t>
  </si>
  <si>
    <t>5652250007</t>
  </si>
  <si>
    <t>5652250008</t>
  </si>
  <si>
    <t>5652250009</t>
  </si>
  <si>
    <t>5652250010</t>
  </si>
  <si>
    <t>5650670040</t>
  </si>
  <si>
    <t>5652250011</t>
  </si>
  <si>
    <t>5652250012</t>
  </si>
  <si>
    <t>5652250013</t>
  </si>
  <si>
    <t>5151110004</t>
  </si>
  <si>
    <t>5151230001</t>
  </si>
  <si>
    <t>5151230002</t>
  </si>
  <si>
    <t>5150890742</t>
  </si>
  <si>
    <t>5151110008</t>
  </si>
  <si>
    <t>5150890744</t>
  </si>
  <si>
    <t>5151110007</t>
  </si>
  <si>
    <t>5151110005</t>
  </si>
  <si>
    <t>5151110006</t>
  </si>
  <si>
    <t>5652370002</t>
  </si>
  <si>
    <t>5151110011</t>
  </si>
  <si>
    <t>5652650018</t>
  </si>
  <si>
    <t>5652180004</t>
  </si>
  <si>
    <t>5652650014</t>
  </si>
  <si>
    <t>5652650015</t>
  </si>
  <si>
    <t>5652650016</t>
  </si>
  <si>
    <t>5650670043</t>
  </si>
  <si>
    <t>5652650017</t>
  </si>
  <si>
    <t>5650670044</t>
  </si>
  <si>
    <t>5652270015</t>
  </si>
  <si>
    <t>5652270013</t>
  </si>
  <si>
    <t>5652270014</t>
  </si>
  <si>
    <t>5112530010</t>
  </si>
  <si>
    <t>5652600005</t>
  </si>
  <si>
    <t>5652600006</t>
  </si>
  <si>
    <t>5652280006</t>
  </si>
  <si>
    <t>5652780001</t>
  </si>
  <si>
    <t>5652780002</t>
  </si>
  <si>
    <t>5652780003</t>
  </si>
  <si>
    <t>5652780004</t>
  </si>
  <si>
    <t>5652780005</t>
  </si>
  <si>
    <t>5652780006</t>
  </si>
  <si>
    <t>5652780007</t>
  </si>
  <si>
    <t>5652780008</t>
  </si>
  <si>
    <t>5652780009</t>
  </si>
  <si>
    <t>5652780010</t>
  </si>
  <si>
    <t>5652780011</t>
  </si>
  <si>
    <t>5652780012</t>
  </si>
  <si>
    <t>5652780013</t>
  </si>
  <si>
    <t>5652780014</t>
  </si>
  <si>
    <t>5111002302</t>
  </si>
  <si>
    <t xml:space="preserve">010112057016 COLONIA JUNTA LOCAL DE CAMINOS </t>
  </si>
  <si>
    <t xml:space="preserve">010114032002 UNIDAD HABITACIONAL PEDRO JOSE MENDEZ </t>
  </si>
  <si>
    <t>010114414002 UNIDAD HABITACIONAL PEDRO JOSE MENDEZ</t>
  </si>
  <si>
    <t>ANEXO DE OBRAS EJECUTADAS POR CONTRATO</t>
  </si>
  <si>
    <t>COMPAÑIA PROPIETARIA DE HOTELES S.A.</t>
  </si>
  <si>
    <t>21170000000100000000</t>
  </si>
  <si>
    <t>S/N</t>
  </si>
  <si>
    <t>ISR RETENIDO</t>
  </si>
  <si>
    <t>RETENCIONES DE ISR</t>
  </si>
  <si>
    <t>21190000000400000000</t>
  </si>
  <si>
    <t>OTRAS CUENTAS POR PAGAR A CORTO PLAZO</t>
  </si>
  <si>
    <t>RETENCIONES DE NOMINA</t>
  </si>
  <si>
    <t>1.2.4.3</t>
  </si>
  <si>
    <t>DE TODOS LOS RECURSOS</t>
  </si>
  <si>
    <t xml:space="preserve">ESTADO DE ORIGEN Y APLICACIÓN </t>
  </si>
  <si>
    <t xml:space="preserve"> MUNICIPIO DE VICTORIA, TAMAULIPAS</t>
  </si>
  <si>
    <t>DE INGRESOS PROPIOS</t>
  </si>
  <si>
    <t xml:space="preserve">ESTADO DE ORIGEN Y APLICACIÓN DE RECURSOS </t>
  </si>
  <si>
    <t>FONDO DE FORTALECIMIENTO PROVISIONES SALARIALES    16526</t>
  </si>
  <si>
    <t>FONDO INFRAESTRUCTURA SOCIAL  2016  16502</t>
  </si>
  <si>
    <t>PROGRAMAS INFRAESTRUCTURA 2015  15502</t>
  </si>
  <si>
    <t>DE INFRAESTRUCTURA 2014  14502</t>
  </si>
  <si>
    <t>TERMINADA</t>
  </si>
  <si>
    <t>EN PROCESO</t>
  </si>
  <si>
    <t>ANEXO DE OBRAS EJECUTADAS POR ADMINISTRACIÓN DIRECTA</t>
  </si>
  <si>
    <t>Los Estados Financieros de los entes públicos, proveen de información financiera a los principales usuarios de la misma, al Congreso y a los ciudadanos.</t>
  </si>
  <si>
    <t>El objetivo del presente documento es la revelación del contexto y de los aspectos económicos-financieros más relevantes que influyeron en las decisiones del período, y que deberán ser considerados en la elaboración de los estados financieros para la mayor comprensión de los mismos y sus particularidades.</t>
  </si>
  <si>
    <t>De esta manera, se informa y explica la respuesta del gobierno a las condiciones relacionadas con la información financiera de cada período de gestión; además, de exponer aquellas políticas que podrían afectar la toma de decisiones en períodos posteriores.</t>
  </si>
  <si>
    <t>11910-00000-0001-000040</t>
  </si>
  <si>
    <t>11910-00000-0001-000059</t>
  </si>
  <si>
    <t>11910-00000-0001-000060</t>
  </si>
  <si>
    <t>11910-00000-0001-000061</t>
  </si>
  <si>
    <t>11910-00000-0001-000063</t>
  </si>
  <si>
    <t>11910-00000-0001-000065</t>
  </si>
  <si>
    <t>11910-00000-0001-000069</t>
  </si>
  <si>
    <t>11910-00000-0001-000070</t>
  </si>
  <si>
    <t>11910-00000-0001-000071</t>
  </si>
  <si>
    <t>11910-00000-0001-000072</t>
  </si>
  <si>
    <t>11910-00000-0001-000074</t>
  </si>
  <si>
    <t>11910-00000-0001-000075</t>
  </si>
  <si>
    <t>11910-00000-0001-000077</t>
  </si>
  <si>
    <t>11910-00000-0001-000079</t>
  </si>
  <si>
    <t>11910-00000-0001-000080</t>
  </si>
  <si>
    <t>11910-00000-0001-003939</t>
  </si>
  <si>
    <t>En este año se observó una alta volatilidad en los mercados financieros internacionales producto, en gran medida, de la divergencia en la política monetaria de las economías avanzadas, de la incertidumbre ocasionada por el proceso electoral de Estados Unidos y de la probabilidad de que se expandan las políticas proteccionistas en el mundo.</t>
  </si>
  <si>
    <t>Al mismo tiempo, la desaceleración de la producción industrial de Estados Unidos persistió durante dicho lapso, junto con los menores precios del petróleo. Por su parte, el avance en las economías emergentes ha mejorado; sin embargo, permanecen relativamente débiles, principalmente por la desaceleración en el crecimiento de las economías avanzadas, la pérdida de dinamismo del comercio global y los bajos precios de las materias primas</t>
  </si>
  <si>
    <t>Por otra parte, el sector externo de la economía nacional se ha visto afectado por la débil demanda internacional, lo que se ha manifestado en el bajo desempeño de las exportaciones no petroleras. No obstante, la evolución positiva de la demanda interna, del sector servicios y del comercio interior sigue siendo favorable. Esto se ve reflejado en el comportamiento positivo de variables como el consumo privado, el empleo; el crédito de la banca comercial y una menor inflación, que ha coadyuvado a mejorar el nivel de los salarios reales. Con ello, se observa que el mercado interno se convierte el principal impulsor, en contraste con la debilidad del sector externo.</t>
  </si>
  <si>
    <t>Durante la segunda campaña del plan español de colonización, Ciudad Victoria fue fundada el 6 de octubre de 1750 por el Conde de Sierra Gorda Don José de Escandón y Helguera, bajo el nombre de Villa de Santa María de Aguayo.</t>
  </si>
  <si>
    <t>Después de haber estado asentados los poderes del Estado en otras poblaciones, el 20 de abril de 1825 la Villa de Aguayo fue elevada a la categoría de Capital del Estado, y en honor del primer Presidente de México, Don Guadalupe Victoria, se le llamó Ciudad Victoria.</t>
  </si>
  <si>
    <t>El Municipio de Victoria se encuentra ubicado entre los 23º44’06” de latitud norte y a los 99º07’51” de longitud oeste; a una altitud media de 321 metros sobre el nivel del mar; pertenece a la subregión del mismo nombre y se localiza en la región centro del Estado, sobre la cuenca hidrológica del río Purificación y entre las estribaciones de la Sierra Madre Oriental.</t>
  </si>
  <si>
    <t>a) Objeto Social</t>
  </si>
  <si>
    <t>Regular la organización y funcionamiento del régimen Administrativo del Municipio de Victoria, Tamaulipas, de conformidad con la Constitución Política de los Estados Unidos Mexicanos, la Constitución Política del Estado Libre y Soberano de Tamaulipas, Código Municipal para el Estado de Tamaulipas, y demás disposiciones legales aplicables, de ámbito estatal y federal; determinando las estructuras, atribuciones, funciones y responsabilidades de las diferentes dependencias de la Administración Pública municipal y de los órganos paramunicipales.</t>
  </si>
  <si>
    <t>b) Principal Actividad</t>
  </si>
  <si>
    <t>Administrar con honradez, eficacia y eficiencia los recursos publicos con los que cuenta el ente, asi como proporcionar servicios públicos a la comunidad tales como la recolección de basura, la limpieza de calles, la iluminación de la vía pública, la limpieza de áreas verdes, el bacheo de calles.</t>
  </si>
  <si>
    <t>c) Ejercicio Fiscal</t>
  </si>
  <si>
    <t>d) Régimen Jurídico</t>
  </si>
  <si>
    <t xml:space="preserve"> Constitución Política de los Estados Unidos Mexicanos</t>
  </si>
  <si>
    <t>Constitución Política del Estado de Tamaulipas</t>
  </si>
  <si>
    <t>Código Municipal del Estado de Tamaulipas</t>
  </si>
  <si>
    <t>Ley General de Contabilidad Gubernamental</t>
  </si>
  <si>
    <t>Reglamentos Municipales</t>
  </si>
  <si>
    <t>Ley de Fiscalización y Rendición de Cuentas para el Estado de Tamaulipas</t>
  </si>
  <si>
    <t>Ley de Impuesto Sobre la Renta</t>
  </si>
  <si>
    <t>Ley de Coordinación Fiscal</t>
  </si>
  <si>
    <t>Ley General de Transparencia y Acceso a la Información Pública</t>
  </si>
  <si>
    <t>Ley de Disciplina Financiera</t>
  </si>
  <si>
    <t>Demas Leyes, Reglamentos y disposiciones jurídicas aplicables</t>
  </si>
  <si>
    <t>e) Consideraciones fiscales del ente</t>
  </si>
  <si>
    <t>El Municipio de Victoria Tributa en el Régimen de Personas Morales con Fines no Lucrativos (Título III de la Ley de Impuesto Sobre la Renta). En el Artículo 68 Fracción V de dicha ley se establece que La Federación, las entidades federativas, los municipios y las instituciones que por Ley estén obligadas a entregar al Gobierno Federal el importe íntegro de su remanente de operación, sólo tendrán las obligaciones de retener y enterar el impuesto y exigir comprobantes fiscales cuando hagan pagos a terceros y estén obligados a ellos en términos de ley.</t>
  </si>
  <si>
    <t>f) Estructura organizacional básica</t>
  </si>
  <si>
    <t>El Ayuntamiento del Municipio de Victoria se encuenta integrado de la siguiente manera:</t>
  </si>
  <si>
    <t>I. Un Presidente</t>
  </si>
  <si>
    <t>II. Dos Sindicos</t>
  </si>
  <si>
    <t>III. Veintiun Regidores</t>
  </si>
  <si>
    <t>g) Fideicomisos, mandatos y análogos de los cuales es fideicomitente o fiduciario</t>
  </si>
  <si>
    <t>El Municipio cuenta con un Fideicomiso para financiar Programas y Acciones de Inversión Pública del cual forma parte como fideicomitente.</t>
  </si>
  <si>
    <t>Los Estados Financieros del Ente fueron elaborados observando la normatividad emitida por el CONAC y de conformidad con la disposiciones normativas aplicables a los Municipios del Estado.</t>
  </si>
  <si>
    <t>La normatividad aplicada para el reconocimiento, valuación y revelación de los diferentes rubros de la información financiera, así como las bases de medición utilizadas para la elaboración de los estados financieros fue en base a costos hitóricos de las operaciones efectuadas.</t>
  </si>
  <si>
    <t>La elaboración de los Estados Financieros fue realizada siguiento los Postulados Básicos emitidos por el CONAC los cuales se enumeran a continuación:</t>
  </si>
  <si>
    <t>1.- Sustancia Económica</t>
  </si>
  <si>
    <t>2.- Entes Públicos</t>
  </si>
  <si>
    <t>3.- Existencia Permanente</t>
  </si>
  <si>
    <t>4.- Revelación Suficiente</t>
  </si>
  <si>
    <t>5.- Importancia Relativa</t>
  </si>
  <si>
    <t>6.- Registro e Integración Presupuestaria</t>
  </si>
  <si>
    <t>7.- Consolidación de la Información Financiera</t>
  </si>
  <si>
    <t>8.- Devengo Contable</t>
  </si>
  <si>
    <t>9.- Valuación</t>
  </si>
  <si>
    <t>10.- Dualidad Económica</t>
  </si>
  <si>
    <t>11.- Consistencia</t>
  </si>
  <si>
    <t>El Municipio no ha utilizado normatividad supletoria y se informa que el Ente Aplica la totalidad de los Postulados Básicos desde el 2012.</t>
  </si>
  <si>
    <t>a) Método utilizado para la actualización del valores.</t>
  </si>
  <si>
    <t>b) Operaciones en el Extranjero</t>
  </si>
  <si>
    <t>c) Método de valuación de la inversión en acciones</t>
  </si>
  <si>
    <t>d) Sistema y método de valuación de inventarios y costo de lo vendido</t>
  </si>
  <si>
    <t>e) Beneficios a empleados</t>
  </si>
  <si>
    <t>f) Provisiones</t>
  </si>
  <si>
    <t>g) Reservas</t>
  </si>
  <si>
    <t>h) Cambios en políticas contables</t>
  </si>
  <si>
    <t>i) Reclasificaciones</t>
  </si>
  <si>
    <t>j) Depuración y cancelación de Saldos</t>
  </si>
  <si>
    <t>A la fecha de la elaboración de los Estados Financieros no se cuenta con cambios en políticas contables que modifiquen o afecten la información financiera.</t>
  </si>
  <si>
    <t>En el periodo que abarcan los Estados Financieros, el Ente no realizó cambios en los tipos de operación que hayan repercutido en reclasificaciones entre cuentas.</t>
  </si>
  <si>
    <t>Se informa que el Municipio no cuenta con Activos ni Pasivos registrados en monedas extranjeras.</t>
  </si>
  <si>
    <t>Adicionalmente, el Municipio cuenta con Planes Operativos Anuales (POAs) divididos por Unidad Administrativa, los cuales permiten planear y dar seguimiento a las principales actividades que realiza el ente, y a la vez, permite evaluar si es necesario tomar medidas de corrección con la finalidad de dar cumplimiento a los objetivos previamente establecidos.</t>
  </si>
  <si>
    <t>La autoridad municipal no tiene partes relacionadas que pudieran ejercer influencia significativa sobre la toma de decisiones financieras y operativas.</t>
  </si>
  <si>
    <t>A través del presente documento se informa sobre las principales condiciones económico – financieras bajo las cuales el Municipio de Victoria, estuvo operando, mismas que influyeron en la toma de decisiones en el periodo sobre la administración de los recursos financieros, considerándolas para la elaboración de los Estados Financieros Contables y Presupuestarios.</t>
  </si>
  <si>
    <t>A la fecha el Ente no ha actualizado ningún valor de sus activos, pasivos y patrimonio. Por lo anterior no se ha elegido ningún método de actualización de valores.</t>
  </si>
  <si>
    <t>El Ente no cuenta con inversiones en acciones de ningún tipo.</t>
  </si>
  <si>
    <t>El Municipio utiliza como base para el manejo de inventario lo establecido por el CONAC en "Las Principales Reglas de Registro y Valoración del Patrimonio"  las cuales fueron publicadas en el Diario Oficial de la Federación el 27 de diciembre de 2010.</t>
  </si>
  <si>
    <t>El Ente no cuenta con reservas actuariales de ningún tipo ni tiene previsto beneficios futuros a sus empleados.</t>
  </si>
  <si>
    <t>Al periodo contablemente no se tienen provisiones.</t>
  </si>
  <si>
    <t>Al periodo contablemente no se tienen reservas.</t>
  </si>
  <si>
    <t>El Municipio cuenta con solo con un fideicomisio, el cual fue utilizado para financiar Programas y Acciones de Inversión Pública y del cual forma parte como fideicomitente. El Fideicomiso está garantizado con las Participaciones Federales del Ramo 28.</t>
  </si>
  <si>
    <t>Con la intención de mejorar el desempeño laboral de los trabajadores en el ejercicio 2015 el Municipio establecio el Código de Ética, el cual desde la fecha de publicación se aplica en todas las áreas de este Municipio.</t>
  </si>
  <si>
    <t>El Municipio se encuentra inscrito en el Programa "Agenda para el Desarrollo Municipal", el cual tiene como objetivo contribuir al desarrollo de las capacidades y la modernización administrativa que conduzca a hacerlos más eficaces y eficientes. El Programa antes mencionado sirve para medir si los avances de la gestión municipal son congruentes con los objetivos del Plan Municipal de Desarrollo.</t>
  </si>
  <si>
    <t>El Municipio utiliza la herramienta de Matriz de Indicadores para medir el desempeño por área. Los indicadores asignados a la Tesoreria Municipal nos sirven de base para medir el desempeño financiero y evaluar trimestralmente el cumplimiento de las metas establecidas.</t>
  </si>
  <si>
    <t>La principal actividad del Municipio es preever de servicios públicos a la ciudadania; debido a esto no se consideró necesario reflejar las operaciones contables por segmento.</t>
  </si>
  <si>
    <t>Entre la fecha de los estados financieros y su fecha de elaboración no han ocurrido eventos sustanciales que pudieran afectar la información financiera mostrada en los mismos.</t>
  </si>
  <si>
    <t>Reporte Analítico de Cuentas por Pagar</t>
  </si>
  <si>
    <t>22330000000000000000</t>
  </si>
  <si>
    <t>DEUDA INTERNA POR PAGAR A LARGO PLAZO</t>
  </si>
  <si>
    <t>DEUDA PUBLICA CON INSTITUCIONES DE CREDITO</t>
  </si>
  <si>
    <t>Equipo e instrumental médico y de laboratorio</t>
  </si>
  <si>
    <t>Participaciones a Entidades Federativas y Municipios</t>
  </si>
  <si>
    <t>BANREGIO</t>
  </si>
  <si>
    <t>RAMO 28 PARTICIPACIONES 2017</t>
  </si>
  <si>
    <t>OTROS INGRESOS 2017</t>
  </si>
  <si>
    <t>PREDIAL 2017</t>
  </si>
  <si>
    <t>FORTALECIMIENTO MUNICIPAL 2017</t>
  </si>
  <si>
    <t>AGUINALDO 2017</t>
  </si>
  <si>
    <t>FORTASEG FEDERAL 2017</t>
  </si>
  <si>
    <t>FORTASEG COPARTICIPACION 2017</t>
  </si>
  <si>
    <t>BOMBEROS 2017 - 2018</t>
  </si>
  <si>
    <t>RAMO 28 PARTICIPACIONES 2018</t>
  </si>
  <si>
    <t>FORTALECIMIENTO MUNICIPAL 2018</t>
  </si>
  <si>
    <t>074947340151</t>
  </si>
  <si>
    <t>FORTALECE 2017 (FEDERAL)</t>
  </si>
  <si>
    <t>FORTA FINANCIERO 2017</t>
  </si>
  <si>
    <t>LIBRO VICTORIA VIVA 2017</t>
  </si>
  <si>
    <t>HIDROCARBUROS MARITIMA 2017</t>
  </si>
  <si>
    <t>FORTALECIMIENTO FINANCIERO 3</t>
  </si>
  <si>
    <t>SERFIN 2</t>
  </si>
  <si>
    <t>FORTALECIMIENTO FINANCIERO</t>
  </si>
  <si>
    <t>REINTEGROS DE AUDITORIA SUPERIOR</t>
  </si>
  <si>
    <t>FORTALECIMIENTO FINANCIERO 5 2017</t>
  </si>
  <si>
    <t>FORTALECIMIENTO FINANCIERO 7 2017</t>
  </si>
  <si>
    <t>PROYECTOS DE DESARROLLO REGIONAL 2</t>
  </si>
  <si>
    <t>GARS620920MGRRMC00</t>
  </si>
  <si>
    <t>MA BELEM CAMACHO</t>
  </si>
  <si>
    <t>ELIDA REYNA MARTINEZ</t>
  </si>
  <si>
    <t>REME660327MTSYRL08</t>
  </si>
  <si>
    <t>SAMA610717HTSNDR08</t>
  </si>
  <si>
    <t>OACN890226HTSVSS05</t>
  </si>
  <si>
    <t>LUZ MARIA CERVANTES AGUILAR</t>
  </si>
  <si>
    <t>LEMM540722MTSRRG05</t>
  </si>
  <si>
    <t>LUHE450515MTSMRL07</t>
  </si>
  <si>
    <t>IAGK880906MTSNRR00</t>
  </si>
  <si>
    <t>MA DE JESUS RAMIREZ MARTINEZ</t>
  </si>
  <si>
    <t>ANA LUISA ESPINOZA ALVARADO</t>
  </si>
  <si>
    <t>EIAA750116MTSSLN06</t>
  </si>
  <si>
    <t>ALEJANDRO REYES ZUÑIGA</t>
  </si>
  <si>
    <t>REZA700717HTSYXL00</t>
  </si>
  <si>
    <t>MOMR620522MTSRRT02</t>
  </si>
  <si>
    <t>VERONICA CARDENAS MENCHACA</t>
  </si>
  <si>
    <t>CAMV790704MZSRNR06</t>
  </si>
  <si>
    <t>PABLO HERNANDEZ RIVERA</t>
  </si>
  <si>
    <t>HERP910402HTSRVB06</t>
  </si>
  <si>
    <t>MAPG750719HMSNRS09</t>
  </si>
  <si>
    <t>MARIA DE LOURDES TRUJILLO IBARRA</t>
  </si>
  <si>
    <t>MARIA ESTHER PUGA SORDIA</t>
  </si>
  <si>
    <t>PUSE760705MTSGRS04</t>
  </si>
  <si>
    <t>MA ISABEL LINARES AVALOS</t>
  </si>
  <si>
    <t>MAGB971205MTSRRL02</t>
  </si>
  <si>
    <t>MARIA TOMASA PERALES ZURITA</t>
  </si>
  <si>
    <t>CRISTINA GUADALUPE HERNANDEZ CASTELLANOS</t>
  </si>
  <si>
    <t>FIGL511221MTSGRR01</t>
  </si>
  <si>
    <t>DUZM630928MTSQXR04</t>
  </si>
  <si>
    <t>NORMA ALICIA ALVAREZ BARRERA</t>
  </si>
  <si>
    <t>AABN660329MTSLRR02</t>
  </si>
  <si>
    <t>MARTHA BAEZ AGUIRRE</t>
  </si>
  <si>
    <t>ANGELICA MARIA TORRES RODRIGUEZ</t>
  </si>
  <si>
    <t>TORA711218MTSRDN09</t>
  </si>
  <si>
    <t>LITA720328MTSMRN06</t>
  </si>
  <si>
    <t>MECE761016HDGRND08</t>
  </si>
  <si>
    <t>CAGF710621MTSRRB02</t>
  </si>
  <si>
    <t>CAGE480722MTSSTG00</t>
  </si>
  <si>
    <t>TOMB870827MTSBCR07</t>
  </si>
  <si>
    <t>MA DE JESUS SALAZAR NUÑEZ</t>
  </si>
  <si>
    <t>MA DOLORES VILLEGAS ZAPATA</t>
  </si>
  <si>
    <t>CAROLINA QUIÑONES ORTIZ</t>
  </si>
  <si>
    <t>ZUBE770112MTSXRR05</t>
  </si>
  <si>
    <t>MA DEL CARMEN GAYTAN MEJIA</t>
  </si>
  <si>
    <t>CARLOS GALLEGOS</t>
  </si>
  <si>
    <t>MA EUGENIA CASTILLO GUTIERREZ</t>
  </si>
  <si>
    <t>RANULFO GARCIA ESCAMILLA</t>
  </si>
  <si>
    <t>EVA MARGARITA ALVARADO EGUIA</t>
  </si>
  <si>
    <t>AAEE771009MTSLGV09</t>
  </si>
  <si>
    <t>SAUA690425MDFLRN09</t>
  </si>
  <si>
    <t>BELEM CAMACHO</t>
  </si>
  <si>
    <t>CAXB630328</t>
  </si>
  <si>
    <t>CAGM730223</t>
  </si>
  <si>
    <t>CAVI680702MTSSLS03</t>
  </si>
  <si>
    <t>MARTINA DE LA ROSA MORAN</t>
  </si>
  <si>
    <t>ROMM630812MTSSRR09</t>
  </si>
  <si>
    <t>LUIS ADOLFO CASTILLO PARRA</t>
  </si>
  <si>
    <t>JOSE ALFREDO GUTIERREZ GARCIA</t>
  </si>
  <si>
    <t>GUGA620112HTSTRL05</t>
  </si>
  <si>
    <t>MA ESTHELA HUERTA JASSO</t>
  </si>
  <si>
    <t>ZOHP551126HTSZRB08</t>
  </si>
  <si>
    <t>CARMEN GAYTAN MEJIA</t>
  </si>
  <si>
    <t>ROSR571227MTSDNB09</t>
  </si>
  <si>
    <t>GOAF790120MTSMGD03</t>
  </si>
  <si>
    <t>EUSTAQUIO GALLARDO HERNANDEZ</t>
  </si>
  <si>
    <t>MAURICIO TORRES VERDINEZ</t>
  </si>
  <si>
    <t>GAVD871225MTSRLN00</t>
  </si>
  <si>
    <t>REGM690314MTSYTT07</t>
  </si>
  <si>
    <t>CRISTINA DE LEON PIZAÑA</t>
  </si>
  <si>
    <t>MA GUADALUPE TORRES PEREZ</t>
  </si>
  <si>
    <t>FRANCISCA LOPEZ MONTELONGO</t>
  </si>
  <si>
    <t>LOMF840411MTSPNR07</t>
  </si>
  <si>
    <t>AAZM780209MTSLPC04</t>
  </si>
  <si>
    <t>PAMJ510826HTSZRM02</t>
  </si>
  <si>
    <t>GOSE810110MNENRS02</t>
  </si>
  <si>
    <t>CASB511031HTSNNR00</t>
  </si>
  <si>
    <t>GOLS800921MCLNRN04</t>
  </si>
  <si>
    <t>FRANCISCA BAUTISTA CONTRERAS</t>
  </si>
  <si>
    <t>BACF390504MTSTNR09</t>
  </si>
  <si>
    <t>ESTHER PARTIDA LOMA</t>
  </si>
  <si>
    <t>PALE520607MTSRMS06</t>
  </si>
  <si>
    <t>GRACIELA FLORES OSTEGUIN</t>
  </si>
  <si>
    <t>FOOG560402</t>
  </si>
  <si>
    <t>MANSILLA PEREA GUSTAVO</t>
  </si>
  <si>
    <t>MAGJ590305HTSTNS09</t>
  </si>
  <si>
    <t>AEMC630916MTSNTR05</t>
  </si>
  <si>
    <t>HECL690119MTSRSZ02</t>
  </si>
  <si>
    <t>BAAM561222</t>
  </si>
  <si>
    <t>BLANCA OFELIA TORRES AVILA</t>
  </si>
  <si>
    <t>GOSF991011MTSNNL04</t>
  </si>
  <si>
    <t>TECD890322MTSRSN00</t>
  </si>
  <si>
    <t>BOMD620512</t>
  </si>
  <si>
    <t>ROLJ510319MTSDPS07</t>
  </si>
  <si>
    <t>CAHG930807MTSHRL06</t>
  </si>
  <si>
    <t>VICTOR RIVERA RODIS</t>
  </si>
  <si>
    <t>CARC841009HTSSBR06</t>
  </si>
  <si>
    <t>LEPC500826MTSNZR03</t>
  </si>
  <si>
    <t>VEHC880109MTSLRN00</t>
  </si>
  <si>
    <t>JUAG550829HTSRLR09</t>
  </si>
  <si>
    <t>SATD700320MTSLRL02</t>
  </si>
  <si>
    <t>LUCIA GUADALUPE VILLELA HERNANDEZ</t>
  </si>
  <si>
    <t>QUDN641207MTSVZN08</t>
  </si>
  <si>
    <t>TUIL690219MTSRBR08</t>
  </si>
  <si>
    <t>MIGUEL ANGEL RODRIGUEZ VALLADARES</t>
  </si>
  <si>
    <t>ROVM711031HTSDLG00</t>
  </si>
  <si>
    <t>GLORIA CHAPA HEREIDA</t>
  </si>
  <si>
    <t>MA ELIZABETH DE LEON GARCIA</t>
  </si>
  <si>
    <t>MAAE690913MMNTCL08</t>
  </si>
  <si>
    <t>EJIDO ALIANZA DE CABALLEROS</t>
  </si>
  <si>
    <t>VAIO770719HTSZNM06</t>
  </si>
  <si>
    <t>VAIJ690516HTSZNL06</t>
  </si>
  <si>
    <t>AANG481205MTSRRD02</t>
  </si>
  <si>
    <t>SERGIO IVAN PEREZ HERRERA</t>
  </si>
  <si>
    <t>PEHS761028HTSRRR01</t>
  </si>
  <si>
    <t>RIRV521223HVZVDC01</t>
  </si>
  <si>
    <t>IVAN PEREZ HERRERA</t>
  </si>
  <si>
    <t>MUMD900721MTSXLN05</t>
  </si>
  <si>
    <t>GAXP410704HTSMXB07</t>
  </si>
  <si>
    <t>MAJO780603MTSRRL05</t>
  </si>
  <si>
    <t>MASM611111</t>
  </si>
  <si>
    <t>MA DEL CARMEN MATA GUZMAN</t>
  </si>
  <si>
    <t>ANA DELIA MASCORRO DURAN</t>
  </si>
  <si>
    <t>MADA751128MTSSRN02</t>
  </si>
  <si>
    <t>CATM810425MTSRVR08</t>
  </si>
  <si>
    <t>SIND DE TRAB AL SERV DEL R. AYTO DE CD. VICTORIA</t>
  </si>
  <si>
    <t>REBJ511104MTSYLN15</t>
  </si>
  <si>
    <t>MECJ791128HTSDRV06</t>
  </si>
  <si>
    <t>MA JOSEFINA RODRIGUEZ LOPEZ</t>
  </si>
  <si>
    <t>JAAI660323MTSSCS06</t>
  </si>
  <si>
    <t>IABJ520108MTSNRN00</t>
  </si>
  <si>
    <t>DEPORTIVO VENADOS DE VICTORIA AC</t>
  </si>
  <si>
    <t>CAEL640121MTSRGZ03</t>
  </si>
  <si>
    <t>SAMR720528MTSNRS01</t>
  </si>
  <si>
    <t>ROCM530312MTSDSR04</t>
  </si>
  <si>
    <t>MA DE LA LUZ HEREIDA CISNEROS</t>
  </si>
  <si>
    <t>EDUARDO MATA GONZALEZ</t>
  </si>
  <si>
    <t>REQA800723MTSSNZ05</t>
  </si>
  <si>
    <t>MA ELENA ESCOBAR VAZQUEZ</t>
  </si>
  <si>
    <t>MAMJ540624</t>
  </si>
  <si>
    <t>YESSICA BERENICE VELAZQUEZ CORTEZ</t>
  </si>
  <si>
    <t>VECY860704MTSLRS02</t>
  </si>
  <si>
    <t>ROBERTO GONZALEZ DIAZ</t>
  </si>
  <si>
    <t>GODR501001HTSNZB06</t>
  </si>
  <si>
    <t>BERNARDO CANTU SANCHEZ</t>
  </si>
  <si>
    <t>MAGDALENA GUADALUPE CRUZ HERNANDEZ</t>
  </si>
  <si>
    <t>BLANCA ESTHELA MENDEZ CALDERAS</t>
  </si>
  <si>
    <t>MECB780512MTSNLL02</t>
  </si>
  <si>
    <t>AGUSTINA GAMEZ BARRON</t>
  </si>
  <si>
    <t>PATRICIA ELIZABETH GONZALEZ MORENO</t>
  </si>
  <si>
    <t>GOMP890709MTSNRT01</t>
  </si>
  <si>
    <t>JAVIER ENRIQUE MEDINA CARRIZALES</t>
  </si>
  <si>
    <t>LUCIA PAEZ DE LA CRUZ</t>
  </si>
  <si>
    <t>PACL791031</t>
  </si>
  <si>
    <t>ALMA LETICIA RIVERA CHAVEZ</t>
  </si>
  <si>
    <t>FERMIN MANZANO HERRERA</t>
  </si>
  <si>
    <t>MAHF810707HTSNRR01</t>
  </si>
  <si>
    <t>BERTHA DEYANIRA DE LA ROSA COMPEAN</t>
  </si>
  <si>
    <t>ROCB770320MNLSMR02</t>
  </si>
  <si>
    <t>AURELIO MORENO LOREDO</t>
  </si>
  <si>
    <t>MOLA700211HTSRRR08</t>
  </si>
  <si>
    <t>MARIA MAGDALENA DIAZ GUZMAN</t>
  </si>
  <si>
    <t>DIGM751119MTSZZG05</t>
  </si>
  <si>
    <t>OLGA ARACELY MARTINEZ JUAREZ</t>
  </si>
  <si>
    <t>TERESA AVILA RODRIGUEZ</t>
  </si>
  <si>
    <t>AIRT770718MTSVDR02</t>
  </si>
  <si>
    <t>ESCUELA PRIMARIA RODOLFO TORRE CANTU</t>
  </si>
  <si>
    <t>28DPR2588F</t>
  </si>
  <si>
    <t>28ECB0023H</t>
  </si>
  <si>
    <t>MIRIAM LIZBETH CARDENAS TOVAR</t>
  </si>
  <si>
    <t>KARLA YANET INFANTE GUERRERO</t>
  </si>
  <si>
    <t>JOSE OMAR VAZQUEZ INFANTE</t>
  </si>
  <si>
    <t>HUGO ENRIQUE BELLO PARTIDA</t>
  </si>
  <si>
    <t>28DES0067D</t>
  </si>
  <si>
    <t>CUHM610329MNLRRG01</t>
  </si>
  <si>
    <t>MARIA MAGDALENA LERMA MARTINEZ</t>
  </si>
  <si>
    <t>ORALIA MATA SANCHEZ</t>
  </si>
  <si>
    <t>LODC801021MTSPL08</t>
  </si>
  <si>
    <t>JOSE EDGAR MERCADO CANALES</t>
  </si>
  <si>
    <t>JUANA INFANTE BARRAGAN</t>
  </si>
  <si>
    <t>JOSEFINA ARANDA LOPEZ</t>
  </si>
  <si>
    <t>AALJ670911MTSRPS05</t>
  </si>
  <si>
    <t>RUBEN RODRIGUEZ GARCIA</t>
  </si>
  <si>
    <t>ROGR661116HSPDRB01</t>
  </si>
  <si>
    <t>LORENA ISABEL GUEVARA CAMACHO</t>
  </si>
  <si>
    <t>MESC641002HTSNCR09</t>
  </si>
  <si>
    <t>QUOC690617</t>
  </si>
  <si>
    <t>VARB500306</t>
  </si>
  <si>
    <t>MARIA GUADALUPE DE LA ROSA CONTRERAS</t>
  </si>
  <si>
    <t>ROCG751120MTSSND07</t>
  </si>
  <si>
    <t>MAIS330422HTSRRT06</t>
  </si>
  <si>
    <t>JOSE JUAN DOMINGUEZ TORRES</t>
  </si>
  <si>
    <t>DOTJ740319HTSMRN01</t>
  </si>
  <si>
    <t xml:space="preserve">ESCUELA PRIMARIA SALVADOR IBON AGUILAR </t>
  </si>
  <si>
    <t>28DPR2342M</t>
  </si>
  <si>
    <t xml:space="preserve">ESCUELA PRIMARIA GABRIELA MISTRAL </t>
  </si>
  <si>
    <t>GERONIMO DEL VALLE VAZQUEZ</t>
  </si>
  <si>
    <t>CARI750303HTSRDS04</t>
  </si>
  <si>
    <t>FABIOLA CARDENAS TOVAR</t>
  </si>
  <si>
    <t>CATF841111MTSRVB02</t>
  </si>
  <si>
    <t>CELIA SALAZAR TIRADO</t>
  </si>
  <si>
    <t>SATC691021MTSLRL06</t>
  </si>
  <si>
    <t>PERLA IZAMARA RAMIREZ GONZALEZ</t>
  </si>
  <si>
    <t>RAGP910320MTSMNR02</t>
  </si>
  <si>
    <t>HESC850526MTSRNR00</t>
  </si>
  <si>
    <t>MELINA BAEZ MARTINEZ</t>
  </si>
  <si>
    <t>ZOILA FABIOLA RIVERA CHAVEZ</t>
  </si>
  <si>
    <t>RICZ770120MTSVHL07</t>
  </si>
  <si>
    <t>GUBJ590213HTSVZL01</t>
  </si>
  <si>
    <t>ROFR601117MTSDLS05</t>
  </si>
  <si>
    <t>ALMA LETICIA HERNANDEZ MEDRANO</t>
  </si>
  <si>
    <t>HEMA790913MTSRDL08</t>
  </si>
  <si>
    <t>ORLANDO SEBASTIAN GALLEGOS CASTILLO</t>
  </si>
  <si>
    <t>GACO800225HTSLSR01</t>
  </si>
  <si>
    <t>JUAN BAUTISTA LIMON BECERRA</t>
  </si>
  <si>
    <t>LIBJ480624HNLMCN03</t>
  </si>
  <si>
    <t>CULD760207</t>
  </si>
  <si>
    <t>LORENA DEL CARMEN LARA RUIZ</t>
  </si>
  <si>
    <t>LARL720407MTSRZR00</t>
  </si>
  <si>
    <t>MA DEL REFUGIO PEREZ MARTINEZ</t>
  </si>
  <si>
    <t>PEMR560704MTSRRF04</t>
  </si>
  <si>
    <t>FRANCISCO RAMIREZ JASSO</t>
  </si>
  <si>
    <t>JOSE RICARDO PEREZ ESTRADA</t>
  </si>
  <si>
    <t>PEER550815HTSRSC00</t>
  </si>
  <si>
    <t>JUAN MANUEL ACUÑA GARCIA</t>
  </si>
  <si>
    <t>AUGJ751111HVZCRN00</t>
  </si>
  <si>
    <t>REBECA MARIA DE LA LUZ HERNANDEZ TORRES</t>
  </si>
  <si>
    <t>HETR740125MTSRRB13</t>
  </si>
  <si>
    <t>NINFA ARACELY QUEVEDO DIAZ</t>
  </si>
  <si>
    <t>HERA811027MTSRDM00</t>
  </si>
  <si>
    <t>FERNANDO TINAJERO CEDILLO</t>
  </si>
  <si>
    <t>TICF450530HTSNDR00</t>
  </si>
  <si>
    <t>QUAC720503MTSNNR00</t>
  </si>
  <si>
    <t>MARIA DOLORES ALVAREZ MARIN</t>
  </si>
  <si>
    <t>AAMD640330MTSLRR03</t>
  </si>
  <si>
    <t>DOMITILA BOCANEGRA MARQUEZ</t>
  </si>
  <si>
    <t>BAMM940128MTSZRL04</t>
  </si>
  <si>
    <t>PERLA KARINA WALLE MEDINA</t>
  </si>
  <si>
    <t>WAMP851119MTSLDR02</t>
  </si>
  <si>
    <t>BOHB630428MTSRRL06</t>
  </si>
  <si>
    <t>VACM700712MTSLVD07</t>
  </si>
  <si>
    <t>28DES0061J</t>
  </si>
  <si>
    <t>MESN700601MTSLNH06</t>
  </si>
  <si>
    <t>HEIH860301MTSRBR03</t>
  </si>
  <si>
    <t>AMPARO HERNANDEZ RODRIGUEZ</t>
  </si>
  <si>
    <t>TUGR400220MTSRNF02</t>
  </si>
  <si>
    <t>GUADALUPE ZAVALA MARTINEZ</t>
  </si>
  <si>
    <t>ZAMG420101MGTVRD09</t>
  </si>
  <si>
    <t>WASY861206MTSLLK00</t>
  </si>
  <si>
    <t>JULIAN GUEVARA BAEZ</t>
  </si>
  <si>
    <t>RAFAELA TRUJILLO GONZALEZ</t>
  </si>
  <si>
    <t>JUANA MARIA REYES BALDERRAMA</t>
  </si>
  <si>
    <t>LUIS JESUS PEREZ JASSO</t>
  </si>
  <si>
    <t>PEJL880815HTSRSS03</t>
  </si>
  <si>
    <t>RICA911101MTSVHL06</t>
  </si>
  <si>
    <t>MA ISABEL ZUÑIGA ELIZONDO</t>
  </si>
  <si>
    <t>GOAG660101MTSNRR04</t>
  </si>
  <si>
    <t>DIANA ARACELY NIETO JUAREZ</t>
  </si>
  <si>
    <t>NIJD860329MTSTRN06</t>
  </si>
  <si>
    <t>OLIVIA BIJARRO GUERRERO</t>
  </si>
  <si>
    <t>BIGO300617MTSJRL04</t>
  </si>
  <si>
    <t>MINERVA MARGARITA LUNA VALLE</t>
  </si>
  <si>
    <t>DIEGO GUADALUPE RANGEL MARTINEZ</t>
  </si>
  <si>
    <t>RAMD811113HTSNRG09</t>
  </si>
  <si>
    <t>MA CONCEPCION PEREZ GUERRERO</t>
  </si>
  <si>
    <t>PEGC660325MTSRRN07</t>
  </si>
  <si>
    <t>EVERARDO CRUZ DE LA CRUZ</t>
  </si>
  <si>
    <t>SOTERO MARTINEZ IRACHETA</t>
  </si>
  <si>
    <t>KAREN RUBI LINARES ZAPATA</t>
  </si>
  <si>
    <t>LIZK910223MTSNPR09</t>
  </si>
  <si>
    <t>ERIKA NEREYDA PEREZ RODRIGUEZ</t>
  </si>
  <si>
    <t>PERE741230MTSRDR06</t>
  </si>
  <si>
    <t>MAGG790903MTSNVL01</t>
  </si>
  <si>
    <t>LUCIA RODRIGUEZ RAMIREZ</t>
  </si>
  <si>
    <t>BLANCA AMALIA MARTINEZ GARCIA</t>
  </si>
  <si>
    <t>MATILDE REYES GUTIERREZ</t>
  </si>
  <si>
    <t>CRUZ ROJA MEXICANA IAP</t>
  </si>
  <si>
    <t>CRM6702109K6</t>
  </si>
  <si>
    <t>ASOCIACION DE TAMAULIPAS DE TAE KWON DO A.C.</t>
  </si>
  <si>
    <t>ATT971128NR3</t>
  </si>
  <si>
    <t>PEGS741102MTSXRN01</t>
  </si>
  <si>
    <t>CULJ830620HTSRPL02</t>
  </si>
  <si>
    <t>LUIGI GIOVANNI REYES COVI</t>
  </si>
  <si>
    <t>AUMM910802MTSGNN05</t>
  </si>
  <si>
    <t>ESCARLETH YULISA GONZALEZ SIERRA</t>
  </si>
  <si>
    <t>EJIDO TIERRA NUEVA</t>
  </si>
  <si>
    <t>MANUEL EDUARDO GOMEZ SALDIVAR</t>
  </si>
  <si>
    <t>GOSM891105</t>
  </si>
  <si>
    <t>ASCENCION MUÑIZ ZAPATA</t>
  </si>
  <si>
    <t>MUZA420625HTSXPS07</t>
  </si>
  <si>
    <t>PETRA GAMERO GALARZA</t>
  </si>
  <si>
    <t>GAGP390110MTSMLT02</t>
  </si>
  <si>
    <t>JAIME PAZ MORALES</t>
  </si>
  <si>
    <t xml:space="preserve">MA EMILIA LIMON CEDILLO </t>
  </si>
  <si>
    <t>SALG951220MTSNMD05</t>
  </si>
  <si>
    <t>MARTINA CONTRERAS ZUÑIGA</t>
  </si>
  <si>
    <t>PEDRO WALLE BALBOA</t>
  </si>
  <si>
    <t>WABP431023HTSLLD08</t>
  </si>
  <si>
    <t>MONICA SANCHEZ ANDRADE</t>
  </si>
  <si>
    <t>SAAM710724MTSNNN08</t>
  </si>
  <si>
    <t>LIAI630303MTSMVS03</t>
  </si>
  <si>
    <t>ALAN ARTURO MORALES ZUBIRI</t>
  </si>
  <si>
    <t>MOZA851014HTSRBL01</t>
  </si>
  <si>
    <t>JOSE LUIS SANCHEZ ESQUIVEL</t>
  </si>
  <si>
    <t>ALMA BEATRIZ MIRANDA BALBOA</t>
  </si>
  <si>
    <t>MIBA730331MTSRLL06</t>
  </si>
  <si>
    <t xml:space="preserve">ESC PRIMARIA REPUBLICA DE MEXICO </t>
  </si>
  <si>
    <t>28DPR1880D</t>
  </si>
  <si>
    <t>ARACELI RUIZ TORRES</t>
  </si>
  <si>
    <t>RUTA801122MTSZRR00</t>
  </si>
  <si>
    <t>BEPH920710HTSLRG09</t>
  </si>
  <si>
    <t>AURELIA LLANAS BANDA</t>
  </si>
  <si>
    <t>NORMA ALICIA SALAZAR TIJERINA</t>
  </si>
  <si>
    <t>MARIA CATALINA MALDONADO CASTILLO</t>
  </si>
  <si>
    <t>MACC640427MTSLST08</t>
  </si>
  <si>
    <t>NAME980925MTSVNR04</t>
  </si>
  <si>
    <t>MARIA DEL CARMEN HERNANDEZ TORRES</t>
  </si>
  <si>
    <t>MANUELA VAZQUEZ PILOTO</t>
  </si>
  <si>
    <t>VAPM420526MTSZLN04</t>
  </si>
  <si>
    <t xml:space="preserve">AURELIO SANCHEZ MEDINA </t>
  </si>
  <si>
    <t>GAHE450920HTSRLR06</t>
  </si>
  <si>
    <t>KARLA FERNANDA POBLANO RIVERA</t>
  </si>
  <si>
    <t>PORK921103MTSBVR00</t>
  </si>
  <si>
    <t>LEONOR TOVAR GARCIA</t>
  </si>
  <si>
    <t>VLADIMIR BAEZ CERVANTES</t>
  </si>
  <si>
    <t>BACV801120HTSZRL00</t>
  </si>
  <si>
    <t>DIANA EDITH TREJO CASTILLO</t>
  </si>
  <si>
    <t>MARIA LAURA GONZALEZ RODRIGUEZ</t>
  </si>
  <si>
    <t>GORL670510MTSNDR03</t>
  </si>
  <si>
    <t>ROSA ISELA BARRON MUÑIZ</t>
  </si>
  <si>
    <t>BAMR840428MTSRXS07</t>
  </si>
  <si>
    <t>NOEMI MALDONADO PEREZ</t>
  </si>
  <si>
    <t>MAPN510218MSPLRM08</t>
  </si>
  <si>
    <t>ARACELI AVILA RODRIGUEZ</t>
  </si>
  <si>
    <t>AIRA890417MTSVDR04</t>
  </si>
  <si>
    <t>REYNA ZORRILLA RODRIGUEZ</t>
  </si>
  <si>
    <t>ZORR800106MTSRDY05</t>
  </si>
  <si>
    <t>ERNESTINA RENDON CONTRERAS</t>
  </si>
  <si>
    <t>RECE820911MTSNNR09</t>
  </si>
  <si>
    <t>JARDIN DE NIÑOS EMILIANO ZAPATA</t>
  </si>
  <si>
    <t>QUGG550328MTSNRD05</t>
  </si>
  <si>
    <t>AZALYHA MAGALI RESENDEZ QUINTERO</t>
  </si>
  <si>
    <t>ZUPL860328MTSXX05</t>
  </si>
  <si>
    <t>JULIO CESAR CRUZ LOPEZ</t>
  </si>
  <si>
    <t>MARIA ELVIRA RAMIREZ LABASTIDA</t>
  </si>
  <si>
    <t>RALE891008MTSMBL00</t>
  </si>
  <si>
    <t>CORNELIA ANGELES MATA</t>
  </si>
  <si>
    <t>GATJ641225MTSRRS03</t>
  </si>
  <si>
    <t>LILIA TORRES RODRIGUEZ</t>
  </si>
  <si>
    <t>TORL530814MTSRDL04</t>
  </si>
  <si>
    <t>SEXI750322MTSPXS09</t>
  </si>
  <si>
    <t>MA. DEL SOCORRO GARCIA ROMANO</t>
  </si>
  <si>
    <t>28DES0099W</t>
  </si>
  <si>
    <t>CONSTRUCCION DE PISO FIRME</t>
  </si>
  <si>
    <t>FISMUN 2017</t>
  </si>
  <si>
    <t>ALUMBRADO PUBLICO</t>
  </si>
  <si>
    <t>COL VAMOS TAMAULIPAS I, II, III Y IV</t>
  </si>
  <si>
    <t>COL ESPERANZA</t>
  </si>
  <si>
    <t>CONSTRUCCION DE COMEDOR ESCOLAR</t>
  </si>
  <si>
    <t>ESC PRIMARIA MARIANO MATAMOROS COL AMPL MARIANO MATAMOROS</t>
  </si>
  <si>
    <t>JARDIN DE NIÑOS ESTRELLA COL ESTRELLA</t>
  </si>
  <si>
    <t>413</t>
  </si>
  <si>
    <t>ESC PRIMARIA GABRIELA MISTRAL COL ESTRELLA</t>
  </si>
  <si>
    <t>CONSTRUCCION DE RED DE ELECTRIFICACION</t>
  </si>
  <si>
    <t xml:space="preserve">COL LA MONTAÑA </t>
  </si>
  <si>
    <t>PROCESO</t>
  </si>
  <si>
    <t>COL VAMOS TAMAULIPAS 5 ETAPA</t>
  </si>
  <si>
    <t>COL VAMOS TAMAULIPAS</t>
  </si>
  <si>
    <t>COL PODER POPULAR</t>
  </si>
  <si>
    <t>COL LUISA MONTEMAYOR</t>
  </si>
  <si>
    <t>COL FRANCISCO I MADERO</t>
  </si>
  <si>
    <t>COL BETHEL</t>
  </si>
  <si>
    <t>COL SIMON TORRES</t>
  </si>
  <si>
    <t>COL ALTA VISTA SECTOR 4</t>
  </si>
  <si>
    <t>COL ALTA VISTA SECTOR 3</t>
  </si>
  <si>
    <t>COL ALTA VISTA SECTOR 2</t>
  </si>
  <si>
    <t>COL ALTA VISTA SECTOR 1</t>
  </si>
  <si>
    <t>DESARROLLO REGIONAL</t>
  </si>
  <si>
    <t>C MIGUEL ALLENDE COL IGNACIO ZARAGOZA</t>
  </si>
  <si>
    <t>C PITAGORAS COL TECNOLOGICO</t>
  </si>
  <si>
    <t>C CREATIVIDAD COL VAMOS TAMAULIPAS</t>
  </si>
  <si>
    <t>C TOTONACAPAN COL LAS TORRES</t>
  </si>
  <si>
    <t>C PANAMA COL SOLIDARIDAD</t>
  </si>
  <si>
    <t>C GARDENIA FRACC SIERRA VENTANA</t>
  </si>
  <si>
    <t>C SOTO LA MARINA COL AZTECA ETAPA 3</t>
  </si>
  <si>
    <t>C GRAL FRANCISCO NICODEMO COL AMPLIACION PEDRO SOSA</t>
  </si>
  <si>
    <t>C DR RAFAEL VILLARREAL COL BUROCRATAS MUNICIPALES</t>
  </si>
  <si>
    <t>C PLANEACION COLONIA UNIDAD MODELO</t>
  </si>
  <si>
    <t>C ALTAIR COL SAGITARIO</t>
  </si>
  <si>
    <t>CONSTRUCCION DE TECHUMBRE</t>
  </si>
  <si>
    <t>PREPARATORIA FEDERALIZADA 1 CIUDAD VICTORIA TAMAULIPAS</t>
  </si>
  <si>
    <t>CONSTRUCCION DE BIBLIOTECA</t>
  </si>
  <si>
    <t>PREPARATORIA FEDERALIZADA 3 CIUDAD VICTORIA TAMAULIPAS</t>
  </si>
  <si>
    <t>ESC SEC FEDERALIZADA 2 RAFAEL RAMIREZ, CIUDAD VICTORIA TAMAULIPAS</t>
  </si>
  <si>
    <t>C CUITLAHUAC COL AZTECA</t>
  </si>
  <si>
    <t>PROYECTO DE PREPARATORIA PAVIMENTACION CON CONCRETO HIDRAULICO</t>
  </si>
  <si>
    <t>C REPUBLICA DE CHILE CIUDAD VICTORIA TAMAULIPAS</t>
  </si>
  <si>
    <t>FORTALECE</t>
  </si>
  <si>
    <t>PAVIMENTACION CON CONCRETO ASFALTICO</t>
  </si>
  <si>
    <t>C GRANJENO COL MONTE ALTO</t>
  </si>
  <si>
    <t>C ALLENDE COL CORREGIDORA</t>
  </si>
  <si>
    <t>C RIO SAN CRISTOBAL COL SAN MARCOS II</t>
  </si>
  <si>
    <t>C MARIANO ESCOBEDO COL BUROCRATAS MUNICIPALES</t>
  </si>
  <si>
    <t>C ALCOR COL AMPLIACION LINDA VISTA</t>
  </si>
  <si>
    <t>C DIAZ ORDAZ COL LIBERTAD II</t>
  </si>
  <si>
    <t>C HUMANIDAD COL VAMOS TAMAULIPAS</t>
  </si>
  <si>
    <t>C PINO COL MANUEL A RAVIZE</t>
  </si>
  <si>
    <t>C CONSTITUCION COL AMPLIACION MARIANO MATAMOROS</t>
  </si>
  <si>
    <t>C ESTEFANIA CASTAÑEDA COL VICTORIA</t>
  </si>
  <si>
    <t>C REPUBLICA DE CHILE COL LIBERTAD</t>
  </si>
  <si>
    <t>C MERCURIO COL ESTRELLA</t>
  </si>
  <si>
    <t>C ALASKA COL LIBERTAD</t>
  </si>
  <si>
    <t>C CBTIS 24 COL AMPL LOPEZ MATEOS</t>
  </si>
  <si>
    <t>C AZUCENA COL MIGUEL ALEMAN</t>
  </si>
  <si>
    <t>C IGNACIO COMONFORT COL AMERICO VILLARREAL</t>
  </si>
  <si>
    <t>C JOSE MERCADO COL LOMA ALTA</t>
  </si>
  <si>
    <t>C SAN FERNANDO COL AZTECA ETAPA 3</t>
  </si>
  <si>
    <t>C JUAN F ZORRILLA  COL LINDA VISTA</t>
  </si>
  <si>
    <t>C GENERAL ROMULO CUELLAR COL AMPLIACION PEDRO SOSA</t>
  </si>
  <si>
    <t>C ANTARES COL SAGITARIO</t>
  </si>
  <si>
    <t>C MAGDALENA COL LUIS DONALDO COLOSIO</t>
  </si>
  <si>
    <t>C JUAN ESCUTIA COL NIÑOS HEROES</t>
  </si>
  <si>
    <t>C PLUTON COLONIA SATELITE</t>
  </si>
  <si>
    <t>C ARTICULO 17 COL MARIANO MATAMOROS</t>
  </si>
  <si>
    <t>C TEOTIHUACAN NACIONES UNIDAS COLONIA MEXICO</t>
  </si>
  <si>
    <t>EJIDOS AQUILES SERDAN, 18 DE MARZO, RANCHO NUEVO, MARIPOSAS Y MAHUIRAS Y OTILIO MONTAÑO</t>
  </si>
  <si>
    <t>CONSTRUCCION DE GUARNICIONES</t>
  </si>
  <si>
    <t>CONSTRUCCION DE  GUARNICIONES Y BANQUETAS</t>
  </si>
  <si>
    <t>COL VAMOS TAMAULIPAS Y CAÑON DE LA PEREGRINA</t>
  </si>
  <si>
    <t>COL SAN MARCOS FCO I MADERO Y ALTAS CUMBRES</t>
  </si>
  <si>
    <t xml:space="preserve">COLS. ALVARO OBREGON, ALTAVISTA, </t>
  </si>
  <si>
    <t>COL PODER POPULAR, COL BARRIO DEL BOSQUE Y COL ALVARO OBREGON</t>
  </si>
  <si>
    <t>COLS. LOMA ALTA Y ESFUERZO POPULAR</t>
  </si>
  <si>
    <t>COL. SAN MARCOS II, ESTUDIANTIL, AMPL ESTUDIANTIL Y BETHEL</t>
  </si>
  <si>
    <t>COL ALTAVISTA Y CUAUHTEMOC</t>
  </si>
  <si>
    <t>FRACC BARRIO DEL BOSQUE</t>
  </si>
  <si>
    <t>ESC PRIMARIA SIMON BOLIVAR COL AMPLIACION LIBERTAD</t>
  </si>
  <si>
    <t>C CONSTITUCION COL MARIANO MATAMOROS</t>
  </si>
  <si>
    <t>DESARROLLO REGIONAL 2</t>
  </si>
  <si>
    <t>ACCESO AL EJIDO LAZARO CARDENAS</t>
  </si>
  <si>
    <t>531</t>
  </si>
  <si>
    <t>FORTALECIMIENTO FINANCIERO  3</t>
  </si>
  <si>
    <t>C GASPAR DE LA GARZA DE BLVD ADOLFO LOPEZ MATEOS A MICHOACAN</t>
  </si>
  <si>
    <t>C JUAN BAUTISTA DE BLVD JOSE SULAIMAN A AV ROTARIA (HOMBRES ILUSTRES)</t>
  </si>
  <si>
    <t>C MARIANO MATAMOROS DE AV LAZARO CARDENAS A CALLE ROSA (30)</t>
  </si>
  <si>
    <t>C MICHOACAN  DE BLVD TAMAULIPAS A AV LAZARO CARDENAS</t>
  </si>
  <si>
    <t>C MIER Y TERAN (19) ENTRE ZACATECAS Y AV CARRERA TORRES</t>
  </si>
  <si>
    <t>C UAT DE AV FAMILIA ROTARIA (HOMBRES ILUSTRES) Y C NORMAL RURAL "SAN JOSE DE LAS FLORES"</t>
  </si>
  <si>
    <t>C VENISTIANO CARRANZA (22) DE BERRIOZABAL A DEMOCRACIA</t>
  </si>
  <si>
    <t>C FERMIN LEGORRETA (21) ENTRE DEMOCRACIA Y BLVD ADOLFO LOPEZ MATEOS</t>
  </si>
  <si>
    <t>CONSTRUCCION DE CICLOVIA Y REDISEÑO DE COMPONENTES DE TRAFICO</t>
  </si>
  <si>
    <t>BLVD FIDEL VELAZQUEZ Y AVENIDA DE LA UNIDAD</t>
  </si>
  <si>
    <t>FONDO DE FORTALECIMIENTO 2017    17503</t>
  </si>
  <si>
    <t>FONDO DE INFRAESTRUCTURA 2017    17502</t>
  </si>
  <si>
    <t>FONDO DE FORTASEG FEDERAL  2017     17507</t>
  </si>
  <si>
    <t>FONDO DE FORTASEG COPARTICIPACION  2017    17413</t>
  </si>
  <si>
    <t>FONDO DE FORTALECIMIENTO FINANCIERO 5  2017     17533</t>
  </si>
  <si>
    <t>FONDO DE FORTALECIMIENTO FINANCIERO 7  2017   17534</t>
  </si>
  <si>
    <t>FONDO DE FORTALECE  2017    17527</t>
  </si>
  <si>
    <t>FONDO DE PROYECTO DE DESARROLLO REGIONAL  2017    17528</t>
  </si>
  <si>
    <t>FONDO DE FORTA FINANCIERO 2017 17530</t>
  </si>
  <si>
    <t>FONDO DE LIBRO VICTORIA VIVA 2017</t>
  </si>
  <si>
    <t>FONDO DE HIDROCARBUROS MARITIMA 2017</t>
  </si>
  <si>
    <t>FONDO DE PROYECTO DE DESARROLLO REGIONAL 2</t>
  </si>
  <si>
    <t>FONDO DE FORTALECIMIENTO FINANCIERO 3</t>
  </si>
  <si>
    <t>FONDO DE FORTALECIMIENTO FINANCIERO 4</t>
  </si>
  <si>
    <t>'11230-00000-0002-130055</t>
  </si>
  <si>
    <t>DIAZ CARREON LUIS ALEXIS</t>
  </si>
  <si>
    <t>'11230-00000-0003-000003</t>
  </si>
  <si>
    <t>'11230-00000-0004-000001</t>
  </si>
  <si>
    <t>11320-00000-0000-002762</t>
  </si>
  <si>
    <t>Equipo Instrumental Médico y de Laboratorio</t>
  </si>
  <si>
    <t>JORGE BASILIO HAWACH CHARUR</t>
  </si>
  <si>
    <t>GASTOS DE OPERACION-MATERIALES UTILES Y EQUIPOS ME</t>
  </si>
  <si>
    <t>21110174013990181551</t>
  </si>
  <si>
    <t>36806</t>
  </si>
  <si>
    <t>MARINA URIEGAS URIEGAS</t>
  </si>
  <si>
    <t>1475</t>
  </si>
  <si>
    <t>791</t>
  </si>
  <si>
    <t>114</t>
  </si>
  <si>
    <t>819</t>
  </si>
  <si>
    <t>2120</t>
  </si>
  <si>
    <t>1693</t>
  </si>
  <si>
    <t>1698</t>
  </si>
  <si>
    <t>LAURA JOSEFINA NARVAEZ DRAGUSTINOVIS</t>
  </si>
  <si>
    <t>GASTOS DE OPERACION-AYUDAS SOCIALES A PERSONAS</t>
  </si>
  <si>
    <t>1080</t>
  </si>
  <si>
    <t>PETRO FUELS SAN CARLOS SA DE CV</t>
  </si>
  <si>
    <t>GASTOS DE OPERACION-COMBUSTIBLE</t>
  </si>
  <si>
    <t>COMBUSTIBLES DE VICTORIA, S.A. DE C.V.</t>
  </si>
  <si>
    <t>GASTOS DE OPERACION-COMBUSTIBLES</t>
  </si>
  <si>
    <t>1939</t>
  </si>
  <si>
    <t>1678</t>
  </si>
  <si>
    <t>1669</t>
  </si>
  <si>
    <t>944</t>
  </si>
  <si>
    <t>968</t>
  </si>
  <si>
    <t>971</t>
  </si>
  <si>
    <t>795</t>
  </si>
  <si>
    <t>789</t>
  </si>
  <si>
    <t>999</t>
  </si>
  <si>
    <t>1239</t>
  </si>
  <si>
    <t>VALES-PERSONAL</t>
  </si>
  <si>
    <t xml:space="preserve">VALES PERSONAL </t>
  </si>
  <si>
    <t>1017</t>
  </si>
  <si>
    <t>VALES FUNCIONARIOS</t>
  </si>
  <si>
    <t>1763</t>
  </si>
  <si>
    <t>1237</t>
  </si>
  <si>
    <t>GASTOS DE OPERACION-MATERIALES UTILES Y EQUIPOS</t>
  </si>
  <si>
    <t>ALEJANDRO GARZA MARTINEZ</t>
  </si>
  <si>
    <t>GASTOS DE OPERACION-MATERIAL DE OFICINA</t>
  </si>
  <si>
    <t>950</t>
  </si>
  <si>
    <t>GASTOS DE OPERACION-MATERIALES UTILES</t>
  </si>
  <si>
    <t>2198</t>
  </si>
  <si>
    <t>429</t>
  </si>
  <si>
    <t>COMERCIAL PAPELERA DE VICTORIA, S.A. DE C.V.</t>
  </si>
  <si>
    <t>2111</t>
  </si>
  <si>
    <t>955</t>
  </si>
  <si>
    <t>INTEGRA DE VICTORIA, S.A. DE C.V.</t>
  </si>
  <si>
    <t>430</t>
  </si>
  <si>
    <t>112</t>
  </si>
  <si>
    <t>1919</t>
  </si>
  <si>
    <t>2450</t>
  </si>
  <si>
    <t>GASTOS DE OPERACION-MATERIAL DE IMPRESION</t>
  </si>
  <si>
    <t>1259</t>
  </si>
  <si>
    <t>GASTOS DE OPERACION-MATERIAL IMPRESO</t>
  </si>
  <si>
    <t>GASTOS DE OPERACION-MATERIAL DE LIMPIEZA</t>
  </si>
  <si>
    <t>54</t>
  </si>
  <si>
    <t>QUIMICA INDUSTRIAL MAYTER, S.A. DE C.V.</t>
  </si>
  <si>
    <t>959</t>
  </si>
  <si>
    <t>FERRETERIA EL CEDRO, S.A. DE C.V.</t>
  </si>
  <si>
    <t>434</t>
  </si>
  <si>
    <t xml:space="preserve">GASTOS DE OPERACION-PRODUCTOS ALIMENTICIOS </t>
  </si>
  <si>
    <t>HIELO Y AGUA DE VICTORIA, SA. DE C.V.</t>
  </si>
  <si>
    <t>GASTOS DE OPERACION-PRODUCTOS ALIMENTICIOS</t>
  </si>
  <si>
    <t>ARREDONDO ARGUELLES AMERICO</t>
  </si>
  <si>
    <t xml:space="preserve">GASTOS DE OPERACION-REFACCIONES Y ACCESORIOS </t>
  </si>
  <si>
    <t>431</t>
  </si>
  <si>
    <t>956</t>
  </si>
  <si>
    <t xml:space="preserve">GASTOS DE OPERACION-OTROS MATERIALES Y ARTICULOS </t>
  </si>
  <si>
    <t>1452</t>
  </si>
  <si>
    <t>2293</t>
  </si>
  <si>
    <t>1000</t>
  </si>
  <si>
    <t>556</t>
  </si>
  <si>
    <t>COMERCIALIZADORA Y SERVICIOS GRANA, S.A. DE C.V.</t>
  </si>
  <si>
    <t>1061</t>
  </si>
  <si>
    <t>MIROSLAVA CRUZ GARCIA</t>
  </si>
  <si>
    <t>966</t>
  </si>
  <si>
    <t>GASTOS DE OPERACION-ARTICULOS DEPORTIVOS</t>
  </si>
  <si>
    <t>776</t>
  </si>
  <si>
    <t>111</t>
  </si>
  <si>
    <t>GASTOS DE OPERACION-REFACCIONES Y ACCESORIOS MENOR</t>
  </si>
  <si>
    <t>432</t>
  </si>
  <si>
    <t>1262</t>
  </si>
  <si>
    <t>CENTRO LLANTERO GARZA, S.A. DE C.V.</t>
  </si>
  <si>
    <t>MARIA DE JESUS ZAPATA ESTRELLA</t>
  </si>
  <si>
    <t>1254</t>
  </si>
  <si>
    <t>1256</t>
  </si>
  <si>
    <t>1196</t>
  </si>
  <si>
    <t>960</t>
  </si>
  <si>
    <t>HIGUERA TERAN BELINDA</t>
  </si>
  <si>
    <t>DE LA GARZA MONTOTO LAURA GRACIELA</t>
  </si>
  <si>
    <t>INMOBILIARIA BOSQUES LOS ENCINOS, S.A. DE C.V</t>
  </si>
  <si>
    <t>GASTOS DE OPERACION-OTROS ARRENDAMIENTOS</t>
  </si>
  <si>
    <t>JUAN CARLOS GONZALEZ ALANIS</t>
  </si>
  <si>
    <t>969</t>
  </si>
  <si>
    <t>1419</t>
  </si>
  <si>
    <t>ISOLDA MA. DE JESUS MENDIOLA ARELLANO</t>
  </si>
  <si>
    <t>775</t>
  </si>
  <si>
    <t>0000872</t>
  </si>
  <si>
    <t>970</t>
  </si>
  <si>
    <t>557</t>
  </si>
  <si>
    <t>719</t>
  </si>
  <si>
    <t>723</t>
  </si>
  <si>
    <t>COMPAÑIA MEXICANA DE TRASLADO DE VALORES,S.A.</t>
  </si>
  <si>
    <t>ASHANTI BERENICE CAMACHO VAZQUEZ</t>
  </si>
  <si>
    <t>RAUL GREGORIO MARTINEZ GUZMAN</t>
  </si>
  <si>
    <t>2181</t>
  </si>
  <si>
    <t>863</t>
  </si>
  <si>
    <t>MARIA DEL CARMEN MONTOYA REYES</t>
  </si>
  <si>
    <t>GASTOS DE OPERACION-REPARACION Y MATTO</t>
  </si>
  <si>
    <t>862</t>
  </si>
  <si>
    <t>GASTOS DE OPERACION-REPARACION Y MTTO EQ. TRANSPOR</t>
  </si>
  <si>
    <t>2074</t>
  </si>
  <si>
    <t>778</t>
  </si>
  <si>
    <t>CARDCAS, S.A. DE C.V.</t>
  </si>
  <si>
    <t>437</t>
  </si>
  <si>
    <t>438</t>
  </si>
  <si>
    <t>156</t>
  </si>
  <si>
    <t>441</t>
  </si>
  <si>
    <t>440</t>
  </si>
  <si>
    <t>522</t>
  </si>
  <si>
    <t>421</t>
  </si>
  <si>
    <t>439</t>
  </si>
  <si>
    <t>TALLER VISUAL S.A. DE C.V.</t>
  </si>
  <si>
    <t>435</t>
  </si>
  <si>
    <t>523</t>
  </si>
  <si>
    <t>524</t>
  </si>
  <si>
    <t>0000022</t>
  </si>
  <si>
    <t>1049</t>
  </si>
  <si>
    <t>SANTA ENGRACIA TRAVEL, S.A.</t>
  </si>
  <si>
    <t>509</t>
  </si>
  <si>
    <t>GASTOS DE OPERACION-VIATICOS EN EL PAIS</t>
  </si>
  <si>
    <t>2112</t>
  </si>
  <si>
    <t>RODILLOS PARA SCANNER HP WORKFORECE DS 7500</t>
  </si>
  <si>
    <t>781</t>
  </si>
  <si>
    <t>CAMIONETA NP 300 DOBLE CABINA SA TM AC PS 2017</t>
  </si>
  <si>
    <t>CAMIONETA NP 300 DOBLE CABINA TM AC PS 2017</t>
  </si>
  <si>
    <t xml:space="preserve">LICENCIAS, PERMISOS Y AUTORIZACIONES DE ANUNCIOS </t>
  </si>
  <si>
    <t>SERVICIOS DE LIMPIEZA, RECOLECCIÓN Y RECEPCIÓN DE DESECHOS</t>
  </si>
  <si>
    <t>FONDO DE INFRAESTRUCTURA SOCIAL 2015</t>
  </si>
  <si>
    <t>FONDO DE INFRAESTRUCTURA SOCIAL 2016</t>
  </si>
  <si>
    <t>FORTALECIMIENTO FINANCIERO 4-2016</t>
  </si>
  <si>
    <t>FONDO DE INFRAESTRUCTURA SOCIAL 2017</t>
  </si>
  <si>
    <t>FORTALECIMIENTO FINANCIERO 4-2017</t>
  </si>
  <si>
    <t>FORTALECE 2017 RAMO 23 (FEDERAL)</t>
  </si>
  <si>
    <t>FORTALECIMIENTO FINANCIERO 2017</t>
  </si>
  <si>
    <t>FORTALECIMIENTO FINANCIERO 3 2017</t>
  </si>
  <si>
    <t>FEBRERO DE 2017</t>
  </si>
  <si>
    <t>MARZO DE 2017</t>
  </si>
  <si>
    <t>ABRIL DE 2017</t>
  </si>
  <si>
    <t>MAYO DE 2017</t>
  </si>
  <si>
    <t>JUNIO DE 2017</t>
  </si>
  <si>
    <t>JULIO DE 2017</t>
  </si>
  <si>
    <t>AGOSTO DE 2017</t>
  </si>
  <si>
    <t>SEPTIEMBRE DE 2017</t>
  </si>
  <si>
    <t>OCTUBRE DE 2017</t>
  </si>
  <si>
    <t>NOVIEMBRE DE 2017</t>
  </si>
  <si>
    <t>DICIEMBRE DE 2017</t>
  </si>
  <si>
    <t>RADIO DE DOS VIAS SEGÚN MUESTRA PARA UTILIZARSE EN AVENIDAS Y EVENTOS</t>
  </si>
  <si>
    <t>IMPRESORA LASER SAMSUNG SL-C480W/WIRELESS, 2400 X 600 DPI, LASER, 18 PPM, 20000 PAGINAS POR MES (SL-C480W/XAX)</t>
  </si>
  <si>
    <t>IMPRESORA HP COLOR LASER JET PRO M252dw (B4A22A)</t>
  </si>
  <si>
    <t>AMPLIFICADOR PARA PERIFONEO SA450EUSB/AV1126V</t>
  </si>
  <si>
    <t>MESA PLEGABLE DE 1.82 MTS RECTANGULAR</t>
  </si>
  <si>
    <t>ENGARGOLADOR PERFEX  MORSA P/METAL 3:12:1 P/ TODOS LOS MEDIDAS DE ARILLOS METALICOS</t>
  </si>
  <si>
    <t>COMPUTADORA INTEGRA CORE PROCESADOR INTEL CORE i3 SOCKET TARJETA MADRE ASUS KIT DE TECLADO Y MOUSE TRUE BASIC ALAMBRICO</t>
  </si>
  <si>
    <t>COMPUTADORA DE ESCRITORIO PROCE CI3-4150 3MB 4GB. MONI. 15" TECLADO Y MOUSE</t>
  </si>
  <si>
    <t xml:space="preserve">COMPUTADORA DE ESCRITORIO  C13-4150 3MB 4GB, MONITOR 15" TECLADO Y MOUSE </t>
  </si>
  <si>
    <t>ACER LAPTOP ES1 C97W DE 15.6" INTEL CELERON N3350 DUAL CORE 2.0 GHz MEMORIA 4GB DISCO DURO 500GB</t>
  </si>
  <si>
    <t>IMPRESORA LASER XEROX PHACER 3330_ DNI 42ppm MONOCROMATICA USB 2.0 ETHERNET  WiFi BLANCO AZUL (MODELO 3331_DNI)</t>
  </si>
  <si>
    <t>COMPUTADORA INTEGRA  CORE PROCESADOR INTEL CORE I3 SOCKET 1150 3.5 GHz TARJETA MADRE ASUS H81 MD R2O PUERTO PARALELO VGA USB RED GABINETE ATX COLOR NEGRO DISCO DURO DE 500  GBS</t>
  </si>
  <si>
    <t>MULTIFUNCIONAL EPSON ECO TANK L220, IMPRESORA COPIADORA Y ESCANER CON SISTEMASDE TANQUES DE TINTA</t>
  </si>
  <si>
    <t xml:space="preserve">CAJON DE DINERO PARA PUNTO DE VENTA EC LINE EC-CD-100M GREY </t>
  </si>
  <si>
    <t>PROYECTOR EPSON HOME CINEMA 730HD 3000 LUMENES 720P HDMI 3LCD HD</t>
  </si>
  <si>
    <t>CAMIONETA TIPO ESTACAS 2017 4 CIL. 2.5 LITROS 16 VALVULAS UTILIZADO EN PARQUES Y JARDINES</t>
  </si>
  <si>
    <t>CAMIONETA CHASIS CABINA MODELO 2017 4 CILINDROS 2.5 LTS 16 VALVULAS</t>
  </si>
  <si>
    <t>TELEFONO DIGITAL ALCATEL MODELO 4019 N/SERIE FCN1516710561</t>
  </si>
  <si>
    <t>TALADRO ROTOMARTILLO 1/2 PULGADA INDUSTRIAL TRUPER</t>
  </si>
  <si>
    <t xml:space="preserve">DESBROZADORA STIHL FS 450 CON AUTO/CUT CON CUCHILLA 3 ASPAS Y NYLON </t>
  </si>
  <si>
    <t>SOPLADORA DE 2 MANOS BG 86 27.2CM 4.5 KG</t>
  </si>
  <si>
    <t>SOPLADORA DE 2 MANOS BR 600 64.8 CM3 9.8 KG</t>
  </si>
  <si>
    <t>TRACTOR JARDINERO JOHN DEERE MODELO D170MOTOR DE 25 H.P. EQUIPADO CON SEGADORA DE 54" TRACCION SENCILLA TRANSMISION HIDROSTATICA DOS PEDALES AJUSTE DE ALTURA DE CORTE ACCIONAMIENTO UNIDAD DE CORTE ELECTRICA A LA ALTURA DE CORTE 25.4 A 102 MM ASIENTO CON AJUSTE LUMBAR RADIO DE GIRO 45 CM RUEDA DE DIRECCION DISEÑO CONFORT CONTROL DE VELOCIDAD CONTADOR DE HORAS DEFENSA , TANQUE DE COMBUSTIBLE DE 15.1 LTS SISTEMA ELECTRICO DEL 12 VOLTS.</t>
  </si>
  <si>
    <t>CARRO DE FIERRO PARA TAMBO DE 200LTS UTILIZADO EN CAMPAMENTO MUNICIPAL</t>
  </si>
  <si>
    <t>MODULO EJECUTIVO DE 1.80 INCLUYE PENINSULA DE 2.20 X .60 M CON LATERAL DE 1 X .50 M C CREDENZA DE 1.8 X .50 M CON UN PEDESTAL DE 2 CAJONES PAPELEROS Y UN CAJON DE AERCHIVO, CON LIBRERO DE SOBREPONER ALA CREDENZA CON MEDIDA DE 1.80 M X 1.10M DE ALTURA CON 4 PUERTAS TIPO COCINA Y ESPACIO ABAJO PARA ACCESORIOS, FABRICADO EN MELAMINA DE ALTA RESISTENCIA CON CANTOS DE PVC TERMOFUSIONADO (VULCANIZADO) A 28MM  DE ESPESOR.</t>
  </si>
  <si>
    <t>SILLON EJECUTIVO, RESPALDO ALTO MODELO E 6651 TAPIZADO EN TELA O VINIPIEL CON BRAZOS Y BASE DE NYLON DE CINCO PUNTAS CON ROSAJAS.</t>
  </si>
  <si>
    <t>SILLA  DE VISITA MODELO EURO CON ASIENTO Y RESPALDO TAPIZADO EN TELA NACIONAL CON ESTRUCTURA METALICA PINTADA SIN BRAZOS</t>
  </si>
  <si>
    <t>MUEBLE MULTIUSOS CON MEDIDA DE .80 M DE FRENTE .40 DE FONDO X .75M DE ALTURA CON ENTREPAÑO EN MEDIO Y PUERTAS ABATIBLES CON CHAPA Y LLAVES, FABRICADO EN MELAMINA DE ALTA RESISTENCIA CON CANTOS DE PVC TERMOFUSIONADO (VULCANIZADO) A 28 MM DE ESPESOR.</t>
  </si>
  <si>
    <t>MODULO SECRETARIAL OFI JUNIOR CON PENINSULA DE 1.45 X .60M CON LATERAL DE .90 X .50M CON UN PEDESTAL CON 2 CAJONES PEPELEROS Y UN CAJON DE ARCHIVO, FABRICADO EN MELAMINA DE ALTA RESISTENCIA CON CANTOS DE PVC TERMOFUSIONADO (VULCANIZADO) A 28MM  DE ESPESOR.</t>
  </si>
  <si>
    <t>SILLA SECRETARIAL MODELO WALTHER CON ASIENTO Y RESPALDO TAPIZADO EN TELA NACIONAL, CON BASE DE NYLON DE CINCO PUNTAS CON RODAJAS, SIN BRAZOS.</t>
  </si>
  <si>
    <t>MODULO PARA DOS PERSONAS GENERALES DE 2.08M X .60M DE ALTURA FABRICADA EN MELAMINA DE ALTA RESISTENCIA, CON CANTOS DE PVC TERMOFUSIONADO (VULCANIZADO) A 28MM  DE ESPESOR, INCLUYE 2 CUBIERTAS DE 1.00 X .60M CON 3 MAMPARAS DE .60N X 1.20M DE ALTURA, NO INCLUYE CAJONERAS</t>
  </si>
  <si>
    <t>MODULO DE RECEPCION RECTA CON MEDIDA DE .99M DE FRENTE X .60 M DE ALTURA FABRICADO EN MELAMINA, DE ALTA RESISTENCIA NO INCLUYE CAJONERA.</t>
  </si>
  <si>
    <t>CREDENZA DE 2.00 X .50 CON 2 PEDESTALES A LAS ORILLAS Y PUERTAS AL CENTRO CON UN ENTREPAÑO EN MEDIO, FABRICADO EN MELAMINA DE ALTA RESISTENCIA CON CANTOS DE PVC TERMOFUSIONADO (VULCANIZADO) A 28MM  DE ESPESOR, CON CHAPA Y JALADERAS</t>
  </si>
  <si>
    <t>MODULO EJECUTIVOC/MED. DE 2.20M INCLUYE  PENINSULA DE 2.20 X .60M C/PEDESTAL DE 1.00X .50 M C/CREDENZA D 2.20X .50 M CON PED. C/2 CAJONES  PAP 1 DE ARCHIVO, CON LIBRERO DE SOBREPONER A LA CREDENZA CON MEDIDA DE 2.20M X 1.10M DE ALTURA CON 4 PUERTAS TIPO COCINA Y ESPACIO ABAJO PARA ACCESORIOS, FABRICADO EN MELAMINA DE ALTA RESISTENCIA CON CANTOS DE PVC TERMOFUSIONADO (VULCANIZADO) A 28MM DE ESPESOR .</t>
  </si>
  <si>
    <t>SILLON EJECUTIVO MODELO E-6051 TAPIZADO EN PIEL CON BRAZOS Y BASE DE NYLON DE CINCO PUNTAS CON RODAJAS.</t>
  </si>
  <si>
    <t>SILLON SEMIEJECUTIVO MODELO E-6053  RESPALDO BAJO TAPIZADO EN PIEL CON BASE DE TRINEO PINTADO.</t>
  </si>
  <si>
    <t>CREDENZADE 2.00X.50M CON 2 PEDESTALES A LAS ORILLAS Y PUERTAS AL CENTRO C/ ENTREPAÑO EN MEDIO, FABRICADO EN MELAMINA DE ALTA RESISTENCIA.</t>
  </si>
  <si>
    <t>SOFA DE UNA PLAZA MODELO E-50100 TAPIZADO EN PIEL CON PATAS METALICAS</t>
  </si>
  <si>
    <t>MESA PARA SALA DE JUNTAS DE 1.20  DE DIAMETRO FABRICADA EN CHAPA DE MADERA CON CANTOS AL GUSTO.</t>
  </si>
  <si>
    <t>MODULO EJECUTIVO DE 1.60 M ILC. PENINSULA DE 1.60 X .60M CON LATERAL DE .80 X .50 CREDENZA DE 1.60 X .50 CON UN PEDESTAL CON DOS CAJONES PAPELEROS Y 1 CAJON DE ARCHIVO, CON LIBRERO DE SOBREPONER ALA CREDENZA CON MEDIDA DE 1.60M X 1.10M DE ALTURA CON 4 PUERTAS TIPO COCINA Y ESPACIO ABAJO PARA ACCESORIOS, FABRICADO EN MELAMINA DE ALTA RESISTENCIA CON CANTOS DE PVC  TERMOFUSIONADO (VULCANIZADO) A 28MM DE ESPESOR .</t>
  </si>
  <si>
    <t xml:space="preserve">ARCHIVERO VERTICAL DE 4 GAVETAS FABRICADO EN MELAMINA DE ALTA RESISTENCIA CON CHAPA Y LLAVES </t>
  </si>
  <si>
    <t>MODULO PARA 3 PERSONAS CON MEDIDAS GENERALES DE 3.02 M X .60M X 1.20M DE ALTURA , FABRICADO EN MELAMINA DE ALTA RESISTENCIA CON CANTOS DE PVC TERMOFUSIONADO (VULCANIZADO) A 28MM DE ESPESOR, INCLUYE 3 CUBIERTAS DE .99 X .60 M CON 2 MAMPARAS DE .60M X 1.20 M DE ALTURA NO INCLUYE CAJONERA</t>
  </si>
  <si>
    <t>SILLA SECRETARIAL MODELO WALTHER CON ASIENTO Y RESPALDO TAPIZADO EN TELA NACIONAL CON BASE DE NYLON DE CINCO PUNTAS CON RODAJAS, SIN BRAZOS.</t>
  </si>
  <si>
    <t>MODULO SECRETARIAL OFIJUNIOR CON PENINSULA DE 1.45 X .60M CON LATERAL DE .90 X .50 M CON UN PEDESTAL DE 2 CAJONES PAPELEROS 1 DE ARCHIVO, FABRICADO EN MELAMINA DE ALTA RESISTENCIA CON CANTOS DE PVC TERMOFUSIONADO (VULCANIZADO) A 28MM DE ESPESOR .</t>
  </si>
  <si>
    <t>SILLA SECRETARIAL MODELO WALHTER CON ASIENTO Y RESPALDO TAPIZADO EN TELA NACIONAL CON BASE DE NYLON DE CINCO PUNTAS CON RODAJAS, SIN BRAZOS.</t>
  </si>
  <si>
    <t>MUEBLE MULTIUSOS CON MEDIDA DE .80M X .40M, DE FRENTE X .40 M DE FONDO X .75 M DE ALTURA CON UN ENTREPAÑO EN MEDIO Y PUERTAS ABATIBLES CON CHAPA Y LLAVES FABRICADO EN MELAMINA DE ALTA RESISTENCIA CON CANTOS DE PVC TERMOFUSIONADO (VULCANIZADO) A 28MM DE ESPESOR .</t>
  </si>
  <si>
    <t>LIBRERO MODELO LV 500 CON PUERTAS CERRADO FABRICADO EN MELAMINA DE ALTA RESISTENCIA CON CANTOS DE PVC TERMOFUSIONADO (VULCANIZADO) A 28MM DE ESPESOR .</t>
  </si>
  <si>
    <t>RECEPCION SEMICURVA CON MEDIDA DE 3.00 X 1.15M CON 2 PEDESTALES 2 CAJONES CON CHAPA Y LLAVES DE MELAMINA DE ALTA RESISTENCIA CON CANTOS DE PVC TERMOFUSIONADO (VULCANIZADO) A 28MM  DE ESPESOR.</t>
  </si>
  <si>
    <t>MESA PARA COMEDOR CON MEDIDA DE 1.60 X 1.00 M CON CUBIERTA DE FORMICA Y PATAS METALICAS.</t>
  </si>
  <si>
    <t>MESA DE TRABAJO DE 1.20 X .60 M FABRICADO EN MELAMINA DE ALTA RESISTENCIA CON CANTOS DE PVC  TERMOFUSIONADO (VULCANIZADO) A 1 28MM DE ESPESOR .</t>
  </si>
  <si>
    <t>ESCRITORIO 1.20 X .60 CON PEDESTAL CON 2 CAJONES PAPELEROS Y UNO DE ARCHIVO FABRICADO EN MELAMINA DE ALTA RESISTENCIA CON CANTOS DE PVC  TERMOFUSIONADO (VULCANIZADO) A 28MM DE ESPESOR .</t>
  </si>
  <si>
    <t>MODULO SECRETARIAL OFIJUNIOR CON PENINSULA DE 1.45 X .60M, CON LATERAL DE .90X .50 M CON UN PEDESTAL DE 2 CAJONES PAPELEROS Y 1 CAJON DE ARCHIVO, FABRICADO EN MELAMINA DE ALTA RESISTENCIA CON CANTOS DE PVC  TERMOFUSIONADO (VULCANIZADO) A 28MM DE ESPESOR .</t>
  </si>
  <si>
    <t>MESA DE TRABAJO DE 1.60 X 1.00 M CON CUBIERTA DE FORMICA Y PATAS METALICAS</t>
  </si>
  <si>
    <t>ESCRITORIO SECRETARIAL DE 1.20 X .60 CON UN PEDESTAL CON DOS CAJONES PAPELEROS Y UN CAJON DE ARCHIVO CON CHAPA Y JUEGO DE LLAVES EN MELAMINA COLOR WENGUE</t>
  </si>
  <si>
    <t>SILLA SECRETARIAL MOD. WALTHER CON ASIENTO Y RESPALDO TAPIZADO EN TELA COLOR NEGRO SIN BRAZOS Y ESTRELLA DE CINCO PUNTAS CON RODAJAS</t>
  </si>
  <si>
    <t>ARCHIVERO VERTICAL DE CUATRO GAVETAS CON CHAPA Y JUEGO DE LLAVES FABRICADO EN MELAMINA COLOR WENGUE CON PVC WENGUE.</t>
  </si>
  <si>
    <t>ARCHIVERO METALICO DE 4 GAVETAS EN COLOR ARENA CON CAJONES CHAPA Y JUEGO DE LLAVES</t>
  </si>
  <si>
    <t>ENGARGOLADOR PERFEX MORSA P/METAL 3:12:1 P/TODOS LAS MEDIDAS DE ARILLOS METALICOS HASTA 1 1/4" 290 HOJAS</t>
  </si>
  <si>
    <t>IMPRESORA HP OFFICEJET 7110 WIDE FORMAT EPRINTER H812A</t>
  </si>
  <si>
    <t>COMPUTADORA DE ESCRITORIO LENOVO IDEA CENTRE AIO 300-22ACL, BLANCA PROCESADOR AMD A6-7310 2.0G R4, MEMORIA DE 4GB DDR3, DISCO DURO 1TB, HD 7200 RPM 3.5 SATA 3}</t>
  </si>
  <si>
    <t>RELOJ CHECADOR ROYAL TC100 (INCLUYE 50 TARJETAS) UTILIZA ENTINTADOR IR-40T</t>
  </si>
  <si>
    <t>DISCO DURO EXTERNO SEAGATE 2TBS, USB (STDR2000102)</t>
  </si>
  <si>
    <t>VENTILADOR DE PESDESTAL GIRATORIO</t>
  </si>
  <si>
    <t>SPTO LIGHT PORTATIL DE CANDELAS PARA ALUMBRADO PUBLICO</t>
  </si>
  <si>
    <t xml:space="preserve">TRITURADORA 60CS FELLOWES CAP 10 HOJAS CORTE CRUZADO, CLIPS GRAPAS, TARJETAS DE CREDCAP, DEPOSITO 22 LITROS </t>
  </si>
  <si>
    <t>MESA DE EXPLORACION FUTURA TORRES</t>
  </si>
  <si>
    <t>ESTUCHE DIAGNOSTICO</t>
  </si>
  <si>
    <t>NO BREAK SMARBITT 90VA, 8 CONTACTOS</t>
  </si>
  <si>
    <t>TINACO ROTOPLAS CAPACIDAD 750 LITROS</t>
  </si>
  <si>
    <t>TINACO ROTOPLAS CAPACIDAD 1100 LITROS</t>
  </si>
  <si>
    <t>SILLA SECRETARIAL MOD. WALTHER CON BRAZOS ASIENTO Y RESPALDO TAPIZADO EN TELA CON BASE NYLON DE CINCO PUNTAS CON RODAJAS</t>
  </si>
  <si>
    <t>IMPRESORA LASER A COLOR LEXMARK CS310dn RESOLUCION  HASTA 2400 X 600</t>
  </si>
  <si>
    <t>TRITURADORADORA DE PAPEL POWER SHRED 10MC</t>
  </si>
  <si>
    <t>UNIDAD MOVIL MEDICO DENTAL MEDIDAS INTERIORES LARGO 6.00MTS SOLO CAJA, ANCHO 2.40 MTS, ALTO 2.30 MTS.</t>
  </si>
  <si>
    <t>TRANSFORMADOR TRIFASICO 112.5 KVA  13.2 KV 127/220V MARCA CONTINENTAL</t>
  </si>
  <si>
    <t>BOMBA SUPER PUM 1 HP 115/230 SP2607X10</t>
  </si>
  <si>
    <t>BOMBA SUPER PUM 2 HP 230V SP2615X20</t>
  </si>
  <si>
    <t>EQUIPO ENGARGOLADORA P/ARILLO METALICO GBC 2003</t>
  </si>
  <si>
    <t>ESCRITORIO SECRETARIAL</t>
  </si>
  <si>
    <t>PERSIANA ENROLLABLE CON GALERIA PVC</t>
  </si>
  <si>
    <t>ROUTER LINKSYS/DUALBAND AC 1200</t>
  </si>
  <si>
    <t>COMPUTADORA DE ESCRITORIO PROTEUS PROCESADOR INTEL 13 MEMORIA RAM 4GB, DD 500GB, MONITOR 19.50, KIT DE TECLADO  MOUSE Y BOCINAS</t>
  </si>
  <si>
    <t>ASPIRADOR MANUAL</t>
  </si>
  <si>
    <t>CARROCERIA REFORZADA CAMIONETA NISSAN</t>
  </si>
  <si>
    <t>SUBESTACION ELECTRICA FRAC NACIONES UNIDAS</t>
  </si>
  <si>
    <t>ESCALERA DE EXTENCION ALUMINIO 28 ES, ESE-28 TIPO III TRUPER</t>
  </si>
  <si>
    <t>CORTADORA DE METAL MAKITA</t>
  </si>
  <si>
    <t>AMOLADORA ANGULAR, 2400W (6500 RPM) 06018A40G1</t>
  </si>
  <si>
    <t>MAQUINA PINTARRAYAS P1 LINELAZER 130HS ESTÁNDAR 2 PISTOLAS MANUALES MAX TIP S IZE 029 1.30 MAX GPM 3300 MAX PSI 120 cc /4.0 HP HONDA GX E NGINE</t>
  </si>
  <si>
    <t>SILLAS SECRETARIAL MOD. WALTHER CON ASIENTO Y RESPALDO TAPIZADO EN TELA COLOR NEGRO CON BRAZOS Y ESTRELLA DE CINCO PUNTAS CON RODAJAS</t>
  </si>
  <si>
    <t>VENTILADOR MAN 18" PEDESTAL</t>
  </si>
  <si>
    <t>COMPUTADORAS DE ESCRITORIO PROTEUS PROCESADOR INTELI3, MEMORIA RAM 4GB, DD 500GB, MONITOR 20 BENQ, KIT DE TECLADO MOUSE Y BOCINAS</t>
  </si>
  <si>
    <t>DISCO DURO SATA 500 GB 7200 RPM</t>
  </si>
  <si>
    <t>LAPTOP DELL INSPIRON PANTALLA 15.6 PROCESADOR INTEL CORE 4 GB RAM DD 1TB</t>
  </si>
  <si>
    <t>COMPUTADORA DE ESCRITORIO PROTEUS PROCESADOR INTEL I3, MEMORIA RAM 4GB, DD 500GB, MONITOR BENQ KIT DE TECLADO MOUSE Y BOCINAS</t>
  </si>
  <si>
    <t xml:space="preserve">SONOMETRO </t>
  </si>
  <si>
    <t xml:space="preserve">CAMIONETA DOBLE CABINA S TM AC PS 4 CILINDROS 2.5 LTS MOD. 2018 </t>
  </si>
  <si>
    <t>MINISPLIT SAMSUNG 2 T 220V MODELO: AR24MCFRBWK/AX SERIE B7W5PDJ200363</t>
  </si>
  <si>
    <t>MESA PARA SALA DE JUNTAS EN 4 PARTES CON MEDIDA TOTAL DE 4.00 X 1.50 X .75M DE ALTURA FABRICADO EN MELAMINA</t>
  </si>
  <si>
    <t>SILLA FIJA MODELO EURO PLUS SIN BRAZOS CON ASIENTO Y RESPALDO TAPIZADO EN TELA NACIONAL O VINIL DOLLARO COLOR A ELEGIR</t>
  </si>
  <si>
    <t xml:space="preserve">SILLA SECRETARIAL MODELO WALTHER CON BRAZOS, CON ASIENTO Y RESPALDO TAPIZADO EN TELA COLOR NEGRO CON BRAZOS </t>
  </si>
  <si>
    <t>COMPUTADORAS DE ESCRITORIO PROTEUS PROCESADOR INTEL I3, MEMORIA RAM 4 GB, DD 500GB, MONITOR  19.5"</t>
  </si>
  <si>
    <t>PATCH PANEL DE 24 CAT 5 PANDUIT</t>
  </si>
  <si>
    <t>SWITCH GIGABIT TP-LINK TL SG 10242D 24 PTS</t>
  </si>
  <si>
    <t>ROUTER INALAMBRICO TP-LINK 150N WR 74N</t>
  </si>
  <si>
    <t>LITERAS INDIVIDUALES PARA BOMBEROS</t>
  </si>
  <si>
    <t>IMPRESORA MULTIFUNCIONAL EPSON MOD L-380 ECOTANK</t>
  </si>
  <si>
    <t>PANTALLA 49" LG</t>
  </si>
  <si>
    <t>CAMIONETA ESTACAS MODELO 2018</t>
  </si>
  <si>
    <t>MOTOCICLETA HONDA MODELO CGL125</t>
  </si>
  <si>
    <t>MOTOSIERRA MCA STHILL MOD. MS780 CON BARRA Y CADENA 60" .404"</t>
  </si>
  <si>
    <t>APARATO GPS TOPOGRAFICO MAGELLAN EXPLORIST 310 DE PRECISION</t>
  </si>
  <si>
    <t xml:space="preserve">BOCINA MARCA SHOGUNMODELO :BTA215 OBS :DE 15" AMPLIFICADA </t>
  </si>
  <si>
    <t xml:space="preserve">BOCINA MARCA SHOGUNMODELO :BTA215 OBS :DE 15" AMPLIFICADA _x000D_
</t>
  </si>
  <si>
    <t>MICROFONO MARCA FUSSIONMODELO :MI-5913 OBS :INALAMBRICO, INCLUYE RECEPTOR DE SEÑAL (CAJA NEGRA)</t>
  </si>
  <si>
    <t>MICROFONO MARCA BEHRINGERMODELO :MX1800S OBS :</t>
  </si>
  <si>
    <t>MICROFONO MARCA SHOGUNMODELO :BTA215 OBS :</t>
  </si>
  <si>
    <t>TRIPIÉ PARA BOCINA MARCA SHOGUNMODELO :S-15 OBS :</t>
  </si>
  <si>
    <t>CAMIONETA DOBLE CABINA NP300 S TM AC PAQ. SEG 6 VEL. SERIE 3N64D33A3JK824595</t>
  </si>
  <si>
    <t>AMBULANCIA TIPO 1 TRASLADOS SOBRE UNIDAD TRANST CUSTOM 2016</t>
  </si>
  <si>
    <t>ASPERSORA FUMIGADORA ELECTRICA ELECTRICA 90 LITROS C/REMOLQUE ECOMAQMX</t>
  </si>
  <si>
    <t>AIRE ACONDICIONADO MINISPLIT 220V 2 TON</t>
  </si>
  <si>
    <t xml:space="preserve">SUBESTACION DE 7KVA ALIMENTADORA DE ALUMBRADO VIAL KM 10 A SLM </t>
  </si>
  <si>
    <t>ESTANTE GRIS METALICO 45X82X2.00 MTS 5 ENTREPAÑOS</t>
  </si>
  <si>
    <t>SILLA APILABLE MILANO NEGRA</t>
  </si>
  <si>
    <t>SILLA GERENTE PIEL 3 IMITACION</t>
  </si>
  <si>
    <t>ESCRITORIO L SCRAMBLER ROBLE</t>
  </si>
  <si>
    <t>IMPRESORA DE MATRIZ DE PUNTOS EPSON FX 890 DE CARRO ANGOSTO 9 AGUJAS HASTA 680 CPS, USB Y PARALELO (IEEE 1284) (C11C524121)</t>
  </si>
  <si>
    <t xml:space="preserve">MOTHER CON PROCESADOR CELERON MEMORIA RAM DDR3 2GB DISCO DURO BG SATA CPU TECLADO MOUSE MONITOR 15.4" </t>
  </si>
  <si>
    <t>DISCO DURO DE 2TB SATA III CACHE 64mb, 7200 rpm, (6.0GB/S)</t>
  </si>
  <si>
    <t>DISCO DURO EXTERNO 5TB</t>
  </si>
  <si>
    <t>MESA PARA TENIS DE MESA (PING PONG)</t>
  </si>
  <si>
    <t>COSTAL DE ENTRENAMIENTO PARA BOX EN LONA</t>
  </si>
  <si>
    <t>TRAJE PARA ABEJAS APICULTOR</t>
  </si>
  <si>
    <t>MULTIFUNCIONAL EPSON L395 TANK TINTA</t>
  </si>
  <si>
    <t>CAMIONETA SILVERADO CHEVROLET MOD 2014 (SAE)</t>
  </si>
  <si>
    <t>EQUIPO DE AIRE ACONDICIONADO TIPO MINI SPLIT DE 3 TON MARCA TRANE</t>
  </si>
  <si>
    <t>IMPRESORA HP OFFICEJET K8600</t>
  </si>
  <si>
    <t>IMPRESORA LASER C</t>
  </si>
  <si>
    <t>IMPRESORA HP LASERJET 2025DN</t>
  </si>
  <si>
    <t>ESCANER HP 5590 C/ALIMENTADOR AUT</t>
  </si>
  <si>
    <t>VAIO SERIE C</t>
  </si>
  <si>
    <t>DELL PRECISION T5500 WORKSTATION. QUAD CORE PROCESSOR E5506.2.13GHZ, 4M,4.8GT. 12GB DDR3 ECC SDRAM MEMORY, 1066MHZ, DUAL 512MB PCLE X16 NVIDIA QUADRO FX 580, 21.5TB SATA 3.0GB/S, 7200 RPM HARD DRIVE, WIN 7 PRO 64 BITS, MONITOR DELL 2310H</t>
  </si>
  <si>
    <t>DELL PRECISION T7500 WORKSTATION. QUAD CORE PROCESSOR X5560.2.8GHZ, 8M,6.4GT. 12GB DDR3 ECC SDRAM MEMORY, 1333MHZ, DUAL 512MB PCLE X16 NVIDIA QUADRO FX 580, 21.5TB SATA 3.0GB/S, 7200 RPM HARD DRIVE WITH 16M. WIN 7 PRO 64 B. DELL 22 INCH FLAT PANEL DISPLAY, E2210</t>
  </si>
  <si>
    <t>HP DESIGNJET T1120 PS 44" MY9571C015</t>
  </si>
  <si>
    <t>2 IBM UPS OFFICEPRO 700 AVR</t>
  </si>
  <si>
    <t>PANTALLA LCD MAGNAVOX HD DE 32"</t>
  </si>
  <si>
    <t>ESTRUCTURA MOVIL PARA EL SOPORTE DE MONITOR, BASE SOPORTE PARA LCD 20" A 35"</t>
  </si>
  <si>
    <t>ESCANER DE FORMATO AMPLIO A COLOR MARCA CONTEX MOD. SD4430</t>
  </si>
  <si>
    <t>RACK, SWITCH Y CONMUTADOR</t>
  </si>
  <si>
    <t>PANTALLA 2.44X2.44 ELÉCTRICA</t>
  </si>
  <si>
    <t>COMPUTADORA PAVILION SLIM LINE MODELO S5500LA, MONITOR PAVILION HP 2010; 20 PULGADAS LCD</t>
  </si>
  <si>
    <t>STAND CONTEX PARA ESCANERS SD</t>
  </si>
  <si>
    <t>CAMARA POWERSHOT A3100 RED 12.1MXP LC</t>
  </si>
  <si>
    <t>CAMARA POWERSHOT A3100 IS BLUE 12.1MXP LC NO SE REGISTRA PARA CUADRAR POR UN PESO EL VALOR DE LAS DOS</t>
  </si>
  <si>
    <t>DELL INSPIRON 580S-I3</t>
  </si>
  <si>
    <t>LAPTOP INSPIRON 15R</t>
  </si>
  <si>
    <t>Garmin Monterra: Recibe las apps Android de GooglePlay Cámara autofocus de 8 megapíxeles y video HD de1080p con geotagging De alta sensibilidad del receptorGPS / GLONASS para un mejor 2 3D MapMerge paramúltiples mapas en 3-D 4 "de doble orientación,, pantallade cristal legible bajo luz solar durable</t>
  </si>
  <si>
    <t>NO BREAK TRIPPLITE 1500VA : Típico tiempo de copiade seguridad al tiempo completo de carga 4 min Tiempode recarga de la batería 4 h Típico tiempo de copia deseguridad a mitad de tiempo de carga 8.5 minDimensiones (Ancho x Profundidad x Altura) 184 x 191 x298 mm Potencia de salida 940 W Capacidad depotencia de salida (VA) 1500 VA 8 Contactos,puerto usb</t>
  </si>
  <si>
    <t>D3L09A HP COLOR LASERJET ENTERPRISE M750DN PRINTER</t>
  </si>
  <si>
    <t>COMPUTADORA DELL OPTIPLEX 9020 NEC-C01, MONITOR DELL E2014H 19.5" LED HD VGA DVI</t>
  </si>
  <si>
    <t>COMPUTADORA DELL OPTIPLEX 9020 NEC-C01, MONITOR DELL E2215HV 21.5" 1920X1080 VGA</t>
  </si>
  <si>
    <t>COMPUTADORA DELL OPTIPLEX 9020 NEC-C01, MONITOR DELL P2414H 24 1920X10</t>
  </si>
  <si>
    <t>MONITOR DELL P2414H 24 1920X10</t>
  </si>
  <si>
    <t>DELL WORK STATION PRECISION T7910</t>
  </si>
  <si>
    <t>PROYECTOR BENQ MW526 3,200 LUME WXGA (1280X800), DLP</t>
  </si>
  <si>
    <t>2 DISCO DURO SATA 7.2 KRPM HDD 3.5 INCH EQUIPO PRECISION T5500</t>
  </si>
  <si>
    <t>4 MAMPARA 90X180 NEGRO TERM/BOL PREP/POLI</t>
  </si>
  <si>
    <t>MAMPARA 90X180 NEGRO TERM/BOLEADA</t>
  </si>
  <si>
    <t>MAMPARA 75X120 PARA POLIACRILICO, 5 VISTA TERMINAL MET 120X5 NEGRO</t>
  </si>
  <si>
    <t>POSTE METALICO 180X5 NEGRO TERM/BOL</t>
  </si>
  <si>
    <t>JUEGO DE MENSULAS P/CUBIERTA NEGRO, 8 JUEGO MENSULA P/LIBRERO MET NEGRO C/TUERC, 8 LIBRERO EMPOT 90X40 NEGRO PVC/NEG P/FLIP</t>
  </si>
  <si>
    <t>MODULO EJECUTIVO 180X90 NEGRO PVC/NEGRO QUE CONSTA DE PENINSULA, LATERAL, CREDENA C/2 CAJONES PAP Y 1 DE ARCHIVO Y LIB DE SOBREPONER C/4 PUERTAS TIPO COCINA C/ESPACIO ABAJO PARA ACCESORIOS</t>
  </si>
  <si>
    <t>LIBRERO LV-500 180X40X80 NEGRO CERRADO</t>
  </si>
  <si>
    <t>MESA DE JUNTAS 180X90 NEGRO PVC NEGRO TIPO PISTA DE CARRERAS</t>
  </si>
  <si>
    <t>ARCHIVERO AGAV HORIZ NEGRO PVC NEGRO</t>
  </si>
  <si>
    <t>MODULO OFIJUNIOR 145X90 NEGRO PVC/NEGRO</t>
  </si>
  <si>
    <t>LIBRERO SOB 140X40 NEGRO 4 PUE COC PVC N</t>
  </si>
  <si>
    <t>MESA TRAB 190X90X75 NEGRO C/RODAJ PVC/NE</t>
  </si>
  <si>
    <t>RECEPCION REC 180X60 NEGRO 1 PED PVC/NEG CON PATA METALICA TROQUELADA C/LATERAL DE 90X50 C/1 PEDESTAL C/2 CAJONES PAP Y 1 DE ARCHIVO</t>
  </si>
  <si>
    <t>CUBIERTA 120X60 MELAMINA NEGRA PVC NEGR, 5 CAJONERA 48X50 NEGRA PVC NEGRA 2P1A, 5 PORTA TECLADO 30X50 NEGRO</t>
  </si>
  <si>
    <t>SILLON E-6000 PIEL NEGRO</t>
  </si>
  <si>
    <t>SILLA EURO TELA CIRUELA ORLEANS ELIP-1"</t>
  </si>
  <si>
    <t>SILLA SEC TORINO TELA CIRUELA ORLEANS BR</t>
  </si>
  <si>
    <t>SILLA SEC TORINO TELA CIRUELA ORLEANS SB</t>
  </si>
  <si>
    <t>SOFA CENTURION 2 PLAZAS PIEL NEGRO</t>
  </si>
  <si>
    <t>PIZARRON ESCO BCO 240HX120V C/BASTIDOR</t>
  </si>
  <si>
    <t>3 ABANICO IND SEVILLA 54" C/LUZ</t>
  </si>
  <si>
    <t>FRIGOBAR WHIRLPOOL WS5501 D 5" SILVER</t>
  </si>
  <si>
    <t>ENFRIADOR P/AGUA WIRLPOOL WK5101U SILVE</t>
  </si>
  <si>
    <t>MUEBLE MULTIUSOS 100X50X75 NEGRO PVC/NEG CON UN ENTREPÑO EN MEDIO Y DOS PUERTAS ABATIBLES CON CHAPA Y JALADERAS</t>
  </si>
  <si>
    <t>ENCUADERNADORA DELFIN P/ARILLO METALICO</t>
  </si>
  <si>
    <t>2 SOPORTES, MEZCLADORA, 2 MICROFONOS, BOCINAS</t>
  </si>
  <si>
    <t>MESA PLEGABLE</t>
  </si>
  <si>
    <t>BANDERA DE MEXICO, DE .90 X 1.58 MTS., EN RASO SATINADO, DOBLE TELA, CON EL ESCUDO NACIONAL PINTADO AMBOS LADOS, PEDESTAL DE ALFOMBRA (BASE REDONDA), ASTA REGLAMENTARIA LATONADA</t>
  </si>
  <si>
    <t>REJOJ BIOMETRICO HUELLA 3K REG, 50K EVE, USB, RJ45</t>
  </si>
  <si>
    <t>CREDENZA 180X50 NEGRO PVC/NEG P-P-P</t>
  </si>
  <si>
    <t>IMPLANEAC101</t>
  </si>
  <si>
    <t>IMPLANEC100</t>
  </si>
  <si>
    <t>IMPLANEC101</t>
  </si>
  <si>
    <t>IMPLANEC102</t>
  </si>
  <si>
    <t>IMPLANEC103</t>
  </si>
  <si>
    <t>IMPLANEC104</t>
  </si>
  <si>
    <t>IMPLANEC105</t>
  </si>
  <si>
    <t>IMPLANEC106</t>
  </si>
  <si>
    <t>IMPLANEC107</t>
  </si>
  <si>
    <t>IMPLANEC108</t>
  </si>
  <si>
    <t>IMPLANEC109</t>
  </si>
  <si>
    <t>IMPLANEC110</t>
  </si>
  <si>
    <t>IMPLANEC112</t>
  </si>
  <si>
    <t>IMPLANEC114</t>
  </si>
  <si>
    <t>IMPLANEC115</t>
  </si>
  <si>
    <t>IMPLANEC116</t>
  </si>
  <si>
    <t>IMPLANEC117</t>
  </si>
  <si>
    <t>IMPLANEC119</t>
  </si>
  <si>
    <t>IMPLANEC120</t>
  </si>
  <si>
    <t>IMPLANEC121</t>
  </si>
  <si>
    <t>IMPLANEC122</t>
  </si>
  <si>
    <t>IMPLANEC124</t>
  </si>
  <si>
    <t>IMPLANEC125</t>
  </si>
  <si>
    <t>IMPLANEC126</t>
  </si>
  <si>
    <t>IMPLANEC127</t>
  </si>
  <si>
    <t>IMPLANEC128</t>
  </si>
  <si>
    <t>IMPLANEC129</t>
  </si>
  <si>
    <t>IMPLANEC130</t>
  </si>
  <si>
    <t>IMPLANEC131</t>
  </si>
  <si>
    <t>IMPLANEC132</t>
  </si>
  <si>
    <t>IMPLANEC133</t>
  </si>
  <si>
    <t>IMPLANEC134</t>
  </si>
  <si>
    <t>IMPLANEC135</t>
  </si>
  <si>
    <t>IMPLANEC136</t>
  </si>
  <si>
    <t>IMPLANEC137</t>
  </si>
  <si>
    <t>IMPLANEC138</t>
  </si>
  <si>
    <t>IMPLANEC139</t>
  </si>
  <si>
    <t>IMPLANEC140</t>
  </si>
  <si>
    <t>IMPLANEC141</t>
  </si>
  <si>
    <t>IMPLANEC142</t>
  </si>
  <si>
    <t>IMPLANEC143</t>
  </si>
  <si>
    <t>IMPLANEC144</t>
  </si>
  <si>
    <t>IMPLANEC145</t>
  </si>
  <si>
    <t>IMPLANEC146</t>
  </si>
  <si>
    <t>IMPLANEC147</t>
  </si>
  <si>
    <t>IMPLANEC148</t>
  </si>
  <si>
    <t>IMPLANEC149</t>
  </si>
  <si>
    <t>IMPLANEC150</t>
  </si>
  <si>
    <t>IMPLANEC151</t>
  </si>
  <si>
    <t>IMPLANEC152</t>
  </si>
  <si>
    <t>IMPLANEC153</t>
  </si>
  <si>
    <t>IMPLANEC154</t>
  </si>
  <si>
    <t>IMPLANEC155</t>
  </si>
  <si>
    <t>IMPLANME101</t>
  </si>
  <si>
    <t>IMPLANME102</t>
  </si>
  <si>
    <t>IMPLANME103</t>
  </si>
  <si>
    <t>IMPLANME104</t>
  </si>
  <si>
    <t>IMPLANME105</t>
  </si>
  <si>
    <t>IMPLANME106</t>
  </si>
  <si>
    <t>IMPLANME107</t>
  </si>
  <si>
    <t>IMPLANME108</t>
  </si>
  <si>
    <t>IMPLANME109</t>
  </si>
  <si>
    <t>IMPLANME110</t>
  </si>
  <si>
    <t>IMPLANME111</t>
  </si>
  <si>
    <t>IMPLANME112</t>
  </si>
  <si>
    <t>IMPLANME113</t>
  </si>
  <si>
    <t>IMPLANME114</t>
  </si>
  <si>
    <t>IMPLANME115</t>
  </si>
  <si>
    <t>IMPLANME116</t>
  </si>
  <si>
    <t>IMPLANME117</t>
  </si>
  <si>
    <t>IMPLANME118</t>
  </si>
  <si>
    <t>IMPLANME119</t>
  </si>
  <si>
    <t>IMPLANME120</t>
  </si>
  <si>
    <t>IMPLANME121</t>
  </si>
  <si>
    <t>IMPLANME122</t>
  </si>
  <si>
    <t>IMPLANME123</t>
  </si>
  <si>
    <t>IMPLANME124</t>
  </si>
  <si>
    <t>IMPLANME125</t>
  </si>
  <si>
    <t>IMPLANME126</t>
  </si>
  <si>
    <t>IMPLANME127</t>
  </si>
  <si>
    <t>IMPLANME128</t>
  </si>
  <si>
    <t>IMPLANME129</t>
  </si>
  <si>
    <t>IMPLANME130</t>
  </si>
  <si>
    <t>IMPLANME131</t>
  </si>
  <si>
    <t>IMPLANME132</t>
  </si>
  <si>
    <t>SN</t>
  </si>
  <si>
    <t>IBM UPS OFFICEPR</t>
  </si>
  <si>
    <t>SOPORTES, MEZCLADORA,MICROFONOS, BOCINAS</t>
  </si>
  <si>
    <t>ABANICO</t>
  </si>
  <si>
    <t>MAMPARA</t>
  </si>
  <si>
    <t>AMOLADORA ANGULAR</t>
  </si>
  <si>
    <t>AMPLIFICADOR PARA PERIFONEO</t>
  </si>
  <si>
    <t>APARATO GPS TOPOGRAFICO</t>
  </si>
  <si>
    <t>ASPERSORA FUMIGADORA ELECTRICA</t>
  </si>
  <si>
    <t>BAFLE AMPLIFICADO</t>
  </si>
  <si>
    <t>BANDERA DE MEXICO</t>
  </si>
  <si>
    <t>BOMBA SUPER PUM</t>
  </si>
  <si>
    <t>CAJON DE DINERO</t>
  </si>
  <si>
    <t>CAMIONETA</t>
  </si>
  <si>
    <t>CARRITOS MANUAL PARA BASURA</t>
  </si>
  <si>
    <t>CARRO DE FIERRO</t>
  </si>
  <si>
    <t>COMPUTADORA DE ESCRITORIO</t>
  </si>
  <si>
    <t>CONMUTADOR</t>
  </si>
  <si>
    <t>CORTADORA DE METAL</t>
  </si>
  <si>
    <t>COSTAL DE ENTRENAMIENTO</t>
  </si>
  <si>
    <t>CUBIERTA 120X60 MELAMINA</t>
  </si>
  <si>
    <t>IMPRESORA LASERJET</t>
  </si>
  <si>
    <t>ENFRIADOR P/AGUA</t>
  </si>
  <si>
    <t>ENGARGOLADOR</t>
  </si>
  <si>
    <t>EQUIPO DE COMPUTO-IMPRESORA</t>
  </si>
  <si>
    <t>ESCANER</t>
  </si>
  <si>
    <t>ESCRITORIO  SECRETARIAL</t>
  </si>
  <si>
    <t>ESTANTE GRIS METALICO</t>
  </si>
  <si>
    <t>ESTRUCTURA MOVIL PARA EL SOPORTE DE MONITOR</t>
  </si>
  <si>
    <t>FRIGOBAR</t>
  </si>
  <si>
    <t>GPS GARMIN MONTERRA</t>
  </si>
  <si>
    <t>HP DESIGNJET</t>
  </si>
  <si>
    <t>IMPRESORA DE MATRIZ DE PUNTOS</t>
  </si>
  <si>
    <t>JUEGO DE MENSULAS</t>
  </si>
  <si>
    <t>MAQUINA PINTARRAYAS</t>
  </si>
  <si>
    <t>MESA DE EXPLORACION</t>
  </si>
  <si>
    <t>MODULO OFIJUNIOR</t>
  </si>
  <si>
    <t>MODULO PARA 3 PERSONAS</t>
  </si>
  <si>
    <t>MODULO PARA DOS PERSONAS</t>
  </si>
  <si>
    <t>MONITOR DELL</t>
  </si>
  <si>
    <t>MOTHER CON PROCESADOR</t>
  </si>
  <si>
    <t>MUEBLE MULTIUSOS</t>
  </si>
  <si>
    <t>MULTIFUNCIONAL</t>
  </si>
  <si>
    <t>PATCH PANEL</t>
  </si>
  <si>
    <t>PERSIANA ENROLLABLE</t>
  </si>
  <si>
    <t>POSTE METALICO</t>
  </si>
  <si>
    <t>PROGRAMADOR PCU SEMAFORIZACION</t>
  </si>
  <si>
    <t>RADIO DE DOS VIAS</t>
  </si>
  <si>
    <t>RECEPCION</t>
  </si>
  <si>
    <t>REFELCTOR</t>
  </si>
  <si>
    <t>REJOJ BIOMETRICO</t>
  </si>
  <si>
    <t>RODILLO PARA SCANNER</t>
  </si>
  <si>
    <t>ROUTER INALAMBRICO</t>
  </si>
  <si>
    <t>SOPLADORA DE 2 MANOS</t>
  </si>
  <si>
    <t>SPTO LIGHT PORTATIL</t>
  </si>
  <si>
    <t>SUBESTACION DE 7KVA</t>
  </si>
  <si>
    <t>SUBESTACION ELECTRICA</t>
  </si>
  <si>
    <t>SWITCH GIGABIT</t>
  </si>
  <si>
    <t>TALADRO ROTOMARTILLO</t>
  </si>
  <si>
    <t>TRACTOR JARDINERO</t>
  </si>
  <si>
    <t>TRANSFORMADOR TRIFASICO</t>
  </si>
  <si>
    <t>TRIPIÉ PARA BOCINA</t>
  </si>
  <si>
    <t>TRITURADORA</t>
  </si>
  <si>
    <t>UNIDAD MOVIL MEDICO DENTAL</t>
  </si>
  <si>
    <t>VEHICULO RAM 4000</t>
  </si>
  <si>
    <t xml:space="preserve">PATRULLA 4 CIL, 2.0, 116 HP </t>
  </si>
  <si>
    <t>MOTOCICLETAS 4 TIEMPOS MONOCILINDRO 125CC UTILIZARSE EN EL DPTO. DE RECOLECCION DE BASURA</t>
  </si>
  <si>
    <t xml:space="preserve">MOTOSIERRA DE 18" Y 1 MOTOSIERRA DE 24" MS </t>
  </si>
  <si>
    <t>IMPRESORA XEROX PHASER 3330</t>
  </si>
  <si>
    <t>CAMION DE BOMBEROS PIERCE ARROW 84</t>
  </si>
  <si>
    <t>MOTOCICLETA 124.1 CC 4 TIEMPOS</t>
  </si>
  <si>
    <t>CONMUTADOR PANASONIC KX TEX 824</t>
  </si>
  <si>
    <t>CARRITO MANUAL PARA BASURA INCLUYE TAMBO METALICO</t>
  </si>
  <si>
    <t>REFELC ASTROLITE 500W120V15"</t>
  </si>
  <si>
    <t>IMPRESORA HP LASE JET P1006</t>
  </si>
  <si>
    <t>IMPRESORA PORTATILHP OFFICE JET</t>
  </si>
  <si>
    <t>BOCINA 6.5"ENT PARA USB</t>
  </si>
  <si>
    <t>CAMIONETA PICK UP 2018 TORNADO MOTOR 1.8 LTS</t>
  </si>
  <si>
    <t>AIRE MINISPLIT</t>
  </si>
  <si>
    <t>SILLA DE VISITAS</t>
  </si>
  <si>
    <t>1 CAMARA DIGITAL NIKON COOLPIX A 100, NEGRO 20.1 MEGAPIXELES</t>
  </si>
  <si>
    <t>Al 31 de Diciembre de 2018</t>
  </si>
  <si>
    <t>1.2.7</t>
  </si>
  <si>
    <t>1.2.7.1</t>
  </si>
  <si>
    <t>Estudios y Proyectos</t>
  </si>
  <si>
    <t>Del 01 al 31 de Diciembre de 2018</t>
  </si>
  <si>
    <t>VARIACION  DEL PERÍODO</t>
  </si>
  <si>
    <t>1.1.2.1</t>
  </si>
  <si>
    <t>Inversiones financieras de corto plazo</t>
  </si>
  <si>
    <t>1.1.2.2.</t>
  </si>
  <si>
    <t>Cuentas por cobrar a corto plazo</t>
  </si>
  <si>
    <t>Ingresos por recuperar a corto plazo</t>
  </si>
  <si>
    <t>1.1.2.5.</t>
  </si>
  <si>
    <t>Deudores por anticipos de la tesorería a corto plazo</t>
  </si>
  <si>
    <t>Préstamos otrogados a corto plazo</t>
  </si>
  <si>
    <t>Otros derechos a recibir efectivo o equivalentes a corto plazo</t>
  </si>
  <si>
    <t>Anticipo a proveedores por adq. de bienes intangibles a corto plazo</t>
  </si>
  <si>
    <t>1.1.3.4.</t>
  </si>
  <si>
    <t>Anticipo a contratistas por obras públicas a corto plazo</t>
  </si>
  <si>
    <t>1.1.3.9.</t>
  </si>
  <si>
    <t>Otros derechos a recibir bienes o servicios a corto plazo</t>
  </si>
  <si>
    <t>1.1.4.1.</t>
  </si>
  <si>
    <t>Inventario de mercancías para venta</t>
  </si>
  <si>
    <t>1.1.4.2.</t>
  </si>
  <si>
    <t>Inventario de mercancías terminadas</t>
  </si>
  <si>
    <t>1.1.4.3.</t>
  </si>
  <si>
    <t>Inventario de mercancías en proceso de elaboracion</t>
  </si>
  <si>
    <t>1.1.4.4.</t>
  </si>
  <si>
    <t xml:space="preserve">Inventario de materias primas, materiales y suministros para producción </t>
  </si>
  <si>
    <t>1.1.4.5.</t>
  </si>
  <si>
    <t>Bienes en transito</t>
  </si>
  <si>
    <t>1.1.5.1.</t>
  </si>
  <si>
    <t>Almacén de materiales y suministros de consumo</t>
  </si>
  <si>
    <t>1.1.6.1.</t>
  </si>
  <si>
    <t>Estimaciones para cuentas incobrables por derechos a recibir efectivo o equivalentes</t>
  </si>
  <si>
    <t>1.1.6.2.</t>
  </si>
  <si>
    <t>Estimaciones por deterioro de inventarios</t>
  </si>
  <si>
    <t>1.1.9.2</t>
  </si>
  <si>
    <t>Bienes en garantía(excluye depósitos en fondo)</t>
  </si>
  <si>
    <t>1.1.9.3</t>
  </si>
  <si>
    <t>Bienes derivados de embargos, decomisos, aseguramientos y dación en pago</t>
  </si>
  <si>
    <t>1.2.3.2.</t>
  </si>
  <si>
    <t>Viviendas</t>
  </si>
  <si>
    <t>1.2.3.4.</t>
  </si>
  <si>
    <t>Infraestructura</t>
  </si>
  <si>
    <t>1.2.3.6.</t>
  </si>
  <si>
    <t>Construcciones en proceso en bienes propios</t>
  </si>
  <si>
    <t>1.2.3.9.</t>
  </si>
  <si>
    <t>Otros bienes inmuebles</t>
  </si>
  <si>
    <t>1.2.4.5</t>
  </si>
  <si>
    <t>1.2.4.8</t>
  </si>
  <si>
    <t>1.2.4.9</t>
  </si>
  <si>
    <t>Otros Bienes Muebles</t>
  </si>
  <si>
    <t>1.2.5.9</t>
  </si>
  <si>
    <t>Otros activos intangibles</t>
  </si>
  <si>
    <t>1.2.6.2</t>
  </si>
  <si>
    <t>Depreciación Acum. de Infraestructura</t>
  </si>
  <si>
    <t>1.2.6.4</t>
  </si>
  <si>
    <t>Deterioro Acum. de Activos Biológicos</t>
  </si>
  <si>
    <t>Activo Diferido</t>
  </si>
  <si>
    <t>Del 01 de Enero al 31 de Diciembre 2018</t>
  </si>
  <si>
    <t>Del 01 de Enero al 31 de Diciembre de 2018</t>
  </si>
  <si>
    <t>Saldo Neto en la Hacienda Pública / Patrimonio 2018</t>
  </si>
  <si>
    <t>Cambios en la Hacienda Pública / Patrimonio Neto del Ejercicio</t>
  </si>
  <si>
    <t>Hacienda Pública / Patrimonio Neto del Ejercicio 2017</t>
  </si>
  <si>
    <t>ÓRGANOS DESCENTRALIZADOS Y AUTÓNOMOS</t>
  </si>
  <si>
    <t>DIRECCIÓN DE TRÁNSITO MUNICIPAL</t>
  </si>
  <si>
    <t>DIRECCIÓN DE PRODUCTIVIDAD RURAL</t>
  </si>
  <si>
    <t>DIRECCIÓN DE DESARROLLO ECONÓMICO Y TURISMO</t>
  </si>
  <si>
    <t>DIRECCIÓN DE DEPORTES</t>
  </si>
  <si>
    <t>DIRECCIÓN DE CULTURA Y LAS ARTES</t>
  </si>
  <si>
    <t>DIRECCION DE EDUCACION Y JUVENTUD</t>
  </si>
  <si>
    <t>DIRECCIÓN DE DESARROLLO SOCIAL</t>
  </si>
  <si>
    <t>DIRECCIÓN DE PARTICIPACIÓN CIUDADANA</t>
  </si>
  <si>
    <t>DIRECCIÓN DE COMUNICACIÓN SOCIAL</t>
  </si>
  <si>
    <t>DIRECCIÓN DE CONSERVACIÓN DE ESPACIOS PÚBLICOS</t>
  </si>
  <si>
    <t>DIRECCIÓN DE LIMPIEZA PÚBLICA</t>
  </si>
  <si>
    <t>DIRECCIÓN DE DESARROLLO URBANO, MEDIO AMBIENTE Y TRANSPORTE</t>
  </si>
  <si>
    <t>DIRECCIÓN DE OBRAS PÚBLICAS</t>
  </si>
  <si>
    <t>DIRECCIÓN DE GOBIERNO</t>
  </si>
  <si>
    <t>SECRETARÍA DEL AYUNTAMIENTO</t>
  </si>
  <si>
    <t>DIRECCIÓN DE ADMINISTRACIÓN</t>
  </si>
  <si>
    <t>TESORERÍA MUNICIPAL</t>
  </si>
  <si>
    <t>SECRETARÍA TÉCNICA</t>
  </si>
  <si>
    <t>DIRECCIÓN DE ANÁLISIS Y ESTRATEGIA</t>
  </si>
  <si>
    <t>DIRECCIÓN DE ATENCIÓN CIUDADANA</t>
  </si>
  <si>
    <t>SECRETARÍA PARTICULAR</t>
  </si>
  <si>
    <t>CONSEJERÍA JURÍDICA</t>
  </si>
  <si>
    <t>DISCO DURO EXTERNO DE 1 TERABITE</t>
  </si>
  <si>
    <t>MESA DE JUNTAS DE 1.80 X 1.00M TIPO PISTAS DE CARRERA</t>
  </si>
  <si>
    <t xml:space="preserve">SILLA DE VISITAS MODELO EURO CON ASIENTO Y RESPALDO TAPIZADO EN TELA </t>
  </si>
  <si>
    <t>SILLA SECRETARIAL SIN DESCANSABRAZOS</t>
  </si>
  <si>
    <t>SILLON EJECUTIVO ASIENTO Y RESPALDO ACOJINADO</t>
  </si>
  <si>
    <t>MUEBLE DE RECEPCION ESPECIAL  DE .80M AL CENTRO Y DE 1.10 ALTURA</t>
  </si>
  <si>
    <t>MUEBLE DE RECEPCION ESPECIAL  DE .90M AL CENTRO Y DE 1.10 ALTURA</t>
  </si>
  <si>
    <t>BANCA DE 3 PLAZAS MODELO EURO</t>
  </si>
  <si>
    <t>ESCRITORIO DE 1.20 X .60 CON 3 CAJONES A LA DERECHA</t>
  </si>
  <si>
    <t>SILLA SECRETARIAL CON RUEDAS</t>
  </si>
  <si>
    <t>MESA DE TRABAJO REDONDA</t>
  </si>
  <si>
    <t>ARCHIVERO VERTICAL COLOR CHOCOLATE</t>
  </si>
  <si>
    <t>SILLA FIJA COLOR NEGRO</t>
  </si>
  <si>
    <t>LIBRERO MDF CON ENTREPAÑOS</t>
  </si>
  <si>
    <t>ESCANER EPSON WORKFORCE DS-7500</t>
  </si>
  <si>
    <t>COMPUTADORA DE ESCRITORIO PROCESADOR INTEL CELERON 3900 DUAL CORE, SOCKET 1151 SEXTA GEN. 2.8 GHz. MEMORIA RAM  DDR4 4GB DISCO DURO DE 500 GB SATA.</t>
  </si>
  <si>
    <t>MONITOR 19 LED</t>
  </si>
  <si>
    <t>KIT TECLADO Y MOUSE</t>
  </si>
  <si>
    <t>1 ESCANER EPSON MODELO DS-1630</t>
  </si>
  <si>
    <t>ROUTER WIFI ALTO ALCANCE DOBLE BANDA 2.4</t>
  </si>
  <si>
    <t>IMPRESORA TERMICA MODELO TM-T88V-834 MARCA EPSON</t>
  </si>
  <si>
    <t>COMPUTADORA WINDOWS 10 PRO, SISTEMA OPERATIVO DE 64 BITS, PROCESADOR INTEL CORE I3-4150 CPU@3.5 GHZ 3.50 GHZ MEMORIA INSTALADA DISCO DURO DE 250 GB</t>
  </si>
  <si>
    <t>COMPUTADORA DE ESCRITORIO PROCESADOR INTEL PENTIUM DUAL CORE MEMORIA RAM 4GB DD 500GB, DVD-RW, MONITOR 19 LED, KIT DE TECLADO Y MOSE</t>
  </si>
  <si>
    <t>MOTOCICLETA YAMAHA YB125BJ MOTOR JYM154FMI17047504, PEDIMENTO 3807-7007754 COLOR ROJO AÑO 2018 CILINDRADA 125CC</t>
  </si>
  <si>
    <t>COMPUTADORA ESCRITORIO PROCESADOR INTEL CELERON G3900 DUAL CORE, SOCKET 1151 SEXTA GEN. 2.9 GHZ, MEMORIA RAM KINGSTON DDR4 4GB, DISCO DURO 500GB.</t>
  </si>
  <si>
    <t>COMPUTADORA ESCRITORIO PROCESADOR INTEL CELERON G3900 DUAL CORE, SOCKET 1151 SEXTA GEN. 2.8 GHZ, MEMORIA RAM KINGSTON DDR4 4GB, DISCO DURO 500GB.</t>
  </si>
  <si>
    <t>MINISPLIT AUX. 3 TON. 220V FRIO CALOR MODELO ASW-H36B2/SUC SERIE COMPRESOR 10356503102W00015</t>
  </si>
  <si>
    <t>MANGUERA DE LUZ LED BLANCA DE 100 MTS LUCES MOVILES</t>
  </si>
  <si>
    <t>MOTOBOMBA AUTOCEBANTE MARCA WDM MODELO AAG 4 -130 HD CON SUCCION Y DESCARGA DE 4"</t>
  </si>
  <si>
    <t>MANGUERA LED 100 MTS</t>
  </si>
  <si>
    <t>REFLECTOR CAMPANA DE ALUMINIO DE 22´</t>
  </si>
  <si>
    <t>MODULO PARA 4 USUARIOS DE 3.20 X .60 M CADA MODULO MIDE .80 X .60 M C/CUB. DE .80 X .60 M MAPRAS LATERALES DE MELAMINA</t>
  </si>
  <si>
    <t>ESCRITORIO DE 1.20X.60 M CON UN PEDESTAL DE C/2 CAJONES PAPELEROS Y UNO DE ARCHIVO, DE MELAMINA DE ALTA RESISTENCIA 28 MM DE ESPESOR CON CHAPA Y LLAVE</t>
  </si>
  <si>
    <t xml:space="preserve">SILLA DE VISITA MODELO EUROCON ASIENTO Y RESPALDO TAPIZADO EN TELA NACIONAL SIN BRAZOS CON ESTRUCTURA METALICA </t>
  </si>
  <si>
    <t>MODULO PARA UNA PERSONA DE .80 X .50 M DE FONDO X 1.35 DE ALTURA C/ CUBIERRTA Y DOS MAMPARAS LATERALES DE MELAMINA DE ALTA RESISTENCIA.</t>
  </si>
  <si>
    <t>ESTANTES 45X85X2.00 METROS COLOR GRIS 5 ENTORN 1/4 X 1/2 PARA SALA DE JUNTAS</t>
  </si>
  <si>
    <t>TRITURADORA EX07-05 SWINGLINE</t>
  </si>
  <si>
    <t>CAFETERA HAMILTON BEACH 45 TAZAS 40515R PLATA</t>
  </si>
  <si>
    <t>HORNO DE MICROONDAS MABE</t>
  </si>
  <si>
    <t>ENFRIADOR Y CALENTADOR DE AGUA MABE BLANCO</t>
  </si>
  <si>
    <t>FRIGOBAR WHIRPOOL 5" MODELO WS5501D SERIE VR83963461B</t>
  </si>
  <si>
    <t>IMPRESORA HP OFFICEJET 7110 H812A MODELO CT HP</t>
  </si>
  <si>
    <t>RELOJ CHECADOR HUELLA BIOMETRICO USB</t>
  </si>
  <si>
    <t>IMPRESORA DE INYECCION A COLOR EPSON ECO TANK L310 RESOLUCION HASTA 5760X 1440 DPI SISTEMA DE TANQUES DE TINTA USB (C11CE57301)</t>
  </si>
  <si>
    <t>HORNO DE MICROONDAS</t>
  </si>
  <si>
    <t>CAMARA CYBER SHOT DSC W830 SONY</t>
  </si>
  <si>
    <t>MODULO TRANSCEPTOR SFP 1000 BASE-XS STARTECH</t>
  </si>
  <si>
    <t>TELEFONO CON EXTENSION ALCATEL MOD. 40-20</t>
  </si>
  <si>
    <t>KIT GPS GARMIN GPSMAP 64s TOPOGRAFICO ANTENA GARMIN GA38 GPS/GLONASS CABLE ADAPTADOR BCN-MCX (ADAPTER CABLE) MONTURA MANUBRIO GPS GARMIN E TREX OREGON</t>
  </si>
  <si>
    <t>CAMARA DIGITAL CANNON POWERSHOT 190 IS-20 MEGAPIXEL-NEGRO</t>
  </si>
  <si>
    <t>MESA DE JUNTAS</t>
  </si>
  <si>
    <t>MUEBLE DE RECEPCION</t>
  </si>
  <si>
    <t>BANCA DE 3 PLAZAS</t>
  </si>
  <si>
    <t>ARCHIVERO VERTICAL</t>
  </si>
  <si>
    <t>ROUTER WIFI</t>
  </si>
  <si>
    <t>IMPRESORA TERMICA</t>
  </si>
  <si>
    <t xml:space="preserve">MOTOCICLETA </t>
  </si>
  <si>
    <t>MANGUERA DE LUZ LED</t>
  </si>
  <si>
    <t>REFLECTOR CAMPANA DE ALUMINIO</t>
  </si>
  <si>
    <t>MODULO PARA 4 USUARIOS</t>
  </si>
  <si>
    <t>SILLA DE VISITA</t>
  </si>
  <si>
    <t>MODULO PARA UNA PERSONA</t>
  </si>
  <si>
    <t>ENFRIADOR Y CALENTADOR DE AGUA</t>
  </si>
  <si>
    <t>IMPRESORA DE INYECCION A COLOR</t>
  </si>
  <si>
    <t>MODULO TRANSCEPTOR</t>
  </si>
  <si>
    <t>TELEFONO CON EXTENSION</t>
  </si>
  <si>
    <t>KIT GPS</t>
  </si>
  <si>
    <t>C.P. NORA ROSALVA CEPEDA GUERRERO</t>
  </si>
  <si>
    <t>ING. EDGAR JAVIER VALDEZ SALDIVAR</t>
  </si>
  <si>
    <t>COL VIVIENDAS POPULARES, ENRIQUE LARA Y SAGITARIO</t>
  </si>
  <si>
    <t>REHABILITACION, ACONDICIONAMIENTO Y EQUIPAMIENTO DE CASAS</t>
  </si>
  <si>
    <t>PROGRAMA DE PENSION PARA ADULTOS MAYORES 2018</t>
  </si>
  <si>
    <t>ESCUELA PRIMARIA FELIPE PESCADOR</t>
  </si>
  <si>
    <t>REHABILITACION DE ESCUELA</t>
  </si>
  <si>
    <t>PROYECTOS DE DESARROLLO REGIONAL 5 2018</t>
  </si>
  <si>
    <t>PAVIMENTACION CON CONCRETRO HIDRAULICO</t>
  </si>
  <si>
    <t>C CARLO MAGNO FRACC IMPERIAL</t>
  </si>
  <si>
    <t>C FRANCISCO CASTELLANOS COL AMALIA G CASTILLO LEDON</t>
  </si>
  <si>
    <t>C JOSE LACARRIE COL ENRIQUE LARA</t>
  </si>
  <si>
    <t>C EUTEQUIO CARRERA COL ALBERTO CARRERA TORRES</t>
  </si>
  <si>
    <t>FRACC LAS FLORES</t>
  </si>
  <si>
    <t>CONSTRUCCION DE INFRAESTRUCTURA Y EQUIPAMIENTO EN AREA VERDE</t>
  </si>
  <si>
    <t>FORTALECIMIENTO FINANCIERO 5 2018</t>
  </si>
  <si>
    <t>FRACC AZTECA</t>
  </si>
  <si>
    <t>FRACC DEL VALLE</t>
  </si>
  <si>
    <t>C SIERRA MADRE COL SIERRA MADRE</t>
  </si>
  <si>
    <t>REHABILITACION DE AREA VERDE</t>
  </si>
  <si>
    <t>C MALVA FRACC BUGAMBILIAS</t>
  </si>
  <si>
    <t>PROGRAMAS REGIONALES</t>
  </si>
  <si>
    <t>C CONDE DE SIERRA GORDA COL PEDRO SOSA</t>
  </si>
  <si>
    <t>C GASPAR DE LA GARZA (13) DE CARRERA TORRES A ZARAGOZA ZONA CENTRO</t>
  </si>
  <si>
    <t>REHABILITACION DE PAVIMENTO ASFALTICO</t>
  </si>
  <si>
    <t>FRACC LOMAS DE CALAMACO</t>
  </si>
  <si>
    <t>CONSTRUCCION INFRAESTRUCTURA Y EQUIPAMIENTO EN AREA VERDE</t>
  </si>
  <si>
    <t>PROGRAMAS REGIONALES 2 2018</t>
  </si>
  <si>
    <t>COL IGNACIO ZARAGOZA</t>
  </si>
  <si>
    <t>EJIDO JUAN RINCON</t>
  </si>
  <si>
    <t>AMPLIACION DE UNIDAD DEPORTIVA</t>
  </si>
  <si>
    <t>FORTALECIMIENTO FINANCIERO 3 2018</t>
  </si>
  <si>
    <t>CONSTRUCCION DE AUDITORIO</t>
  </si>
  <si>
    <t>C PETROLEROS FRACC AMPLIACION VILLARREAL</t>
  </si>
  <si>
    <t>C NARDOS DE NORBERTO TREVIÑO ZAPATA A LIMITE  DEL FRACC VILLARREAL</t>
  </si>
  <si>
    <t xml:space="preserve">CBTIS 24 CIUDAD VICTORIA </t>
  </si>
  <si>
    <t>REFUERZO Y MANTENIMIENTO DE ESTRUCTURAS METALICAS EN LOSAS DE AZOTEA DE TALLERES</t>
  </si>
  <si>
    <t>C JACARANDA COL MANUEL A RAVIZE</t>
  </si>
  <si>
    <t>C LAURELES COL MODERNA</t>
  </si>
  <si>
    <t>C RIO PANUCO COL SAN MARCOS II</t>
  </si>
  <si>
    <t>C LEONA VICARIO COL HORACIO TERAN</t>
  </si>
  <si>
    <t>C SIERRA MADRE COL TAMATAN</t>
  </si>
  <si>
    <t>C MARTE R GOMEZ COL VISTA HERMOSA</t>
  </si>
  <si>
    <t>EJIDO FUERTES DE PORTEL GIL</t>
  </si>
  <si>
    <t>C 14 DE MARZO COL GLORIA ORIENTE</t>
  </si>
  <si>
    <t>C PERA COL MANUEL A RAVIZE</t>
  </si>
  <si>
    <t>C CIRCUITO DEL GAVILAN BARRIO DE PAJARITOS  SECTOR CORRECAMINOS</t>
  </si>
  <si>
    <t>C FRANCISCO BARBARENA COL NUEVO AMANECER</t>
  </si>
  <si>
    <t>C MUTUALISMO DE BLVD LUIS ECHEVERRIA A CALLE FELIPE DE LA GARZA</t>
  </si>
  <si>
    <t>C HERNAN CORTEZ COL PEDRO SOSA</t>
  </si>
  <si>
    <t>C LIBERTAD COL VAMOS TAMAULIPAS</t>
  </si>
  <si>
    <t>C 18 DE JULIO COL 16 DE SEPTIEMBRE</t>
  </si>
  <si>
    <t>AVENIDA MEXICO DE C FRANCISCO GUEMEZ A AVENIDA JOSE SULAIMAN</t>
  </si>
  <si>
    <t>C HAITI COLONIA LIBERTAD</t>
  </si>
  <si>
    <t>C PORVENIR COL ESPERANZA</t>
  </si>
  <si>
    <t>C LOMAS DEL PEDREGAL FRACC LOMAS DE CALAMACO</t>
  </si>
  <si>
    <t>C MANUEL JASSO COL FRANCISCO I MADERO</t>
  </si>
  <si>
    <t>CALLE JUAREZ DE C JUAN B TIJERINA A LIMITE (CENTRO CIVICO)</t>
  </si>
  <si>
    <t>C REPUBLICA DE ARGENTINA COL NACIONES UNIDAS</t>
  </si>
  <si>
    <t>CALLE 27 DE CALLE OLIVO A CALLE BRAVO</t>
  </si>
  <si>
    <t>C ARTICULO 123 FRACC COMERCIAL 2000</t>
  </si>
  <si>
    <t>DESARROLLO REGIONAL 2 2018</t>
  </si>
  <si>
    <t>DIFERENTES COLONIAS DE LA CIUDAD</t>
  </si>
  <si>
    <t xml:space="preserve">CONSTRUCCION DE 30 CUARTOS DORMITORIOS </t>
  </si>
  <si>
    <t>PROGRAMA INFRAESTRUCTURA 2018</t>
  </si>
  <si>
    <t xml:space="preserve">CONSTRUCCION DE 31 CUARTOS DORMITORIOS </t>
  </si>
  <si>
    <t>CONSTRUCCION DE CUARTOS DORMITORIOS</t>
  </si>
  <si>
    <t>CALLE FCO I MADERO DE LA CALLE HIDALGO A LA CALLE ROSALES ZONA CENTRO</t>
  </si>
  <si>
    <t>REHABILITACION DE VIALIDAD</t>
  </si>
  <si>
    <t>FORTALECIMIENTO FINANCIERO 2 2018</t>
  </si>
  <si>
    <t>CALLE FCO I MADERO DE LA CALLE CARRERA TORRES A LA CALLE HIDALGO</t>
  </si>
  <si>
    <t>EXPLANADA ESC SEC GENERAL N 9 COL VAMOS TAMAULIPAS</t>
  </si>
  <si>
    <t xml:space="preserve">CAM DEL FRACCIONAMIENTO LAS PALMAS </t>
  </si>
  <si>
    <t>ESC SEC TECNICA 71 COL SATELITE</t>
  </si>
  <si>
    <t>CONSTRUCCION DE TALLER DE SOLDADURA</t>
  </si>
  <si>
    <t>C PUERTA DEL SOL FRACC PUERTAS DEL SOL</t>
  </si>
  <si>
    <t>C TULUM COL MEXICO</t>
  </si>
  <si>
    <t>C PEDRO J MENDEZ COL SIERRA VENTANA</t>
  </si>
  <si>
    <t>C NADADORES COL LUCIO BLANCO</t>
  </si>
  <si>
    <t>C MARIANO AGUILAR COL LA PRESITA</t>
  </si>
  <si>
    <t>C INTEGRACION FAMILIAR COL BARRIO CAÑON DE LA PEREGRINA</t>
  </si>
  <si>
    <t>C ILIHUICAMINA COL AZTECA 2</t>
  </si>
  <si>
    <t>C GENERAL JUAN MANUEL TERAN COL AMPLIACION PEDRO SOSA</t>
  </si>
  <si>
    <t>C DOBLADO COL CUAUHTEMOC</t>
  </si>
  <si>
    <t>C BOSQUE COL LINDA VISTA</t>
  </si>
  <si>
    <t>C AZTLAN COL AZTECA</t>
  </si>
  <si>
    <t>C AVECILLAS COL LINDA LISTA</t>
  </si>
  <si>
    <t>C LAURO AGUIRRE COL SIERRA VENTANA</t>
  </si>
  <si>
    <t>C GUERRERO COL TAMAULIPAS</t>
  </si>
  <si>
    <t>C COCOYOC  COL MEXICO</t>
  </si>
  <si>
    <t>ESC SEC GENERAL N 2 FRACC VALLE DE AGUAYO</t>
  </si>
  <si>
    <t xml:space="preserve">ESC PREPARATORIA FEDERALIZADA N 2 </t>
  </si>
  <si>
    <t>ESC SEC GENERAL N 1 PRESIDENTE RUIZ CORTINEZ</t>
  </si>
  <si>
    <t>CONSTRUCCION DE CAMPO SINTETICO</t>
  </si>
  <si>
    <t>ESC SEC N 5 COL HORACIO TERAN</t>
  </si>
  <si>
    <t>CONSTRUCCION DE ESTACIONAMIENTO DE PAVIMIENTO DE CONCRETO ASFALTICO</t>
  </si>
  <si>
    <t>ESC PRIMARIA GUADALUPE MAINERO</t>
  </si>
  <si>
    <t>JARDIN DE NIÑOS GABRIELA MISTRAL COL ADOLFO LOPEZ MATEOS</t>
  </si>
  <si>
    <t>CONSTRUCCION DE BARDA PERIMETRAL</t>
  </si>
  <si>
    <t>ESC SEC TECNICA N 1 ALVARO OBREGON COL PEDRO J MENDEZ</t>
  </si>
  <si>
    <t xml:space="preserve">ADECUACION DE AULA </t>
  </si>
  <si>
    <t>ESC PRIMARIA LAZARO P DE LA GARZA EJIDO MARIPOSAS Y MAHUIRAS</t>
  </si>
  <si>
    <t xml:space="preserve">CONSTRUCCION DE SANITARIOS </t>
  </si>
  <si>
    <t>ESC PRIMARIA CORREGIDORA</t>
  </si>
  <si>
    <t>PROYECTOS DE DESARROLLO REGIONAL 3 - 2018</t>
  </si>
  <si>
    <t>ESC PRIMARIA LUDIVINA BENAVIDES PEÑA</t>
  </si>
  <si>
    <t>ESC PRIMARIA EMMA VAZQUEZ GARCIA COL. EL MIRADOR</t>
  </si>
  <si>
    <t>HIDROCARBUROS 2018</t>
  </si>
  <si>
    <t>INSTALACION Y MANTENIMIENTO DE ALUMBRADO</t>
  </si>
  <si>
    <t>CALLE MIER Y TERAN ZONA CENTRO</t>
  </si>
  <si>
    <t>BACHEO DE CALLES ESPESOR PROMEDIO DE 10 CM</t>
  </si>
  <si>
    <t>COMPLEMENTO DE ALUMBRADO PUBLICO</t>
  </si>
  <si>
    <t>COLONIA LOMA ALTA</t>
  </si>
  <si>
    <t>FISMUN 2018</t>
  </si>
  <si>
    <t xml:space="preserve">COLONIA BETHEL </t>
  </si>
  <si>
    <t>ESC PRIMARIA IGNACIO ALLENDE COL MEXICO</t>
  </si>
  <si>
    <t>COL TOMAS YARRINGTON Y ALTAS CUMBRES</t>
  </si>
  <si>
    <t>CONSTRUCCION DE DIEZ CUARTOS DORMITORIOS</t>
  </si>
  <si>
    <t>COL VAMOS TAMAULIPAS Y ALVARO OBREGON</t>
  </si>
  <si>
    <t>COL MANUEL CAVAZOS LERMA Y BARRIO DE PAJARITOS</t>
  </si>
  <si>
    <t>ESC PRIMARIA MEXICO COL HEROES DE NACOZARI</t>
  </si>
  <si>
    <t>TERMINACION DE BARDA PERIMETRAL</t>
  </si>
  <si>
    <t>CONSTRUCCION DE GUARNICIONES Y BANQUETAS</t>
  </si>
  <si>
    <t>ESC PRIMARIA JUAN JOSE DE LA GARZA COL AMERICO VILLARREAL</t>
  </si>
  <si>
    <t>JARDIN DE NIÑOS EMMA VAZQUEZ GARCIA COL IGNACIO ZARAGOZA</t>
  </si>
  <si>
    <t>ESC PRIMARIA RODOLFO TORRE CANTU COL MARTE R GOMEZ</t>
  </si>
  <si>
    <t>COL VAMOS TAMAULIPAS, CAÑON DE LA PEREGRINA, ALTAS CUMBRES Y ROSALINDA GUERRERO</t>
  </si>
  <si>
    <t>COL ALTA VISTA</t>
  </si>
  <si>
    <t>COL ENRIQUE LARA</t>
  </si>
  <si>
    <t>COL SAN MARCOS 2</t>
  </si>
  <si>
    <t>COL AMPLIACION LINDA VISTA, VISTA HERMOSA Y ESPERANZA</t>
  </si>
  <si>
    <t>COL TOMAS YARRINGTON</t>
  </si>
  <si>
    <t>COL ALVARO OBREGON Y COL ALTA VISTA</t>
  </si>
  <si>
    <t>COLONIA ESFUERZO POPULAR Y CANACO</t>
  </si>
  <si>
    <t>BARRIO CAÑON DE LA PEREGRINA</t>
  </si>
  <si>
    <t>CONSTRUCCION DE OCHO CUARTOS DORMITORIOS</t>
  </si>
  <si>
    <t>ESFUERZO POPULAR</t>
  </si>
  <si>
    <t>CONSTRUCCION DE SIETE CUARTOS DORMITORIOS</t>
  </si>
  <si>
    <t>COL VAMOS TAMAULIPAS 1 2 3 Y 4 ETAPA</t>
  </si>
  <si>
    <t>REHABILITACION DE ALUMBRADO PUBLICO</t>
  </si>
  <si>
    <t>ESCUELA COBAT N 23 DR RODOLFO TORRE  COL LA PRESITA</t>
  </si>
  <si>
    <t>CONSTRUCCION DE AULA DE MADERA</t>
  </si>
  <si>
    <t>ESC PRIMARIA DE EDUCACION ESPECIAL ALEJANDRINA BOJSEANEAU CD VICTORIA</t>
  </si>
  <si>
    <t xml:space="preserve">IMPERMIABILIZACION DE 4 EDIFICIOS </t>
  </si>
  <si>
    <t>COL LA PRESITA</t>
  </si>
  <si>
    <t>REHABILITACION DE SALON DE USOS MULTIPLES</t>
  </si>
  <si>
    <t>EJ CONGREGACION DE CABALLEROS</t>
  </si>
  <si>
    <t>EJ ALTO DE ESTACION DE CABALLEROS</t>
  </si>
  <si>
    <t>C FRANCISCO I MADERO ZONA CENTRO</t>
  </si>
  <si>
    <t>AV LA UNIDAD COL PEDRO SOSA</t>
  </si>
  <si>
    <t>AV LA UNIDAD BLVD FIDEL VELAZQUEZ</t>
  </si>
  <si>
    <t>C CASTILLO DE CHAPULTEPEC COL NIÑOS HEROES</t>
  </si>
  <si>
    <t>C SAN FERNANDO COL MIRADOR</t>
  </si>
  <si>
    <t>C SAN VALENTIN COL MIRADOR</t>
  </si>
  <si>
    <t>C IGNACIO TOTONACAPAN COL MEXICO</t>
  </si>
  <si>
    <t>C UNION COL CHAPULTEPEC</t>
  </si>
  <si>
    <t>C CHAPULTEPEC COL CHAPULTEPEC</t>
  </si>
  <si>
    <t>C MARIANO MATAMOROS COL BUROCRATAS MUNICIPALES</t>
  </si>
  <si>
    <t>C ABASOLO COL CORREGIDORA</t>
  </si>
  <si>
    <t>C REVOLUCION  COL INDEPENDENCIA</t>
  </si>
  <si>
    <t>C AGUSTIN MELGAR  COL IGNACIO ZARAGOZA</t>
  </si>
  <si>
    <t>C SAN ANTONIO COL ESTUDIANTIL</t>
  </si>
  <si>
    <t>C ARTICULO 12 COL MARIANO MATAMOROS</t>
  </si>
  <si>
    <t>REHABILITACION  DE PAVIMENTO ASFALTICO</t>
  </si>
  <si>
    <t>COLONIA VAMOS TAMAULIPAS</t>
  </si>
  <si>
    <t xml:space="preserve">CONSTRUCCION DE CASA DE LA CULTURA </t>
  </si>
  <si>
    <t>COLONIA ESPERANZA</t>
  </si>
  <si>
    <t xml:space="preserve">FOVISSSTE </t>
  </si>
  <si>
    <t>REHABILITACION Y ADECUACION DE CASA DE LA CULTURA</t>
  </si>
  <si>
    <t>FORTALECIMIENTO FINANCIERO 4 2017</t>
  </si>
  <si>
    <t>HIDROCARBUROS 2017</t>
  </si>
  <si>
    <t>ESC PRIMARIA PROFRA Y LIC MARTHA JARAMILLO HERNANDEZ COL HUERTAS SAN JAVIER</t>
  </si>
  <si>
    <t>CONSTRUCCION DE TECHADO</t>
  </si>
  <si>
    <t>Ejercido 2018</t>
  </si>
  <si>
    <t>Ejercido 2017</t>
  </si>
  <si>
    <t>EJERCICIO FISCAL: 2018</t>
  </si>
  <si>
    <t>DEL 01 AL 31 DE DICIEMBRE DE 2018</t>
  </si>
  <si>
    <t>NOTA: SEPAGO EN EL CAPITULO 3000 LA CANTIDAD DE $ 17,665,353.00 POR DERECHOS DE AGUA A NOMBRE DE LA COMAPA</t>
  </si>
  <si>
    <t>DEL 01 AL 31 DICIEMBRE  DE 2018</t>
  </si>
  <si>
    <t>PROGRAMA DE PENSION PARA ADULTOS     18537</t>
  </si>
  <si>
    <t>PROYECTO DE FORTALECIMIENTO FINANCIERO 5     18533</t>
  </si>
  <si>
    <t>PROYECTO DE DESARROLLO REGIONAL 5     18536</t>
  </si>
  <si>
    <t>DEL 01 AL 30 DE SEPTIEMBRE DE 2018        17526</t>
  </si>
  <si>
    <t>DEL 01 AL 31 DE AGOSTO DE 2018        17532</t>
  </si>
  <si>
    <t>DEL 01 AL 31 DE JULIO DE 2018        17531</t>
  </si>
  <si>
    <t>DEL 01 AL 31 DE MAYO  DE 2018        17512</t>
  </si>
  <si>
    <t>DEL 01 AL 31 DE JULIO DE 2018</t>
  </si>
  <si>
    <t>DEL 01 AL 30 DE SEPTIEMBRE DE 2018</t>
  </si>
  <si>
    <t>FONDO DE CARNAVAL VICTORIA    18511</t>
  </si>
  <si>
    <t>FONDO DE FONDO DE PRYECTO DE DESARROLLO REGIONAL 2   2018    18535</t>
  </si>
  <si>
    <t>FONDO DE FONDO DE PRYECTO DE DESARROLLO REGIONAL 3   2018    18514</t>
  </si>
  <si>
    <t>FONDO DE FONDO DE FORTALECIMIENTO 3   2018    18532</t>
  </si>
  <si>
    <t>DEL 01 AL 30 DE ABRIL DE 2018</t>
  </si>
  <si>
    <t>FONDO DE PROYECTOS REGIONALES   2018    18510</t>
  </si>
  <si>
    <t>FONDO DE PROYECTOS REGIONALES 2  2018    18531</t>
  </si>
  <si>
    <t>FONDO DE SEDATU  INFRAESTRUCTURA 2  2018    18525</t>
  </si>
  <si>
    <t>DEL 01 AL 31 DE DICIEMBRE DE 2018      18523</t>
  </si>
  <si>
    <t xml:space="preserve">FONDO DE  FORTALECIMIENTO FINANCIERO 2  2018    </t>
  </si>
  <si>
    <t>DEL 01 AL 31 DE DICIEMBRE DE 2018  18512</t>
  </si>
  <si>
    <t>FONDO DE HIDROCARBUROS MARITIMA 2018</t>
  </si>
  <si>
    <t>FONDO DE FORTA SEG COPARTICIPACION 2018  18413</t>
  </si>
  <si>
    <t>FONDO DE FORTA SEG FEDERAL 2018   18507</t>
  </si>
  <si>
    <t>FONDO DE INFRAESTRUCTURA MUNICIPAL 2018    18502</t>
  </si>
  <si>
    <t>DEL 01 AL 31 DE DICIEMBRE  DE 2018</t>
  </si>
  <si>
    <t>FONDO DE FORTALECIMIENTO MUNICIPAL 2018    18503</t>
  </si>
  <si>
    <t>DEL 01 AL 28 DE SEPTIEMBRE DE 2018</t>
  </si>
  <si>
    <t>DEL 01 AL 31 DE ENERO DE 2018</t>
  </si>
  <si>
    <t>DEL 01 AL 28 DE FEBRERO DE 2018</t>
  </si>
  <si>
    <t>DEL 01 AL 30 DE ABRIL  DE 2018</t>
  </si>
  <si>
    <t>DEL 01 AL 31 DE MAYO  DE 2018</t>
  </si>
  <si>
    <t>DEL 01 AL 31 DE MAYO DE 2018</t>
  </si>
  <si>
    <t>DEL 01 AL 31 DE MAYO DEL  2018</t>
  </si>
  <si>
    <t>Al 31 de diciembre de 2018</t>
  </si>
  <si>
    <t>'11230-00000-0002-120042</t>
  </si>
  <si>
    <t>CANALES GONZALEZ DAVID</t>
  </si>
  <si>
    <t>'11230-00000-0003-500174</t>
  </si>
  <si>
    <t>COMISION MUNICIPAL DE AGUA POTABLE Y ALCANTARILLAD</t>
  </si>
  <si>
    <t>IMPUESTOS POR RECUPERAR</t>
  </si>
  <si>
    <t>31 DE DICIEMBRE DE 2019</t>
  </si>
  <si>
    <t>21120185012110503838</t>
  </si>
  <si>
    <t>1369</t>
  </si>
  <si>
    <t>388518</t>
  </si>
  <si>
    <t>GASTOS DE OPERACION-MATERIALES DE OFICINA</t>
  </si>
  <si>
    <t>05/dic/2017</t>
  </si>
  <si>
    <t>21120184013990181703</t>
  </si>
  <si>
    <t>37963</t>
  </si>
  <si>
    <t>OROZCO GONZALEZ JOSE LUIS</t>
  </si>
  <si>
    <t>DEVOLUCION DE PREDIAL-OROZCO GONZALEZ JOSE LUIS</t>
  </si>
  <si>
    <t>21120184013990171307</t>
  </si>
  <si>
    <t>38004</t>
  </si>
  <si>
    <t>EVARISTO RIOS GARCIA</t>
  </si>
  <si>
    <t>DEVOLUCION DE MULTA TRANSITO-RIOS GARCIA EVARISTO</t>
  </si>
  <si>
    <t>21120184011520133481</t>
  </si>
  <si>
    <t>15/ago/2018</t>
  </si>
  <si>
    <t>1392</t>
  </si>
  <si>
    <t>38541</t>
  </si>
  <si>
    <t>AGUILAR MEDINA CARLOS ALBERTO</t>
  </si>
  <si>
    <t>INDEMNIZACION-AGUILAR MEDINA CARLOS ALBERTO</t>
  </si>
  <si>
    <t>21110185011340181094</t>
  </si>
  <si>
    <t>21/ago/2018</t>
  </si>
  <si>
    <t>1780</t>
  </si>
  <si>
    <t>38590</t>
  </si>
  <si>
    <t>MARIA GUADALUPE AGUIAR CAMERO</t>
  </si>
  <si>
    <t>PENSION ALIMENTICIA DE COMPENSACION</t>
  </si>
  <si>
    <t>38818</t>
  </si>
  <si>
    <t>1773</t>
  </si>
  <si>
    <t>38978</t>
  </si>
  <si>
    <t>21110185011340181518</t>
  </si>
  <si>
    <t>1779</t>
  </si>
  <si>
    <t>38983</t>
  </si>
  <si>
    <t>NIDIA CAROLINA ZAPATA GARCIA</t>
  </si>
  <si>
    <t>21120185012530504653</t>
  </si>
  <si>
    <t>170</t>
  </si>
  <si>
    <t>6542</t>
  </si>
  <si>
    <t>FARMACEUTICA BLACKSAL, S.A. DE C.V.</t>
  </si>
  <si>
    <t>GASTOS DE OPERACION-MEDICAMENTOS AL PERSONAL</t>
  </si>
  <si>
    <t>6547</t>
  </si>
  <si>
    <t>6548</t>
  </si>
  <si>
    <t>6550</t>
  </si>
  <si>
    <t>6551</t>
  </si>
  <si>
    <t>6545</t>
  </si>
  <si>
    <t>6549</t>
  </si>
  <si>
    <t>6553</t>
  </si>
  <si>
    <t>6554</t>
  </si>
  <si>
    <t>6552</t>
  </si>
  <si>
    <t>6556</t>
  </si>
  <si>
    <t>6555</t>
  </si>
  <si>
    <t>6557</t>
  </si>
  <si>
    <t>GASTOS DE OPERACION-MEDICAMENTO PARA EL PERSONAL</t>
  </si>
  <si>
    <t>6560</t>
  </si>
  <si>
    <t>6541</t>
  </si>
  <si>
    <t>6561</t>
  </si>
  <si>
    <t>6563</t>
  </si>
  <si>
    <t>A6542</t>
  </si>
  <si>
    <t>6544</t>
  </si>
  <si>
    <t>6540</t>
  </si>
  <si>
    <t>21120184013550502359</t>
  </si>
  <si>
    <t>171</t>
  </si>
  <si>
    <t>0005494</t>
  </si>
  <si>
    <t>GASTOS DE OPERACION-MATTO EQ DE TRANSPORTE</t>
  </si>
  <si>
    <t>0005493</t>
  </si>
  <si>
    <t>21120185012110500041</t>
  </si>
  <si>
    <t>393</t>
  </si>
  <si>
    <t>B131178</t>
  </si>
  <si>
    <t>B131173</t>
  </si>
  <si>
    <t>398</t>
  </si>
  <si>
    <t>B131180</t>
  </si>
  <si>
    <t>395</t>
  </si>
  <si>
    <t>B131179</t>
  </si>
  <si>
    <t>B131174</t>
  </si>
  <si>
    <t>B131175</t>
  </si>
  <si>
    <t>21120185012160500421</t>
  </si>
  <si>
    <t>0031855</t>
  </si>
  <si>
    <t>MATERIAL DE LIMPIEZA</t>
  </si>
  <si>
    <t>21120185012490500034</t>
  </si>
  <si>
    <t>402</t>
  </si>
  <si>
    <t>F286135</t>
  </si>
  <si>
    <t>268 ANIVERSARIO DE LA FUNDACION DE CIUDAD VICTORIA</t>
  </si>
  <si>
    <t>F286136</t>
  </si>
  <si>
    <t>GASTOS DE OPERACION-PRODUCTOS DE PLASTICO</t>
  </si>
  <si>
    <t>F286134</t>
  </si>
  <si>
    <t>21120185013550500109</t>
  </si>
  <si>
    <t>391</t>
  </si>
  <si>
    <t>0044586</t>
  </si>
  <si>
    <t>MANTENIMIENTO Y REPARACION DE EQUIPO DE TRANSPORTE</t>
  </si>
  <si>
    <t>21120185012210500501</t>
  </si>
  <si>
    <t>FB22856</t>
  </si>
  <si>
    <t>FB22857</t>
  </si>
  <si>
    <t>FB22854</t>
  </si>
  <si>
    <t>21120185013290500650</t>
  </si>
  <si>
    <t>237D46B</t>
  </si>
  <si>
    <t>FELIZ CUMPLEAÑOS VICTORIA 268 ANIVERSARIO DE LA FU</t>
  </si>
  <si>
    <t>81BD17B</t>
  </si>
  <si>
    <t>333FEEA</t>
  </si>
  <si>
    <t>SESION SOLEMNE 268 ANIVERSARIO DE LA FUNDACION</t>
  </si>
  <si>
    <t>EB5E555</t>
  </si>
  <si>
    <t>23</t>
  </si>
  <si>
    <t>FB22853</t>
  </si>
  <si>
    <t>FB22852</t>
  </si>
  <si>
    <t>21120185013290502489</t>
  </si>
  <si>
    <t>143</t>
  </si>
  <si>
    <t>00A4706</t>
  </si>
  <si>
    <t>00A4703</t>
  </si>
  <si>
    <t xml:space="preserve">FELIZ CUMPLEAÑOS VICTORIA 2018 </t>
  </si>
  <si>
    <t>00A4704</t>
  </si>
  <si>
    <t>GASTOS DE OPERACION-AYUDAS SOCIALES A INSTITUCIONE</t>
  </si>
  <si>
    <t>00A4707</t>
  </si>
  <si>
    <t>CAPITALIDAD DE CIUDAD VICTORIA-OTROS ARRENDAMIENTO</t>
  </si>
  <si>
    <t>00A4708</t>
  </si>
  <si>
    <t>00A4711</t>
  </si>
  <si>
    <t>21120185013550500132</t>
  </si>
  <si>
    <t>149</t>
  </si>
  <si>
    <t>00AL729</t>
  </si>
  <si>
    <t>AUTO REFACCIONARIA EL 5 CARRERA, S.A. DE C.V.</t>
  </si>
  <si>
    <t>00AL730</t>
  </si>
  <si>
    <t>00AL735</t>
  </si>
  <si>
    <t>277</t>
  </si>
  <si>
    <t>00A4709</t>
  </si>
  <si>
    <t>00A4710</t>
  </si>
  <si>
    <t>276</t>
  </si>
  <si>
    <t>00A4705</t>
  </si>
  <si>
    <t>387092</t>
  </si>
  <si>
    <t>B131735</t>
  </si>
  <si>
    <t>GASTOS DE OPERACION-MATERIALES, EQUIPOS MENORES</t>
  </si>
  <si>
    <t>21120185014410502489</t>
  </si>
  <si>
    <t>0004721</t>
  </si>
  <si>
    <t>GASTOS DE OPERACION-PROSPERA</t>
  </si>
  <si>
    <t>0004720</t>
  </si>
  <si>
    <t>DASTOS DE OPERACION-APOYO A PERSONAS</t>
  </si>
  <si>
    <t>21120185011540501952</t>
  </si>
  <si>
    <t>58652</t>
  </si>
  <si>
    <t>SERVICIOS DE SALUD DE TAMAULIPAS</t>
  </si>
  <si>
    <t>HOSPITAL GENERAL-ATENCION MEDICA</t>
  </si>
  <si>
    <t>744</t>
  </si>
  <si>
    <t>58640</t>
  </si>
  <si>
    <t>683</t>
  </si>
  <si>
    <t>58646</t>
  </si>
  <si>
    <t>21120185011540500225</t>
  </si>
  <si>
    <t>801</t>
  </si>
  <si>
    <t>526294</t>
  </si>
  <si>
    <t>HOSPITAL CIVIL</t>
  </si>
  <si>
    <t>21120185011540500198</t>
  </si>
  <si>
    <t>526293</t>
  </si>
  <si>
    <t xml:space="preserve">HOSPITAL INFANTIL </t>
  </si>
  <si>
    <t>802</t>
  </si>
  <si>
    <t>526295</t>
  </si>
  <si>
    <t>831</t>
  </si>
  <si>
    <t>4735</t>
  </si>
  <si>
    <t>PROGRAMA PROSPERA-OTROS ARRENDAMIENTOS</t>
  </si>
  <si>
    <t>4737</t>
  </si>
  <si>
    <t>65 Y MAS-OTROS ARRENDAMIENTOS</t>
  </si>
  <si>
    <t>4738</t>
  </si>
  <si>
    <t>GASTOS DE OPERACION-PROG PENSION PARA ADULTOS MAYO</t>
  </si>
  <si>
    <t>4736</t>
  </si>
  <si>
    <t>21120185013820502489</t>
  </si>
  <si>
    <t>834</t>
  </si>
  <si>
    <t>4723</t>
  </si>
  <si>
    <t>GASTOS DE OPERACION-65 Y MAS</t>
  </si>
  <si>
    <t>4724</t>
  </si>
  <si>
    <t>4725</t>
  </si>
  <si>
    <t>4726</t>
  </si>
  <si>
    <t>4727</t>
  </si>
  <si>
    <t>4733</t>
  </si>
  <si>
    <t>842</t>
  </si>
  <si>
    <t>0045647</t>
  </si>
  <si>
    <t>GASTOS DE OPERACION-MANTENIMIENTO EQ DE TRANSP</t>
  </si>
  <si>
    <t>21120185013570500116</t>
  </si>
  <si>
    <t>844</t>
  </si>
  <si>
    <t>00F4128</t>
  </si>
  <si>
    <t>GASTOS DE OPERACION-REPARACION DE MAQUINARIA</t>
  </si>
  <si>
    <t>851</t>
  </si>
  <si>
    <t>00F4116</t>
  </si>
  <si>
    <t>00F4132</t>
  </si>
  <si>
    <t>00F4111</t>
  </si>
  <si>
    <t>00F4118</t>
  </si>
  <si>
    <t xml:space="preserve">GASTOS DE OPERACION-MANTENIMIENTO </t>
  </si>
  <si>
    <t>00F4133</t>
  </si>
  <si>
    <t>00F4113</t>
  </si>
  <si>
    <t>00F4129</t>
  </si>
  <si>
    <t>00F4127</t>
  </si>
  <si>
    <t>00F4114</t>
  </si>
  <si>
    <t>00F4112</t>
  </si>
  <si>
    <t>00F4131</t>
  </si>
  <si>
    <t>00F4117</t>
  </si>
  <si>
    <t>00F4115</t>
  </si>
  <si>
    <t>00F4130</t>
  </si>
  <si>
    <t>854</t>
  </si>
  <si>
    <t>00A4728</t>
  </si>
  <si>
    <t>00A4729</t>
  </si>
  <si>
    <t>00A4730</t>
  </si>
  <si>
    <t>00A4731</t>
  </si>
  <si>
    <t>00A4734</t>
  </si>
  <si>
    <t>00A4732</t>
  </si>
  <si>
    <t>1141</t>
  </si>
  <si>
    <t>0058674</t>
  </si>
  <si>
    <t>0058675</t>
  </si>
  <si>
    <t>0058676</t>
  </si>
  <si>
    <t>1065</t>
  </si>
  <si>
    <t>132463</t>
  </si>
  <si>
    <t>1167</t>
  </si>
  <si>
    <t>132432</t>
  </si>
  <si>
    <t>132448</t>
  </si>
  <si>
    <t>132449</t>
  </si>
  <si>
    <t>132454</t>
  </si>
  <si>
    <t>132462</t>
  </si>
  <si>
    <t>132450</t>
  </si>
  <si>
    <t>132434</t>
  </si>
  <si>
    <t>132431</t>
  </si>
  <si>
    <t>132474</t>
  </si>
  <si>
    <t>132470</t>
  </si>
  <si>
    <t>132453</t>
  </si>
  <si>
    <t>132461</t>
  </si>
  <si>
    <t>132452</t>
  </si>
  <si>
    <t>132464</t>
  </si>
  <si>
    <t>21120185012960500132</t>
  </si>
  <si>
    <t>197164</t>
  </si>
  <si>
    <t>REFACCIONES Y ACCESORIOS MENORES DE EQ TRANSPORTE</t>
  </si>
  <si>
    <t>1088</t>
  </si>
  <si>
    <t>847</t>
  </si>
  <si>
    <t>21120185013290500002</t>
  </si>
  <si>
    <t>1085</t>
  </si>
  <si>
    <t>1983</t>
  </si>
  <si>
    <t>SORTEO CARTILLA MILITAR-OTROS ARRENDAMIENTOS</t>
  </si>
  <si>
    <t>1097</t>
  </si>
  <si>
    <t>826</t>
  </si>
  <si>
    <t>837</t>
  </si>
  <si>
    <t>MANTENIMIENTO Y REPACION DE EQUIPO DE TRANSPORTE</t>
  </si>
  <si>
    <t>840</t>
  </si>
  <si>
    <t>1098</t>
  </si>
  <si>
    <t>841</t>
  </si>
  <si>
    <t>MANTENIMIENTO Y REPARACION EQUIPO DE TRANSPORTE</t>
  </si>
  <si>
    <t>21120185013550504778</t>
  </si>
  <si>
    <t>1084</t>
  </si>
  <si>
    <t>GASTOS DE OPERACION-REPARACION Y MTTO EQ TRANSPOR</t>
  </si>
  <si>
    <t>21120185013550500002</t>
  </si>
  <si>
    <t>1081</t>
  </si>
  <si>
    <t>1984</t>
  </si>
  <si>
    <t>836</t>
  </si>
  <si>
    <t>21120185013570504917</t>
  </si>
  <si>
    <t>1092</t>
  </si>
  <si>
    <t>JOSE ANGEL NAVA HERNANDEZ</t>
  </si>
  <si>
    <t>24</t>
  </si>
  <si>
    <t>19</t>
  </si>
  <si>
    <t>1094</t>
  </si>
  <si>
    <t>20</t>
  </si>
  <si>
    <t>21</t>
  </si>
  <si>
    <t>28</t>
  </si>
  <si>
    <t>22</t>
  </si>
  <si>
    <t>1211</t>
  </si>
  <si>
    <t>39423</t>
  </si>
  <si>
    <t>21120185011540500446</t>
  </si>
  <si>
    <t>1408</t>
  </si>
  <si>
    <t>73233</t>
  </si>
  <si>
    <t>VALES DE DESPENSA PERSONAL</t>
  </si>
  <si>
    <t>73247</t>
  </si>
  <si>
    <t>73227</t>
  </si>
  <si>
    <t>73230</t>
  </si>
  <si>
    <t>AL73233</t>
  </si>
  <si>
    <t>73228</t>
  </si>
  <si>
    <t>73231</t>
  </si>
  <si>
    <t>73225</t>
  </si>
  <si>
    <t>73232</t>
  </si>
  <si>
    <t>73226</t>
  </si>
  <si>
    <t>47861</t>
  </si>
  <si>
    <t>VALES DE DESPENSAS PERSONAL</t>
  </si>
  <si>
    <t>47862</t>
  </si>
  <si>
    <t>47863</t>
  </si>
  <si>
    <t>45002</t>
  </si>
  <si>
    <t>90103</t>
  </si>
  <si>
    <t>45001</t>
  </si>
  <si>
    <t xml:space="preserve">VALES DE DESPENSA PERSONAL </t>
  </si>
  <si>
    <t>60250</t>
  </si>
  <si>
    <t>47876</t>
  </si>
  <si>
    <t>76600</t>
  </si>
  <si>
    <t>103388</t>
  </si>
  <si>
    <t>526700</t>
  </si>
  <si>
    <t>117896</t>
  </si>
  <si>
    <t>90084</t>
  </si>
  <si>
    <t>45953</t>
  </si>
  <si>
    <t>388517</t>
  </si>
  <si>
    <t>GASTOS DE OPERACION-MATERIALES MENORES DE OFICINA</t>
  </si>
  <si>
    <t>388327</t>
  </si>
  <si>
    <t>1415</t>
  </si>
  <si>
    <t>132563</t>
  </si>
  <si>
    <t>MATERIALES, UTILES Y EQUIPOS MENORES DE OFICINA</t>
  </si>
  <si>
    <t>1365</t>
  </si>
  <si>
    <t>132596</t>
  </si>
  <si>
    <t>388321</t>
  </si>
  <si>
    <t>1625</t>
  </si>
  <si>
    <t>B132594</t>
  </si>
  <si>
    <t>21120185012110500022</t>
  </si>
  <si>
    <t>1413</t>
  </si>
  <si>
    <t>46221</t>
  </si>
  <si>
    <t>388288</t>
  </si>
  <si>
    <t>388300</t>
  </si>
  <si>
    <t>132554</t>
  </si>
  <si>
    <t>388312</t>
  </si>
  <si>
    <t xml:space="preserve">GASTOS DE OPERACION-MATERIALES DE OFICINA </t>
  </si>
  <si>
    <t>388314</t>
  </si>
  <si>
    <t>B132451</t>
  </si>
  <si>
    <t>388311</t>
  </si>
  <si>
    <t>B132790</t>
  </si>
  <si>
    <t>46223</t>
  </si>
  <si>
    <t>388290</t>
  </si>
  <si>
    <t>388316</t>
  </si>
  <si>
    <t>132552</t>
  </si>
  <si>
    <t>388324</t>
  </si>
  <si>
    <t>388310</t>
  </si>
  <si>
    <t>388318</t>
  </si>
  <si>
    <t>132633</t>
  </si>
  <si>
    <t>B132814</t>
  </si>
  <si>
    <t>46222</t>
  </si>
  <si>
    <t>388330</t>
  </si>
  <si>
    <t>388331</t>
  </si>
  <si>
    <t>132550</t>
  </si>
  <si>
    <t>388328</t>
  </si>
  <si>
    <t>388519</t>
  </si>
  <si>
    <t>132618</t>
  </si>
  <si>
    <t>388286</t>
  </si>
  <si>
    <t>388299</t>
  </si>
  <si>
    <t>388647</t>
  </si>
  <si>
    <t xml:space="preserve">MATERILES DE IMPRESION DISCO DURO </t>
  </si>
  <si>
    <t>21120185012140504828</t>
  </si>
  <si>
    <t>1374</t>
  </si>
  <si>
    <t>VICENTE NIÑO LAZO</t>
  </si>
  <si>
    <t>GASTOS DE OPERACION-HERRAMENTAS MENORES</t>
  </si>
  <si>
    <t>2448</t>
  </si>
  <si>
    <t>GASTOS DE OPERACION-MATERIALES, UTILES Y EQUIPOS</t>
  </si>
  <si>
    <t>2449</t>
  </si>
  <si>
    <t>2451</t>
  </si>
  <si>
    <t>2438</t>
  </si>
  <si>
    <t>GASTOS DE OPERACION-MATERIALES Y EQUIPOS MENORES</t>
  </si>
  <si>
    <t>21120185012140500196</t>
  </si>
  <si>
    <t>1670</t>
  </si>
  <si>
    <t>0011374</t>
  </si>
  <si>
    <t>GASTOS DE OPERACION-MATERIALES, UTILES Y EQUIPOS M</t>
  </si>
  <si>
    <t>0011377</t>
  </si>
  <si>
    <t>0011379</t>
  </si>
  <si>
    <t>0011382</t>
  </si>
  <si>
    <t>21120185012150500002</t>
  </si>
  <si>
    <t>0002004</t>
  </si>
  <si>
    <t>1373</t>
  </si>
  <si>
    <t>32411</t>
  </si>
  <si>
    <t>21120185012160504940</t>
  </si>
  <si>
    <t>1361</t>
  </si>
  <si>
    <t>174</t>
  </si>
  <si>
    <t>ARACELY MONTENEGRO PAZARON</t>
  </si>
  <si>
    <t>32467</t>
  </si>
  <si>
    <t>32468</t>
  </si>
  <si>
    <t>32469</t>
  </si>
  <si>
    <t>173</t>
  </si>
  <si>
    <t>32472</t>
  </si>
  <si>
    <t>21120185012210504961</t>
  </si>
  <si>
    <t>1532</t>
  </si>
  <si>
    <t>CARLOS ALBERTO CAVAZOS VEGA</t>
  </si>
  <si>
    <t>1534</t>
  </si>
  <si>
    <t>558</t>
  </si>
  <si>
    <t>21120185012460501442</t>
  </si>
  <si>
    <t>0000112</t>
  </si>
  <si>
    <t>DISPOSITIVOS CONTROLADORES DE TRAFICO,SA DE CV</t>
  </si>
  <si>
    <t>REHABILITACION LAMPARAS PARA CENSO ANUAL CFE</t>
  </si>
  <si>
    <t>21120185012610504902</t>
  </si>
  <si>
    <t>1646</t>
  </si>
  <si>
    <t>I21375D</t>
  </si>
  <si>
    <t>SERVICIO DEMOCRACIA, S.A. DE C.V.</t>
  </si>
  <si>
    <t>GASTOS DE OPERACION-COMBUSTIBLE GASOLINA</t>
  </si>
  <si>
    <t>I21375A</t>
  </si>
  <si>
    <t>I21675C</t>
  </si>
  <si>
    <t>I21375H</t>
  </si>
  <si>
    <t>I21375G</t>
  </si>
  <si>
    <t>I21375F</t>
  </si>
  <si>
    <t>I21375E</t>
  </si>
  <si>
    <t>I21375C</t>
  </si>
  <si>
    <t>I21375I</t>
  </si>
  <si>
    <t>I21375</t>
  </si>
  <si>
    <t>I21375B</t>
  </si>
  <si>
    <t>1623</t>
  </si>
  <si>
    <t>F199658</t>
  </si>
  <si>
    <t>21120185012960500109</t>
  </si>
  <si>
    <t>1624</t>
  </si>
  <si>
    <t>0045711</t>
  </si>
  <si>
    <t>F199657</t>
  </si>
  <si>
    <t>F199664</t>
  </si>
  <si>
    <t>ACCESORIOS MENORES DE BIENES MUEBLES</t>
  </si>
  <si>
    <t>F199659</t>
  </si>
  <si>
    <t>F199711</t>
  </si>
  <si>
    <t>REFACCIONES Y ACCCESORIOS DE EQUIPO DE TRANSPORTE</t>
  </si>
  <si>
    <t>1363</t>
  </si>
  <si>
    <t>45706</t>
  </si>
  <si>
    <t>21120185012990500034</t>
  </si>
  <si>
    <t>1367</t>
  </si>
  <si>
    <t>293771</t>
  </si>
  <si>
    <t>293770</t>
  </si>
  <si>
    <t>1490</t>
  </si>
  <si>
    <t>00A4752</t>
  </si>
  <si>
    <t>00A4760</t>
  </si>
  <si>
    <t>1488</t>
  </si>
  <si>
    <t>00A4754</t>
  </si>
  <si>
    <t>LUCHA LIBRE-OTROS ARRENDAMIENTOS</t>
  </si>
  <si>
    <t>1453</t>
  </si>
  <si>
    <t>00A4758</t>
  </si>
  <si>
    <t>00A4759</t>
  </si>
  <si>
    <t>21120185013290500150</t>
  </si>
  <si>
    <t>1493</t>
  </si>
  <si>
    <t>0006421</t>
  </si>
  <si>
    <t>ALBERTO GARCIA NAVA</t>
  </si>
  <si>
    <t>1702</t>
  </si>
  <si>
    <t>006419</t>
  </si>
  <si>
    <t>00A4722</t>
  </si>
  <si>
    <t>00A753</t>
  </si>
  <si>
    <t>1681</t>
  </si>
  <si>
    <t>00A4747</t>
  </si>
  <si>
    <t>CONCUROS DE CATRINAS-OTROS ARRENDAMIENTOS</t>
  </si>
  <si>
    <t>1484</t>
  </si>
  <si>
    <t>A006401</t>
  </si>
  <si>
    <t>006417</t>
  </si>
  <si>
    <t>0006405</t>
  </si>
  <si>
    <t>00A4748</t>
  </si>
  <si>
    <t>1533</t>
  </si>
  <si>
    <t>2034</t>
  </si>
  <si>
    <t>00A4745</t>
  </si>
  <si>
    <t>00A4746</t>
  </si>
  <si>
    <t>A4756</t>
  </si>
  <si>
    <t>1699</t>
  </si>
  <si>
    <t>006409</t>
  </si>
  <si>
    <t>1701</t>
  </si>
  <si>
    <t>006412</t>
  </si>
  <si>
    <t>006408</t>
  </si>
  <si>
    <t>A006402</t>
  </si>
  <si>
    <t>1682</t>
  </si>
  <si>
    <t>00A4744</t>
  </si>
  <si>
    <t>00A4757</t>
  </si>
  <si>
    <t>0006407</t>
  </si>
  <si>
    <t>1700</t>
  </si>
  <si>
    <t>006410</t>
  </si>
  <si>
    <t>006416</t>
  </si>
  <si>
    <t>00A4749</t>
  </si>
  <si>
    <t>FERIA REGIONAL TAMAULIPAS-OTROS ARRENDAMIENTOS</t>
  </si>
  <si>
    <t>006418</t>
  </si>
  <si>
    <t>006420</t>
  </si>
  <si>
    <t>006411</t>
  </si>
  <si>
    <t>00A4761</t>
  </si>
  <si>
    <t>0006404</t>
  </si>
  <si>
    <t>0006406</t>
  </si>
  <si>
    <t>1535</t>
  </si>
  <si>
    <t>6426</t>
  </si>
  <si>
    <t>006414</t>
  </si>
  <si>
    <t>1491</t>
  </si>
  <si>
    <t>1703</t>
  </si>
  <si>
    <t>006415</t>
  </si>
  <si>
    <t>1704</t>
  </si>
  <si>
    <t>006413</t>
  </si>
  <si>
    <t>21120185013340504958</t>
  </si>
  <si>
    <t>1559</t>
  </si>
  <si>
    <t>18</t>
  </si>
  <si>
    <t>EL COLEGIO DE TAMAULIPAS</t>
  </si>
  <si>
    <t>TALLER DE INDUCCION A LA GESTION POR RESULTADOS</t>
  </si>
  <si>
    <t>1686</t>
  </si>
  <si>
    <t>00AL881</t>
  </si>
  <si>
    <t>1688</t>
  </si>
  <si>
    <t>00AL867</t>
  </si>
  <si>
    <t>AL866</t>
  </si>
  <si>
    <t>MANTENIMIENTO Y REPARACION DE EQ DE TRANSPORTE</t>
  </si>
  <si>
    <t>21120185013610504014</t>
  </si>
  <si>
    <t>1566</t>
  </si>
  <si>
    <t>42213</t>
  </si>
  <si>
    <t>PRENSA-CARDCAS (EL DIARIO)</t>
  </si>
  <si>
    <t>21120185013820500150</t>
  </si>
  <si>
    <t>1483</t>
  </si>
  <si>
    <t>A006400</t>
  </si>
  <si>
    <t>FERIA REGIONAL TAMAULIPAS-GASTOS DE ORDEN</t>
  </si>
  <si>
    <t>21120185014450500150</t>
  </si>
  <si>
    <t>1458</t>
  </si>
  <si>
    <t>A006423</t>
  </si>
  <si>
    <t>21120185015110502743</t>
  </si>
  <si>
    <t>1628</t>
  </si>
  <si>
    <t>0000A31</t>
  </si>
  <si>
    <t>DISPENSADOR DE AGUA</t>
  </si>
  <si>
    <t>21110185011310118071</t>
  </si>
  <si>
    <t>05/dic/2018</t>
  </si>
  <si>
    <t>39459</t>
  </si>
  <si>
    <t>ORTEGA REYES NORA HILDA</t>
  </si>
  <si>
    <t>PRIMA DE ANTIGUEDAD-ORTEGA REYES NORA HILDA</t>
  </si>
  <si>
    <t>21120185012210504352</t>
  </si>
  <si>
    <t>154</t>
  </si>
  <si>
    <t>935</t>
  </si>
  <si>
    <t>SORTEO DE CARTILLAS SEDENA</t>
  </si>
  <si>
    <t>108</t>
  </si>
  <si>
    <t>887</t>
  </si>
  <si>
    <t>888</t>
  </si>
  <si>
    <t>21120185013960503383</t>
  </si>
  <si>
    <t>106</t>
  </si>
  <si>
    <t>LLANTAS Y PARABRISAS GARZA, S.A. DE C.V.</t>
  </si>
  <si>
    <t>GASTOS POR RESPONSABILIDAD DEL MUNICIPIO</t>
  </si>
  <si>
    <t>510</t>
  </si>
  <si>
    <t>07/dic/2018</t>
  </si>
  <si>
    <t>300</t>
  </si>
  <si>
    <t>389861</t>
  </si>
  <si>
    <t>303</t>
  </si>
  <si>
    <t>389992</t>
  </si>
  <si>
    <t>389993</t>
  </si>
  <si>
    <t>313</t>
  </si>
  <si>
    <t>132802</t>
  </si>
  <si>
    <t>389859</t>
  </si>
  <si>
    <t>132801</t>
  </si>
  <si>
    <t>297</t>
  </si>
  <si>
    <t>133148</t>
  </si>
  <si>
    <t>132595</t>
  </si>
  <si>
    <t>389863</t>
  </si>
  <si>
    <t>311</t>
  </si>
  <si>
    <t>132803</t>
  </si>
  <si>
    <t>132804</t>
  </si>
  <si>
    <t>389840</t>
  </si>
  <si>
    <t>GASTOS DE OPERACION-MATERIAL MENOR DE OFICINA</t>
  </si>
  <si>
    <t>389862</t>
  </si>
  <si>
    <t>21120185012110504948</t>
  </si>
  <si>
    <t>310</t>
  </si>
  <si>
    <t>5013</t>
  </si>
  <si>
    <t>NIDIA ZULEMA GUZMAN GASTELUM</t>
  </si>
  <si>
    <t>315</t>
  </si>
  <si>
    <t>5015</t>
  </si>
  <si>
    <t>5012</t>
  </si>
  <si>
    <t>304</t>
  </si>
  <si>
    <t>132970</t>
  </si>
  <si>
    <t>306</t>
  </si>
  <si>
    <t>5046</t>
  </si>
  <si>
    <t>323</t>
  </si>
  <si>
    <t>2032</t>
  </si>
  <si>
    <t>2033</t>
  </si>
  <si>
    <t>302</t>
  </si>
  <si>
    <t>182</t>
  </si>
  <si>
    <t>GASTOS DE OPERACION-MATERIAL DE LIMPIEZA V MERCADO</t>
  </si>
  <si>
    <t>21120185012210502743</t>
  </si>
  <si>
    <t>298</t>
  </si>
  <si>
    <t>29</t>
  </si>
  <si>
    <t>SORTEO CARTILLA MILITAR-ALIMENTACION</t>
  </si>
  <si>
    <t>GASTOS DE OPERACION-AYUDAS A PERSONAS</t>
  </si>
  <si>
    <t>308</t>
  </si>
  <si>
    <t>REHABILITACION LAMPARAS EN CAMINO RECINTO FERIAL</t>
  </si>
  <si>
    <t>21120185013550504483</t>
  </si>
  <si>
    <t>322</t>
  </si>
  <si>
    <t>413550</t>
  </si>
  <si>
    <t>413552</t>
  </si>
  <si>
    <t>413553</t>
  </si>
  <si>
    <t>413555</t>
  </si>
  <si>
    <t>413556</t>
  </si>
  <si>
    <t>413557</t>
  </si>
  <si>
    <t>513551</t>
  </si>
  <si>
    <t>513554</t>
  </si>
  <si>
    <t>413558</t>
  </si>
  <si>
    <t>413559</t>
  </si>
  <si>
    <t>413560</t>
  </si>
  <si>
    <t>413561</t>
  </si>
  <si>
    <t>413562</t>
  </si>
  <si>
    <t>413563</t>
  </si>
  <si>
    <t>413565</t>
  </si>
  <si>
    <t>513564</t>
  </si>
  <si>
    <t>21120185013570500132</t>
  </si>
  <si>
    <t>324</t>
  </si>
  <si>
    <t>900</t>
  </si>
  <si>
    <t>21120185014410504338</t>
  </si>
  <si>
    <t>309</t>
  </si>
  <si>
    <t>17643</t>
  </si>
  <si>
    <t>CAMPO ELECTRICO DE VICTORIA, S.A. DE C.V.</t>
  </si>
  <si>
    <t>10/dic/2018</t>
  </si>
  <si>
    <t>348</t>
  </si>
  <si>
    <t>0001165</t>
  </si>
  <si>
    <t>21120184023250400118</t>
  </si>
  <si>
    <t>11/dic/2018</t>
  </si>
  <si>
    <t>384</t>
  </si>
  <si>
    <t>00SIS18</t>
  </si>
  <si>
    <t>SERVICIOS INDUSTRIALES SIGSA, S.A. DE C.V.</t>
  </si>
  <si>
    <t>ARRENDAMIENTO JEEP GRAND CHEROKKE 2017</t>
  </si>
  <si>
    <t>21120184023310504957</t>
  </si>
  <si>
    <t>0000260</t>
  </si>
  <si>
    <t>CONOCEDORES Y ASESORES, S.A. DE C.V.</t>
  </si>
  <si>
    <t>ASESORIA LEGAL Y CONTABLE-CONOCEDORES Y ASESORES</t>
  </si>
  <si>
    <t>21120185011540504966</t>
  </si>
  <si>
    <t>475</t>
  </si>
  <si>
    <t>00A2956</t>
  </si>
  <si>
    <t>RETINA Y OFTALMOLOGIA LASER S.C.</t>
  </si>
  <si>
    <t>ATENCION MEDICA-RETINA Y OFTALMOLOGIA LASER S.C.</t>
  </si>
  <si>
    <t>00A2961</t>
  </si>
  <si>
    <t>00A2978</t>
  </si>
  <si>
    <t>2068</t>
  </si>
  <si>
    <t>2071</t>
  </si>
  <si>
    <t>2069</t>
  </si>
  <si>
    <t>2070</t>
  </si>
  <si>
    <t>21120185012210504991</t>
  </si>
  <si>
    <t>FERNANDO OLVERA GALLARDO</t>
  </si>
  <si>
    <t>4774</t>
  </si>
  <si>
    <t>445</t>
  </si>
  <si>
    <t>2075</t>
  </si>
  <si>
    <t>CONVOCATORIA PREMIO MUNICIPAL DEL DEPORTE-IMPRESO</t>
  </si>
  <si>
    <t>4765</t>
  </si>
  <si>
    <t>4772</t>
  </si>
  <si>
    <t>4767</t>
  </si>
  <si>
    <t>4766</t>
  </si>
  <si>
    <t>GASTOS DE OPERACION-AYUDAS A INST. ENSEÑANZAS</t>
  </si>
  <si>
    <t>4769</t>
  </si>
  <si>
    <t>443</t>
  </si>
  <si>
    <t>4770</t>
  </si>
  <si>
    <t>4771</t>
  </si>
  <si>
    <t>6434</t>
  </si>
  <si>
    <t>6432</t>
  </si>
  <si>
    <t>6433</t>
  </si>
  <si>
    <t>2072</t>
  </si>
  <si>
    <t>4764</t>
  </si>
  <si>
    <t>2073</t>
  </si>
  <si>
    <t>6431</t>
  </si>
  <si>
    <t>21120185013510500002</t>
  </si>
  <si>
    <t>2077</t>
  </si>
  <si>
    <t>GASTOS DE OPERACION-MANTTO MENOR DE INMUEBLES</t>
  </si>
  <si>
    <t>21120185013510504991</t>
  </si>
  <si>
    <t>25</t>
  </si>
  <si>
    <t>GASTO DE OPERACION-CONS Y MATTO MENOR INMUEBLES</t>
  </si>
  <si>
    <t>21120185013750500550</t>
  </si>
  <si>
    <t>479</t>
  </si>
  <si>
    <t>0C12891</t>
  </si>
  <si>
    <t>GASTOS DE OPERACION-VIATICOS</t>
  </si>
  <si>
    <t>0C12892</t>
  </si>
  <si>
    <t>0013312</t>
  </si>
  <si>
    <t>0013313</t>
  </si>
  <si>
    <t>21120185013430502671</t>
  </si>
  <si>
    <t>12/dic/2018</t>
  </si>
  <si>
    <t>584</t>
  </si>
  <si>
    <t>00VCB96</t>
  </si>
  <si>
    <t>TRASLADO DE VALORES Y SERVICIOS DE CUSTODIA</t>
  </si>
  <si>
    <t>582</t>
  </si>
  <si>
    <t>00VCB95</t>
  </si>
  <si>
    <t>13/dic/2018</t>
  </si>
  <si>
    <t>814</t>
  </si>
  <si>
    <t>0389850</t>
  </si>
  <si>
    <t>GASTOS DE OPERACION-MATERIALES, UTILES Y EQUPOS</t>
  </si>
  <si>
    <t>0390314</t>
  </si>
  <si>
    <t>0390316</t>
  </si>
  <si>
    <t>0388563</t>
  </si>
  <si>
    <t>0390107</t>
  </si>
  <si>
    <t>0005011</t>
  </si>
  <si>
    <t>0005016</t>
  </si>
  <si>
    <t>MATERIALES, UTILES Y EQ MENORES DE OFICINA</t>
  </si>
  <si>
    <t>0005017</t>
  </si>
  <si>
    <t>0390382</t>
  </si>
  <si>
    <t>0005010</t>
  </si>
  <si>
    <t>0005051</t>
  </si>
  <si>
    <t>0005047</t>
  </si>
  <si>
    <t>0390389</t>
  </si>
  <si>
    <t>0390394</t>
  </si>
  <si>
    <t>GASTOS DE OPERACION-MATERIALES Y UTILES DE TEGNOLG</t>
  </si>
  <si>
    <t>0005050</t>
  </si>
  <si>
    <t>0005052</t>
  </si>
  <si>
    <t>21120185012120500041</t>
  </si>
  <si>
    <t>0133210</t>
  </si>
  <si>
    <t>0133127</t>
  </si>
  <si>
    <t>0133215</t>
  </si>
  <si>
    <t>0131940</t>
  </si>
  <si>
    <t>0133122</t>
  </si>
  <si>
    <t>0133195</t>
  </si>
  <si>
    <t>0133075</t>
  </si>
  <si>
    <t>0133203</t>
  </si>
  <si>
    <t>0133213</t>
  </si>
  <si>
    <t>0133209</t>
  </si>
  <si>
    <t>0133211</t>
  </si>
  <si>
    <t>0133214</t>
  </si>
  <si>
    <t>0133128</t>
  </si>
  <si>
    <t>0133147</t>
  </si>
  <si>
    <t>0133121</t>
  </si>
  <si>
    <t>0133220</t>
  </si>
  <si>
    <t>MATERIALES UTILES Y EQ MENORES DE OFICINA</t>
  </si>
  <si>
    <t>0132599</t>
  </si>
  <si>
    <t>0132586</t>
  </si>
  <si>
    <t>0131939</t>
  </si>
  <si>
    <t>0133162</t>
  </si>
  <si>
    <t>0133123</t>
  </si>
  <si>
    <t>0133077</t>
  </si>
  <si>
    <t>CARNAVAL VICTORIA VIVA 2018-MATERIALES DE OFICINA</t>
  </si>
  <si>
    <t>0133187</t>
  </si>
  <si>
    <t>0133124</t>
  </si>
  <si>
    <t>0133155</t>
  </si>
  <si>
    <t>GASTOS DE OPERACION-MATERIALES UTILES Y EQ MENORES</t>
  </si>
  <si>
    <t>0133206</t>
  </si>
  <si>
    <t>0133160</t>
  </si>
  <si>
    <t>000B180</t>
  </si>
  <si>
    <t>000B181</t>
  </si>
  <si>
    <t>0044910</t>
  </si>
  <si>
    <t>790</t>
  </si>
  <si>
    <t>0199654</t>
  </si>
  <si>
    <t>0199655</t>
  </si>
  <si>
    <t>21120185012990501442</t>
  </si>
  <si>
    <t>806</t>
  </si>
  <si>
    <t>0000113</t>
  </si>
  <si>
    <t xml:space="preserve">REFACCIONES Y EQ MENORES PARA SEMAFOROS </t>
  </si>
  <si>
    <t>21120185013310504953</t>
  </si>
  <si>
    <t>0000334</t>
  </si>
  <si>
    <t>GRUPO COMERCIALIZADORA OTKS, S.A. DE C.V.</t>
  </si>
  <si>
    <t>GASTOS DE OPERACION-SERVICIO DE ASESORIA OTKS</t>
  </si>
  <si>
    <t>0000335</t>
  </si>
  <si>
    <t>21120185014410504919</t>
  </si>
  <si>
    <t>803</t>
  </si>
  <si>
    <t>0000046</t>
  </si>
  <si>
    <t>COMERCIALIZADORA HJA, S,A, DE C,V,</t>
  </si>
  <si>
    <t>AYUDA A PERSONAS DESPENSAS</t>
  </si>
  <si>
    <t>14/dic/2018</t>
  </si>
  <si>
    <t>133391</t>
  </si>
  <si>
    <t>133392</t>
  </si>
  <si>
    <t>133393</t>
  </si>
  <si>
    <t>133394</t>
  </si>
  <si>
    <t>21120185012120500002</t>
  </si>
  <si>
    <t>924</t>
  </si>
  <si>
    <t>0002086</t>
  </si>
  <si>
    <t>GASTOS DE OPERACION-TRIPTICOS</t>
  </si>
  <si>
    <t>923</t>
  </si>
  <si>
    <t>0002087</t>
  </si>
  <si>
    <t>852</t>
  </si>
  <si>
    <t>2083</t>
  </si>
  <si>
    <t>2084</t>
  </si>
  <si>
    <t>GASTOS DE OPERACION-DIA DE MUERTOS Y CATRINAS</t>
  </si>
  <si>
    <t>2076</t>
  </si>
  <si>
    <t>2081</t>
  </si>
  <si>
    <t>MATERIAL IMPRESO E INFORMACION DIGITAL</t>
  </si>
  <si>
    <t>2082</t>
  </si>
  <si>
    <t>916</t>
  </si>
  <si>
    <t>CARNAVAL VICTORIA CIUDAD VIVA 2018</t>
  </si>
  <si>
    <t>21120185012730502266</t>
  </si>
  <si>
    <t>850</t>
  </si>
  <si>
    <t>28170</t>
  </si>
  <si>
    <t>ELIEZER CALDERON LOPEZ</t>
  </si>
  <si>
    <t>28188</t>
  </si>
  <si>
    <t>21120185013220502199</t>
  </si>
  <si>
    <t>1012</t>
  </si>
  <si>
    <t>F394</t>
  </si>
  <si>
    <t xml:space="preserve">ARRENDAMIENTO DE EDIFICIO ALMACEN </t>
  </si>
  <si>
    <t>21120185013220500084</t>
  </si>
  <si>
    <t>995</t>
  </si>
  <si>
    <t>203</t>
  </si>
  <si>
    <t>ARRENDAMIENTO DE INMUEBLE PRODUCTIVIDAD RURAL</t>
  </si>
  <si>
    <t>21120185013220503868</t>
  </si>
  <si>
    <t>289</t>
  </si>
  <si>
    <t>ARRENDAMIENTO DE INMUEBLES OFICINAS DE DEPORTES</t>
  </si>
  <si>
    <t>21120185013220500017</t>
  </si>
  <si>
    <t>130</t>
  </si>
  <si>
    <t xml:space="preserve">MARTHA ELIZABETH HINOJOSA FAJARDO </t>
  </si>
  <si>
    <t>ARRENDAMIENTO DE EDIFICIO-HINOJOSA FAJARDO MARTHA</t>
  </si>
  <si>
    <t>131</t>
  </si>
  <si>
    <t>965</t>
  </si>
  <si>
    <t>288</t>
  </si>
  <si>
    <t>GASTO OPERACION -RENTA OFICINAS CABILDO</t>
  </si>
  <si>
    <t>21120185013220504993</t>
  </si>
  <si>
    <t>1011</t>
  </si>
  <si>
    <t>116BC15</t>
  </si>
  <si>
    <t>MARIO ALBERTO DE LA GARZA GUAJARDO</t>
  </si>
  <si>
    <t>838</t>
  </si>
  <si>
    <t>4775</t>
  </si>
  <si>
    <t>4763</t>
  </si>
  <si>
    <t>4773</t>
  </si>
  <si>
    <t>4768</t>
  </si>
  <si>
    <t>914</t>
  </si>
  <si>
    <t>0006447</t>
  </si>
  <si>
    <t>915</t>
  </si>
  <si>
    <t>0006443</t>
  </si>
  <si>
    <t>0006446</t>
  </si>
  <si>
    <t>0006448</t>
  </si>
  <si>
    <t>913</t>
  </si>
  <si>
    <t>0006451</t>
  </si>
  <si>
    <t>0006444</t>
  </si>
  <si>
    <t>006449</t>
  </si>
  <si>
    <t>894</t>
  </si>
  <si>
    <t>0002088</t>
  </si>
  <si>
    <t>0006445</t>
  </si>
  <si>
    <t>895</t>
  </si>
  <si>
    <t>0006450</t>
  </si>
  <si>
    <t>21120185013390400128</t>
  </si>
  <si>
    <t>860</t>
  </si>
  <si>
    <t>20F6EEB</t>
  </si>
  <si>
    <t>GRUPO EMPRESARIAL CANSAL, S.A. DE C.V.</t>
  </si>
  <si>
    <t>SERVICIOS PROFESIONALES-GRUPO CANSAL</t>
  </si>
  <si>
    <t>21120185013390504612</t>
  </si>
  <si>
    <t>1014</t>
  </si>
  <si>
    <t>A2784</t>
  </si>
  <si>
    <t>GASTOS DE OPERACIOM-SERVICIO DE CONSULTORIA</t>
  </si>
  <si>
    <t>911</t>
  </si>
  <si>
    <t>839</t>
  </si>
  <si>
    <t>917</t>
  </si>
  <si>
    <t>MANTENIMIENTO Y REPARACION DE EQ TRANSPORTE</t>
  </si>
  <si>
    <t>918</t>
  </si>
  <si>
    <t>932</t>
  </si>
  <si>
    <t>00AL936</t>
  </si>
  <si>
    <t>00AL935</t>
  </si>
  <si>
    <t>910</t>
  </si>
  <si>
    <t>928</t>
  </si>
  <si>
    <t>0000A58</t>
  </si>
  <si>
    <t>0000A44</t>
  </si>
  <si>
    <t>0000A46</t>
  </si>
  <si>
    <t>0000A45</t>
  </si>
  <si>
    <t>21120185013580400084</t>
  </si>
  <si>
    <t>939</t>
  </si>
  <si>
    <t>A39</t>
  </si>
  <si>
    <t>RAMFAB, S.A. DE C.V.</t>
  </si>
  <si>
    <t>GASTOS DE OPERACION-RENTA DE MAQUINARIA</t>
  </si>
  <si>
    <t>936</t>
  </si>
  <si>
    <t>A40</t>
  </si>
  <si>
    <t>937</t>
  </si>
  <si>
    <t>A41</t>
  </si>
  <si>
    <t>952</t>
  </si>
  <si>
    <t>A35</t>
  </si>
  <si>
    <t>GASTO DE OPERACION-ARRENDAMIENTO MAQUINARIA</t>
  </si>
  <si>
    <t>A36</t>
  </si>
  <si>
    <t>951</t>
  </si>
  <si>
    <t>A37</t>
  </si>
  <si>
    <t>A38</t>
  </si>
  <si>
    <t>A42</t>
  </si>
  <si>
    <t>A43</t>
  </si>
  <si>
    <t>21120185013580400008</t>
  </si>
  <si>
    <t>980</t>
  </si>
  <si>
    <t>2FC73CB</t>
  </si>
  <si>
    <t>MIGUEL ANGEL GRACIA PALACIOS</t>
  </si>
  <si>
    <t>CAMION INTERNATIONAL SERIE-3T9CAMDN93F080275</t>
  </si>
  <si>
    <t>979</t>
  </si>
  <si>
    <t>7C27F7E</t>
  </si>
  <si>
    <t>977</t>
  </si>
  <si>
    <t>F22CFAA</t>
  </si>
  <si>
    <t>A18</t>
  </si>
  <si>
    <t>CAMION DE VOLTEO KEENWORTH MODELO 1981 1XKWD29X2BK</t>
  </si>
  <si>
    <t>A21</t>
  </si>
  <si>
    <t>A22</t>
  </si>
  <si>
    <t>A23</t>
  </si>
  <si>
    <t>A24</t>
  </si>
  <si>
    <t>A25</t>
  </si>
  <si>
    <t>A30</t>
  </si>
  <si>
    <t>RETOEXCAVADORA 416C SERIE 4ZN03950 MARCA CATERPILL</t>
  </si>
  <si>
    <t>A31</t>
  </si>
  <si>
    <t>A32</t>
  </si>
  <si>
    <t>975</t>
  </si>
  <si>
    <t>161BE13</t>
  </si>
  <si>
    <t>978</t>
  </si>
  <si>
    <t>1EA89E4</t>
  </si>
  <si>
    <t>21120185013580504291</t>
  </si>
  <si>
    <t>983</t>
  </si>
  <si>
    <t>780E6A5</t>
  </si>
  <si>
    <t>CONSTRUCCIONES SISTEMAS Y EQUIPO, S.A. DE C.V.</t>
  </si>
  <si>
    <t>21120185013580502158</t>
  </si>
  <si>
    <t>953</t>
  </si>
  <si>
    <t>CONSTRUEPAC, S.A. DE C.V.</t>
  </si>
  <si>
    <t>444</t>
  </si>
  <si>
    <t>21120185013580502599</t>
  </si>
  <si>
    <t>864</t>
  </si>
  <si>
    <t>A684</t>
  </si>
  <si>
    <t>CONSULTORIA Y CONSTRUCCIONES DEL NORTE,SA.CV.</t>
  </si>
  <si>
    <t>861</t>
  </si>
  <si>
    <t>A685</t>
  </si>
  <si>
    <t>A686</t>
  </si>
  <si>
    <t>A687</t>
  </si>
  <si>
    <t>21120185013580504549</t>
  </si>
  <si>
    <t>1357</t>
  </si>
  <si>
    <t>ELSA VERONICA CELIS MOSCOSO</t>
  </si>
  <si>
    <t>GASTO DE OPERACION-RENTA DE CAMIONES LIMPIEZA</t>
  </si>
  <si>
    <t>1002</t>
  </si>
  <si>
    <t>1358</t>
  </si>
  <si>
    <t>21120185013580502721</t>
  </si>
  <si>
    <t>987</t>
  </si>
  <si>
    <t>GRUPO FHIT, S.A. DE C.V.</t>
  </si>
  <si>
    <t>GASTOS DE OPERACION-CAMION VOLTEOPLACAS WN84594</t>
  </si>
  <si>
    <t>988</t>
  </si>
  <si>
    <t>A26</t>
  </si>
  <si>
    <t>21120185013580504300</t>
  </si>
  <si>
    <t>865</t>
  </si>
  <si>
    <t>GUIEGSA CONSTRUCCIONES, S.A. DE C.V.</t>
  </si>
  <si>
    <t>866</t>
  </si>
  <si>
    <t>867</t>
  </si>
  <si>
    <t>21120185013580501566</t>
  </si>
  <si>
    <t>992</t>
  </si>
  <si>
    <t>596</t>
  </si>
  <si>
    <t>INDEEG, S.A. DE C.V.</t>
  </si>
  <si>
    <t>989</t>
  </si>
  <si>
    <t>S94</t>
  </si>
  <si>
    <t>990</t>
  </si>
  <si>
    <t>S95</t>
  </si>
  <si>
    <t>21120185013580500255</t>
  </si>
  <si>
    <t>998</t>
  </si>
  <si>
    <t>113</t>
  </si>
  <si>
    <t>RAMIRO DE JESUS HERNANDEZ VALENCIA</t>
  </si>
  <si>
    <t>954</t>
  </si>
  <si>
    <t>447</t>
  </si>
  <si>
    <t>448</t>
  </si>
  <si>
    <t>21120185013580504906</t>
  </si>
  <si>
    <t>984</t>
  </si>
  <si>
    <t>029B3BB</t>
  </si>
  <si>
    <t>OZIEL YAMALLIEL ROCHA RAUDI</t>
  </si>
  <si>
    <t>986</t>
  </si>
  <si>
    <t>10A58B3</t>
  </si>
  <si>
    <t>49F3942</t>
  </si>
  <si>
    <t>6CAE824</t>
  </si>
  <si>
    <t>6EB50F5</t>
  </si>
  <si>
    <t>955A321</t>
  </si>
  <si>
    <t>AAAFE49</t>
  </si>
  <si>
    <t>985</t>
  </si>
  <si>
    <t>BD0844B</t>
  </si>
  <si>
    <t>BD0EA88</t>
  </si>
  <si>
    <t>21120185013580502200</t>
  </si>
  <si>
    <t>A939</t>
  </si>
  <si>
    <t>EDUARDO BENITEZ GARZA</t>
  </si>
  <si>
    <t>TRACTOR D8N RELLENO SANITARIO</t>
  </si>
  <si>
    <t>A941</t>
  </si>
  <si>
    <t>MAQUINA BULL CATERPILLAR (PATA DE CABRA) MOD 815F</t>
  </si>
  <si>
    <t>1016</t>
  </si>
  <si>
    <t>982</t>
  </si>
  <si>
    <t>DC4C0FA</t>
  </si>
  <si>
    <t>A940</t>
  </si>
  <si>
    <t>A942</t>
  </si>
  <si>
    <t>21120185013820171475</t>
  </si>
  <si>
    <t>891</t>
  </si>
  <si>
    <t>39544</t>
  </si>
  <si>
    <t>MARCO VARGAS GALVAN</t>
  </si>
  <si>
    <t>PROGRAMA PERMANENTE DE LUCHA LIBRE SULAIMAN</t>
  </si>
  <si>
    <t>21120185013820504991</t>
  </si>
  <si>
    <t>0000023</t>
  </si>
  <si>
    <t>SUMINISTRO E INSTALACION DE PISTA DE HIELO</t>
  </si>
  <si>
    <t>21120185015230504919</t>
  </si>
  <si>
    <t>848</t>
  </si>
  <si>
    <t>56</t>
  </si>
  <si>
    <t>TELEFONO INALAMBRICO DUO ALCATEL</t>
  </si>
  <si>
    <t>57</t>
  </si>
  <si>
    <t>CAMARA COMPACTA CANNON</t>
  </si>
  <si>
    <t>55</t>
  </si>
  <si>
    <t>21120185013580400123</t>
  </si>
  <si>
    <t>949</t>
  </si>
  <si>
    <t>354F597</t>
  </si>
  <si>
    <t>NORMA ELIZABETH LERMA LOPEZ</t>
  </si>
  <si>
    <t>947</t>
  </si>
  <si>
    <t>47DF61D</t>
  </si>
  <si>
    <t>948</t>
  </si>
  <si>
    <t>59D2CF3</t>
  </si>
  <si>
    <t>89D6ECE</t>
  </si>
  <si>
    <t>D89A585</t>
  </si>
  <si>
    <t>FAE5E1C</t>
  </si>
  <si>
    <t>21120185013580504974</t>
  </si>
  <si>
    <t>946</t>
  </si>
  <si>
    <t>3B15ACC</t>
  </si>
  <si>
    <t>DELSY ARELY SANCHEZ AVALOS</t>
  </si>
  <si>
    <t>945</t>
  </si>
  <si>
    <t>7FBB33E</t>
  </si>
  <si>
    <t>98D68C2</t>
  </si>
  <si>
    <t>9FB5598</t>
  </si>
  <si>
    <t>A997335</t>
  </si>
  <si>
    <t>21120185013580504975</t>
  </si>
  <si>
    <t>943</t>
  </si>
  <si>
    <t>4FD2D99</t>
  </si>
  <si>
    <t>FRANCISCO JAVIER GUERRERO SOTO</t>
  </si>
  <si>
    <t>8F4D970</t>
  </si>
  <si>
    <t>C168A5D</t>
  </si>
  <si>
    <t>FD40B47</t>
  </si>
  <si>
    <t>21110185013960181833</t>
  </si>
  <si>
    <t>17/dic/2018</t>
  </si>
  <si>
    <t>1068</t>
  </si>
  <si>
    <t>39545</t>
  </si>
  <si>
    <t>JULIO ANTONIO CONTRERAS ALCOCER</t>
  </si>
  <si>
    <t>GASTOS DE OPERACION-JULIO ANTONIO CONTRERAS</t>
  </si>
  <si>
    <t>1063</t>
  </si>
  <si>
    <t>0390917</t>
  </si>
  <si>
    <t>21120185012160503711</t>
  </si>
  <si>
    <t>1079</t>
  </si>
  <si>
    <t>0M21596</t>
  </si>
  <si>
    <t>MESIL, S.A. DE C.V.</t>
  </si>
  <si>
    <t>0M21586</t>
  </si>
  <si>
    <t>21120185013220504616</t>
  </si>
  <si>
    <t>951F18C</t>
  </si>
  <si>
    <t>SERGIO EDUARDO URIEGAS CAMARGO</t>
  </si>
  <si>
    <t>RENTA DE INMUEBLE CENDI DEL AYUNTAMIENTO</t>
  </si>
  <si>
    <t>MULT913</t>
  </si>
  <si>
    <t>1055</t>
  </si>
  <si>
    <t>MULT912</t>
  </si>
  <si>
    <t>1035</t>
  </si>
  <si>
    <t>00AL942</t>
  </si>
  <si>
    <t>1197</t>
  </si>
  <si>
    <t>B2D41A7</t>
  </si>
  <si>
    <t>21120185014450503711</t>
  </si>
  <si>
    <t>0M21388</t>
  </si>
  <si>
    <t>1083</t>
  </si>
  <si>
    <t>0M21387</t>
  </si>
  <si>
    <t>21130185026140400111</t>
  </si>
  <si>
    <t>1249</t>
  </si>
  <si>
    <t>A168</t>
  </si>
  <si>
    <t>SICTAM, S.A. DE C.V.</t>
  </si>
  <si>
    <t>BARRIO CAÑON DE LA PEREGRINA OF.808</t>
  </si>
  <si>
    <t>1250</t>
  </si>
  <si>
    <t>A169</t>
  </si>
  <si>
    <t>COL.VAMOS TAMAULIPAS 1,2,3,4 ETAPA OF.811</t>
  </si>
  <si>
    <t>21130185026140400074</t>
  </si>
  <si>
    <t>1253</t>
  </si>
  <si>
    <t>A12761</t>
  </si>
  <si>
    <t>PINTURAS, MANTENIMIENTOS Y ACABADOS DEL NTE.SA CV</t>
  </si>
  <si>
    <t>COL.TOMAS YARRINGTON OF.1024</t>
  </si>
  <si>
    <t>1252</t>
  </si>
  <si>
    <t>A12491</t>
  </si>
  <si>
    <t>COL.VAMOS TAMAULIPAS OF.1062</t>
  </si>
  <si>
    <t>A12494</t>
  </si>
  <si>
    <t>COL.MANUEL CAVAZOS LERMA OF.1061</t>
  </si>
  <si>
    <t>21130185026140504511</t>
  </si>
  <si>
    <t>1248</t>
  </si>
  <si>
    <t>JEMCIA, S.A. DE C.V.</t>
  </si>
  <si>
    <t>COL.VAMOS TAMAULIPAS OF.1045</t>
  </si>
  <si>
    <t>21130185026140504605</t>
  </si>
  <si>
    <t>1251</t>
  </si>
  <si>
    <t>1AD048</t>
  </si>
  <si>
    <t>SOFTMAT SA DE CV</t>
  </si>
  <si>
    <t>COL.ALTAVISTA OF.1023</t>
  </si>
  <si>
    <t>21130185236140400111</t>
  </si>
  <si>
    <t>1260</t>
  </si>
  <si>
    <t>A170</t>
  </si>
  <si>
    <t>COL.ADOLFO LOPEZ MATEOS OF.0513</t>
  </si>
  <si>
    <t>21130185236140400074</t>
  </si>
  <si>
    <t>A12490</t>
  </si>
  <si>
    <t>COL.SATELITE OF.0584</t>
  </si>
  <si>
    <t>21130185236140500473</t>
  </si>
  <si>
    <t>A277</t>
  </si>
  <si>
    <t>SUMINISTROS Y SERVICIOS DE VICTORIA, S.A. DE C.V.</t>
  </si>
  <si>
    <t>AV.FRANCISCO I. MADERO OF.582</t>
  </si>
  <si>
    <t>1269</t>
  </si>
  <si>
    <t>A280</t>
  </si>
  <si>
    <t>AV.FRANCISCO I MADERO OF.583</t>
  </si>
  <si>
    <t>21130185336140400121</t>
  </si>
  <si>
    <t>1268</t>
  </si>
  <si>
    <t>482</t>
  </si>
  <si>
    <t>YEIRI GERARDO OCHOA GONZALEZ</t>
  </si>
  <si>
    <t>FRACC.AZTECA OF.73</t>
  </si>
  <si>
    <t>21130185336140504952</t>
  </si>
  <si>
    <t>A07</t>
  </si>
  <si>
    <t>MARIO RESENDIZ RAGA</t>
  </si>
  <si>
    <t>FRACC.LAS FLORES OF.74</t>
  </si>
  <si>
    <t>21130185336140504289</t>
  </si>
  <si>
    <t>AA15</t>
  </si>
  <si>
    <t>GRUPO DESARROLLADOR RAMSER, S.A. DE C.V.</t>
  </si>
  <si>
    <t>FRACC.DEL VALLE OF.75</t>
  </si>
  <si>
    <t>21130185336140501981</t>
  </si>
  <si>
    <t>1243</t>
  </si>
  <si>
    <t>A200</t>
  </si>
  <si>
    <t>INFRAESTRUCTURA Y PAVIMENTOS ASFALTICOS,SA.CV</t>
  </si>
  <si>
    <t>COL.SIERRA MADRE OF.85</t>
  </si>
  <si>
    <t>21130185376140400078</t>
  </si>
  <si>
    <t>A121</t>
  </si>
  <si>
    <t>MS2 CONSTRUCCIONES, S.A. DE C.V.</t>
  </si>
  <si>
    <t>COL.VIVIENDAS POPULARES OF.87</t>
  </si>
  <si>
    <t>21110185011520137296</t>
  </si>
  <si>
    <t>18/dic/2018</t>
  </si>
  <si>
    <t>1324</t>
  </si>
  <si>
    <t>39573</t>
  </si>
  <si>
    <t>DIAZ ROSALES JOSE ANTONIO</t>
  </si>
  <si>
    <t>LIQUIDACION-DIAZ ROSALES JOSE ANTONIO</t>
  </si>
  <si>
    <t>21120185011520133297</t>
  </si>
  <si>
    <t>1320</t>
  </si>
  <si>
    <t>526905</t>
  </si>
  <si>
    <t>AGUILAR BERNAL JOSE FELICIANO</t>
  </si>
  <si>
    <t>INDEMNIZACIONES-AGUILAR BERNAL JOSE FELICIANO</t>
  </si>
  <si>
    <t>21120185011520137169</t>
  </si>
  <si>
    <t>1323</t>
  </si>
  <si>
    <t>39572</t>
  </si>
  <si>
    <t>MARTINEZ GONZALEZ RAFAEL</t>
  </si>
  <si>
    <t>LIQUIDACION-MARTINEZ GONZALEZ RAFAEL</t>
  </si>
  <si>
    <t>21120185013260500150</t>
  </si>
  <si>
    <t>1292</t>
  </si>
  <si>
    <t>FA06463</t>
  </si>
  <si>
    <t>GASTOS DE OPERAION-PISTA DE HIELO</t>
  </si>
  <si>
    <t>21120185013260504881</t>
  </si>
  <si>
    <t>2353</t>
  </si>
  <si>
    <t>392</t>
  </si>
  <si>
    <t>GABRIELA MEDINA REYES</t>
  </si>
  <si>
    <t>21120185013820400117</t>
  </si>
  <si>
    <t>1337</t>
  </si>
  <si>
    <t>B5611AB</t>
  </si>
  <si>
    <t>CONSTRUCTORA VILLACAP, S.A. DE C.V.</t>
  </si>
  <si>
    <t>SET FOTOGRAFICO PARA SANTA CLOS</t>
  </si>
  <si>
    <t>1339</t>
  </si>
  <si>
    <t>D1918E8</t>
  </si>
  <si>
    <t>CONJUNTO DE ADORNOS DECORATIVOS DE NAVIDAD</t>
  </si>
  <si>
    <t>21120185013820504908</t>
  </si>
  <si>
    <t>1338</t>
  </si>
  <si>
    <t>ACF2CD5</t>
  </si>
  <si>
    <t>EDSON JASSIEL MARTINEZ SALAZAR</t>
  </si>
  <si>
    <t>ILUMINACION NAVIDEÑA CALLE 17</t>
  </si>
  <si>
    <t>21120185011540503910</t>
  </si>
  <si>
    <t>19/dic/2018</t>
  </si>
  <si>
    <t>1474</t>
  </si>
  <si>
    <t>CARLOS GABRIEL PEREZ PUENTE</t>
  </si>
  <si>
    <t>GASTOS DE OPERACION-PEREZ PUENTE CARLOS G. BIOMEX</t>
  </si>
  <si>
    <t>1473</t>
  </si>
  <si>
    <t>1621</t>
  </si>
  <si>
    <t>1472</t>
  </si>
  <si>
    <t>1639</t>
  </si>
  <si>
    <t>21120185012610504535</t>
  </si>
  <si>
    <t>1455</t>
  </si>
  <si>
    <t>FV461A</t>
  </si>
  <si>
    <t>21658F</t>
  </si>
  <si>
    <t>1446</t>
  </si>
  <si>
    <t>I21692E</t>
  </si>
  <si>
    <t>1487</t>
  </si>
  <si>
    <t>21615E</t>
  </si>
  <si>
    <t>21615G</t>
  </si>
  <si>
    <t>21658D</t>
  </si>
  <si>
    <t>21658J</t>
  </si>
  <si>
    <t>21615A</t>
  </si>
  <si>
    <t>21658G</t>
  </si>
  <si>
    <t>1499</t>
  </si>
  <si>
    <t>21724A</t>
  </si>
  <si>
    <t>I21692A</t>
  </si>
  <si>
    <t>I21692D</t>
  </si>
  <si>
    <t>21724D</t>
  </si>
  <si>
    <t>FV461B</t>
  </si>
  <si>
    <t>21615D</t>
  </si>
  <si>
    <t>21658E</t>
  </si>
  <si>
    <t>I21692I</t>
  </si>
  <si>
    <t>21658H</t>
  </si>
  <si>
    <t>21724G</t>
  </si>
  <si>
    <t>I21692H</t>
  </si>
  <si>
    <t>21724H</t>
  </si>
  <si>
    <t>21658L</t>
  </si>
  <si>
    <t>21615F</t>
  </si>
  <si>
    <t>21615I</t>
  </si>
  <si>
    <t>21658I</t>
  </si>
  <si>
    <t>21724F</t>
  </si>
  <si>
    <t>I21692G</t>
  </si>
  <si>
    <t>21724J</t>
  </si>
  <si>
    <t>21724I</t>
  </si>
  <si>
    <t>I21692F</t>
  </si>
  <si>
    <t>21658K</t>
  </si>
  <si>
    <t>21615C</t>
  </si>
  <si>
    <t>I21692C</t>
  </si>
  <si>
    <t>I21692J</t>
  </si>
  <si>
    <t>21615J</t>
  </si>
  <si>
    <t>21724E</t>
  </si>
  <si>
    <t>21615</t>
  </si>
  <si>
    <t>FV461</t>
  </si>
  <si>
    <t>21658A</t>
  </si>
  <si>
    <t>21724</t>
  </si>
  <si>
    <t>21724C</t>
  </si>
  <si>
    <t>21724B</t>
  </si>
  <si>
    <t>21615B</t>
  </si>
  <si>
    <t>21658C</t>
  </si>
  <si>
    <t>21615H</t>
  </si>
  <si>
    <t>21658B</t>
  </si>
  <si>
    <t>0I21692</t>
  </si>
  <si>
    <t>I21692B</t>
  </si>
  <si>
    <t>21120185013450161065</t>
  </si>
  <si>
    <t>1411</t>
  </si>
  <si>
    <t>413862</t>
  </si>
  <si>
    <t>HDI SEGUROS S.A. DE C.V.</t>
  </si>
  <si>
    <t>SEGURO VEHICULAR MUNICIPIO</t>
  </si>
  <si>
    <t>21120185012610500494</t>
  </si>
  <si>
    <t>20/dic/2018</t>
  </si>
  <si>
    <t>1867</t>
  </si>
  <si>
    <t>70054</t>
  </si>
  <si>
    <t>GASTOS DE OPERACION-GAS LP</t>
  </si>
  <si>
    <t>1611</t>
  </si>
  <si>
    <t>I21730C</t>
  </si>
  <si>
    <t>1866</t>
  </si>
  <si>
    <t>70226</t>
  </si>
  <si>
    <t>1605</t>
  </si>
  <si>
    <t>IB70119</t>
  </si>
  <si>
    <t>0I21730</t>
  </si>
  <si>
    <t>GASTOS DE OPERACION-DIESEL SERVICIOS COMPLEMETANTI</t>
  </si>
  <si>
    <t>I21370A</t>
  </si>
  <si>
    <t>GOSTOS DE OPERACION-COMBUSTIBLES</t>
  </si>
  <si>
    <t>I21730B</t>
  </si>
  <si>
    <t>1602</t>
  </si>
  <si>
    <t>0C12890</t>
  </si>
  <si>
    <t>0013309</t>
  </si>
  <si>
    <t>21110185011540015156</t>
  </si>
  <si>
    <t>21/dic/2018</t>
  </si>
  <si>
    <t>2225</t>
  </si>
  <si>
    <t>39616</t>
  </si>
  <si>
    <t>ZUÑIGA ALVIZO FELIPA</t>
  </si>
  <si>
    <t xml:space="preserve">GASTOS DE OPERACION-GASTOS MEDICOS </t>
  </si>
  <si>
    <t>2131</t>
  </si>
  <si>
    <t>AL73352</t>
  </si>
  <si>
    <t>AL73433</t>
  </si>
  <si>
    <t>AL73436</t>
  </si>
  <si>
    <t>2133</t>
  </si>
  <si>
    <t>AL73350</t>
  </si>
  <si>
    <t>AL73351</t>
  </si>
  <si>
    <t>AL73357</t>
  </si>
  <si>
    <t>1917</t>
  </si>
  <si>
    <t>AL73431</t>
  </si>
  <si>
    <t>AL73434</t>
  </si>
  <si>
    <t>2136</t>
  </si>
  <si>
    <t>AL73347</t>
  </si>
  <si>
    <t>AL73437</t>
  </si>
  <si>
    <t>AL73432</t>
  </si>
  <si>
    <t>AL73348</t>
  </si>
  <si>
    <t>AL73435</t>
  </si>
  <si>
    <t>2126</t>
  </si>
  <si>
    <t>AD45170</t>
  </si>
  <si>
    <t>AL73426</t>
  </si>
  <si>
    <t>2128</t>
  </si>
  <si>
    <t>AD45171</t>
  </si>
  <si>
    <t>AD45324</t>
  </si>
  <si>
    <t>AL73430</t>
  </si>
  <si>
    <t>AD45323</t>
  </si>
  <si>
    <t>1918</t>
  </si>
  <si>
    <t>E104105</t>
  </si>
  <si>
    <t>E104103</t>
  </si>
  <si>
    <t>AG90497</t>
  </si>
  <si>
    <t>AG90498</t>
  </si>
  <si>
    <t>AI60404</t>
  </si>
  <si>
    <t>E104106</t>
  </si>
  <si>
    <t>AI60405</t>
  </si>
  <si>
    <t>AG90725</t>
  </si>
  <si>
    <t>AI60502</t>
  </si>
  <si>
    <t>AG90726</t>
  </si>
  <si>
    <t>AI60503</t>
  </si>
  <si>
    <t>AC46393</t>
  </si>
  <si>
    <t>F119235</t>
  </si>
  <si>
    <t>1922</t>
  </si>
  <si>
    <t>AI60553</t>
  </si>
  <si>
    <t>AJ48331</t>
  </si>
  <si>
    <t>AK77054</t>
  </si>
  <si>
    <t>AJ48137</t>
  </si>
  <si>
    <t>F119050</t>
  </si>
  <si>
    <t>AK76993</t>
  </si>
  <si>
    <t>AC46319</t>
  </si>
  <si>
    <t>AJ48315</t>
  </si>
  <si>
    <t>AC46172</t>
  </si>
  <si>
    <t>AF11865</t>
  </si>
  <si>
    <t>2165</t>
  </si>
  <si>
    <t>69275A</t>
  </si>
  <si>
    <t>69276A</t>
  </si>
  <si>
    <t>69277A</t>
  </si>
  <si>
    <t>69489</t>
  </si>
  <si>
    <t>69490</t>
  </si>
  <si>
    <t>69720</t>
  </si>
  <si>
    <t>69721</t>
  </si>
  <si>
    <t>69755</t>
  </si>
  <si>
    <t>68941A</t>
  </si>
  <si>
    <t>2146</t>
  </si>
  <si>
    <t>BE68737</t>
  </si>
  <si>
    <t>2010</t>
  </si>
  <si>
    <t>11188A</t>
  </si>
  <si>
    <t>GASTOS DE OPERACION-DIESEL ALUMBRADO</t>
  </si>
  <si>
    <t>2177</t>
  </si>
  <si>
    <t>68814A</t>
  </si>
  <si>
    <t>2119</t>
  </si>
  <si>
    <t>69170A</t>
  </si>
  <si>
    <t>69419A</t>
  </si>
  <si>
    <t>69274A</t>
  </si>
  <si>
    <t>69488</t>
  </si>
  <si>
    <t>2105</t>
  </si>
  <si>
    <t>68675A</t>
  </si>
  <si>
    <t>68856A</t>
  </si>
  <si>
    <t>69036A</t>
  </si>
  <si>
    <t>2205</t>
  </si>
  <si>
    <t>I21650D</t>
  </si>
  <si>
    <t>69192A</t>
  </si>
  <si>
    <t>69097A</t>
  </si>
  <si>
    <t>GATOS DE OPERACION-GAS LP</t>
  </si>
  <si>
    <t>69613A</t>
  </si>
  <si>
    <t>2107</t>
  </si>
  <si>
    <t>69304A</t>
  </si>
  <si>
    <t>2109</t>
  </si>
  <si>
    <t>69368A</t>
  </si>
  <si>
    <t>2113</t>
  </si>
  <si>
    <t>69446A</t>
  </si>
  <si>
    <t>69514A</t>
  </si>
  <si>
    <t>2108</t>
  </si>
  <si>
    <t>69445A</t>
  </si>
  <si>
    <t>69191A</t>
  </si>
  <si>
    <t>2104</t>
  </si>
  <si>
    <t>68026A</t>
  </si>
  <si>
    <t>68096</t>
  </si>
  <si>
    <t>69226A</t>
  </si>
  <si>
    <t>2110</t>
  </si>
  <si>
    <t>68025A</t>
  </si>
  <si>
    <t>68855A</t>
  </si>
  <si>
    <t>68964A</t>
  </si>
  <si>
    <t>BE68710</t>
  </si>
  <si>
    <t>69037A</t>
  </si>
  <si>
    <t>2106</t>
  </si>
  <si>
    <t>68815A</t>
  </si>
  <si>
    <t>68906A</t>
  </si>
  <si>
    <t>68991A</t>
  </si>
  <si>
    <t>BE68776</t>
  </si>
  <si>
    <t>2009</t>
  </si>
  <si>
    <t>11184A</t>
  </si>
  <si>
    <t>0I21648</t>
  </si>
  <si>
    <t>2202</t>
  </si>
  <si>
    <t>11153</t>
  </si>
  <si>
    <t>2003</t>
  </si>
  <si>
    <t>I21728A</t>
  </si>
  <si>
    <t>11156</t>
  </si>
  <si>
    <t>GASTOS DE OPERACION-DIESEL PARQUES Y JARDINES</t>
  </si>
  <si>
    <t>11184AB</t>
  </si>
  <si>
    <t>11188AC</t>
  </si>
  <si>
    <t>I21650A</t>
  </si>
  <si>
    <t>11188AB</t>
  </si>
  <si>
    <t>11184AC</t>
  </si>
  <si>
    <t>Q11153</t>
  </si>
  <si>
    <t>2007</t>
  </si>
  <si>
    <t>I21727A</t>
  </si>
  <si>
    <t>0I21647</t>
  </si>
  <si>
    <t>Q11156</t>
  </si>
  <si>
    <t>W11153</t>
  </si>
  <si>
    <t>2011</t>
  </si>
  <si>
    <t>11185A</t>
  </si>
  <si>
    <t>GASTOS DE OPERACION-DIESEL</t>
  </si>
  <si>
    <t>2008</t>
  </si>
  <si>
    <t>I21726A</t>
  </si>
  <si>
    <t>11155</t>
  </si>
  <si>
    <t>0I21646</t>
  </si>
  <si>
    <t>11154</t>
  </si>
  <si>
    <t>I21650B</t>
  </si>
  <si>
    <t>21727AB</t>
  </si>
  <si>
    <t>GASTOS DE OPERACION-CONSERVACION DE PAVIMENTOS DIE</t>
  </si>
  <si>
    <t>I21647B</t>
  </si>
  <si>
    <t>2004</t>
  </si>
  <si>
    <t>21729AB</t>
  </si>
  <si>
    <t>I21649B</t>
  </si>
  <si>
    <t>I21650C</t>
  </si>
  <si>
    <t>I21729A</t>
  </si>
  <si>
    <t>I21649A</t>
  </si>
  <si>
    <t>I21651</t>
  </si>
  <si>
    <t>2005</t>
  </si>
  <si>
    <t>I21731A</t>
  </si>
  <si>
    <t>2012</t>
  </si>
  <si>
    <t>11186A</t>
  </si>
  <si>
    <t>2155</t>
  </si>
  <si>
    <t>Q11080</t>
  </si>
  <si>
    <t>2201</t>
  </si>
  <si>
    <t>11158AB</t>
  </si>
  <si>
    <t>2002</t>
  </si>
  <si>
    <t>11187AB</t>
  </si>
  <si>
    <t>11151AB</t>
  </si>
  <si>
    <t>2153</t>
  </si>
  <si>
    <t>Q11008</t>
  </si>
  <si>
    <t>11187A</t>
  </si>
  <si>
    <t>11151A</t>
  </si>
  <si>
    <t>11158A</t>
  </si>
  <si>
    <t>11008</t>
  </si>
  <si>
    <t>11080</t>
  </si>
  <si>
    <t>21120185012710502117</t>
  </si>
  <si>
    <t>2019</t>
  </si>
  <si>
    <t>00045A</t>
  </si>
  <si>
    <t>TRAJES DE DAMA Y UNIFORMES MASCULINOS</t>
  </si>
  <si>
    <t>21120185013310504769</t>
  </si>
  <si>
    <t>2219</t>
  </si>
  <si>
    <t>SERVICIOS COORDINADOS DE CONSULTORIA, S.C.</t>
  </si>
  <si>
    <t>GASTOS DE OPERACION-SERVICIOS COORDINADOS DE CONSU</t>
  </si>
  <si>
    <t>21120185016140505016</t>
  </si>
  <si>
    <t>1872</t>
  </si>
  <si>
    <t>00A1772</t>
  </si>
  <si>
    <t xml:space="preserve">CONSTRUCCIONES CIVILES Y MAQUINARIA DE TAMAULIPAS </t>
  </si>
  <si>
    <t>SUMINISTRO DE CARPETA ASFALTICA Y EMULSION CATIONI</t>
  </si>
  <si>
    <t>21120185013330500178</t>
  </si>
  <si>
    <t>1874</t>
  </si>
  <si>
    <t>07611A7</t>
  </si>
  <si>
    <t>TOMAS GOMEZ GONZALEZ</t>
  </si>
  <si>
    <t xml:space="preserve">GASTOS DE OPERACION-SERVICIOS DE CONSULTORIA </t>
  </si>
  <si>
    <t>1876</t>
  </si>
  <si>
    <t>A567FA7</t>
  </si>
  <si>
    <t>21130185126140505016</t>
  </si>
  <si>
    <t>22/dic/2018</t>
  </si>
  <si>
    <t>1960</t>
  </si>
  <si>
    <t>A123</t>
  </si>
  <si>
    <t>DIFERENTES SECTORES DE LA CD.OF.200</t>
  </si>
  <si>
    <t>26/dic/2018</t>
  </si>
  <si>
    <t>2227</t>
  </si>
  <si>
    <t>A180</t>
  </si>
  <si>
    <t>EJ.MARIPOSAS Y MAHUIRAS OF.0511</t>
  </si>
  <si>
    <t>21130185106140400081</t>
  </si>
  <si>
    <t>2226</t>
  </si>
  <si>
    <t>388</t>
  </si>
  <si>
    <t>DORA ALICIA CORTINA HERNANDEZ</t>
  </si>
  <si>
    <t>COL.PEDRO SOSA OF.785</t>
  </si>
  <si>
    <t>27/dic/2018</t>
  </si>
  <si>
    <t>2230</t>
  </si>
  <si>
    <t>IA60061</t>
  </si>
  <si>
    <t>21120185013310504952</t>
  </si>
  <si>
    <t>31/dic/2018</t>
  </si>
  <si>
    <t>2349</t>
  </si>
  <si>
    <t>00A005</t>
  </si>
  <si>
    <t>ASESORIA TECNICA LEGAL Y ADMINISTRATIVA</t>
  </si>
  <si>
    <t>2350</t>
  </si>
  <si>
    <t>00A006</t>
  </si>
  <si>
    <t>2351</t>
  </si>
  <si>
    <t>00A008</t>
  </si>
  <si>
    <t>21120185013820500002</t>
  </si>
  <si>
    <t>GASTOS DE OPÉRACION-XXX AMIVERSARIO ORG EMILIANO Z</t>
  </si>
  <si>
    <t>17 DIAS</t>
  </si>
  <si>
    <t>OTRAS RETENCIONES</t>
  </si>
  <si>
    <t>ICIC INSP Y VIGILANCIA</t>
  </si>
  <si>
    <t>731 DIAS</t>
  </si>
  <si>
    <t>AL 31 DE DICIEMBRE DE 2018</t>
  </si>
  <si>
    <t>4.3.40</t>
  </si>
  <si>
    <t>SERVICIOS PROTECCION CIVIL</t>
  </si>
  <si>
    <t>Del 01 de enero al 31 de Diciembre de 2018</t>
  </si>
  <si>
    <t>FONDO DE HIDROCARBUROS MARITIMAS 2017</t>
  </si>
  <si>
    <t>PROYECTOS DE DESARROLLO REGIONAL 2 2017</t>
  </si>
  <si>
    <t>IMPUESTO PREDIAL 2018</t>
  </si>
  <si>
    <t>OTROS INGRESOS MUNICIPALES 2018</t>
  </si>
  <si>
    <t>FORTASEG COPARTICIPACION 2018</t>
  </si>
  <si>
    <t>FONDO DE INFRAESTRUCTURA SOCIAL 2018</t>
  </si>
  <si>
    <t>FORTASEG FEDERAL 2018</t>
  </si>
  <si>
    <t>FONDO DE PROGRAMAS REGIONALES  2018</t>
  </si>
  <si>
    <t>CARNAVAL VICTORIA VIVA 2018</t>
  </si>
  <si>
    <t>FONDO DE HIDROCARBUROS MARITIMAS 2018</t>
  </si>
  <si>
    <t>FF2-FORTALECIMIENTO FINANCIERO 2 2018</t>
  </si>
  <si>
    <t>PROGRAMA INFRAESTRUCTURA 2018 SEDATU</t>
  </si>
  <si>
    <t>PROYECTOS DE DESARROLLO REGIONAL 2 2018</t>
  </si>
  <si>
    <t>PR-2 PROGRAMAS REGIONALES 2-2018</t>
  </si>
  <si>
    <t>FONDO DE INFRAESTRUCTURA SOCIAL 2014</t>
  </si>
  <si>
    <t>PROYECTOS DE DESARROLLO REGIONAL 2017</t>
  </si>
  <si>
    <t>PROYECTOS DE DESARROLLO REGIONAL 3-2018</t>
  </si>
  <si>
    <t>PENSION PARA ADULTOS MAYORES 2018</t>
  </si>
  <si>
    <t xml:space="preserve"> Del 01 al 31 de Diciembre de 2018</t>
  </si>
  <si>
    <t xml:space="preserve"> Del 01 de Enero al 31 de Diciembre de 2018</t>
  </si>
  <si>
    <t>Ejercicio 2018</t>
  </si>
  <si>
    <t>7. Posición en Moneda Extranjera y Protección por Riesgo Cambiario</t>
  </si>
  <si>
    <t>En el ejercicio 2018 no se llevaron a cabo operaciones financieras en el extranjero.</t>
  </si>
  <si>
    <t>En el ejercicio 2018 no se realizaron operaciones para depurar o cancelar saldos.</t>
  </si>
  <si>
    <t>al 31 de Diciembre de 2018</t>
  </si>
  <si>
    <t>enero de 2017</t>
  </si>
  <si>
    <t>SILLAS SECRETARIAL MOD. WALTHER CON ASIENTO Y RESPALDO TAPIZADO EN TELA CON BRAZOS Y ESTRELLA DE CINCO PUNTAS CON RODAJAS</t>
  </si>
  <si>
    <t>PATRULLA 4 CIL, 2.0, 116 HP DEPARTAMENTO DE TRANSITO Y VIALIDAD</t>
  </si>
  <si>
    <t xml:space="preserve"> VEHICULO RAM 400 2017 PL CON GRUA HIDRA, CHASIS CABINA NUEVO MARCA RAM VERSION 4000 CHASIS CA. "PL" 5.7L 4X2 AÑO 2017 PUERTAS DOS CILINDROS 8  COLOR EXTERIOR BLANCO BRILLANTE COLOR INTERIOR; NEGRO7GRIS CAPACIDAD 3  1/2  TON. POTENCIA 383 HP TORQUE 400LB/PIE</t>
  </si>
  <si>
    <t>1 MODULO EJECUTIVO CON MEDIDA GENERAL DE 2.20 X 2.10 X .75M DE ALTURA INCLUYE PENINSULA PUNTA DE BALA, LATERAL Y CREDENZA CON UN PEDESTAL CON 2 CAJONES PAPELEROS</t>
  </si>
  <si>
    <t>SILLAS SECRETARIAL MODELO WALTHER SIN BRAZOS CON ASIENTO Y RESPALDO TAPIZADO EN TELA DE COLOR NEGRO CON ESTRELLA DE 5 PUNTAS CON RODAJAS</t>
  </si>
  <si>
    <t>SILLAS SECRETARIAL MOD. WALTHER EN TELA COLOR NEGRO CON BASE NYLON DE CINCO PUNTAS CON RODAJAS, SIN BRAZOS</t>
  </si>
  <si>
    <t>LITERAS IND/IND BICOLOR (AZUL CON ROJO) CON 2 COLCHONES DE 248 RESORTES  MODELO: KING DOM I/I ECCO</t>
  </si>
  <si>
    <t>ESCRITORIO SECRETARIAL CON MEDIDA DE 1.20X .60M CON UN PEDESTAL CON DOS CAJONES PAPELEROS Y UN CAJON DE ARCHIVO FABRICADO EN MELAMINA</t>
  </si>
  <si>
    <t>FEBRERO DE 2018</t>
  </si>
  <si>
    <t>MARZO DE 2018</t>
  </si>
  <si>
    <t>ABRIL DE 2018</t>
  </si>
  <si>
    <t>MAYO DE 2018</t>
  </si>
  <si>
    <t>JUNIO DE 2018</t>
  </si>
  <si>
    <t>AGOSTO DE 2018</t>
  </si>
  <si>
    <t>SEPTIEMBRE DE 2018</t>
  </si>
  <si>
    <t>OCTUBRE DE 2018</t>
  </si>
  <si>
    <t>NOVIEMBRE DE 2018</t>
  </si>
  <si>
    <t>DICIEMBRE DE 2018</t>
  </si>
  <si>
    <t xml:space="preserve"> 207403785</t>
  </si>
  <si>
    <t xml:space="preserve"> 204752213</t>
  </si>
  <si>
    <t xml:space="preserve"> 216848771</t>
  </si>
  <si>
    <t xml:space="preserve"> 216848762</t>
  </si>
  <si>
    <t xml:space="preserve"> 216848744</t>
  </si>
  <si>
    <t xml:space="preserve"> 0219136853</t>
  </si>
  <si>
    <t xml:space="preserve"> 0265312270</t>
  </si>
  <si>
    <t xml:space="preserve"> 0419963149</t>
  </si>
  <si>
    <t xml:space="preserve"> 0465409532</t>
  </si>
  <si>
    <t xml:space="preserve"> 0486638186</t>
  </si>
  <si>
    <t xml:space="preserve"> 0486633060</t>
  </si>
  <si>
    <t xml:space="preserve"> 0486634937</t>
  </si>
  <si>
    <t xml:space="preserve"> 0474160170</t>
  </si>
  <si>
    <t xml:space="preserve"> 0474162044</t>
  </si>
  <si>
    <t xml:space="preserve"> 0494665507</t>
  </si>
  <si>
    <t xml:space="preserve"> 0493663074</t>
  </si>
  <si>
    <t xml:space="preserve"> 0493665108</t>
  </si>
  <si>
    <t xml:space="preserve"> 0336110684</t>
  </si>
  <si>
    <t xml:space="preserve"> 0361038744</t>
  </si>
  <si>
    <t xml:space="preserve"> 0362485822</t>
  </si>
  <si>
    <t xml:space="preserve"> 0366058916</t>
  </si>
  <si>
    <t xml:space="preserve"> 0366055821</t>
  </si>
  <si>
    <t xml:space="preserve"> 0366057553</t>
  </si>
  <si>
    <t xml:space="preserve"> 0365544382</t>
  </si>
  <si>
    <t xml:space="preserve"> 0596910884</t>
  </si>
  <si>
    <t xml:space="preserve"> 0596914828</t>
  </si>
  <si>
    <t xml:space="preserve"> 1001585091</t>
  </si>
  <si>
    <t xml:space="preserve"> 1002684816</t>
  </si>
  <si>
    <t xml:space="preserve"> 1002883338</t>
  </si>
  <si>
    <t xml:space="preserve"> 1004340518</t>
  </si>
  <si>
    <t xml:space="preserve"> 1011120848</t>
  </si>
  <si>
    <t xml:space="preserve"> 1011257089</t>
  </si>
  <si>
    <t xml:space="preserve"> 1011258031</t>
  </si>
  <si>
    <t xml:space="preserve"> 1012110930</t>
  </si>
  <si>
    <t xml:space="preserve"> 1018267827</t>
  </si>
  <si>
    <t xml:space="preserve"> 1018438588</t>
  </si>
  <si>
    <t xml:space="preserve"> 1025808835</t>
  </si>
  <si>
    <t xml:space="preserve"> 1033889941</t>
  </si>
  <si>
    <t xml:space="preserve"> 1036769286</t>
  </si>
  <si>
    <t xml:space="preserve"> 1038848233</t>
  </si>
  <si>
    <t xml:space="preserve"> 1037789160</t>
  </si>
  <si>
    <t xml:space="preserve"> 1038273312</t>
  </si>
  <si>
    <t xml:space="preserve"> 1036130055</t>
  </si>
  <si>
    <t xml:space="preserve"> 1036749206</t>
  </si>
  <si>
    <t xml:space="preserve"> 074947340011 </t>
  </si>
  <si>
    <t xml:space="preserve"> 074947340020 </t>
  </si>
  <si>
    <t xml:space="preserve"> 074947340038 </t>
  </si>
  <si>
    <t xml:space="preserve"> 074947340101 </t>
  </si>
  <si>
    <t xml:space="preserve"> 074947340135 </t>
  </si>
  <si>
    <t xml:space="preserve"> 074947340160 </t>
  </si>
  <si>
    <t xml:space="preserve"> 074947340267 </t>
  </si>
  <si>
    <t>PROY.DE DESARROLLO REGIONAL</t>
  </si>
  <si>
    <t xml:space="preserve"> FORTALECIMIENTO FINANCIERO</t>
  </si>
  <si>
    <t>FONDO DE INFRAESTRUCTURA SOCIAL 1</t>
  </si>
  <si>
    <t>FORTALECIMIENTO FINANC.PREV.SALAR</t>
  </si>
  <si>
    <t>INFRAESTRUCTURA SOCIAL MPAL.2017</t>
  </si>
  <si>
    <t>INFRAESTRUCTURA SOCIAL MPAL.2018</t>
  </si>
  <si>
    <t>FORTASEG COPARTICIPACION  2018</t>
  </si>
  <si>
    <t>FONDO DE HIDROCARBUROS MARITIMAS</t>
  </si>
  <si>
    <t>CARNAVAL VICTORIA 2018</t>
  </si>
  <si>
    <t>CARNAVAL VICTORIA 2  2018</t>
  </si>
  <si>
    <t>SEDATU PROGRAMA INFRAESTRUCTURA 2</t>
  </si>
  <si>
    <t>PDR-2 PROYECTOS DE DESARROLLO REG</t>
  </si>
  <si>
    <t>PR - PROGRAMAS REGIONALES 2018</t>
  </si>
  <si>
    <t>PROYECTO DESARROLLO REGIONAL 3- 2</t>
  </si>
  <si>
    <t>PDR-5 PROYECTOS DE DESARROLLO REG</t>
  </si>
  <si>
    <t>FF5-FORTALECIMIENTO FINANCIERO 5</t>
  </si>
  <si>
    <t>PROGRAMA DE PENSION PARA ADULTOS</t>
  </si>
  <si>
    <t>PARQUIMETROS</t>
  </si>
  <si>
    <t>RECURSO DEL SAT</t>
  </si>
  <si>
    <t>VIATICOS</t>
  </si>
  <si>
    <t>FONDO MINERO</t>
  </si>
  <si>
    <t>SALDOS AL 31 DE DICIEMBRE DE 2017</t>
  </si>
  <si>
    <t>SALDOS AL 31 DE DICIEMBRE DEL 2018</t>
  </si>
  <si>
    <t>32220-00000-0000-000000</t>
  </si>
  <si>
    <t>RESULTADOS DE EJERCICIOS ANTERIORES</t>
  </si>
  <si>
    <t>ASIENTO DE OBRA PUBLICA CAPITALIZABLE</t>
  </si>
  <si>
    <t>del 01 de Enero al 31 de Diciembre de 2018</t>
  </si>
  <si>
    <t>En el Ejercicio 2018, el Municipio no llevo a cabo ninguna transacción que fuera sujeta a una clasificación crediticia.</t>
  </si>
  <si>
    <t>No. Contrato</t>
  </si>
  <si>
    <t>Nombre del Contratista</t>
  </si>
  <si>
    <t>Modalidad de Adjudicación</t>
  </si>
  <si>
    <t>Concepto (c)</t>
  </si>
  <si>
    <t>(PESOS)</t>
  </si>
  <si>
    <t>Estado de Situación Financiera Detallado - LDF</t>
  </si>
  <si>
    <t>C. Crédito XX</t>
  </si>
  <si>
    <t>B. Crédito 2</t>
  </si>
  <si>
    <t>A. Crédito 1</t>
  </si>
  <si>
    <t>6. Obligaciones a Corto Plazo (Informativo)</t>
  </si>
  <si>
    <t>Obligaciones a Corto Plazo (k)</t>
  </si>
  <si>
    <t>C. Instrumento Bono Cupón Cero XX</t>
  </si>
  <si>
    <t>B. Instrumento Bono Cupón Cero 2</t>
  </si>
  <si>
    <t>A. Instrumento Bono Cupón Cero 1</t>
  </si>
  <si>
    <t>C. Deuda Contingente XX</t>
  </si>
  <si>
    <t>B. Deuda Contingente 2</t>
  </si>
  <si>
    <t>A. Deuda Contingente 1</t>
  </si>
  <si>
    <t>3. Total de la Deuda Pública y Otros Pasivos (3=1+2)</t>
  </si>
  <si>
    <t xml:space="preserve">2. Otros Pasivos </t>
  </si>
  <si>
    <t>b3) Arrendamientos Financieros</t>
  </si>
  <si>
    <t>b2) Títulos y Valores</t>
  </si>
  <si>
    <t>b1) Instituciones de Crédito</t>
  </si>
  <si>
    <t>B. Largo Plazo (B=b1+b2+b3)</t>
  </si>
  <si>
    <t>a3) Arrendamientos Financieros</t>
  </si>
  <si>
    <t>a2) Títulos y Valores</t>
  </si>
  <si>
    <t>a1) Instituciones de Crédito</t>
  </si>
  <si>
    <t>A. Corto Plazo (A=a1+a2+a3)</t>
  </si>
  <si>
    <t>1. Deuda Pública (1=A+B)</t>
  </si>
  <si>
    <t>Pago de Comisiones y demás costos asociados durante el Periodo (j)</t>
  </si>
  <si>
    <t>Pago de Intereses del Periodo (i)</t>
  </si>
  <si>
    <t>Revaluaciones, Reclasificaciones y Otros Ajustes (g)</t>
  </si>
  <si>
    <t>Amortizaciones del Periodo (f)</t>
  </si>
  <si>
    <t>Disposiciones del Periodo (e)</t>
  </si>
  <si>
    <t>Denominación de la Deuda Pública y Otros Pasivos (c)</t>
  </si>
  <si>
    <t>Informe Analítico de la Deuda Pública y Otros Pasivos - LDF</t>
  </si>
  <si>
    <t>C. Total de Obligaciones Diferentes de Financiamiento (C=A+B)</t>
  </si>
  <si>
    <t>d) Otro Instrumento XX</t>
  </si>
  <si>
    <t>c) Otro Instrumento 3</t>
  </si>
  <si>
    <t>b) Otro Instrumento 2</t>
  </si>
  <si>
    <t>a) Otro Instrumento 1</t>
  </si>
  <si>
    <t>B. Otros Instrumentos (B=a+b+c+d)</t>
  </si>
  <si>
    <t>d) APP XX</t>
  </si>
  <si>
    <t>c) APP 3</t>
  </si>
  <si>
    <t>b) APP 2</t>
  </si>
  <si>
    <t>a) APP 1</t>
  </si>
  <si>
    <t>A. Asociaciones Público Privadas (APP’s) (A=a+b+c+d)</t>
  </si>
  <si>
    <t>Denominación de las Obligaciones Diferentes de Financiamiento (c)</t>
  </si>
  <si>
    <t>Informe Analítico de Obligaciones Diferentes de Financiamientos – LDF</t>
  </si>
  <si>
    <t>VIII. Balance Presupuestario de Recursos Etiquetados sin Financiamiento Neto (VIII = VII – A3.2)</t>
  </si>
  <si>
    <t>VII. Balance Presupuestario de Recursos Etiquetados (VII = A2 + A3.2 – B2 + C2)</t>
  </si>
  <si>
    <t>C2. Remanentes de Transferencias Federales Etiquetadas aplicados en el periodo</t>
  </si>
  <si>
    <t>B2. Gasto Etiquetado (sin incluir Amortización de la Deuda Pública)</t>
  </si>
  <si>
    <t>G2. Amortización de la Deuda Pública con Gasto Etiquetado</t>
  </si>
  <si>
    <t>F2. Financiamiento con Fuente de Pago de Transferencias Federales Etiquetadas</t>
  </si>
  <si>
    <t>A3.2 Financiamiento Neto con Fuente de Pago de Transferencias Federales Etiquetadas (A3.2 = F2 – G2)</t>
  </si>
  <si>
    <t>A2. Transferencias Federales Etiquetadas</t>
  </si>
  <si>
    <t>Recaudado/</t>
  </si>
  <si>
    <t>Estimado/ Aprobado</t>
  </si>
  <si>
    <t>VI. Balance Presupuestario de Recursos Disponibles sin Financiamiento Neto (VI = V – A3.1)</t>
  </si>
  <si>
    <t>V. Balance Presupuestario de Recursos Disponibles (V = A1 + A3.1 – B 1 + C1)</t>
  </si>
  <si>
    <t>C1. Remanentes de Ingresos de Libre Disposición aplicados en el periodo</t>
  </si>
  <si>
    <t>B1. Gasto No Etiquetado (sin incluir Amortización de la Deuda Pública)</t>
  </si>
  <si>
    <t>G1. Amortización de la Deuda Pública con Gasto No Etiquetado</t>
  </si>
  <si>
    <t>F1. Financiamiento con Fuente de Pago de Ingresos de Libre Disposición</t>
  </si>
  <si>
    <t>A3.1 Financiamiento Neto con Fuente de Pago de Ingresos de Libre Disposición (A3.1 = F1 – G1)</t>
  </si>
  <si>
    <t xml:space="preserve">A1. Ingresos de Libre Disposición </t>
  </si>
  <si>
    <t>Estimado/</t>
  </si>
  <si>
    <t>A3. Financiamiento Neto (A3 = F – G )</t>
  </si>
  <si>
    <t>G. Amortización de la Deuda (G = G1 + G2)</t>
  </si>
  <si>
    <t>F. Financiamiento (F = F1 + F2)</t>
  </si>
  <si>
    <t>IV. Balance Primario (IV = III + E)</t>
  </si>
  <si>
    <t>E2. Intereses, Comisiones y Gastos de la Deuda con Gasto Etiquetado</t>
  </si>
  <si>
    <t>E1. Intereses, Comisiones y Gastos de la Deuda con Gasto No Etiquetado</t>
  </si>
  <si>
    <t>E. Intereses, Comisiones y Gastos de la Deuda (E = E1+E2)</t>
  </si>
  <si>
    <t>III. Balance Presupuestario sin Financiamiento Neto y sin Remanentes del Ejercicio Anterior 
(III= II - C)</t>
  </si>
  <si>
    <t>II. Balance Presupuestario sin Financiamiento Neto (II = I - A3)</t>
  </si>
  <si>
    <t xml:space="preserve">I. Balance Presupuestario (I = A – B + C)  </t>
  </si>
  <si>
    <t>C. Remanentes del Ejercicio Anterior ( C = C1 + C2 )</t>
  </si>
  <si>
    <t xml:space="preserve">B2. Gasto Etiquetado (sin incluir Amortización de la Deuda Pública) </t>
  </si>
  <si>
    <t>B. Egresos Presupuestarios1 (B = B1+B2)</t>
  </si>
  <si>
    <t>A3. Financiamiento Neto</t>
  </si>
  <si>
    <t>A1. Ingresos de Libre Disposición</t>
  </si>
  <si>
    <t>A. Ingresos Totales (A = A1+A2+A3)</t>
  </si>
  <si>
    <t>Recaudado/ Pagado</t>
  </si>
  <si>
    <t>Estimado/ Aprobado (d)</t>
  </si>
  <si>
    <t>Balance Presupuestario - LDF</t>
  </si>
  <si>
    <t>3. Ingresos Derivados de Financiamientos (3 = 1 + 2)</t>
  </si>
  <si>
    <t>2. Ingresos Derivados de Financiamientos con Fuente de Pago de Transferencias Federales Etiquetadas</t>
  </si>
  <si>
    <t>1. Ingresos Derivados de Financiamientos con Fuente de Pago de Ingresos de Libre Disposición</t>
  </si>
  <si>
    <t>Datos Informativos</t>
  </si>
  <si>
    <t>IV. Total de Ingresos (IV = I + II + III)</t>
  </si>
  <si>
    <t>A. Ingresos Derivados de Financiamientos</t>
  </si>
  <si>
    <t>III. Ingresos Derivados de Financiamientos (III = A)</t>
  </si>
  <si>
    <t>II. Total de Transferencias Federales Etiquetadas (II = A + B + C + D + E)</t>
  </si>
  <si>
    <t>E. Otras Transferencias Federales Etiquetadas</t>
  </si>
  <si>
    <t>D. Transferencias, Subsidios y Subvenciones, y Pensiones y Jubilaciones</t>
  </si>
  <si>
    <t>c2) Fondo Minero</t>
  </si>
  <si>
    <t>c1) Fondo para Entidades Federativas y Municipios Productores de Hidrocarburos</t>
  </si>
  <si>
    <t>C. Fondos Distintos de Aportaciones (C=c1+c2)</t>
  </si>
  <si>
    <t>b4) Otros Convenios y Subsidios</t>
  </si>
  <si>
    <t>b3) Convenios de Reasignación</t>
  </si>
  <si>
    <t>b2) Convenios de Descentralización</t>
  </si>
  <si>
    <t>b1) Convenios de Protección Social en Salud</t>
  </si>
  <si>
    <t>B. Convenios (B=b1+b2+b3+b4)</t>
  </si>
  <si>
    <t>a8) Fondo de Aportaciones para el Fortalecimiento de las Entidades Federativas</t>
  </si>
  <si>
    <t>a7) Fondo de Aportaciones para la Seguridad Pública de los Estados y del Distrito Federal</t>
  </si>
  <si>
    <t>a6) Fondo de Aportaciones para la Educación Tecnológica y de Adultos</t>
  </si>
  <si>
    <t>a5) Fondo de Aportaciones Múltiples</t>
  </si>
  <si>
    <t>a4) Fondo de Aportaciones para el Fortalecimiento de los Municipios y de las Demarcaciones Territoriales del Distrito Federal</t>
  </si>
  <si>
    <t>a3) Fondo de Aportaciones para la Infraestructura Social</t>
  </si>
  <si>
    <t>a2) Fondo de Aportaciones para los Servicios de Salud</t>
  </si>
  <si>
    <t>a1) Fondo de Aportaciones para la Nómina Educativa y Gasto Operativo</t>
  </si>
  <si>
    <t>A. Aportaciones (A=a1+a2+a3+a4+a5+a6+a7+a8)</t>
  </si>
  <si>
    <t xml:space="preserve">Transferencias Federales Etiquetadas </t>
  </si>
  <si>
    <t>Ingresos Excedentes de Ingresos de Libre Disposición</t>
  </si>
  <si>
    <t>(I=A+B+C+D+E+F+G+H+I+J+K+L)</t>
  </si>
  <si>
    <t>I. Total de Ingresos de Libre Disposición</t>
  </si>
  <si>
    <t>l2) Otros Ingresos de Libre Disposición</t>
  </si>
  <si>
    <t xml:space="preserve">l1) Participaciones en Ingresos Locales </t>
  </si>
  <si>
    <t>L. Otros Ingresos de Libre Disposición (L=l1+l2)</t>
  </si>
  <si>
    <t>k1) Otros Convenios y Subsidios</t>
  </si>
  <si>
    <t>K. Convenios</t>
  </si>
  <si>
    <t>J. Transferencias</t>
  </si>
  <si>
    <t>i5) Otros Incentivos Económicos</t>
  </si>
  <si>
    <t>i4) Fondo de Compensación de Repecos-Intermedios</t>
  </si>
  <si>
    <t>i3) Impuesto Sobre Automóviles Nuevos</t>
  </si>
  <si>
    <t>i2) Fondo de Compensación ISAN</t>
  </si>
  <si>
    <t>i1) Tenencia o Uso de Vehículos</t>
  </si>
  <si>
    <t>I. Incentivos Derivados de la Colaboración Fiscal (I=i1+i2+i3+i4+i5)</t>
  </si>
  <si>
    <t>h11) Fondo de Estabilización de los Ingresos de las Entidades Federativas</t>
  </si>
  <si>
    <t>h10) Fondo del Impuesto Sobre la Renta</t>
  </si>
  <si>
    <t>h9) Gasolinas y Diésel</t>
  </si>
  <si>
    <t>h8) 3.17% Sobre Extracción de Petróleo</t>
  </si>
  <si>
    <t>h7) 0.136% de la Recaudación Federal Participable</t>
  </si>
  <si>
    <t>h6) Impuesto Especial Sobre Producción y Servicios</t>
  </si>
  <si>
    <t>h5) Fondo de Extracción de Hidrocarburos</t>
  </si>
  <si>
    <t>h4) Fondo de Compensación</t>
  </si>
  <si>
    <t>h3) Fondo de Fiscalización y Recaudación</t>
  </si>
  <si>
    <t>h2) Fondo de Fomento Municipal</t>
  </si>
  <si>
    <t xml:space="preserve">h1) Fondo General de Participaciones </t>
  </si>
  <si>
    <t>(H=h1+h2+h3+h4+h5+h6+h7+h8+h9+h10+h11)</t>
  </si>
  <si>
    <t>H. Participaciones</t>
  </si>
  <si>
    <t>G. Ingresos por Ventas de Bienes y Servicios</t>
  </si>
  <si>
    <t>F. Aprovechamientos</t>
  </si>
  <si>
    <t>E. Productos</t>
  </si>
  <si>
    <t>D. Derechos</t>
  </si>
  <si>
    <t>C. Contribuciones de Mejoras</t>
  </si>
  <si>
    <t>B. Cuotas y Aportaciones de Seguridad Social</t>
  </si>
  <si>
    <t>A. Impuestos</t>
  </si>
  <si>
    <t>Ingresos de Libre Disposición</t>
  </si>
  <si>
    <t>Estimado (d)</t>
  </si>
  <si>
    <t>Diferencia (e)</t>
  </si>
  <si>
    <t>Estado Analítico de Ingresos Detallado - LDF</t>
  </si>
  <si>
    <t>III. Total de Egresos (III = I + II)</t>
  </si>
  <si>
    <t>I. Gasto No Etiquetado (I=A+B+C+D+E+F+G+H+I)</t>
  </si>
  <si>
    <t xml:space="preserve">Ampliaciones/ (Reducciones) </t>
  </si>
  <si>
    <t>Aprobado (d)</t>
  </si>
  <si>
    <t>Subejercicio (e)</t>
  </si>
  <si>
    <t xml:space="preserve">Clasificación por Objeto del Gasto (Capítulo y Concepto) </t>
  </si>
  <si>
    <t>Estado Analítico del Ejercicio del Presupuesto de Egresos Detallado - LDF</t>
  </si>
  <si>
    <t>Ampliaciones/ (Reducciones)</t>
  </si>
  <si>
    <t>I. Gasto No Etiquetado (I=A+B+C+D)</t>
  </si>
  <si>
    <t>III. Total del Gasto en Servicios Personales (III = I + II)</t>
  </si>
  <si>
    <t>F. Sentencias laborales definitivas</t>
  </si>
  <si>
    <t>e2) Nombre del Programa o Ley 2</t>
  </si>
  <si>
    <t>e1) Nombre del Programa o Ley 1</t>
  </si>
  <si>
    <t>E. Gastos asociados a la implementación de nuevas leyes federales o reformas a las mismas (E = e1 + e2)</t>
  </si>
  <si>
    <t>D. Seguridad Pública</t>
  </si>
  <si>
    <t>c2) Personal Médico, Paramédico y afín</t>
  </si>
  <si>
    <t>c1) Personal Administrativo</t>
  </si>
  <si>
    <t>C. Servicios de Salud (C=c1+c2)</t>
  </si>
  <si>
    <t>B. Magisterio</t>
  </si>
  <si>
    <t>A. Personal Administrativo y de Servicio Público</t>
  </si>
  <si>
    <t>II. Gasto Etiquetado (II=A+B+C+D+E+F)</t>
  </si>
  <si>
    <t>I. Gasto No Etiquetado (I=A+B+C+D+E+F)</t>
  </si>
  <si>
    <t xml:space="preserve">Devengado </t>
  </si>
  <si>
    <t>Clasificación de Servicios Personales por Categoría</t>
  </si>
  <si>
    <t>3. Ingresos Derivados de Financiamiento (3 = 1 + 2)</t>
  </si>
  <si>
    <t>2. Ingresos derivados de Financiamientos con Fuente de Pago de Transferencias Federales Etiquetadas</t>
  </si>
  <si>
    <t>1. Ingresos Derivados de Financiamientos con Fuente de Pago de Recursos de Libre Disposición</t>
  </si>
  <si>
    <r>
      <t>4.</t>
    </r>
    <r>
      <rPr>
        <b/>
        <sz val="8"/>
        <color theme="1"/>
        <rFont val="Times New Roman"/>
        <family val="1"/>
      </rPr>
      <t xml:space="preserve">   </t>
    </r>
    <r>
      <rPr>
        <b/>
        <sz val="8"/>
        <color theme="1"/>
        <rFont val="Arial"/>
        <family val="2"/>
      </rPr>
      <t>Total de Ingresos Proyectados (4=1+2+3)</t>
    </r>
  </si>
  <si>
    <r>
      <t>A.</t>
    </r>
    <r>
      <rPr>
        <sz val="8"/>
        <color theme="1"/>
        <rFont val="Times New Roman"/>
        <family val="1"/>
      </rPr>
      <t xml:space="preserve">    </t>
    </r>
    <r>
      <rPr>
        <sz val="8"/>
        <color theme="1"/>
        <rFont val="Arial"/>
        <family val="2"/>
      </rPr>
      <t>Ingresos Derivados de Financiamientos</t>
    </r>
  </si>
  <si>
    <r>
      <t>3.</t>
    </r>
    <r>
      <rPr>
        <b/>
        <sz val="8"/>
        <color theme="1"/>
        <rFont val="Times New Roman"/>
        <family val="1"/>
      </rPr>
      <t xml:space="preserve">   </t>
    </r>
    <r>
      <rPr>
        <b/>
        <sz val="8"/>
        <color theme="1"/>
        <rFont val="Arial"/>
        <family val="2"/>
      </rPr>
      <t>Ingresos Derivados de Financiamientos (3=A)</t>
    </r>
  </si>
  <si>
    <r>
      <t>E.</t>
    </r>
    <r>
      <rPr>
        <sz val="8"/>
        <color theme="1"/>
        <rFont val="Times New Roman"/>
        <family val="1"/>
      </rPr>
      <t xml:space="preserve">    </t>
    </r>
    <r>
      <rPr>
        <sz val="8"/>
        <color theme="1"/>
        <rFont val="Arial"/>
        <family val="2"/>
      </rPr>
      <t>Otras Transferencias Federales Etiquetadas</t>
    </r>
  </si>
  <si>
    <r>
      <t>D.</t>
    </r>
    <r>
      <rPr>
        <sz val="8"/>
        <color theme="1"/>
        <rFont val="Times New Roman"/>
        <family val="1"/>
      </rPr>
      <t xml:space="preserve">    </t>
    </r>
    <r>
      <rPr>
        <sz val="8"/>
        <color theme="1"/>
        <rFont val="Arial"/>
        <family val="2"/>
      </rPr>
      <t>Transferencias, Subsidios y Subvenciones, y Pensiones y Jubilaciones</t>
    </r>
  </si>
  <si>
    <r>
      <t>C.</t>
    </r>
    <r>
      <rPr>
        <sz val="8"/>
        <color theme="1"/>
        <rFont val="Times New Roman"/>
        <family val="1"/>
      </rPr>
      <t xml:space="preserve">    </t>
    </r>
    <r>
      <rPr>
        <sz val="8"/>
        <color theme="1"/>
        <rFont val="Arial"/>
        <family val="2"/>
      </rPr>
      <t>Fondos Distintos de Aportaciones</t>
    </r>
  </si>
  <si>
    <r>
      <t>B.</t>
    </r>
    <r>
      <rPr>
        <sz val="8"/>
        <color theme="1"/>
        <rFont val="Times New Roman"/>
        <family val="1"/>
      </rPr>
      <t xml:space="preserve">    </t>
    </r>
    <r>
      <rPr>
        <sz val="8"/>
        <color theme="1"/>
        <rFont val="Arial"/>
        <family val="2"/>
      </rPr>
      <t>Convenios</t>
    </r>
  </si>
  <si>
    <r>
      <t>A.</t>
    </r>
    <r>
      <rPr>
        <sz val="8"/>
        <color theme="1"/>
        <rFont val="Times New Roman"/>
        <family val="1"/>
      </rPr>
      <t xml:space="preserve">     </t>
    </r>
    <r>
      <rPr>
        <sz val="8"/>
        <color theme="1"/>
        <rFont val="Arial"/>
        <family val="2"/>
      </rPr>
      <t>Aportaciones</t>
    </r>
  </si>
  <si>
    <r>
      <t>2.</t>
    </r>
    <r>
      <rPr>
        <b/>
        <sz val="8"/>
        <color theme="1"/>
        <rFont val="Times New Roman"/>
        <family val="1"/>
      </rPr>
      <t xml:space="preserve">   </t>
    </r>
    <r>
      <rPr>
        <b/>
        <sz val="8"/>
        <color theme="1"/>
        <rFont val="Arial"/>
        <family val="2"/>
      </rPr>
      <t>Transferencias Federales Etiquetadas (2=A+B+C+D+E)</t>
    </r>
  </si>
  <si>
    <r>
      <t>L.</t>
    </r>
    <r>
      <rPr>
        <sz val="8"/>
        <color theme="1"/>
        <rFont val="Times New Roman"/>
        <family val="1"/>
      </rPr>
      <t xml:space="preserve">     </t>
    </r>
    <r>
      <rPr>
        <sz val="8"/>
        <color theme="1"/>
        <rFont val="Arial"/>
        <family val="2"/>
      </rPr>
      <t>Otros Ingresos de Libre Disposición</t>
    </r>
  </si>
  <si>
    <r>
      <t>K.</t>
    </r>
    <r>
      <rPr>
        <sz val="8"/>
        <color theme="1"/>
        <rFont val="Times New Roman"/>
        <family val="1"/>
      </rPr>
      <t xml:space="preserve">     </t>
    </r>
    <r>
      <rPr>
        <sz val="8"/>
        <color theme="1"/>
        <rFont val="Arial"/>
        <family val="2"/>
      </rPr>
      <t>Convenios</t>
    </r>
  </si>
  <si>
    <r>
      <t>J.</t>
    </r>
    <r>
      <rPr>
        <sz val="8"/>
        <color theme="1"/>
        <rFont val="Times New Roman"/>
        <family val="1"/>
      </rPr>
      <t xml:space="preserve">     </t>
    </r>
    <r>
      <rPr>
        <sz val="8"/>
        <color theme="1"/>
        <rFont val="Arial"/>
        <family val="2"/>
      </rPr>
      <t>Transferencias</t>
    </r>
  </si>
  <si>
    <r>
      <t>I.</t>
    </r>
    <r>
      <rPr>
        <sz val="8"/>
        <color theme="1"/>
        <rFont val="Times New Roman"/>
        <family val="1"/>
      </rPr>
      <t xml:space="preserve">      </t>
    </r>
    <r>
      <rPr>
        <sz val="8"/>
        <color theme="1"/>
        <rFont val="Arial"/>
        <family val="2"/>
      </rPr>
      <t>Incentivos Derivados de la Colaboración Fiscal</t>
    </r>
  </si>
  <si>
    <r>
      <t>H.</t>
    </r>
    <r>
      <rPr>
        <sz val="8"/>
        <color theme="1"/>
        <rFont val="Times New Roman"/>
        <family val="1"/>
      </rPr>
      <t xml:space="preserve">    </t>
    </r>
    <r>
      <rPr>
        <sz val="8"/>
        <color theme="1"/>
        <rFont val="Arial"/>
        <family val="2"/>
      </rPr>
      <t>Participaciones</t>
    </r>
  </si>
  <si>
    <r>
      <t>G.</t>
    </r>
    <r>
      <rPr>
        <sz val="8"/>
        <color theme="1"/>
        <rFont val="Times New Roman"/>
        <family val="1"/>
      </rPr>
      <t xml:space="preserve">    </t>
    </r>
    <r>
      <rPr>
        <sz val="8"/>
        <color theme="1"/>
        <rFont val="Arial"/>
        <family val="2"/>
      </rPr>
      <t>Ingresos por Ventas de Bienes y Servicios</t>
    </r>
  </si>
  <si>
    <r>
      <t>F.</t>
    </r>
    <r>
      <rPr>
        <sz val="8"/>
        <color theme="1"/>
        <rFont val="Times New Roman"/>
        <family val="1"/>
      </rPr>
      <t xml:space="preserve">     </t>
    </r>
    <r>
      <rPr>
        <sz val="8"/>
        <color theme="1"/>
        <rFont val="Arial"/>
        <family val="2"/>
      </rPr>
      <t>Aprovechamientos</t>
    </r>
  </si>
  <si>
    <r>
      <t>E.</t>
    </r>
    <r>
      <rPr>
        <sz val="8"/>
        <color theme="1"/>
        <rFont val="Times New Roman"/>
        <family val="1"/>
      </rPr>
      <t xml:space="preserve">     </t>
    </r>
    <r>
      <rPr>
        <sz val="8"/>
        <color theme="1"/>
        <rFont val="Arial"/>
        <family val="2"/>
      </rPr>
      <t>Productos</t>
    </r>
  </si>
  <si>
    <r>
      <t>D.</t>
    </r>
    <r>
      <rPr>
        <sz val="8"/>
        <color theme="1"/>
        <rFont val="Times New Roman"/>
        <family val="1"/>
      </rPr>
      <t xml:space="preserve">    </t>
    </r>
    <r>
      <rPr>
        <sz val="8"/>
        <color theme="1"/>
        <rFont val="Arial"/>
        <family val="2"/>
      </rPr>
      <t>Derechos</t>
    </r>
  </si>
  <si>
    <r>
      <t>C.</t>
    </r>
    <r>
      <rPr>
        <sz val="8"/>
        <color theme="1"/>
        <rFont val="Times New Roman"/>
        <family val="1"/>
      </rPr>
      <t xml:space="preserve">    </t>
    </r>
    <r>
      <rPr>
        <sz val="8"/>
        <color theme="1"/>
        <rFont val="Arial"/>
        <family val="2"/>
      </rPr>
      <t>Contribuciones de Mejoras</t>
    </r>
  </si>
  <si>
    <r>
      <t>B.</t>
    </r>
    <r>
      <rPr>
        <sz val="8"/>
        <color theme="1"/>
        <rFont val="Times New Roman"/>
        <family val="1"/>
      </rPr>
      <t xml:space="preserve">     </t>
    </r>
    <r>
      <rPr>
        <sz val="8"/>
        <color theme="1"/>
        <rFont val="Arial"/>
        <family val="2"/>
      </rPr>
      <t>Cuotas y Aportaciones de Seguridad Social</t>
    </r>
  </si>
  <si>
    <r>
      <t>A.</t>
    </r>
    <r>
      <rPr>
        <sz val="8"/>
        <color theme="1"/>
        <rFont val="Times New Roman"/>
        <family val="1"/>
      </rPr>
      <t xml:space="preserve">     </t>
    </r>
    <r>
      <rPr>
        <sz val="8"/>
        <color theme="1"/>
        <rFont val="Arial"/>
        <family val="2"/>
      </rPr>
      <t>Impuestos</t>
    </r>
  </si>
  <si>
    <r>
      <t>1.</t>
    </r>
    <r>
      <rPr>
        <b/>
        <sz val="8"/>
        <color theme="1"/>
        <rFont val="Times New Roman"/>
        <family val="1"/>
      </rPr>
      <t xml:space="preserve">   </t>
    </r>
    <r>
      <rPr>
        <b/>
        <sz val="8"/>
        <color theme="1"/>
        <rFont val="Arial"/>
        <family val="2"/>
      </rPr>
      <t>Ingresos de Libre Disposición (1=A+B+C+D+E+F+G+H+I+J+K+L)</t>
    </r>
  </si>
  <si>
    <t>Concepto (b)</t>
  </si>
  <si>
    <t xml:space="preserve">(CIFRAS NOMINALES) </t>
  </si>
  <si>
    <t>Proyecciones de Ingresos - LDF</t>
  </si>
  <si>
    <r>
      <t>3.</t>
    </r>
    <r>
      <rPr>
        <b/>
        <sz val="8"/>
        <color theme="1"/>
        <rFont val="Times New Roman"/>
        <family val="1"/>
      </rPr>
      <t xml:space="preserve">  </t>
    </r>
    <r>
      <rPr>
        <b/>
        <sz val="8"/>
        <color theme="1"/>
        <rFont val="Arial"/>
        <family val="2"/>
      </rPr>
      <t>Total de Egresos Proyectados (3 = 1 + 2)</t>
    </r>
  </si>
  <si>
    <r>
      <t>I.</t>
    </r>
    <r>
      <rPr>
        <sz val="8"/>
        <color theme="1"/>
        <rFont val="Times New Roman"/>
        <family val="1"/>
      </rPr>
      <t xml:space="preserve">      </t>
    </r>
    <r>
      <rPr>
        <sz val="8"/>
        <color theme="1"/>
        <rFont val="Arial"/>
        <family val="2"/>
      </rPr>
      <t>Deuda Pública</t>
    </r>
  </si>
  <si>
    <r>
      <t>H.</t>
    </r>
    <r>
      <rPr>
        <sz val="8"/>
        <color theme="1"/>
        <rFont val="Times New Roman"/>
        <family val="1"/>
      </rPr>
      <t xml:space="preserve">    </t>
    </r>
    <r>
      <rPr>
        <sz val="8"/>
        <color theme="1"/>
        <rFont val="Arial"/>
        <family val="2"/>
      </rPr>
      <t>Participaciones y Aportaciones</t>
    </r>
  </si>
  <si>
    <r>
      <t>G.</t>
    </r>
    <r>
      <rPr>
        <sz val="8"/>
        <color theme="1"/>
        <rFont val="Times New Roman"/>
        <family val="1"/>
      </rPr>
      <t xml:space="preserve">    </t>
    </r>
    <r>
      <rPr>
        <sz val="8"/>
        <color theme="1"/>
        <rFont val="Arial"/>
        <family val="2"/>
      </rPr>
      <t>Inversiones Financieras y Otras Provisiones</t>
    </r>
  </si>
  <si>
    <r>
      <t>F.</t>
    </r>
    <r>
      <rPr>
        <sz val="8"/>
        <color theme="1"/>
        <rFont val="Times New Roman"/>
        <family val="1"/>
      </rPr>
      <t xml:space="preserve">     </t>
    </r>
    <r>
      <rPr>
        <sz val="8"/>
        <color theme="1"/>
        <rFont val="Arial"/>
        <family val="2"/>
      </rPr>
      <t>Inversión Pública</t>
    </r>
  </si>
  <si>
    <r>
      <t>E.</t>
    </r>
    <r>
      <rPr>
        <sz val="8"/>
        <color theme="1"/>
        <rFont val="Times New Roman"/>
        <family val="1"/>
      </rPr>
      <t xml:space="preserve">     </t>
    </r>
    <r>
      <rPr>
        <sz val="8"/>
        <color theme="1"/>
        <rFont val="Arial"/>
        <family val="2"/>
      </rPr>
      <t>Bienes Muebles, Inmuebles e Intangibles</t>
    </r>
  </si>
  <si>
    <r>
      <t>D.</t>
    </r>
    <r>
      <rPr>
        <sz val="8"/>
        <color theme="1"/>
        <rFont val="Times New Roman"/>
        <family val="1"/>
      </rPr>
      <t xml:space="preserve">    </t>
    </r>
    <r>
      <rPr>
        <sz val="8"/>
        <color theme="1"/>
        <rFont val="Arial"/>
        <family val="2"/>
      </rPr>
      <t>Transferencias, Asignaciones, Subsidios y Otras Ayudas</t>
    </r>
  </si>
  <si>
    <r>
      <t>C.</t>
    </r>
    <r>
      <rPr>
        <sz val="8"/>
        <color theme="1"/>
        <rFont val="Times New Roman"/>
        <family val="1"/>
      </rPr>
      <t xml:space="preserve">    </t>
    </r>
    <r>
      <rPr>
        <sz val="8"/>
        <color theme="1"/>
        <rFont val="Arial"/>
        <family val="2"/>
      </rPr>
      <t>Servicios Generales</t>
    </r>
  </si>
  <si>
    <r>
      <t>B.</t>
    </r>
    <r>
      <rPr>
        <sz val="8"/>
        <color theme="1"/>
        <rFont val="Times New Roman"/>
        <family val="1"/>
      </rPr>
      <t xml:space="preserve">     </t>
    </r>
    <r>
      <rPr>
        <sz val="8"/>
        <color theme="1"/>
        <rFont val="Arial"/>
        <family val="2"/>
      </rPr>
      <t>Materiales y Suministros</t>
    </r>
  </si>
  <si>
    <r>
      <t>A.</t>
    </r>
    <r>
      <rPr>
        <sz val="8"/>
        <color theme="1"/>
        <rFont val="Times New Roman"/>
        <family val="1"/>
      </rPr>
      <t xml:space="preserve">     </t>
    </r>
    <r>
      <rPr>
        <sz val="8"/>
        <color theme="1"/>
        <rFont val="Arial"/>
        <family val="2"/>
      </rPr>
      <t>Servicios Personales</t>
    </r>
  </si>
  <si>
    <r>
      <t>2.</t>
    </r>
    <r>
      <rPr>
        <b/>
        <sz val="8"/>
        <color theme="1"/>
        <rFont val="Times New Roman"/>
        <family val="1"/>
      </rPr>
      <t xml:space="preserve">  </t>
    </r>
    <r>
      <rPr>
        <b/>
        <sz val="8"/>
        <color theme="1"/>
        <rFont val="Arial"/>
        <family val="2"/>
      </rPr>
      <t>Gasto Etiquetado (2=A+B+C+D+E+F+G+H+I)</t>
    </r>
  </si>
  <si>
    <r>
      <t>H.</t>
    </r>
    <r>
      <rPr>
        <sz val="8"/>
        <color theme="1"/>
        <rFont val="Times New Roman"/>
        <family val="1"/>
      </rPr>
      <t xml:space="preserve">    </t>
    </r>
    <r>
      <rPr>
        <sz val="8"/>
        <color theme="1"/>
        <rFont val="Arial"/>
        <family val="2"/>
      </rPr>
      <t xml:space="preserve">Participaciones y Aportaciones </t>
    </r>
  </si>
  <si>
    <r>
      <t>1.</t>
    </r>
    <r>
      <rPr>
        <b/>
        <sz val="8"/>
        <color theme="1"/>
        <rFont val="Times New Roman"/>
        <family val="1"/>
      </rPr>
      <t xml:space="preserve">  </t>
    </r>
    <r>
      <rPr>
        <b/>
        <sz val="8"/>
        <color theme="1"/>
        <rFont val="Arial"/>
        <family val="2"/>
      </rPr>
      <t>Gasto No Etiquetado</t>
    </r>
    <r>
      <rPr>
        <sz val="8"/>
        <color theme="1"/>
        <rFont val="Arial"/>
        <family val="2"/>
      </rPr>
      <t xml:space="preserve"> </t>
    </r>
    <r>
      <rPr>
        <b/>
        <sz val="8"/>
        <color theme="1"/>
        <rFont val="Arial"/>
        <family val="2"/>
      </rPr>
      <t>(1=A+B+C+D+E+F+G+H+I)</t>
    </r>
  </si>
  <si>
    <t>(CIFRAS NOMINALES)</t>
  </si>
  <si>
    <t>Proyecciones de Egresos - LDF</t>
  </si>
  <si>
    <r>
      <t>4.</t>
    </r>
    <r>
      <rPr>
        <b/>
        <sz val="8"/>
        <color theme="1"/>
        <rFont val="Times New Roman"/>
        <family val="1"/>
      </rPr>
      <t xml:space="preserve">  </t>
    </r>
    <r>
      <rPr>
        <b/>
        <sz val="8"/>
        <color theme="1"/>
        <rFont val="Arial"/>
        <family val="2"/>
      </rPr>
      <t>Total de Resultados de Ingresos (4=1+2+3)</t>
    </r>
  </si>
  <si>
    <r>
      <t>3.</t>
    </r>
    <r>
      <rPr>
        <b/>
        <sz val="8"/>
        <color theme="1"/>
        <rFont val="Times New Roman"/>
        <family val="1"/>
      </rPr>
      <t xml:space="preserve">  </t>
    </r>
    <r>
      <rPr>
        <b/>
        <sz val="8"/>
        <color theme="1"/>
        <rFont val="Arial"/>
        <family val="2"/>
      </rPr>
      <t>Ingresos Derivados de Financiamientos (3=A)</t>
    </r>
  </si>
  <si>
    <r>
      <t>A.</t>
    </r>
    <r>
      <rPr>
        <sz val="8"/>
        <color theme="1"/>
        <rFont val="Times New Roman"/>
        <family val="1"/>
      </rPr>
      <t xml:space="preserve">    </t>
    </r>
    <r>
      <rPr>
        <sz val="8"/>
        <color theme="1"/>
        <rFont val="Arial"/>
        <family val="2"/>
      </rPr>
      <t>Aportaciones</t>
    </r>
  </si>
  <si>
    <r>
      <t>2.</t>
    </r>
    <r>
      <rPr>
        <b/>
        <sz val="8"/>
        <color theme="1"/>
        <rFont val="Times New Roman"/>
        <family val="1"/>
      </rPr>
      <t xml:space="preserve">  </t>
    </r>
    <r>
      <rPr>
        <b/>
        <sz val="8"/>
        <color theme="1"/>
        <rFont val="Arial"/>
        <family val="2"/>
      </rPr>
      <t>Transferencias Federales Etiquetadas</t>
    </r>
    <r>
      <rPr>
        <b/>
        <vertAlign val="superscript"/>
        <sz val="8"/>
        <color theme="1"/>
        <rFont val="Arial"/>
        <family val="2"/>
      </rPr>
      <t xml:space="preserve"> </t>
    </r>
    <r>
      <rPr>
        <b/>
        <sz val="8"/>
        <color theme="1"/>
        <rFont val="Arial"/>
        <family val="2"/>
      </rPr>
      <t>(2=A+B+C+D+E)</t>
    </r>
  </si>
  <si>
    <r>
      <t>K.</t>
    </r>
    <r>
      <rPr>
        <sz val="8"/>
        <color theme="1"/>
        <rFont val="Times New Roman"/>
        <family val="1"/>
      </rPr>
      <t xml:space="preserve">    </t>
    </r>
    <r>
      <rPr>
        <sz val="8"/>
        <color theme="1"/>
        <rFont val="Arial"/>
        <family val="2"/>
      </rPr>
      <t>Convenios</t>
    </r>
  </si>
  <si>
    <r>
      <t>J.</t>
    </r>
    <r>
      <rPr>
        <sz val="8"/>
        <color theme="1"/>
        <rFont val="Times New Roman"/>
        <family val="1"/>
      </rPr>
      <t xml:space="preserve">     </t>
    </r>
    <r>
      <rPr>
        <sz val="8"/>
        <color theme="1"/>
        <rFont val="Arial"/>
        <family val="2"/>
      </rPr>
      <t xml:space="preserve">Transferencias </t>
    </r>
  </si>
  <si>
    <r>
      <t>I.</t>
    </r>
    <r>
      <rPr>
        <sz val="8"/>
        <color theme="1"/>
        <rFont val="Times New Roman"/>
        <family val="1"/>
      </rPr>
      <t xml:space="preserve">     </t>
    </r>
    <r>
      <rPr>
        <sz val="8"/>
        <color theme="1"/>
        <rFont val="Arial"/>
        <family val="2"/>
      </rPr>
      <t>Incentivos Derivados de la Colaboración Fiscal</t>
    </r>
  </si>
  <si>
    <r>
      <t>F.</t>
    </r>
    <r>
      <rPr>
        <sz val="8"/>
        <color theme="1"/>
        <rFont val="Times New Roman"/>
        <family val="1"/>
      </rPr>
      <t xml:space="preserve">    </t>
    </r>
    <r>
      <rPr>
        <sz val="8"/>
        <color theme="1"/>
        <rFont val="Arial"/>
        <family val="2"/>
      </rPr>
      <t>Aprovechamientos</t>
    </r>
  </si>
  <si>
    <r>
      <t>E.</t>
    </r>
    <r>
      <rPr>
        <sz val="8"/>
        <color theme="1"/>
        <rFont val="Times New Roman"/>
        <family val="1"/>
      </rPr>
      <t xml:space="preserve">    </t>
    </r>
    <r>
      <rPr>
        <sz val="8"/>
        <color theme="1"/>
        <rFont val="Arial"/>
        <family val="2"/>
      </rPr>
      <t>Productos</t>
    </r>
  </si>
  <si>
    <r>
      <t>B.</t>
    </r>
    <r>
      <rPr>
        <sz val="8"/>
        <color theme="1"/>
        <rFont val="Times New Roman"/>
        <family val="1"/>
      </rPr>
      <t xml:space="preserve">    </t>
    </r>
    <r>
      <rPr>
        <sz val="8"/>
        <color theme="1"/>
        <rFont val="Arial"/>
        <family val="2"/>
      </rPr>
      <t>Cuotas y Aportaciones de Seguridad Social</t>
    </r>
  </si>
  <si>
    <r>
      <t>A.</t>
    </r>
    <r>
      <rPr>
        <sz val="8"/>
        <color theme="1"/>
        <rFont val="Times New Roman"/>
        <family val="1"/>
      </rPr>
      <t xml:space="preserve">    </t>
    </r>
    <r>
      <rPr>
        <sz val="8"/>
        <color theme="1"/>
        <rFont val="Arial"/>
        <family val="2"/>
      </rPr>
      <t>Impuestos</t>
    </r>
  </si>
  <si>
    <r>
      <t>1.</t>
    </r>
    <r>
      <rPr>
        <b/>
        <sz val="8"/>
        <color theme="1"/>
        <rFont val="Times New Roman"/>
        <family val="1"/>
      </rPr>
      <t xml:space="preserve">  </t>
    </r>
    <r>
      <rPr>
        <b/>
        <sz val="8"/>
        <color theme="1"/>
        <rFont val="Arial"/>
        <family val="2"/>
      </rPr>
      <t>Ingresos de Libre Disposición (1=A+B+C+D+E+F+G+H+I+J+K+L)</t>
    </r>
  </si>
  <si>
    <t>Resultados de Ingresos - LDF</t>
  </si>
  <si>
    <r>
      <t>3.</t>
    </r>
    <r>
      <rPr>
        <b/>
        <sz val="8"/>
        <color theme="1"/>
        <rFont val="Times New Roman"/>
        <family val="1"/>
      </rPr>
      <t xml:space="preserve">  </t>
    </r>
    <r>
      <rPr>
        <b/>
        <sz val="8"/>
        <color theme="1"/>
        <rFont val="Arial"/>
        <family val="2"/>
      </rPr>
      <t>Total del Resultado de Egresos (3=1+2)</t>
    </r>
  </si>
  <si>
    <t>Resultados de Egresos - LDF</t>
  </si>
  <si>
    <t>Empresa que elaboró el estudio actuarial</t>
  </si>
  <si>
    <t>Año de elaboración del estudio actuarial</t>
  </si>
  <si>
    <t>Estudio actuarial</t>
  </si>
  <si>
    <t>Tasa de rendimiento</t>
  </si>
  <si>
    <t>Año de descapitalización</t>
  </si>
  <si>
    <t>Periodo de suficiencia</t>
  </si>
  <si>
    <t>Generaciones futuras</t>
  </si>
  <si>
    <t>Generación actual</t>
  </si>
  <si>
    <t>Déficit/superávit actuarial</t>
  </si>
  <si>
    <t>Valor presente de aportaciones futuras</t>
  </si>
  <si>
    <t>Valor presente de las contribuciones asociadas a los sueldos futuros de cotización X%</t>
  </si>
  <si>
    <t>Pensiones y Jubilaciones en curso de pago</t>
  </si>
  <si>
    <t>Valor presente de las obligaciones</t>
  </si>
  <si>
    <t>Monto de la reserva</t>
  </si>
  <si>
    <t>Promedio</t>
  </si>
  <si>
    <t>Mínimo</t>
  </si>
  <si>
    <t>Máximo</t>
  </si>
  <si>
    <t>Monto mensual por pensión</t>
  </si>
  <si>
    <t>Beneficiarios de Pensionados y Jubilados</t>
  </si>
  <si>
    <t>Pensionados y Jubilados</t>
  </si>
  <si>
    <t>Activos</t>
  </si>
  <si>
    <t>Nómina anual</t>
  </si>
  <si>
    <t>Ingresos Anuales al Fondo de Pensiones</t>
  </si>
  <si>
    <t>Ingresos del Fondo</t>
  </si>
  <si>
    <t>Esperanza de vida</t>
  </si>
  <si>
    <t>Edad de Jubilación o Pensión</t>
  </si>
  <si>
    <t>Crecimiento esperado de los activos (como %)</t>
  </si>
  <si>
    <t>Crecimiento esperado de los pensionados y jubilados (como %)</t>
  </si>
  <si>
    <t>Aportación del ente público al plan de pensión como % del salario</t>
  </si>
  <si>
    <t>Aportación individual al plan de pensión como % del salario</t>
  </si>
  <si>
    <t>Promedio de años de servicio (trabajadores activos)</t>
  </si>
  <si>
    <t>Beneficiarios</t>
  </si>
  <si>
    <t>Edad promedio</t>
  </si>
  <si>
    <t>Edad mínima</t>
  </si>
  <si>
    <t>Edad máxima</t>
  </si>
  <si>
    <t>Población afiliada</t>
  </si>
  <si>
    <t>Beneficio definido, Contribución definida o Mixto</t>
  </si>
  <si>
    <t>Prestación laboral o Fondo general para trabajadores del estado o municipio</t>
  </si>
  <si>
    <t>Tipo de Sistema</t>
  </si>
  <si>
    <t>Otras prestaciones sociales</t>
  </si>
  <si>
    <t>Invalidez y vida</t>
  </si>
  <si>
    <t>Riesgos de trabajo</t>
  </si>
  <si>
    <t>Pensiones y jubilaciones</t>
  </si>
  <si>
    <t>Informe sobre Estudios Actuariales - LDF</t>
  </si>
  <si>
    <t>Periodo del 01 de Enero al 31 de Diciembre del 2018</t>
  </si>
  <si>
    <t>LABA391113MTSLNR06</t>
  </si>
  <si>
    <t>NITCHE COLLI CARDONA</t>
  </si>
  <si>
    <t>COCN871029MTSLRC03</t>
  </si>
  <si>
    <t>ALBERTA CASTILLO HERNANDEZ</t>
  </si>
  <si>
    <t>CAHA710418MTSSRL05</t>
  </si>
  <si>
    <t>FABIOLA CARDENAS DE LA GARZA</t>
  </si>
  <si>
    <t>GENOVEVA DAVILA GRACIA</t>
  </si>
  <si>
    <t>DAGG600103MTSVRN15</t>
  </si>
  <si>
    <t>CARMEN ELOISA ESTRADA SALAZAR</t>
  </si>
  <si>
    <t>EASC930322MTSSLR05</t>
  </si>
  <si>
    <t>MA GRACIELA SOTO ARANDA</t>
  </si>
  <si>
    <t>SOAG770323MNLTRR05</t>
  </si>
  <si>
    <t>MISAEL ESTRADA MORENO</t>
  </si>
  <si>
    <t>EAMM760407HTSSRS09</t>
  </si>
  <si>
    <t>ISAIAS POBLANO MARTINEZ</t>
  </si>
  <si>
    <t>POMI330525HTSBRS00</t>
  </si>
  <si>
    <t>CUCE430705HTSRRV00</t>
  </si>
  <si>
    <t>RAYMUNDO ABINADI ZAPATA WALLE</t>
  </si>
  <si>
    <t>ZAWR850322HTSPLY07</t>
  </si>
  <si>
    <t>JUDITH SANCHEZ LUNA</t>
  </si>
  <si>
    <t>SALJ620926MVZNND02</t>
  </si>
  <si>
    <t xml:space="preserve">EVA MARIA ALVARADO </t>
  </si>
  <si>
    <t>LEHE450515</t>
  </si>
  <si>
    <t>SILVANO DE LA ROSA SALAZAR</t>
  </si>
  <si>
    <t>DULCE ROSARIO PESINA  ALEMAN</t>
  </si>
  <si>
    <t>MA DE LA LUZ SANTOS ZUÑIGA</t>
  </si>
  <si>
    <t>SAZL620523</t>
  </si>
  <si>
    <t>MARIA MAGDALENA QUEVEDO PUENTE</t>
  </si>
  <si>
    <t>QUPM660511</t>
  </si>
  <si>
    <t>MARTINA CRUZ DE LA CRUZ</t>
  </si>
  <si>
    <t>CUCM880211</t>
  </si>
  <si>
    <t>MA GUADALUPE QUINTERO GARCIA</t>
  </si>
  <si>
    <t>JUAN REGUGIO TABOADA RODRIGUEZ</t>
  </si>
  <si>
    <t>TARJ630128HTSBND05</t>
  </si>
  <si>
    <t>GENEROSA ISELA LOPEZ HERNANDEZ</t>
  </si>
  <si>
    <t>LOHG810118MTSPRN06</t>
  </si>
  <si>
    <t>DEMETRIO CASTRO MORALES</t>
  </si>
  <si>
    <t>CAMD861222HTSSRM02</t>
  </si>
  <si>
    <t>JOSE MARTIN RODRIGUEZ GUILLEN</t>
  </si>
  <si>
    <t>ROGM810924HTSDLR02</t>
  </si>
  <si>
    <t>MELANI YAMILETH LOPEZ PERALES</t>
  </si>
  <si>
    <t>LOPM961006MTSPRL06</t>
  </si>
  <si>
    <t>THELMA DEL CARMEN ZUÑIGA TORRES</t>
  </si>
  <si>
    <t>ZUTT810315MTSHRH09</t>
  </si>
  <si>
    <t>VANESSA ESCALANTE CAMACHO</t>
  </si>
  <si>
    <t>EACV960611MTSSMN05</t>
  </si>
  <si>
    <t>SILVESTRE LOPEZ TORRES</t>
  </si>
  <si>
    <t>LOTS371216HTSPRL06</t>
  </si>
  <si>
    <t>GUADALUPE VAZQUEZ NAVA</t>
  </si>
  <si>
    <t>VANG751206MTSZVD08</t>
  </si>
  <si>
    <t>GLORIA ERENDIRA MANZANO GUEVARA</t>
  </si>
  <si>
    <t>CAIG7471120MTSSZD08</t>
  </si>
  <si>
    <t>MACRINA MALDONADO CHAIRES</t>
  </si>
  <si>
    <t>MACM850329MTSLHC02</t>
  </si>
  <si>
    <t>PABLO GAMEZ</t>
  </si>
  <si>
    <t>LORENA RODRIGUEZ LUGO</t>
  </si>
  <si>
    <t>ROLL701204MTSDGR09</t>
  </si>
  <si>
    <t>DANIELA YAJAIRA MULIZ MOLINA</t>
  </si>
  <si>
    <t>OLGA LIDIA MARTINEZ CASTILLO</t>
  </si>
  <si>
    <t>MACJ780325MTSRSS04</t>
  </si>
  <si>
    <t>MA DE LA LUZ NAVA HERNANDEZ</t>
  </si>
  <si>
    <t>NAHL540107MTSVRZ03</t>
  </si>
  <si>
    <t>LAURA ESTHELA MARTINEZ CASTILLO</t>
  </si>
  <si>
    <t>MACL570111MTSRSR02</t>
  </si>
  <si>
    <t xml:space="preserve">ANARELY TORRES SANTIAGO </t>
  </si>
  <si>
    <t>TOSA800730MVZRNN05</t>
  </si>
  <si>
    <t>MAGE871007HTSRND09</t>
  </si>
  <si>
    <t>CAPL591129</t>
  </si>
  <si>
    <t>MARIA CARMEN ZUÑIGA CRUZ</t>
  </si>
  <si>
    <t>ZUCC630316MGTXRR09</t>
  </si>
  <si>
    <t>MAMJ540602HTSRNN04</t>
  </si>
  <si>
    <t>JOSE EDUARDO PEREZ ALCALA</t>
  </si>
  <si>
    <t>AAPM670106MTSLCR07</t>
  </si>
  <si>
    <t>NORA ELIA HUERTA GAITAN</t>
  </si>
  <si>
    <t>HUGN840314MTSRTR09</t>
  </si>
  <si>
    <t>ADRIAN EBERTO LOPEZ RUIZ</t>
  </si>
  <si>
    <t>LORA840829HTSPZD03</t>
  </si>
  <si>
    <t>MONICA ANTONIO JIMENEZ VARGAS</t>
  </si>
  <si>
    <t>JIVM950405MTSMRN09</t>
  </si>
  <si>
    <t>DAVID GONZALEZ MORALES</t>
  </si>
  <si>
    <t>GOMD90804HTSNRV07</t>
  </si>
  <si>
    <t>JUANITA QUIÑONEZ RODRIGUEZ</t>
  </si>
  <si>
    <t>QURJ920214MTSXDN03</t>
  </si>
  <si>
    <t>RICARDA HILARIA SAN JUAN</t>
  </si>
  <si>
    <t>HISR740504MHGLNC09</t>
  </si>
  <si>
    <t>ANA LUISA RAMIREZ GOMEZ</t>
  </si>
  <si>
    <t>RAGA730819MTSMMN07</t>
  </si>
  <si>
    <t>HORTENCIA HERNANDEZ IBARRA</t>
  </si>
  <si>
    <t>EMILIO ROBERTO TERAN TERAN</t>
  </si>
  <si>
    <t>TETE391204</t>
  </si>
  <si>
    <t>MA EDUVIGES TERAN VAZQUEZ</t>
  </si>
  <si>
    <t>TEVE640817MTSRZD00</t>
  </si>
  <si>
    <t>MERITH YULIANA GAMEZ TRUJILLO</t>
  </si>
  <si>
    <t>GATM880622MTSMRR06</t>
  </si>
  <si>
    <t>MARIA PIEDAD MATA PALOMARES</t>
  </si>
  <si>
    <t>OARN880825MTSRYY03</t>
  </si>
  <si>
    <t>MAPP660312MTSRLD10</t>
  </si>
  <si>
    <t>BEATRIZ EUGENIA AVILA MIRELES</t>
  </si>
  <si>
    <t>AIMB821025MTSVRT00</t>
  </si>
  <si>
    <t>MA DE JESUS MALDONADO MUÑIZ</t>
  </si>
  <si>
    <t>MAMJ780602MTSLXS03</t>
  </si>
  <si>
    <t>JESUS TORRES PEREZ</t>
  </si>
  <si>
    <t>TOPJ681224HTSRRS15</t>
  </si>
  <si>
    <t>MARIA DE LOURDES WALLE LEDEZMA</t>
  </si>
  <si>
    <t>WACL620710MTSLRR01</t>
  </si>
  <si>
    <t>WENDY ELIZABETH HERNANDEZ LEDEZMA</t>
  </si>
  <si>
    <t>HELW841028MTSRDN06</t>
  </si>
  <si>
    <t>LUCERO ABIGAIL PESINA GUERRERO</t>
  </si>
  <si>
    <t>PEGL890812MTSSRC05</t>
  </si>
  <si>
    <t>REYNA GUADALUPE SANCHEZ PERALES</t>
  </si>
  <si>
    <t>SAPR881115MTSNRY06</t>
  </si>
  <si>
    <t>ARACELY DORIA MEDINA</t>
  </si>
  <si>
    <t>DOMA790325MTSRDR00</t>
  </si>
  <si>
    <t xml:space="preserve">MARIA GUADALUPE SANCHE </t>
  </si>
  <si>
    <t>JUAN FRANCISCO PEREZ PEREZ</t>
  </si>
  <si>
    <t>PEPJ790625HTSRRN06</t>
  </si>
  <si>
    <t>ESC. PRIMARIA JESUS ORNELAS ZAVALA</t>
  </si>
  <si>
    <t>28DPR0069I</t>
  </si>
  <si>
    <t>CAMPOS GUZMAN MARTHA</t>
  </si>
  <si>
    <t>JULIANA ZUÑIGA GALLEGOS</t>
  </si>
  <si>
    <t>ZUGJ610412MTSXLL08</t>
  </si>
  <si>
    <t>MA ISABEL CASTILLO VALVERDE</t>
  </si>
  <si>
    <t>CACN890226HTSVSS05</t>
  </si>
  <si>
    <t>ROSA M RODRIGUEZ</t>
  </si>
  <si>
    <t>MA ANGELICA LIMAS</t>
  </si>
  <si>
    <t>ARACELY RUIZ TORRES</t>
  </si>
  <si>
    <t>ALEJANDRA GUERRERO ZUÑIGA</t>
  </si>
  <si>
    <t>GUZA600308MTSRXL01</t>
  </si>
  <si>
    <t>CARLOS EFREN CASTAÑON</t>
  </si>
  <si>
    <t>MAVJ6102221MTSRZN06</t>
  </si>
  <si>
    <t>HUMBERTO LOPEZ LOPEZ</t>
  </si>
  <si>
    <t>LOLH840302HTSPPM01</t>
  </si>
  <si>
    <t>ANDREA HERNANDEZ MARTINEZ</t>
  </si>
  <si>
    <t>HEMA740415MHGRRN03</t>
  </si>
  <si>
    <t>SERGIO ARTURO ORTIZ CASTILLO</t>
  </si>
  <si>
    <t>OICS931028HTSRSR08</t>
  </si>
  <si>
    <t>LARL720407MTSZRZ00</t>
  </si>
  <si>
    <t>AGULAEN RAMOS YEPEZ</t>
  </si>
  <si>
    <t>RAYA861223MTSMOG03</t>
  </si>
  <si>
    <t>KARLA GUADALUPE DOMINGUEZ PEREZ</t>
  </si>
  <si>
    <t>DOPK990813MTSMRR01</t>
  </si>
  <si>
    <t>MARCELA HERNANDEZ PORTALES</t>
  </si>
  <si>
    <t>HEPM620602</t>
  </si>
  <si>
    <t>SANDRA LUZ PITONES DE LA CRUZ</t>
  </si>
  <si>
    <t>PICS770216MTSTRN03</t>
  </si>
  <si>
    <t>RITA GAMEZ AVILA</t>
  </si>
  <si>
    <t>GAAR780904MTSMVT07</t>
  </si>
  <si>
    <t>MARINA ROJO ALVAREZ</t>
  </si>
  <si>
    <t>ROAM581123MTSJLR12</t>
  </si>
  <si>
    <t>ROSALBA JANETT DE LA FUENTE SAUCEDO</t>
  </si>
  <si>
    <t>JOSE ALFREDO GUEVARA TREVIÑO</t>
  </si>
  <si>
    <t>GUTA530113HTSVRS09</t>
  </si>
  <si>
    <t>MA ANA PEREZ LUNA</t>
  </si>
  <si>
    <t>PELA541111MTSRNN03</t>
  </si>
  <si>
    <t>JESUS PABLO CERVANTES CAMPOS</t>
  </si>
  <si>
    <t>CECJ990928HTSRMS00</t>
  </si>
  <si>
    <t>NICOLASA GARCIA ZUÑIGA</t>
  </si>
  <si>
    <t>GAZN651208MTSRXC02</t>
  </si>
  <si>
    <t>DEMR790206HTSNQ04</t>
  </si>
  <si>
    <t>GUCL750208MTSVMR00</t>
  </si>
  <si>
    <t xml:space="preserve">EJIDO SANTA LIBRADA </t>
  </si>
  <si>
    <t>VICTOR MANUEL PEREZ GARCIA</t>
  </si>
  <si>
    <t>PEGV580628HTSRRC08</t>
  </si>
  <si>
    <t>AGUILA LUMBRERAS JOSE RODOLFO</t>
  </si>
  <si>
    <t>AULR810427</t>
  </si>
  <si>
    <t>FED MEXICANA DE TAEKWONDO AC VICTORIA</t>
  </si>
  <si>
    <t>FUNDACION DOWN VICTORIA AC</t>
  </si>
  <si>
    <t>FOV0902259E5</t>
  </si>
  <si>
    <t>SONIA GUADALUPE GONZALEZ</t>
  </si>
  <si>
    <t>MARIA SOLEDAD TOVIAS SALAS</t>
  </si>
  <si>
    <t>TOSS820610MTSVLL05</t>
  </si>
  <si>
    <t>MA AMPARO NAVARRO SOLIS</t>
  </si>
  <si>
    <t>NASA431031MTSVLL08</t>
  </si>
  <si>
    <t>MARGARITA URBINA MONROY</t>
  </si>
  <si>
    <t>UIMM660108MSPRNR08</t>
  </si>
  <si>
    <t>MARIA ISABEL XX SEPULVEDA</t>
  </si>
  <si>
    <t>GUADALUPE ZORRILLA MEZA</t>
  </si>
  <si>
    <t>ZOMG530530MTSRZD08</t>
  </si>
  <si>
    <t>JUAN GAYTAN CRUZ</t>
  </si>
  <si>
    <t>GACJ401227HTSYRN06</t>
  </si>
  <si>
    <t>ADRIAN GRIMALDO HERNANDEZ</t>
  </si>
  <si>
    <t>GIHA850908HTSRRD05</t>
  </si>
  <si>
    <t>EVA MARGARITA ALVARADO AGUIA</t>
  </si>
  <si>
    <t>EDITH NALLELY PEREZ HERNANDEZ</t>
  </si>
  <si>
    <t>PEHE990901MTSRRD00</t>
  </si>
  <si>
    <t>MARCO ANTONIO AGUILAR LARA</t>
  </si>
  <si>
    <t>AULM720501HSPGRR08</t>
  </si>
  <si>
    <t>BOMD620512MTSCRM09</t>
  </si>
  <si>
    <t>SAZL620523MTSNXG08</t>
  </si>
  <si>
    <t>DIANA BERENICE GARCIA DOMINGUEZ</t>
  </si>
  <si>
    <t>GADD980502MTSRMN09</t>
  </si>
  <si>
    <t>JUAN PABLO FORTUNA PEREZ</t>
  </si>
  <si>
    <t>FOPJ790129HTSRRN06</t>
  </si>
  <si>
    <t>CINTHIA VERONICA VELAZQUEZ HERNANDEZ</t>
  </si>
  <si>
    <t>MARCELINO CASTILLO MORENO</t>
  </si>
  <si>
    <t>CAMM850514HTSSRR03</t>
  </si>
  <si>
    <t>MA MERCEDES RODRIGUEZ CASTILLO</t>
  </si>
  <si>
    <t>KENIA MARGARITA REYES GOMEZ</t>
  </si>
  <si>
    <t>REGK930126MTSYMN00</t>
  </si>
  <si>
    <t>ROLA680417MTSDPL08</t>
  </si>
  <si>
    <t>SANDRA NELLY PEÑA GARCIA</t>
  </si>
  <si>
    <t>GABRIELA ZUÑIGA MALDONADO</t>
  </si>
  <si>
    <t>ZUMG640324MTSXLB01</t>
  </si>
  <si>
    <t>LUIS ARMANDO MEDINA GUILLEN</t>
  </si>
  <si>
    <t>MEGL670813HSPDLS04</t>
  </si>
  <si>
    <t>RECL830427HTSYVG02</t>
  </si>
  <si>
    <t>MA ISIDORA REYES MARTINEZ</t>
  </si>
  <si>
    <t>REMI510404MTSYRS09</t>
  </si>
  <si>
    <t>ORALIA RAMIREZ DE LEON</t>
  </si>
  <si>
    <t>RALO710407MTSMNR01</t>
  </si>
  <si>
    <t>ELSA GABRIELA MORENO MENDOZA</t>
  </si>
  <si>
    <t>MOME821014MTSRNL06</t>
  </si>
  <si>
    <t>ALMA LETICIA SANCHEZ</t>
  </si>
  <si>
    <t>SAXA671202MTSNXL03</t>
  </si>
  <si>
    <t>PADL791031MTSZC07</t>
  </si>
  <si>
    <t xml:space="preserve">MA CONCEPCION PEREZ GUERRERO </t>
  </si>
  <si>
    <t>ANAHI ZUÑIGA PEÑA</t>
  </si>
  <si>
    <t>JOEL CABRERA ALANIS</t>
  </si>
  <si>
    <t>CAAJ780727HTSBLL05</t>
  </si>
  <si>
    <t>HUGO CESAR SANCHEZ GARCIA</t>
  </si>
  <si>
    <t>SAGH860521HTSNRG16</t>
  </si>
  <si>
    <t>GRRARDO JUAREZ ALANIS</t>
  </si>
  <si>
    <t>YESICA ZULEMA ROSALES GARCIA</t>
  </si>
  <si>
    <t>ROGY880917MTSSRS08</t>
  </si>
  <si>
    <t>MA ELIZABETH MATA ACUÑA</t>
  </si>
  <si>
    <t>MA REYES PINEDA RODRIGUEZ</t>
  </si>
  <si>
    <t>PIRR770106MTSNDY02</t>
  </si>
  <si>
    <t>MA DEL ROBLE RODRIGUEZ</t>
  </si>
  <si>
    <t>GRISELDA PATRICIA LIRIO</t>
  </si>
  <si>
    <t>PALG871130</t>
  </si>
  <si>
    <t>ERIKA ADRIANA ZUÑIGA</t>
  </si>
  <si>
    <t>OLGA LETICIA CASTAÑON</t>
  </si>
  <si>
    <t>CARO661009MTSSNL06</t>
  </si>
  <si>
    <t>NOHEMI MELENDEZ ESCAMILLA</t>
  </si>
  <si>
    <t>GAER620527HTSN05</t>
  </si>
  <si>
    <t>MARIA ESTHER GARCIA VAZQUEZ</t>
  </si>
  <si>
    <t>GAVE481226</t>
  </si>
  <si>
    <t>MARIA DE LOURDES WALLE CORDOBA</t>
  </si>
  <si>
    <t>COZM771109MTSNXR05</t>
  </si>
  <si>
    <t>ALICIA GALLEGOS MARTINEZ</t>
  </si>
  <si>
    <t>GAMA650728MTSLRL02</t>
  </si>
  <si>
    <t>MA CRUZ MORENO MASCORRO</t>
  </si>
  <si>
    <t>MOMC531121MTSRSR06</t>
  </si>
  <si>
    <t>MEZA PEREZ ZEIDY KARINA</t>
  </si>
  <si>
    <t>MEPZ951102MTSZRD07</t>
  </si>
  <si>
    <t>CONSUELO CANCECO ARCOS</t>
  </si>
  <si>
    <t>CAAC711231MTSNRN04</t>
  </si>
  <si>
    <t>JOSE CARMEN RAMOS BADILLO</t>
  </si>
  <si>
    <t>RABC550716HTSMDR08</t>
  </si>
  <si>
    <t>RANGEL MARTINEZ ROCIO MAGALY</t>
  </si>
  <si>
    <t>RAMR801105MTSNRC01</t>
  </si>
  <si>
    <t>GONZALEZ CUELLAR SOLEDAD</t>
  </si>
  <si>
    <t>GOCS590414MTSNLL01</t>
  </si>
  <si>
    <t>ROSA MARIA GRIMALDO REYNA</t>
  </si>
  <si>
    <t>GIRR530324MTSRYS03</t>
  </si>
  <si>
    <t>SERGIO IVAN FLORES RETA</t>
  </si>
  <si>
    <t>FORS960502HTSLTR06</t>
  </si>
  <si>
    <t>CARLOTA ISIDORO ESTEVEZ</t>
  </si>
  <si>
    <t>IIEC781104MVZSSR04</t>
  </si>
  <si>
    <t>LUIS GERARDO MELENDEZ REYEZ</t>
  </si>
  <si>
    <t>MERL991011HTSLYS07</t>
  </si>
  <si>
    <t>JUAN ALVIZO MASCORRO</t>
  </si>
  <si>
    <t>AIMJ670327HTSLSN06</t>
  </si>
  <si>
    <t>CECILIO RAMIREZ PEREZ</t>
  </si>
  <si>
    <t>RAPC810525HTSMRC07</t>
  </si>
  <si>
    <t>GUADALUPE TORNER PEREZ</t>
  </si>
  <si>
    <t>TOGP570925HTSNRS04</t>
  </si>
  <si>
    <t>JESUS ADRIAN MATA GONZALEZ</t>
  </si>
  <si>
    <t>MA DEL REFUGIO CHARLES CERVANTES</t>
  </si>
  <si>
    <t>CACR620822MTSHRF12</t>
  </si>
  <si>
    <t>DIANA LAURA MORENO GARCIA</t>
  </si>
  <si>
    <t>MOGD951214MTSRRN06</t>
  </si>
  <si>
    <t>MODESTA VALLA COVARRUBIAS</t>
  </si>
  <si>
    <t>FRINETH YULIANA DE LA CRUZ ROSALINO</t>
  </si>
  <si>
    <t>CURF830907MTSRSR01</t>
  </si>
  <si>
    <t>J. RODRIGO TAVAREZ GARCIA</t>
  </si>
  <si>
    <t>TAGR590223HTSVRD07</t>
  </si>
  <si>
    <t>MARIA GUADALUPE MORENO VICENCIO</t>
  </si>
  <si>
    <t>MOVG730125MTSRCD07</t>
  </si>
  <si>
    <t>FRANCISCO JAVIER TABARES SOTO</t>
  </si>
  <si>
    <t>TASF650119HDFBTR04</t>
  </si>
  <si>
    <t>CELINA BELEM GONZALEZ ORTIZ</t>
  </si>
  <si>
    <t>GOOC831021MTSNRL05</t>
  </si>
  <si>
    <t>ANA KAREN ORTIZ CASTILLO</t>
  </si>
  <si>
    <t>OICA890218MTSRSN04</t>
  </si>
  <si>
    <t>AMADA LUCERO OCHOA MANDUJANO</t>
  </si>
  <si>
    <t>OOMA980110MTSCNM04</t>
  </si>
  <si>
    <t>HAYDEE JAQUELYN LANDEROS MARTINEZ</t>
  </si>
  <si>
    <t>LAMH950831MTSNRY05</t>
  </si>
  <si>
    <t>GRACIELA HORTENSIA GARCIA DE LEON</t>
  </si>
  <si>
    <t>CALG821201MTSRNR17</t>
  </si>
  <si>
    <t>RAUL GABRIEL CRUZ TALAMAS</t>
  </si>
  <si>
    <t>CUTR850827HTSRLL02</t>
  </si>
  <si>
    <t>NILTON ADOLFO RODRIGUEZ GUERERRO</t>
  </si>
  <si>
    <t>ROGN920210HTSDRL06</t>
  </si>
  <si>
    <t>MANZANO ALVAREZ MIGUEL ANGEL</t>
  </si>
  <si>
    <t>MAAM710128HTSNLG03</t>
  </si>
  <si>
    <t>CARLOS DANIEL FLORES PADILLA</t>
  </si>
  <si>
    <t>FOPC900830HTSLDR06</t>
  </si>
  <si>
    <t>JESUS CARDOSA CHACON</t>
  </si>
  <si>
    <t>CACJ651029</t>
  </si>
  <si>
    <t>ARIANA KENET HURTADO GARZA</t>
  </si>
  <si>
    <t>HUGA850601MTSRRR03</t>
  </si>
  <si>
    <t>MARCO ANTONIO MELENDEZ CASTILLO</t>
  </si>
  <si>
    <t>MECM940506HTSLSR02</t>
  </si>
  <si>
    <t>MIGUEL ANGEL MARTINEZ OLIVARES</t>
  </si>
  <si>
    <t>MAOM780616HTSRLG00</t>
  </si>
  <si>
    <t>JORGE ALEJANDRO MANRIQUE CRUZ</t>
  </si>
  <si>
    <t>MACJ930409HTSNRR06</t>
  </si>
  <si>
    <t>ESPERANZA DURHAM ACEVEDO</t>
  </si>
  <si>
    <t>DUAE601112MTSRCS09</t>
  </si>
  <si>
    <t>RAMON ALBERTO CRESPO FRANCO</t>
  </si>
  <si>
    <t>CEFR961216HTSRRM06</t>
  </si>
  <si>
    <t>LLUVIA LUCERO DAVILA GUERRERO</t>
  </si>
  <si>
    <t>DAGL880808MTSVRL04</t>
  </si>
  <si>
    <t>ISIDORA CEPEDA SANCHEZ</t>
  </si>
  <si>
    <t>CESI570622MTSPNS08</t>
  </si>
  <si>
    <t>GOMD9008HTSNRV05</t>
  </si>
  <si>
    <t>MONICA NALLELY AGUILERA MONTELONGO</t>
  </si>
  <si>
    <t>TOGL620415MTSVRN04</t>
  </si>
  <si>
    <t>MA FIDENCIA GOMEZ AGUILAR</t>
  </si>
  <si>
    <t>MARIA REYES PINEDA RODRIGUEZ</t>
  </si>
  <si>
    <t>CLAUDIA EDITH LOPEZ SALINAS</t>
  </si>
  <si>
    <t>LOSC840825MTSPLL09</t>
  </si>
  <si>
    <t>JESUS MANUEL MATA GONZALEZ</t>
  </si>
  <si>
    <t>GUGJ900820HTSRNS02</t>
  </si>
  <si>
    <t>ANTONIA BECERRA CERVANTES</t>
  </si>
  <si>
    <t>BECA700613MTSCRN00</t>
  </si>
  <si>
    <t>JUAN MARTIN AZUA CARBAJAL</t>
  </si>
  <si>
    <t>AUCJ661111HTSZRN01</t>
  </si>
  <si>
    <t>ALMA AMERICA RUIZ AGUIRRE</t>
  </si>
  <si>
    <t>RUAA811225MTSZGL08</t>
  </si>
  <si>
    <t>CONSTANTINA GUTIERREZ SALAZAR</t>
  </si>
  <si>
    <t>GUSC610311MTSTLN09</t>
  </si>
  <si>
    <t>MARIELA LIZZETH MARIN GONZALEZ</t>
  </si>
  <si>
    <t>MAGM970409MTSRNR00</t>
  </si>
  <si>
    <t>GERARDO GARCIA PEREZ</t>
  </si>
  <si>
    <t>GAPG741016HVZRRR08</t>
  </si>
  <si>
    <t>JESUS DE LA ROSA DE LA ROSA</t>
  </si>
  <si>
    <t>RORJ590126HTSSSS08</t>
  </si>
  <si>
    <t>VERONICA ELIZABETH PEÑA BUSTOS</t>
  </si>
  <si>
    <t>PEBV800222MTSZSR06</t>
  </si>
  <si>
    <t>CARLOS ELIUD MALDONADO TORRES</t>
  </si>
  <si>
    <t>MATC800107HTSLRR07</t>
  </si>
  <si>
    <t>MA. CARMEN MARTINEZ HUERTA</t>
  </si>
  <si>
    <t>MAHC520715MTSRRR08</t>
  </si>
  <si>
    <t>JAIRO IVAN RAMOS LÓPEZ</t>
  </si>
  <si>
    <t>RAJL000222HTSMPRA7</t>
  </si>
  <si>
    <t>MA. ELENA MARQUEZ CORDOVA</t>
  </si>
  <si>
    <t>MACE621114MTSRRL08</t>
  </si>
  <si>
    <t>RUBEN GONZALEZ MENDEZ</t>
  </si>
  <si>
    <t>GOMR521201HTSNNB06</t>
  </si>
  <si>
    <t>CARLOS ENRIQUE DOMINGUEZ PEQUEÑO</t>
  </si>
  <si>
    <t>DOPC760616HTSMQR07</t>
  </si>
  <si>
    <t>DINA PONCE FLORES</t>
  </si>
  <si>
    <t>POFD641206MDFNLN03</t>
  </si>
  <si>
    <t>DANIEL CRUZ LOPEZ</t>
  </si>
  <si>
    <t>CULD780207</t>
  </si>
  <si>
    <t>SAEL621012HSPNSS06</t>
  </si>
  <si>
    <t>ALEJANDRINA GUERRERO ZUÑIGA</t>
  </si>
  <si>
    <t>SAGG571064MSLLMM09</t>
  </si>
  <si>
    <t>MA GUADALUPE VILLA PARRA</t>
  </si>
  <si>
    <t>MARIA VILLANUEVA VILLANUEVA</t>
  </si>
  <si>
    <t>VIVM610826MTSLLR12</t>
  </si>
  <si>
    <t>GIBRAN URIEL SANCHEZ TORRES</t>
  </si>
  <si>
    <t>SATG950710HTSNRB00</t>
  </si>
  <si>
    <t>ESC SEC GRAL 8 PROFR BLAN UVALLE GONZALEZ</t>
  </si>
  <si>
    <t>ISAAC SALINAS GARZA</t>
  </si>
  <si>
    <t>SAGI860323HTSLRS06</t>
  </si>
  <si>
    <t>REFUGIO GARCIA AYALA</t>
  </si>
  <si>
    <t>GAAR680409HTSRYF04</t>
  </si>
  <si>
    <t>ZAMUDIO GRACIA JESUS</t>
  </si>
  <si>
    <t>ZAGJ600912HTSMRS01</t>
  </si>
  <si>
    <t>FERNANDO DANIEL RIVERA TORRES</t>
  </si>
  <si>
    <t>RITF820915</t>
  </si>
  <si>
    <t>FLORENCIO BALBOA RAMIREZ</t>
  </si>
  <si>
    <t>BARF451221</t>
  </si>
  <si>
    <t>ISIDORO CORDOVA CARDENAS</t>
  </si>
  <si>
    <t>COCI850514HTSRRS00</t>
  </si>
  <si>
    <t>MARTHA ALICIA ZUÑIGA DIMAS</t>
  </si>
  <si>
    <t>ZUDM600605MTSXMR00</t>
  </si>
  <si>
    <t>CECILIA VIRGEN TREJO APOLINAR</t>
  </si>
  <si>
    <t>TEAC691122MDFRPC11</t>
  </si>
  <si>
    <t>HERIBERTO HERNANDEZ SANCHEZ</t>
  </si>
  <si>
    <t>HESH700303MVZRNR07</t>
  </si>
  <si>
    <t>VICTORIA MORENO ZAVALA</t>
  </si>
  <si>
    <t>MOZV721019MTSRVC02</t>
  </si>
  <si>
    <t>ISABEL GABRIELA TOVAR BECERRA</t>
  </si>
  <si>
    <t>TOBI700831</t>
  </si>
  <si>
    <t>JESSICA TATIANA WONG MUÑIZ</t>
  </si>
  <si>
    <t>WOMJ840105MTSNXS06</t>
  </si>
  <si>
    <t>REFUGIO VAZQUEZ LEDEZMA</t>
  </si>
  <si>
    <t>VALR730704HTSZDF01</t>
  </si>
  <si>
    <t xml:space="preserve">ESC SEC GRAL 3 PROFR RAFAEL BALANDRANO </t>
  </si>
  <si>
    <t>28DES0051C</t>
  </si>
  <si>
    <t>MA BARBARITA GUTIERREZ GUERRERO</t>
  </si>
  <si>
    <t>GUGB700123MTSTRR02</t>
  </si>
  <si>
    <t>GRACIELA ALICIA CORTINA GONZALEZ</t>
  </si>
  <si>
    <t>COGG890620MTSRNR02</t>
  </si>
  <si>
    <t>GILBERTO ARELLANO ALVARADO</t>
  </si>
  <si>
    <t>AEAG710117HTSRLL07</t>
  </si>
  <si>
    <t>IAAC800708MTSNGR02</t>
  </si>
  <si>
    <t>ADOLFO POSADAS FLORES</t>
  </si>
  <si>
    <t>POFA60111</t>
  </si>
  <si>
    <t>SATJ750616</t>
  </si>
  <si>
    <t>JORGE ARMANDO CEDILLO GONZALEZ</t>
  </si>
  <si>
    <t>CEGJ810221HTSDNR08</t>
  </si>
  <si>
    <t>KARINA MARLENE MASCORRO ESCOBEDO</t>
  </si>
  <si>
    <t>MAEK820820MTSSSR09</t>
  </si>
  <si>
    <t>MA CLARA MEJIA GUAJARDO</t>
  </si>
  <si>
    <t>MEGC560812MTSJJL02</t>
  </si>
  <si>
    <t>JOSE GABRIEL ALEJANDRO RUIZ MARTINEZ</t>
  </si>
  <si>
    <t>RUMG971122HTSZRB04</t>
  </si>
  <si>
    <t>GUADALUPE ILIANA PUGA ZAPATA</t>
  </si>
  <si>
    <t>PUZG811018MTSGPD07</t>
  </si>
  <si>
    <t>FDV0902259E5</t>
  </si>
  <si>
    <t>JARDIN DE NIÑOS PROFRA ELISA MTZ Y DE ARMAS</t>
  </si>
  <si>
    <t>28DJN0965N</t>
  </si>
  <si>
    <t>ESC PREPARATORIO FED CARLOS ADRIAN AVILES</t>
  </si>
  <si>
    <t>28EBH0001R</t>
  </si>
  <si>
    <t>RUIZ RAMIREZ MARTHA ALICIA</t>
  </si>
  <si>
    <t>RURM800302MNLZMR11</t>
  </si>
  <si>
    <t>CARLOS ALFREDO VELEZ CERVANTES</t>
  </si>
  <si>
    <t>VECC780309HTSLRR07</t>
  </si>
  <si>
    <t>MA DE LOURDES SANCHEZ GUERRERO</t>
  </si>
  <si>
    <t>SAGL691105MMCNRR05</t>
  </si>
  <si>
    <t>MARIA MARTINA PEREZ GARCIA</t>
  </si>
  <si>
    <t>PEGM740815MTSRRR09</t>
  </si>
  <si>
    <t>ARMINDA CANDANOZA SALDAÑA</t>
  </si>
  <si>
    <t>CASA430203MTSNLR03</t>
  </si>
  <si>
    <t>VERONICA LIZETH AZUA ANDRADE</t>
  </si>
  <si>
    <t>AUAV810703MNLZNR05</t>
  </si>
  <si>
    <t>BOVC570303HSPLZN01</t>
  </si>
  <si>
    <t>BLANCA IDALIA URBINA PADILLA</t>
  </si>
  <si>
    <t>UIPB661130MTSRDL05</t>
  </si>
  <si>
    <t>LINDA MARISOL DE LA CRUZ CASTILLO</t>
  </si>
  <si>
    <t>CUCL840714MTSRSN08</t>
  </si>
  <si>
    <t>MA NESTORA REQUENA CASTRO</t>
  </si>
  <si>
    <t>RECN660705MTSQSS17</t>
  </si>
  <si>
    <t xml:space="preserve">TERESA RODRIGUEZ LIMON </t>
  </si>
  <si>
    <t>ROLT710125MTSDMR01</t>
  </si>
  <si>
    <t>MARIA EDITH LOPEZ TOVAR</t>
  </si>
  <si>
    <t>LOTE950127MTSPVD05</t>
  </si>
  <si>
    <t>MARTHA ALICIA BAEZ LARA</t>
  </si>
  <si>
    <t>BALM650523MTSZRR09</t>
  </si>
  <si>
    <t>LUZ ELENA MARTINEZ CAMPOS</t>
  </si>
  <si>
    <t>MACL690721MTSRMZ04</t>
  </si>
  <si>
    <t>MARIA MAYELA SIERRA RODRIGUEZ</t>
  </si>
  <si>
    <t>SIRM70430MNLRDY08</t>
  </si>
  <si>
    <t>GUADALUPE ARRATIA HONORA</t>
  </si>
  <si>
    <t>GABRIELA MORENO GONZALEZ</t>
  </si>
  <si>
    <t>MOGG720606MVZRNB08</t>
  </si>
  <si>
    <t>BLANCA ESTELA VANOYE RAMIREZ</t>
  </si>
  <si>
    <t>MA DE LA LUZ VAZQUEZ JIMENEZ</t>
  </si>
  <si>
    <t>VAJL.391028MTSZMZ06</t>
  </si>
  <si>
    <t>JUANA CEPEDA PESINA</t>
  </si>
  <si>
    <t>CEPS691222MTSPSN07</t>
  </si>
  <si>
    <t>TORE680311HTSDVL02</t>
  </si>
  <si>
    <t>MA EDITH ACUÑA CARDENAS</t>
  </si>
  <si>
    <t xml:space="preserve">ANGELICA TORRES RODRIGUEZ </t>
  </si>
  <si>
    <t>GLORIA ESTELA CHAPA HEREIDA</t>
  </si>
  <si>
    <t>JOSE DE JESUS CASTILLEJA AVALOS</t>
  </si>
  <si>
    <t>CAAJ641209HTSSVS08</t>
  </si>
  <si>
    <t>DIANA CRISTINA GARCIA VILLANUEVA</t>
  </si>
  <si>
    <t>ALEJANDRA PARRA PEREZ</t>
  </si>
  <si>
    <t>PAPA820221MTSRRL02</t>
  </si>
  <si>
    <t>NORA HILDA GARCIA ACUÑA</t>
  </si>
  <si>
    <t>GAAN691013MTSRCR05</t>
  </si>
  <si>
    <t>ILIANA GUADALUPE DE LA CRUZ LOPEZ</t>
  </si>
  <si>
    <t>CULI850801MTSRPL00</t>
  </si>
  <si>
    <t>ERENDIDA GUADALUPE NAVA MONTES</t>
  </si>
  <si>
    <t>MARGARITO AYALA AMARO</t>
  </si>
  <si>
    <t>AAAM630222</t>
  </si>
  <si>
    <t>SAPR881115</t>
  </si>
  <si>
    <t>JOSE MARIA MONTES NUÑEZ</t>
  </si>
  <si>
    <t>MONM421117HTSNXS05</t>
  </si>
  <si>
    <t>GUILLERMINA HERNANDEZ CAMACHO</t>
  </si>
  <si>
    <t>HECG660625MSPRML05</t>
  </si>
  <si>
    <t>MA MAGLORIA MENDOZA SILVA</t>
  </si>
  <si>
    <t>MESM640508MTSSNL06</t>
  </si>
  <si>
    <t>JESUS PEÑA ZAVALA</t>
  </si>
  <si>
    <t>PEZJ600102HTSXVS03</t>
  </si>
  <si>
    <t>HECTOR MIGUEL BARBOSA ALVARADO</t>
  </si>
  <si>
    <t>BAAH970829HTSRLC00</t>
  </si>
  <si>
    <t>FRANCISCO DE JESUS BARCENA VELEZ</t>
  </si>
  <si>
    <t>BAVF781117HNLRLR06</t>
  </si>
  <si>
    <t>JOSE JULIO CASTAÑEDA HERNANDEZ</t>
  </si>
  <si>
    <t>CAHJ831230HTSSRL02</t>
  </si>
  <si>
    <t>JUAN ANGEL CARRIZALEZ ZUÑIGA</t>
  </si>
  <si>
    <t>CAZJ850125HTSRXN02</t>
  </si>
  <si>
    <t>ERIKA LIZBETH SALAZAR DE LEON</t>
  </si>
  <si>
    <t>SALE830331MTSLNR08</t>
  </si>
  <si>
    <t>ISABEL CRISTINA ESPINA CRUZ</t>
  </si>
  <si>
    <t>EICI881025MTSSRS03</t>
  </si>
  <si>
    <t>YESENIA DEL ROCIO SALAZAR MARTINEZ</t>
  </si>
  <si>
    <t>SAMY890622MTSLRS04</t>
  </si>
  <si>
    <t>MARIA DEL ROSARIO ALCOCER SELVERA</t>
  </si>
  <si>
    <t>AOSR520225MTSLLS02</t>
  </si>
  <si>
    <t>FRANCISCO ALEJANDRO ZUÑIGA RAMIREZ</t>
  </si>
  <si>
    <t>ZURF731017HTSXMR08</t>
  </si>
  <si>
    <t>PEZC650106</t>
  </si>
  <si>
    <t>MARIA LUISA MARTINEZ RAMIREZ</t>
  </si>
  <si>
    <t>MARL791230MTSRMS07</t>
  </si>
  <si>
    <t>MARIA GUADALUPE GUEVERA MARTINEZ</t>
  </si>
  <si>
    <t>GUMG320222MTSVRD09</t>
  </si>
  <si>
    <t>EMILIA ARACELI PADILLA DE LEIJA</t>
  </si>
  <si>
    <t>PALE590128MTSDJM09</t>
  </si>
  <si>
    <t>ROSSY EUNICE PEREZ HERNANDEZ</t>
  </si>
  <si>
    <t>PEHR920209MDFRRS01</t>
  </si>
  <si>
    <t>AMADA FRAUSTO</t>
  </si>
  <si>
    <t>FAXA520903MTSRXM02</t>
  </si>
  <si>
    <t>MARIA IRENE RODRIGUEZ CUELLAR</t>
  </si>
  <si>
    <t>ROCI550812MTSDLR05</t>
  </si>
  <si>
    <t xml:space="preserve">MARIO VARGAS ALFARO </t>
  </si>
  <si>
    <t>VAAM740219HTSRLR03</t>
  </si>
  <si>
    <t>MA EGLANTINA CANTU QUINTANILLA</t>
  </si>
  <si>
    <t>CAQE610322MTSNNN08</t>
  </si>
  <si>
    <t>CECILIA CARBAJAL CASTILLO</t>
  </si>
  <si>
    <t>CACC831122MTSRSC08</t>
  </si>
  <si>
    <t>ADRIAN REYES MARTINEZ</t>
  </si>
  <si>
    <t>REMA750129HTSYRD05</t>
  </si>
  <si>
    <t>MARTHA LLANOS MENDOZA</t>
  </si>
  <si>
    <t>MELM630918MTSNLR03</t>
  </si>
  <si>
    <t>MOISES GARCIA MEZA</t>
  </si>
  <si>
    <t>GAMM631124HTSRZS07</t>
  </si>
  <si>
    <t>DESPENSAS</t>
  </si>
  <si>
    <t>DORA ALICIA COLORADO CASTILLO</t>
  </si>
  <si>
    <t>COCD621115MTSLSR09</t>
  </si>
  <si>
    <t xml:space="preserve">SERGIO ERNESTO CORONADO </t>
  </si>
  <si>
    <t>COMS691107HTSRDR09</t>
  </si>
  <si>
    <t>RODOLFO ROJAS MARTINEZ</t>
  </si>
  <si>
    <t>ROMR700711HTSJRD09</t>
  </si>
  <si>
    <t>LOURDES GUERRERO FIGUEROA</t>
  </si>
  <si>
    <t>MA DEL SOCORRO GARCIA ROMA</t>
  </si>
  <si>
    <t>MA GREGORIA GONZALEZ</t>
  </si>
  <si>
    <t>JOSEFINA RODRIGUESZ LOPEZ</t>
  </si>
  <si>
    <t>ROJL510319MTSDPS07</t>
  </si>
  <si>
    <t>ARACELY AVILA RODRIGUEZ</t>
  </si>
  <si>
    <t>RAMON MENDOZA SAUCEDA</t>
  </si>
  <si>
    <t>SILVIA CHAO CRUZ</t>
  </si>
  <si>
    <t>CACS550516MTSHRL11</t>
  </si>
  <si>
    <t>MARYCARMEN DOMINGUEZ AVALOS</t>
  </si>
  <si>
    <t>DOAM000404MTSMVRA9</t>
  </si>
  <si>
    <t>MOTOCLUB CUERUDOS DE VICTORIA AC</t>
  </si>
  <si>
    <t>CONSUELO NUÑES GARCIA</t>
  </si>
  <si>
    <t>NUGC670503MTSXRN05</t>
  </si>
  <si>
    <t>SIMONA CASTILLO CRUZ</t>
  </si>
  <si>
    <t>MARIA LUISA ANGUIANO MEDINA</t>
  </si>
  <si>
    <t>AUML381130MTSNDS03</t>
  </si>
  <si>
    <t>SILVIA GUMERCINDA MELENDEZ GARZA</t>
  </si>
  <si>
    <t>MEGS620408MTSLRL09</t>
  </si>
  <si>
    <t>NESMA YOSERA HERRERA GARCIA</t>
  </si>
  <si>
    <t>HEGN890830MTSRRS09</t>
  </si>
  <si>
    <t>MA. ISABEL JASSO ACOSTA</t>
  </si>
  <si>
    <t>GUSTAVO ARRIAGA LOPEZ</t>
  </si>
  <si>
    <t>AILG800502HTSRPS02</t>
  </si>
  <si>
    <t>LIZETTE RODRIGUEZ RODRIGUEZ</t>
  </si>
  <si>
    <t>RORL770520MTSDDZ17</t>
  </si>
  <si>
    <t>ANSELMO DIAZ DIAZ</t>
  </si>
  <si>
    <t>DIDA550421HTSZZN01</t>
  </si>
  <si>
    <t>DANIELA ALEJANDRA SANCHEZ GUEVARA</t>
  </si>
  <si>
    <t>SAGD871225MTSNVN03</t>
  </si>
  <si>
    <t>JOSE DE JESUS TAPIA PEÑA</t>
  </si>
  <si>
    <t>TAPJ720128HTSPXS09</t>
  </si>
  <si>
    <t>RICARDO GOMEZ MORALES</t>
  </si>
  <si>
    <t>GOMR810626HTSMRC02</t>
  </si>
  <si>
    <t>BELLA ANGELICA BORREGO HERNANDEZ</t>
  </si>
  <si>
    <t>DOLORES VILLEGAS ZAPATA</t>
  </si>
  <si>
    <t>PERLA ESTRELLA PIÑA</t>
  </si>
  <si>
    <t>PIXP891102MTSXXR02</t>
  </si>
  <si>
    <t>MA DOLORES SALAZAR</t>
  </si>
  <si>
    <t>MIRIAM CAROLINA ZUÑIGA RODRIGUEZ</t>
  </si>
  <si>
    <t>ZURM800831MTSXDR02</t>
  </si>
  <si>
    <t xml:space="preserve">RUTH ERENDIDA RODRIGUEZ </t>
  </si>
  <si>
    <t>ROJR830604MTSDCT01</t>
  </si>
  <si>
    <t>BRICEIDA TOBIAS MACIAS</t>
  </si>
  <si>
    <t>ALBERTO JORGE RODRIGUEZ ALFARO</t>
  </si>
  <si>
    <t>ROAJ861021</t>
  </si>
  <si>
    <t>PERLA RUBI CASTILLO MARQUEZ</t>
  </si>
  <si>
    <t>CAMP940102MTSSRR04</t>
  </si>
  <si>
    <t>MOVIMIENTO ANTORCHISTA</t>
  </si>
  <si>
    <t>ESCUELA PRIMARIA MARIANO MATAMOROS</t>
  </si>
  <si>
    <t>28DPR22520</t>
  </si>
  <si>
    <t>DIEGO ARMANDO PEÑA GARCIA</t>
  </si>
  <si>
    <t>PEGD820729HTSXRG07</t>
  </si>
  <si>
    <t>INAPAM DELEGACION TAMAULIPAS</t>
  </si>
  <si>
    <t>LETICIA HERNANDEZ MEDRANO</t>
  </si>
  <si>
    <t>HEML710524MTSRDT05</t>
  </si>
  <si>
    <t>DIANA ELIZABETH PEREZ SALINAS</t>
  </si>
  <si>
    <t>PESD741110MTSRLN09</t>
  </si>
  <si>
    <t>MARIA IGNACIA MARTINEZ BRIONES</t>
  </si>
  <si>
    <t>MABI800731MTSRRG00</t>
  </si>
  <si>
    <t>MA DE JESUS GARCIA TREJO</t>
  </si>
  <si>
    <t>GUADALUPE IDALIA HERNANDEZ SALDIVAR</t>
  </si>
  <si>
    <t>HESG721030</t>
  </si>
  <si>
    <t>NEREYDA A VALERO HUERTA</t>
  </si>
  <si>
    <t>VAHN810320MTSLRR08</t>
  </si>
  <si>
    <t>MA DE JESUS LOMA MORA</t>
  </si>
  <si>
    <t>LOMJ320508</t>
  </si>
  <si>
    <t>ELSA MARGARITA DE LA CRUZ MONITA</t>
  </si>
  <si>
    <t>CUME600301MTSRNL12</t>
  </si>
  <si>
    <t>MA INES RODRIGUEZ PESINA</t>
  </si>
  <si>
    <t>ROPI740121MTSDSN05</t>
  </si>
  <si>
    <t>RANDY LOPEZ CASTILLO</t>
  </si>
  <si>
    <t>LOCR800313HTSPSN16</t>
  </si>
  <si>
    <t>DEISY DE LA CRUZ LIMAS</t>
  </si>
  <si>
    <t>KARINA YOLIBETH LIRA DE LOS ANGELES</t>
  </si>
  <si>
    <t>LIAK900307</t>
  </si>
  <si>
    <t>OMAN RUIZ PAZ</t>
  </si>
  <si>
    <t>RUPO941022HTSZZM00</t>
  </si>
  <si>
    <t>RIVERA RODRIGUEZ ALFREDO</t>
  </si>
  <si>
    <t>RIRA880719HTSVDL01</t>
  </si>
  <si>
    <t>GLORIA LUZ PEREZ VILLARREAL</t>
  </si>
  <si>
    <t>PEVG600416MTSRLL03</t>
  </si>
  <si>
    <t>GUADALUPE MARTINEZ CASTILLO</t>
  </si>
  <si>
    <t>MACG680529MTSRDS03</t>
  </si>
  <si>
    <t>MA INES AGUILAR TINAJERO</t>
  </si>
  <si>
    <t>AUTI670121MTSGNN07</t>
  </si>
  <si>
    <t>ELVA MARIBEL MALIBRAN GONZALEZ</t>
  </si>
  <si>
    <t>MAGE771109MTSLNL</t>
  </si>
  <si>
    <t>MARIA GUADALUPE CERVANTES ALVAREZ</t>
  </si>
  <si>
    <t>CEAG940825MTSRLD02</t>
  </si>
  <si>
    <t>SALAS RODRIGUEZ MARIA DE LOURDES</t>
  </si>
  <si>
    <t>SARL691011MTSLDR02</t>
  </si>
  <si>
    <t>MARIA DEL SOCORRO LEAL MANDUJANO</t>
  </si>
  <si>
    <t>LEMS670912MTSLNC02</t>
  </si>
  <si>
    <t>MARIO CRUZ CASTRO</t>
  </si>
  <si>
    <t>CUCM800119MVZRSR05</t>
  </si>
  <si>
    <t>JULIAN JIMENEZ CASTRO</t>
  </si>
  <si>
    <t>JICJ600609HTSMSL13</t>
  </si>
  <si>
    <t>ESC SEC GENERAL SILVESTRI ABREGO FLORES</t>
  </si>
  <si>
    <t>SERGIO ENRIQUE MARTINEZ</t>
  </si>
  <si>
    <t>MAXS710603HTSRXR01</t>
  </si>
  <si>
    <t>ESC PRIMARIA HIMNO NACIONAL</t>
  </si>
  <si>
    <t>28DPR1130C</t>
  </si>
  <si>
    <t>TELEBACHILLERATO COMUNITARIO 040</t>
  </si>
  <si>
    <t>28ETK0040W</t>
  </si>
  <si>
    <t>IGLESIA EVANGELICA INDEPENDIENTE DE MEXICO AR</t>
  </si>
  <si>
    <t>ESCUELA PRIMARIA MARTIRES DE LA REVOLUCION</t>
  </si>
  <si>
    <t>28DPR11670</t>
  </si>
  <si>
    <t>JUANA MARIA RODRIGUEZ TIJERINA</t>
  </si>
  <si>
    <t>ROTJ680604MTSDJN06</t>
  </si>
  <si>
    <t>ALEJANDRA GUADALUPE GARCIA VANOYE</t>
  </si>
  <si>
    <t>GAVA940217MTSRNL02</t>
  </si>
  <si>
    <t>KARLA ZENAIDA IBARRA DIAZ</t>
  </si>
  <si>
    <t>IADK830214MTSBZR06</t>
  </si>
  <si>
    <t>JULIO CESAR VAZQUEZ INFANTE</t>
  </si>
  <si>
    <t>TERESA CEDILLO MORENO</t>
  </si>
  <si>
    <t>CEMT781003MTSDRR02</t>
  </si>
  <si>
    <t>RORL630513MTSDMC04</t>
  </si>
  <si>
    <t>JUAN MANUEL ALEMAN BADILLO</t>
  </si>
  <si>
    <t>AEBJ810624HTSLDN08</t>
  </si>
  <si>
    <t>EUNICE EVANGELINA BARREA FLORES</t>
  </si>
  <si>
    <t>BAFE681030MTSRLN09</t>
  </si>
  <si>
    <t>VICENTA CAMACHO MARTINEZ</t>
  </si>
  <si>
    <t>CAMV780719MTSMRC04</t>
  </si>
  <si>
    <t>MINERVA MEDINA ORTIZ</t>
  </si>
  <si>
    <t>MEOM820916MTSDRN09</t>
  </si>
  <si>
    <t>TIMOTEA ALVAREZ SANCHEZ</t>
  </si>
  <si>
    <t>AAST620718MTSLNM04</t>
  </si>
  <si>
    <t>CRISTIAN RICARDO GARCIA DE LEON</t>
  </si>
  <si>
    <t>GALC910117HTSRNR07</t>
  </si>
  <si>
    <t>AOVE671127MSPSZL03</t>
  </si>
  <si>
    <t>ANA KAREN OVALLE ESPINOSA</t>
  </si>
  <si>
    <t>OAEA941111MTSVSN01</t>
  </si>
  <si>
    <t>ARIANA SALAZAR CASTILLO</t>
  </si>
  <si>
    <t>SACA800429MTSLSR04</t>
  </si>
  <si>
    <t>JESSICA XIMENA RODRIGUEZ GUERRA</t>
  </si>
  <si>
    <t>GUADALUPE ITZEL REYNA CABRALES</t>
  </si>
  <si>
    <t>ELVIA MERARI ANDAD MACHUCA</t>
  </si>
  <si>
    <t>LISBETH JAQUELINE RODRIGUEZ GUERRA</t>
  </si>
  <si>
    <t>ROGL981028MTSDRZ01</t>
  </si>
  <si>
    <t>IRIS VANESSA FLORES MALDONADO</t>
  </si>
  <si>
    <t>AMERICA MICHELLE RODRIGUEZ BOCANEGRA</t>
  </si>
  <si>
    <t>LORENA ELIZABETH ESTRADA HINOJOSA</t>
  </si>
  <si>
    <t>VICTOR EDUARDO GALLEGOS BUENFILD</t>
  </si>
  <si>
    <t>GABV970810HTSLNC08</t>
  </si>
  <si>
    <t>VANESSA ALEJANDRA YAÑEZ HINOJOSA</t>
  </si>
  <si>
    <t>YAHV041103MTSXNNA5</t>
  </si>
  <si>
    <t>VALERIA ALEJANDRA YAÑEZ HINOJOSA</t>
  </si>
  <si>
    <t>ALAN MAURICIO SOSA RODRIGUEZ</t>
  </si>
  <si>
    <t>FERNANDO ADOLFO RODRIGUEZ GUERRA</t>
  </si>
  <si>
    <t>ROGF061018HTSDRRA7</t>
  </si>
  <si>
    <t>ANA DE LA ROSA ECHEVERRIA</t>
  </si>
  <si>
    <t>ROEA750221MTSSCN19</t>
  </si>
  <si>
    <t>CINTHIA MARLENN CARRANZA MARQUEZ</t>
  </si>
  <si>
    <t>CAMC871219MTSRRN03</t>
  </si>
  <si>
    <t>JAVIER LOPEZ GONZALEZ</t>
  </si>
  <si>
    <t>LOGJ701118HTSPNV05</t>
  </si>
  <si>
    <t>ISIDRO LOPEZ GONZALEZ</t>
  </si>
  <si>
    <t>LOGI691213HTSPNS00</t>
  </si>
  <si>
    <t>RODRIGUEZ VILLASEÑOR KEVIN NICOLAS</t>
  </si>
  <si>
    <t>ROVK960815HVZDLV01</t>
  </si>
  <si>
    <t>BALDAZO MARTINEZ EDUARDO ANTONIO</t>
  </si>
  <si>
    <t>BAME951201HTSLRD00</t>
  </si>
  <si>
    <t>CONTRERAS QUINTERO JENIFER MONSERRAT</t>
  </si>
  <si>
    <t>COQJ000510MTSNNA01</t>
  </si>
  <si>
    <t>RODRIGUEZ QUIÑONES AGUSTIN</t>
  </si>
  <si>
    <t>ROQA530505HTSDXG06</t>
  </si>
  <si>
    <t>GATICA SIFUENTES JUDITH GUADALUPE</t>
  </si>
  <si>
    <t>GASJ910523MTSTFD03</t>
  </si>
  <si>
    <t>MATA SALAZAR GLORIA</t>
  </si>
  <si>
    <t>MASG901022MTSTLL07</t>
  </si>
  <si>
    <t>PEREZ MORA ROSENDO ESTEBAN</t>
  </si>
  <si>
    <t>PEMR931128HTSRRS03</t>
  </si>
  <si>
    <t>RUIZ TERAN GEORGINA ELIZABETH</t>
  </si>
  <si>
    <t>RUTG870504MTSZRR09</t>
  </si>
  <si>
    <t>VAZQUEZ ARRATIA HECTOR ADOLFO</t>
  </si>
  <si>
    <t>VAAH730927HTSZRC02</t>
  </si>
  <si>
    <t>AGUILAR ALVARADO ARTURO</t>
  </si>
  <si>
    <t>AUAA921126HTSGLR06</t>
  </si>
  <si>
    <t>GARCIA CUSTODIO KEVIN MICHEL</t>
  </si>
  <si>
    <t>GACK991126HTSRSV08</t>
  </si>
  <si>
    <t>CASTILLO ACUÑA OSCAR EDUARDO</t>
  </si>
  <si>
    <t>CAAO961211HTSSCS02</t>
  </si>
  <si>
    <t>VELAZQUEZ ZAMORA HUGO</t>
  </si>
  <si>
    <t>VEZH891011HTSLMG04</t>
  </si>
  <si>
    <t>BALDAZO CHARLES ERICK ANTONIO</t>
  </si>
  <si>
    <t>BACE971017HTSLHR01</t>
  </si>
  <si>
    <t>VAZQUEZ ACUÑA ROSINA ELIZABETH</t>
  </si>
  <si>
    <t>VAAR810113</t>
  </si>
  <si>
    <t>PEÑA GARCIA DIEGO ARMANDO</t>
  </si>
  <si>
    <t>HERNANDEZ MARTINEZ MARIANA</t>
  </si>
  <si>
    <t>HEMM901127MTSRRR06</t>
  </si>
  <si>
    <t>TINAJERO TRUJILLO LUIS ARTURO</t>
  </si>
  <si>
    <t>TITL751215HTSNRS03</t>
  </si>
  <si>
    <t>GALLEGOS RIOS JESUS HUMBERTO</t>
  </si>
  <si>
    <t>GARJ990808HTSLSS08</t>
  </si>
  <si>
    <t>CORONADO CRUZ OMAR ULISES</t>
  </si>
  <si>
    <t>COCO000219HTSRRMA1</t>
  </si>
  <si>
    <t>ORTIZ NOLASCO JESUS</t>
  </si>
  <si>
    <t>OINJ960614HTSRLS12</t>
  </si>
  <si>
    <t>HOLGUIN CRUZ MAYRA ADRID</t>
  </si>
  <si>
    <t>HOCM921106MTSLRY06</t>
  </si>
  <si>
    <t>RODRIGUEZ SANCHEZ MARTIN DARIO</t>
  </si>
  <si>
    <t>ROSM920418HTSDNR08</t>
  </si>
  <si>
    <t>CRUZ CARBAJAL VIOLETA GUADALUPE</t>
  </si>
  <si>
    <t>CUCV970803MMCRRL06</t>
  </si>
  <si>
    <t>GARCIA RODRIGUEZ LIBRADO</t>
  </si>
  <si>
    <t>GARL741022HTSRDB12</t>
  </si>
  <si>
    <t>CRUZ CARBAJAL CESAR LAZARO</t>
  </si>
  <si>
    <t>CUCC000602HTSRRSA2</t>
  </si>
  <si>
    <t>SANCHEZ JUAREZ ESMERALDA</t>
  </si>
  <si>
    <t>SAJE751222MTSNRS05</t>
  </si>
  <si>
    <t>CRUZ GALLARDO ANTONIO</t>
  </si>
  <si>
    <t>CUGA831024HTSRLN17</t>
  </si>
  <si>
    <t>BENITA SOSA MEDRANO</t>
  </si>
  <si>
    <t>SOMB540321MTSSDN06</t>
  </si>
  <si>
    <t>MA DE LOURDES RAMIREZ LOPEZ</t>
  </si>
  <si>
    <t>RALL680110MTSMPR08</t>
  </si>
  <si>
    <t>SILVIA PATRICIA GARCIA PAZ</t>
  </si>
  <si>
    <t>GAPS760620MTSRZL02</t>
  </si>
  <si>
    <t>ISABEL FRANCO LOPEZ</t>
  </si>
  <si>
    <t>FALI650702MTSRPS09</t>
  </si>
  <si>
    <t>CANTU DEL VALLE LUIS FELIPE</t>
  </si>
  <si>
    <t>CAVL710808</t>
  </si>
  <si>
    <t>ISMAEL RODRIGUEZ HERNANDEZ</t>
  </si>
  <si>
    <t>ROHI570617HTSDRS05</t>
  </si>
  <si>
    <t>GAXC551017HTSLXR03</t>
  </si>
  <si>
    <t>AIRAM ANELE MARTINEZ LOPEZ</t>
  </si>
  <si>
    <t>MALA760807MTSRPR03</t>
  </si>
  <si>
    <t>ESC SECUNDARIA TECNICA 54</t>
  </si>
  <si>
    <t>28DST00643</t>
  </si>
  <si>
    <t>900 FISHING CLUB AC</t>
  </si>
  <si>
    <t>CARLOS ALBERTO VAZQUEZ RODRIGUEZ</t>
  </si>
  <si>
    <t>VARC710619HTSZDR02</t>
  </si>
  <si>
    <t>JUVENTUD POR CRISTO AC</t>
  </si>
  <si>
    <t>JCR001128MZ6</t>
  </si>
  <si>
    <t>BIBIANA BARRON BECERRA</t>
  </si>
  <si>
    <t>BABB401202MTSRCB02</t>
  </si>
  <si>
    <t>MYRNA ADRIANA MALDONADO GARZA</t>
  </si>
  <si>
    <t>MAGM670728MTSLRY02</t>
  </si>
  <si>
    <t>JESUS MARIA DE LOS REYES GUEVARA</t>
  </si>
  <si>
    <t>REGJ530510HTSYNS03</t>
  </si>
  <si>
    <t>MARIA ELISA GONZALEZ SALDAÑA</t>
  </si>
  <si>
    <t>JESUS MA DE LOS REYES GUEVARA</t>
  </si>
  <si>
    <t>CARLOS VALDEZ MENDEZ</t>
  </si>
  <si>
    <t>VAMC620113HNLLNR18</t>
  </si>
  <si>
    <t>CONF REV DE OBREROS Y CAMPESINOS DE TAM</t>
  </si>
  <si>
    <t>BEATRIZ ALEJANDRA FRANCO MONTOYA</t>
  </si>
  <si>
    <t>FAMB000606MTSRNTA01</t>
  </si>
  <si>
    <t>LOPEZ DE LA FUENTE LUISA FERNANDA</t>
  </si>
  <si>
    <t>LOFL971115MTSPNS08</t>
  </si>
  <si>
    <t>DE LEON DORADO JAIME</t>
  </si>
  <si>
    <t>LEDJ600603HTSNRM01</t>
  </si>
  <si>
    <t>ANA KAREN CORDOVA IZAGUIRRE</t>
  </si>
  <si>
    <t>COIA930824MTSRZN09</t>
  </si>
  <si>
    <t>KARLA LIZETH MARTINEZ AGUILAR</t>
  </si>
  <si>
    <t>MAAK780828MTSRGR04</t>
  </si>
  <si>
    <t>SALDAÑA GARCIA OSCAR DE JESUS</t>
  </si>
  <si>
    <t>SAGO660617HVZLRS06</t>
  </si>
  <si>
    <t>TRETO ALEMAN JULIO CESAR</t>
  </si>
  <si>
    <t>TEAJ580412HTSRLL04</t>
  </si>
  <si>
    <t>MA. CONCEPCION VIGIL LOPEZ</t>
  </si>
  <si>
    <t>VILC481130MTSGPN06</t>
  </si>
  <si>
    <t>DIOCESIS DE VICTORIA TAM AR</t>
  </si>
  <si>
    <t>TR ESCUELA SEC TECNICA N 1 ALVARO OBREGON</t>
  </si>
  <si>
    <t>28DTS0001N</t>
  </si>
  <si>
    <t>EJIDO FUERTE DE PORTES GIL</t>
  </si>
  <si>
    <t>MURILLO ZAVALA ROSA ADRIANA</t>
  </si>
  <si>
    <t>MUZR811217MDFRVS07</t>
  </si>
  <si>
    <t xml:space="preserve">ESC PRIMARIA LA CORREGIDORA </t>
  </si>
  <si>
    <t>28DPR1697F</t>
  </si>
  <si>
    <t>FERMINA ROJO HERNANDEZ</t>
  </si>
  <si>
    <t>ROHF510709MTSJRR02</t>
  </si>
  <si>
    <t>JUAN FELIPE HERNANDEZ BOLADO</t>
  </si>
  <si>
    <t>HEBJ620208HTSRLN08</t>
  </si>
  <si>
    <t>RAJF810806HTSMSR00</t>
  </si>
  <si>
    <t>JUANA CARMONA RICO</t>
  </si>
  <si>
    <t>CARJ560724MTSRCN03</t>
  </si>
  <si>
    <t>BEATRIZ ADRIANA DIAZ RUIZ</t>
  </si>
  <si>
    <t>DIRB811024MTSZZT00</t>
  </si>
  <si>
    <t>ANABEL RAMOS YEPEZ</t>
  </si>
  <si>
    <t>RAYA851026MTSMPN00</t>
  </si>
  <si>
    <t>LADY ELIZABETH PEREZ CORDOVA</t>
  </si>
  <si>
    <t>PECL950414MTSRRD05</t>
  </si>
  <si>
    <t>VAVG800930HTSLZR08</t>
  </si>
  <si>
    <t>MARIA LUISA GUZMAN LUNA</t>
  </si>
  <si>
    <t>GULL500218MTSSNS06</t>
  </si>
  <si>
    <t>SILVIA CHAVEZ POSADA</t>
  </si>
  <si>
    <t>CAPS700822MTSHSL05</t>
  </si>
  <si>
    <t>CARLOS ENRIQUE RIVAS MENDOZA</t>
  </si>
  <si>
    <t>RIMC800709HTSVNR02</t>
  </si>
  <si>
    <t>MICAELA ZAPATA CORONADO</t>
  </si>
  <si>
    <t>ZACM610926MTSPRC02</t>
  </si>
  <si>
    <t>JOSE NESTOS OVALLE</t>
  </si>
  <si>
    <t>SOBEIDA RINCONADA LOPEZ</t>
  </si>
  <si>
    <t>RILS911002MTSNPB08</t>
  </si>
  <si>
    <t>TEREZA MATA LUGO</t>
  </si>
  <si>
    <t>MALT531015MTSTGR04</t>
  </si>
  <si>
    <t>MARISSA PARRA GARCIA</t>
  </si>
  <si>
    <t>PAGM710417MTSRRR02</t>
  </si>
  <si>
    <t>FRANCISCO MELENDEZ TURRUBIATES</t>
  </si>
  <si>
    <t>METF480917HTSLRR08</t>
  </si>
  <si>
    <t>SAN JUANITA GALLEGOS COLUNGA</t>
  </si>
  <si>
    <t>GACS751115MTSLLN06</t>
  </si>
  <si>
    <t>PABLO URBINA SALDAÑA</t>
  </si>
  <si>
    <t>UISP580913HTSRLB05</t>
  </si>
  <si>
    <t>MAGDALENA REYES BALDERRAMA</t>
  </si>
  <si>
    <t>REBM520817MTSYLG08</t>
  </si>
  <si>
    <t>ESPERANZA XX PIÑA</t>
  </si>
  <si>
    <t>PIXE610104MTSXXS05</t>
  </si>
  <si>
    <t>MARIA DE LOS ANGELES RODRIGUEZ CANCECO</t>
  </si>
  <si>
    <t>AARK910311MTSLDR00</t>
  </si>
  <si>
    <t>CESILIA GARCIA GONZALEZ</t>
  </si>
  <si>
    <t>GAGC640620MNLRNS02</t>
  </si>
  <si>
    <t>LIVI450201HTSCRG02</t>
  </si>
  <si>
    <t>RANULFO GARCIA ESCAMILL</t>
  </si>
  <si>
    <t>BANESSA RODRIGUEZ JIMENEZ</t>
  </si>
  <si>
    <t>ROJB880919MTSDMN04</t>
  </si>
  <si>
    <t>EPIFANIO ALVARADO DURAN</t>
  </si>
  <si>
    <t>AADE230407HTSLRP03</t>
  </si>
  <si>
    <t>CELESTINA MARTINEZ ROJAS</t>
  </si>
  <si>
    <t>MARC420406MTSRJL07</t>
  </si>
  <si>
    <t>FIDENCIA HERRERA GUERRERO</t>
  </si>
  <si>
    <t>HEGF631116MTSRRD04</t>
  </si>
  <si>
    <t>KENIA ALEJANDRA FLORES RODRIGUEZ</t>
  </si>
  <si>
    <t>FORK940217MTSLDN08</t>
  </si>
  <si>
    <t>REFUGIO REFUGIO RECENDEZ ANDAVEDE</t>
  </si>
  <si>
    <t>REAR530703HTSCNF08</t>
  </si>
  <si>
    <t>GLORIA CRUZ HERRERA</t>
  </si>
  <si>
    <t>CUHG691223MTSRRL08</t>
  </si>
  <si>
    <t>FLORA GABRIELA GONZALEZ SANCHEZ</t>
  </si>
  <si>
    <t>BRENDA YANETH MARTINEZ HRNANDEZ</t>
  </si>
  <si>
    <t>MAHB870501MTSRRR04</t>
  </si>
  <si>
    <t>JUANA MA PITONES</t>
  </si>
  <si>
    <t>PIXJ660713MTSTXN06</t>
  </si>
  <si>
    <t>ZOILA ESMERALDA GUEVARA AGUILAR</t>
  </si>
  <si>
    <t>GUAZ730770MTSVGL01</t>
  </si>
  <si>
    <t>DVV140822F7A</t>
  </si>
  <si>
    <t>CASTILLO ALANIS LORENA BERENICE</t>
  </si>
  <si>
    <t>CAAL710424MTSSLR05</t>
  </si>
  <si>
    <t>ROSA MARIBEL PEREZ QUINTERO</t>
  </si>
  <si>
    <t>PEQR790611MTSRNS03</t>
  </si>
  <si>
    <t xml:space="preserve">PARROQUIA DE SAN AGUSTIN </t>
  </si>
  <si>
    <t xml:space="preserve">BECAS EDUCATIVAS </t>
  </si>
  <si>
    <t>COBAT N 23 DR RODOLFO TORRE CANTU</t>
  </si>
  <si>
    <t>28EC0023H</t>
  </si>
  <si>
    <t>MARIA DE LOS ANGELES SALAZAR SILVA</t>
  </si>
  <si>
    <t>SASA831101MTSLLN03</t>
  </si>
  <si>
    <t>SILVIA PASCUAL ROMERO</t>
  </si>
  <si>
    <t>PARS870423MPLSML05</t>
  </si>
  <si>
    <t xml:space="preserve">ESCUELA PREPARATORIA FEDERALIZADA  "CARLOS ADRIAN BORTOLUSSI" </t>
  </si>
  <si>
    <t>EJIDO SAN FRANCISCIO CIUDAD VICTORIA</t>
  </si>
  <si>
    <t>EJIDO LA BOCA DE SAN PEDRO CIUDAD VICTORIA</t>
  </si>
  <si>
    <t>ASOCIACION DE DEPORTISTAS ESPECIALE, EL CLUB TEAM  DOWN  VICTORIA</t>
  </si>
  <si>
    <t>ESCUELA DE FUT BOL "CORRECAMINOS AMERICO VILLAREAL"</t>
  </si>
  <si>
    <t>ESCUELA PRIMARIA DISTRIBUIDORES NISSAN VESPERTINA</t>
  </si>
  <si>
    <t>CENTRO DE BACHILLERATO TECNOLOGICO Y AGROPECUARIO No. 55  "AMERICO VILLARREAL GUERRA"</t>
  </si>
  <si>
    <t>BECAS EDUCATIVAS</t>
  </si>
  <si>
    <t>EJIDO EL REFUGIO MUNICIPIO DE VICTORIA</t>
  </si>
  <si>
    <t xml:space="preserve">JARDIN DE NIÑOS BERTHA DEL AVELLANO </t>
  </si>
  <si>
    <t>HERNANDEZ GUERRERO DAMARIS YURULETH</t>
  </si>
  <si>
    <t>HEGD991013MTSRRM05</t>
  </si>
  <si>
    <t>THELMA AMISADAI DRAGUSTINOVIS ALVAREZ</t>
  </si>
  <si>
    <t>DATT761112MBZRLH08</t>
  </si>
  <si>
    <t>DPR2061D</t>
  </si>
  <si>
    <t xml:space="preserve">ESCUELA SECUNDARIA GENERAL No. 9 CLUB ROTARIO TAMAHOLIPA </t>
  </si>
  <si>
    <t>28DES0114</t>
  </si>
  <si>
    <t xml:space="preserve">SECCION 30 SNTE COMITÉ ESTATAL DE JUBILADOS Y PENSIONADOS </t>
  </si>
  <si>
    <t>SISTEMA DIF VICTORIA</t>
  </si>
  <si>
    <t>SDI850221UDA</t>
  </si>
  <si>
    <t>ESC PRIMARIA GABRIELA MISTRAL</t>
  </si>
  <si>
    <t>28DPR2081D</t>
  </si>
  <si>
    <t>ESC SECUNDARIA GENERAL 9 CLUB ROTARIO TAMAHOLIPA</t>
  </si>
  <si>
    <t>28DES0114Y</t>
  </si>
  <si>
    <t>ESC PRIMARIA DISTRIBUIDORES NISSAN N 37</t>
  </si>
  <si>
    <t>28DPR2463Y</t>
  </si>
  <si>
    <t>COLEGIO VILLA JARDIN</t>
  </si>
  <si>
    <t>28PJN0369U</t>
  </si>
  <si>
    <t>ESC PRIMARIA GUADALUPE MAINERO JUAREZ</t>
  </si>
  <si>
    <t>28DPR2136D</t>
  </si>
  <si>
    <t>ESC SECUNDARIA GENERAL N 5 PROF JUVENTINO PINEDA ORTEGA</t>
  </si>
  <si>
    <t>ESC PRIMARIA DISTRIBUIDORES NISSAN</t>
  </si>
  <si>
    <t>28DPR2529Q</t>
  </si>
  <si>
    <t>JARDIN DE NIÑOS EMA VAZQUEZ GARCIA</t>
  </si>
  <si>
    <t>28DJN0831Y</t>
  </si>
  <si>
    <t xml:space="preserve">77 BATALLON DE INFANTERIA </t>
  </si>
  <si>
    <t>NEHIDY GUADALUPE MARTINEZ ORTIZ</t>
  </si>
  <si>
    <t>MAON921107MTSRRH06</t>
  </si>
  <si>
    <t>LUVM640727MNLNLN06</t>
  </si>
  <si>
    <t>CANDELARIO ALEJOS MARTINEZ</t>
  </si>
  <si>
    <t>AEMC670102HTSLRN00</t>
  </si>
  <si>
    <t>CORONAS FLORALES</t>
  </si>
  <si>
    <t>COLEGIO DE BACHILLERES DEL ESTADO DE TAMAULIPAS</t>
  </si>
  <si>
    <t>FRENTE REGIONAL DE ORGANIZACIONES SOCIALES EMILIANO ZAPARA AC</t>
  </si>
  <si>
    <t>SECRETARIA DE SALUD JURISDICCION SANITARIA N° 1</t>
  </si>
  <si>
    <t>BERNARDO PERALES GALLEGOS</t>
  </si>
  <si>
    <t>ALFONSO ISRAEL HERNANDEZ PADILLA</t>
  </si>
  <si>
    <t>JESUS EDUARDO ESQUIVEL PEREYDA</t>
  </si>
  <si>
    <t>OTILIA SALAS DE LA M</t>
  </si>
  <si>
    <t>DANIELA BANDA GARCIA</t>
  </si>
  <si>
    <t>ESC PRIMARIA RODOLFO TORRE CANTU</t>
  </si>
  <si>
    <t>LUCILA URGÜELLES SAVON</t>
  </si>
  <si>
    <t>UESL571031MNERVC08</t>
  </si>
  <si>
    <t>DIONICIO ALBERTO ZUÑIGA TORRES</t>
  </si>
  <si>
    <t>ZUTD721030HTSXRN03</t>
  </si>
  <si>
    <t>CLUB DEPORTIVO TIRO CAZA Y PESCA AC</t>
  </si>
  <si>
    <t>CONFERENCIA GENERAL DE LA IGLESIA DE DIOS AR</t>
  </si>
  <si>
    <t>CASA DEL ESTUDIANTE PROFR Y GRAL ALBERTO CARRERA TORRES</t>
  </si>
  <si>
    <t>GRUPO SOCIEDAD ALIANZA</t>
  </si>
  <si>
    <t>APOYO PARA DIA DE LA MADRE</t>
  </si>
  <si>
    <t>(m)</t>
  </si>
  <si>
    <t>(p)</t>
  </si>
  <si>
    <t>(n)</t>
  </si>
  <si>
    <t>Pactado</t>
  </si>
  <si>
    <t>Contratado (l)</t>
  </si>
  <si>
    <t>Tasa Efectiva</t>
  </si>
  <si>
    <t>Comisiones y Costos Relacionados (o)</t>
  </si>
  <si>
    <t>Tasa de Interés</t>
  </si>
  <si>
    <t>Plazo</t>
  </si>
  <si>
    <t>5. Valor de Instrumentos Bono Cupón Cero 2 (Informativo)</t>
  </si>
  <si>
    <t>4. Deuda Contingente 1 (informativo)</t>
  </si>
  <si>
    <t>h=d+e-f+g</t>
  </si>
  <si>
    <t>al 31 de diciembre de 2017 (d)</t>
  </si>
  <si>
    <t>Saldo Final del Periodo (h)</t>
  </si>
  <si>
    <t>Del 1 de enero al 31 de Diciembre de 2018</t>
  </si>
  <si>
    <t>Del 1 de Enero al 31 de Diciembre de 2018</t>
  </si>
  <si>
    <t>Fecha del Contrato (d)</t>
  </si>
  <si>
    <t>Fecha de inicio de operación del proyecto (e)</t>
  </si>
  <si>
    <t>Fecha de vencimiento (f)</t>
  </si>
  <si>
    <t>Monto de la inversión pactado (g)</t>
  </si>
  <si>
    <t>Plazo pactado (h)</t>
  </si>
  <si>
    <t>Monto promedio mensual del pago de la contraprestación (i)</t>
  </si>
  <si>
    <t>Monto promedio mensual del pago de la contraprestación correspondiente al pago de inversión (j)</t>
  </si>
  <si>
    <t>Monto pagado de la inversión al XX de XXXX de 20XN (k)</t>
  </si>
  <si>
    <t>Monto pagado de la inversión actualizado al XX de XXXX de 20XN (l)</t>
  </si>
  <si>
    <t>Saldo pendiente por pagar de la inversión al XX de XXXX de 20XN (m = g – l)</t>
  </si>
  <si>
    <t>(c)</t>
  </si>
  <si>
    <t>Al 31 de Diciembre de 2018 y al 31 de Diciembre 2017</t>
  </si>
  <si>
    <t>Relación de Estados Financieros que Integran la Cuenta Pública</t>
  </si>
  <si>
    <t>Formato</t>
  </si>
  <si>
    <t>Nombre</t>
  </si>
  <si>
    <t>Estados e Informes Presupuestarios</t>
  </si>
  <si>
    <t>Clasificación por Objeto del Gasto (Capítulo y concepto)</t>
  </si>
  <si>
    <t>A5a</t>
  </si>
  <si>
    <t>Anexo De Obras Ejecutadas Por Contrato</t>
  </si>
  <si>
    <t>A5b</t>
  </si>
  <si>
    <t>Anexo De Obras Ejecutadas Por Administración Directa</t>
  </si>
  <si>
    <t>A6</t>
  </si>
  <si>
    <t>Estados de Origen y Aplicación de Recursos</t>
  </si>
  <si>
    <t>I</t>
  </si>
  <si>
    <t>7.I.1.-</t>
  </si>
  <si>
    <t>7.I.2.-</t>
  </si>
  <si>
    <t>7.I.3.-</t>
  </si>
  <si>
    <t>7.I.4.-</t>
  </si>
  <si>
    <t>7.I.5.-</t>
  </si>
  <si>
    <t>7.I.6-7.-</t>
  </si>
  <si>
    <t>7.I.8.-</t>
  </si>
  <si>
    <t>7.I.9.-</t>
  </si>
  <si>
    <t>7.I.10.-</t>
  </si>
  <si>
    <t>7.I.11.-</t>
  </si>
  <si>
    <t>7.I.12.-</t>
  </si>
  <si>
    <t>7.I.13.-</t>
  </si>
  <si>
    <t>7.I.14.-</t>
  </si>
  <si>
    <t>II</t>
  </si>
  <si>
    <t>7.II.1.-</t>
  </si>
  <si>
    <t>7.II.2.-</t>
  </si>
  <si>
    <t>7.II.3.-</t>
  </si>
  <si>
    <t>III</t>
  </si>
  <si>
    <t>7.III.1-2</t>
  </si>
  <si>
    <t>Informar de las modificaciones al patrimonio.</t>
  </si>
  <si>
    <t>IV</t>
  </si>
  <si>
    <t>7.IV.1.-</t>
  </si>
  <si>
    <t>7.IV.2.-</t>
  </si>
  <si>
    <t>7.IV.3.-</t>
  </si>
  <si>
    <t>V</t>
  </si>
  <si>
    <t>7.V.1.-</t>
  </si>
  <si>
    <t>7.V.2.-</t>
  </si>
  <si>
    <t>GA</t>
  </si>
  <si>
    <t>7.GA.1.-</t>
  </si>
  <si>
    <t>7.GA.2.-</t>
  </si>
  <si>
    <t>7.GA.3.-</t>
  </si>
  <si>
    <t>7.GA.4.-</t>
  </si>
  <si>
    <t>7.GA.5.-</t>
  </si>
  <si>
    <t>7.GA.6.-</t>
  </si>
  <si>
    <t>7.GA.7.-</t>
  </si>
  <si>
    <t>7.GA.8.1.-</t>
  </si>
  <si>
    <t>7.GA.8.2.-</t>
  </si>
  <si>
    <t>7.GA.9.-</t>
  </si>
  <si>
    <t>7.GA.10.-</t>
  </si>
  <si>
    <t>7.GA.11.-</t>
  </si>
  <si>
    <t>7.GA.12.-</t>
  </si>
  <si>
    <t>7.GA.13.-</t>
  </si>
  <si>
    <t>7.GA.14.-</t>
  </si>
  <si>
    <t>7.GA.15.-</t>
  </si>
  <si>
    <t>7.GA.16.-</t>
  </si>
  <si>
    <t>Estado de Situación Financiera Detallado</t>
  </si>
  <si>
    <t>Informe Analítico de la Deuda Pública y Otros Pasivos</t>
  </si>
  <si>
    <t>Informe Analítico de Obligacioines Diferentes de Financiamientos</t>
  </si>
  <si>
    <t>Balance Presupuestario</t>
  </si>
  <si>
    <t>Estado Analítico de Ingresos Detallado</t>
  </si>
  <si>
    <t>Estado Analítico del Ejercicio del Presupuesto de Egresos Detallado</t>
  </si>
  <si>
    <t xml:space="preserve">7 a) </t>
  </si>
  <si>
    <t xml:space="preserve">Proyecciones de Ingresos </t>
  </si>
  <si>
    <t>7 b)</t>
  </si>
  <si>
    <t>Proyecciones de  Egresos</t>
  </si>
  <si>
    <t xml:space="preserve">7 c) </t>
  </si>
  <si>
    <t xml:space="preserve">Resultados de Ingresos </t>
  </si>
  <si>
    <t>7 d)</t>
  </si>
  <si>
    <t>Resultados de  Egresos</t>
  </si>
  <si>
    <t>Informe sobre Estudios  Actuariales</t>
  </si>
  <si>
    <t>La notas a la Cuenta Publca Municipal son por el periodo correspondiente del 01 de enero al 31 de diciembre de 2018</t>
  </si>
  <si>
    <t>ADJUDICACION DIRECTA</t>
  </si>
  <si>
    <t>12354-17502-6140-000414</t>
  </si>
  <si>
    <t>12354-17502-6140-000510</t>
  </si>
  <si>
    <t>12354-17502-6140-000528</t>
  </si>
  <si>
    <t>12354-17502-6140-000564</t>
  </si>
  <si>
    <t>12354-17512-6140-000571</t>
  </si>
  <si>
    <t>12354-17526-6140-000565</t>
  </si>
  <si>
    <t>12354-17530-6140-000483</t>
  </si>
  <si>
    <t>12354-17530-6140-000484</t>
  </si>
  <si>
    <t>12354-17532-6140-000531</t>
  </si>
  <si>
    <t>12354-17532-6140-000532</t>
  </si>
  <si>
    <t>12354-17532-6140-000533</t>
  </si>
  <si>
    <t>12354-17532-6140-000534</t>
  </si>
  <si>
    <t>12354-17532-6140-000535</t>
  </si>
  <si>
    <t>12354-17532-6140-000536</t>
  </si>
  <si>
    <t>12354-17532-6140-000537</t>
  </si>
  <si>
    <t>12354-17532-6140-000538</t>
  </si>
  <si>
    <t>12354-17531-6140-000530</t>
  </si>
  <si>
    <t>12354-17531-6140-000548</t>
  </si>
  <si>
    <t>12354-17533-6140-000549</t>
  </si>
  <si>
    <t>12354-17533-6140-000550</t>
  </si>
  <si>
    <t>12354-17533-6140-000551</t>
  </si>
  <si>
    <t>12354-17533-6140-000552</t>
  </si>
  <si>
    <t>12354-17533-6140-000553</t>
  </si>
  <si>
    <t>12354-17533-6140-000554</t>
  </si>
  <si>
    <t>12354-17533-6140-000555</t>
  </si>
  <si>
    <t>12354-17533-6140-000556</t>
  </si>
  <si>
    <t>12354-17533-6140-000558</t>
  </si>
  <si>
    <t>12354-17533-6140-000559</t>
  </si>
  <si>
    <t>12354-17533-6140-000562</t>
  </si>
  <si>
    <t>12354-17533-6140-000563</t>
  </si>
  <si>
    <t>12354-17534-6140-000566</t>
  </si>
  <si>
    <t>12354-17534-6140-000567</t>
  </si>
  <si>
    <t>12354-17534-6140-000568</t>
  </si>
  <si>
    <t>12354-17534-6140-000569</t>
  </si>
  <si>
    <t>12354-17534-6140-000570</t>
  </si>
  <si>
    <t>12354-18502-6140-000744</t>
  </si>
  <si>
    <t>12354-18502-6140-000771</t>
  </si>
  <si>
    <t>12354-18502-6140-000772</t>
  </si>
  <si>
    <t>12354-18502-6140-000773</t>
  </si>
  <si>
    <t>12354-18502-6140-000774</t>
  </si>
  <si>
    <t>12354-18502-6140-000775</t>
  </si>
  <si>
    <t>12354-18502-6140-000776</t>
  </si>
  <si>
    <t>12354-18502-6140-000777</t>
  </si>
  <si>
    <t>12354-18502-6140-000778</t>
  </si>
  <si>
    <t>12354-18502-6140-000800</t>
  </si>
  <si>
    <t>12354-18502-6140-000801</t>
  </si>
  <si>
    <t>12354-18502-6140-000802</t>
  </si>
  <si>
    <t>12354-18502-6140-000803</t>
  </si>
  <si>
    <t>12354-18502-6140-000804</t>
  </si>
  <si>
    <t>12354-18502-6140-000805</t>
  </si>
  <si>
    <t>12354-18502-6140-000806</t>
  </si>
  <si>
    <t>12354-18502-6140-000807</t>
  </si>
  <si>
    <t>12354-18502-6140-000808</t>
  </si>
  <si>
    <t>12354-18502-6140-000809</t>
  </si>
  <si>
    <t>12354-18502-6140-000810</t>
  </si>
  <si>
    <t>12354-18502-6140-000811</t>
  </si>
  <si>
    <t>12354-18502-6140-000813</t>
  </si>
  <si>
    <t>12354-18502-6140-000815</t>
  </si>
  <si>
    <t>12354-18502-6140-000816</t>
  </si>
  <si>
    <t>12354-18502-6140-000817</t>
  </si>
  <si>
    <t>12354-18502-6140-000818</t>
  </si>
  <si>
    <t>12354-18502-6140-000819</t>
  </si>
  <si>
    <t>12354-18502-6140-000820</t>
  </si>
  <si>
    <t>12354-18502-6140-000821</t>
  </si>
  <si>
    <t>12354-18502-6140-000822</t>
  </si>
  <si>
    <t>12354-18512-6140-000713</t>
  </si>
  <si>
    <t>12354-18512-6140-000743</t>
  </si>
  <si>
    <t>12354-18512-6140-000814</t>
  </si>
  <si>
    <t>12354-18512-6140-000823</t>
  </si>
  <si>
    <t>12354-18512-6140-000824</t>
  </si>
  <si>
    <t>12354-18512-6140-000825</t>
  </si>
  <si>
    <t>12354-18512-6140-000833</t>
  </si>
  <si>
    <t>12354-18512-6140-000840</t>
  </si>
  <si>
    <t>12354-18512-6140-000841</t>
  </si>
  <si>
    <t>12354-18512-6140-000843</t>
  </si>
  <si>
    <t>12354-18512-6140-000844</t>
  </si>
  <si>
    <t>12354-18514-6140-000794</t>
  </si>
  <si>
    <t>12354-18514-6140-000795</t>
  </si>
  <si>
    <t>12354-18514-6140-000796</t>
  </si>
  <si>
    <t>12354-18523-6140-000714</t>
  </si>
  <si>
    <t>12354-18523-6140-000715</t>
  </si>
  <si>
    <t>12354-18523-6140-000716</t>
  </si>
  <si>
    <t>12354-18354-6140-000717</t>
  </si>
  <si>
    <t>12354-18523-6140-000718</t>
  </si>
  <si>
    <t>12354-18523-6140-000719</t>
  </si>
  <si>
    <t>12354-18523-6140-000720</t>
  </si>
  <si>
    <t>12354-18523-6140-000721</t>
  </si>
  <si>
    <t>12354-18523-6140-000722</t>
  </si>
  <si>
    <t>12354-18523-6140-000723</t>
  </si>
  <si>
    <t>12354-18523-6140-000724</t>
  </si>
  <si>
    <t>12354-18523-6140-000725</t>
  </si>
  <si>
    <t>12354-18523-6140-000726</t>
  </si>
  <si>
    <t>12354-18523-6140-000727</t>
  </si>
  <si>
    <t>12354-18523-6140-000728</t>
  </si>
  <si>
    <t>12354-18523-6140-000729</t>
  </si>
  <si>
    <t>12354-18523-6140-000730</t>
  </si>
  <si>
    <t>12354-18523-6140-000731</t>
  </si>
  <si>
    <t>12354-18523-6140-000732</t>
  </si>
  <si>
    <t>12354-18523-6140-000733</t>
  </si>
  <si>
    <t>12354-18523-6140-000734</t>
  </si>
  <si>
    <t>12354-18523-6140-000735</t>
  </si>
  <si>
    <t>12354-18523-6140-000736</t>
  </si>
  <si>
    <t>12354-18523-6140-000737</t>
  </si>
  <si>
    <t>12354-18523-6140-000738</t>
  </si>
  <si>
    <t>12354-18523-6140-000739</t>
  </si>
  <si>
    <t>12354-18523-6140-000740</t>
  </si>
  <si>
    <t>12354-18523-6140-000741</t>
  </si>
  <si>
    <t>12354-18523-6140-000742</t>
  </si>
  <si>
    <t>12354-18523-6140-000745</t>
  </si>
  <si>
    <t>12354-18523-6140-000746</t>
  </si>
  <si>
    <t>12354-18525-6140-000766</t>
  </si>
  <si>
    <t>12354-18525-6140-000767</t>
  </si>
  <si>
    <t>12354-18525-6140-000768</t>
  </si>
  <si>
    <t>12354-18525-6140-000769</t>
  </si>
  <si>
    <t>12354-18525-6140-000790</t>
  </si>
  <si>
    <t>12354-18525-6140-000791</t>
  </si>
  <si>
    <t>12354-18531-6140-000770</t>
  </si>
  <si>
    <t>12354-18532-6140-000747</t>
  </si>
  <si>
    <t>12354-18532-6140-000748</t>
  </si>
  <si>
    <t>12354-18532-6140-000749</t>
  </si>
  <si>
    <t>12354-18532-6140-000750</t>
  </si>
  <si>
    <t>12354-18532-6140-000751</t>
  </si>
  <si>
    <t>12354-18532-6140-000752</t>
  </si>
  <si>
    <t>12354-18532-6140-000753</t>
  </si>
  <si>
    <t>12354-18532-6140-000754</t>
  </si>
  <si>
    <t>12354-18532-6140-000755</t>
  </si>
  <si>
    <t>12354-18532-6140-000756</t>
  </si>
  <si>
    <t>12354-18532-6140-000757</t>
  </si>
  <si>
    <t>12354-18532-6140-000758</t>
  </si>
  <si>
    <t>12354-18532-6140-000759</t>
  </si>
  <si>
    <t>12354-18532-6140-000760</t>
  </si>
  <si>
    <t>12354-18532-6140-000761</t>
  </si>
  <si>
    <t>12354-18532-6140-000762</t>
  </si>
  <si>
    <t>12354-18532-6140-000780</t>
  </si>
  <si>
    <t>12354-18532-6140-000781</t>
  </si>
  <si>
    <t>12354-18532-6140-000782</t>
  </si>
  <si>
    <t>12354-18532-6140-000784</t>
  </si>
  <si>
    <t>12354-18532-6140-000785</t>
  </si>
  <si>
    <t>12354-18532-6140-000786</t>
  </si>
  <si>
    <t>12354-18532-6140-000787</t>
  </si>
  <si>
    <t>12354-18532-6140-000788</t>
  </si>
  <si>
    <t>12354-18532-6140-000797</t>
  </si>
  <si>
    <t>12354-18532-6140-000798</t>
  </si>
  <si>
    <t>12354-18532-6140-000799</t>
  </si>
  <si>
    <t>12354-18532-6140-000838</t>
  </si>
  <si>
    <t>12354-18532-6140-000839</t>
  </si>
  <si>
    <t>12354-18535-6140-000792</t>
  </si>
  <si>
    <t>12354-18535-6140-000793</t>
  </si>
  <si>
    <t>12354-18510-6140-000763</t>
  </si>
  <si>
    <t>12354-18510-6140-000764</t>
  </si>
  <si>
    <t>12354-18510-6140-000765</t>
  </si>
  <si>
    <t>12354-18533-6140-000834</t>
  </si>
  <si>
    <t>12354-18533-6140-000835</t>
  </si>
  <si>
    <t>12354-18533-6140-000836</t>
  </si>
  <si>
    <t>12354-18533-6140-000837</t>
  </si>
  <si>
    <t>12354-18536-6140-000826</t>
  </si>
  <si>
    <t>12354-18536-6140-000827</t>
  </si>
  <si>
    <t>12354-18536-6140-000828</t>
  </si>
  <si>
    <t>12354-18536-6140-000829</t>
  </si>
  <si>
    <t>12354-18536-6140-000830</t>
  </si>
  <si>
    <t>12354-18536-6140-000831</t>
  </si>
  <si>
    <t>12354-18536-6140-000832</t>
  </si>
  <si>
    <t>12354-18537-6140-000842</t>
  </si>
  <si>
    <t>ACEROS Y ARMADOS DEL NORESTE SA DE CV</t>
  </si>
  <si>
    <t>JORCY CONSTRUCTORA SA DE CV</t>
  </si>
  <si>
    <t>LUIS HUMBERTO TAVERA ARCE</t>
  </si>
  <si>
    <t>ARQUITECTOS 3, S.A. DE C.V.</t>
  </si>
  <si>
    <t>INSVESTIGACIONES Y PROYECTOS ELECTRICOS SA DE CV</t>
  </si>
  <si>
    <t>COMERCIALIZADORA FUGO SA DE CV</t>
  </si>
  <si>
    <t>ACINTA ARQUITECTURA, S.A. DE C.V.</t>
  </si>
  <si>
    <t>SOFTMAT SA</t>
  </si>
  <si>
    <t>FELIPE JUAN SALINAS MANSUR</t>
  </si>
  <si>
    <t>BLOCK VICTORIA, S.A. DE C.V.</t>
  </si>
  <si>
    <t>MIRIAM RIVERA QUINTANILLA</t>
  </si>
  <si>
    <t>VETANCO SA DE CV</t>
  </si>
  <si>
    <t>JORGE VARGAS ANDRADRE</t>
  </si>
  <si>
    <t>JORGE VARGAS ANDRADE</t>
  </si>
  <si>
    <t>EDICOFISA SA DE CV</t>
  </si>
  <si>
    <t>CONSTRUCCIONES  QUVAL SA DE CV</t>
  </si>
  <si>
    <t>MIGUEL ANGEL URRUTIA AGUILAR</t>
  </si>
  <si>
    <t>CONSTRUCTORA ICOBA SA DE CV</t>
  </si>
  <si>
    <t>DIAGNOSIS Y CONSULTORIA ENERGETICA SAD E CV</t>
  </si>
  <si>
    <t>ACEROS Y ARMADOS DEL NORESTE S DE RL  MI</t>
  </si>
  <si>
    <t>DIAGNOSIS Y CONSULTORIA ENERGETICA SA DE CV</t>
  </si>
  <si>
    <t>INSUMOS DEL NORESTE</t>
  </si>
  <si>
    <t>DANIELLA ALEJANDRA AYALA GONZALEZ</t>
  </si>
  <si>
    <t>INGENIERIA CIVIL TAMAULIPAS, S.A. DE C.V.</t>
  </si>
  <si>
    <t>CONSTRUCTORA Y MATERIALES DEL CENTRO,S.A. DE C,V,</t>
  </si>
  <si>
    <t>CONSTRUCTORA MUNDI, S.A. DE C.V.</t>
  </si>
  <si>
    <t>VIRIALMA, S.A. DE C.V.</t>
  </si>
  <si>
    <t>INGENIERIA Y SERVICIOS NACIONALES, S.A.DE C.V</t>
  </si>
  <si>
    <t>JOSE ADRIAN HIGUERA CARDENAS</t>
  </si>
  <si>
    <t>PINTURAS, MANTENIMIENTOS Y ACABADOS DEL NORTE SA DE CV</t>
  </si>
  <si>
    <t>URBANIZACIONES REG SA DE CV</t>
  </si>
  <si>
    <t>SIC DE VICTORIA, S.A. DE C.V.</t>
  </si>
  <si>
    <t>JUAN ARTURO PARTIDA CORTINA</t>
  </si>
  <si>
    <t>CONSTRUCCIONES Y EDIFICACIONES MURALLA, SA. DE CV</t>
  </si>
  <si>
    <t>EDITAM, S.A. DE C.V.</t>
  </si>
  <si>
    <t>CONSTRUCCIONES E INGENIERIA VICTORIA,S.A. CV</t>
  </si>
  <si>
    <t>BUFETE DE ARQUITECTURA, S.A. DE C.V.</t>
  </si>
  <si>
    <t>EDICOFISA, S.A. DE C.V.</t>
  </si>
  <si>
    <t>DORIA COMERCIALIZADORA Y SERVICIOS, S.A. DE C</t>
  </si>
  <si>
    <t>INGENIERIA MECANICA Y CIVIL DE ALTAMIRA SA DE CV</t>
  </si>
  <si>
    <t>CONSTRUCCIONES AVANT, S.A. DE C.V.</t>
  </si>
  <si>
    <t>CONSTRUCTORA PADILLA VIEJO</t>
  </si>
  <si>
    <t>CONSTRUCCIONES Y DESARROLLOS QUEZADA, S.A. DE C.V.</t>
  </si>
  <si>
    <t>PAVIMENTOS Y URBANIZACIONES RGE SA DE CV</t>
  </si>
  <si>
    <t>JOSE RAMIRO CANTU ARZU</t>
  </si>
  <si>
    <t>CONSULTORIA Y CONSTRUCCIONES DEL NORTE SA DE CV</t>
  </si>
  <si>
    <t>JOSE ROLANDO GONZALEZ CRUZ</t>
  </si>
  <si>
    <t>CONSTRUCCIONES E INGENIERIA VICTORIA SA DE CV</t>
  </si>
  <si>
    <t>CASMAL PROYECTOS Y SERVICIOS DEL NORESTE SA DE CV</t>
  </si>
  <si>
    <t>CONSTRUCCIONES Y DESARROLLO QUEZADA SA DE CV</t>
  </si>
  <si>
    <t>CONSTRUCCIONES JASEIM SA DE CV</t>
  </si>
  <si>
    <t>CONSTRUCCIONES QUVAL SA DE CV</t>
  </si>
  <si>
    <t>FOMENTO ECONOMICO DE VICTORIA SA DE CV</t>
  </si>
  <si>
    <t>CONSTRUCCIONES JASIEM SA DE CV</t>
  </si>
  <si>
    <t>MIGUEL ELISEO BARRERA AGUILAR</t>
  </si>
  <si>
    <t>EDITAM SA DE CV</t>
  </si>
  <si>
    <t>PAVIMENTOS TERSA SA DE CV</t>
  </si>
  <si>
    <t>URBANIZADORA Y EDIFICADORA RAMCA SA DE CV</t>
  </si>
  <si>
    <t>BLOCK VICTORIA SA DE CV</t>
  </si>
  <si>
    <t>CONSTRUCTORA DACA SA DE CV</t>
  </si>
  <si>
    <t>COSTRUCTORA DACA SA DE CV</t>
  </si>
  <si>
    <t>INVESTIGACIONES Y PROYECTOS ELECTRICOS SA DE CV</t>
  </si>
  <si>
    <t>MULTIELECTRICO SA DE CV</t>
  </si>
  <si>
    <t>SICTAM SA DE CV</t>
  </si>
  <si>
    <t>SICTAMSA DE CV</t>
  </si>
  <si>
    <t>SIC DE VICTORIA SA DE CV</t>
  </si>
  <si>
    <t>JEMCIA SA DE CV</t>
  </si>
  <si>
    <t>SOTFMAT SA</t>
  </si>
  <si>
    <t>MS2 CONSTRUCCIONES SA DE CV</t>
  </si>
  <si>
    <t>PINTURASM MANTENIMIENTOS Y ACABADOS DEL NORTE SA DE CV</t>
  </si>
  <si>
    <t>PINTURAS MANTENIMIENTOS Y ACABADOS DEL NORTE SA DE CV</t>
  </si>
  <si>
    <t>2V DESARROLLO INMOBILIARIO SA DE CV</t>
  </si>
  <si>
    <t>PAVIMENTOS Y URBANIZACIONE RGE SA DE CV</t>
  </si>
  <si>
    <t>RUTER SA DE CV</t>
  </si>
  <si>
    <t>PROYEXTRA SA DE CV</t>
  </si>
  <si>
    <t>GUIEGSA CONSTRUCCIONES SA DE CV</t>
  </si>
  <si>
    <t>CONSTRUCCIONES CIVILES Y MAQUINARIA DE TAMAULIPAS</t>
  </si>
  <si>
    <t>JULIAN JAIME GARZA CASTILLO</t>
  </si>
  <si>
    <t>CASTOR HOME SA DE CV</t>
  </si>
  <si>
    <t>ADRIANA WALLE MORENO</t>
  </si>
  <si>
    <t>JELAGO CONSTRUCCIONES SA DE CV</t>
  </si>
  <si>
    <t>CONSTRUCCIONES Y DESARROLLOS QUEZADA SA DE CV</t>
  </si>
  <si>
    <t>RAMFAB SA DE CV</t>
  </si>
  <si>
    <t>GUIGUESA CONSTRUCCIONES SA DE CV</t>
  </si>
  <si>
    <t>CONSTRUCCION Y DESARROLLOS QUEZADA SA DE CV</t>
  </si>
  <si>
    <t>SUMINISTROS Y SERVICIOS DE VICTORIA SA DE CV</t>
  </si>
  <si>
    <t>2V DESARROLLO INMOBIILIARIO SA DE CV</t>
  </si>
  <si>
    <t>ROCIO FERNANDA DELGADO GONZALEZ</t>
  </si>
  <si>
    <t>GRUPO FITH SA DE CV</t>
  </si>
  <si>
    <t>PAVIMNETOS Y IRBANIZACIONES RGE SA DE CV</t>
  </si>
  <si>
    <t>CONSTRUCTORA FERGOS SA DE CV</t>
  </si>
  <si>
    <t>OSCAR ROLANDO PORRAS OCHOA</t>
  </si>
  <si>
    <t>BUFETE DE ARQUITECTURA SA DE CV</t>
  </si>
  <si>
    <t>VIRALMA SA DE CV</t>
  </si>
  <si>
    <t>JUAN VICENTE ISASI SILVA</t>
  </si>
  <si>
    <t>VIRIALMA SA DE CV</t>
  </si>
  <si>
    <t>BEFE SA DE CV</t>
  </si>
  <si>
    <t>JUAN VICENTE ISASI SILCA</t>
  </si>
  <si>
    <t>BASE CONSTRUCCIONES HS SA DE CV</t>
  </si>
  <si>
    <t>CASMAL PROYECTOS Y SERVICIOS DEL NORTE SA DE CV</t>
  </si>
  <si>
    <t>GRUPO IEMIC SA DE CV</t>
  </si>
  <si>
    <t>JESUS GUILLERMO SILVESTRE RUIZ</t>
  </si>
  <si>
    <t>INSFRAESTRUCTURA Y PAVIMENTOS ASFALTICOS SA DE CV</t>
  </si>
  <si>
    <t>GRUPO DESARROLLADOR RAMSER SA DE CV</t>
  </si>
  <si>
    <t>EDWIN HAZAEL SANCHEZ MANSILLA</t>
  </si>
  <si>
    <t>JOSE GUADALUPE FIGUEROA ROJAS</t>
  </si>
  <si>
    <t>INDEEG SA DE CV</t>
  </si>
  <si>
    <t>TECNOLOGIAS Y DESARROLLO VAGON SA DE CV</t>
  </si>
  <si>
    <t>INFRAESTRUCTURA Y PAVIMENTOS ASFALTICOS SA DE CV</t>
  </si>
  <si>
    <t>DIRECCION Y GERENCIA DE PROYECTOS MAGNA SA DE CV</t>
  </si>
  <si>
    <t>INVITACION A TRES CONTRATISTAS</t>
  </si>
  <si>
    <t>LICITACION PUBLICA</t>
  </si>
  <si>
    <t>12354-16502-6140-000543</t>
  </si>
  <si>
    <t>12354-18501-6140-000710</t>
  </si>
  <si>
    <t>HAISSEL IDALY GOMEZ DE LA CRUZ</t>
  </si>
  <si>
    <t>MS2 CONSTRUCCIONES, S.A. DE .V.</t>
  </si>
  <si>
    <t>12354-18501-6140-000711</t>
  </si>
  <si>
    <t>12354-18501-6140-000789</t>
  </si>
  <si>
    <t>PROYEXTRA, S.A. DE C.V.</t>
  </si>
  <si>
    <t>12354-17502-6140-000512</t>
  </si>
  <si>
    <t>12354-17502-6140-000514</t>
  </si>
  <si>
    <t>12354-17502-6140-000515</t>
  </si>
  <si>
    <t>12354-17502-6140-000517</t>
  </si>
  <si>
    <t>12354-17502-6140-000519</t>
  </si>
  <si>
    <t>12354-17502-6140-000522</t>
  </si>
  <si>
    <t>12354-17502-6140-000513</t>
  </si>
  <si>
    <t>12354-17502-6140-000516</t>
  </si>
  <si>
    <t>12354-17502-6140-000518</t>
  </si>
  <si>
    <t>12354-17502-6140-000523</t>
  </si>
  <si>
    <t>12354-17502-6140-000524</t>
  </si>
  <si>
    <t>12354-17502-6140-000411</t>
  </si>
  <si>
    <t>12354-17502-6140-000419</t>
  </si>
  <si>
    <t>12354-17502-6140-000412</t>
  </si>
  <si>
    <t>12354-17502-6140-000413</t>
  </si>
  <si>
    <t>12354-17502-6140-000415</t>
  </si>
  <si>
    <t>12354-17502-6140-000417</t>
  </si>
  <si>
    <t>12354-17502-6140-000418</t>
  </si>
  <si>
    <t>12354-17502-6140-000410</t>
  </si>
  <si>
    <t>12354-17502-6140-000420</t>
  </si>
  <si>
    <t>12354-17502-6140-000421</t>
  </si>
  <si>
    <t>12354-17502-6140-000422</t>
  </si>
  <si>
    <t>12354-17502-6140-000423</t>
  </si>
  <si>
    <t>12354-17502-6140-000424</t>
  </si>
  <si>
    <t>12354-17502-6140-000425</t>
  </si>
  <si>
    <t>12354-17502-6140-000426</t>
  </si>
  <si>
    <t>12354-17502-6140-000508</t>
  </si>
  <si>
    <t>12354-17502-6140-000511</t>
  </si>
  <si>
    <t>12354-17502-6140-000527</t>
  </si>
  <si>
    <t>12354-17533-6140-000557</t>
  </si>
  <si>
    <t>12354-18502-6140-000779</t>
  </si>
  <si>
    <t>12354-17532-6140-000545</t>
  </si>
  <si>
    <t>12354-17532-6140-000546</t>
  </si>
  <si>
    <t>12354-17532-6140-000547</t>
  </si>
  <si>
    <t>12354-17502-6140-000507</t>
  </si>
  <si>
    <t>12354-17527-6140-000457</t>
  </si>
  <si>
    <t>12354-17527-6140-000459</t>
  </si>
  <si>
    <t>12354-17527-6140-000460</t>
  </si>
  <si>
    <t>12354-17527-6140-000461</t>
  </si>
  <si>
    <t>12354-17527-6140-000462</t>
  </si>
  <si>
    <t>12354-17527-6140-000467</t>
  </si>
  <si>
    <t>12354-17527-6140-000468</t>
  </si>
  <si>
    <t>12354-17527-6140-000469</t>
  </si>
  <si>
    <t>12354-17527-6140-000472</t>
  </si>
  <si>
    <t>12354-17527-6140-000473</t>
  </si>
  <si>
    <t>12354-17527-6140-000474</t>
  </si>
  <si>
    <t>12354-17527-6140-000477</t>
  </si>
  <si>
    <t>12354-17527-6140-000478</t>
  </si>
  <si>
    <t>12354-17527-6140-000479</t>
  </si>
  <si>
    <t>12354-17527-6140-000481</t>
  </si>
  <si>
    <t>12354-17527-6140-000529</t>
  </si>
  <si>
    <t>12354-17528-6140-000428</t>
  </si>
  <si>
    <t>12354-17528-6140-000429</t>
  </si>
  <si>
    <t>12354-17528-6140-000431</t>
  </si>
  <si>
    <t>12354-17528-6140-000432</t>
  </si>
  <si>
    <t>12354-17528-6140-000434</t>
  </si>
  <si>
    <t>12354-17528-6140-000435</t>
  </si>
  <si>
    <t>12354-17528-6140-000436</t>
  </si>
  <si>
    <t>12354-17528-6140-000437</t>
  </si>
  <si>
    <t>12354-17528-6140-000438</t>
  </si>
  <si>
    <t>12354-17528-6140-000439</t>
  </si>
  <si>
    <t>12354-17528-6140-000440</t>
  </si>
  <si>
    <t>12354-17528-6140-000442</t>
  </si>
  <si>
    <t>12354-17528-6140-000443</t>
  </si>
  <si>
    <t>12354-17528-6140-000444</t>
  </si>
  <si>
    <t>12354-17528-6140-000448</t>
  </si>
  <si>
    <t>12354-17528-6140-000450</t>
  </si>
  <si>
    <t>12354-17527-6140-000482</t>
  </si>
  <si>
    <t>12354-17530-6140-000488</t>
  </si>
  <si>
    <t>12354-17530-6140-000490</t>
  </si>
  <si>
    <t>12354-17530-6140-000493</t>
  </si>
  <si>
    <t>12354-17530-6140-000494</t>
  </si>
  <si>
    <t>12354-17530-6140-000495</t>
  </si>
  <si>
    <t>12354-17530-6140-000496</t>
  </si>
  <si>
    <t>12354-17530-6140-000497</t>
  </si>
  <si>
    <t>12354-17530-6140-000498</t>
  </si>
  <si>
    <t>12354-17530-6140-000503</t>
  </si>
  <si>
    <t>12354-17530-6140-000504</t>
  </si>
  <si>
    <t>12354-17530-6140-000505</t>
  </si>
  <si>
    <t>12354-17533-6140-000560</t>
  </si>
  <si>
    <t>12354-17533-6140-000561</t>
  </si>
  <si>
    <t>12354-18512-6140-000712</t>
  </si>
  <si>
    <t>12354-18532-6140-000783</t>
  </si>
  <si>
    <t>1 COMPUTADORA DE ESCRITORIO PROCESADOR INTEL CELERON 3900 DUAL CORE, SOCKET 1151 SEXTA GEN. 2.8 GHz. MEMORIA RAM  DDR4 4GB DISCO DURO DE 500 GB SATA.</t>
  </si>
  <si>
    <t>Del 01 de Enero al 31 de Diciembre del 2018</t>
  </si>
  <si>
    <t xml:space="preserve"> Del 01 de Marzo al 31 de Marzo de 2017</t>
  </si>
  <si>
    <t>A</t>
  </si>
  <si>
    <t>a1</t>
  </si>
  <si>
    <t>a2</t>
  </si>
  <si>
    <t>a3</t>
  </si>
  <si>
    <t>a4</t>
  </si>
  <si>
    <t>a5</t>
  </si>
  <si>
    <t>a7</t>
  </si>
  <si>
    <t>B</t>
  </si>
  <si>
    <t>b1</t>
  </si>
  <si>
    <t>b2</t>
  </si>
  <si>
    <t>b3</t>
  </si>
  <si>
    <t>b4</t>
  </si>
  <si>
    <t>b5</t>
  </si>
  <si>
    <t>b6</t>
  </si>
  <si>
    <t>b7</t>
  </si>
  <si>
    <t>b9</t>
  </si>
  <si>
    <t>C</t>
  </si>
  <si>
    <t>c1</t>
  </si>
  <si>
    <t>c2</t>
  </si>
  <si>
    <t>c3</t>
  </si>
  <si>
    <t>c4</t>
  </si>
  <si>
    <t>c5</t>
  </si>
  <si>
    <t>c6</t>
  </si>
  <si>
    <t>c7</t>
  </si>
  <si>
    <t>c8</t>
  </si>
  <si>
    <t>c9</t>
  </si>
  <si>
    <t>D</t>
  </si>
  <si>
    <t>d1</t>
  </si>
  <si>
    <t>d2</t>
  </si>
  <si>
    <t>d4</t>
  </si>
  <si>
    <t>d5</t>
  </si>
  <si>
    <t>E</t>
  </si>
  <si>
    <t>e1</t>
  </si>
  <si>
    <t>e2</t>
  </si>
  <si>
    <t>e3</t>
  </si>
  <si>
    <t>e4</t>
  </si>
  <si>
    <t>e6</t>
  </si>
  <si>
    <t>e9</t>
  </si>
  <si>
    <t>F</t>
  </si>
  <si>
    <t>f1</t>
  </si>
  <si>
    <t>f3</t>
  </si>
  <si>
    <t>G</t>
  </si>
  <si>
    <t>g7</t>
  </si>
  <si>
    <t>i1</t>
  </si>
  <si>
    <t>i2</t>
  </si>
  <si>
    <t>i4</t>
  </si>
  <si>
    <t>i7</t>
  </si>
  <si>
    <t>II. Gasto Etiquetado (I=A+B+C+D+E+F+G+H+I)</t>
  </si>
  <si>
    <t xml:space="preserve">I. Gasto No Etiquetado </t>
  </si>
  <si>
    <t xml:space="preserve">I. Gasto Etiquetado </t>
  </si>
  <si>
    <t>a8</t>
  </si>
  <si>
    <t>b</t>
  </si>
  <si>
    <t>I. Gasto Etiquetado (I=A+B+C+D)</t>
  </si>
  <si>
    <t>Sí</t>
  </si>
  <si>
    <t>Beneficio definido</t>
  </si>
  <si>
    <t>0% Subsidio al Gasto Corriente</t>
  </si>
  <si>
    <t>No existe fondo de pensiones</t>
  </si>
  <si>
    <t>NA</t>
  </si>
  <si>
    <t>Grupo Consultor Juan P ablo Gonzalez Rodriguez</t>
  </si>
  <si>
    <t>Otros Orígenes de Operación</t>
  </si>
  <si>
    <t>11. Información sobre la Deuda y el Reporte Analítico de la Deuda</t>
  </si>
  <si>
    <t xml:space="preserve">BOMBEROS </t>
  </si>
  <si>
    <t>TRIBUNAL DE JUSTICIA ADMINISTRATIVA</t>
  </si>
  <si>
    <t>DIF VICTORIA</t>
  </si>
  <si>
    <t>REINTEGRO DE RECURSOS NO EJERCIDOS</t>
  </si>
  <si>
    <t>PENSIONADOS</t>
  </si>
  <si>
    <t>JUBILADOS</t>
  </si>
  <si>
    <t>PENSIONES</t>
  </si>
  <si>
    <t>JUBILACIONES</t>
  </si>
  <si>
    <t>TRANSFERENCIAS</t>
  </si>
  <si>
    <t>ASIGNACIONES</t>
  </si>
  <si>
    <t>Las Partidas que sobrepasan el 10% respecto al Gasto Total son las siguientes:</t>
  </si>
  <si>
    <r>
      <t>·</t>
    </r>
    <r>
      <rPr>
        <sz val="11"/>
        <color theme="1"/>
        <rFont val="Calibri"/>
        <family val="2"/>
        <scheme val="minor"/>
      </rPr>
      <t xml:space="preserve"> En el </t>
    </r>
    <r>
      <rPr>
        <b/>
        <sz val="11"/>
        <color theme="1"/>
        <rFont val="Calibri"/>
        <family val="2"/>
        <scheme val="minor"/>
      </rPr>
      <t>COG 1130</t>
    </r>
    <r>
      <rPr>
        <sz val="11"/>
        <color theme="1"/>
        <rFont val="Calibri"/>
        <family val="2"/>
        <scheme val="minor"/>
      </rPr>
      <t xml:space="preserve"> Sueldos base al personal permanente,</t>
    </r>
    <r>
      <rPr>
        <b/>
        <sz val="11"/>
        <color theme="1"/>
        <rFont val="Calibri"/>
        <family val="2"/>
        <scheme val="minor"/>
      </rPr>
      <t xml:space="preserve"> tal como se muestra en el cuadro adjunto</t>
    </r>
    <r>
      <rPr>
        <sz val="11"/>
        <color theme="1"/>
        <rFont val="Calibri"/>
        <family val="2"/>
        <scheme val="minor"/>
      </rPr>
      <t xml:space="preserve"> se</t>
    </r>
    <r>
      <rPr>
        <b/>
        <sz val="11"/>
        <color theme="1"/>
        <rFont val="Calibri"/>
        <family val="2"/>
        <scheme val="minor"/>
      </rPr>
      <t xml:space="preserve"> </t>
    </r>
    <r>
      <rPr>
        <sz val="11"/>
        <color theme="1"/>
        <rFont val="Calibri"/>
        <family val="2"/>
        <scheme val="minor"/>
      </rPr>
      <t>puede apreciar un incremento del 15.77%  lo cual sobrepasa el 10% respecto al Gasto total ;  sin embargo  respecto al ejercicio anterior disminuyo un 2.36%, , independientemente del incremento en los sueldos pactado en el contrato colectivo de trabajo del personal de Sindicalizado.</t>
    </r>
  </si>
  <si>
    <r>
      <t>·</t>
    </r>
    <r>
      <rPr>
        <sz val="11"/>
        <color theme="1"/>
        <rFont val="Calibri"/>
        <family val="2"/>
        <scheme val="minor"/>
      </rPr>
      <t xml:space="preserve"> En el </t>
    </r>
    <r>
      <rPr>
        <b/>
        <sz val="11"/>
        <color theme="1"/>
        <rFont val="Calibri"/>
        <family val="2"/>
        <scheme val="minor"/>
      </rPr>
      <t xml:space="preserve">COG 6140 </t>
    </r>
    <r>
      <rPr>
        <sz val="11"/>
        <color theme="1"/>
        <rFont val="Calibri"/>
        <family val="2"/>
        <scheme val="minor"/>
      </rPr>
      <t>División de Terrenos y Construcción de Obra,</t>
    </r>
    <r>
      <rPr>
        <b/>
        <sz val="11"/>
        <color theme="1"/>
        <rFont val="Calibri"/>
        <family val="2"/>
        <scheme val="minor"/>
      </rPr>
      <t xml:space="preserve"> tal como se muestra en el cuadro adjunto</t>
    </r>
    <r>
      <rPr>
        <sz val="11"/>
        <color theme="1"/>
        <rFont val="Calibri"/>
        <family val="2"/>
        <scheme val="minor"/>
      </rPr>
      <t xml:space="preserve"> se</t>
    </r>
    <r>
      <rPr>
        <b/>
        <sz val="11"/>
        <color theme="1"/>
        <rFont val="Calibri"/>
        <family val="2"/>
        <scheme val="minor"/>
      </rPr>
      <t xml:space="preserve"> </t>
    </r>
    <r>
      <rPr>
        <sz val="11"/>
        <color theme="1"/>
        <rFont val="Calibri"/>
        <family val="2"/>
        <scheme val="minor"/>
      </rPr>
      <t>puede apreciar un incremento del 25.79%  lo cual sobrepasa el 10% respecto al Gasto total ;  ya que se le dio prioridad ala Inversión Pública.</t>
    </r>
  </si>
  <si>
    <t>SANTANDER</t>
  </si>
  <si>
    <t>511254006-8</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</si>
</sst>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 #,##0_-;_-* &quot;-&quot;_-;_-@_-"/>
    <numFmt numFmtId="44" formatCode="_-&quot;$&quot;* #,##0.00_-;\-&quot;$&quot;* #,##0.00_-;_-&quot;$&quot;* &quot;-&quot;??_-;_-@_-"/>
    <numFmt numFmtId="43" formatCode="_-* #,##0.00_-;\-* #,##0.00_-;_-* &quot;-&quot;??_-;_-@_-"/>
    <numFmt numFmtId="164" formatCode="_(* #,##0.00_);_(* \(#,##0.00\);_(* &quot;-&quot;??_);_(@_)"/>
    <numFmt numFmtId="165" formatCode="&quot;$&quot;#,##0.00"/>
    <numFmt numFmtId="166" formatCode="_(&quot;$&quot;* #,##0.00_);_(&quot;$&quot;* \(#,##0.00\);_(&quot;$&quot;* &quot;-&quot;??_);_(@_)"/>
    <numFmt numFmtId="167" formatCode="dd/mm/yy;@"/>
    <numFmt numFmtId="168" formatCode="_-* #,##0_-;\-* #,##0_-;_-* &quot;-&quot;??_-;_-@_-"/>
    <numFmt numFmtId="169" formatCode="_-* #,##0.000000_-;\-* #,##0.000000_-;_-* &quot;-&quot;??_-;_-@_-"/>
    <numFmt numFmtId="170" formatCode="dd/mm/yyyy;@"/>
    <numFmt numFmtId="171" formatCode="_-* #,##0.000000000000000000000000_-;\-* #,##0.000000000000000000000000_-;_-* &quot;-&quot;??_-;_-@_-"/>
  </numFmts>
  <fonts count="102" x14ac:knownFonts="1">
    <font>
      <sz val="11"/>
      <color theme="1"/>
      <name val="Calibri"/>
      <family val="2"/>
      <scheme val="minor"/>
    </font>
    <font>
      <sz val="11"/>
      <color theme="1"/>
      <name val="Calibri"/>
      <family val="2"/>
      <scheme val="minor"/>
    </font>
    <font>
      <sz val="10"/>
      <name val="Arial"/>
      <family val="2"/>
    </font>
    <font>
      <b/>
      <sz val="10"/>
      <name val="Arial"/>
      <family val="2"/>
    </font>
    <font>
      <b/>
      <sz val="11"/>
      <name val="Arial"/>
      <family val="2"/>
    </font>
    <font>
      <b/>
      <sz val="8"/>
      <name val="Arial"/>
      <family val="2"/>
    </font>
    <font>
      <sz val="8"/>
      <name val="Arial"/>
      <family val="2"/>
    </font>
    <font>
      <b/>
      <sz val="10"/>
      <color rgb="FFFF0000"/>
      <name val="Arial"/>
      <family val="2"/>
    </font>
    <font>
      <u/>
      <sz val="10"/>
      <color theme="10"/>
      <name val="Arial"/>
      <family val="2"/>
    </font>
    <font>
      <sz val="8"/>
      <name val="Tahoma"/>
      <family val="2"/>
    </font>
    <font>
      <b/>
      <sz val="8"/>
      <color theme="1"/>
      <name val="Arial"/>
      <family val="2"/>
    </font>
    <font>
      <sz val="8"/>
      <color theme="1"/>
      <name val="Arial"/>
      <family val="2"/>
    </font>
    <font>
      <b/>
      <sz val="13"/>
      <name val="Arial"/>
      <family val="2"/>
    </font>
    <font>
      <b/>
      <sz val="9"/>
      <name val="Arial"/>
      <family val="2"/>
    </font>
    <font>
      <sz val="9"/>
      <name val="Arial"/>
      <family val="2"/>
    </font>
    <font>
      <b/>
      <sz val="10"/>
      <color rgb="FF000000"/>
      <name val="Arial"/>
      <family val="2"/>
    </font>
    <font>
      <b/>
      <sz val="12"/>
      <name val="Arial"/>
      <family val="2"/>
    </font>
    <font>
      <sz val="10"/>
      <color theme="1"/>
      <name val="Calibri"/>
      <family val="2"/>
      <scheme val="minor"/>
    </font>
    <font>
      <b/>
      <sz val="10"/>
      <color theme="1"/>
      <name val="Calibri"/>
      <family val="2"/>
      <scheme val="minor"/>
    </font>
    <font>
      <sz val="7"/>
      <name val="Arial"/>
      <family val="2"/>
    </font>
    <font>
      <sz val="11"/>
      <color theme="1"/>
      <name val="Arial"/>
      <family val="2"/>
    </font>
    <font>
      <b/>
      <sz val="12"/>
      <color theme="1"/>
      <name val="Arial"/>
      <family val="2"/>
    </font>
    <font>
      <b/>
      <sz val="11"/>
      <color theme="1"/>
      <name val="Arial"/>
      <family val="2"/>
    </font>
    <font>
      <sz val="9"/>
      <color theme="1"/>
      <name val="Arial"/>
      <family val="2"/>
    </font>
    <font>
      <sz val="10"/>
      <color theme="1"/>
      <name val="Arial"/>
      <family val="2"/>
    </font>
    <font>
      <b/>
      <sz val="9"/>
      <color theme="1"/>
      <name val="Arial"/>
      <family val="2"/>
    </font>
    <font>
      <b/>
      <sz val="11"/>
      <color theme="1"/>
      <name val="Calibri"/>
      <family val="2"/>
      <scheme val="minor"/>
    </font>
    <font>
      <b/>
      <sz val="8"/>
      <color rgb="FF000000"/>
      <name val="Arial"/>
      <family val="2"/>
    </font>
    <font>
      <b/>
      <sz val="11"/>
      <color rgb="FF000000"/>
      <name val="Arial"/>
      <family val="2"/>
    </font>
    <font>
      <sz val="11"/>
      <color rgb="FF000000"/>
      <name val="Arial"/>
      <family val="2"/>
    </font>
    <font>
      <sz val="11"/>
      <color rgb="FF9C0006"/>
      <name val="Calibri"/>
      <family val="2"/>
      <scheme val="minor"/>
    </font>
    <font>
      <b/>
      <sz val="10"/>
      <color theme="1"/>
      <name val="Arial"/>
      <family val="2"/>
    </font>
    <font>
      <sz val="8"/>
      <color theme="1"/>
      <name val="Calibri"/>
      <family val="2"/>
      <scheme val="minor"/>
    </font>
    <font>
      <sz val="10"/>
      <color indexed="8"/>
      <name val="MS Sans Serif"/>
      <family val="2"/>
    </font>
    <font>
      <b/>
      <u/>
      <sz val="12"/>
      <color theme="1"/>
      <name val="Arial"/>
      <family val="2"/>
    </font>
    <font>
      <sz val="10"/>
      <name val="Arial"/>
      <family val="2"/>
    </font>
    <font>
      <sz val="10"/>
      <name val="Arial Narrow"/>
      <family val="2"/>
    </font>
    <font>
      <b/>
      <sz val="10"/>
      <name val="Arial Narrow"/>
      <family val="2"/>
    </font>
    <font>
      <sz val="10"/>
      <name val="Tahoma"/>
      <family val="2"/>
    </font>
    <font>
      <sz val="9"/>
      <color theme="1"/>
      <name val="Calibri"/>
      <family val="2"/>
      <scheme val="minor"/>
    </font>
    <font>
      <sz val="6"/>
      <color theme="1"/>
      <name val="Calibri"/>
      <family val="2"/>
      <scheme val="minor"/>
    </font>
    <font>
      <b/>
      <sz val="11"/>
      <color rgb="FF000000"/>
      <name val="Calibri"/>
      <family val="2"/>
      <scheme val="minor"/>
    </font>
    <font>
      <b/>
      <sz val="10"/>
      <color rgb="FF000000"/>
      <name val="Calibri"/>
      <family val="2"/>
      <scheme val="minor"/>
    </font>
    <font>
      <sz val="11"/>
      <color rgb="FF000000"/>
      <name val="Calibri"/>
      <family val="2"/>
      <scheme val="minor"/>
    </font>
    <font>
      <b/>
      <i/>
      <sz val="6"/>
      <color rgb="FF000000"/>
      <name val="Calibri"/>
      <family val="2"/>
      <scheme val="minor"/>
    </font>
    <font>
      <sz val="6"/>
      <color rgb="FF000000"/>
      <name val="Calibri"/>
      <family val="2"/>
      <scheme val="minor"/>
    </font>
    <font>
      <b/>
      <sz val="6"/>
      <color rgb="FF000000"/>
      <name val="Calibri"/>
      <family val="2"/>
      <scheme val="minor"/>
    </font>
    <font>
      <sz val="9"/>
      <color rgb="FF000000"/>
      <name val="Calibri"/>
      <family val="2"/>
      <scheme val="minor"/>
    </font>
    <font>
      <b/>
      <sz val="9"/>
      <color rgb="FF000000"/>
      <name val="Calibri"/>
      <family val="2"/>
      <scheme val="minor"/>
    </font>
    <font>
      <b/>
      <sz val="9"/>
      <color theme="1"/>
      <name val="Calibri"/>
      <family val="2"/>
      <scheme val="minor"/>
    </font>
    <font>
      <b/>
      <i/>
      <sz val="9"/>
      <color rgb="FF000000"/>
      <name val="Calibri"/>
      <family val="2"/>
      <scheme val="minor"/>
    </font>
    <font>
      <sz val="10"/>
      <name val="Calibri"/>
      <family val="2"/>
      <scheme val="minor"/>
    </font>
    <font>
      <sz val="9"/>
      <name val="Calibri"/>
      <family val="2"/>
      <scheme val="minor"/>
    </font>
    <font>
      <b/>
      <sz val="7"/>
      <color theme="1"/>
      <name val="Arial"/>
      <family val="2"/>
    </font>
    <font>
      <sz val="7"/>
      <color theme="1"/>
      <name val="Arial"/>
      <family val="2"/>
    </font>
    <font>
      <sz val="7"/>
      <color theme="1"/>
      <name val="Calibri"/>
      <family val="2"/>
      <scheme val="minor"/>
    </font>
    <font>
      <b/>
      <sz val="10"/>
      <name val="Calibri"/>
      <family val="2"/>
      <scheme val="minor"/>
    </font>
    <font>
      <b/>
      <sz val="9"/>
      <name val="Calibri"/>
      <family val="2"/>
      <scheme val="minor"/>
    </font>
    <font>
      <b/>
      <sz val="7"/>
      <name val="Calibri"/>
      <family val="2"/>
      <scheme val="minor"/>
    </font>
    <font>
      <sz val="7"/>
      <name val="Calibri"/>
      <family val="2"/>
      <scheme val="minor"/>
    </font>
    <font>
      <i/>
      <sz val="11"/>
      <color theme="1"/>
      <name val="Calibri"/>
      <family val="2"/>
      <scheme val="minor"/>
    </font>
    <font>
      <b/>
      <sz val="8"/>
      <color theme="1"/>
      <name val="Calibri"/>
      <family val="2"/>
      <scheme val="minor"/>
    </font>
    <font>
      <b/>
      <sz val="11"/>
      <name val="Calibri"/>
      <family val="2"/>
      <scheme val="minor"/>
    </font>
    <font>
      <sz val="8"/>
      <name val="Calibri"/>
      <family val="2"/>
      <scheme val="minor"/>
    </font>
    <font>
      <sz val="10"/>
      <color rgb="FFFF0000"/>
      <name val="Calibri"/>
      <family val="2"/>
      <scheme val="minor"/>
    </font>
    <font>
      <u/>
      <sz val="10"/>
      <name val="Calibri"/>
      <family val="2"/>
      <scheme val="minor"/>
    </font>
    <font>
      <b/>
      <sz val="10"/>
      <color rgb="FFFF0000"/>
      <name val="Calibri"/>
      <family val="2"/>
      <scheme val="minor"/>
    </font>
    <font>
      <sz val="11"/>
      <name val="Calibri"/>
      <family val="2"/>
      <scheme val="minor"/>
    </font>
    <font>
      <b/>
      <sz val="12"/>
      <name val="Calibri"/>
      <family val="2"/>
      <scheme val="minor"/>
    </font>
    <font>
      <b/>
      <sz val="12"/>
      <color rgb="FF000000"/>
      <name val="Calibri"/>
      <family val="2"/>
      <scheme val="minor"/>
    </font>
    <font>
      <b/>
      <sz val="8"/>
      <color rgb="FF000000"/>
      <name val="Calibri"/>
      <family val="2"/>
      <scheme val="minor"/>
    </font>
    <font>
      <sz val="8"/>
      <color rgb="FF000000"/>
      <name val="Calibri"/>
      <family val="2"/>
      <scheme val="minor"/>
    </font>
    <font>
      <b/>
      <sz val="13"/>
      <name val="Calibri"/>
      <family val="2"/>
      <scheme val="minor"/>
    </font>
    <font>
      <sz val="13"/>
      <name val="Calibri"/>
      <family val="2"/>
      <scheme val="minor"/>
    </font>
    <font>
      <sz val="10"/>
      <color rgb="FF000000"/>
      <name val="Calibri"/>
      <family val="2"/>
      <scheme val="minor"/>
    </font>
    <font>
      <b/>
      <sz val="8"/>
      <name val="Calibri"/>
      <family val="2"/>
      <scheme val="minor"/>
    </font>
    <font>
      <b/>
      <i/>
      <sz val="10"/>
      <name val="Calibri"/>
      <family val="2"/>
      <scheme val="minor"/>
    </font>
    <font>
      <b/>
      <i/>
      <sz val="8"/>
      <color rgb="FF000000"/>
      <name val="Calibri"/>
      <family val="2"/>
      <scheme val="minor"/>
    </font>
    <font>
      <sz val="12"/>
      <name val="Calibri"/>
      <family val="2"/>
      <scheme val="minor"/>
    </font>
    <font>
      <sz val="10"/>
      <color rgb="FFFF0000"/>
      <name val="Arial"/>
      <family val="2"/>
    </font>
    <font>
      <b/>
      <i/>
      <sz val="8"/>
      <color rgb="FF000000"/>
      <name val="Arial"/>
      <family val="2"/>
    </font>
    <font>
      <sz val="8"/>
      <color theme="1"/>
      <name val="Times New Roman"/>
      <family val="1"/>
    </font>
    <font>
      <b/>
      <sz val="14"/>
      <name val="Calibri"/>
      <family val="2"/>
      <scheme val="minor"/>
    </font>
    <font>
      <sz val="8"/>
      <color rgb="FF000000"/>
      <name val="Arial"/>
      <family val="2"/>
    </font>
    <font>
      <sz val="8"/>
      <color indexed="8"/>
      <name val="Arial"/>
      <family val="2"/>
    </font>
    <font>
      <sz val="11"/>
      <name val="Arial"/>
      <family val="2"/>
    </font>
    <font>
      <b/>
      <sz val="6"/>
      <color theme="1"/>
      <name val="Calibri"/>
      <family val="2"/>
      <scheme val="minor"/>
    </font>
    <font>
      <b/>
      <sz val="7"/>
      <color theme="1"/>
      <name val="Calibri"/>
      <family val="2"/>
      <scheme val="minor"/>
    </font>
    <font>
      <sz val="6"/>
      <color rgb="FF000000"/>
      <name val="Arial"/>
      <family val="2"/>
    </font>
    <font>
      <b/>
      <sz val="6"/>
      <color rgb="FF000000"/>
      <name val="Arial"/>
      <family val="2"/>
    </font>
    <font>
      <sz val="10"/>
      <color theme="1"/>
      <name val="Times New Roman"/>
      <family val="1"/>
    </font>
    <font>
      <b/>
      <i/>
      <sz val="6"/>
      <color rgb="FF000000"/>
      <name val="Arial"/>
      <family val="2"/>
    </font>
    <font>
      <b/>
      <sz val="16"/>
      <name val="Calibri"/>
      <family val="2"/>
      <scheme val="minor"/>
    </font>
    <font>
      <sz val="10"/>
      <name val="Arial"/>
      <family val="2"/>
    </font>
    <font>
      <b/>
      <i/>
      <sz val="8"/>
      <color theme="1"/>
      <name val="Arial"/>
      <family val="2"/>
    </font>
    <font>
      <sz val="6"/>
      <color theme="1"/>
      <name val="Arial"/>
      <family val="2"/>
    </font>
    <font>
      <b/>
      <sz val="8"/>
      <color theme="1"/>
      <name val="Times New Roman"/>
      <family val="1"/>
    </font>
    <font>
      <b/>
      <vertAlign val="superscript"/>
      <sz val="8"/>
      <color theme="1"/>
      <name val="Arial"/>
      <family val="2"/>
    </font>
    <font>
      <b/>
      <i/>
      <sz val="9"/>
      <color theme="1"/>
      <name val="Arial"/>
      <family val="2"/>
    </font>
    <font>
      <i/>
      <sz val="8"/>
      <color theme="1"/>
      <name val="Arial"/>
      <family val="2"/>
    </font>
    <font>
      <sz val="12"/>
      <color theme="1"/>
      <name val="Arial"/>
      <family val="2"/>
    </font>
    <font>
      <sz val="11"/>
      <color theme="1"/>
      <name val="Symbol"/>
      <family val="1"/>
      <charset val="2"/>
    </font>
  </fonts>
  <fills count="13">
    <fill>
      <patternFill patternType="none"/>
    </fill>
    <fill>
      <patternFill patternType="gray125"/>
    </fill>
    <fill>
      <patternFill patternType="solid">
        <fgColor theme="0" tint="-0.249977111117893"/>
        <bgColor indexed="64"/>
      </patternFill>
    </fill>
    <fill>
      <patternFill patternType="solid">
        <fgColor theme="0" tint="-0.34998626667073579"/>
        <bgColor indexed="64"/>
      </patternFill>
    </fill>
    <fill>
      <patternFill patternType="solid">
        <fgColor rgb="FFC0C0C0"/>
        <bgColor indexed="64"/>
      </patternFill>
    </fill>
    <fill>
      <patternFill patternType="solid">
        <fgColor rgb="FFBFBFBF"/>
        <bgColor indexed="64"/>
      </patternFill>
    </fill>
    <fill>
      <patternFill patternType="solid">
        <fgColor rgb="FFFFC7CE"/>
      </patternFill>
    </fill>
    <fill>
      <patternFill patternType="solid">
        <fgColor rgb="FFFFFFCC"/>
      </patternFill>
    </fill>
    <fill>
      <patternFill patternType="solid">
        <fgColor theme="0"/>
        <bgColor indexed="64"/>
      </patternFill>
    </fill>
    <fill>
      <patternFill patternType="solid">
        <fgColor indexed="9"/>
      </patternFill>
    </fill>
    <fill>
      <patternFill patternType="solid">
        <fgColor rgb="FFD9D9D9"/>
        <bgColor indexed="64"/>
      </patternFill>
    </fill>
    <fill>
      <patternFill patternType="lightGray">
        <bgColor rgb="FFBFBFBF"/>
      </patternFill>
    </fill>
    <fill>
      <patternFill patternType="solid">
        <fgColor theme="0" tint="-0.14999847407452621"/>
        <bgColor indexed="64"/>
      </patternFill>
    </fill>
  </fills>
  <borders count="118">
    <border>
      <left/>
      <right/>
      <top/>
      <bottom/>
      <diagonal/>
    </border>
    <border>
      <left/>
      <right/>
      <top/>
      <bottom style="thin">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style="thin">
        <color rgb="FFB2B2B2"/>
      </left>
      <right style="thin">
        <color rgb="FFB2B2B2"/>
      </right>
      <top style="thin">
        <color rgb="FFB2B2B2"/>
      </top>
      <bottom style="thin">
        <color rgb="FFB2B2B2"/>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bottom style="thin">
        <color indexed="64"/>
      </bottom>
      <diagonal/>
    </border>
    <border>
      <left/>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diagonal/>
    </border>
    <border>
      <left/>
      <right style="hair">
        <color indexed="64"/>
      </right>
      <top style="medium">
        <color indexed="64"/>
      </top>
      <bottom style="hair">
        <color indexed="64"/>
      </bottom>
      <diagonal/>
    </border>
    <border>
      <left style="hair">
        <color indexed="64"/>
      </left>
      <right style="medium">
        <color indexed="64"/>
      </right>
      <top style="medium">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right style="hair">
        <color indexed="64"/>
      </right>
      <top style="hair">
        <color indexed="64"/>
      </top>
      <bottom style="medium">
        <color indexed="64"/>
      </bottom>
      <diagonal/>
    </border>
    <border>
      <left style="hair">
        <color indexed="64"/>
      </left>
      <right style="medium">
        <color indexed="64"/>
      </right>
      <top/>
      <bottom style="medium">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right style="thin">
        <color indexed="64"/>
      </right>
      <top style="thin">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medium">
        <color indexed="64"/>
      </right>
      <top/>
      <bottom style="hair">
        <color indexed="64"/>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hair">
        <color indexed="64"/>
      </top>
      <bottom/>
      <diagonal/>
    </border>
    <border>
      <left/>
      <right/>
      <top style="thin">
        <color indexed="64"/>
      </top>
      <bottom/>
      <diagonal/>
    </border>
    <border>
      <left style="thin">
        <color indexed="64"/>
      </left>
      <right style="hair">
        <color indexed="64"/>
      </right>
      <top/>
      <bottom/>
      <diagonal/>
    </border>
    <border>
      <left style="hair">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rgb="FF000000"/>
      </right>
      <top/>
      <bottom style="medium">
        <color indexed="64"/>
      </bottom>
      <diagonal/>
    </border>
    <border>
      <left/>
      <right style="medium">
        <color rgb="FF000000"/>
      </right>
      <top/>
      <bottom/>
      <diagonal/>
    </border>
    <border>
      <left style="medium">
        <color rgb="FF000000"/>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257">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8" fillId="0" borderId="0" applyNumberFormat="0" applyFill="0" applyBorder="0" applyAlignment="0" applyProtection="0"/>
    <xf numFmtId="43" fontId="9"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0" fontId="2" fillId="0" borderId="0"/>
    <xf numFmtId="0" fontId="2" fillId="0" borderId="0"/>
    <xf numFmtId="0" fontId="2" fillId="0" borderId="0"/>
    <xf numFmtId="0" fontId="1" fillId="0" borderId="0"/>
    <xf numFmtId="0" fontId="1" fillId="0" borderId="0"/>
    <xf numFmtId="0" fontId="2" fillId="0" borderId="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0" fontId="1" fillId="0" borderId="0"/>
    <xf numFmtId="0" fontId="2" fillId="0" borderId="0"/>
    <xf numFmtId="43" fontId="1" fillId="0" borderId="0" applyFont="0" applyFill="0" applyBorder="0" applyAlignment="0" applyProtection="0"/>
    <xf numFmtId="0" fontId="30" fillId="6" borderId="0" applyNumberFormat="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33" fillId="0" borderId="0" applyNumberFormat="0" applyFont="0" applyFill="0" applyBorder="0" applyProtection="0">
      <alignment vertical="center"/>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2" fillId="0" borderId="0"/>
    <xf numFmtId="0" fontId="1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7" borderId="23" applyNumberFormat="0" applyFont="0" applyAlignment="0" applyProtection="0"/>
    <xf numFmtId="0" fontId="1" fillId="7" borderId="23" applyNumberFormat="0" applyFont="0" applyAlignment="0" applyProtection="0"/>
    <xf numFmtId="0" fontId="1" fillId="7" borderId="23" applyNumberFormat="0" applyFont="0" applyAlignment="0" applyProtection="0"/>
    <xf numFmtId="0" fontId="1" fillId="7" borderId="23" applyNumberFormat="0" applyFont="0" applyAlignment="0" applyProtection="0"/>
    <xf numFmtId="0" fontId="1" fillId="7" borderId="23" applyNumberFormat="0" applyFont="0" applyAlignment="0" applyProtection="0"/>
    <xf numFmtId="0" fontId="1" fillId="7" borderId="23"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1" fillId="0" borderId="0" applyFont="0" applyFill="0" applyBorder="0" applyAlignment="0" applyProtection="0"/>
    <xf numFmtId="0" fontId="35" fillId="0" borderId="0"/>
    <xf numFmtId="166" fontId="35" fillId="0" borderId="0" applyFont="0" applyFill="0" applyBorder="0" applyAlignment="0" applyProtection="0"/>
    <xf numFmtId="44" fontId="1"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0" fontId="93" fillId="0" borderId="0"/>
    <xf numFmtId="43" fontId="1"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9"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3"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0" fontId="2" fillId="0" borderId="0"/>
  </cellStyleXfs>
  <cellXfs count="1440">
    <xf numFmtId="0" fontId="0" fillId="0" borderId="0" xfId="0"/>
    <xf numFmtId="0" fontId="3" fillId="0" borderId="0" xfId="2" applyFont="1"/>
    <xf numFmtId="0" fontId="2" fillId="0" borderId="0" xfId="2" applyFont="1" applyFill="1"/>
    <xf numFmtId="0" fontId="2" fillId="0" borderId="0" xfId="2" applyFont="1" applyFill="1" applyBorder="1"/>
    <xf numFmtId="0" fontId="3" fillId="0" borderId="0" xfId="2" applyFont="1" applyAlignment="1">
      <alignment horizontal="right"/>
    </xf>
    <xf numFmtId="0" fontId="2" fillId="0" borderId="0" xfId="2"/>
    <xf numFmtId="0" fontId="12" fillId="0" borderId="0" xfId="2" applyFont="1" applyAlignment="1">
      <alignment vertical="center"/>
    </xf>
    <xf numFmtId="0" fontId="14" fillId="0" borderId="0" xfId="2" applyFont="1" applyAlignment="1">
      <alignment horizontal="left"/>
    </xf>
    <xf numFmtId="43" fontId="17" fillId="0" borderId="0" xfId="8" applyFont="1" applyFill="1"/>
    <xf numFmtId="43" fontId="17" fillId="0" borderId="0" xfId="8" applyFont="1" applyFill="1" applyBorder="1"/>
    <xf numFmtId="43" fontId="17" fillId="0" borderId="1" xfId="8" applyFont="1" applyFill="1" applyBorder="1"/>
    <xf numFmtId="43" fontId="18" fillId="0" borderId="0" xfId="8" applyFont="1" applyFill="1"/>
    <xf numFmtId="0" fontId="16" fillId="0" borderId="0" xfId="2" applyFont="1" applyAlignment="1">
      <alignment vertical="center"/>
    </xf>
    <xf numFmtId="0" fontId="16" fillId="0" borderId="0" xfId="2" applyFont="1" applyAlignment="1">
      <alignment wrapText="1"/>
    </xf>
    <xf numFmtId="43" fontId="13" fillId="0" borderId="0" xfId="2" applyNumberFormat="1" applyFont="1" applyFill="1" applyBorder="1" applyAlignment="1">
      <alignment horizontal="left" vertical="center" wrapText="1"/>
    </xf>
    <xf numFmtId="0" fontId="13" fillId="0" borderId="0" xfId="2" applyFont="1" applyBorder="1" applyAlignment="1">
      <alignment horizontal="left" vertical="center"/>
    </xf>
    <xf numFmtId="43" fontId="14" fillId="0" borderId="0" xfId="3" applyFont="1" applyFill="1" applyBorder="1" applyAlignment="1">
      <alignment horizontal="left" vertical="center" wrapText="1"/>
    </xf>
    <xf numFmtId="0" fontId="14" fillId="0" borderId="0" xfId="2" applyFont="1" applyBorder="1" applyAlignment="1">
      <alignment horizontal="left" vertical="center"/>
    </xf>
    <xf numFmtId="0" fontId="2" fillId="0" borderId="0" xfId="2" applyAlignment="1">
      <alignment vertical="center"/>
    </xf>
    <xf numFmtId="0" fontId="2" fillId="0" borderId="0" xfId="17" applyFont="1"/>
    <xf numFmtId="0" fontId="6" fillId="0" borderId="0" xfId="17" applyFont="1"/>
    <xf numFmtId="0" fontId="19" fillId="0" borderId="0" xfId="17" applyFont="1"/>
    <xf numFmtId="164" fontId="19" fillId="0" borderId="0" xfId="7" applyFont="1"/>
    <xf numFmtId="164" fontId="19" fillId="0" borderId="0" xfId="7" applyFont="1" applyAlignment="1">
      <alignment horizontal="center"/>
    </xf>
    <xf numFmtId="0" fontId="2" fillId="0" borderId="0" xfId="17" applyFont="1" applyAlignment="1">
      <alignment vertical="center"/>
    </xf>
    <xf numFmtId="1" fontId="5" fillId="2" borderId="21" xfId="7" applyNumberFormat="1" applyFont="1" applyFill="1" applyBorder="1" applyAlignment="1">
      <alignment horizontal="center" vertical="center" wrapText="1"/>
    </xf>
    <xf numFmtId="0" fontId="3" fillId="0" borderId="0" xfId="17" applyFont="1"/>
    <xf numFmtId="0" fontId="20" fillId="0" borderId="0" xfId="0" applyFont="1"/>
    <xf numFmtId="0" fontId="21" fillId="0" borderId="0" xfId="0" applyFont="1"/>
    <xf numFmtId="0" fontId="22" fillId="0" borderId="0" xfId="0" applyFont="1" applyAlignment="1">
      <alignment horizontal="left"/>
    </xf>
    <xf numFmtId="0" fontId="22" fillId="0" borderId="0" xfId="0" applyFont="1"/>
    <xf numFmtId="0" fontId="24" fillId="0" borderId="0" xfId="0" applyFont="1"/>
    <xf numFmtId="0" fontId="24" fillId="0" borderId="0" xfId="0" applyFont="1" applyAlignment="1">
      <alignment horizontal="left"/>
    </xf>
    <xf numFmtId="0" fontId="0" fillId="0" borderId="0" xfId="0" applyAlignment="1">
      <alignment horizontal="left"/>
    </xf>
    <xf numFmtId="0" fontId="24" fillId="0" borderId="0" xfId="19" applyFont="1"/>
    <xf numFmtId="0" fontId="20" fillId="0" borderId="0" xfId="19" applyFont="1"/>
    <xf numFmtId="0" fontId="22" fillId="0" borderId="0" xfId="19" applyFont="1" applyAlignment="1"/>
    <xf numFmtId="0" fontId="31" fillId="0" borderId="0" xfId="19" applyFont="1" applyAlignment="1"/>
    <xf numFmtId="0" fontId="26" fillId="2" borderId="35" xfId="0" applyFont="1" applyFill="1" applyBorder="1"/>
    <xf numFmtId="0" fontId="0" fillId="0" borderId="38" xfId="0" applyBorder="1"/>
    <xf numFmtId="0" fontId="26" fillId="0" borderId="38" xfId="0" applyFont="1" applyBorder="1"/>
    <xf numFmtId="0" fontId="0" fillId="0" borderId="38" xfId="0" applyBorder="1" applyAlignment="1">
      <alignment horizontal="left" indent="2"/>
    </xf>
    <xf numFmtId="0" fontId="26" fillId="2" borderId="41" xfId="0" applyFont="1" applyFill="1" applyBorder="1"/>
    <xf numFmtId="0" fontId="0" fillId="0" borderId="44" xfId="0" applyBorder="1" applyAlignment="1">
      <alignment horizontal="left" indent="2"/>
    </xf>
    <xf numFmtId="0" fontId="0" fillId="0" borderId="0" xfId="0" applyAlignment="1">
      <alignment horizontal="center"/>
    </xf>
    <xf numFmtId="0" fontId="29" fillId="0" borderId="0" xfId="0" applyFont="1" applyBorder="1" applyAlignment="1">
      <alignment vertical="center"/>
    </xf>
    <xf numFmtId="0" fontId="0" fillId="0" borderId="3" xfId="0" applyBorder="1"/>
    <xf numFmtId="0" fontId="26" fillId="2" borderId="3" xfId="0" applyFont="1" applyFill="1" applyBorder="1"/>
    <xf numFmtId="0" fontId="26" fillId="0" borderId="3" xfId="0" applyFont="1" applyBorder="1"/>
    <xf numFmtId="0" fontId="0" fillId="0" borderId="3" xfId="0" applyBorder="1" applyAlignment="1">
      <alignment horizontal="left" indent="2"/>
    </xf>
    <xf numFmtId="0" fontId="34" fillId="0" borderId="0" xfId="0" applyFont="1"/>
    <xf numFmtId="0" fontId="2" fillId="0" borderId="0" xfId="2" applyFont="1" applyFill="1" applyBorder="1" applyAlignment="1">
      <alignment horizontal="left"/>
    </xf>
    <xf numFmtId="43" fontId="9" fillId="0" borderId="0" xfId="0" applyNumberFormat="1" applyFont="1" applyBorder="1"/>
    <xf numFmtId="43" fontId="36" fillId="0" borderId="0" xfId="3" applyFont="1" applyBorder="1"/>
    <xf numFmtId="15" fontId="36" fillId="0" borderId="0" xfId="3" applyNumberFormat="1" applyFont="1" applyBorder="1" applyAlignment="1">
      <alignment horizontal="center"/>
    </xf>
    <xf numFmtId="0" fontId="0" fillId="0" borderId="0" xfId="0" applyBorder="1"/>
    <xf numFmtId="43" fontId="36" fillId="0" borderId="0" xfId="3" applyFont="1" applyFill="1" applyBorder="1"/>
    <xf numFmtId="0" fontId="9" fillId="0" borderId="0" xfId="0" applyFont="1" applyBorder="1"/>
    <xf numFmtId="0" fontId="9" fillId="0" borderId="0" xfId="0" applyFont="1"/>
    <xf numFmtId="43" fontId="38" fillId="0" borderId="0" xfId="3" applyFont="1" applyBorder="1"/>
    <xf numFmtId="0" fontId="38" fillId="0" borderId="0" xfId="0" applyFont="1" applyBorder="1"/>
    <xf numFmtId="0" fontId="3" fillId="0" borderId="0" xfId="2" applyFont="1" applyAlignment="1">
      <alignment vertical="top" wrapText="1"/>
    </xf>
    <xf numFmtId="43" fontId="18" fillId="0" borderId="0" xfId="8" applyFont="1" applyFill="1" applyBorder="1"/>
    <xf numFmtId="0" fontId="2" fillId="0" borderId="3" xfId="2" applyFont="1" applyFill="1" applyBorder="1" applyAlignment="1">
      <alignment horizontal="left" vertical="center"/>
    </xf>
    <xf numFmtId="0" fontId="3" fillId="0" borderId="3" xfId="2" applyFont="1" applyFill="1" applyBorder="1" applyAlignment="1">
      <alignment vertical="center"/>
    </xf>
    <xf numFmtId="4" fontId="5" fillId="0" borderId="3" xfId="2" applyNumberFormat="1" applyFont="1" applyFill="1" applyBorder="1" applyAlignment="1">
      <alignment horizontal="right" vertical="center"/>
    </xf>
    <xf numFmtId="0" fontId="3" fillId="0" borderId="3" xfId="2" applyFont="1" applyFill="1" applyBorder="1" applyAlignment="1">
      <alignment horizontal="left" vertical="center"/>
    </xf>
    <xf numFmtId="0" fontId="2" fillId="0" borderId="3" xfId="2" applyFont="1" applyFill="1" applyBorder="1" applyAlignment="1">
      <alignment vertical="center" wrapText="1"/>
    </xf>
    <xf numFmtId="4" fontId="6" fillId="0" borderId="3" xfId="2" applyNumberFormat="1" applyFont="1" applyFill="1" applyBorder="1" applyAlignment="1">
      <alignment horizontal="right" vertical="center"/>
    </xf>
    <xf numFmtId="4" fontId="6" fillId="0" borderId="3" xfId="3" applyNumberFormat="1" applyFont="1" applyFill="1" applyBorder="1" applyAlignment="1">
      <alignment horizontal="right" vertical="center" wrapText="1"/>
    </xf>
    <xf numFmtId="0" fontId="3" fillId="0" borderId="3" xfId="2" applyFont="1" applyFill="1" applyBorder="1" applyAlignment="1">
      <alignment vertical="center" wrapText="1"/>
    </xf>
    <xf numFmtId="43" fontId="13" fillId="0" borderId="0" xfId="3" applyFont="1" applyFill="1" applyBorder="1" applyAlignment="1">
      <alignment horizontal="left" vertical="center" wrapText="1"/>
    </xf>
    <xf numFmtId="0" fontId="2" fillId="0" borderId="0" xfId="2" applyBorder="1" applyAlignment="1">
      <alignment vertical="center"/>
    </xf>
    <xf numFmtId="4" fontId="6" fillId="0" borderId="3" xfId="2" applyNumberFormat="1" applyFont="1" applyBorder="1" applyAlignment="1">
      <alignment horizontal="right" vertical="center"/>
    </xf>
    <xf numFmtId="0" fontId="3" fillId="0" borderId="3" xfId="2" applyFont="1" applyFill="1" applyBorder="1" applyAlignment="1">
      <alignment horizontal="left" vertical="top"/>
    </xf>
    <xf numFmtId="0" fontId="2" fillId="0" borderId="3" xfId="2" applyFont="1" applyFill="1" applyBorder="1" applyAlignment="1">
      <alignment horizontal="left" vertical="top"/>
    </xf>
    <xf numFmtId="0" fontId="2" fillId="0" borderId="3" xfId="2" applyFont="1" applyFill="1" applyBorder="1" applyAlignment="1">
      <alignment horizontal="right" vertical="center"/>
    </xf>
    <xf numFmtId="0" fontId="2" fillId="0" borderId="3" xfId="2" applyBorder="1" applyAlignment="1">
      <alignment horizontal="right" vertical="center"/>
    </xf>
    <xf numFmtId="0" fontId="3" fillId="0" borderId="3" xfId="2" applyFont="1" applyFill="1" applyBorder="1" applyAlignment="1">
      <alignment vertical="top"/>
    </xf>
    <xf numFmtId="0" fontId="3" fillId="0" borderId="3" xfId="2" applyFont="1" applyFill="1" applyBorder="1" applyAlignment="1">
      <alignment horizontal="right" vertical="center"/>
    </xf>
    <xf numFmtId="0" fontId="2" fillId="0" borderId="3" xfId="2" applyFont="1" applyFill="1" applyBorder="1" applyAlignment="1">
      <alignment vertical="top"/>
    </xf>
    <xf numFmtId="0" fontId="2" fillId="0" borderId="3" xfId="2" applyFont="1" applyFill="1" applyBorder="1" applyAlignment="1">
      <alignment horizontal="justify" vertical="top"/>
    </xf>
    <xf numFmtId="0" fontId="3" fillId="0" borderId="6" xfId="2" applyFont="1" applyFill="1" applyBorder="1" applyAlignment="1">
      <alignment horizontal="left" vertical="top"/>
    </xf>
    <xf numFmtId="0" fontId="3" fillId="0" borderId="6" xfId="2" applyFont="1" applyFill="1" applyBorder="1" applyAlignment="1">
      <alignment vertical="top"/>
    </xf>
    <xf numFmtId="0" fontId="2" fillId="0" borderId="6" xfId="2" applyFont="1" applyFill="1" applyBorder="1" applyAlignment="1">
      <alignment horizontal="left" vertical="top"/>
    </xf>
    <xf numFmtId="43" fontId="2" fillId="0" borderId="0" xfId="2" applyNumberFormat="1" applyAlignment="1">
      <alignment vertical="center"/>
    </xf>
    <xf numFmtId="0" fontId="3" fillId="0" borderId="6" xfId="2" applyFont="1" applyFill="1" applyBorder="1" applyAlignment="1">
      <alignment horizontal="justify" vertical="top"/>
    </xf>
    <xf numFmtId="0" fontId="3" fillId="0" borderId="3" xfId="2" applyFont="1" applyFill="1" applyBorder="1" applyAlignment="1">
      <alignment horizontal="justify" vertical="top"/>
    </xf>
    <xf numFmtId="0" fontId="2" fillId="0" borderId="3" xfId="0" applyFont="1" applyBorder="1" applyAlignment="1" applyProtection="1">
      <alignment vertical="top"/>
      <protection locked="0"/>
    </xf>
    <xf numFmtId="43" fontId="14" fillId="0" borderId="0" xfId="2" applyNumberFormat="1" applyFont="1" applyAlignment="1">
      <alignment horizontal="left"/>
    </xf>
    <xf numFmtId="0" fontId="0" fillId="0" borderId="0" xfId="0" applyFont="1"/>
    <xf numFmtId="0" fontId="42" fillId="4" borderId="3" xfId="0" applyFont="1" applyFill="1" applyBorder="1" applyAlignment="1">
      <alignment horizontal="center" vertical="center"/>
    </xf>
    <xf numFmtId="0" fontId="43" fillId="0" borderId="4" xfId="0" applyFont="1" applyBorder="1" applyAlignment="1">
      <alignment vertical="center"/>
    </xf>
    <xf numFmtId="0" fontId="44" fillId="0" borderId="4" xfId="0" applyFont="1" applyBorder="1" applyAlignment="1">
      <alignment vertical="center" wrapText="1"/>
    </xf>
    <xf numFmtId="0" fontId="17" fillId="0" borderId="4" xfId="0" applyFont="1" applyBorder="1" applyAlignment="1">
      <alignment vertical="center" wrapText="1"/>
    </xf>
    <xf numFmtId="0" fontId="44" fillId="0" borderId="4" xfId="0" applyFont="1" applyBorder="1" applyAlignment="1">
      <alignment horizontal="justify" vertical="center" wrapText="1"/>
    </xf>
    <xf numFmtId="0" fontId="43" fillId="0" borderId="5" xfId="0" applyFont="1" applyBorder="1" applyAlignment="1">
      <alignment vertical="center"/>
    </xf>
    <xf numFmtId="0" fontId="45" fillId="0" borderId="5" xfId="0" applyFont="1" applyBorder="1" applyAlignment="1">
      <alignment horizontal="justify" vertical="center" wrapText="1"/>
    </xf>
    <xf numFmtId="0" fontId="46" fillId="0" borderId="5" xfId="0" applyFont="1" applyBorder="1" applyAlignment="1">
      <alignment vertical="center" wrapText="1"/>
    </xf>
    <xf numFmtId="0" fontId="17" fillId="0" borderId="5" xfId="0" applyFont="1" applyBorder="1" applyAlignment="1">
      <alignment vertical="center" wrapText="1"/>
    </xf>
    <xf numFmtId="0" fontId="46" fillId="0" borderId="5" xfId="0" applyFont="1" applyBorder="1" applyAlignment="1">
      <alignment horizontal="justify" vertical="center" wrapText="1"/>
    </xf>
    <xf numFmtId="0" fontId="43" fillId="0" borderId="6" xfId="0" applyFont="1" applyBorder="1" applyAlignment="1">
      <alignment vertical="center"/>
    </xf>
    <xf numFmtId="0" fontId="44" fillId="0" borderId="6" xfId="0" applyFont="1" applyBorder="1" applyAlignment="1">
      <alignment vertical="center" wrapText="1"/>
    </xf>
    <xf numFmtId="0" fontId="17" fillId="0" borderId="6" xfId="0" applyFont="1" applyBorder="1" applyAlignment="1">
      <alignment vertical="center" wrapText="1"/>
    </xf>
    <xf numFmtId="0" fontId="44" fillId="0" borderId="6" xfId="0" applyFont="1" applyBorder="1" applyAlignment="1">
      <alignment horizontal="justify" vertical="center" wrapText="1"/>
    </xf>
    <xf numFmtId="0" fontId="43" fillId="0" borderId="0" xfId="0" applyFont="1" applyBorder="1" applyAlignment="1">
      <alignment vertical="center"/>
    </xf>
    <xf numFmtId="0" fontId="43" fillId="0" borderId="49" xfId="0" applyFont="1" applyBorder="1" applyAlignment="1">
      <alignment vertical="center"/>
    </xf>
    <xf numFmtId="0" fontId="43" fillId="0" borderId="50" xfId="0" applyFont="1" applyBorder="1" applyAlignment="1">
      <alignment vertical="center"/>
    </xf>
    <xf numFmtId="0" fontId="43" fillId="0" borderId="1" xfId="0" applyFont="1" applyBorder="1" applyAlignment="1">
      <alignment vertical="center"/>
    </xf>
    <xf numFmtId="0" fontId="43" fillId="0" borderId="51" xfId="0" applyFont="1" applyBorder="1" applyAlignment="1">
      <alignment vertical="center"/>
    </xf>
    <xf numFmtId="0" fontId="47" fillId="0" borderId="5" xfId="0" applyFont="1" applyBorder="1" applyAlignment="1">
      <alignment vertical="center"/>
    </xf>
    <xf numFmtId="0" fontId="47" fillId="0" borderId="5" xfId="0" applyFont="1" applyBorder="1" applyAlignment="1">
      <alignment vertical="center" wrapText="1"/>
    </xf>
    <xf numFmtId="10" fontId="39" fillId="0" borderId="5" xfId="0" applyNumberFormat="1" applyFont="1" applyBorder="1" applyAlignment="1">
      <alignment horizontal="center" vertical="center" wrapText="1"/>
    </xf>
    <xf numFmtId="43" fontId="47" fillId="0" borderId="5" xfId="0" applyNumberFormat="1" applyFont="1" applyBorder="1" applyAlignment="1">
      <alignment horizontal="justify" vertical="center" wrapText="1"/>
    </xf>
    <xf numFmtId="0" fontId="47" fillId="0" borderId="5" xfId="0" applyFont="1" applyBorder="1" applyAlignment="1">
      <alignment horizontal="center" vertical="center" wrapText="1"/>
    </xf>
    <xf numFmtId="0" fontId="39" fillId="0" borderId="5" xfId="0" applyFont="1" applyBorder="1" applyAlignment="1">
      <alignment vertical="center" wrapText="1"/>
    </xf>
    <xf numFmtId="0" fontId="48" fillId="4" borderId="3" xfId="0" applyFont="1" applyFill="1" applyBorder="1" applyAlignment="1">
      <alignment horizontal="center" vertical="center" wrapText="1"/>
    </xf>
    <xf numFmtId="0" fontId="47" fillId="0" borderId="4" xfId="0" applyFont="1" applyBorder="1" applyAlignment="1">
      <alignment vertical="center"/>
    </xf>
    <xf numFmtId="0" fontId="50" fillId="0" borderId="4" xfId="0" applyFont="1" applyBorder="1" applyAlignment="1">
      <alignment vertical="center" wrapText="1"/>
    </xf>
    <xf numFmtId="0" fontId="39" fillId="0" borderId="4" xfId="0" applyFont="1" applyBorder="1" applyAlignment="1">
      <alignment vertical="center" wrapText="1"/>
    </xf>
    <xf numFmtId="0" fontId="50" fillId="0" borderId="4" xfId="0" applyFont="1" applyBorder="1" applyAlignment="1">
      <alignment horizontal="justify" vertical="center" wrapText="1"/>
    </xf>
    <xf numFmtId="0" fontId="48" fillId="0" borderId="5" xfId="0" applyFont="1" applyBorder="1" applyAlignment="1">
      <alignment vertical="center" wrapText="1"/>
    </xf>
    <xf numFmtId="0" fontId="48" fillId="0" borderId="5" xfId="0" applyFont="1" applyBorder="1" applyAlignment="1">
      <alignment horizontal="justify" vertical="center" wrapText="1"/>
    </xf>
    <xf numFmtId="0" fontId="47" fillId="0" borderId="6" xfId="0" applyFont="1" applyBorder="1" applyAlignment="1">
      <alignment vertical="center"/>
    </xf>
    <xf numFmtId="0" fontId="50" fillId="0" borderId="6" xfId="0" applyFont="1" applyBorder="1" applyAlignment="1">
      <alignment vertical="center" wrapText="1"/>
    </xf>
    <xf numFmtId="0" fontId="39" fillId="0" borderId="6" xfId="0" applyFont="1" applyBorder="1" applyAlignment="1">
      <alignment vertical="center" wrapText="1"/>
    </xf>
    <xf numFmtId="0" fontId="50" fillId="0" borderId="6" xfId="0" applyFont="1" applyBorder="1" applyAlignment="1">
      <alignment horizontal="justify" vertical="center" wrapText="1"/>
    </xf>
    <xf numFmtId="0" fontId="47" fillId="0" borderId="0" xfId="0" applyFont="1" applyBorder="1" applyAlignment="1">
      <alignment vertical="center"/>
    </xf>
    <xf numFmtId="0" fontId="47" fillId="0" borderId="49" xfId="0" applyFont="1" applyBorder="1" applyAlignment="1">
      <alignment vertical="center"/>
    </xf>
    <xf numFmtId="0" fontId="47" fillId="0" borderId="50" xfId="0" applyFont="1" applyBorder="1" applyAlignment="1">
      <alignment vertical="center"/>
    </xf>
    <xf numFmtId="0" fontId="47" fillId="0" borderId="1" xfId="0" applyFont="1" applyBorder="1" applyAlignment="1">
      <alignment vertical="center"/>
    </xf>
    <xf numFmtId="0" fontId="47" fillId="0" borderId="51" xfId="0" applyFont="1" applyBorder="1" applyAlignment="1">
      <alignment vertical="center"/>
    </xf>
    <xf numFmtId="43" fontId="47" fillId="0" borderId="5" xfId="0" applyNumberFormat="1" applyFont="1" applyBorder="1" applyAlignment="1">
      <alignment vertical="center" wrapText="1"/>
    </xf>
    <xf numFmtId="0" fontId="24" fillId="0" borderId="0" xfId="19" applyFont="1" applyAlignment="1">
      <alignment horizontal="center"/>
    </xf>
    <xf numFmtId="167" fontId="24" fillId="0" borderId="0" xfId="19" applyNumberFormat="1" applyFont="1" applyAlignment="1">
      <alignment horizontal="center"/>
    </xf>
    <xf numFmtId="0" fontId="54" fillId="0" borderId="0" xfId="19" applyFont="1"/>
    <xf numFmtId="167" fontId="53" fillId="0" borderId="83" xfId="19" applyNumberFormat="1" applyFont="1" applyBorder="1" applyAlignment="1">
      <alignment horizontal="center" vertical="center"/>
    </xf>
    <xf numFmtId="0" fontId="53" fillId="0" borderId="84" xfId="19" applyFont="1" applyBorder="1" applyAlignment="1">
      <alignment horizontal="center" vertical="center"/>
    </xf>
    <xf numFmtId="167" fontId="55" fillId="0" borderId="86" xfId="19" applyNumberFormat="1" applyFont="1" applyBorder="1" applyAlignment="1">
      <alignment horizontal="center" vertical="center" wrapText="1"/>
    </xf>
    <xf numFmtId="0" fontId="55" fillId="0" borderId="87" xfId="19" applyFont="1" applyBorder="1" applyAlignment="1">
      <alignment horizontal="center" vertical="center" wrapText="1"/>
    </xf>
    <xf numFmtId="0" fontId="55" fillId="0" borderId="78" xfId="19" applyFont="1" applyBorder="1" applyAlignment="1">
      <alignment horizontal="center" vertical="center" wrapText="1"/>
    </xf>
    <xf numFmtId="0" fontId="55" fillId="0" borderId="79" xfId="19" applyFont="1" applyBorder="1" applyAlignment="1">
      <alignment horizontal="left" vertical="center" wrapText="1"/>
    </xf>
    <xf numFmtId="0" fontId="40" fillId="0" borderId="78" xfId="19" applyFont="1" applyBorder="1" applyAlignment="1">
      <alignment horizontal="left" vertical="center" wrapText="1"/>
    </xf>
    <xf numFmtId="43" fontId="55" fillId="0" borderId="79" xfId="11" applyFont="1" applyBorder="1" applyAlignment="1">
      <alignment vertical="center"/>
    </xf>
    <xf numFmtId="0" fontId="55" fillId="0" borderId="78" xfId="11" applyNumberFormat="1" applyFont="1" applyBorder="1" applyAlignment="1">
      <alignment horizontal="center" vertical="center"/>
    </xf>
    <xf numFmtId="43" fontId="55" fillId="0" borderId="78" xfId="11" applyFont="1" applyBorder="1" applyAlignment="1">
      <alignment vertical="center"/>
    </xf>
    <xf numFmtId="43" fontId="55" fillId="0" borderId="88" xfId="11" applyFont="1" applyBorder="1" applyAlignment="1">
      <alignment vertical="center"/>
    </xf>
    <xf numFmtId="0" fontId="11" fillId="0" borderId="0" xfId="19" applyFont="1"/>
    <xf numFmtId="167" fontId="55" fillId="0" borderId="90" xfId="19" applyNumberFormat="1" applyFont="1" applyBorder="1" applyAlignment="1">
      <alignment horizontal="center" vertical="center" wrapText="1"/>
    </xf>
    <xf numFmtId="0" fontId="55" fillId="0" borderId="91" xfId="19" applyFont="1" applyBorder="1" applyAlignment="1">
      <alignment horizontal="center" vertical="center" wrapText="1"/>
    </xf>
    <xf numFmtId="0" fontId="55" fillId="0" borderId="92" xfId="19" applyFont="1" applyBorder="1" applyAlignment="1">
      <alignment horizontal="center" vertical="center" wrapText="1"/>
    </xf>
    <xf numFmtId="0" fontId="55" fillId="0" borderId="93" xfId="19" applyFont="1" applyBorder="1" applyAlignment="1">
      <alignment horizontal="left" vertical="center" wrapText="1"/>
    </xf>
    <xf numFmtId="0" fontId="40" fillId="0" borderId="92" xfId="19" applyFont="1" applyBorder="1" applyAlignment="1">
      <alignment horizontal="left" vertical="center" wrapText="1"/>
    </xf>
    <xf numFmtId="43" fontId="55" fillId="0" borderId="93" xfId="11" applyFont="1" applyBorder="1" applyAlignment="1">
      <alignment vertical="center"/>
    </xf>
    <xf numFmtId="0" fontId="55" fillId="0" borderId="92" xfId="11" applyNumberFormat="1" applyFont="1" applyBorder="1" applyAlignment="1">
      <alignment horizontal="center" vertical="center"/>
    </xf>
    <xf numFmtId="43" fontId="55" fillId="0" borderId="92" xfId="11" applyFont="1" applyBorder="1" applyAlignment="1">
      <alignment vertical="center"/>
    </xf>
    <xf numFmtId="43" fontId="55" fillId="0" borderId="94" xfId="11" applyFont="1" applyBorder="1" applyAlignment="1">
      <alignment vertical="center"/>
    </xf>
    <xf numFmtId="0" fontId="55" fillId="0" borderId="0" xfId="19" applyFont="1" applyBorder="1" applyAlignment="1">
      <alignment horizontal="center" vertical="center" wrapText="1"/>
    </xf>
    <xf numFmtId="167" fontId="55" fillId="0" borderId="0" xfId="19" applyNumberFormat="1" applyFont="1" applyBorder="1" applyAlignment="1">
      <alignment horizontal="center" vertical="center" wrapText="1"/>
    </xf>
    <xf numFmtId="0" fontId="55" fillId="0" borderId="0" xfId="19" applyFont="1" applyBorder="1" applyAlignment="1">
      <alignment horizontal="left" vertical="center" wrapText="1"/>
    </xf>
    <xf numFmtId="0" fontId="40" fillId="0" borderId="0" xfId="19" applyFont="1" applyBorder="1" applyAlignment="1">
      <alignment horizontal="left" vertical="center" wrapText="1"/>
    </xf>
    <xf numFmtId="43" fontId="55" fillId="0" borderId="0" xfId="11" applyFont="1" applyBorder="1" applyAlignment="1">
      <alignment vertical="center"/>
    </xf>
    <xf numFmtId="0" fontId="55" fillId="0" borderId="0" xfId="11" applyNumberFormat="1" applyFont="1" applyBorder="1" applyAlignment="1">
      <alignment horizontal="center" vertical="center"/>
    </xf>
    <xf numFmtId="0" fontId="20" fillId="0" borderId="0" xfId="19" applyFont="1" applyAlignment="1">
      <alignment horizontal="center"/>
    </xf>
    <xf numFmtId="167" fontId="20" fillId="0" borderId="0" xfId="19" applyNumberFormat="1" applyFont="1" applyAlignment="1">
      <alignment horizontal="center"/>
    </xf>
    <xf numFmtId="43" fontId="24" fillId="0" borderId="0" xfId="19" applyNumberFormat="1" applyFont="1"/>
    <xf numFmtId="43" fontId="0" fillId="0" borderId="0" xfId="0" applyNumberFormat="1"/>
    <xf numFmtId="0" fontId="39" fillId="0" borderId="0" xfId="19" applyFont="1"/>
    <xf numFmtId="43" fontId="39" fillId="0" borderId="0" xfId="19" applyNumberFormat="1" applyFont="1"/>
    <xf numFmtId="0" fontId="49" fillId="2" borderId="3" xfId="0" applyFont="1" applyFill="1" applyBorder="1" applyAlignment="1">
      <alignment horizontal="center"/>
    </xf>
    <xf numFmtId="0" fontId="49" fillId="2" borderId="3" xfId="0" applyFont="1" applyFill="1" applyBorder="1" applyAlignment="1">
      <alignment horizontal="center" wrapText="1"/>
    </xf>
    <xf numFmtId="43" fontId="49" fillId="2" borderId="3" xfId="0" applyNumberFormat="1" applyFont="1" applyFill="1" applyBorder="1" applyAlignment="1">
      <alignment horizontal="center"/>
    </xf>
    <xf numFmtId="0" fontId="49" fillId="0" borderId="3" xfId="0" applyFont="1" applyBorder="1" applyAlignment="1">
      <alignment horizontal="left" vertical="center"/>
    </xf>
    <xf numFmtId="0" fontId="39" fillId="0" borderId="3" xfId="0" applyFont="1" applyBorder="1" applyAlignment="1">
      <alignment vertical="center" wrapText="1"/>
    </xf>
    <xf numFmtId="43" fontId="39" fillId="0" borderId="3" xfId="0" applyNumberFormat="1" applyFont="1" applyBorder="1" applyAlignment="1">
      <alignment vertical="center"/>
    </xf>
    <xf numFmtId="0" fontId="39" fillId="0" borderId="3" xfId="0" applyFont="1" applyBorder="1" applyAlignment="1">
      <alignment horizontal="left" vertical="center" indent="2"/>
    </xf>
    <xf numFmtId="0" fontId="49" fillId="0" borderId="3" xfId="0" applyFont="1" applyBorder="1" applyAlignment="1">
      <alignment horizontal="center" vertical="center" wrapText="1"/>
    </xf>
    <xf numFmtId="43" fontId="49" fillId="0" borderId="3" xfId="0" applyNumberFormat="1" applyFont="1" applyBorder="1" applyAlignment="1">
      <alignment horizontal="center" vertical="center"/>
    </xf>
    <xf numFmtId="0" fontId="39" fillId="0" borderId="0" xfId="0" applyFont="1" applyAlignment="1">
      <alignment horizontal="left"/>
    </xf>
    <xf numFmtId="0" fontId="39" fillId="0" borderId="0" xfId="0" applyFont="1" applyAlignment="1">
      <alignment wrapText="1"/>
    </xf>
    <xf numFmtId="43" fontId="39" fillId="0" borderId="0" xfId="0" applyNumberFormat="1" applyFont="1"/>
    <xf numFmtId="0" fontId="49" fillId="0" borderId="3" xfId="0" applyFont="1" applyBorder="1" applyAlignment="1">
      <alignment vertical="center" wrapText="1"/>
    </xf>
    <xf numFmtId="43" fontId="49" fillId="0" borderId="3" xfId="0" applyNumberFormat="1" applyFont="1" applyBorder="1" applyAlignment="1">
      <alignment vertical="center"/>
    </xf>
    <xf numFmtId="43" fontId="0" fillId="2" borderId="3" xfId="0" applyNumberFormat="1" applyFill="1" applyBorder="1"/>
    <xf numFmtId="43" fontId="0" fillId="0" borderId="3" xfId="0" applyNumberFormat="1" applyBorder="1"/>
    <xf numFmtId="168" fontId="0" fillId="2" borderId="3" xfId="0" applyNumberFormat="1" applyFill="1" applyBorder="1"/>
    <xf numFmtId="41" fontId="24" fillId="0" borderId="0" xfId="19" applyNumberFormat="1" applyFont="1"/>
    <xf numFmtId="41" fontId="0" fillId="0" borderId="0" xfId="0" applyNumberFormat="1"/>
    <xf numFmtId="41" fontId="0" fillId="2" borderId="36" xfId="0" applyNumberFormat="1" applyFill="1" applyBorder="1"/>
    <xf numFmtId="41" fontId="0" fillId="2" borderId="37" xfId="0" applyNumberFormat="1" applyFill="1" applyBorder="1"/>
    <xf numFmtId="41" fontId="0" fillId="0" borderId="39" xfId="0" applyNumberFormat="1" applyBorder="1"/>
    <xf numFmtId="41" fontId="0" fillId="0" borderId="40" xfId="0" applyNumberFormat="1" applyBorder="1"/>
    <xf numFmtId="41" fontId="0" fillId="2" borderId="40" xfId="0" applyNumberFormat="1" applyFill="1" applyBorder="1"/>
    <xf numFmtId="41" fontId="0" fillId="0" borderId="45" xfId="0" applyNumberFormat="1" applyBorder="1"/>
    <xf numFmtId="41" fontId="0" fillId="0" borderId="46" xfId="0" applyNumberFormat="1" applyBorder="1"/>
    <xf numFmtId="41" fontId="0" fillId="2" borderId="42" xfId="0" applyNumberFormat="1" applyFill="1" applyBorder="1"/>
    <xf numFmtId="41" fontId="0" fillId="2" borderId="43" xfId="0" applyNumberFormat="1" applyFill="1" applyBorder="1"/>
    <xf numFmtId="43" fontId="2" fillId="0" borderId="0" xfId="2" applyNumberFormat="1"/>
    <xf numFmtId="0" fontId="15" fillId="5" borderId="3" xfId="0" applyFont="1" applyFill="1" applyBorder="1" applyAlignment="1">
      <alignment horizontal="center" vertical="center" wrapText="1"/>
    </xf>
    <xf numFmtId="0" fontId="0" fillId="0" borderId="0" xfId="0" applyAlignment="1">
      <alignment horizontal="center" vertical="center" wrapText="1"/>
    </xf>
    <xf numFmtId="0" fontId="20" fillId="0" borderId="0" xfId="19" applyFont="1" applyAlignment="1">
      <alignment horizontal="left"/>
    </xf>
    <xf numFmtId="0" fontId="39" fillId="0" borderId="3" xfId="0" applyFont="1" applyFill="1" applyBorder="1" applyAlignment="1">
      <alignment horizontal="center" vertical="center" wrapText="1"/>
    </xf>
    <xf numFmtId="0" fontId="47" fillId="0" borderId="3" xfId="0" applyFont="1" applyBorder="1" applyAlignment="1">
      <alignment horizontal="center" vertical="center" wrapText="1"/>
    </xf>
    <xf numFmtId="0" fontId="39" fillId="0" borderId="3" xfId="0" applyFont="1" applyFill="1" applyBorder="1" applyAlignment="1">
      <alignment horizontal="left" vertical="center" wrapText="1"/>
    </xf>
    <xf numFmtId="43" fontId="39" fillId="0" borderId="3" xfId="1" applyFont="1" applyFill="1" applyBorder="1" applyAlignment="1">
      <alignment horizontal="center" vertical="center" wrapText="1"/>
    </xf>
    <xf numFmtId="0" fontId="52" fillId="0" borderId="3" xfId="2" applyFont="1" applyFill="1" applyBorder="1" applyAlignment="1">
      <alignment horizontal="center" vertical="center" wrapText="1"/>
    </xf>
    <xf numFmtId="0" fontId="48" fillId="0" borderId="3" xfId="0" applyFont="1" applyBorder="1" applyAlignment="1">
      <alignment horizontal="center" vertical="center" wrapText="1"/>
    </xf>
    <xf numFmtId="43" fontId="48" fillId="0" borderId="3" xfId="0" applyNumberFormat="1" applyFont="1" applyBorder="1" applyAlignment="1">
      <alignment horizontal="center" vertical="center" wrapText="1"/>
    </xf>
    <xf numFmtId="0" fontId="57" fillId="0" borderId="6" xfId="17" applyFont="1" applyBorder="1" applyAlignment="1">
      <alignment horizontal="left" vertical="center"/>
    </xf>
    <xf numFmtId="0" fontId="56" fillId="0" borderId="6" xfId="17" applyFont="1" applyBorder="1" applyAlignment="1">
      <alignment vertical="center"/>
    </xf>
    <xf numFmtId="43" fontId="58" fillId="0" borderId="6" xfId="3" applyNumberFormat="1" applyFont="1" applyBorder="1"/>
    <xf numFmtId="0" fontId="52" fillId="0" borderId="6" xfId="17" applyFont="1" applyBorder="1" applyAlignment="1">
      <alignment horizontal="left" vertical="center" indent="1"/>
    </xf>
    <xf numFmtId="0" fontId="51" fillId="0" borderId="6" xfId="17" applyFont="1" applyBorder="1" applyAlignment="1">
      <alignment horizontal="left" vertical="center" indent="1"/>
    </xf>
    <xf numFmtId="43" fontId="59" fillId="0" borderId="6" xfId="3" applyNumberFormat="1" applyFont="1" applyBorder="1"/>
    <xf numFmtId="0" fontId="57" fillId="0" borderId="3" xfId="17" applyFont="1" applyBorder="1" applyAlignment="1">
      <alignment horizontal="left" vertical="center"/>
    </xf>
    <xf numFmtId="0" fontId="56" fillId="0" borderId="3" xfId="17" applyFont="1" applyBorder="1" applyAlignment="1">
      <alignment horizontal="left" vertical="center"/>
    </xf>
    <xf numFmtId="43" fontId="58" fillId="0" borderId="3" xfId="3" applyNumberFormat="1" applyFont="1" applyBorder="1"/>
    <xf numFmtId="43" fontId="59" fillId="0" borderId="3" xfId="3" applyNumberFormat="1" applyFont="1" applyBorder="1"/>
    <xf numFmtId="0" fontId="2" fillId="0" borderId="10" xfId="2" applyBorder="1"/>
    <xf numFmtId="0" fontId="2" fillId="0" borderId="22" xfId="2" applyBorder="1"/>
    <xf numFmtId="0" fontId="16" fillId="0" borderId="16" xfId="2" applyFont="1" applyBorder="1" applyAlignment="1">
      <alignment wrapText="1"/>
    </xf>
    <xf numFmtId="0" fontId="16" fillId="0" borderId="0" xfId="2" applyFont="1" applyBorder="1" applyAlignment="1">
      <alignment wrapText="1"/>
    </xf>
    <xf numFmtId="0" fontId="5" fillId="0" borderId="0" xfId="2" applyFont="1" applyAlignment="1">
      <alignment vertical="center"/>
    </xf>
    <xf numFmtId="0" fontId="13" fillId="0" borderId="3" xfId="2" applyFont="1" applyBorder="1" applyAlignment="1">
      <alignment horizontal="center" vertical="center" wrapText="1"/>
    </xf>
    <xf numFmtId="0" fontId="3" fillId="0" borderId="3" xfId="2" applyFont="1" applyBorder="1" applyAlignment="1">
      <alignment horizontal="left" vertical="top" wrapText="1"/>
    </xf>
    <xf numFmtId="43" fontId="14" fillId="0" borderId="3" xfId="3" applyFont="1" applyBorder="1" applyAlignment="1">
      <alignment horizontal="left" vertical="top" wrapText="1"/>
    </xf>
    <xf numFmtId="43" fontId="14" fillId="0" borderId="3" xfId="3" applyFont="1" applyBorder="1" applyAlignment="1">
      <alignment horizontal="left"/>
    </xf>
    <xf numFmtId="0" fontId="2" fillId="0" borderId="3" xfId="2" applyFont="1" applyBorder="1" applyAlignment="1">
      <alignment horizontal="left" vertical="top" wrapText="1"/>
    </xf>
    <xf numFmtId="0" fontId="2" fillId="8" borderId="3" xfId="2" applyFont="1" applyFill="1" applyBorder="1" applyAlignment="1">
      <alignment horizontal="left" vertical="top" wrapText="1"/>
    </xf>
    <xf numFmtId="0" fontId="14" fillId="0" borderId="3" xfId="23" applyNumberFormat="1" applyFont="1" applyBorder="1" applyAlignment="1">
      <alignment horizontal="center"/>
    </xf>
    <xf numFmtId="0" fontId="2" fillId="2" borderId="3" xfId="2" applyFont="1" applyFill="1" applyBorder="1" applyAlignment="1">
      <alignment horizontal="left" vertical="top" wrapText="1"/>
    </xf>
    <xf numFmtId="43" fontId="13" fillId="0" borderId="3" xfId="3" applyFont="1" applyBorder="1" applyAlignment="1">
      <alignment horizontal="left" vertical="top" wrapText="1"/>
    </xf>
    <xf numFmtId="43" fontId="14" fillId="0" borderId="3" xfId="3" applyFont="1" applyFill="1" applyBorder="1" applyAlignment="1">
      <alignment horizontal="left" vertical="top" wrapText="1"/>
    </xf>
    <xf numFmtId="43" fontId="14" fillId="0" borderId="3" xfId="3" applyFont="1" applyFill="1" applyBorder="1" applyAlignment="1">
      <alignment horizontal="left"/>
    </xf>
    <xf numFmtId="43" fontId="13" fillId="0" borderId="3" xfId="3" applyFont="1" applyFill="1" applyBorder="1" applyAlignment="1">
      <alignment horizontal="left" vertical="top" wrapText="1"/>
    </xf>
    <xf numFmtId="0" fontId="2" fillId="0" borderId="3" xfId="2" applyFont="1" applyBorder="1" applyAlignment="1">
      <alignment horizontal="left" vertical="center" wrapText="1"/>
    </xf>
    <xf numFmtId="0" fontId="3" fillId="2" borderId="3" xfId="2" applyFont="1" applyFill="1" applyBorder="1" applyAlignment="1">
      <alignment horizontal="center" vertical="top" wrapText="1"/>
    </xf>
    <xf numFmtId="0" fontId="13" fillId="0" borderId="0" xfId="2" applyFont="1" applyAlignment="1">
      <alignment horizontal="left"/>
    </xf>
    <xf numFmtId="43" fontId="13" fillId="0" borderId="3" xfId="3" applyFont="1" applyFill="1" applyBorder="1" applyAlignment="1">
      <alignment horizontal="center" vertical="top" wrapText="1"/>
    </xf>
    <xf numFmtId="10" fontId="13" fillId="0" borderId="3" xfId="23" applyNumberFormat="1" applyFont="1" applyFill="1" applyBorder="1" applyAlignment="1">
      <alignment horizontal="right" vertical="top" wrapText="1"/>
    </xf>
    <xf numFmtId="43" fontId="14" fillId="0" borderId="3" xfId="3" applyFont="1" applyFill="1" applyBorder="1" applyAlignment="1">
      <alignment horizontal="center" vertical="top" wrapText="1"/>
    </xf>
    <xf numFmtId="10" fontId="14" fillId="0" borderId="3" xfId="23" applyNumberFormat="1" applyFont="1" applyFill="1" applyBorder="1" applyAlignment="1"/>
    <xf numFmtId="43" fontId="13" fillId="0" borderId="0" xfId="2" applyNumberFormat="1" applyFont="1" applyAlignment="1">
      <alignment horizontal="left"/>
    </xf>
    <xf numFmtId="0" fontId="3" fillId="0" borderId="3" xfId="2" applyFont="1" applyFill="1" applyBorder="1" applyAlignment="1">
      <alignment horizontal="center" vertical="top" wrapText="1"/>
    </xf>
    <xf numFmtId="43" fontId="13" fillId="0" borderId="3" xfId="3" applyFont="1" applyFill="1" applyBorder="1" applyAlignment="1">
      <alignment horizontal="left"/>
    </xf>
    <xf numFmtId="0" fontId="13" fillId="0" borderId="0" xfId="2" applyFont="1" applyFill="1" applyAlignment="1">
      <alignment horizontal="left"/>
    </xf>
    <xf numFmtId="169" fontId="13" fillId="0" borderId="0" xfId="2" applyNumberFormat="1" applyFont="1" applyFill="1" applyAlignment="1">
      <alignment horizontal="left"/>
    </xf>
    <xf numFmtId="43" fontId="13" fillId="0" borderId="0" xfId="2" applyNumberFormat="1" applyFont="1" applyFill="1" applyAlignment="1">
      <alignment horizontal="left"/>
    </xf>
    <xf numFmtId="0" fontId="13" fillId="0" borderId="3" xfId="23" applyNumberFormat="1" applyFont="1" applyFill="1" applyBorder="1" applyAlignment="1">
      <alignment horizontal="center" vertical="top" wrapText="1"/>
    </xf>
    <xf numFmtId="0" fontId="3" fillId="2" borderId="3" xfId="2" applyFont="1" applyFill="1" applyBorder="1" applyAlignment="1">
      <alignment horizontal="center" wrapText="1"/>
    </xf>
    <xf numFmtId="43" fontId="13" fillId="0" borderId="3" xfId="3" applyFont="1" applyFill="1" applyBorder="1" applyAlignment="1">
      <alignment horizontal="left" wrapText="1"/>
    </xf>
    <xf numFmtId="0" fontId="24" fillId="0" borderId="0" xfId="0" applyFont="1" applyAlignment="1">
      <alignment horizontal="left" vertical="center" indent="4" readingOrder="1"/>
    </xf>
    <xf numFmtId="0" fontId="2" fillId="0" borderId="0" xfId="2" applyFont="1" applyFill="1" applyBorder="1" applyAlignment="1">
      <alignment horizontal="center"/>
    </xf>
    <xf numFmtId="0" fontId="9" fillId="0" borderId="0" xfId="0" applyNumberFormat="1" applyFont="1" applyBorder="1"/>
    <xf numFmtId="44" fontId="9" fillId="0" borderId="0" xfId="177" applyFont="1" applyBorder="1"/>
    <xf numFmtId="0" fontId="10" fillId="0" borderId="0" xfId="19" applyFont="1" applyAlignment="1">
      <alignment horizontal="center"/>
    </xf>
    <xf numFmtId="0" fontId="10" fillId="0" borderId="0" xfId="19" applyFont="1" applyAlignment="1">
      <alignment horizontal="center"/>
    </xf>
    <xf numFmtId="0" fontId="20" fillId="0" borderId="0" xfId="0" applyFont="1" applyAlignment="1">
      <alignment horizontal="center"/>
    </xf>
    <xf numFmtId="0" fontId="22" fillId="0" borderId="0" xfId="0" applyFont="1" applyAlignment="1">
      <alignment horizontal="center"/>
    </xf>
    <xf numFmtId="0" fontId="39" fillId="0" borderId="3" xfId="0" applyFont="1" applyFill="1" applyBorder="1" applyAlignment="1">
      <alignment vertical="center" wrapText="1"/>
    </xf>
    <xf numFmtId="43" fontId="39" fillId="0" borderId="3" xfId="0" applyNumberFormat="1" applyFont="1" applyBorder="1" applyAlignment="1">
      <alignment vertical="center" wrapText="1"/>
    </xf>
    <xf numFmtId="0" fontId="39" fillId="0" borderId="3" xfId="0" applyFont="1" applyBorder="1" applyAlignment="1">
      <alignment horizontal="center" vertical="center" wrapText="1"/>
    </xf>
    <xf numFmtId="43" fontId="60" fillId="0" borderId="3" xfId="0" applyNumberFormat="1" applyFont="1" applyBorder="1"/>
    <xf numFmtId="0" fontId="39" fillId="0" borderId="3" xfId="0" applyFont="1" applyBorder="1" applyAlignment="1">
      <alignment horizontal="left" vertical="center"/>
    </xf>
    <xf numFmtId="9" fontId="27" fillId="0" borderId="3" xfId="0" applyNumberFormat="1" applyFont="1" applyBorder="1" applyAlignment="1">
      <alignment vertical="center"/>
    </xf>
    <xf numFmtId="0" fontId="27" fillId="0" borderId="0" xfId="0" applyFont="1" applyBorder="1" applyAlignment="1">
      <alignment vertical="center"/>
    </xf>
    <xf numFmtId="9" fontId="27" fillId="0" borderId="0" xfId="0" applyNumberFormat="1" applyFont="1" applyBorder="1" applyAlignment="1">
      <alignment vertical="center"/>
    </xf>
    <xf numFmtId="0" fontId="39" fillId="0" borderId="3" xfId="0" applyFont="1" applyFill="1" applyBorder="1" applyAlignment="1">
      <alignment horizontal="center"/>
    </xf>
    <xf numFmtId="0" fontId="39" fillId="0" borderId="3" xfId="0" applyFont="1" applyFill="1" applyBorder="1"/>
    <xf numFmtId="0" fontId="47" fillId="0" borderId="5" xfId="0" applyFont="1" applyBorder="1" applyAlignment="1">
      <alignment horizontal="center" vertical="center"/>
    </xf>
    <xf numFmtId="9" fontId="39" fillId="0" borderId="5" xfId="0" applyNumberFormat="1" applyFont="1" applyBorder="1" applyAlignment="1">
      <alignment horizontal="center" vertical="center" wrapText="1"/>
    </xf>
    <xf numFmtId="43" fontId="32" fillId="0" borderId="3" xfId="0" applyNumberFormat="1" applyFont="1" applyBorder="1" applyAlignment="1">
      <alignment horizontal="right"/>
    </xf>
    <xf numFmtId="43" fontId="61" fillId="0" borderId="3" xfId="0" applyNumberFormat="1" applyFont="1" applyBorder="1" applyAlignment="1">
      <alignment horizontal="right"/>
    </xf>
    <xf numFmtId="43" fontId="61" fillId="0" borderId="99" xfId="0" applyNumberFormat="1" applyFont="1" applyBorder="1" applyAlignment="1">
      <alignment horizontal="right"/>
    </xf>
    <xf numFmtId="0" fontId="49" fillId="2" borderId="3" xfId="0" applyFont="1" applyFill="1" applyBorder="1" applyAlignment="1">
      <alignment horizontal="center" vertical="center" wrapText="1"/>
    </xf>
    <xf numFmtId="0" fontId="49" fillId="2" borderId="4" xfId="0" applyFont="1" applyFill="1" applyBorder="1" applyAlignment="1">
      <alignment horizontal="center" vertical="center" wrapText="1"/>
    </xf>
    <xf numFmtId="0" fontId="2" fillId="0" borderId="11" xfId="2" applyBorder="1" applyAlignment="1">
      <alignment horizontal="center"/>
    </xf>
    <xf numFmtId="0" fontId="16" fillId="0" borderId="17" xfId="2" applyFont="1" applyBorder="1" applyAlignment="1">
      <alignment horizontal="center" wrapText="1"/>
    </xf>
    <xf numFmtId="0" fontId="41" fillId="0" borderId="0" xfId="0" applyFont="1" applyFill="1" applyBorder="1" applyAlignment="1">
      <alignment horizontal="center" vertical="center" wrapText="1"/>
    </xf>
    <xf numFmtId="0" fontId="49" fillId="0" borderId="0" xfId="19" applyFont="1" applyAlignment="1">
      <alignment horizontal="center"/>
    </xf>
    <xf numFmtId="43" fontId="51" fillId="0" borderId="0" xfId="3" applyFont="1" applyFill="1" applyBorder="1"/>
    <xf numFmtId="0" fontId="56" fillId="0" borderId="0" xfId="2" applyFont="1"/>
    <xf numFmtId="0" fontId="56" fillId="0" borderId="0" xfId="2" applyFont="1" applyFill="1"/>
    <xf numFmtId="0" fontId="56" fillId="0" borderId="0" xfId="2" applyFont="1" applyFill="1" applyAlignment="1">
      <alignment horizontal="left"/>
    </xf>
    <xf numFmtId="43" fontId="56" fillId="0" borderId="0" xfId="3" applyFont="1" applyFill="1"/>
    <xf numFmtId="0" fontId="56" fillId="0" borderId="0" xfId="2" applyFont="1" applyFill="1" applyBorder="1" applyAlignment="1">
      <alignment horizontal="right"/>
    </xf>
    <xf numFmtId="0" fontId="51" fillId="0" borderId="0" xfId="2" applyFont="1" applyFill="1" applyAlignment="1">
      <alignment horizontal="left"/>
    </xf>
    <xf numFmtId="0" fontId="51" fillId="0" borderId="0" xfId="2" applyFont="1" applyFill="1"/>
    <xf numFmtId="0" fontId="56" fillId="0" borderId="0" xfId="3" applyNumberFormat="1" applyFont="1" applyFill="1" applyAlignment="1">
      <alignment horizontal="center"/>
    </xf>
    <xf numFmtId="43" fontId="56" fillId="0" borderId="1" xfId="3" applyFont="1" applyFill="1" applyBorder="1"/>
    <xf numFmtId="43" fontId="51" fillId="0" borderId="0" xfId="2" applyNumberFormat="1" applyFont="1" applyFill="1"/>
    <xf numFmtId="43" fontId="56" fillId="0" borderId="0" xfId="3" applyFont="1" applyFill="1" applyBorder="1"/>
    <xf numFmtId="43" fontId="56" fillId="0" borderId="0" xfId="2" applyNumberFormat="1" applyFont="1" applyFill="1"/>
    <xf numFmtId="43" fontId="56" fillId="0" borderId="1" xfId="2" applyNumberFormat="1" applyFont="1" applyFill="1" applyBorder="1" applyAlignment="1">
      <alignment horizontal="center"/>
    </xf>
    <xf numFmtId="0" fontId="51" fillId="0" borderId="0" xfId="2" applyFont="1" applyFill="1" applyBorder="1" applyAlignment="1">
      <alignment horizontal="left"/>
    </xf>
    <xf numFmtId="0" fontId="51" fillId="0" borderId="0" xfId="2" applyFont="1" applyFill="1" applyBorder="1"/>
    <xf numFmtId="43" fontId="63" fillId="0" borderId="0" xfId="0" applyNumberFormat="1" applyFont="1" applyBorder="1"/>
    <xf numFmtId="43" fontId="51" fillId="0" borderId="0" xfId="3" applyFont="1" applyBorder="1"/>
    <xf numFmtId="15" fontId="51" fillId="0" borderId="0" xfId="3" applyNumberFormat="1" applyFont="1" applyBorder="1" applyAlignment="1">
      <alignment horizontal="center"/>
    </xf>
    <xf numFmtId="0" fontId="1" fillId="0" borderId="0" xfId="0" applyFont="1" applyBorder="1"/>
    <xf numFmtId="0" fontId="63" fillId="0" borderId="0" xfId="0" applyFont="1" applyBorder="1"/>
    <xf numFmtId="0" fontId="63" fillId="0" borderId="0" xfId="0" applyFont="1"/>
    <xf numFmtId="0" fontId="51" fillId="0" borderId="0" xfId="0" applyFont="1" applyBorder="1"/>
    <xf numFmtId="0" fontId="51" fillId="0" borderId="0" xfId="0" applyFont="1" applyBorder="1" applyProtection="1">
      <protection locked="0"/>
    </xf>
    <xf numFmtId="43" fontId="51" fillId="0" borderId="0" xfId="3" applyFont="1" applyFill="1"/>
    <xf numFmtId="0" fontId="56" fillId="0" borderId="0" xfId="2" applyFont="1" applyFill="1" applyBorder="1"/>
    <xf numFmtId="0" fontId="51" fillId="0" borderId="0" xfId="2" applyFont="1"/>
    <xf numFmtId="0" fontId="51" fillId="0" borderId="0" xfId="2" applyFont="1" applyBorder="1"/>
    <xf numFmtId="43" fontId="64" fillId="0" borderId="0" xfId="3" applyFont="1" applyFill="1" applyBorder="1"/>
    <xf numFmtId="0" fontId="51" fillId="0" borderId="0" xfId="2" applyFont="1" applyAlignment="1">
      <alignment horizontal="left"/>
    </xf>
    <xf numFmtId="0" fontId="56" fillId="0" borderId="0" xfId="2" applyFont="1" applyAlignment="1">
      <alignment horizontal="left"/>
    </xf>
    <xf numFmtId="0" fontId="56" fillId="0" borderId="0" xfId="2" applyFont="1" applyAlignment="1">
      <alignment horizontal="center"/>
    </xf>
    <xf numFmtId="0" fontId="65" fillId="0" borderId="0" xfId="2" applyFont="1" applyBorder="1"/>
    <xf numFmtId="43" fontId="51" fillId="0" borderId="0" xfId="3" applyFont="1"/>
    <xf numFmtId="0" fontId="67" fillId="0" borderId="0" xfId="2" applyFont="1"/>
    <xf numFmtId="43" fontId="67" fillId="0" borderId="0" xfId="3" applyFont="1"/>
    <xf numFmtId="43" fontId="67" fillId="0" borderId="0" xfId="3" applyFont="1" applyBorder="1"/>
    <xf numFmtId="0" fontId="56" fillId="0" borderId="0" xfId="2" applyFont="1" applyAlignment="1">
      <alignment horizontal="right"/>
    </xf>
    <xf numFmtId="43" fontId="56" fillId="0" borderId="0" xfId="3" applyFont="1"/>
    <xf numFmtId="43" fontId="56" fillId="0" borderId="0" xfId="3" applyFont="1" applyBorder="1"/>
    <xf numFmtId="0" fontId="56" fillId="0" borderId="0" xfId="2" applyFont="1" applyAlignment="1">
      <alignment horizontal="left" vertical="top"/>
    </xf>
    <xf numFmtId="0" fontId="56" fillId="0" borderId="0" xfId="2" applyFont="1" applyAlignment="1">
      <alignment vertical="top" wrapText="1"/>
    </xf>
    <xf numFmtId="0" fontId="56" fillId="0" borderId="0" xfId="2" applyFont="1" applyFill="1" applyBorder="1" applyAlignment="1">
      <alignment vertical="top"/>
    </xf>
    <xf numFmtId="0" fontId="56" fillId="0" borderId="0" xfId="2" applyFont="1" applyAlignment="1">
      <alignment wrapText="1"/>
    </xf>
    <xf numFmtId="0" fontId="56" fillId="0" borderId="0" xfId="2" applyFont="1" applyFill="1" applyBorder="1" applyAlignment="1">
      <alignment wrapText="1"/>
    </xf>
    <xf numFmtId="43" fontId="56" fillId="0" borderId="1" xfId="3" applyFont="1" applyBorder="1"/>
    <xf numFmtId="43" fontId="56" fillId="0" borderId="0" xfId="2" applyNumberFormat="1" applyFont="1" applyFill="1" applyBorder="1"/>
    <xf numFmtId="43" fontId="56" fillId="0" borderId="2" xfId="3" applyFont="1" applyBorder="1"/>
    <xf numFmtId="0" fontId="62" fillId="0" borderId="0" xfId="2" applyFont="1" applyAlignment="1">
      <alignment horizontal="center"/>
    </xf>
    <xf numFmtId="0" fontId="51" fillId="0" borderId="0" xfId="16" applyFont="1"/>
    <xf numFmtId="0" fontId="68" fillId="0" borderId="0" xfId="16" applyFont="1" applyAlignment="1">
      <alignment horizontal="center"/>
    </xf>
    <xf numFmtId="0" fontId="68" fillId="0" borderId="0" xfId="16" applyFont="1" applyBorder="1" applyAlignment="1">
      <alignment horizontal="center"/>
    </xf>
    <xf numFmtId="0" fontId="57" fillId="0" borderId="0" xfId="16" applyFont="1" applyAlignment="1">
      <alignment horizontal="center"/>
    </xf>
    <xf numFmtId="0" fontId="56" fillId="0" borderId="0" xfId="16" applyFont="1" applyFill="1" applyBorder="1" applyAlignment="1">
      <alignment horizontal="center"/>
    </xf>
    <xf numFmtId="0" fontId="57" fillId="0" borderId="0" xfId="16" applyFont="1" applyFill="1" applyAlignment="1">
      <alignment horizontal="center"/>
    </xf>
    <xf numFmtId="0" fontId="56" fillId="0" borderId="0" xfId="16" applyFont="1"/>
    <xf numFmtId="0" fontId="51" fillId="0" borderId="0" xfId="16" applyFont="1" applyFill="1" applyBorder="1"/>
    <xf numFmtId="0" fontId="56" fillId="2" borderId="0" xfId="16" applyFont="1" applyFill="1"/>
    <xf numFmtId="43" fontId="51" fillId="0" borderId="0" xfId="16" applyNumberFormat="1" applyFont="1" applyFill="1" applyBorder="1"/>
    <xf numFmtId="43" fontId="56" fillId="0" borderId="0" xfId="16" applyNumberFormat="1" applyFont="1" applyFill="1"/>
    <xf numFmtId="0" fontId="56" fillId="0" borderId="0" xfId="16" applyFont="1" applyFill="1"/>
    <xf numFmtId="43" fontId="56" fillId="0" borderId="0" xfId="8" applyFont="1" applyFill="1" applyBorder="1"/>
    <xf numFmtId="43" fontId="51" fillId="0" borderId="0" xfId="16" applyNumberFormat="1" applyFont="1" applyFill="1"/>
    <xf numFmtId="0" fontId="51" fillId="0" borderId="0" xfId="16" applyFont="1" applyFill="1"/>
    <xf numFmtId="43" fontId="51" fillId="0" borderId="0" xfId="8" applyFont="1" applyFill="1" applyBorder="1"/>
    <xf numFmtId="43" fontId="56" fillId="0" borderId="1" xfId="8" applyFont="1" applyFill="1" applyBorder="1"/>
    <xf numFmtId="43" fontId="51" fillId="0" borderId="1" xfId="16" applyNumberFormat="1" applyFont="1" applyFill="1" applyBorder="1"/>
    <xf numFmtId="0" fontId="56" fillId="0" borderId="0" xfId="16" applyFont="1" applyAlignment="1">
      <alignment horizontal="right"/>
    </xf>
    <xf numFmtId="0" fontId="51" fillId="0" borderId="0" xfId="16" applyFont="1" applyAlignment="1">
      <alignment horizontal="left"/>
    </xf>
    <xf numFmtId="43" fontId="56" fillId="0" borderId="1" xfId="16" applyNumberFormat="1" applyFont="1" applyFill="1" applyBorder="1"/>
    <xf numFmtId="43" fontId="51" fillId="0" borderId="0" xfId="1" applyFont="1" applyFill="1" applyBorder="1"/>
    <xf numFmtId="43" fontId="56" fillId="0" borderId="0" xfId="1" applyFont="1" applyFill="1"/>
    <xf numFmtId="43" fontId="51" fillId="0" borderId="0" xfId="1" applyFont="1" applyFill="1"/>
    <xf numFmtId="43" fontId="51" fillId="0" borderId="1" xfId="1" applyFont="1" applyFill="1" applyBorder="1"/>
    <xf numFmtId="43" fontId="56" fillId="0" borderId="0" xfId="16" applyNumberFormat="1" applyFont="1" applyFill="1" applyBorder="1"/>
    <xf numFmtId="0" fontId="51" fillId="0" borderId="0" xfId="16" applyFont="1" applyBorder="1"/>
    <xf numFmtId="0" fontId="57" fillId="0" borderId="0" xfId="16" applyFont="1"/>
    <xf numFmtId="0" fontId="52" fillId="0" borderId="0" xfId="16" applyFont="1"/>
    <xf numFmtId="43" fontId="56" fillId="0" borderId="0" xfId="8" applyFont="1" applyFill="1"/>
    <xf numFmtId="43" fontId="56" fillId="0" borderId="0" xfId="1" applyFont="1" applyFill="1" applyBorder="1"/>
    <xf numFmtId="43" fontId="56" fillId="0" borderId="1" xfId="1" applyFont="1" applyFill="1" applyBorder="1"/>
    <xf numFmtId="0" fontId="51" fillId="0" borderId="0" xfId="2" applyFont="1" applyFill="1" applyAlignment="1">
      <alignment horizontal="center"/>
    </xf>
    <xf numFmtId="43" fontId="51" fillId="0" borderId="0" xfId="3" applyNumberFormat="1" applyFont="1" applyFill="1" applyBorder="1"/>
    <xf numFmtId="0" fontId="51" fillId="0" borderId="0" xfId="16" applyFont="1" applyAlignment="1">
      <alignment horizontal="justify"/>
    </xf>
    <xf numFmtId="0" fontId="51" fillId="0" borderId="0" xfId="16" applyFont="1" applyBorder="1" applyAlignment="1">
      <alignment horizontal="justify"/>
    </xf>
    <xf numFmtId="0" fontId="69" fillId="0" borderId="0" xfId="0" applyFont="1" applyAlignment="1">
      <alignment horizontal="left" vertical="top" readingOrder="1"/>
    </xf>
    <xf numFmtId="0" fontId="0" fillId="0" borderId="0" xfId="0" applyFont="1" applyAlignment="1"/>
    <xf numFmtId="0" fontId="32" fillId="0" borderId="77" xfId="2" quotePrefix="1" applyFont="1" applyFill="1" applyBorder="1" applyAlignment="1">
      <alignment horizontal="center"/>
    </xf>
    <xf numFmtId="43" fontId="32" fillId="0" borderId="77" xfId="2" quotePrefix="1" applyNumberFormat="1" applyFont="1" applyFill="1" applyBorder="1" applyAlignment="1">
      <alignment horizontal="center"/>
    </xf>
    <xf numFmtId="0" fontId="32" fillId="0" borderId="78" xfId="2" applyFont="1" applyFill="1" applyBorder="1" applyAlignment="1">
      <alignment horizontal="center"/>
    </xf>
    <xf numFmtId="43" fontId="70" fillId="0" borderId="6" xfId="0" applyNumberFormat="1" applyFont="1" applyBorder="1" applyAlignment="1">
      <alignment horizontal="justify" vertical="center" wrapText="1"/>
    </xf>
    <xf numFmtId="0" fontId="71" fillId="0" borderId="0" xfId="0" applyFont="1" applyBorder="1" applyAlignment="1">
      <alignment horizontal="center" vertical="center"/>
    </xf>
    <xf numFmtId="43" fontId="70" fillId="0" borderId="0" xfId="0" applyNumberFormat="1" applyFont="1" applyBorder="1" applyAlignment="1">
      <alignment horizontal="justify" vertical="center" wrapText="1"/>
    </xf>
    <xf numFmtId="0" fontId="44" fillId="0" borderId="0" xfId="0" applyFont="1" applyBorder="1" applyAlignment="1">
      <alignment horizontal="justify" vertical="center" wrapText="1"/>
    </xf>
    <xf numFmtId="0" fontId="72" fillId="0" borderId="0" xfId="2" applyFont="1" applyAlignment="1">
      <alignment horizontal="center"/>
    </xf>
    <xf numFmtId="0" fontId="72" fillId="0" borderId="0" xfId="2" applyFont="1" applyAlignment="1">
      <alignment vertical="center"/>
    </xf>
    <xf numFmtId="0" fontId="73" fillId="0" borderId="0" xfId="2" applyFont="1" applyAlignment="1">
      <alignment horizontal="center" wrapText="1"/>
    </xf>
    <xf numFmtId="0" fontId="56" fillId="0" borderId="4" xfId="2" applyFont="1" applyBorder="1" applyAlignment="1">
      <alignment horizontal="left" vertical="top" wrapText="1"/>
    </xf>
    <xf numFmtId="43" fontId="52" fillId="0" borderId="4" xfId="3" applyFont="1" applyBorder="1" applyAlignment="1">
      <alignment horizontal="left" vertical="top" wrapText="1"/>
    </xf>
    <xf numFmtId="43" fontId="52" fillId="0" borderId="4" xfId="3" applyFont="1" applyBorder="1" applyAlignment="1">
      <alignment horizontal="left" vertical="center" wrapText="1"/>
    </xf>
    <xf numFmtId="0" fontId="52" fillId="0" borderId="0" xfId="2" applyFont="1" applyAlignment="1">
      <alignment horizontal="left"/>
    </xf>
    <xf numFmtId="0" fontId="51" fillId="0" borderId="5" xfId="2" applyFont="1" applyBorder="1" applyAlignment="1">
      <alignment horizontal="left" vertical="top" wrapText="1"/>
    </xf>
    <xf numFmtId="43" fontId="52" fillId="0" borderId="5" xfId="3" applyFont="1" applyBorder="1" applyAlignment="1">
      <alignment horizontal="left" vertical="top" wrapText="1"/>
    </xf>
    <xf numFmtId="43" fontId="52" fillId="0" borderId="5" xfId="3" applyFont="1" applyBorder="1" applyAlignment="1">
      <alignment horizontal="left" vertical="center" wrapText="1"/>
    </xf>
    <xf numFmtId="0" fontId="56" fillId="0" borderId="5" xfId="2" applyFont="1" applyBorder="1" applyAlignment="1">
      <alignment horizontal="left" vertical="top" wrapText="1"/>
    </xf>
    <xf numFmtId="0" fontId="56" fillId="0" borderId="6" xfId="2" applyFont="1" applyBorder="1" applyAlignment="1">
      <alignment horizontal="left" vertical="top" wrapText="1"/>
    </xf>
    <xf numFmtId="43" fontId="52" fillId="0" borderId="6" xfId="3" applyFont="1" applyBorder="1" applyAlignment="1">
      <alignment horizontal="left" vertical="top" wrapText="1"/>
    </xf>
    <xf numFmtId="43" fontId="57" fillId="0" borderId="6" xfId="3" applyFont="1" applyBorder="1" applyAlignment="1">
      <alignment horizontal="left" vertical="center" wrapText="1"/>
    </xf>
    <xf numFmtId="43" fontId="52" fillId="0" borderId="0" xfId="2" applyNumberFormat="1" applyFont="1" applyAlignment="1">
      <alignment horizontal="left"/>
    </xf>
    <xf numFmtId="0" fontId="66" fillId="0" borderId="0" xfId="2" applyFont="1" applyAlignment="1"/>
    <xf numFmtId="0" fontId="52" fillId="0" borderId="0" xfId="2" applyFont="1"/>
    <xf numFmtId="0" fontId="68" fillId="0" borderId="0" xfId="2" applyFont="1" applyAlignment="1">
      <alignment vertical="center"/>
    </xf>
    <xf numFmtId="0" fontId="72" fillId="0" borderId="0" xfId="2" applyFont="1" applyAlignment="1">
      <alignment horizontal="center" vertical="center"/>
    </xf>
    <xf numFmtId="0" fontId="68" fillId="0" borderId="0" xfId="2" applyFont="1" applyAlignment="1">
      <alignment wrapText="1"/>
    </xf>
    <xf numFmtId="0" fontId="56" fillId="0" borderId="4" xfId="2" applyFont="1" applyFill="1" applyBorder="1" applyAlignment="1">
      <alignment vertical="center"/>
    </xf>
    <xf numFmtId="43" fontId="57" fillId="0" borderId="4" xfId="2" applyNumberFormat="1" applyFont="1" applyFill="1" applyBorder="1" applyAlignment="1">
      <alignment horizontal="left" vertical="center" wrapText="1"/>
    </xf>
    <xf numFmtId="43" fontId="57" fillId="0" borderId="0" xfId="2" applyNumberFormat="1" applyFont="1" applyFill="1" applyBorder="1" applyAlignment="1">
      <alignment horizontal="left" vertical="center" wrapText="1"/>
    </xf>
    <xf numFmtId="0" fontId="57" fillId="0" borderId="0" xfId="2" applyFont="1" applyBorder="1" applyAlignment="1">
      <alignment horizontal="left" vertical="center"/>
    </xf>
    <xf numFmtId="0" fontId="76" fillId="0" borderId="5" xfId="2" applyFont="1" applyFill="1" applyBorder="1" applyAlignment="1">
      <alignment vertical="center"/>
    </xf>
    <xf numFmtId="43" fontId="57" fillId="0" borderId="5" xfId="3" applyNumberFormat="1" applyFont="1" applyFill="1" applyBorder="1" applyAlignment="1">
      <alignment horizontal="left" vertical="center" wrapText="1"/>
    </xf>
    <xf numFmtId="43" fontId="52" fillId="0" borderId="0" xfId="3" applyFont="1" applyFill="1" applyBorder="1" applyAlignment="1">
      <alignment horizontal="left" vertical="center" wrapText="1"/>
    </xf>
    <xf numFmtId="0" fontId="52" fillId="0" borderId="0" xfId="2" applyFont="1" applyBorder="1" applyAlignment="1">
      <alignment horizontal="left" vertical="center"/>
    </xf>
    <xf numFmtId="0" fontId="51" fillId="0" borderId="5" xfId="2" applyFont="1" applyFill="1" applyBorder="1" applyAlignment="1">
      <alignment vertical="center"/>
    </xf>
    <xf numFmtId="43" fontId="52" fillId="0" borderId="5" xfId="3" applyNumberFormat="1" applyFont="1" applyFill="1" applyBorder="1" applyAlignment="1">
      <alignment horizontal="left" vertical="center" wrapText="1"/>
    </xf>
    <xf numFmtId="0" fontId="51" fillId="0" borderId="0" xfId="2" applyFont="1" applyAlignment="1">
      <alignment vertical="center"/>
    </xf>
    <xf numFmtId="0" fontId="51" fillId="0" borderId="5" xfId="2" applyFont="1" applyFill="1" applyBorder="1" applyAlignment="1">
      <alignment vertical="top"/>
    </xf>
    <xf numFmtId="0" fontId="56" fillId="0" borderId="5" xfId="2" applyFont="1" applyFill="1" applyBorder="1" applyAlignment="1">
      <alignment vertical="top"/>
    </xf>
    <xf numFmtId="0" fontId="76" fillId="0" borderId="5" xfId="2" applyFont="1" applyFill="1" applyBorder="1" applyAlignment="1">
      <alignment vertical="top"/>
    </xf>
    <xf numFmtId="0" fontId="51" fillId="0" borderId="5" xfId="2" applyFont="1" applyFill="1" applyBorder="1" applyAlignment="1">
      <alignment horizontal="justify" vertical="top"/>
    </xf>
    <xf numFmtId="43" fontId="51" fillId="0" borderId="0" xfId="2" applyNumberFormat="1" applyFont="1" applyAlignment="1">
      <alignment vertical="center"/>
    </xf>
    <xf numFmtId="0" fontId="56" fillId="0" borderId="5" xfId="2" applyFont="1" applyFill="1" applyBorder="1" applyAlignment="1">
      <alignment vertical="center"/>
    </xf>
    <xf numFmtId="0" fontId="56" fillId="0" borderId="5" xfId="2" applyFont="1" applyFill="1" applyBorder="1" applyAlignment="1">
      <alignment horizontal="center" vertical="top"/>
    </xf>
    <xf numFmtId="0" fontId="51" fillId="0" borderId="6" xfId="2" applyFont="1" applyFill="1" applyBorder="1" applyAlignment="1">
      <alignment vertical="top"/>
    </xf>
    <xf numFmtId="43" fontId="51" fillId="0" borderId="6" xfId="2" applyNumberFormat="1" applyFont="1" applyBorder="1"/>
    <xf numFmtId="0" fontId="51" fillId="0" borderId="0" xfId="2" applyFont="1" applyFill="1" applyBorder="1" applyAlignment="1">
      <alignment vertical="top"/>
    </xf>
    <xf numFmtId="0" fontId="51" fillId="0" borderId="0" xfId="2" applyFont="1" applyFill="1" applyAlignment="1">
      <alignment vertical="top"/>
    </xf>
    <xf numFmtId="0" fontId="51" fillId="0" borderId="0" xfId="2" applyFont="1" applyAlignment="1">
      <alignment vertical="top"/>
    </xf>
    <xf numFmtId="0" fontId="77" fillId="0" borderId="0" xfId="0" applyFont="1" applyBorder="1" applyAlignment="1">
      <alignment vertical="center" wrapText="1"/>
    </xf>
    <xf numFmtId="0" fontId="77" fillId="0" borderId="0" xfId="0" applyFont="1" applyBorder="1" applyAlignment="1">
      <alignment horizontal="justify" vertical="center" wrapText="1"/>
    </xf>
    <xf numFmtId="0" fontId="32" fillId="0" borderId="77" xfId="2" applyFont="1" applyFill="1" applyBorder="1" applyAlignment="1">
      <alignment horizontal="center"/>
    </xf>
    <xf numFmtId="0" fontId="32" fillId="0" borderId="77" xfId="2" quotePrefix="1" applyFont="1" applyFill="1" applyBorder="1" applyAlignment="1">
      <alignment horizontal="left"/>
    </xf>
    <xf numFmtId="43" fontId="32" fillId="0" borderId="78" xfId="2" applyNumberFormat="1" applyFont="1" applyFill="1" applyBorder="1" applyAlignment="1">
      <alignment horizontal="center"/>
    </xf>
    <xf numFmtId="0" fontId="17" fillId="0" borderId="0" xfId="19" applyFont="1"/>
    <xf numFmtId="0" fontId="1" fillId="0" borderId="0" xfId="19" applyFont="1"/>
    <xf numFmtId="0" fontId="26" fillId="0" borderId="0" xfId="19" applyFont="1" applyAlignment="1"/>
    <xf numFmtId="0" fontId="1" fillId="0" borderId="0" xfId="0" applyFont="1"/>
    <xf numFmtId="0" fontId="1" fillId="0" borderId="0" xfId="0" applyFont="1" applyAlignment="1">
      <alignment vertical="center" wrapText="1"/>
    </xf>
    <xf numFmtId="43" fontId="49" fillId="0" borderId="0" xfId="0" applyNumberFormat="1" applyFont="1" applyBorder="1" applyAlignment="1">
      <alignment horizontal="center" vertical="center"/>
    </xf>
    <xf numFmtId="0" fontId="49" fillId="0" borderId="0" xfId="0" applyFont="1" applyBorder="1" applyAlignment="1">
      <alignment horizontal="center" vertical="center" wrapText="1"/>
    </xf>
    <xf numFmtId="0" fontId="61" fillId="2" borderId="32" xfId="25" applyFont="1" applyFill="1" applyBorder="1" applyAlignment="1">
      <alignment horizontal="center" vertical="center"/>
    </xf>
    <xf numFmtId="0" fontId="61" fillId="2" borderId="26" xfId="25" applyFont="1" applyFill="1" applyBorder="1" applyAlignment="1">
      <alignment horizontal="center" vertical="center"/>
    </xf>
    <xf numFmtId="0" fontId="61" fillId="2" borderId="33" xfId="25" applyFont="1" applyFill="1" applyBorder="1" applyAlignment="1">
      <alignment horizontal="center" vertical="center"/>
    </xf>
    <xf numFmtId="43" fontId="61" fillId="2" borderId="33" xfId="1" applyFont="1" applyFill="1" applyBorder="1" applyAlignment="1">
      <alignment horizontal="center" vertical="center" wrapText="1"/>
    </xf>
    <xf numFmtId="43" fontId="61" fillId="2" borderId="26" xfId="1" applyFont="1" applyFill="1" applyBorder="1" applyAlignment="1">
      <alignment horizontal="center" vertical="center" wrapText="1"/>
    </xf>
    <xf numFmtId="0" fontId="61" fillId="2" borderId="26" xfId="1" applyNumberFormat="1" applyFont="1" applyFill="1" applyBorder="1" applyAlignment="1">
      <alignment horizontal="center" vertical="center" wrapText="1"/>
    </xf>
    <xf numFmtId="0" fontId="61" fillId="2" borderId="34" xfId="25" applyFont="1" applyFill="1" applyBorder="1" applyAlignment="1">
      <alignment horizontal="center" vertical="center"/>
    </xf>
    <xf numFmtId="15" fontId="32" fillId="0" borderId="58" xfId="25" applyNumberFormat="1" applyFont="1" applyFill="1" applyBorder="1" applyAlignment="1">
      <alignment horizontal="center" vertical="center"/>
    </xf>
    <xf numFmtId="0" fontId="32" fillId="0" borderId="4" xfId="25" applyFont="1" applyFill="1" applyBorder="1" applyAlignment="1">
      <alignment horizontal="center" vertical="center"/>
    </xf>
    <xf numFmtId="0" fontId="32" fillId="0" borderId="4" xfId="26" applyNumberFormat="1" applyFont="1" applyFill="1" applyBorder="1" applyAlignment="1">
      <alignment horizontal="center" vertical="center"/>
    </xf>
    <xf numFmtId="43" fontId="32" fillId="0" borderId="4" xfId="1" applyFont="1" applyFill="1" applyBorder="1" applyAlignment="1">
      <alignment horizontal="left" vertical="center" wrapText="1"/>
    </xf>
    <xf numFmtId="0" fontId="32" fillId="0" borderId="4" xfId="1" applyNumberFormat="1" applyFont="1" applyFill="1" applyBorder="1" applyAlignment="1">
      <alignment horizontal="left" vertical="center" wrapText="1"/>
    </xf>
    <xf numFmtId="0" fontId="32" fillId="0" borderId="59" xfId="25" applyFont="1" applyFill="1" applyBorder="1" applyAlignment="1">
      <alignment horizontal="left" vertical="center"/>
    </xf>
    <xf numFmtId="15" fontId="32" fillId="0" borderId="60" xfId="25" applyNumberFormat="1" applyFont="1" applyFill="1" applyBorder="1" applyAlignment="1">
      <alignment horizontal="center" vertical="center"/>
    </xf>
    <xf numFmtId="0" fontId="32" fillId="0" borderId="5" xfId="25" applyFont="1" applyFill="1" applyBorder="1" applyAlignment="1">
      <alignment horizontal="center" vertical="center"/>
    </xf>
    <xf numFmtId="0" fontId="32" fillId="0" borderId="5" xfId="25" applyNumberFormat="1" applyFont="1" applyFill="1" applyBorder="1" applyAlignment="1">
      <alignment horizontal="center" vertical="center"/>
    </xf>
    <xf numFmtId="0" fontId="32" fillId="0" borderId="5" xfId="1" applyNumberFormat="1" applyFont="1" applyFill="1" applyBorder="1" applyAlignment="1">
      <alignment horizontal="center" vertical="center"/>
    </xf>
    <xf numFmtId="0" fontId="63" fillId="0" borderId="61" xfId="25" applyFont="1" applyBorder="1" applyAlignment="1">
      <alignment horizontal="center" vertical="center" wrapText="1"/>
    </xf>
    <xf numFmtId="15" fontId="32" fillId="0" borderId="56" xfId="25" applyNumberFormat="1" applyFont="1" applyBorder="1" applyAlignment="1">
      <alignment horizontal="center" vertical="center"/>
    </xf>
    <xf numFmtId="0" fontId="32" fillId="0" borderId="55" xfId="25" applyFont="1" applyBorder="1" applyAlignment="1">
      <alignment horizontal="center" vertical="center"/>
    </xf>
    <xf numFmtId="43" fontId="32" fillId="0" borderId="55" xfId="26" applyFont="1" applyFill="1" applyBorder="1" applyAlignment="1">
      <alignment horizontal="left" vertical="center"/>
    </xf>
    <xf numFmtId="43" fontId="32" fillId="0" borderId="55" xfId="1" applyFont="1" applyFill="1" applyBorder="1" applyAlignment="1">
      <alignment horizontal="left" vertical="center" wrapText="1"/>
    </xf>
    <xf numFmtId="0" fontId="32" fillId="0" borderId="55" xfId="1" applyNumberFormat="1" applyFont="1" applyFill="1" applyBorder="1" applyAlignment="1">
      <alignment horizontal="left" vertical="center" wrapText="1"/>
    </xf>
    <xf numFmtId="0" fontId="32" fillId="0" borderId="57" xfId="25" applyFont="1" applyFill="1" applyBorder="1" applyAlignment="1">
      <alignment horizontal="left" vertical="center"/>
    </xf>
    <xf numFmtId="15" fontId="32" fillId="0" borderId="0" xfId="25" applyNumberFormat="1" applyFont="1" applyBorder="1" applyAlignment="1">
      <alignment horizontal="center" vertical="center"/>
    </xf>
    <xf numFmtId="0" fontId="32" fillId="0" borderId="0" xfId="25" applyFont="1" applyBorder="1" applyAlignment="1">
      <alignment horizontal="center" vertical="center"/>
    </xf>
    <xf numFmtId="43" fontId="32" fillId="0" borderId="0" xfId="26" applyFont="1" applyFill="1" applyBorder="1" applyAlignment="1">
      <alignment horizontal="left" vertical="center"/>
    </xf>
    <xf numFmtId="43" fontId="32" fillId="0" borderId="0" xfId="1" applyFont="1" applyFill="1" applyBorder="1" applyAlignment="1">
      <alignment horizontal="left" vertical="center" wrapText="1"/>
    </xf>
    <xf numFmtId="0" fontId="32" fillId="0" borderId="0" xfId="1" applyNumberFormat="1" applyFont="1" applyFill="1" applyBorder="1" applyAlignment="1">
      <alignment horizontal="left" vertical="center" wrapText="1"/>
    </xf>
    <xf numFmtId="0" fontId="32" fillId="0" borderId="0" xfId="25" applyFont="1" applyFill="1" applyBorder="1" applyAlignment="1">
      <alignment horizontal="left" vertical="center"/>
    </xf>
    <xf numFmtId="0" fontId="56" fillId="0" borderId="3" xfId="2" applyFont="1" applyFill="1" applyBorder="1" applyAlignment="1">
      <alignment horizontal="left" vertical="center"/>
    </xf>
    <xf numFmtId="0" fontId="56" fillId="0" borderId="3" xfId="2" applyFont="1" applyFill="1" applyBorder="1" applyAlignment="1">
      <alignment vertical="center"/>
    </xf>
    <xf numFmtId="4" fontId="75" fillId="0" borderId="3" xfId="2" applyNumberFormat="1" applyFont="1" applyFill="1" applyBorder="1" applyAlignment="1">
      <alignment horizontal="right" vertical="center"/>
    </xf>
    <xf numFmtId="0" fontId="51" fillId="0" borderId="3" xfId="2" applyFont="1" applyFill="1" applyBorder="1" applyAlignment="1">
      <alignment horizontal="left" vertical="center"/>
    </xf>
    <xf numFmtId="0" fontId="51" fillId="0" borderId="3" xfId="2" applyFont="1" applyFill="1" applyBorder="1" applyAlignment="1">
      <alignment vertical="center" wrapText="1"/>
    </xf>
    <xf numFmtId="4" fontId="63" fillId="0" borderId="3" xfId="2" applyNumberFormat="1" applyFont="1" applyFill="1" applyBorder="1" applyAlignment="1">
      <alignment horizontal="right" vertical="center"/>
    </xf>
    <xf numFmtId="0" fontId="51" fillId="0" borderId="0" xfId="2" applyFont="1" applyFill="1" applyBorder="1" applyAlignment="1">
      <alignment horizontal="left" vertical="top"/>
    </xf>
    <xf numFmtId="0" fontId="78" fillId="0" borderId="0" xfId="2" applyFont="1"/>
    <xf numFmtId="0" fontId="63" fillId="0" borderId="0" xfId="2" applyFont="1" applyAlignment="1">
      <alignment horizontal="right"/>
    </xf>
    <xf numFmtId="43" fontId="78" fillId="0" borderId="0" xfId="8" applyFont="1"/>
    <xf numFmtId="43" fontId="78" fillId="0" borderId="0" xfId="1" applyFont="1"/>
    <xf numFmtId="0" fontId="78" fillId="0" borderId="3" xfId="2" applyFont="1" applyBorder="1"/>
    <xf numFmtId="0" fontId="63" fillId="0" borderId="3" xfId="2" applyFont="1" applyBorder="1" applyAlignment="1">
      <alignment horizontal="right"/>
    </xf>
    <xf numFmtId="0" fontId="56" fillId="0" borderId="3" xfId="2" applyFont="1" applyBorder="1" applyAlignment="1">
      <alignment horizontal="center"/>
    </xf>
    <xf numFmtId="43" fontId="56" fillId="0" borderId="3" xfId="8" applyFont="1" applyBorder="1" applyAlignment="1">
      <alignment horizontal="center"/>
    </xf>
    <xf numFmtId="43" fontId="56" fillId="0" borderId="3" xfId="1" applyFont="1" applyBorder="1" applyAlignment="1">
      <alignment horizontal="center"/>
    </xf>
    <xf numFmtId="0" fontId="56" fillId="0" borderId="3" xfId="2" applyFont="1" applyFill="1" applyBorder="1" applyAlignment="1">
      <alignment horizontal="center"/>
    </xf>
    <xf numFmtId="0" fontId="75" fillId="0" borderId="3" xfId="2" applyFont="1" applyBorder="1"/>
    <xf numFmtId="0" fontId="51" fillId="0" borderId="3" xfId="2" applyFont="1" applyBorder="1" applyAlignment="1">
      <alignment horizontal="left"/>
    </xf>
    <xf numFmtId="43" fontId="75" fillId="0" borderId="3" xfId="8" applyNumberFormat="1" applyFont="1" applyBorder="1" applyAlignment="1">
      <alignment vertical="center" wrapText="1"/>
    </xf>
    <xf numFmtId="43" fontId="75" fillId="0" borderId="3" xfId="2" applyNumberFormat="1" applyFont="1" applyBorder="1" applyAlignment="1">
      <alignment vertical="center"/>
    </xf>
    <xf numFmtId="0" fontId="63" fillId="0" borderId="3" xfId="2" applyFont="1" applyBorder="1"/>
    <xf numFmtId="43" fontId="63" fillId="0" borderId="3" xfId="2" applyNumberFormat="1" applyFont="1" applyBorder="1" applyAlignment="1">
      <alignment vertical="center" wrapText="1"/>
    </xf>
    <xf numFmtId="43" fontId="63" fillId="0" borderId="3" xfId="2" applyNumberFormat="1" applyFont="1" applyBorder="1" applyAlignment="1">
      <alignment vertical="center"/>
    </xf>
    <xf numFmtId="0" fontId="63" fillId="0" borderId="4" xfId="2" applyFont="1" applyBorder="1" applyAlignment="1">
      <alignment vertical="top" wrapText="1"/>
    </xf>
    <xf numFmtId="0" fontId="63" fillId="0" borderId="3" xfId="2" applyFont="1" applyBorder="1" applyAlignment="1">
      <alignment vertical="top"/>
    </xf>
    <xf numFmtId="0" fontId="63" fillId="0" borderId="3" xfId="2" applyFont="1" applyBorder="1" applyAlignment="1">
      <alignment horizontal="right" vertical="top"/>
    </xf>
    <xf numFmtId="0" fontId="51" fillId="0" borderId="3" xfId="2" applyFont="1" applyBorder="1" applyAlignment="1">
      <alignment horizontal="left" wrapText="1"/>
    </xf>
    <xf numFmtId="0" fontId="63" fillId="0" borderId="3" xfId="2" applyFont="1" applyBorder="1" applyAlignment="1">
      <alignment vertical="top" wrapText="1"/>
    </xf>
    <xf numFmtId="43" fontId="63" fillId="0" borderId="3" xfId="8" applyNumberFormat="1" applyFont="1" applyBorder="1" applyAlignment="1">
      <alignment vertical="center" wrapText="1"/>
    </xf>
    <xf numFmtId="0" fontId="51" fillId="0" borderId="3" xfId="2" applyFont="1" applyBorder="1" applyAlignment="1">
      <alignment horizontal="left" indent="2"/>
    </xf>
    <xf numFmtId="43" fontId="63" fillId="0" borderId="3" xfId="2" applyNumberFormat="1" applyFont="1" applyBorder="1"/>
    <xf numFmtId="0" fontId="63" fillId="0" borderId="4" xfId="2" applyFont="1" applyBorder="1" applyAlignment="1">
      <alignment vertical="center" wrapText="1"/>
    </xf>
    <xf numFmtId="0" fontId="56" fillId="2" borderId="3" xfId="2" applyFont="1" applyFill="1" applyBorder="1"/>
    <xf numFmtId="0" fontId="75" fillId="2" borderId="3" xfId="2" applyFont="1" applyFill="1" applyBorder="1" applyAlignment="1">
      <alignment horizontal="right"/>
    </xf>
    <xf numFmtId="0" fontId="56" fillId="2" borderId="3" xfId="2" applyFont="1" applyFill="1" applyBorder="1" applyAlignment="1">
      <alignment horizontal="center"/>
    </xf>
    <xf numFmtId="43" fontId="75" fillId="2" borderId="3" xfId="8" applyNumberFormat="1" applyFont="1" applyFill="1" applyBorder="1" applyAlignment="1">
      <alignment vertical="center" wrapText="1"/>
    </xf>
    <xf numFmtId="43" fontId="75" fillId="2" borderId="3" xfId="2" applyNumberFormat="1" applyFont="1" applyFill="1" applyBorder="1"/>
    <xf numFmtId="43" fontId="51" fillId="0" borderId="0" xfId="2" applyNumberFormat="1" applyFont="1"/>
    <xf numFmtId="0" fontId="63" fillId="0" borderId="0" xfId="2" applyFont="1"/>
    <xf numFmtId="43" fontId="63" fillId="0" borderId="0" xfId="8" applyFont="1"/>
    <xf numFmtId="43" fontId="63" fillId="0" borderId="0" xfId="1" applyFont="1"/>
    <xf numFmtId="43" fontId="56" fillId="0" borderId="0" xfId="3" applyNumberFormat="1" applyFont="1" applyFill="1" applyBorder="1"/>
    <xf numFmtId="0" fontId="75" fillId="0" borderId="0" xfId="2" applyFont="1" applyAlignment="1">
      <alignment horizontal="left"/>
    </xf>
    <xf numFmtId="43" fontId="63" fillId="0" borderId="0" xfId="2" applyNumberFormat="1" applyFont="1"/>
    <xf numFmtId="10" fontId="13" fillId="0" borderId="3" xfId="23" applyNumberFormat="1" applyFont="1" applyFill="1" applyBorder="1" applyAlignment="1"/>
    <xf numFmtId="0" fontId="63" fillId="0" borderId="0" xfId="2" applyFont="1" applyAlignment="1">
      <alignment vertical="center"/>
    </xf>
    <xf numFmtId="0" fontId="56" fillId="2" borderId="3" xfId="2" quotePrefix="1" applyFont="1" applyFill="1" applyBorder="1" applyAlignment="1">
      <alignment horizontal="center" vertical="center" wrapText="1"/>
    </xf>
    <xf numFmtId="43" fontId="51" fillId="0" borderId="3" xfId="3" applyFont="1" applyBorder="1" applyAlignment="1">
      <alignment horizontal="center" vertical="center"/>
    </xf>
    <xf numFmtId="43" fontId="51" fillId="0" borderId="3" xfId="3" applyNumberFormat="1" applyFont="1" applyFill="1" applyBorder="1" applyAlignment="1">
      <alignment horizontal="center" vertical="center"/>
    </xf>
    <xf numFmtId="43" fontId="51" fillId="0" borderId="3" xfId="3" applyNumberFormat="1" applyFont="1" applyBorder="1" applyAlignment="1">
      <alignment horizontal="center" vertical="center"/>
    </xf>
    <xf numFmtId="43" fontId="51" fillId="0" borderId="3" xfId="3" applyNumberFormat="1" applyFont="1" applyBorder="1" applyAlignment="1">
      <alignment horizontal="center"/>
    </xf>
    <xf numFmtId="43" fontId="51" fillId="0" borderId="3" xfId="22" applyNumberFormat="1" applyFont="1" applyBorder="1" applyAlignment="1">
      <alignment horizontal="center"/>
    </xf>
    <xf numFmtId="43" fontId="56" fillId="0" borderId="3" xfId="3" applyNumberFormat="1" applyFont="1" applyBorder="1" applyAlignment="1">
      <alignment horizontal="center"/>
    </xf>
    <xf numFmtId="0" fontId="75" fillId="0" borderId="0" xfId="2" applyFont="1"/>
    <xf numFmtId="43" fontId="56" fillId="0" borderId="3" xfId="3" applyNumberFormat="1" applyFont="1" applyFill="1" applyBorder="1" applyAlignment="1">
      <alignment horizontal="center"/>
    </xf>
    <xf numFmtId="0" fontId="56" fillId="0" borderId="3" xfId="2" applyFont="1" applyFill="1" applyBorder="1" applyAlignment="1">
      <alignment horizontal="center" wrapText="1"/>
    </xf>
    <xf numFmtId="43" fontId="56" fillId="0" borderId="3" xfId="3" applyFont="1" applyFill="1" applyBorder="1" applyAlignment="1">
      <alignment horizontal="center"/>
    </xf>
    <xf numFmtId="0" fontId="56" fillId="2" borderId="6" xfId="2" quotePrefix="1" applyFont="1" applyFill="1" applyBorder="1" applyAlignment="1">
      <alignment horizontal="center" vertical="center" wrapText="1"/>
    </xf>
    <xf numFmtId="0" fontId="56" fillId="0" borderId="6" xfId="2" applyFont="1" applyFill="1" applyBorder="1" applyAlignment="1">
      <alignment horizontal="left" vertical="center" wrapText="1"/>
    </xf>
    <xf numFmtId="0" fontId="56" fillId="0" borderId="6" xfId="2" applyFont="1" applyFill="1" applyBorder="1" applyAlignment="1">
      <alignment vertical="center" wrapText="1"/>
    </xf>
    <xf numFmtId="0" fontId="56" fillId="0" borderId="6" xfId="2" applyFont="1" applyFill="1" applyBorder="1" applyAlignment="1">
      <alignment vertical="center"/>
    </xf>
    <xf numFmtId="0" fontId="56" fillId="0" borderId="6" xfId="2" applyFont="1" applyFill="1" applyBorder="1" applyAlignment="1">
      <alignment horizontal="center" vertical="center"/>
    </xf>
    <xf numFmtId="0" fontId="63" fillId="0" borderId="0" xfId="2" applyFont="1" applyFill="1" applyAlignment="1">
      <alignment vertical="center"/>
    </xf>
    <xf numFmtId="43" fontId="51" fillId="0" borderId="3" xfId="2" applyNumberFormat="1" applyFont="1" applyBorder="1" applyAlignment="1">
      <alignment horizontal="left" indent="2"/>
    </xf>
    <xf numFmtId="43" fontId="51" fillId="0" borderId="3" xfId="1" applyNumberFormat="1" applyFont="1" applyBorder="1"/>
    <xf numFmtId="43" fontId="51" fillId="0" borderId="3" xfId="2" applyNumberFormat="1" applyFont="1" applyBorder="1" applyAlignment="1">
      <alignment horizontal="left" wrapText="1" indent="2"/>
    </xf>
    <xf numFmtId="43" fontId="51" fillId="0" borderId="3" xfId="2" applyNumberFormat="1" applyFont="1" applyBorder="1"/>
    <xf numFmtId="43" fontId="56" fillId="0" borderId="3" xfId="2" applyNumberFormat="1" applyFont="1" applyBorder="1" applyAlignment="1">
      <alignment horizontal="left"/>
    </xf>
    <xf numFmtId="43" fontId="51" fillId="0" borderId="3" xfId="2" applyNumberFormat="1" applyFont="1" applyBorder="1" applyAlignment="1">
      <alignment horizontal="left"/>
    </xf>
    <xf numFmtId="43" fontId="56" fillId="0" borderId="3" xfId="2" applyNumberFormat="1" applyFont="1" applyFill="1" applyBorder="1" applyAlignment="1">
      <alignment horizontal="center"/>
    </xf>
    <xf numFmtId="43" fontId="56" fillId="0" borderId="3" xfId="1" applyNumberFormat="1" applyFont="1" applyFill="1" applyBorder="1" applyAlignment="1">
      <alignment horizontal="center"/>
    </xf>
    <xf numFmtId="0" fontId="3" fillId="0" borderId="0" xfId="17" applyFont="1" applyAlignment="1">
      <alignment horizontal="right"/>
    </xf>
    <xf numFmtId="43" fontId="58" fillId="0" borderId="6" xfId="3" applyNumberFormat="1" applyFont="1" applyFill="1" applyBorder="1"/>
    <xf numFmtId="0" fontId="51" fillId="0" borderId="6" xfId="17" applyFont="1" applyBorder="1" applyAlignment="1">
      <alignment horizontal="left" vertical="center" indent="2"/>
    </xf>
    <xf numFmtId="43" fontId="59" fillId="0" borderId="6" xfId="3" applyNumberFormat="1" applyFont="1" applyFill="1" applyBorder="1"/>
    <xf numFmtId="43" fontId="58" fillId="0" borderId="3" xfId="3" applyNumberFormat="1" applyFont="1" applyFill="1" applyBorder="1"/>
    <xf numFmtId="43" fontId="3" fillId="0" borderId="0" xfId="17" applyNumberFormat="1" applyFont="1"/>
    <xf numFmtId="0" fontId="59" fillId="0" borderId="0" xfId="17" applyFont="1"/>
    <xf numFmtId="164" fontId="59" fillId="0" borderId="0" xfId="7" applyFont="1"/>
    <xf numFmtId="0" fontId="56" fillId="0" borderId="0" xfId="17" applyFont="1" applyAlignment="1">
      <alignment horizontal="right"/>
    </xf>
    <xf numFmtId="0" fontId="51" fillId="0" borderId="0" xfId="17" applyFont="1"/>
    <xf numFmtId="0" fontId="63" fillId="0" borderId="0" xfId="17" applyFont="1"/>
    <xf numFmtId="164" fontId="59" fillId="0" borderId="0" xfId="7" applyFont="1" applyAlignment="1">
      <alignment horizontal="center"/>
    </xf>
    <xf numFmtId="0" fontId="57" fillId="0" borderId="0" xfId="17" applyFont="1"/>
    <xf numFmtId="0" fontId="51" fillId="0" borderId="0" xfId="17" applyFont="1" applyAlignment="1">
      <alignment vertical="center"/>
    </xf>
    <xf numFmtId="1" fontId="75" fillId="2" borderId="21" xfId="7" applyNumberFormat="1" applyFont="1" applyFill="1" applyBorder="1" applyAlignment="1">
      <alignment horizontal="center" vertical="center" wrapText="1"/>
    </xf>
    <xf numFmtId="164" fontId="58" fillId="0" borderId="6" xfId="3" applyNumberFormat="1" applyFont="1" applyBorder="1"/>
    <xf numFmtId="0" fontId="56" fillId="0" borderId="0" xfId="17" applyFont="1"/>
    <xf numFmtId="0" fontId="52" fillId="0" borderId="6" xfId="17" quotePrefix="1" applyFont="1" applyBorder="1" applyAlignment="1">
      <alignment horizontal="left" vertical="center" indent="1"/>
    </xf>
    <xf numFmtId="164" fontId="59" fillId="0" borderId="6" xfId="3" applyNumberFormat="1" applyFont="1" applyBorder="1"/>
    <xf numFmtId="164" fontId="58" fillId="0" borderId="3" xfId="3" applyNumberFormat="1" applyFont="1" applyBorder="1"/>
    <xf numFmtId="0" fontId="63" fillId="0" borderId="6" xfId="17" quotePrefix="1" applyFont="1" applyBorder="1" applyAlignment="1">
      <alignment horizontal="left" vertical="center" indent="1"/>
    </xf>
    <xf numFmtId="0" fontId="63" fillId="0" borderId="6" xfId="17" applyFont="1" applyBorder="1" applyAlignment="1">
      <alignment horizontal="left" vertical="center" indent="1"/>
    </xf>
    <xf numFmtId="0" fontId="57" fillId="0" borderId="97" xfId="17" applyFont="1" applyBorder="1" applyAlignment="1">
      <alignment horizontal="left" vertical="center"/>
    </xf>
    <xf numFmtId="164" fontId="75" fillId="0" borderId="6" xfId="3" applyNumberFormat="1" applyFont="1" applyBorder="1"/>
    <xf numFmtId="0" fontId="52" fillId="0" borderId="97" xfId="17" applyFont="1" applyBorder="1" applyAlignment="1">
      <alignment horizontal="left" vertical="center"/>
    </xf>
    <xf numFmtId="0" fontId="51" fillId="0" borderId="6" xfId="17" applyFont="1" applyBorder="1" applyAlignment="1">
      <alignment horizontal="left" vertical="center" wrapText="1" indent="2"/>
    </xf>
    <xf numFmtId="0" fontId="51" fillId="0" borderId="0" xfId="2" applyFont="1" applyAlignment="1">
      <alignment horizontal="center"/>
    </xf>
    <xf numFmtId="0" fontId="68" fillId="0" borderId="0" xfId="2" applyFont="1" applyAlignment="1">
      <alignment horizontal="center" wrapText="1"/>
    </xf>
    <xf numFmtId="0" fontId="56" fillId="0" borderId="4" xfId="2" applyFont="1" applyFill="1" applyBorder="1" applyAlignment="1">
      <alignment horizontal="center" vertical="center"/>
    </xf>
    <xf numFmtId="43" fontId="57" fillId="0" borderId="5" xfId="2" applyNumberFormat="1" applyFont="1" applyFill="1" applyBorder="1" applyAlignment="1">
      <alignment horizontal="left" vertical="center" wrapText="1"/>
    </xf>
    <xf numFmtId="0" fontId="51" fillId="0" borderId="52" xfId="2" applyFont="1" applyFill="1" applyBorder="1" applyAlignment="1">
      <alignment horizontal="center" vertical="center"/>
    </xf>
    <xf numFmtId="43" fontId="52" fillId="0" borderId="5" xfId="3" applyFont="1" applyFill="1" applyBorder="1" applyAlignment="1">
      <alignment horizontal="left" vertical="center" wrapText="1"/>
    </xf>
    <xf numFmtId="43" fontId="52" fillId="0" borderId="49" xfId="3" applyNumberFormat="1" applyFont="1" applyFill="1" applyBorder="1" applyAlignment="1">
      <alignment horizontal="left" vertical="center" wrapText="1"/>
    </xf>
    <xf numFmtId="0" fontId="51" fillId="0" borderId="5" xfId="2" applyFont="1" applyFill="1" applyBorder="1" applyAlignment="1">
      <alignment horizontal="center" vertical="center"/>
    </xf>
    <xf numFmtId="0" fontId="51" fillId="0" borderId="5" xfId="2" applyFont="1" applyFill="1" applyBorder="1" applyAlignment="1">
      <alignment horizontal="center" vertical="top"/>
    </xf>
    <xf numFmtId="0" fontId="51" fillId="0" borderId="6" xfId="2" applyFont="1" applyFill="1" applyBorder="1" applyAlignment="1">
      <alignment horizontal="center" vertical="top"/>
    </xf>
    <xf numFmtId="0" fontId="51" fillId="0" borderId="6" xfId="2" applyFont="1" applyBorder="1"/>
    <xf numFmtId="0" fontId="51" fillId="0" borderId="0" xfId="2" applyFont="1" applyFill="1" applyBorder="1" applyAlignment="1">
      <alignment horizontal="center" vertical="top"/>
    </xf>
    <xf numFmtId="0" fontId="51" fillId="0" borderId="0" xfId="2" applyFont="1" applyAlignment="1">
      <alignment horizontal="center" vertical="top"/>
    </xf>
    <xf numFmtId="43" fontId="52" fillId="0" borderId="5" xfId="2" applyNumberFormat="1" applyFont="1" applyFill="1" applyBorder="1" applyAlignment="1">
      <alignment horizontal="left" vertical="center" wrapText="1"/>
    </xf>
    <xf numFmtId="43" fontId="57" fillId="0" borderId="4" xfId="2" applyNumberFormat="1" applyFont="1" applyFill="1" applyBorder="1" applyAlignment="1">
      <alignment horizontal="center" vertical="center" wrapText="1"/>
    </xf>
    <xf numFmtId="43" fontId="68" fillId="0" borderId="0" xfId="2" applyNumberFormat="1" applyFont="1" applyAlignment="1">
      <alignment wrapText="1"/>
    </xf>
    <xf numFmtId="43" fontId="56" fillId="0" borderId="0" xfId="2" applyNumberFormat="1" applyFont="1" applyAlignment="1">
      <alignment horizontal="right"/>
    </xf>
    <xf numFmtId="0" fontId="51" fillId="0" borderId="4" xfId="2" applyFont="1" applyFill="1" applyBorder="1" applyAlignment="1">
      <alignment horizontal="center" vertical="center"/>
    </xf>
    <xf numFmtId="43" fontId="52" fillId="0" borderId="4" xfId="2" applyNumberFormat="1" applyFont="1" applyFill="1" applyBorder="1" applyAlignment="1">
      <alignment horizontal="left" vertical="center" wrapText="1"/>
    </xf>
    <xf numFmtId="0" fontId="56" fillId="0" borderId="5" xfId="2" applyFont="1" applyBorder="1" applyAlignment="1">
      <alignment horizontal="center" vertical="center"/>
    </xf>
    <xf numFmtId="43" fontId="56" fillId="0" borderId="5" xfId="2" applyNumberFormat="1" applyFont="1" applyBorder="1" applyAlignment="1">
      <alignment vertical="center"/>
    </xf>
    <xf numFmtId="43" fontId="51" fillId="0" borderId="0" xfId="2" applyNumberFormat="1" applyFont="1" applyBorder="1"/>
    <xf numFmtId="0" fontId="56" fillId="0" borderId="5" xfId="2" applyFont="1" applyFill="1" applyBorder="1" applyAlignment="1">
      <alignment horizontal="center" vertical="center"/>
    </xf>
    <xf numFmtId="43" fontId="57" fillId="0" borderId="5" xfId="2" applyNumberFormat="1" applyFont="1" applyFill="1" applyBorder="1" applyAlignment="1">
      <alignment horizontal="center" vertical="center" wrapText="1"/>
    </xf>
    <xf numFmtId="0" fontId="28" fillId="0" borderId="0" xfId="0" applyFont="1" applyFill="1" applyBorder="1" applyAlignment="1">
      <alignment horizontal="center" vertical="center" wrapText="1"/>
    </xf>
    <xf numFmtId="0" fontId="2" fillId="0" borderId="0" xfId="180" applyFill="1"/>
    <xf numFmtId="0" fontId="2" fillId="0" borderId="0" xfId="180" applyFill="1" applyAlignment="1"/>
    <xf numFmtId="0" fontId="3" fillId="0" borderId="68" xfId="180" applyFont="1" applyFill="1" applyBorder="1" applyAlignment="1">
      <alignment horizontal="center" vertical="center" wrapText="1"/>
    </xf>
    <xf numFmtId="0" fontId="2" fillId="0" borderId="0" xfId="17" applyFont="1" applyFill="1" applyBorder="1"/>
    <xf numFmtId="43" fontId="79" fillId="0" borderId="0" xfId="1" applyFont="1" applyFill="1" applyBorder="1"/>
    <xf numFmtId="0" fontId="3" fillId="0" borderId="0" xfId="17" applyFont="1" applyFill="1" applyBorder="1" applyAlignment="1">
      <alignment horizontal="right"/>
    </xf>
    <xf numFmtId="43" fontId="2" fillId="0" borderId="0" xfId="1" applyFont="1" applyFill="1" applyBorder="1"/>
    <xf numFmtId="0" fontId="3" fillId="0" borderId="0" xfId="17" applyFont="1" applyFill="1" applyBorder="1"/>
    <xf numFmtId="43" fontId="3" fillId="0" borderId="0" xfId="3" applyFont="1" applyFill="1" applyBorder="1" applyAlignment="1">
      <alignment horizontal="center"/>
    </xf>
    <xf numFmtId="43" fontId="3" fillId="0" borderId="0" xfId="1" applyFont="1" applyFill="1" applyBorder="1"/>
    <xf numFmtId="0" fontId="2" fillId="0" borderId="0" xfId="17" applyFont="1" applyFill="1" applyBorder="1" applyAlignment="1">
      <alignment horizontal="center"/>
    </xf>
    <xf numFmtId="43" fontId="2" fillId="0" borderId="1" xfId="1" applyFont="1" applyFill="1" applyBorder="1"/>
    <xf numFmtId="43" fontId="3" fillId="0" borderId="8" xfId="1" applyFont="1" applyFill="1" applyBorder="1"/>
    <xf numFmtId="43" fontId="3" fillId="0" borderId="0" xfId="1" applyFont="1" applyFill="1" applyBorder="1" applyAlignment="1">
      <alignment horizontal="center"/>
    </xf>
    <xf numFmtId="0" fontId="15" fillId="4" borderId="3" xfId="0" applyFont="1" applyFill="1" applyBorder="1" applyAlignment="1">
      <alignment horizontal="center" vertical="center"/>
    </xf>
    <xf numFmtId="0" fontId="80" fillId="0" borderId="5" xfId="0" applyFont="1" applyBorder="1" applyAlignment="1">
      <alignment vertical="center" wrapText="1"/>
    </xf>
    <xf numFmtId="0" fontId="81" fillId="0" borderId="5" xfId="0" applyFont="1" applyBorder="1" applyAlignment="1">
      <alignment vertical="center" wrapText="1"/>
    </xf>
    <xf numFmtId="0" fontId="80" fillId="0" borderId="5" xfId="0" applyFont="1" applyBorder="1" applyAlignment="1">
      <alignment horizontal="justify" vertical="center" wrapText="1"/>
    </xf>
    <xf numFmtId="0" fontId="27" fillId="0" borderId="5" xfId="0" applyFont="1" applyBorder="1" applyAlignment="1">
      <alignment vertical="center" wrapText="1"/>
    </xf>
    <xf numFmtId="0" fontId="27" fillId="0" borderId="5" xfId="0" applyFont="1" applyBorder="1" applyAlignment="1">
      <alignment horizontal="justify" vertical="center" wrapText="1"/>
    </xf>
    <xf numFmtId="0" fontId="80" fillId="0" borderId="6" xfId="0" applyFont="1" applyBorder="1" applyAlignment="1">
      <alignment vertical="center" wrapText="1"/>
    </xf>
    <xf numFmtId="0" fontId="80" fillId="0" borderId="6" xfId="0" applyFont="1" applyBorder="1" applyAlignment="1">
      <alignment horizontal="justify" vertical="center" wrapText="1"/>
    </xf>
    <xf numFmtId="0" fontId="11" fillId="0" borderId="0" xfId="0" applyFont="1"/>
    <xf numFmtId="0" fontId="11" fillId="2" borderId="10" xfId="0" applyFont="1" applyFill="1" applyBorder="1"/>
    <xf numFmtId="0" fontId="11" fillId="2" borderId="22" xfId="0" applyFont="1" applyFill="1" applyBorder="1"/>
    <xf numFmtId="0" fontId="11" fillId="2" borderId="11" xfId="0" applyFont="1" applyFill="1" applyBorder="1"/>
    <xf numFmtId="0" fontId="11" fillId="0" borderId="16" xfId="0" applyFont="1" applyBorder="1"/>
    <xf numFmtId="0" fontId="11" fillId="0" borderId="0" xfId="0" applyFont="1" applyBorder="1"/>
    <xf numFmtId="0" fontId="11" fillId="0" borderId="17" xfId="0" applyFont="1" applyBorder="1"/>
    <xf numFmtId="0" fontId="11" fillId="0" borderId="19" xfId="0" applyFont="1" applyBorder="1"/>
    <xf numFmtId="0" fontId="11" fillId="0" borderId="54" xfId="0" applyFont="1" applyBorder="1"/>
    <xf numFmtId="0" fontId="11" fillId="0" borderId="20" xfId="0" applyFont="1" applyBorder="1"/>
    <xf numFmtId="4" fontId="2" fillId="0" borderId="0" xfId="2" applyNumberFormat="1" applyAlignment="1">
      <alignment vertical="center"/>
    </xf>
    <xf numFmtId="0" fontId="56" fillId="0" borderId="0" xfId="2" applyFont="1" applyFill="1" applyBorder="1" applyAlignment="1">
      <alignment vertical="top" textRotation="180"/>
    </xf>
    <xf numFmtId="0" fontId="56" fillId="0" borderId="0" xfId="2" applyFont="1" applyFill="1" applyBorder="1" applyAlignment="1">
      <alignment horizontal="center" vertical="top" textRotation="180"/>
    </xf>
    <xf numFmtId="43" fontId="51" fillId="0" borderId="3" xfId="22" applyNumberFormat="1" applyFont="1" applyFill="1" applyBorder="1" applyAlignment="1">
      <alignment horizontal="center"/>
    </xf>
    <xf numFmtId="43" fontId="75" fillId="0" borderId="0" xfId="2" applyNumberFormat="1" applyFont="1"/>
    <xf numFmtId="0" fontId="63" fillId="0" borderId="6" xfId="17" applyFont="1" applyFill="1" applyBorder="1" applyAlignment="1">
      <alignment horizontal="left" vertical="center" indent="1"/>
    </xf>
    <xf numFmtId="43" fontId="56" fillId="0" borderId="0" xfId="17" applyNumberFormat="1" applyFont="1"/>
    <xf numFmtId="0" fontId="51" fillId="0" borderId="0" xfId="2" applyFont="1" applyFill="1" applyAlignment="1">
      <alignment horizontal="left" indent="2"/>
    </xf>
    <xf numFmtId="0" fontId="56" fillId="0" borderId="0" xfId="2" applyFont="1" applyAlignment="1">
      <alignment horizontal="left" indent="2"/>
    </xf>
    <xf numFmtId="43" fontId="51" fillId="0" borderId="0" xfId="3" applyFont="1" applyAlignment="1">
      <alignment vertical="center"/>
    </xf>
    <xf numFmtId="0" fontId="56" fillId="0" borderId="0" xfId="2" applyFont="1" applyFill="1" applyBorder="1" applyAlignment="1">
      <alignment horizontal="left" indent="2"/>
    </xf>
    <xf numFmtId="0" fontId="51" fillId="0" borderId="0" xfId="16" applyFont="1" applyFill="1" applyAlignment="1">
      <alignment vertical="center" wrapText="1"/>
    </xf>
    <xf numFmtId="0" fontId="56" fillId="0" borderId="0" xfId="16" applyFont="1" applyFill="1" applyAlignment="1">
      <alignment vertical="center" wrapText="1"/>
    </xf>
    <xf numFmtId="43" fontId="51" fillId="0" borderId="0" xfId="8" applyFont="1" applyFill="1" applyBorder="1" applyAlignment="1">
      <alignment vertical="center" wrapText="1"/>
    </xf>
    <xf numFmtId="43" fontId="17" fillId="0" borderId="0" xfId="8" applyFont="1" applyFill="1" applyAlignment="1">
      <alignment vertical="center" wrapText="1"/>
    </xf>
    <xf numFmtId="43" fontId="51" fillId="0" borderId="0" xfId="3" applyFont="1" applyFill="1" applyBorder="1" applyAlignment="1">
      <alignment vertical="center" wrapText="1"/>
    </xf>
    <xf numFmtId="0" fontId="51" fillId="0" borderId="0" xfId="16" applyFont="1" applyAlignment="1">
      <alignment vertical="center" wrapText="1"/>
    </xf>
    <xf numFmtId="0" fontId="51" fillId="0" borderId="0" xfId="16" applyFont="1" applyFill="1" applyAlignment="1">
      <alignment horizontal="left" indent="1"/>
    </xf>
    <xf numFmtId="0" fontId="56" fillId="0" borderId="0" xfId="3" applyNumberFormat="1" applyFont="1" applyAlignment="1">
      <alignment horizontal="center"/>
    </xf>
    <xf numFmtId="0" fontId="56" fillId="0" borderId="0" xfId="3" applyNumberFormat="1" applyFont="1" applyBorder="1" applyAlignment="1">
      <alignment horizontal="center"/>
    </xf>
    <xf numFmtId="0" fontId="57" fillId="0" borderId="0" xfId="16" applyNumberFormat="1" applyFont="1" applyFill="1" applyAlignment="1">
      <alignment horizontal="center"/>
    </xf>
    <xf numFmtId="49" fontId="6" fillId="0" borderId="0" xfId="2" applyNumberFormat="1" applyFont="1" applyFill="1" applyBorder="1" applyAlignment="1">
      <alignment horizontal="center"/>
    </xf>
    <xf numFmtId="0" fontId="23" fillId="0" borderId="0" xfId="0" applyFont="1" applyBorder="1" applyAlignment="1" applyProtection="1">
      <alignment horizontal="justify" vertical="center"/>
      <protection locked="0"/>
    </xf>
    <xf numFmtId="0" fontId="23" fillId="0" borderId="0" xfId="0" applyFont="1" applyBorder="1" applyAlignment="1" applyProtection="1">
      <alignment horizontal="center" vertical="center"/>
      <protection locked="0"/>
    </xf>
    <xf numFmtId="0" fontId="32" fillId="0" borderId="60" xfId="0" applyFont="1" applyBorder="1" applyAlignment="1" applyProtection="1">
      <alignment horizontal="justify" vertical="center"/>
      <protection locked="0"/>
    </xf>
    <xf numFmtId="0" fontId="32" fillId="0" borderId="5" xfId="0" applyFont="1" applyBorder="1" applyAlignment="1" applyProtection="1">
      <alignment horizontal="center" vertical="center"/>
      <protection locked="0"/>
    </xf>
    <xf numFmtId="0" fontId="32" fillId="0" borderId="61" xfId="0" applyFont="1" applyBorder="1" applyAlignment="1" applyProtection="1">
      <alignment horizontal="center" vertical="center"/>
      <protection locked="0"/>
    </xf>
    <xf numFmtId="4" fontId="39" fillId="0" borderId="3" xfId="0" applyNumberFormat="1" applyFont="1" applyFill="1" applyBorder="1"/>
    <xf numFmtId="0" fontId="6" fillId="0" borderId="0" xfId="180" applyFont="1" applyFill="1" applyAlignment="1">
      <alignment horizontal="center" vertical="center"/>
    </xf>
    <xf numFmtId="0" fontId="71" fillId="0" borderId="5" xfId="0" applyFont="1" applyBorder="1" applyAlignment="1">
      <alignment horizontal="center" vertical="center" wrapText="1"/>
    </xf>
    <xf numFmtId="43" fontId="71" fillId="0" borderId="5" xfId="0" applyNumberFormat="1" applyFont="1" applyBorder="1" applyAlignment="1">
      <alignment horizontal="justify" vertical="center" wrapText="1"/>
    </xf>
    <xf numFmtId="0" fontId="32" fillId="0" borderId="5" xfId="0" applyFont="1" applyBorder="1" applyAlignment="1">
      <alignment horizontal="center" vertical="center" wrapText="1"/>
    </xf>
    <xf numFmtId="14" fontId="71" fillId="0" borderId="5" xfId="0" applyNumberFormat="1" applyFont="1" applyBorder="1" applyAlignment="1">
      <alignment horizontal="center" vertical="center" wrapText="1"/>
    </xf>
    <xf numFmtId="0" fontId="83" fillId="0" borderId="5" xfId="0" applyFont="1" applyBorder="1" applyAlignment="1">
      <alignment horizontal="center" vertical="center" wrapText="1"/>
    </xf>
    <xf numFmtId="0" fontId="83" fillId="0" borderId="4" xfId="0" applyFont="1" applyBorder="1" applyAlignment="1">
      <alignment horizontal="center" vertical="center" wrapText="1"/>
    </xf>
    <xf numFmtId="0" fontId="71" fillId="0" borderId="4" xfId="0" applyFont="1" applyBorder="1" applyAlignment="1">
      <alignment horizontal="center" vertical="center" wrapText="1"/>
    </xf>
    <xf numFmtId="0" fontId="32" fillId="0" borderId="4" xfId="0" applyFont="1" applyBorder="1" applyAlignment="1">
      <alignment horizontal="center" vertical="center" wrapText="1"/>
    </xf>
    <xf numFmtId="43" fontId="71" fillId="0" borderId="4" xfId="0" applyNumberFormat="1" applyFont="1" applyBorder="1" applyAlignment="1">
      <alignment horizontal="justify" vertical="center" wrapText="1"/>
    </xf>
    <xf numFmtId="14" fontId="71" fillId="0" borderId="4" xfId="0" applyNumberFormat="1" applyFont="1" applyBorder="1" applyAlignment="1">
      <alignment horizontal="center" vertical="center" wrapText="1"/>
    </xf>
    <xf numFmtId="0" fontId="83" fillId="0" borderId="6" xfId="0" applyFont="1" applyBorder="1" applyAlignment="1">
      <alignment horizontal="center" vertical="center" wrapText="1"/>
    </xf>
    <xf numFmtId="0" fontId="71" fillId="0" borderId="6" xfId="0" applyFont="1" applyBorder="1" applyAlignment="1">
      <alignment horizontal="center" vertical="center" wrapText="1"/>
    </xf>
    <xf numFmtId="0" fontId="32" fillId="0" borderId="6" xfId="0" applyFont="1" applyBorder="1" applyAlignment="1">
      <alignment horizontal="center" vertical="center" wrapText="1"/>
    </xf>
    <xf numFmtId="43" fontId="71" fillId="0" borderId="6" xfId="0" applyNumberFormat="1" applyFont="1" applyBorder="1" applyAlignment="1">
      <alignment horizontal="justify" vertical="center" wrapText="1"/>
    </xf>
    <xf numFmtId="14" fontId="71" fillId="0" borderId="6" xfId="0" applyNumberFormat="1" applyFont="1" applyBorder="1" applyAlignment="1">
      <alignment horizontal="center" vertical="center" wrapText="1"/>
    </xf>
    <xf numFmtId="43" fontId="32" fillId="0" borderId="5" xfId="1" applyNumberFormat="1" applyFont="1" applyFill="1" applyBorder="1" applyAlignment="1">
      <alignment horizontal="center" vertical="center"/>
    </xf>
    <xf numFmtId="41" fontId="71" fillId="0" borderId="0" xfId="0" applyNumberFormat="1" applyFont="1" applyBorder="1" applyAlignment="1">
      <alignment horizontal="center" vertical="center"/>
    </xf>
    <xf numFmtId="41" fontId="0" fillId="0" borderId="0" xfId="0" applyNumberFormat="1" applyFont="1"/>
    <xf numFmtId="43" fontId="6" fillId="0" borderId="3" xfId="8" applyNumberFormat="1" applyFont="1" applyFill="1" applyBorder="1" applyAlignment="1">
      <alignment vertical="center" wrapText="1"/>
    </xf>
    <xf numFmtId="43" fontId="6" fillId="0" borderId="3" xfId="2" applyNumberFormat="1" applyFont="1" applyBorder="1" applyAlignment="1">
      <alignment vertical="center" wrapText="1"/>
    </xf>
    <xf numFmtId="43" fontId="84" fillId="9" borderId="0" xfId="0" applyNumberFormat="1" applyFont="1" applyFill="1" applyBorder="1" applyAlignment="1">
      <alignment horizontal="left" vertical="top"/>
    </xf>
    <xf numFmtId="43" fontId="84" fillId="9" borderId="0" xfId="0" applyNumberFormat="1" applyFont="1" applyFill="1" applyBorder="1" applyAlignment="1">
      <alignment horizontal="right" vertical="top"/>
    </xf>
    <xf numFmtId="43" fontId="6" fillId="0" borderId="3" xfId="8" applyNumberFormat="1" applyFont="1" applyBorder="1" applyAlignment="1">
      <alignment vertical="center" wrapText="1"/>
    </xf>
    <xf numFmtId="43" fontId="52" fillId="0" borderId="0" xfId="2" applyNumberFormat="1" applyFont="1" applyBorder="1" applyAlignment="1">
      <alignment horizontal="left" vertical="center"/>
    </xf>
    <xf numFmtId="0" fontId="2" fillId="0" borderId="0" xfId="20"/>
    <xf numFmtId="0" fontId="85" fillId="0" borderId="0" xfId="20" applyFont="1"/>
    <xf numFmtId="0" fontId="4" fillId="0" borderId="0" xfId="20" applyFont="1" applyAlignment="1">
      <alignment horizontal="center"/>
    </xf>
    <xf numFmtId="0" fontId="4" fillId="0" borderId="0" xfId="20" applyFont="1" applyAlignment="1">
      <alignment horizontal="center" wrapText="1"/>
    </xf>
    <xf numFmtId="0" fontId="2" fillId="0" borderId="0" xfId="20" applyFont="1" applyAlignment="1">
      <alignment vertical="center"/>
    </xf>
    <xf numFmtId="0" fontId="2" fillId="0" borderId="5" xfId="20" applyFont="1" applyBorder="1" applyAlignment="1">
      <alignment vertical="top" wrapText="1"/>
    </xf>
    <xf numFmtId="15" fontId="2" fillId="0" borderId="5" xfId="20" applyNumberFormat="1" applyFont="1" applyBorder="1" applyAlignment="1">
      <alignment horizontal="center" vertical="top" wrapText="1"/>
    </xf>
    <xf numFmtId="0" fontId="2" fillId="0" borderId="5" xfId="20" applyFont="1" applyBorder="1" applyAlignment="1">
      <alignment horizontal="center" vertical="top" wrapText="1"/>
    </xf>
    <xf numFmtId="9" fontId="2" fillId="0" borderId="5" xfId="23" applyFont="1" applyBorder="1" applyAlignment="1">
      <alignment horizontal="center" vertical="top" wrapText="1"/>
    </xf>
    <xf numFmtId="43" fontId="2" fillId="0" borderId="5" xfId="1" applyFont="1" applyBorder="1" applyAlignment="1">
      <alignment vertical="top" wrapText="1"/>
    </xf>
    <xf numFmtId="0" fontId="2" fillId="0" borderId="55" xfId="20" applyFont="1" applyBorder="1" applyAlignment="1">
      <alignment vertical="top" wrapText="1"/>
    </xf>
    <xf numFmtId="15" fontId="2" fillId="0" borderId="55" xfId="20" applyNumberFormat="1" applyFont="1" applyBorder="1" applyAlignment="1">
      <alignment horizontal="center" vertical="top" wrapText="1"/>
    </xf>
    <xf numFmtId="9" fontId="2" fillId="0" borderId="55" xfId="23" applyFont="1" applyBorder="1" applyAlignment="1">
      <alignment horizontal="center" vertical="top" wrapText="1"/>
    </xf>
    <xf numFmtId="0" fontId="2" fillId="0" borderId="54" xfId="20" applyFont="1" applyBorder="1" applyAlignment="1">
      <alignment vertical="top" wrapText="1"/>
    </xf>
    <xf numFmtId="0" fontId="2" fillId="0" borderId="60" xfId="20" applyFont="1" applyBorder="1" applyAlignment="1">
      <alignment horizontal="center"/>
    </xf>
    <xf numFmtId="0" fontId="85" fillId="0" borderId="0" xfId="20" applyFont="1" applyAlignment="1">
      <alignment horizontal="center"/>
    </xf>
    <xf numFmtId="0" fontId="2" fillId="0" borderId="56" xfId="20" applyFont="1" applyBorder="1" applyAlignment="1">
      <alignment horizontal="center"/>
    </xf>
    <xf numFmtId="0" fontId="2" fillId="0" borderId="0" xfId="20" applyAlignment="1">
      <alignment horizontal="center"/>
    </xf>
    <xf numFmtId="0" fontId="51" fillId="0" borderId="0" xfId="2" applyFont="1" applyFill="1" applyBorder="1" applyAlignment="1">
      <alignment horizontal="center"/>
    </xf>
    <xf numFmtId="43" fontId="63" fillId="0" borderId="0" xfId="0" applyNumberFormat="1" applyFont="1" applyBorder="1" applyAlignment="1">
      <alignment horizontal="center"/>
    </xf>
    <xf numFmtId="43" fontId="85" fillId="0" borderId="0" xfId="20" applyNumberFormat="1" applyFont="1"/>
    <xf numFmtId="43" fontId="3" fillId="0" borderId="0" xfId="20" applyNumberFormat="1" applyFont="1" applyAlignment="1">
      <alignment horizontal="right" wrapText="1"/>
    </xf>
    <xf numFmtId="43" fontId="2" fillId="0" borderId="61" xfId="1" applyNumberFormat="1" applyFont="1" applyBorder="1" applyAlignment="1">
      <alignment vertical="top" wrapText="1"/>
    </xf>
    <xf numFmtId="43" fontId="2" fillId="0" borderId="57" xfId="20" applyNumberFormat="1" applyFont="1" applyBorder="1" applyAlignment="1">
      <alignment vertical="top" wrapText="1"/>
    </xf>
    <xf numFmtId="43" fontId="2" fillId="0" borderId="0" xfId="20" applyNumberFormat="1"/>
    <xf numFmtId="43" fontId="51" fillId="0" borderId="0" xfId="2" applyNumberFormat="1" applyFont="1" applyFill="1" applyBorder="1"/>
    <xf numFmtId="0" fontId="2" fillId="0" borderId="5" xfId="20" applyFont="1" applyBorder="1" applyAlignment="1">
      <alignment horizontal="center"/>
    </xf>
    <xf numFmtId="0" fontId="2" fillId="0" borderId="55" xfId="20" applyFont="1" applyBorder="1" applyAlignment="1">
      <alignment horizontal="center"/>
    </xf>
    <xf numFmtId="43" fontId="51" fillId="0" borderId="0" xfId="3" applyFont="1" applyBorder="1" applyAlignment="1">
      <alignment horizontal="center"/>
    </xf>
    <xf numFmtId="0" fontId="3" fillId="0" borderId="0" xfId="17" applyFont="1" applyFill="1" applyBorder="1" applyAlignment="1">
      <alignment horizontal="center"/>
    </xf>
    <xf numFmtId="170" fontId="55" fillId="0" borderId="86" xfId="19" applyNumberFormat="1" applyFont="1" applyBorder="1" applyAlignment="1">
      <alignment horizontal="center" vertical="center" wrapText="1"/>
    </xf>
    <xf numFmtId="44" fontId="0" fillId="0" borderId="0" xfId="0" applyNumberFormat="1"/>
    <xf numFmtId="44" fontId="0" fillId="0" borderId="0" xfId="0" applyNumberFormat="1" applyAlignment="1">
      <alignment horizontal="center" vertical="center" wrapText="1"/>
    </xf>
    <xf numFmtId="0" fontId="2" fillId="0" borderId="0" xfId="17" applyFont="1" applyFill="1"/>
    <xf numFmtId="43" fontId="2" fillId="0" borderId="0" xfId="1" applyFont="1" applyFill="1"/>
    <xf numFmtId="43" fontId="79" fillId="0" borderId="0" xfId="1" applyFont="1" applyFill="1"/>
    <xf numFmtId="0" fontId="3" fillId="0" borderId="0" xfId="2" applyFont="1" applyFill="1" applyAlignment="1">
      <alignment horizontal="center"/>
    </xf>
    <xf numFmtId="0" fontId="3" fillId="0" borderId="0" xfId="2" applyFont="1" applyFill="1"/>
    <xf numFmtId="0" fontId="2" fillId="0" borderId="0" xfId="2" applyFont="1" applyFill="1" applyAlignment="1">
      <alignment horizontal="center"/>
    </xf>
    <xf numFmtId="0" fontId="2" fillId="0" borderId="0" xfId="2" applyFont="1" applyFill="1" applyAlignment="1">
      <alignment vertical="top" wrapText="1"/>
    </xf>
    <xf numFmtId="0" fontId="2" fillId="0" borderId="0" xfId="2" applyFont="1" applyFill="1" applyAlignment="1">
      <alignment horizontal="center" vertical="top"/>
    </xf>
    <xf numFmtId="0" fontId="3" fillId="0" borderId="0" xfId="17" applyFont="1" applyFill="1"/>
    <xf numFmtId="43" fontId="3" fillId="0" borderId="0" xfId="1" applyFont="1" applyFill="1"/>
    <xf numFmtId="0" fontId="24" fillId="0" borderId="0" xfId="0" applyFont="1" applyFill="1" applyAlignment="1">
      <alignment vertical="center"/>
    </xf>
    <xf numFmtId="0" fontId="3" fillId="0" borderId="0" xfId="2" applyFont="1" applyFill="1" applyAlignment="1">
      <alignment horizontal="center" vertical="top"/>
    </xf>
    <xf numFmtId="0" fontId="2" fillId="0" borderId="0" xfId="2" applyFont="1" applyFill="1" applyAlignment="1">
      <alignment horizontal="left"/>
    </xf>
    <xf numFmtId="43" fontId="3" fillId="0" borderId="0" xfId="3" applyFont="1" applyFill="1" applyAlignment="1">
      <alignment horizontal="center"/>
    </xf>
    <xf numFmtId="0" fontId="3" fillId="0" borderId="0" xfId="17" applyFont="1" applyFill="1" applyAlignment="1">
      <alignment horizontal="right"/>
    </xf>
    <xf numFmtId="43" fontId="24" fillId="0" borderId="0" xfId="1" applyFont="1" applyFill="1"/>
    <xf numFmtId="4" fontId="2" fillId="0" borderId="0" xfId="1" applyNumberFormat="1" applyFont="1" applyFill="1" applyBorder="1"/>
    <xf numFmtId="0" fontId="49" fillId="0" borderId="0" xfId="19" applyFont="1" applyAlignment="1">
      <alignment horizontal="center"/>
    </xf>
    <xf numFmtId="0" fontId="6" fillId="0" borderId="0" xfId="180" applyFont="1" applyAlignment="1">
      <alignment horizontal="center" vertical="center"/>
    </xf>
    <xf numFmtId="0" fontId="2" fillId="0" borderId="0" xfId="180"/>
    <xf numFmtId="0" fontId="36" fillId="0" borderId="0" xfId="180" applyFont="1" applyAlignment="1">
      <alignment horizontal="center" vertical="center"/>
    </xf>
    <xf numFmtId="0" fontId="37" fillId="0" borderId="0" xfId="180" applyFont="1" applyAlignment="1">
      <alignment vertical="center"/>
    </xf>
    <xf numFmtId="0" fontId="2" fillId="0" borderId="0" xfId="180" applyFont="1" applyAlignment="1">
      <alignment vertical="center"/>
    </xf>
    <xf numFmtId="0" fontId="37" fillId="0" borderId="0" xfId="180" applyFont="1" applyAlignment="1">
      <alignment horizontal="left" vertical="center"/>
    </xf>
    <xf numFmtId="0" fontId="2" fillId="0" borderId="0" xfId="180" applyAlignment="1">
      <alignment vertical="center"/>
    </xf>
    <xf numFmtId="0" fontId="36" fillId="0" borderId="0" xfId="180" applyFont="1" applyAlignment="1">
      <alignment vertical="center"/>
    </xf>
    <xf numFmtId="0" fontId="36" fillId="0" borderId="0" xfId="180" applyFont="1" applyBorder="1" applyAlignment="1">
      <alignment vertical="center"/>
    </xf>
    <xf numFmtId="0" fontId="2" fillId="0" borderId="0" xfId="180" applyFont="1" applyBorder="1" applyAlignment="1">
      <alignment vertical="center"/>
    </xf>
    <xf numFmtId="0" fontId="36" fillId="0" borderId="0" xfId="180" applyFont="1"/>
    <xf numFmtId="0" fontId="37" fillId="0" borderId="0" xfId="180" applyFont="1" applyAlignment="1">
      <alignment horizontal="center" vertical="center"/>
    </xf>
    <xf numFmtId="0" fontId="6" fillId="0" borderId="100" xfId="180" applyFont="1" applyBorder="1" applyAlignment="1">
      <alignment horizontal="center" vertical="center"/>
    </xf>
    <xf numFmtId="0" fontId="6" fillId="0" borderId="71" xfId="180" applyFont="1" applyBorder="1" applyAlignment="1">
      <alignment horizontal="left" vertical="center" wrapText="1"/>
    </xf>
    <xf numFmtId="0" fontId="6" fillId="0" borderId="72" xfId="180" applyFont="1" applyBorder="1" applyAlignment="1">
      <alignment horizontal="left" vertical="center" wrapText="1"/>
    </xf>
    <xf numFmtId="165" fontId="6" fillId="0" borderId="71" xfId="180" applyNumberFormat="1" applyFont="1" applyBorder="1" applyAlignment="1">
      <alignment horizontal="center" vertical="center"/>
    </xf>
    <xf numFmtId="9" fontId="6" fillId="0" borderId="72" xfId="180" applyNumberFormat="1" applyFont="1" applyBorder="1" applyAlignment="1">
      <alignment horizontal="center" vertical="center"/>
    </xf>
    <xf numFmtId="0" fontId="6" fillId="0" borderId="73" xfId="180" applyFont="1" applyBorder="1" applyAlignment="1">
      <alignment horizontal="center" vertical="center" wrapText="1"/>
    </xf>
    <xf numFmtId="0" fontId="6" fillId="0" borderId="41" xfId="180" applyFont="1" applyBorder="1" applyAlignment="1">
      <alignment horizontal="center" vertical="center"/>
    </xf>
    <xf numFmtId="0" fontId="6" fillId="0" borderId="69" xfId="180" applyFont="1" applyBorder="1" applyAlignment="1">
      <alignment horizontal="center" vertical="center" wrapText="1"/>
    </xf>
    <xf numFmtId="0" fontId="6" fillId="0" borderId="42" xfId="180" applyFont="1" applyBorder="1" applyAlignment="1">
      <alignment horizontal="center" vertical="center" wrapText="1"/>
    </xf>
    <xf numFmtId="165" fontId="6" fillId="0" borderId="102" xfId="180" applyNumberFormat="1" applyFont="1" applyBorder="1" applyAlignment="1">
      <alignment horizontal="center" vertical="center"/>
    </xf>
    <xf numFmtId="10" fontId="6" fillId="0" borderId="42" xfId="180" applyNumberFormat="1" applyFont="1" applyBorder="1" applyAlignment="1">
      <alignment horizontal="center" vertical="center"/>
    </xf>
    <xf numFmtId="0" fontId="6" fillId="0" borderId="43" xfId="180" applyFont="1" applyBorder="1" applyAlignment="1">
      <alignment horizontal="center" vertical="center"/>
    </xf>
    <xf numFmtId="0" fontId="6" fillId="0" borderId="0" xfId="180" applyFont="1" applyAlignment="1">
      <alignment horizontal="center" vertical="center" wrapText="1"/>
    </xf>
    <xf numFmtId="165" fontId="5" fillId="0" borderId="41" xfId="180" applyNumberFormat="1" applyFont="1" applyBorder="1"/>
    <xf numFmtId="165" fontId="5" fillId="0" borderId="43" xfId="180" applyNumberFormat="1" applyFont="1" applyBorder="1"/>
    <xf numFmtId="10" fontId="2" fillId="0" borderId="0" xfId="180" applyNumberFormat="1" applyAlignment="1">
      <alignment horizontal="center" vertical="center"/>
    </xf>
    <xf numFmtId="0" fontId="0" fillId="0" borderId="17" xfId="0" applyNumberFormat="1" applyBorder="1" applyAlignment="1">
      <alignment vertical="center" wrapText="1"/>
    </xf>
    <xf numFmtId="0" fontId="0" fillId="0" borderId="16" xfId="0" applyNumberFormat="1" applyBorder="1" applyAlignment="1">
      <alignment vertical="center" wrapText="1"/>
    </xf>
    <xf numFmtId="0" fontId="0" fillId="0" borderId="0" xfId="0" applyNumberFormat="1" applyBorder="1" applyAlignment="1">
      <alignment vertical="center" wrapText="1"/>
    </xf>
    <xf numFmtId="0" fontId="24" fillId="0" borderId="16" xfId="0" applyFont="1" applyBorder="1" applyAlignment="1">
      <alignment horizontal="left"/>
    </xf>
    <xf numFmtId="0" fontId="24" fillId="0" borderId="0" xfId="0" applyFont="1" applyBorder="1" applyAlignment="1">
      <alignment horizontal="left"/>
    </xf>
    <xf numFmtId="0" fontId="24" fillId="0" borderId="17" xfId="0" applyFont="1" applyBorder="1" applyAlignment="1">
      <alignment horizontal="left"/>
    </xf>
    <xf numFmtId="0" fontId="10" fillId="0" borderId="16" xfId="0" applyFont="1" applyBorder="1"/>
    <xf numFmtId="0" fontId="24" fillId="0" borderId="16" xfId="0" applyFont="1" applyBorder="1"/>
    <xf numFmtId="0" fontId="24" fillId="0" borderId="0" xfId="0" applyFont="1" applyBorder="1"/>
    <xf numFmtId="0" fontId="24" fillId="0" borderId="17" xfId="0" applyFont="1" applyBorder="1"/>
    <xf numFmtId="0" fontId="31" fillId="0" borderId="16" xfId="0" applyFont="1" applyBorder="1"/>
    <xf numFmtId="43" fontId="51" fillId="0" borderId="3" xfId="3" applyNumberFormat="1" applyFont="1" applyFill="1" applyBorder="1" applyAlignment="1">
      <alignment horizontal="center"/>
    </xf>
    <xf numFmtId="43" fontId="51" fillId="0" borderId="3" xfId="2" applyNumberFormat="1" applyFont="1" applyFill="1" applyBorder="1"/>
    <xf numFmtId="43" fontId="59" fillId="0" borderId="3" xfId="3" applyNumberFormat="1" applyFont="1" applyFill="1" applyBorder="1"/>
    <xf numFmtId="0" fontId="0" fillId="0" borderId="0" xfId="0" applyFill="1"/>
    <xf numFmtId="14" fontId="6" fillId="0" borderId="36" xfId="180" applyNumberFormat="1" applyFont="1" applyFill="1" applyBorder="1" applyAlignment="1">
      <alignment horizontal="center" vertical="center" wrapText="1"/>
    </xf>
    <xf numFmtId="43" fontId="28" fillId="0" borderId="0" xfId="0" applyNumberFormat="1" applyFont="1" applyFill="1" applyBorder="1" applyAlignment="1">
      <alignment horizontal="center" vertical="center" wrapText="1"/>
    </xf>
    <xf numFmtId="43" fontId="15" fillId="4" borderId="3" xfId="0" applyNumberFormat="1" applyFont="1" applyFill="1" applyBorder="1" applyAlignment="1">
      <alignment horizontal="center" vertical="center"/>
    </xf>
    <xf numFmtId="0" fontId="0" fillId="0" borderId="0" xfId="0" applyAlignment="1"/>
    <xf numFmtId="0" fontId="88" fillId="0" borderId="5" xfId="0" applyFont="1" applyBorder="1" applyAlignment="1">
      <alignment horizontal="center" vertical="center" wrapText="1"/>
    </xf>
    <xf numFmtId="0" fontId="88" fillId="0" borderId="5" xfId="0" quotePrefix="1" applyFont="1" applyBorder="1" applyAlignment="1">
      <alignment horizontal="center" vertical="center" wrapText="1"/>
    </xf>
    <xf numFmtId="0" fontId="88" fillId="0" borderId="5" xfId="0" applyFont="1" applyBorder="1" applyAlignment="1">
      <alignment vertical="center" wrapText="1"/>
    </xf>
    <xf numFmtId="43" fontId="88" fillId="0" borderId="5" xfId="0" applyNumberFormat="1" applyFont="1" applyBorder="1" applyAlignment="1">
      <alignment horizontal="right" vertical="center" wrapText="1"/>
    </xf>
    <xf numFmtId="14" fontId="88" fillId="0" borderId="5" xfId="0" applyNumberFormat="1" applyFont="1" applyBorder="1" applyAlignment="1">
      <alignment horizontal="right" vertical="center" wrapText="1"/>
    </xf>
    <xf numFmtId="0" fontId="89" fillId="0" borderId="5" xfId="0" applyFont="1" applyBorder="1" applyAlignment="1">
      <alignment vertical="center" wrapText="1"/>
    </xf>
    <xf numFmtId="0" fontId="89" fillId="0" borderId="5" xfId="0" applyFont="1" applyBorder="1" applyAlignment="1">
      <alignment horizontal="center" vertical="center" wrapText="1"/>
    </xf>
    <xf numFmtId="43" fontId="89" fillId="0" borderId="5" xfId="0" applyNumberFormat="1" applyFont="1" applyBorder="1" applyAlignment="1">
      <alignment horizontal="right" vertical="center" wrapText="1"/>
    </xf>
    <xf numFmtId="0" fontId="89" fillId="0" borderId="5" xfId="0" applyFont="1" applyBorder="1" applyAlignment="1">
      <alignment horizontal="justify" vertical="center" wrapText="1"/>
    </xf>
    <xf numFmtId="0" fontId="29" fillId="0" borderId="5" xfId="0" applyFont="1" applyBorder="1" applyAlignment="1">
      <alignment vertical="center"/>
    </xf>
    <xf numFmtId="0" fontId="90" fillId="0" borderId="5" xfId="0" applyFont="1" applyBorder="1" applyAlignment="1">
      <alignment vertical="center" wrapText="1"/>
    </xf>
    <xf numFmtId="43" fontId="89" fillId="0" borderId="5" xfId="0" applyNumberFormat="1" applyFont="1" applyBorder="1" applyAlignment="1">
      <alignment horizontal="justify" vertical="center" wrapText="1"/>
    </xf>
    <xf numFmtId="43" fontId="88" fillId="0" borderId="6" xfId="0" applyNumberFormat="1" applyFont="1" applyBorder="1" applyAlignment="1">
      <alignment horizontal="right" vertical="center" wrapText="1"/>
    </xf>
    <xf numFmtId="0" fontId="29" fillId="0" borderId="6" xfId="0" applyFont="1" applyBorder="1" applyAlignment="1">
      <alignment vertical="center"/>
    </xf>
    <xf numFmtId="0" fontId="91" fillId="0" borderId="6" xfId="0" applyFont="1" applyBorder="1" applyAlignment="1">
      <alignment vertical="center" wrapText="1"/>
    </xf>
    <xf numFmtId="0" fontId="91" fillId="0" borderId="6" xfId="0" applyFont="1" applyBorder="1" applyAlignment="1">
      <alignment horizontal="justify" vertical="center" wrapText="1"/>
    </xf>
    <xf numFmtId="43" fontId="91" fillId="0" borderId="6" xfId="0" applyNumberFormat="1" applyFont="1" applyBorder="1" applyAlignment="1">
      <alignment horizontal="justify" vertical="center" wrapText="1"/>
    </xf>
    <xf numFmtId="0" fontId="91" fillId="0" borderId="0" xfId="0" applyFont="1" applyBorder="1" applyAlignment="1">
      <alignment vertical="center" wrapText="1"/>
    </xf>
    <xf numFmtId="0" fontId="91" fillId="0" borderId="0" xfId="0" applyFont="1" applyBorder="1" applyAlignment="1">
      <alignment horizontal="justify" vertical="center" wrapText="1"/>
    </xf>
    <xf numFmtId="43" fontId="91" fillId="0" borderId="0" xfId="0" applyNumberFormat="1" applyFont="1" applyBorder="1" applyAlignment="1">
      <alignment horizontal="justify" vertical="center" wrapText="1"/>
    </xf>
    <xf numFmtId="43" fontId="47" fillId="0" borderId="5" xfId="0" applyNumberFormat="1" applyFont="1" applyFill="1" applyBorder="1" applyAlignment="1">
      <alignment horizontal="justify" vertical="center" wrapText="1"/>
    </xf>
    <xf numFmtId="43" fontId="0" fillId="0" borderId="0" xfId="0" applyNumberFormat="1" applyFont="1"/>
    <xf numFmtId="0" fontId="49" fillId="0" borderId="5" xfId="0" applyFont="1" applyBorder="1" applyAlignment="1">
      <alignment horizontal="center" vertical="center" wrapText="1"/>
    </xf>
    <xf numFmtId="43" fontId="48" fillId="0" borderId="5" xfId="0" applyNumberFormat="1" applyFont="1" applyFill="1" applyBorder="1" applyAlignment="1">
      <alignment horizontal="justify" vertical="center" wrapText="1"/>
    </xf>
    <xf numFmtId="9" fontId="39" fillId="0" borderId="5" xfId="0" applyNumberFormat="1" applyFont="1" applyBorder="1" applyAlignment="1">
      <alignment vertical="center" wrapText="1"/>
    </xf>
    <xf numFmtId="0" fontId="50" fillId="0" borderId="5" xfId="0" applyFont="1" applyBorder="1" applyAlignment="1">
      <alignment vertical="center" wrapText="1"/>
    </xf>
    <xf numFmtId="0" fontId="50" fillId="0" borderId="5" xfId="0" applyFont="1" applyBorder="1" applyAlignment="1">
      <alignment horizontal="justify" vertical="center" wrapText="1"/>
    </xf>
    <xf numFmtId="0" fontId="47" fillId="0" borderId="5" xfId="0" applyFont="1" applyBorder="1" applyAlignment="1">
      <alignment horizontal="justify" vertical="center" wrapText="1"/>
    </xf>
    <xf numFmtId="0" fontId="24" fillId="0" borderId="0" xfId="19" applyFont="1" applyAlignment="1">
      <alignment horizontal="left"/>
    </xf>
    <xf numFmtId="49" fontId="55" fillId="0" borderId="82" xfId="19" applyNumberFormat="1" applyFont="1" applyBorder="1" applyAlignment="1">
      <alignment horizontal="left" vertical="center" wrapText="1"/>
    </xf>
    <xf numFmtId="0" fontId="55" fillId="0" borderId="82" xfId="19" applyFont="1" applyBorder="1" applyAlignment="1">
      <alignment horizontal="left" vertical="center" wrapText="1"/>
    </xf>
    <xf numFmtId="49" fontId="55" fillId="0" borderId="16" xfId="19" applyNumberFormat="1" applyFont="1" applyBorder="1" applyAlignment="1">
      <alignment horizontal="left" vertical="center" wrapText="1"/>
    </xf>
    <xf numFmtId="170" fontId="55" fillId="0" borderId="104" xfId="19" applyNumberFormat="1" applyFont="1" applyBorder="1" applyAlignment="1">
      <alignment horizontal="center" vertical="center" wrapText="1"/>
    </xf>
    <xf numFmtId="0" fontId="55" fillId="0" borderId="105" xfId="19" applyFont="1" applyBorder="1" applyAlignment="1">
      <alignment horizontal="center" vertical="center" wrapText="1"/>
    </xf>
    <xf numFmtId="0" fontId="55" fillId="0" borderId="49" xfId="19" applyFont="1" applyBorder="1" applyAlignment="1">
      <alignment horizontal="center" vertical="center" wrapText="1"/>
    </xf>
    <xf numFmtId="0" fontId="86" fillId="0" borderId="5" xfId="19" applyFont="1" applyBorder="1" applyAlignment="1">
      <alignment horizontal="center" vertical="center" wrapText="1"/>
    </xf>
    <xf numFmtId="43" fontId="87" fillId="0" borderId="0" xfId="11" applyFont="1" applyBorder="1" applyAlignment="1">
      <alignment vertical="center"/>
    </xf>
    <xf numFmtId="0" fontId="87" fillId="0" borderId="5" xfId="11" applyNumberFormat="1" applyFont="1" applyBorder="1" applyAlignment="1">
      <alignment horizontal="center" vertical="center"/>
    </xf>
    <xf numFmtId="43" fontId="87" fillId="0" borderId="5" xfId="11" applyFont="1" applyBorder="1" applyAlignment="1">
      <alignment vertical="center"/>
    </xf>
    <xf numFmtId="43" fontId="87" fillId="0" borderId="17" xfId="11" applyFont="1" applyBorder="1" applyAlignment="1">
      <alignment vertical="center"/>
    </xf>
    <xf numFmtId="0" fontId="55" fillId="0" borderId="89" xfId="19" applyFont="1" applyBorder="1" applyAlignment="1">
      <alignment horizontal="left" vertical="center" wrapText="1"/>
    </xf>
    <xf numFmtId="0" fontId="0" fillId="0" borderId="0" xfId="0" applyFont="1" applyAlignment="1">
      <alignment horizontal="left"/>
    </xf>
    <xf numFmtId="43" fontId="5" fillId="0" borderId="3" xfId="8" applyNumberFormat="1" applyFont="1" applyFill="1" applyBorder="1" applyAlignment="1">
      <alignment vertical="center" wrapText="1"/>
    </xf>
    <xf numFmtId="43" fontId="5" fillId="0" borderId="3" xfId="8" applyNumberFormat="1" applyFont="1" applyBorder="1" applyAlignment="1">
      <alignment vertical="center" wrapText="1"/>
    </xf>
    <xf numFmtId="0" fontId="2" fillId="0" borderId="5" xfId="20" applyNumberFormat="1" applyFont="1" applyBorder="1" applyAlignment="1">
      <alignment horizontal="center" vertical="top" wrapText="1"/>
    </xf>
    <xf numFmtId="0" fontId="57" fillId="0" borderId="97" xfId="17" applyFont="1" applyFill="1" applyBorder="1" applyAlignment="1">
      <alignment horizontal="left" vertical="center"/>
    </xf>
    <xf numFmtId="0" fontId="56" fillId="0" borderId="6" xfId="17" applyFont="1" applyFill="1" applyBorder="1" applyAlignment="1">
      <alignment vertical="center"/>
    </xf>
    <xf numFmtId="43" fontId="61" fillId="0" borderId="3" xfId="0" applyNumberFormat="1" applyFont="1" applyFill="1" applyBorder="1" applyAlignment="1">
      <alignment horizontal="right"/>
    </xf>
    <xf numFmtId="0" fontId="52" fillId="0" borderId="97" xfId="17" applyFont="1" applyFill="1" applyBorder="1" applyAlignment="1">
      <alignment horizontal="left" vertical="center"/>
    </xf>
    <xf numFmtId="0" fontId="51" fillId="0" borderId="6" xfId="17" applyFont="1" applyFill="1" applyBorder="1" applyAlignment="1">
      <alignment horizontal="left" vertical="center" indent="2"/>
    </xf>
    <xf numFmtId="43" fontId="32" fillId="0" borderId="3" xfId="0" applyNumberFormat="1" applyFont="1" applyFill="1" applyBorder="1" applyAlignment="1">
      <alignment horizontal="right"/>
    </xf>
    <xf numFmtId="0" fontId="56" fillId="3" borderId="0" xfId="2" applyFont="1" applyFill="1" applyAlignment="1">
      <alignment horizontal="center"/>
    </xf>
    <xf numFmtId="0" fontId="62" fillId="0" borderId="0" xfId="2" applyFont="1" applyAlignment="1">
      <alignment horizontal="center"/>
    </xf>
    <xf numFmtId="0" fontId="66" fillId="0" borderId="0" xfId="2" applyFont="1" applyAlignment="1">
      <alignment horizontal="center"/>
    </xf>
    <xf numFmtId="0" fontId="56" fillId="2" borderId="3" xfId="2" applyFont="1" applyFill="1" applyBorder="1" applyAlignment="1">
      <alignment horizontal="center" vertical="center" wrapText="1"/>
    </xf>
    <xf numFmtId="0" fontId="56" fillId="2" borderId="6" xfId="2" applyFont="1" applyFill="1" applyBorder="1" applyAlignment="1">
      <alignment horizontal="center" vertical="center" wrapText="1"/>
    </xf>
    <xf numFmtId="164" fontId="3" fillId="2" borderId="18" xfId="7" applyFont="1" applyFill="1" applyBorder="1" applyAlignment="1">
      <alignment horizontal="center" vertical="center" wrapText="1"/>
    </xf>
    <xf numFmtId="0" fontId="62" fillId="0" borderId="0" xfId="17" applyFont="1" applyAlignment="1">
      <alignment horizontal="center"/>
    </xf>
    <xf numFmtId="164" fontId="56" fillId="2" borderId="18" xfId="7" applyFont="1" applyFill="1" applyBorder="1" applyAlignment="1">
      <alignment horizontal="center" vertical="center" wrapText="1"/>
    </xf>
    <xf numFmtId="0" fontId="56" fillId="0" borderId="0" xfId="2" applyFont="1" applyAlignment="1">
      <alignment horizontal="center" vertical="center"/>
    </xf>
    <xf numFmtId="0" fontId="2" fillId="0" borderId="0" xfId="180" applyAlignment="1">
      <alignment horizontal="center" vertical="center"/>
    </xf>
    <xf numFmtId="0" fontId="3" fillId="0" borderId="69" xfId="180" applyFont="1" applyFill="1" applyBorder="1" applyAlignment="1">
      <alignment horizontal="center" vertical="center" wrapText="1"/>
    </xf>
    <xf numFmtId="0" fontId="3" fillId="0" borderId="42" xfId="180" applyFont="1" applyFill="1" applyBorder="1" applyAlignment="1">
      <alignment horizontal="center" vertical="center" wrapText="1"/>
    </xf>
    <xf numFmtId="0" fontId="28" fillId="0" borderId="0"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10" fillId="0" borderId="0" xfId="19" applyFont="1" applyAlignment="1">
      <alignment horizontal="center"/>
    </xf>
    <xf numFmtId="43" fontId="56" fillId="0" borderId="2" xfId="3" applyFont="1" applyFill="1" applyBorder="1"/>
    <xf numFmtId="0" fontId="12" fillId="0" borderId="0" xfId="2" applyFont="1" applyAlignment="1">
      <alignment horizontal="center" vertical="center"/>
    </xf>
    <xf numFmtId="0" fontId="5" fillId="8" borderId="5" xfId="2" applyFont="1" applyFill="1" applyBorder="1" applyAlignment="1">
      <alignment horizontal="center" vertical="center" wrapText="1"/>
    </xf>
    <xf numFmtId="0" fontId="5" fillId="8" borderId="6" xfId="2" applyFont="1" applyFill="1" applyBorder="1" applyAlignment="1">
      <alignment horizontal="center" vertical="center" wrapText="1"/>
    </xf>
    <xf numFmtId="4" fontId="84" fillId="9" borderId="106" xfId="0" applyNumberFormat="1" applyFont="1" applyFill="1" applyBorder="1" applyAlignment="1">
      <alignment horizontal="right" vertical="top"/>
    </xf>
    <xf numFmtId="0" fontId="2" fillId="0" borderId="0" xfId="2" applyFill="1" applyBorder="1" applyAlignment="1">
      <alignment vertical="center"/>
    </xf>
    <xf numFmtId="0" fontId="14" fillId="0" borderId="0" xfId="2" applyFont="1" applyFill="1" applyBorder="1" applyAlignment="1">
      <alignment horizontal="left" vertical="center"/>
    </xf>
    <xf numFmtId="0" fontId="3" fillId="0" borderId="6" xfId="2" applyFont="1" applyFill="1" applyBorder="1" applyAlignment="1">
      <alignment horizontal="left" vertical="center"/>
    </xf>
    <xf numFmtId="0" fontId="3" fillId="0" borderId="6" xfId="2" applyFont="1" applyFill="1" applyBorder="1" applyAlignment="1">
      <alignment vertical="center" wrapText="1"/>
    </xf>
    <xf numFmtId="4" fontId="5" fillId="0" borderId="6" xfId="2" applyNumberFormat="1" applyFont="1" applyFill="1" applyBorder="1" applyAlignment="1">
      <alignment horizontal="right" vertical="center"/>
    </xf>
    <xf numFmtId="0" fontId="2" fillId="0" borderId="6" xfId="2" applyFont="1" applyFill="1" applyBorder="1" applyAlignment="1">
      <alignment horizontal="left" vertical="center"/>
    </xf>
    <xf numFmtId="0" fontId="2" fillId="0" borderId="6" xfId="2" applyFont="1" applyFill="1" applyBorder="1" applyAlignment="1">
      <alignment vertical="center" wrapText="1"/>
    </xf>
    <xf numFmtId="4" fontId="6" fillId="0" borderId="6" xfId="2" applyNumberFormat="1" applyFont="1" applyFill="1" applyBorder="1" applyAlignment="1">
      <alignment horizontal="right" vertical="center"/>
    </xf>
    <xf numFmtId="4" fontId="6" fillId="0" borderId="6" xfId="2" applyNumberFormat="1" applyFont="1" applyBorder="1" applyAlignment="1">
      <alignment horizontal="right" vertical="center"/>
    </xf>
    <xf numFmtId="0" fontId="3" fillId="0" borderId="3" xfId="2" applyFont="1" applyFill="1" applyBorder="1" applyAlignment="1">
      <alignment vertical="top" wrapText="1"/>
    </xf>
    <xf numFmtId="0" fontId="2" fillId="0" borderId="3" xfId="2" applyFont="1" applyFill="1" applyBorder="1" applyAlignment="1">
      <alignment vertical="top" wrapText="1"/>
    </xf>
    <xf numFmtId="0" fontId="2" fillId="0" borderId="0" xfId="2" applyFont="1" applyFill="1" applyBorder="1" applyAlignment="1">
      <alignment horizontal="left" vertical="top"/>
    </xf>
    <xf numFmtId="0" fontId="2" fillId="0" borderId="0" xfId="2" applyFont="1" applyFill="1" applyBorder="1" applyAlignment="1">
      <alignment vertical="top"/>
    </xf>
    <xf numFmtId="0" fontId="2" fillId="0" borderId="0" xfId="2" applyBorder="1"/>
    <xf numFmtId="0" fontId="2" fillId="0" borderId="0" xfId="2" applyAlignment="1">
      <alignment vertical="top"/>
    </xf>
    <xf numFmtId="43" fontId="51" fillId="0" borderId="3" xfId="3" applyFont="1" applyFill="1" applyBorder="1" applyAlignment="1">
      <alignment horizontal="center" vertical="center"/>
    </xf>
    <xf numFmtId="43" fontId="63" fillId="0" borderId="3" xfId="2" applyNumberFormat="1" applyFont="1" applyFill="1" applyBorder="1"/>
    <xf numFmtId="0" fontId="52" fillId="0" borderId="6" xfId="17" applyFont="1" applyFill="1" applyBorder="1" applyAlignment="1">
      <alignment horizontal="left" vertical="center" indent="1"/>
    </xf>
    <xf numFmtId="171" fontId="3" fillId="0" borderId="0" xfId="17" applyNumberFormat="1" applyFont="1"/>
    <xf numFmtId="164" fontId="19" fillId="0" borderId="0" xfId="7" applyFont="1" applyFill="1"/>
    <xf numFmtId="0" fontId="51" fillId="0" borderId="0" xfId="17" applyFont="1" applyFill="1" applyBorder="1"/>
    <xf numFmtId="0" fontId="59" fillId="0" borderId="0" xfId="17" applyFont="1" applyFill="1" applyBorder="1"/>
    <xf numFmtId="164" fontId="59" fillId="0" borderId="0" xfId="7" applyFont="1" applyFill="1" applyBorder="1"/>
    <xf numFmtId="164" fontId="58" fillId="0" borderId="0" xfId="3" applyNumberFormat="1" applyFont="1" applyFill="1" applyBorder="1"/>
    <xf numFmtId="43" fontId="61" fillId="0" borderId="107" xfId="0" applyNumberFormat="1" applyFont="1" applyBorder="1" applyAlignment="1">
      <alignment horizontal="right"/>
    </xf>
    <xf numFmtId="43" fontId="32" fillId="0" borderId="96" xfId="0" applyNumberFormat="1" applyFont="1" applyBorder="1" applyAlignment="1">
      <alignment horizontal="right"/>
    </xf>
    <xf numFmtId="43" fontId="61" fillId="0" borderId="96" xfId="0" applyNumberFormat="1" applyFont="1" applyBorder="1" applyAlignment="1">
      <alignment horizontal="right"/>
    </xf>
    <xf numFmtId="0" fontId="56" fillId="0" borderId="0" xfId="17" applyFont="1" applyFill="1"/>
    <xf numFmtId="43" fontId="32" fillId="0" borderId="96" xfId="0" applyNumberFormat="1" applyFont="1" applyFill="1" applyBorder="1" applyAlignment="1">
      <alignment horizontal="right"/>
    </xf>
    <xf numFmtId="43" fontId="61" fillId="0" borderId="96" xfId="0" applyNumberFormat="1" applyFont="1" applyFill="1" applyBorder="1" applyAlignment="1">
      <alignment horizontal="right"/>
    </xf>
    <xf numFmtId="164" fontId="75" fillId="0" borderId="34" xfId="3" applyNumberFormat="1" applyFont="1" applyBorder="1"/>
    <xf numFmtId="164" fontId="75" fillId="0" borderId="33" xfId="3" applyNumberFormat="1" applyFont="1" applyBorder="1"/>
    <xf numFmtId="0" fontId="56" fillId="0" borderId="33" xfId="17" applyFont="1" applyBorder="1" applyAlignment="1">
      <alignment vertical="center"/>
    </xf>
    <xf numFmtId="0" fontId="57" fillId="0" borderId="108" xfId="17" applyFont="1" applyBorder="1" applyAlignment="1">
      <alignment horizontal="left" vertical="center"/>
    </xf>
    <xf numFmtId="0" fontId="51" fillId="0" borderId="6" xfId="2" applyFont="1" applyFill="1" applyBorder="1" applyAlignment="1">
      <alignment horizontal="center" vertical="center"/>
    </xf>
    <xf numFmtId="43" fontId="52" fillId="0" borderId="6" xfId="3" applyFont="1" applyFill="1" applyBorder="1" applyAlignment="1">
      <alignment horizontal="left" vertical="center" wrapText="1"/>
    </xf>
    <xf numFmtId="43" fontId="52" fillId="0" borderId="6" xfId="3" applyNumberFormat="1" applyFont="1" applyFill="1" applyBorder="1" applyAlignment="1">
      <alignment horizontal="left" vertical="center" wrapText="1"/>
    </xf>
    <xf numFmtId="0" fontId="2" fillId="0" borderId="0" xfId="180" applyNumberFormat="1" applyFill="1" applyAlignment="1">
      <alignment horizontal="center" vertical="center" wrapText="1"/>
    </xf>
    <xf numFmtId="9" fontId="2" fillId="0" borderId="0" xfId="23" applyFont="1" applyFill="1" applyAlignment="1">
      <alignment horizontal="center" vertical="center" wrapText="1"/>
    </xf>
    <xf numFmtId="165" fontId="2" fillId="0" borderId="0" xfId="180" applyNumberFormat="1" applyFill="1" applyAlignment="1">
      <alignment horizontal="center" vertical="center" wrapText="1"/>
    </xf>
    <xf numFmtId="14" fontId="2" fillId="0" borderId="0" xfId="180" applyNumberFormat="1" applyFill="1" applyAlignment="1">
      <alignment horizontal="center" vertical="center" wrapText="1"/>
    </xf>
    <xf numFmtId="0" fontId="6" fillId="0" borderId="0" xfId="180" applyNumberFormat="1" applyFont="1" applyFill="1" applyAlignment="1">
      <alignment horizontal="center" vertical="center" wrapText="1"/>
    </xf>
    <xf numFmtId="165" fontId="36" fillId="0" borderId="0" xfId="180" applyNumberFormat="1" applyFont="1" applyFill="1" applyAlignment="1">
      <alignment horizontal="center" vertical="center" wrapText="1"/>
    </xf>
    <xf numFmtId="0" fontId="2" fillId="0" borderId="0" xfId="180" applyNumberFormat="1" applyFont="1" applyFill="1" applyAlignment="1">
      <alignment horizontal="center" vertical="center" wrapText="1"/>
    </xf>
    <xf numFmtId="165" fontId="2" fillId="0" borderId="0" xfId="180" applyNumberFormat="1" applyFont="1" applyFill="1" applyBorder="1" applyAlignment="1">
      <alignment horizontal="center" vertical="center" wrapText="1"/>
    </xf>
    <xf numFmtId="14" fontId="2" fillId="0" borderId="0" xfId="180" applyNumberFormat="1" applyFont="1" applyFill="1" applyBorder="1" applyAlignment="1">
      <alignment horizontal="center" vertical="center" wrapText="1"/>
    </xf>
    <xf numFmtId="14" fontId="36" fillId="0" borderId="0" xfId="180" applyNumberFormat="1" applyFont="1" applyFill="1" applyAlignment="1">
      <alignment horizontal="center" vertical="center" wrapText="1"/>
    </xf>
    <xf numFmtId="0" fontId="36" fillId="0" borderId="0" xfId="180" applyNumberFormat="1" applyFont="1" applyFill="1" applyAlignment="1">
      <alignment horizontal="center" vertical="center" wrapText="1"/>
    </xf>
    <xf numFmtId="165" fontId="36" fillId="0" borderId="0" xfId="180" applyNumberFormat="1" applyFont="1" applyFill="1" applyBorder="1" applyAlignment="1">
      <alignment horizontal="center" vertical="center" wrapText="1"/>
    </xf>
    <xf numFmtId="14" fontId="36" fillId="0" borderId="0" xfId="180" applyNumberFormat="1" applyFont="1" applyFill="1" applyBorder="1" applyAlignment="1">
      <alignment horizontal="center" vertical="center" wrapText="1"/>
    </xf>
    <xf numFmtId="0" fontId="37" fillId="0" borderId="0" xfId="180" applyNumberFormat="1" applyFont="1" applyFill="1" applyAlignment="1">
      <alignment horizontal="center" vertical="center" wrapText="1"/>
    </xf>
    <xf numFmtId="14" fontId="37" fillId="0" borderId="0" xfId="180" applyNumberFormat="1" applyFont="1" applyFill="1" applyAlignment="1">
      <alignment horizontal="center" vertical="center" wrapText="1"/>
    </xf>
    <xf numFmtId="165" fontId="37" fillId="0" borderId="0" xfId="180" applyNumberFormat="1" applyFont="1" applyFill="1" applyAlignment="1">
      <alignment horizontal="center" vertical="center" wrapText="1"/>
    </xf>
    <xf numFmtId="165" fontId="2" fillId="0" borderId="0" xfId="180" applyNumberFormat="1" applyFont="1" applyFill="1" applyAlignment="1">
      <alignment horizontal="center" vertical="center" wrapText="1"/>
    </xf>
    <xf numFmtId="14" fontId="2" fillId="0" borderId="0" xfId="180" applyNumberFormat="1" applyFont="1" applyFill="1" applyAlignment="1">
      <alignment horizontal="center" vertical="center" wrapText="1"/>
    </xf>
    <xf numFmtId="165" fontId="5" fillId="0" borderId="0" xfId="180" applyNumberFormat="1" applyFont="1" applyFill="1" applyBorder="1" applyAlignment="1">
      <alignment horizontal="center" vertical="center" wrapText="1"/>
    </xf>
    <xf numFmtId="14" fontId="6" fillId="0" borderId="0" xfId="180" applyNumberFormat="1" applyFont="1" applyFill="1" applyAlignment="1">
      <alignment horizontal="center" vertical="center" wrapText="1"/>
    </xf>
    <xf numFmtId="165" fontId="5" fillId="0" borderId="43" xfId="180" applyNumberFormat="1" applyFont="1" applyFill="1" applyBorder="1" applyAlignment="1">
      <alignment horizontal="center" vertical="center" wrapText="1"/>
    </xf>
    <xf numFmtId="165" fontId="5" fillId="0" borderId="41" xfId="180" applyNumberFormat="1" applyFont="1" applyFill="1" applyBorder="1" applyAlignment="1">
      <alignment horizontal="center" vertical="center" wrapText="1"/>
    </xf>
    <xf numFmtId="0" fontId="6" fillId="0" borderId="43" xfId="180" applyNumberFormat="1" applyFont="1" applyFill="1" applyBorder="1" applyAlignment="1">
      <alignment horizontal="center" vertical="center" wrapText="1"/>
    </xf>
    <xf numFmtId="9" fontId="6" fillId="0" borderId="42" xfId="23" applyFont="1" applyFill="1" applyBorder="1" applyAlignment="1">
      <alignment horizontal="center" vertical="center" wrapText="1"/>
    </xf>
    <xf numFmtId="14" fontId="6" fillId="0" borderId="42" xfId="180" applyNumberFormat="1" applyFont="1" applyFill="1" applyBorder="1" applyAlignment="1">
      <alignment horizontal="center" vertical="center" wrapText="1"/>
    </xf>
    <xf numFmtId="0" fontId="6" fillId="0" borderId="69" xfId="180" applyNumberFormat="1" applyFont="1" applyFill="1" applyBorder="1" applyAlignment="1">
      <alignment horizontal="center" vertical="center" wrapText="1"/>
    </xf>
    <xf numFmtId="0" fontId="6" fillId="0" borderId="41" xfId="180" applyNumberFormat="1" applyFont="1" applyFill="1" applyBorder="1" applyAlignment="1">
      <alignment horizontal="center" vertical="center" wrapText="1"/>
    </xf>
    <xf numFmtId="0" fontId="6" fillId="0" borderId="73" xfId="180" applyNumberFormat="1" applyFont="1" applyFill="1" applyBorder="1" applyAlignment="1">
      <alignment horizontal="center" vertical="center" wrapText="1"/>
    </xf>
    <xf numFmtId="9" fontId="6" fillId="0" borderId="72" xfId="23" applyFont="1" applyFill="1" applyBorder="1" applyAlignment="1">
      <alignment horizontal="center" vertical="center" wrapText="1"/>
    </xf>
    <xf numFmtId="165" fontId="6" fillId="0" borderId="71" xfId="180" applyNumberFormat="1" applyFont="1" applyFill="1" applyBorder="1" applyAlignment="1">
      <alignment horizontal="center" vertical="center" wrapText="1"/>
    </xf>
    <xf numFmtId="14" fontId="6" fillId="0" borderId="72" xfId="180" applyNumberFormat="1" applyFont="1" applyFill="1" applyBorder="1" applyAlignment="1">
      <alignment horizontal="center" vertical="center" wrapText="1"/>
    </xf>
    <xf numFmtId="0" fontId="6" fillId="0" borderId="72" xfId="180" applyNumberFormat="1" applyFont="1" applyFill="1" applyBorder="1" applyAlignment="1">
      <alignment horizontal="center" vertical="center" wrapText="1"/>
    </xf>
    <xf numFmtId="0" fontId="6" fillId="0" borderId="71" xfId="180" applyNumberFormat="1" applyFont="1" applyFill="1" applyBorder="1" applyAlignment="1">
      <alignment horizontal="center" vertical="center" wrapText="1"/>
    </xf>
    <xf numFmtId="0" fontId="6" fillId="0" borderId="100" xfId="180" applyNumberFormat="1" applyFont="1" applyFill="1" applyBorder="1" applyAlignment="1">
      <alignment horizontal="center" vertical="center" wrapText="1"/>
    </xf>
    <xf numFmtId="165" fontId="6" fillId="0" borderId="69" xfId="180" applyNumberFormat="1" applyFont="1" applyFill="1" applyBorder="1" applyAlignment="1">
      <alignment horizontal="center" vertical="center" wrapText="1"/>
    </xf>
    <xf numFmtId="0" fontId="6" fillId="0" borderId="42" xfId="180" applyNumberFormat="1" applyFont="1" applyFill="1" applyBorder="1" applyAlignment="1">
      <alignment horizontal="center" vertical="center" wrapText="1"/>
    </xf>
    <xf numFmtId="165" fontId="6" fillId="0" borderId="72" xfId="180" applyNumberFormat="1" applyFont="1" applyFill="1" applyBorder="1" applyAlignment="1">
      <alignment horizontal="center" vertical="center" wrapText="1"/>
    </xf>
    <xf numFmtId="0" fontId="6" fillId="0" borderId="39" xfId="180" applyNumberFormat="1" applyFont="1" applyFill="1" applyBorder="1" applyAlignment="1">
      <alignment horizontal="center" vertical="center" wrapText="1"/>
    </xf>
    <xf numFmtId="165" fontId="6" fillId="0" borderId="39" xfId="180" applyNumberFormat="1" applyFont="1" applyFill="1" applyBorder="1" applyAlignment="1">
      <alignment horizontal="center" vertical="center" wrapText="1"/>
    </xf>
    <xf numFmtId="14" fontId="6" fillId="0" borderId="39" xfId="180" applyNumberFormat="1" applyFont="1" applyFill="1" applyBorder="1" applyAlignment="1">
      <alignment horizontal="center" vertical="center" wrapText="1"/>
    </xf>
    <xf numFmtId="0" fontId="6" fillId="0" borderId="38" xfId="180" applyNumberFormat="1" applyFont="1" applyFill="1" applyBorder="1" applyAlignment="1">
      <alignment horizontal="center" vertical="center" wrapText="1"/>
    </xf>
    <xf numFmtId="1" fontId="6" fillId="0" borderId="72" xfId="180" applyNumberFormat="1" applyFont="1" applyFill="1" applyBorder="1" applyAlignment="1">
      <alignment horizontal="center" vertical="center" wrapText="1"/>
    </xf>
    <xf numFmtId="0" fontId="6" fillId="0" borderId="40" xfId="180" applyNumberFormat="1" applyFont="1" applyFill="1" applyBorder="1" applyAlignment="1">
      <alignment horizontal="center" vertical="center" wrapText="1"/>
    </xf>
    <xf numFmtId="165" fontId="6" fillId="0" borderId="109" xfId="180" applyNumberFormat="1" applyFont="1" applyFill="1" applyBorder="1" applyAlignment="1">
      <alignment horizontal="center" vertical="center" wrapText="1"/>
    </xf>
    <xf numFmtId="0" fontId="6" fillId="0" borderId="37" xfId="180" applyNumberFormat="1" applyFont="1" applyFill="1" applyBorder="1" applyAlignment="1">
      <alignment horizontal="center" vertical="center" wrapText="1"/>
    </xf>
    <xf numFmtId="9" fontId="6" fillId="0" borderId="36" xfId="23" applyFont="1" applyFill="1" applyBorder="1" applyAlignment="1">
      <alignment horizontal="center" vertical="center" wrapText="1"/>
    </xf>
    <xf numFmtId="165" fontId="6" fillId="0" borderId="65" xfId="180" applyNumberFormat="1" applyFont="1" applyFill="1" applyBorder="1" applyAlignment="1">
      <alignment horizontal="center" vertical="center" wrapText="1"/>
    </xf>
    <xf numFmtId="0" fontId="6" fillId="0" borderId="36" xfId="180" applyNumberFormat="1" applyFont="1" applyFill="1" applyBorder="1" applyAlignment="1">
      <alignment horizontal="center" vertical="center" wrapText="1"/>
    </xf>
    <xf numFmtId="0" fontId="6" fillId="0" borderId="65" xfId="180" applyNumberFormat="1" applyFont="1" applyFill="1" applyBorder="1" applyAlignment="1">
      <alignment horizontal="center" vertical="center" wrapText="1"/>
    </xf>
    <xf numFmtId="0" fontId="6" fillId="0" borderId="35" xfId="180" applyNumberFormat="1" applyFont="1" applyFill="1" applyBorder="1" applyAlignment="1">
      <alignment horizontal="center" vertical="center" wrapText="1"/>
    </xf>
    <xf numFmtId="9" fontId="3" fillId="0" borderId="42" xfId="23" applyFont="1" applyFill="1" applyBorder="1" applyAlignment="1">
      <alignment horizontal="center" vertical="center" wrapText="1"/>
    </xf>
    <xf numFmtId="165" fontId="3" fillId="0" borderId="69" xfId="180" applyNumberFormat="1" applyFont="1" applyFill="1" applyBorder="1" applyAlignment="1">
      <alignment horizontal="center" vertical="center" wrapText="1"/>
    </xf>
    <xf numFmtId="14" fontId="3" fillId="0" borderId="68" xfId="180" applyNumberFormat="1" applyFont="1" applyFill="1" applyBorder="1" applyAlignment="1">
      <alignment horizontal="center" vertical="center" wrapText="1"/>
    </xf>
    <xf numFmtId="0" fontId="6" fillId="0" borderId="0" xfId="17" applyFont="1" applyFill="1"/>
    <xf numFmtId="14" fontId="11" fillId="0" borderId="0" xfId="19" applyNumberFormat="1" applyFont="1"/>
    <xf numFmtId="43" fontId="18" fillId="2" borderId="3" xfId="0" applyNumberFormat="1" applyFont="1" applyFill="1" applyBorder="1"/>
    <xf numFmtId="43" fontId="2" fillId="0" borderId="52" xfId="1" applyFont="1" applyBorder="1" applyAlignment="1">
      <alignment vertical="top" wrapText="1"/>
    </xf>
    <xf numFmtId="43" fontId="2" fillId="0" borderId="52" xfId="1" applyNumberFormat="1" applyFont="1" applyBorder="1" applyAlignment="1">
      <alignment vertical="top" wrapText="1"/>
    </xf>
    <xf numFmtId="0" fontId="66" fillId="0" borderId="0" xfId="2" applyFont="1" applyAlignment="1">
      <alignment horizontal="center"/>
    </xf>
    <xf numFmtId="164" fontId="3" fillId="2" borderId="18" xfId="7" applyFont="1" applyFill="1" applyBorder="1" applyAlignment="1">
      <alignment horizontal="center" vertical="center" wrapText="1"/>
    </xf>
    <xf numFmtId="0" fontId="62" fillId="0" borderId="0" xfId="17" applyFont="1" applyAlignment="1">
      <alignment horizontal="center"/>
    </xf>
    <xf numFmtId="164" fontId="56" fillId="2" borderId="18" xfId="7" applyFont="1" applyFill="1" applyBorder="1" applyAlignment="1">
      <alignment horizontal="center" vertical="center" wrapText="1"/>
    </xf>
    <xf numFmtId="0" fontId="10" fillId="2" borderId="4" xfId="0" applyFont="1" applyFill="1" applyBorder="1" applyAlignment="1">
      <alignment horizontal="center" vertical="center"/>
    </xf>
    <xf numFmtId="0" fontId="10" fillId="2" borderId="59" xfId="0" applyFont="1" applyFill="1" applyBorder="1" applyAlignment="1">
      <alignment horizontal="center" vertical="center"/>
    </xf>
    <xf numFmtId="0" fontId="32" fillId="0" borderId="32" xfId="0" applyFont="1" applyBorder="1" applyAlignment="1" applyProtection="1">
      <alignment horizontal="justify" vertical="center"/>
      <protection locked="0"/>
    </xf>
    <xf numFmtId="0" fontId="32" fillId="0" borderId="26" xfId="0" applyFont="1" applyBorder="1" applyAlignment="1" applyProtection="1">
      <alignment horizontal="center" vertical="center"/>
      <protection locked="0"/>
    </xf>
    <xf numFmtId="0" fontId="32" fillId="0" borderId="47" xfId="0" applyFont="1" applyBorder="1" applyAlignment="1" applyProtection="1">
      <alignment horizontal="center" vertical="center"/>
      <protection locked="0"/>
    </xf>
    <xf numFmtId="0" fontId="32" fillId="0" borderId="56" xfId="0" applyFont="1" applyBorder="1" applyAlignment="1" applyProtection="1">
      <alignment horizontal="justify" vertical="center"/>
      <protection locked="0"/>
    </xf>
    <xf numFmtId="0" fontId="32" fillId="0" borderId="55" xfId="0" applyFont="1" applyBorder="1" applyAlignment="1" applyProtection="1">
      <alignment horizontal="center" vertical="center"/>
      <protection locked="0"/>
    </xf>
    <xf numFmtId="0" fontId="32" fillId="0" borderId="57" xfId="0" applyFont="1" applyBorder="1" applyAlignment="1" applyProtection="1">
      <alignment horizontal="center" vertical="center"/>
      <protection locked="0"/>
    </xf>
    <xf numFmtId="43" fontId="5" fillId="0" borderId="3" xfId="2" applyNumberFormat="1" applyFont="1" applyBorder="1" applyAlignment="1">
      <alignment vertical="center"/>
    </xf>
    <xf numFmtId="43" fontId="6" fillId="0" borderId="3" xfId="2" applyNumberFormat="1" applyFont="1" applyBorder="1" applyAlignment="1">
      <alignment vertical="center"/>
    </xf>
    <xf numFmtId="0" fontId="2" fillId="0" borderId="0" xfId="180" applyNumberFormat="1" applyFill="1" applyAlignment="1">
      <alignment horizontal="center" vertical="center" wrapText="1"/>
    </xf>
    <xf numFmtId="43" fontId="0" fillId="0" borderId="0" xfId="1" applyFont="1"/>
    <xf numFmtId="43" fontId="11" fillId="0" borderId="17" xfId="1" applyFont="1" applyBorder="1" applyAlignment="1">
      <alignment horizontal="justify" vertical="center" wrapText="1"/>
    </xf>
    <xf numFmtId="0" fontId="11" fillId="0" borderId="111" xfId="0" applyFont="1" applyBorder="1" applyAlignment="1">
      <alignment horizontal="left" vertical="center"/>
    </xf>
    <xf numFmtId="0" fontId="11" fillId="0" borderId="111" xfId="0" applyFont="1" applyBorder="1" applyAlignment="1">
      <alignment horizontal="left" vertical="center" indent="2"/>
    </xf>
    <xf numFmtId="43" fontId="10" fillId="0" borderId="17" xfId="1" applyFont="1" applyBorder="1" applyAlignment="1">
      <alignment horizontal="justify" vertical="center" wrapText="1"/>
    </xf>
    <xf numFmtId="0" fontId="10" fillId="0" borderId="111" xfId="0" applyFont="1" applyBorder="1" applyAlignment="1">
      <alignment horizontal="left" vertical="center"/>
    </xf>
    <xf numFmtId="43" fontId="11" fillId="0" borderId="20" xfId="1" applyFont="1" applyBorder="1" applyAlignment="1">
      <alignment horizontal="left" vertical="center"/>
    </xf>
    <xf numFmtId="0" fontId="11" fillId="0" borderId="18" xfId="0" applyFont="1" applyBorder="1" applyAlignment="1">
      <alignment horizontal="left" vertical="center"/>
    </xf>
    <xf numFmtId="43" fontId="11" fillId="0" borderId="17" xfId="1" applyFont="1" applyBorder="1" applyAlignment="1">
      <alignment horizontal="left" vertical="center"/>
    </xf>
    <xf numFmtId="0" fontId="10" fillId="0" borderId="111" xfId="0" applyFont="1" applyBorder="1" applyAlignment="1">
      <alignment horizontal="left" vertical="center" wrapText="1"/>
    </xf>
    <xf numFmtId="0" fontId="10" fillId="10" borderId="17" xfId="0" applyFont="1" applyFill="1" applyBorder="1" applyAlignment="1">
      <alignment horizontal="center" vertical="center" wrapText="1"/>
    </xf>
    <xf numFmtId="0" fontId="0" fillId="0" borderId="0" xfId="0" applyAlignment="1">
      <alignment horizontal="center" wrapText="1"/>
    </xf>
    <xf numFmtId="0" fontId="10" fillId="10" borderId="21" xfId="0" applyFont="1" applyFill="1" applyBorder="1" applyAlignment="1">
      <alignment horizontal="center" vertical="center" wrapText="1"/>
    </xf>
    <xf numFmtId="0" fontId="10" fillId="10" borderId="63" xfId="0" applyFont="1" applyFill="1" applyBorder="1" applyAlignment="1">
      <alignment horizontal="center" vertical="center" wrapText="1"/>
    </xf>
    <xf numFmtId="0" fontId="10" fillId="10" borderId="20" xfId="0" applyFont="1" applyFill="1" applyBorder="1" applyAlignment="1">
      <alignment horizontal="center" vertical="center" wrapText="1"/>
    </xf>
    <xf numFmtId="43" fontId="10" fillId="0" borderId="18" xfId="1" applyFont="1" applyBorder="1" applyAlignment="1">
      <alignment vertical="center"/>
    </xf>
    <xf numFmtId="0" fontId="10" fillId="0" borderId="19" xfId="0" applyFont="1" applyBorder="1" applyAlignment="1">
      <alignment vertical="center"/>
    </xf>
    <xf numFmtId="43" fontId="10" fillId="0" borderId="111" xfId="1" applyFont="1" applyBorder="1" applyAlignment="1">
      <alignment vertical="center"/>
    </xf>
    <xf numFmtId="0" fontId="10" fillId="0" borderId="16" xfId="0" applyFont="1" applyBorder="1" applyAlignment="1">
      <alignment vertical="center"/>
    </xf>
    <xf numFmtId="43" fontId="10" fillId="0" borderId="17" xfId="1" applyFont="1" applyBorder="1" applyAlignment="1">
      <alignment vertical="center"/>
    </xf>
    <xf numFmtId="43" fontId="11" fillId="0" borderId="17" xfId="1" applyFont="1" applyBorder="1" applyAlignment="1">
      <alignment vertical="center"/>
    </xf>
    <xf numFmtId="43" fontId="11" fillId="0" borderId="111" xfId="1" applyFont="1" applyBorder="1" applyAlignment="1">
      <alignment vertical="center"/>
    </xf>
    <xf numFmtId="0" fontId="11" fillId="0" borderId="16" xfId="0" applyFont="1" applyBorder="1" applyAlignment="1">
      <alignment vertical="center"/>
    </xf>
    <xf numFmtId="43" fontId="11" fillId="11" borderId="111" xfId="1" applyFont="1" applyFill="1" applyBorder="1" applyAlignment="1">
      <alignment vertical="center"/>
    </xf>
    <xf numFmtId="0" fontId="11" fillId="0" borderId="16" xfId="0" applyFont="1" applyBorder="1" applyAlignment="1">
      <alignment horizontal="left" vertical="center" indent="2"/>
    </xf>
    <xf numFmtId="0" fontId="11" fillId="0" borderId="10" xfId="0" applyFont="1" applyBorder="1" applyAlignment="1">
      <alignment vertical="center"/>
    </xf>
    <xf numFmtId="0" fontId="10" fillId="10" borderId="20" xfId="0" applyFont="1" applyFill="1" applyBorder="1" applyAlignment="1">
      <alignment horizontal="center" vertical="center"/>
    </xf>
    <xf numFmtId="0" fontId="10" fillId="10" borderId="11" xfId="0" applyFont="1" applyFill="1" applyBorder="1" applyAlignment="1">
      <alignment horizontal="center" vertical="center"/>
    </xf>
    <xf numFmtId="43" fontId="11" fillId="0" borderId="20" xfId="1" applyFont="1" applyBorder="1" applyAlignment="1">
      <alignment vertical="center"/>
    </xf>
    <xf numFmtId="43" fontId="11" fillId="0" borderId="18" xfId="1" applyFont="1" applyBorder="1" applyAlignment="1">
      <alignment vertical="center"/>
    </xf>
    <xf numFmtId="0" fontId="11" fillId="0" borderId="19" xfId="0" applyFont="1" applyBorder="1" applyAlignment="1">
      <alignment vertical="center"/>
    </xf>
    <xf numFmtId="0" fontId="10" fillId="10" borderId="18" xfId="0" applyFont="1" applyFill="1" applyBorder="1" applyAlignment="1">
      <alignment horizontal="center" vertical="center"/>
    </xf>
    <xf numFmtId="0" fontId="10" fillId="10" borderId="15" xfId="0" applyFont="1" applyFill="1" applyBorder="1" applyAlignment="1">
      <alignment horizontal="center" vertical="center"/>
    </xf>
    <xf numFmtId="0" fontId="11" fillId="0" borderId="17" xfId="0" applyFont="1" applyBorder="1" applyAlignment="1">
      <alignment vertical="center"/>
    </xf>
    <xf numFmtId="0" fontId="11" fillId="0" borderId="111" xfId="0" applyFont="1" applyBorder="1" applyAlignment="1">
      <alignment vertical="center"/>
    </xf>
    <xf numFmtId="0" fontId="11" fillId="0" borderId="20" xfId="0" applyFont="1" applyBorder="1" applyAlignment="1">
      <alignment vertical="center" wrapText="1"/>
    </xf>
    <xf numFmtId="0" fontId="11" fillId="0" borderId="18" xfId="0" applyFont="1" applyBorder="1" applyAlignment="1">
      <alignment vertical="center" wrapText="1"/>
    </xf>
    <xf numFmtId="0" fontId="11" fillId="0" borderId="19" xfId="0" applyFont="1" applyBorder="1" applyAlignment="1">
      <alignment vertical="center" wrapText="1"/>
    </xf>
    <xf numFmtId="43" fontId="10" fillId="0" borderId="17" xfId="1" applyFont="1" applyBorder="1" applyAlignment="1">
      <alignment vertical="center" wrapText="1"/>
    </xf>
    <xf numFmtId="43" fontId="10" fillId="0" borderId="111" xfId="1" applyFont="1" applyBorder="1" applyAlignment="1">
      <alignment vertical="center" wrapText="1"/>
    </xf>
    <xf numFmtId="43" fontId="11" fillId="0" borderId="17" xfId="1" applyFont="1" applyBorder="1" applyAlignment="1">
      <alignment vertical="center" wrapText="1"/>
    </xf>
    <xf numFmtId="43" fontId="11" fillId="0" borderId="111" xfId="1" applyFont="1" applyBorder="1" applyAlignment="1">
      <alignment vertical="center" wrapText="1"/>
    </xf>
    <xf numFmtId="0" fontId="11" fillId="0" borderId="17" xfId="0" applyFont="1" applyBorder="1" applyAlignment="1">
      <alignment vertical="center" wrapText="1"/>
    </xf>
    <xf numFmtId="0" fontId="11" fillId="0" borderId="111" xfId="0" applyFont="1" applyBorder="1" applyAlignment="1">
      <alignment vertical="center" wrapText="1"/>
    </xf>
    <xf numFmtId="0" fontId="11" fillId="0" borderId="16" xfId="0" applyFont="1" applyBorder="1" applyAlignment="1">
      <alignment vertical="center" wrapText="1"/>
    </xf>
    <xf numFmtId="0" fontId="10" fillId="10" borderId="112" xfId="0" applyFont="1" applyFill="1" applyBorder="1" applyAlignment="1">
      <alignment vertical="center"/>
    </xf>
    <xf numFmtId="0" fontId="10" fillId="0" borderId="16" xfId="0" applyFont="1" applyBorder="1" applyAlignment="1">
      <alignment vertical="center" wrapText="1"/>
    </xf>
    <xf numFmtId="43" fontId="11" fillId="10" borderId="111" xfId="1" applyFont="1" applyFill="1" applyBorder="1" applyAlignment="1">
      <alignment vertical="center"/>
    </xf>
    <xf numFmtId="43" fontId="11" fillId="0" borderId="20" xfId="1" applyFont="1" applyBorder="1" applyAlignment="1">
      <alignment horizontal="center" vertical="center"/>
    </xf>
    <xf numFmtId="43" fontId="11" fillId="0" borderId="17" xfId="1" applyFont="1" applyBorder="1" applyAlignment="1">
      <alignment horizontal="center" vertical="center"/>
    </xf>
    <xf numFmtId="0" fontId="11" fillId="0" borderId="16" xfId="0" applyFont="1" applyBorder="1" applyAlignment="1">
      <alignment horizontal="left" vertical="center" wrapText="1" indent="1"/>
    </xf>
    <xf numFmtId="43" fontId="11" fillId="10" borderId="17" xfId="1" applyFont="1" applyFill="1" applyBorder="1" applyAlignment="1">
      <alignment horizontal="center" vertical="center"/>
    </xf>
    <xf numFmtId="0" fontId="10" fillId="10" borderId="21" xfId="0" applyFont="1" applyFill="1" applyBorder="1" applyAlignment="1">
      <alignment horizontal="center" vertical="center"/>
    </xf>
    <xf numFmtId="43" fontId="10" fillId="0" borderId="111" xfId="1" applyFont="1" applyBorder="1" applyAlignment="1">
      <alignment horizontal="center" vertical="center"/>
    </xf>
    <xf numFmtId="43" fontId="10" fillId="0" borderId="20" xfId="1" applyFont="1" applyBorder="1" applyAlignment="1">
      <alignment horizontal="center" vertical="center"/>
    </xf>
    <xf numFmtId="43" fontId="10" fillId="0" borderId="18" xfId="1" applyFont="1" applyBorder="1" applyAlignment="1">
      <alignment horizontal="center" vertical="center"/>
    </xf>
    <xf numFmtId="43" fontId="10" fillId="0" borderId="17" xfId="1" applyFont="1" applyBorder="1" applyAlignment="1">
      <alignment horizontal="center" vertical="center"/>
    </xf>
    <xf numFmtId="0" fontId="11" fillId="0" borderId="18" xfId="0" applyFont="1" applyBorder="1" applyAlignment="1">
      <alignment horizontal="justify" vertical="center"/>
    </xf>
    <xf numFmtId="0" fontId="11" fillId="0" borderId="111" xfId="0" applyFont="1" applyBorder="1" applyAlignment="1">
      <alignment horizontal="justify" vertical="center"/>
    </xf>
    <xf numFmtId="0" fontId="10" fillId="0" borderId="19" xfId="0" applyFont="1" applyBorder="1" applyAlignment="1">
      <alignment horizontal="left" vertical="center"/>
    </xf>
    <xf numFmtId="0" fontId="10" fillId="0" borderId="16" xfId="0" applyFont="1" applyBorder="1" applyAlignment="1">
      <alignment horizontal="left" vertical="center" wrapText="1"/>
    </xf>
    <xf numFmtId="0" fontId="11" fillId="0" borderId="16" xfId="0" applyFont="1" applyBorder="1" applyAlignment="1">
      <alignment horizontal="left" vertical="center" wrapText="1" indent="2"/>
    </xf>
    <xf numFmtId="0" fontId="11" fillId="0" borderId="16" xfId="0" applyFont="1" applyBorder="1" applyAlignment="1">
      <alignment horizontal="left" vertical="center" wrapText="1"/>
    </xf>
    <xf numFmtId="43" fontId="95" fillId="0" borderId="20" xfId="1" applyFont="1" applyFill="1" applyBorder="1" applyAlignment="1">
      <alignment horizontal="center" vertical="center" wrapText="1"/>
    </xf>
    <xf numFmtId="0" fontId="95" fillId="0" borderId="18" xfId="0" applyFont="1" applyFill="1" applyBorder="1" applyAlignment="1">
      <alignment horizontal="left" vertical="center" wrapText="1"/>
    </xf>
    <xf numFmtId="43" fontId="11" fillId="0" borderId="17" xfId="1" applyFont="1" applyFill="1" applyBorder="1" applyAlignment="1">
      <alignment horizontal="center" vertical="center"/>
    </xf>
    <xf numFmtId="0" fontId="10" fillId="0" borderId="111" xfId="0" applyFont="1" applyFill="1" applyBorder="1" applyAlignment="1">
      <alignment horizontal="left" vertical="center" wrapText="1"/>
    </xf>
    <xf numFmtId="0" fontId="11" fillId="0" borderId="111" xfId="0" applyFont="1" applyFill="1" applyBorder="1" applyAlignment="1">
      <alignment horizontal="left" vertical="center" wrapText="1"/>
    </xf>
    <xf numFmtId="0" fontId="11" fillId="0" borderId="111" xfId="0" applyFont="1" applyFill="1" applyBorder="1" applyAlignment="1">
      <alignment horizontal="justify" vertical="center" wrapText="1"/>
    </xf>
    <xf numFmtId="0" fontId="11" fillId="0" borderId="111" xfId="0" applyFont="1" applyFill="1" applyBorder="1" applyAlignment="1">
      <alignment horizontal="left" vertical="center" wrapText="1" indent="2"/>
    </xf>
    <xf numFmtId="0" fontId="11" fillId="0" borderId="111" xfId="0" applyFont="1" applyFill="1" applyBorder="1" applyAlignment="1">
      <alignment horizontal="justify" vertical="center"/>
    </xf>
    <xf numFmtId="43" fontId="11" fillId="0" borderId="20" xfId="1" applyFont="1" applyBorder="1" applyAlignment="1">
      <alignment horizontal="justify" vertical="center"/>
    </xf>
    <xf numFmtId="43" fontId="11" fillId="0" borderId="17" xfId="1" applyFont="1" applyBorder="1" applyAlignment="1">
      <alignment horizontal="justify" vertical="center"/>
    </xf>
    <xf numFmtId="43" fontId="11" fillId="0" borderId="20" xfId="1" applyFont="1" applyFill="1" applyBorder="1" applyAlignment="1">
      <alignment vertical="center"/>
    </xf>
    <xf numFmtId="0" fontId="11" fillId="0" borderId="18" xfId="0" applyFont="1" applyFill="1" applyBorder="1" applyAlignment="1">
      <alignment vertical="center"/>
    </xf>
    <xf numFmtId="43" fontId="11" fillId="0" borderId="17" xfId="1" applyFont="1" applyFill="1" applyBorder="1" applyAlignment="1">
      <alignment vertical="center"/>
    </xf>
    <xf numFmtId="0" fontId="10" fillId="0" borderId="111" xfId="0" applyFont="1" applyFill="1" applyBorder="1" applyAlignment="1">
      <alignment vertical="center" wrapText="1"/>
    </xf>
    <xf numFmtId="0" fontId="11" fillId="0" borderId="111" xfId="0" applyFont="1" applyFill="1" applyBorder="1" applyAlignment="1">
      <alignment vertical="center" wrapText="1"/>
    </xf>
    <xf numFmtId="0" fontId="11" fillId="0" borderId="111" xfId="0" applyFont="1" applyFill="1" applyBorder="1" applyAlignment="1">
      <alignment vertical="center"/>
    </xf>
    <xf numFmtId="43" fontId="83" fillId="0" borderId="20" xfId="1" applyFont="1" applyBorder="1" applyAlignment="1">
      <alignment horizontal="left" vertical="center"/>
    </xf>
    <xf numFmtId="43" fontId="83" fillId="0" borderId="18" xfId="1" applyFont="1" applyBorder="1" applyAlignment="1">
      <alignment horizontal="left" vertical="center"/>
    </xf>
    <xf numFmtId="0" fontId="83" fillId="0" borderId="19" xfId="0" applyFont="1" applyBorder="1" applyAlignment="1">
      <alignment horizontal="left" vertical="center" wrapText="1"/>
    </xf>
    <xf numFmtId="43" fontId="83" fillId="0" borderId="17" xfId="1" applyFont="1" applyBorder="1" applyAlignment="1">
      <alignment horizontal="left" vertical="center"/>
    </xf>
    <xf numFmtId="43" fontId="83" fillId="0" borderId="111" xfId="1" applyFont="1" applyBorder="1" applyAlignment="1">
      <alignment horizontal="left" vertical="center"/>
    </xf>
    <xf numFmtId="0" fontId="27" fillId="0" borderId="16" xfId="0" applyFont="1" applyBorder="1" applyAlignment="1">
      <alignment horizontal="left" vertical="center" wrapText="1"/>
    </xf>
    <xf numFmtId="43" fontId="27" fillId="0" borderId="17" xfId="1" applyFont="1" applyBorder="1" applyAlignment="1">
      <alignment horizontal="left" vertical="center"/>
    </xf>
    <xf numFmtId="43" fontId="27" fillId="0" borderId="111" xfId="1" applyFont="1" applyBorder="1" applyAlignment="1">
      <alignment horizontal="left" vertical="center"/>
    </xf>
    <xf numFmtId="0" fontId="39" fillId="0" borderId="3" xfId="0" applyFont="1" applyBorder="1"/>
    <xf numFmtId="0" fontId="39" fillId="0" borderId="3" xfId="0" applyFont="1" applyBorder="1" applyAlignment="1">
      <alignment horizontal="center"/>
    </xf>
    <xf numFmtId="0" fontId="39" fillId="0" borderId="3" xfId="0" applyFont="1" applyFill="1" applyBorder="1" applyAlignment="1">
      <alignment wrapText="1"/>
    </xf>
    <xf numFmtId="14" fontId="39" fillId="0" borderId="3" xfId="0" applyNumberFormat="1" applyFont="1" applyFill="1" applyBorder="1"/>
    <xf numFmtId="0" fontId="56" fillId="0" borderId="0" xfId="2" applyFont="1" applyFill="1" applyAlignment="1">
      <alignment horizontal="center"/>
    </xf>
    <xf numFmtId="43" fontId="11" fillId="0" borderId="20" xfId="0" applyNumberFormat="1" applyFont="1" applyBorder="1" applyAlignment="1">
      <alignment horizontal="justify" vertical="center" wrapText="1"/>
    </xf>
    <xf numFmtId="0" fontId="11" fillId="0" borderId="18" xfId="0" applyFont="1" applyFill="1" applyBorder="1" applyAlignment="1">
      <alignment horizontal="justify" vertical="center" wrapText="1"/>
    </xf>
    <xf numFmtId="43" fontId="11" fillId="0" borderId="17" xfId="0" applyNumberFormat="1" applyFont="1" applyBorder="1" applyAlignment="1">
      <alignment horizontal="justify" vertical="center" wrapText="1"/>
    </xf>
    <xf numFmtId="0" fontId="32" fillId="10" borderId="20" xfId="0" applyFont="1" applyFill="1" applyBorder="1" applyAlignment="1">
      <alignment vertical="center" wrapText="1"/>
    </xf>
    <xf numFmtId="0" fontId="10" fillId="10" borderId="11" xfId="0" applyFont="1" applyFill="1" applyBorder="1" applyAlignment="1">
      <alignment horizontal="center" vertical="center" wrapText="1"/>
    </xf>
    <xf numFmtId="43" fontId="94" fillId="0" borderId="20" xfId="1" applyFont="1" applyBorder="1" applyAlignment="1">
      <alignment horizontal="justify" vertical="center" wrapText="1"/>
    </xf>
    <xf numFmtId="43" fontId="94" fillId="0" borderId="17" xfId="1" applyFont="1" applyBorder="1" applyAlignment="1">
      <alignment horizontal="justify" vertical="center" wrapText="1"/>
    </xf>
    <xf numFmtId="43" fontId="11" fillId="0" borderId="16" xfId="1" applyFont="1" applyBorder="1" applyAlignment="1">
      <alignment horizontal="justify" vertical="center" wrapText="1"/>
    </xf>
    <xf numFmtId="43" fontId="10" fillId="0" borderId="16" xfId="1" applyFont="1" applyBorder="1" applyAlignment="1">
      <alignment horizontal="justify" vertical="center" wrapText="1"/>
    </xf>
    <xf numFmtId="43" fontId="10" fillId="10" borderId="20" xfId="1" applyFont="1" applyFill="1" applyBorder="1" applyAlignment="1">
      <alignment horizontal="center" vertical="center" wrapText="1"/>
    </xf>
    <xf numFmtId="43" fontId="39" fillId="0" borderId="0" xfId="1" applyFont="1"/>
    <xf numFmtId="43" fontId="25" fillId="0" borderId="111" xfId="1" applyFont="1" applyBorder="1" applyAlignment="1">
      <alignment horizontal="justify" vertical="center" wrapText="1"/>
    </xf>
    <xf numFmtId="43" fontId="98" fillId="0" borderId="17" xfId="1" applyFont="1" applyBorder="1" applyAlignment="1">
      <alignment horizontal="justify" vertical="center" wrapText="1"/>
    </xf>
    <xf numFmtId="43" fontId="25" fillId="0" borderId="111" xfId="1" applyFont="1" applyBorder="1" applyAlignment="1">
      <alignment horizontal="left" vertical="center" wrapText="1"/>
    </xf>
    <xf numFmtId="43" fontId="25" fillId="0" borderId="17" xfId="1" applyFont="1" applyBorder="1" applyAlignment="1">
      <alignment horizontal="justify" vertical="center" wrapText="1"/>
    </xf>
    <xf numFmtId="43" fontId="23" fillId="0" borderId="111" xfId="1" applyFont="1" applyBorder="1" applyAlignment="1">
      <alignment horizontal="left" vertical="center" wrapText="1" indent="1"/>
    </xf>
    <xf numFmtId="43" fontId="23" fillId="0" borderId="111" xfId="1" applyFont="1" applyBorder="1" applyAlignment="1">
      <alignment horizontal="left" vertical="center" wrapText="1"/>
    </xf>
    <xf numFmtId="43" fontId="23" fillId="0" borderId="18" xfId="1" applyFont="1" applyBorder="1" applyAlignment="1">
      <alignment horizontal="justify" vertical="center" wrapText="1"/>
    </xf>
    <xf numFmtId="43" fontId="25" fillId="0" borderId="20" xfId="1" applyFont="1" applyBorder="1" applyAlignment="1">
      <alignment horizontal="justify" vertical="center" wrapText="1"/>
    </xf>
    <xf numFmtId="43" fontId="32" fillId="0" borderId="0" xfId="1" applyFont="1"/>
    <xf numFmtId="43" fontId="11" fillId="0" borderId="16" xfId="1" applyFont="1" applyBorder="1" applyAlignment="1">
      <alignment horizontal="left" vertical="center"/>
    </xf>
    <xf numFmtId="43" fontId="11" fillId="0" borderId="0" xfId="1" applyFont="1" applyAlignment="1">
      <alignment horizontal="left" vertical="center"/>
    </xf>
    <xf numFmtId="43" fontId="11" fillId="0" borderId="114" xfId="1" applyFont="1" applyBorder="1" applyAlignment="1">
      <alignment horizontal="left" vertical="center"/>
    </xf>
    <xf numFmtId="43" fontId="99" fillId="0" borderId="17" xfId="1" applyFont="1" applyBorder="1" applyAlignment="1">
      <alignment horizontal="center" vertical="center"/>
    </xf>
    <xf numFmtId="43" fontId="11" fillId="0" borderId="16" xfId="1" applyFont="1" applyBorder="1" applyAlignment="1">
      <alignment horizontal="justify" vertical="center"/>
    </xf>
    <xf numFmtId="43" fontId="11" fillId="0" borderId="0" xfId="1" applyFont="1" applyAlignment="1">
      <alignment horizontal="justify" vertical="center"/>
    </xf>
    <xf numFmtId="43" fontId="11" fillId="0" borderId="114" xfId="1" applyFont="1" applyBorder="1" applyAlignment="1">
      <alignment horizontal="justify" vertical="center"/>
    </xf>
    <xf numFmtId="43" fontId="11" fillId="0" borderId="19" xfId="1" applyFont="1" applyBorder="1" applyAlignment="1">
      <alignment horizontal="justify" vertical="center"/>
    </xf>
    <xf numFmtId="43" fontId="11" fillId="0" borderId="0" xfId="1" applyFont="1" applyBorder="1" applyAlignment="1">
      <alignment horizontal="justify" vertical="center"/>
    </xf>
    <xf numFmtId="43" fontId="11" fillId="0" borderId="0" xfId="1" applyFont="1" applyBorder="1" applyAlignment="1">
      <alignment horizontal="center" vertical="center"/>
    </xf>
    <xf numFmtId="43" fontId="10" fillId="10" borderId="11" xfId="1" applyFont="1" applyFill="1" applyBorder="1" applyAlignment="1">
      <alignment horizontal="center" vertical="center" wrapText="1"/>
    </xf>
    <xf numFmtId="43" fontId="25" fillId="10" borderId="21" xfId="1" applyFont="1" applyFill="1" applyBorder="1" applyAlignment="1">
      <alignment horizontal="center" vertical="center" wrapText="1"/>
    </xf>
    <xf numFmtId="43" fontId="25" fillId="10" borderId="63" xfId="1" applyFont="1" applyFill="1" applyBorder="1" applyAlignment="1">
      <alignment horizontal="center" vertical="center" wrapText="1"/>
    </xf>
    <xf numFmtId="0" fontId="10" fillId="0" borderId="0" xfId="0" applyFont="1" applyFill="1" applyBorder="1" applyAlignment="1">
      <alignment horizontal="center" vertical="center"/>
    </xf>
    <xf numFmtId="0" fontId="27" fillId="0" borderId="0" xfId="0" applyFont="1" applyFill="1" applyBorder="1" applyAlignment="1">
      <alignment horizontal="center" vertical="center"/>
    </xf>
    <xf numFmtId="0" fontId="34" fillId="0" borderId="0" xfId="0" applyFont="1" applyFill="1"/>
    <xf numFmtId="0" fontId="20" fillId="0" borderId="0" xfId="0" applyFont="1" applyFill="1"/>
    <xf numFmtId="0" fontId="31" fillId="12" borderId="0" xfId="0" applyFont="1" applyFill="1" applyBorder="1" applyAlignment="1">
      <alignment horizontal="center" vertical="center"/>
    </xf>
    <xf numFmtId="0" fontId="31" fillId="0" borderId="0" xfId="0" applyFont="1" applyAlignment="1">
      <alignment horizontal="left" vertical="center"/>
    </xf>
    <xf numFmtId="0" fontId="24" fillId="0" borderId="0" xfId="0" applyFont="1" applyAlignment="1">
      <alignment horizontal="left" vertical="center"/>
    </xf>
    <xf numFmtId="0" fontId="24" fillId="0" borderId="0" xfId="0" applyFont="1" applyAlignment="1">
      <alignment horizontal="left" vertical="top"/>
    </xf>
    <xf numFmtId="0" fontId="24" fillId="0" borderId="0" xfId="0" applyFont="1" applyAlignment="1">
      <alignment vertical="center" wrapText="1"/>
    </xf>
    <xf numFmtId="0" fontId="17" fillId="0" borderId="0" xfId="0" applyFont="1" applyAlignment="1">
      <alignment horizontal="left"/>
    </xf>
    <xf numFmtId="0" fontId="31" fillId="0" borderId="0" xfId="0" applyFont="1" applyAlignment="1">
      <alignment horizontal="left" vertical="top"/>
    </xf>
    <xf numFmtId="0" fontId="31" fillId="0" borderId="0" xfId="0" applyFont="1" applyAlignment="1">
      <alignment vertical="center" wrapText="1"/>
    </xf>
    <xf numFmtId="0" fontId="100" fillId="0" borderId="0" xfId="0" applyFont="1"/>
    <xf numFmtId="0" fontId="24" fillId="0" borderId="0" xfId="0" applyFont="1" applyBorder="1" applyAlignment="1">
      <alignment horizontal="center"/>
    </xf>
    <xf numFmtId="0" fontId="20" fillId="0" borderId="0" xfId="0" applyFont="1" applyBorder="1"/>
    <xf numFmtId="14" fontId="6" fillId="0" borderId="65" xfId="180" applyNumberFormat="1" applyFont="1" applyFill="1" applyBorder="1" applyAlignment="1">
      <alignment horizontal="center" vertical="center" wrapText="1"/>
    </xf>
    <xf numFmtId="14" fontId="6" fillId="0" borderId="71" xfId="180" applyNumberFormat="1" applyFont="1" applyFill="1" applyBorder="1" applyAlignment="1">
      <alignment horizontal="center" vertical="center" wrapText="1"/>
    </xf>
    <xf numFmtId="14" fontId="6" fillId="0" borderId="109" xfId="180" applyNumberFormat="1" applyFont="1" applyFill="1" applyBorder="1" applyAlignment="1">
      <alignment horizontal="center" vertical="center" wrapText="1"/>
    </xf>
    <xf numFmtId="14" fontId="6" fillId="0" borderId="69" xfId="180" applyNumberFormat="1" applyFont="1" applyFill="1" applyBorder="1" applyAlignment="1">
      <alignment horizontal="center" vertical="center" wrapText="1"/>
    </xf>
    <xf numFmtId="0" fontId="2" fillId="0" borderId="0" xfId="180" applyNumberFormat="1" applyFill="1" applyBorder="1" applyAlignment="1">
      <alignment horizontal="center" vertical="center" wrapText="1"/>
    </xf>
    <xf numFmtId="49" fontId="6" fillId="0" borderId="36" xfId="180" applyNumberFormat="1" applyFont="1" applyFill="1" applyBorder="1" applyAlignment="1">
      <alignment horizontal="center" vertical="center" wrapText="1"/>
    </xf>
    <xf numFmtId="49" fontId="6" fillId="0" borderId="72" xfId="180" applyNumberFormat="1" applyFont="1" applyFill="1" applyBorder="1" applyAlignment="1">
      <alignment horizontal="center" vertical="center" wrapText="1"/>
    </xf>
    <xf numFmtId="49" fontId="6" fillId="0" borderId="39" xfId="180" applyNumberFormat="1" applyFont="1" applyFill="1" applyBorder="1" applyAlignment="1">
      <alignment horizontal="center" vertical="center" wrapText="1"/>
    </xf>
    <xf numFmtId="49" fontId="6" fillId="0" borderId="42" xfId="180" applyNumberFormat="1" applyFont="1" applyFill="1" applyBorder="1" applyAlignment="1">
      <alignment horizontal="center" vertical="center" wrapText="1"/>
    </xf>
    <xf numFmtId="0" fontId="11" fillId="0" borderId="16" xfId="0" applyFont="1" applyFill="1" applyBorder="1" applyAlignment="1">
      <alignment horizontal="left" vertical="center" indent="2"/>
    </xf>
    <xf numFmtId="43" fontId="11" fillId="0" borderId="111" xfId="1" applyFont="1" applyFill="1" applyBorder="1" applyAlignment="1">
      <alignment vertical="center" wrapText="1"/>
    </xf>
    <xf numFmtId="43" fontId="11" fillId="0" borderId="17" xfId="1" applyFont="1" applyFill="1" applyBorder="1" applyAlignment="1">
      <alignment vertical="center" wrapText="1"/>
    </xf>
    <xf numFmtId="43" fontId="11" fillId="0" borderId="111" xfId="1" applyFont="1" applyFill="1" applyBorder="1" applyAlignment="1">
      <alignment vertical="center"/>
    </xf>
    <xf numFmtId="164" fontId="3" fillId="2" borderId="18" xfId="7" applyFont="1" applyFill="1" applyBorder="1" applyAlignment="1">
      <alignment horizontal="center" vertical="center" wrapText="1"/>
    </xf>
    <xf numFmtId="44" fontId="2" fillId="0" borderId="0" xfId="177" applyFont="1" applyFill="1"/>
    <xf numFmtId="44" fontId="0" fillId="0" borderId="0" xfId="177" applyFont="1"/>
    <xf numFmtId="44" fontId="0" fillId="0" borderId="0" xfId="177" applyFont="1" applyAlignment="1">
      <alignment horizontal="center" vertical="center" wrapText="1"/>
    </xf>
    <xf numFmtId="43" fontId="51" fillId="0" borderId="0" xfId="17" applyNumberFormat="1" applyFont="1"/>
    <xf numFmtId="0" fontId="58" fillId="0" borderId="0" xfId="17" applyFont="1" applyBorder="1" applyAlignment="1">
      <alignment horizontal="center"/>
    </xf>
    <xf numFmtId="164" fontId="58" fillId="0" borderId="0" xfId="3" applyNumberFormat="1" applyFont="1" applyBorder="1"/>
    <xf numFmtId="0" fontId="62" fillId="0" borderId="0" xfId="17" applyFont="1" applyAlignment="1">
      <alignment horizontal="center"/>
    </xf>
    <xf numFmtId="164" fontId="56" fillId="2" borderId="18" xfId="7" applyFont="1" applyFill="1" applyBorder="1" applyAlignment="1">
      <alignment horizontal="center" vertical="center" wrapText="1"/>
    </xf>
    <xf numFmtId="43" fontId="10" fillId="0" borderId="17" xfId="1" applyFont="1" applyBorder="1" applyAlignment="1">
      <alignment horizontal="left" vertical="center"/>
    </xf>
    <xf numFmtId="43" fontId="10" fillId="0" borderId="17" xfId="1" applyFont="1" applyFill="1" applyBorder="1" applyAlignment="1">
      <alignment horizontal="center" vertical="center"/>
    </xf>
    <xf numFmtId="43" fontId="10" fillId="0" borderId="17" xfId="1" applyFont="1" applyBorder="1" applyAlignment="1">
      <alignment horizontal="justify" vertical="center"/>
    </xf>
    <xf numFmtId="43" fontId="10" fillId="0" borderId="17" xfId="1" applyFont="1" applyFill="1" applyBorder="1" applyAlignment="1">
      <alignment vertical="center"/>
    </xf>
    <xf numFmtId="43" fontId="27" fillId="0" borderId="111" xfId="1" applyFont="1" applyBorder="1" applyAlignment="1">
      <alignment horizontal="center" vertical="center"/>
    </xf>
    <xf numFmtId="43" fontId="83" fillId="0" borderId="17" xfId="1" applyFont="1" applyBorder="1" applyAlignment="1">
      <alignment horizontal="center" vertical="center" wrapText="1"/>
    </xf>
    <xf numFmtId="10" fontId="83" fillId="0" borderId="17" xfId="1" applyNumberFormat="1" applyFont="1" applyBorder="1" applyAlignment="1">
      <alignment horizontal="center" vertical="center"/>
    </xf>
    <xf numFmtId="0" fontId="83" fillId="0" borderId="111" xfId="1" applyNumberFormat="1" applyFont="1" applyBorder="1" applyAlignment="1">
      <alignment horizontal="center" vertical="center"/>
    </xf>
    <xf numFmtId="0" fontId="83" fillId="0" borderId="17" xfId="1" applyNumberFormat="1" applyFont="1" applyBorder="1" applyAlignment="1">
      <alignment horizontal="center" vertical="center"/>
    </xf>
    <xf numFmtId="43" fontId="83" fillId="0" borderId="17" xfId="1" applyFont="1" applyBorder="1" applyAlignment="1">
      <alignment horizontal="center" vertical="center"/>
    </xf>
    <xf numFmtId="43" fontId="11" fillId="0" borderId="111" xfId="1" applyFont="1" applyBorder="1" applyAlignment="1">
      <alignment horizontal="center" vertical="center"/>
    </xf>
    <xf numFmtId="0" fontId="39" fillId="0" borderId="3" xfId="0" applyFont="1" applyFill="1" applyBorder="1" applyAlignment="1">
      <alignment horizontal="center" vertical="center"/>
    </xf>
    <xf numFmtId="0" fontId="39" fillId="0" borderId="3" xfId="0" applyFont="1" applyFill="1" applyBorder="1" applyAlignment="1">
      <alignment vertical="center"/>
    </xf>
    <xf numFmtId="4" fontId="39" fillId="0" borderId="3" xfId="0" applyNumberFormat="1" applyFont="1" applyFill="1" applyBorder="1" applyAlignment="1">
      <alignment vertical="center"/>
    </xf>
    <xf numFmtId="43" fontId="10" fillId="0" borderId="17" xfId="1" applyFont="1" applyFill="1" applyBorder="1" applyAlignment="1">
      <alignment horizontal="justify" vertical="center"/>
    </xf>
    <xf numFmtId="43" fontId="11" fillId="0" borderId="17" xfId="1" applyFont="1" applyFill="1" applyBorder="1" applyAlignment="1">
      <alignment horizontal="justify" vertical="center"/>
    </xf>
    <xf numFmtId="0" fontId="0" fillId="0" borderId="0" xfId="0"/>
    <xf numFmtId="0" fontId="11" fillId="2" borderId="22" xfId="0" applyFont="1" applyFill="1" applyBorder="1"/>
    <xf numFmtId="0" fontId="11" fillId="2" borderId="11" xfId="0" applyFont="1" applyFill="1" applyBorder="1"/>
    <xf numFmtId="0" fontId="11" fillId="0" borderId="16" xfId="0" applyFont="1" applyBorder="1"/>
    <xf numFmtId="0" fontId="11" fillId="0" borderId="0" xfId="0" applyFont="1" applyBorder="1"/>
    <xf numFmtId="0" fontId="11" fillId="0" borderId="17" xfId="0" applyFont="1" applyBorder="1"/>
    <xf numFmtId="0" fontId="21" fillId="2" borderId="10" xfId="0" applyFont="1" applyFill="1" applyBorder="1"/>
    <xf numFmtId="0" fontId="82" fillId="0" borderId="0" xfId="2" applyFont="1" applyAlignment="1">
      <alignment horizontal="center"/>
    </xf>
    <xf numFmtId="49" fontId="6" fillId="0" borderId="0" xfId="2" applyNumberFormat="1" applyFont="1" applyFill="1" applyBorder="1" applyAlignment="1">
      <alignment horizontal="center" vertical="top"/>
    </xf>
    <xf numFmtId="0" fontId="56" fillId="3" borderId="0" xfId="2" applyFont="1" applyFill="1" applyAlignment="1">
      <alignment horizontal="center"/>
    </xf>
    <xf numFmtId="0" fontId="62" fillId="0" borderId="0" xfId="2" applyFont="1" applyAlignment="1">
      <alignment horizontal="center"/>
    </xf>
    <xf numFmtId="0" fontId="57" fillId="2" borderId="4" xfId="2" applyFont="1" applyFill="1" applyBorder="1" applyAlignment="1">
      <alignment horizontal="center" vertical="center" wrapText="1"/>
    </xf>
    <xf numFmtId="0" fontId="57" fillId="2" borderId="5" xfId="2" applyFont="1" applyFill="1" applyBorder="1" applyAlignment="1">
      <alignment horizontal="center" vertical="center" wrapText="1"/>
    </xf>
    <xf numFmtId="0" fontId="57" fillId="2" borderId="6" xfId="2" applyFont="1" applyFill="1" applyBorder="1" applyAlignment="1">
      <alignment horizontal="center" vertical="center" wrapText="1"/>
    </xf>
    <xf numFmtId="0" fontId="66" fillId="0" borderId="0" xfId="2" applyFont="1" applyAlignment="1">
      <alignment horizontal="center"/>
    </xf>
    <xf numFmtId="0" fontId="74" fillId="0" borderId="0" xfId="2" applyFont="1" applyAlignment="1">
      <alignment horizontal="justify" wrapText="1"/>
    </xf>
    <xf numFmtId="0" fontId="42" fillId="0" borderId="0" xfId="0" applyFont="1" applyAlignment="1">
      <alignment horizontal="justify" wrapText="1"/>
    </xf>
    <xf numFmtId="0" fontId="62" fillId="0" borderId="0" xfId="2" applyFont="1" applyAlignment="1">
      <alignment horizontal="center" vertical="center"/>
    </xf>
    <xf numFmtId="0" fontId="62" fillId="0" borderId="0" xfId="2" applyFont="1" applyAlignment="1">
      <alignment horizontal="center" wrapText="1"/>
    </xf>
    <xf numFmtId="0" fontId="57" fillId="2" borderId="3" xfId="2" applyFont="1" applyFill="1" applyBorder="1" applyAlignment="1">
      <alignment horizontal="center" vertical="center" wrapText="1"/>
    </xf>
    <xf numFmtId="0" fontId="63" fillId="0" borderId="0" xfId="2" applyFont="1" applyBorder="1" applyAlignment="1">
      <alignment horizontal="center" vertical="center" wrapText="1"/>
    </xf>
    <xf numFmtId="0" fontId="56" fillId="2" borderId="3" xfId="2" applyFont="1" applyFill="1" applyBorder="1" applyAlignment="1">
      <alignment horizontal="center" vertical="center" wrapText="1"/>
    </xf>
    <xf numFmtId="0" fontId="75" fillId="2" borderId="4" xfId="2" applyFont="1" applyFill="1" applyBorder="1" applyAlignment="1">
      <alignment horizontal="center" vertical="center" wrapText="1"/>
    </xf>
    <xf numFmtId="0" fontId="75" fillId="2" borderId="5" xfId="2" applyFont="1" applyFill="1" applyBorder="1" applyAlignment="1">
      <alignment horizontal="center" vertical="center" wrapText="1"/>
    </xf>
    <xf numFmtId="0" fontId="62" fillId="0" borderId="0" xfId="16" applyFont="1" applyAlignment="1">
      <alignment horizontal="center"/>
    </xf>
    <xf numFmtId="0" fontId="57" fillId="0" borderId="0" xfId="16" applyFont="1" applyAlignment="1">
      <alignment horizontal="left" wrapText="1"/>
    </xf>
    <xf numFmtId="0" fontId="13" fillId="0" borderId="0" xfId="2" applyFont="1" applyAlignment="1">
      <alignment horizontal="center" vertical="center"/>
    </xf>
    <xf numFmtId="0" fontId="3" fillId="0" borderId="53" xfId="2" applyFont="1" applyBorder="1" applyAlignment="1">
      <alignment horizontal="center" vertical="center" wrapText="1"/>
    </xf>
    <xf numFmtId="0" fontId="3" fillId="0" borderId="74" xfId="2" applyFont="1" applyBorder="1" applyAlignment="1">
      <alignment horizontal="center" vertical="center" wrapText="1"/>
    </xf>
    <xf numFmtId="0" fontId="3" fillId="0" borderId="52" xfId="2" applyFont="1" applyBorder="1" applyAlignment="1">
      <alignment horizontal="center" vertical="center" wrapText="1"/>
    </xf>
    <xf numFmtId="0" fontId="3" fillId="0" borderId="49" xfId="2" applyFont="1" applyBorder="1" applyAlignment="1">
      <alignment horizontal="center" vertical="center" wrapText="1"/>
    </xf>
    <xf numFmtId="0" fontId="3" fillId="0" borderId="50" xfId="2" applyFont="1" applyBorder="1" applyAlignment="1">
      <alignment horizontal="center" vertical="center" wrapText="1"/>
    </xf>
    <xf numFmtId="0" fontId="3" fillId="0" borderId="51" xfId="2" applyFont="1" applyBorder="1" applyAlignment="1">
      <alignment horizontal="center" vertical="center" wrapText="1"/>
    </xf>
    <xf numFmtId="0" fontId="5" fillId="8" borderId="4" xfId="2" applyFont="1" applyFill="1" applyBorder="1" applyAlignment="1">
      <alignment horizontal="center" vertical="center" wrapText="1"/>
    </xf>
    <xf numFmtId="0" fontId="5" fillId="8" borderId="5" xfId="2" applyFont="1" applyFill="1" applyBorder="1" applyAlignment="1">
      <alignment horizontal="center" vertical="center" wrapText="1"/>
    </xf>
    <xf numFmtId="0" fontId="6" fillId="0" borderId="0" xfId="2" applyFont="1" applyBorder="1" applyAlignment="1">
      <alignment horizontal="center" vertical="center" wrapText="1"/>
    </xf>
    <xf numFmtId="0" fontId="56" fillId="2" borderId="4" xfId="2" applyFont="1" applyFill="1" applyBorder="1" applyAlignment="1">
      <alignment horizontal="center" vertical="center"/>
    </xf>
    <xf numFmtId="0" fontId="56" fillId="2" borderId="5" xfId="2" applyFont="1" applyFill="1" applyBorder="1" applyAlignment="1">
      <alignment horizontal="center" vertical="center"/>
    </xf>
    <xf numFmtId="0" fontId="56" fillId="2" borderId="6" xfId="2" applyFont="1" applyFill="1" applyBorder="1" applyAlignment="1">
      <alignment horizontal="center" vertical="center"/>
    </xf>
    <xf numFmtId="0" fontId="56" fillId="2" borderId="7" xfId="2" applyFont="1" applyFill="1" applyBorder="1" applyAlignment="1">
      <alignment horizontal="center" vertical="center" wrapText="1"/>
    </xf>
    <xf numFmtId="0" fontId="56" fillId="2" borderId="8" xfId="2" applyFont="1" applyFill="1" applyBorder="1" applyAlignment="1">
      <alignment horizontal="center" vertical="center" wrapText="1"/>
    </xf>
    <xf numFmtId="0" fontId="56" fillId="2" borderId="9" xfId="2" applyFont="1" applyFill="1" applyBorder="1" applyAlignment="1">
      <alignment horizontal="center" vertical="center" wrapText="1"/>
    </xf>
    <xf numFmtId="0" fontId="56" fillId="2" borderId="4" xfId="2" applyFont="1" applyFill="1" applyBorder="1" applyAlignment="1">
      <alignment horizontal="center" vertical="center" wrapText="1"/>
    </xf>
    <xf numFmtId="0" fontId="56" fillId="2" borderId="6" xfId="2" applyFont="1" applyFill="1" applyBorder="1" applyAlignment="1">
      <alignment horizontal="center" vertical="center" wrapText="1"/>
    </xf>
    <xf numFmtId="43" fontId="56" fillId="0" borderId="4" xfId="1" applyNumberFormat="1" applyFont="1" applyFill="1" applyBorder="1" applyAlignment="1">
      <alignment horizontal="center" vertical="center"/>
    </xf>
    <xf numFmtId="43" fontId="56" fillId="0" borderId="6" xfId="1" applyNumberFormat="1" applyFont="1" applyFill="1" applyBorder="1" applyAlignment="1">
      <alignment horizontal="center" vertical="center"/>
    </xf>
    <xf numFmtId="43" fontId="56" fillId="0" borderId="7" xfId="2" applyNumberFormat="1" applyFont="1" applyFill="1" applyBorder="1" applyAlignment="1">
      <alignment horizontal="center" wrapText="1"/>
    </xf>
    <xf numFmtId="43" fontId="56" fillId="0" borderId="8" xfId="2" applyNumberFormat="1" applyFont="1" applyFill="1" applyBorder="1" applyAlignment="1">
      <alignment horizontal="center" wrapText="1"/>
    </xf>
    <xf numFmtId="43" fontId="56" fillId="0" borderId="9" xfId="2" applyNumberFormat="1" applyFont="1" applyFill="1" applyBorder="1" applyAlignment="1">
      <alignment horizontal="center" wrapText="1"/>
    </xf>
    <xf numFmtId="43" fontId="56" fillId="0" borderId="7" xfId="3" applyNumberFormat="1" applyFont="1" applyFill="1" applyBorder="1" applyAlignment="1">
      <alignment horizontal="left"/>
    </xf>
    <xf numFmtId="43" fontId="56" fillId="0" borderId="9" xfId="3" applyNumberFormat="1" applyFont="1" applyFill="1" applyBorder="1" applyAlignment="1">
      <alignment horizontal="left"/>
    </xf>
    <xf numFmtId="43" fontId="56" fillId="0" borderId="4" xfId="3" applyFont="1" applyFill="1" applyBorder="1" applyAlignment="1">
      <alignment horizontal="center" vertical="center"/>
    </xf>
    <xf numFmtId="43" fontId="56" fillId="0" borderId="6" xfId="3" applyFont="1" applyFill="1" applyBorder="1" applyAlignment="1">
      <alignment horizontal="center" vertical="center"/>
    </xf>
    <xf numFmtId="0" fontId="56" fillId="0" borderId="7" xfId="2" applyFont="1" applyFill="1" applyBorder="1" applyAlignment="1">
      <alignment horizontal="center" wrapText="1"/>
    </xf>
    <xf numFmtId="0" fontId="56" fillId="0" borderId="8" xfId="2" applyFont="1" applyFill="1" applyBorder="1" applyAlignment="1">
      <alignment horizontal="center" wrapText="1"/>
    </xf>
    <xf numFmtId="0" fontId="56" fillId="0" borderId="9" xfId="2" applyFont="1" applyFill="1" applyBorder="1" applyAlignment="1">
      <alignment horizontal="center" wrapText="1"/>
    </xf>
    <xf numFmtId="43" fontId="56" fillId="0" borderId="7" xfId="3" applyFont="1" applyFill="1" applyBorder="1" applyAlignment="1">
      <alignment horizontal="left"/>
    </xf>
    <xf numFmtId="43" fontId="56" fillId="0" borderId="9" xfId="3" applyFont="1" applyFill="1" applyBorder="1" applyAlignment="1">
      <alignment horizontal="left"/>
    </xf>
    <xf numFmtId="0" fontId="56" fillId="2" borderId="5" xfId="2" applyFont="1" applyFill="1" applyBorder="1" applyAlignment="1">
      <alignment horizontal="center" vertical="center" wrapText="1"/>
    </xf>
    <xf numFmtId="0" fontId="58" fillId="0" borderId="3" xfId="17" applyFont="1" applyBorder="1" applyAlignment="1">
      <alignment horizontal="center"/>
    </xf>
    <xf numFmtId="0" fontId="4" fillId="0" borderId="0" xfId="17" applyFont="1" applyAlignment="1">
      <alignment horizontal="center" wrapText="1"/>
    </xf>
    <xf numFmtId="0" fontId="6" fillId="0" borderId="0" xfId="2" applyFont="1" applyFill="1" applyBorder="1" applyAlignment="1">
      <alignment horizontal="center" vertical="top"/>
    </xf>
    <xf numFmtId="0" fontId="4" fillId="0" borderId="0" xfId="17" applyFont="1" applyAlignment="1">
      <alignment horizontal="center"/>
    </xf>
    <xf numFmtId="0" fontId="3" fillId="2" borderId="10" xfId="17" applyFont="1" applyFill="1" applyBorder="1" applyAlignment="1">
      <alignment horizontal="center" vertical="center" wrapText="1"/>
    </xf>
    <xf numFmtId="0" fontId="3" fillId="2" borderId="11" xfId="17" applyFont="1" applyFill="1" applyBorder="1" applyAlignment="1">
      <alignment horizontal="center" vertical="center" wrapText="1"/>
    </xf>
    <xf numFmtId="0" fontId="3" fillId="2" borderId="16" xfId="17" applyFont="1" applyFill="1" applyBorder="1" applyAlignment="1">
      <alignment horizontal="center" vertical="center" wrapText="1"/>
    </xf>
    <xf numFmtId="0" fontId="3" fillId="2" borderId="17" xfId="17" applyFont="1" applyFill="1" applyBorder="1" applyAlignment="1">
      <alignment horizontal="center" vertical="center" wrapText="1"/>
    </xf>
    <xf numFmtId="0" fontId="3" fillId="2" borderId="19" xfId="17" applyFont="1" applyFill="1" applyBorder="1" applyAlignment="1">
      <alignment horizontal="center" vertical="center" wrapText="1"/>
    </xf>
    <xf numFmtId="0" fontId="3" fillId="2" borderId="20" xfId="17" applyFont="1" applyFill="1" applyBorder="1" applyAlignment="1">
      <alignment horizontal="center" vertical="center" wrapText="1"/>
    </xf>
    <xf numFmtId="164" fontId="3" fillId="2" borderId="12" xfId="7" applyFont="1" applyFill="1" applyBorder="1" applyAlignment="1">
      <alignment horizontal="center" vertical="center" wrapText="1"/>
    </xf>
    <xf numFmtId="164" fontId="3" fillId="2" borderId="13" xfId="7" applyFont="1" applyFill="1" applyBorder="1" applyAlignment="1">
      <alignment horizontal="center" vertical="center" wrapText="1"/>
    </xf>
    <xf numFmtId="164" fontId="3" fillId="2" borderId="14" xfId="7" applyFont="1" applyFill="1" applyBorder="1" applyAlignment="1">
      <alignment horizontal="center" vertical="center" wrapText="1"/>
    </xf>
    <xf numFmtId="164" fontId="3" fillId="2" borderId="15" xfId="7" applyFont="1" applyFill="1" applyBorder="1" applyAlignment="1">
      <alignment horizontal="center" vertical="center" wrapText="1"/>
    </xf>
    <xf numFmtId="164" fontId="3" fillId="2" borderId="18" xfId="7" applyFont="1" applyFill="1" applyBorder="1" applyAlignment="1">
      <alignment horizontal="center" vertical="center" wrapText="1"/>
    </xf>
    <xf numFmtId="0" fontId="62" fillId="0" borderId="0" xfId="17" applyFont="1" applyAlignment="1">
      <alignment horizontal="center" wrapText="1"/>
    </xf>
    <xf numFmtId="0" fontId="62" fillId="0" borderId="0" xfId="17" applyFont="1" applyAlignment="1">
      <alignment horizontal="center"/>
    </xf>
    <xf numFmtId="0" fontId="56" fillId="2" borderId="10" xfId="17" applyFont="1" applyFill="1" applyBorder="1" applyAlignment="1">
      <alignment horizontal="center" vertical="center" wrapText="1"/>
    </xf>
    <xf numFmtId="0" fontId="56" fillId="2" borderId="11" xfId="17" applyFont="1" applyFill="1" applyBorder="1" applyAlignment="1">
      <alignment horizontal="center" vertical="center" wrapText="1"/>
    </xf>
    <xf numFmtId="0" fontId="56" fillId="2" borderId="16" xfId="17" applyFont="1" applyFill="1" applyBorder="1" applyAlignment="1">
      <alignment horizontal="center" vertical="center" wrapText="1"/>
    </xf>
    <xf numFmtId="0" fontId="56" fillId="2" borderId="17" xfId="17" applyFont="1" applyFill="1" applyBorder="1" applyAlignment="1">
      <alignment horizontal="center" vertical="center" wrapText="1"/>
    </xf>
    <xf numFmtId="0" fontId="56" fillId="2" borderId="19" xfId="17" applyFont="1" applyFill="1" applyBorder="1" applyAlignment="1">
      <alignment horizontal="center" vertical="center" wrapText="1"/>
    </xf>
    <xf numFmtId="0" fontId="56" fillId="2" borderId="20" xfId="17" applyFont="1" applyFill="1" applyBorder="1" applyAlignment="1">
      <alignment horizontal="center" vertical="center" wrapText="1"/>
    </xf>
    <xf numFmtId="164" fontId="56" fillId="2" borderId="12" xfId="7" applyFont="1" applyFill="1" applyBorder="1" applyAlignment="1">
      <alignment horizontal="center" vertical="center" wrapText="1"/>
    </xf>
    <xf numFmtId="164" fontId="56" fillId="2" borderId="13" xfId="7" applyFont="1" applyFill="1" applyBorder="1" applyAlignment="1">
      <alignment horizontal="center" vertical="center" wrapText="1"/>
    </xf>
    <xf numFmtId="164" fontId="56" fillId="2" borderId="14" xfId="7" applyFont="1" applyFill="1" applyBorder="1" applyAlignment="1">
      <alignment horizontal="center" vertical="center" wrapText="1"/>
    </xf>
    <xf numFmtId="164" fontId="56" fillId="2" borderId="15" xfId="7" applyFont="1" applyFill="1" applyBorder="1" applyAlignment="1">
      <alignment horizontal="center" vertical="center" wrapText="1"/>
    </xf>
    <xf numFmtId="164" fontId="56" fillId="2" borderId="18" xfId="7" applyFont="1" applyFill="1" applyBorder="1" applyAlignment="1">
      <alignment horizontal="center" vertical="center" wrapText="1"/>
    </xf>
    <xf numFmtId="0" fontId="58" fillId="0" borderId="98" xfId="17" applyFont="1" applyBorder="1" applyAlignment="1">
      <alignment horizontal="center"/>
    </xf>
    <xf numFmtId="0" fontId="58" fillId="0" borderId="99" xfId="17" applyFont="1" applyBorder="1" applyAlignment="1">
      <alignment horizontal="center"/>
    </xf>
    <xf numFmtId="0" fontId="56" fillId="0" borderId="0" xfId="2" applyFont="1" applyAlignment="1">
      <alignment horizontal="center" vertical="center"/>
    </xf>
    <xf numFmtId="43" fontId="56" fillId="2" borderId="4" xfId="2" applyNumberFormat="1" applyFont="1" applyFill="1" applyBorder="1" applyAlignment="1">
      <alignment horizontal="center" vertical="center"/>
    </xf>
    <xf numFmtId="43" fontId="56" fillId="2" borderId="5" xfId="2" applyNumberFormat="1" applyFont="1" applyFill="1" applyBorder="1" applyAlignment="1">
      <alignment horizontal="center" vertical="center"/>
    </xf>
    <xf numFmtId="0" fontId="4" fillId="0" borderId="16" xfId="2" applyFont="1" applyBorder="1" applyAlignment="1">
      <alignment horizontal="center" vertical="center"/>
    </xf>
    <xf numFmtId="0" fontId="4" fillId="0" borderId="0" xfId="2" applyFont="1" applyBorder="1" applyAlignment="1">
      <alignment horizontal="center" vertical="center"/>
    </xf>
    <xf numFmtId="0" fontId="4" fillId="0" borderId="17" xfId="2" applyFont="1" applyBorder="1" applyAlignment="1">
      <alignment horizontal="center" vertical="center"/>
    </xf>
    <xf numFmtId="0" fontId="3" fillId="0" borderId="16" xfId="2" applyFont="1" applyBorder="1" applyAlignment="1">
      <alignment horizontal="center" vertical="center"/>
    </xf>
    <xf numFmtId="0" fontId="3" fillId="0" borderId="0" xfId="2" applyFont="1" applyBorder="1" applyAlignment="1">
      <alignment horizontal="center" vertical="center"/>
    </xf>
    <xf numFmtId="0" fontId="3" fillId="0" borderId="17" xfId="2" applyFont="1" applyBorder="1" applyAlignment="1">
      <alignment horizontal="center" vertical="center"/>
    </xf>
    <xf numFmtId="0" fontId="10" fillId="2" borderId="95" xfId="0" applyFont="1" applyFill="1" applyBorder="1" applyAlignment="1">
      <alignment horizontal="center" vertical="center"/>
    </xf>
    <xf numFmtId="0" fontId="10" fillId="2" borderId="58" xfId="0" applyFont="1" applyFill="1" applyBorder="1" applyAlignment="1">
      <alignment horizontal="center" vertical="center"/>
    </xf>
    <xf numFmtId="0" fontId="10" fillId="2" borderId="3" xfId="0" applyFont="1" applyFill="1" applyBorder="1" applyAlignment="1">
      <alignment horizontal="center" vertical="center"/>
    </xf>
    <xf numFmtId="0" fontId="10" fillId="2" borderId="96" xfId="0" applyFont="1" applyFill="1" applyBorder="1" applyAlignment="1">
      <alignment horizontal="center" vertical="center"/>
    </xf>
    <xf numFmtId="0" fontId="4" fillId="0" borderId="0" xfId="2" applyFont="1" applyAlignment="1">
      <alignment horizontal="center" vertical="center"/>
    </xf>
    <xf numFmtId="0" fontId="25" fillId="2" borderId="3" xfId="0" applyFont="1" applyFill="1" applyBorder="1" applyAlignment="1">
      <alignment horizontal="center" vertical="center"/>
    </xf>
    <xf numFmtId="0" fontId="49" fillId="2" borderId="4" xfId="0" applyFont="1" applyFill="1" applyBorder="1" applyAlignment="1">
      <alignment horizontal="center" vertical="center"/>
    </xf>
    <xf numFmtId="0" fontId="49" fillId="2" borderId="6" xfId="0" applyFont="1" applyFill="1" applyBorder="1" applyAlignment="1">
      <alignment horizontal="center" vertical="center"/>
    </xf>
    <xf numFmtId="0" fontId="49" fillId="2" borderId="3" xfId="0" applyFont="1" applyFill="1" applyBorder="1" applyAlignment="1">
      <alignment horizontal="center" vertical="center"/>
    </xf>
    <xf numFmtId="0" fontId="49" fillId="2" borderId="53" xfId="0" applyFont="1" applyFill="1" applyBorder="1" applyAlignment="1">
      <alignment horizontal="center" vertical="center"/>
    </xf>
    <xf numFmtId="0" fontId="49" fillId="2" borderId="50" xfId="0" applyFont="1" applyFill="1" applyBorder="1" applyAlignment="1">
      <alignment horizontal="center" vertical="center"/>
    </xf>
    <xf numFmtId="0" fontId="2" fillId="0" borderId="103" xfId="180" applyNumberFormat="1" applyFont="1" applyFill="1" applyBorder="1" applyAlignment="1">
      <alignment horizontal="center" vertical="center" wrapText="1"/>
    </xf>
    <xf numFmtId="0" fontId="2" fillId="0" borderId="103" xfId="180" applyNumberFormat="1" applyFill="1" applyBorder="1" applyAlignment="1">
      <alignment horizontal="center" vertical="center" wrapText="1"/>
    </xf>
    <xf numFmtId="0" fontId="2" fillId="0" borderId="103" xfId="180" applyNumberFormat="1" applyFont="1" applyFill="1" applyBorder="1" applyAlignment="1">
      <alignment horizontal="center" wrapText="1"/>
    </xf>
    <xf numFmtId="0" fontId="2" fillId="0" borderId="103" xfId="180" applyNumberFormat="1" applyFont="1" applyFill="1" applyBorder="1" applyAlignment="1">
      <alignment horizontal="center"/>
    </xf>
    <xf numFmtId="0" fontId="3" fillId="0" borderId="101" xfId="180" applyNumberFormat="1" applyFont="1" applyFill="1" applyBorder="1" applyAlignment="1">
      <alignment horizontal="center" vertical="center" wrapText="1"/>
    </xf>
    <xf numFmtId="0" fontId="3" fillId="0" borderId="65" xfId="180" applyNumberFormat="1" applyFont="1" applyFill="1" applyBorder="1" applyAlignment="1">
      <alignment horizontal="center" vertical="center" wrapText="1"/>
    </xf>
    <xf numFmtId="0" fontId="3" fillId="0" borderId="66" xfId="180" applyNumberFormat="1" applyFont="1" applyFill="1" applyBorder="1" applyAlignment="1">
      <alignment horizontal="center" vertical="center" wrapText="1"/>
    </xf>
    <xf numFmtId="0" fontId="3" fillId="0" borderId="70" xfId="180" applyNumberFormat="1" applyFont="1" applyFill="1" applyBorder="1" applyAlignment="1">
      <alignment horizontal="center" vertical="center" wrapText="1"/>
    </xf>
    <xf numFmtId="0" fontId="2" fillId="0" borderId="0" xfId="180" applyNumberFormat="1" applyFont="1" applyFill="1" applyAlignment="1">
      <alignment horizontal="center" vertical="center" wrapText="1"/>
    </xf>
    <xf numFmtId="0" fontId="2" fillId="0" borderId="0" xfId="180" applyNumberFormat="1" applyFill="1" applyAlignment="1">
      <alignment horizontal="center" vertical="center" wrapText="1"/>
    </xf>
    <xf numFmtId="0" fontId="2" fillId="0" borderId="1" xfId="180" applyNumberFormat="1" applyFill="1" applyBorder="1" applyAlignment="1">
      <alignment horizontal="center" vertical="center" wrapText="1"/>
    </xf>
    <xf numFmtId="165" fontId="36" fillId="0" borderId="1" xfId="180" applyNumberFormat="1" applyFont="1" applyFill="1" applyBorder="1" applyAlignment="1">
      <alignment horizontal="center" vertical="center" wrapText="1"/>
    </xf>
    <xf numFmtId="0" fontId="3" fillId="0" borderId="110" xfId="181" applyFont="1" applyBorder="1" applyAlignment="1">
      <alignment horizontal="center" vertical="center" wrapText="1"/>
    </xf>
    <xf numFmtId="0" fontId="3" fillId="0" borderId="68" xfId="181" applyFont="1" applyBorder="1" applyAlignment="1">
      <alignment horizontal="center" vertical="center" wrapText="1"/>
    </xf>
    <xf numFmtId="0" fontId="16" fillId="0" borderId="0" xfId="180" applyNumberFormat="1" applyFont="1" applyFill="1" applyBorder="1" applyAlignment="1">
      <alignment horizontal="center" vertical="center" wrapText="1"/>
    </xf>
    <xf numFmtId="0" fontId="16" fillId="0" borderId="62" xfId="180" applyNumberFormat="1" applyFont="1" applyFill="1" applyBorder="1" applyAlignment="1">
      <alignment horizontal="center" vertical="center" wrapText="1"/>
    </xf>
    <xf numFmtId="0" fontId="16" fillId="0" borderId="63" xfId="180" applyNumberFormat="1" applyFont="1" applyFill="1" applyBorder="1" applyAlignment="1">
      <alignment horizontal="center" vertical="center" wrapText="1"/>
    </xf>
    <xf numFmtId="0" fontId="16" fillId="0" borderId="22" xfId="180" applyNumberFormat="1" applyFont="1" applyFill="1" applyBorder="1" applyAlignment="1">
      <alignment horizontal="center" vertical="center" wrapText="1"/>
    </xf>
    <xf numFmtId="0" fontId="5" fillId="0" borderId="64" xfId="180" applyNumberFormat="1" applyFont="1" applyFill="1" applyBorder="1" applyAlignment="1">
      <alignment horizontal="center" vertical="center" wrapText="1"/>
    </xf>
    <xf numFmtId="0" fontId="5" fillId="0" borderId="67" xfId="180" applyNumberFormat="1" applyFont="1" applyFill="1" applyBorder="1" applyAlignment="1">
      <alignment horizontal="center" vertical="center" wrapText="1"/>
    </xf>
    <xf numFmtId="0" fontId="3" fillId="0" borderId="110" xfId="180" applyNumberFormat="1" applyFont="1" applyFill="1" applyBorder="1" applyAlignment="1">
      <alignment horizontal="center" vertical="center" wrapText="1"/>
    </xf>
    <xf numFmtId="0" fontId="3" fillId="0" borderId="68" xfId="180" applyNumberFormat="1" applyFont="1" applyFill="1" applyBorder="1" applyAlignment="1">
      <alignment horizontal="center" vertical="center" wrapText="1"/>
    </xf>
    <xf numFmtId="14" fontId="3" fillId="0" borderId="101" xfId="180" applyNumberFormat="1" applyFont="1" applyFill="1" applyBorder="1" applyAlignment="1">
      <alignment horizontal="center" vertical="center" wrapText="1"/>
    </xf>
    <xf numFmtId="14" fontId="3" fillId="0" borderId="65" xfId="180" applyNumberFormat="1" applyFont="1" applyFill="1" applyBorder="1" applyAlignment="1">
      <alignment horizontal="center" vertical="center" wrapText="1"/>
    </xf>
    <xf numFmtId="165" fontId="3" fillId="0" borderId="101" xfId="180" applyNumberFormat="1" applyFont="1" applyFill="1" applyBorder="1" applyAlignment="1">
      <alignment horizontal="center" vertical="center" wrapText="1"/>
    </xf>
    <xf numFmtId="165" fontId="3" fillId="0" borderId="28" xfId="180" applyNumberFormat="1" applyFont="1" applyFill="1" applyBorder="1" applyAlignment="1">
      <alignment horizontal="center" vertical="center" wrapText="1"/>
    </xf>
    <xf numFmtId="165" fontId="3" fillId="0" borderId="65" xfId="180" applyNumberFormat="1" applyFont="1" applyFill="1" applyBorder="1" applyAlignment="1">
      <alignment horizontal="center" vertical="center" wrapText="1"/>
    </xf>
    <xf numFmtId="0" fontId="2" fillId="0" borderId="103" xfId="180" applyFont="1" applyBorder="1" applyAlignment="1">
      <alignment horizontal="center" vertical="center"/>
    </xf>
    <xf numFmtId="0" fontId="2" fillId="0" borderId="103" xfId="180" applyBorder="1" applyAlignment="1">
      <alignment horizontal="center" vertical="center"/>
    </xf>
    <xf numFmtId="0" fontId="2" fillId="0" borderId="0" xfId="180" applyFont="1" applyBorder="1" applyAlignment="1">
      <alignment horizontal="center" vertical="center"/>
    </xf>
    <xf numFmtId="0" fontId="3" fillId="0" borderId="28" xfId="180" applyFont="1" applyFill="1" applyBorder="1" applyAlignment="1">
      <alignment horizontal="center" vertical="center" wrapText="1"/>
    </xf>
    <xf numFmtId="0" fontId="3" fillId="0" borderId="36" xfId="180" applyFont="1" applyFill="1" applyBorder="1" applyAlignment="1">
      <alignment horizontal="center" vertical="center" wrapText="1"/>
    </xf>
    <xf numFmtId="0" fontId="3" fillId="0" borderId="66" xfId="180" applyFont="1" applyFill="1" applyBorder="1" applyAlignment="1">
      <alignment horizontal="center" vertical="center" wrapText="1"/>
    </xf>
    <xf numFmtId="0" fontId="3" fillId="0" borderId="70" xfId="180" applyFont="1" applyFill="1" applyBorder="1" applyAlignment="1">
      <alignment horizontal="center" vertical="center" wrapText="1"/>
    </xf>
    <xf numFmtId="0" fontId="2" fillId="0" borderId="0" xfId="180" applyFont="1" applyAlignment="1">
      <alignment horizontal="center" vertical="center"/>
    </xf>
    <xf numFmtId="0" fontId="2" fillId="0" borderId="0" xfId="180" applyAlignment="1">
      <alignment horizontal="center" vertical="center"/>
    </xf>
    <xf numFmtId="0" fontId="2" fillId="0" borderId="1" xfId="180" applyBorder="1" applyAlignment="1">
      <alignment horizontal="center" vertical="center"/>
    </xf>
    <xf numFmtId="0" fontId="36" fillId="0" borderId="1" xfId="180" applyFont="1" applyBorder="1" applyAlignment="1">
      <alignment horizontal="center" vertical="center"/>
    </xf>
    <xf numFmtId="0" fontId="5" fillId="0" borderId="64" xfId="180" applyFont="1" applyFill="1" applyBorder="1" applyAlignment="1">
      <alignment horizontal="center" vertical="center" wrapText="1"/>
    </xf>
    <xf numFmtId="0" fontId="5" fillId="0" borderId="67" xfId="180" applyFont="1" applyFill="1" applyBorder="1" applyAlignment="1">
      <alignment horizontal="center" vertical="center" wrapText="1"/>
    </xf>
    <xf numFmtId="0" fontId="3" fillId="0" borderId="65" xfId="180" applyFont="1" applyFill="1" applyBorder="1" applyAlignment="1">
      <alignment horizontal="center" vertical="center" wrapText="1"/>
    </xf>
    <xf numFmtId="0" fontId="3" fillId="0" borderId="69" xfId="180" applyFont="1" applyFill="1" applyBorder="1" applyAlignment="1">
      <alignment horizontal="center" vertical="center" wrapText="1"/>
    </xf>
    <xf numFmtId="0" fontId="3" fillId="0" borderId="42" xfId="180" applyFont="1" applyFill="1" applyBorder="1" applyAlignment="1">
      <alignment horizontal="center" vertical="center" wrapText="1"/>
    </xf>
    <xf numFmtId="0" fontId="3" fillId="0" borderId="101" xfId="180" applyFont="1" applyFill="1" applyBorder="1" applyAlignment="1">
      <alignment horizontal="center" vertical="center" wrapText="1"/>
    </xf>
    <xf numFmtId="0" fontId="16" fillId="0" borderId="0" xfId="180" applyFont="1" applyFill="1" applyBorder="1" applyAlignment="1">
      <alignment horizontal="center" vertical="center" wrapText="1"/>
    </xf>
    <xf numFmtId="0" fontId="16" fillId="2" borderId="62" xfId="180" applyFont="1" applyFill="1" applyBorder="1" applyAlignment="1">
      <alignment horizontal="center"/>
    </xf>
    <xf numFmtId="0" fontId="16" fillId="2" borderId="63" xfId="180" applyFont="1" applyFill="1" applyBorder="1" applyAlignment="1">
      <alignment horizontal="center"/>
    </xf>
    <xf numFmtId="0" fontId="16" fillId="0" borderId="22" xfId="180" applyFont="1" applyFill="1" applyBorder="1" applyAlignment="1">
      <alignment horizontal="center" vertical="center"/>
    </xf>
    <xf numFmtId="0" fontId="16" fillId="0" borderId="0" xfId="180" applyFont="1" applyFill="1" applyBorder="1" applyAlignment="1">
      <alignment horizontal="center" vertical="center"/>
    </xf>
    <xf numFmtId="0" fontId="4" fillId="0" borderId="0" xfId="180" applyFont="1" applyFill="1" applyAlignment="1">
      <alignment horizontal="center" vertical="center"/>
    </xf>
    <xf numFmtId="0" fontId="3" fillId="0" borderId="0" xfId="17" applyFont="1" applyFill="1" applyAlignment="1">
      <alignment horizontal="center" wrapText="1"/>
    </xf>
    <xf numFmtId="0" fontId="3" fillId="0" borderId="0" xfId="17" applyFont="1" applyFill="1" applyAlignment="1">
      <alignment horizontal="center"/>
    </xf>
    <xf numFmtId="0" fontId="13" fillId="0" borderId="0" xfId="17" applyFont="1" applyFill="1" applyAlignment="1">
      <alignment horizontal="center"/>
    </xf>
    <xf numFmtId="0" fontId="3" fillId="0" borderId="0" xfId="2" applyFont="1" applyFill="1" applyAlignment="1">
      <alignment horizontal="center" vertical="top" wrapText="1"/>
    </xf>
    <xf numFmtId="0" fontId="28" fillId="0" borderId="0" xfId="0" applyFont="1" applyFill="1" applyBorder="1" applyAlignment="1">
      <alignment horizontal="center" vertical="center" wrapText="1"/>
    </xf>
    <xf numFmtId="0" fontId="28" fillId="0" borderId="0" xfId="0" applyFont="1" applyFill="1" applyBorder="1" applyAlignment="1">
      <alignment horizontal="center" vertical="center"/>
    </xf>
    <xf numFmtId="0" fontId="41" fillId="0" borderId="0" xfId="0" applyFont="1" applyFill="1" applyBorder="1" applyAlignment="1">
      <alignment horizontal="center" vertical="center"/>
    </xf>
    <xf numFmtId="0" fontId="42" fillId="0" borderId="0" xfId="0" applyFont="1" applyFill="1" applyBorder="1" applyAlignment="1">
      <alignment horizontal="center" vertical="center" wrapText="1"/>
    </xf>
    <xf numFmtId="0" fontId="71" fillId="0" borderId="75" xfId="0" applyFont="1" applyBorder="1" applyAlignment="1">
      <alignment horizontal="center" vertical="center"/>
    </xf>
    <xf numFmtId="0" fontId="71" fillId="0" borderId="31" xfId="0" applyFont="1" applyBorder="1" applyAlignment="1">
      <alignment horizontal="center" vertical="center"/>
    </xf>
    <xf numFmtId="0" fontId="71" fillId="0" borderId="76" xfId="0" applyFont="1" applyBorder="1" applyAlignment="1">
      <alignment horizontal="center" vertical="center"/>
    </xf>
    <xf numFmtId="0" fontId="31" fillId="0" borderId="0" xfId="0" applyFont="1" applyAlignment="1">
      <alignment horizontal="center"/>
    </xf>
    <xf numFmtId="0" fontId="41" fillId="0" borderId="0" xfId="0" applyFont="1" applyFill="1" applyBorder="1" applyAlignment="1">
      <alignment horizontal="center" vertical="center" wrapText="1"/>
    </xf>
    <xf numFmtId="0" fontId="42" fillId="0" borderId="52" xfId="0" applyFont="1" applyBorder="1" applyAlignment="1">
      <alignment vertical="center"/>
    </xf>
    <xf numFmtId="0" fontId="42" fillId="0" borderId="0" xfId="0" applyFont="1" applyBorder="1" applyAlignment="1">
      <alignment vertical="center"/>
    </xf>
    <xf numFmtId="0" fontId="48" fillId="0" borderId="52" xfId="0" applyFont="1" applyBorder="1" applyAlignment="1">
      <alignment vertical="center"/>
    </xf>
    <xf numFmtId="0" fontId="48" fillId="0" borderId="0" xfId="0" applyFont="1" applyBorder="1" applyAlignment="1">
      <alignment vertical="center"/>
    </xf>
    <xf numFmtId="0" fontId="53" fillId="0" borderId="27" xfId="19" applyFont="1" applyBorder="1" applyAlignment="1">
      <alignment horizontal="center" vertical="center" wrapText="1"/>
    </xf>
    <xf numFmtId="0" fontId="53" fillId="0" borderId="80" xfId="19" applyFont="1" applyBorder="1" applyAlignment="1">
      <alignment horizontal="center" vertical="center" wrapText="1"/>
    </xf>
    <xf numFmtId="0" fontId="53" fillId="0" borderId="28" xfId="19" applyFont="1" applyBorder="1" applyAlignment="1">
      <alignment horizontal="center" vertical="center" wrapText="1"/>
    </xf>
    <xf numFmtId="0" fontId="53" fillId="0" borderId="81" xfId="19" applyFont="1" applyBorder="1" applyAlignment="1">
      <alignment horizontal="center" vertical="center" wrapText="1"/>
    </xf>
    <xf numFmtId="0" fontId="53" fillId="0" borderId="29" xfId="19" applyFont="1" applyBorder="1" applyAlignment="1">
      <alignment horizontal="center" vertical="center" wrapText="1"/>
    </xf>
    <xf numFmtId="0" fontId="53" fillId="0" borderId="85" xfId="19" applyFont="1" applyBorder="1" applyAlignment="1">
      <alignment horizontal="center" vertical="center" wrapText="1"/>
    </xf>
    <xf numFmtId="0" fontId="22" fillId="0" borderId="0" xfId="19" applyFont="1" applyAlignment="1">
      <alignment horizontal="center"/>
    </xf>
    <xf numFmtId="0" fontId="10" fillId="0" borderId="54" xfId="19" applyFont="1" applyBorder="1" applyAlignment="1">
      <alignment horizontal="right" wrapText="1"/>
    </xf>
    <xf numFmtId="0" fontId="53" fillId="0" borderId="10" xfId="19" applyFont="1" applyBorder="1" applyAlignment="1">
      <alignment horizontal="center" vertical="center" wrapText="1"/>
    </xf>
    <xf numFmtId="0" fontId="53" fillId="0" borderId="82" xfId="19" applyFont="1" applyBorder="1" applyAlignment="1">
      <alignment horizontal="center" vertical="center" wrapText="1"/>
    </xf>
    <xf numFmtId="0" fontId="53" fillId="0" borderId="24" xfId="19" applyFont="1" applyBorder="1" applyAlignment="1">
      <alignment horizontal="right" vertical="center"/>
    </xf>
    <xf numFmtId="0" fontId="53" fillId="0" borderId="25" xfId="19" applyFont="1" applyBorder="1" applyAlignment="1">
      <alignment horizontal="right" vertical="center"/>
    </xf>
    <xf numFmtId="0" fontId="53" fillId="0" borderId="26" xfId="19" applyFont="1" applyBorder="1" applyAlignment="1">
      <alignment horizontal="center" vertical="center" wrapText="1"/>
    </xf>
    <xf numFmtId="0" fontId="53" fillId="0" borderId="78" xfId="19" applyFont="1" applyBorder="1" applyAlignment="1">
      <alignment horizontal="center" vertical="center" wrapText="1"/>
    </xf>
    <xf numFmtId="0" fontId="49" fillId="0" borderId="0" xfId="19" applyFont="1" applyAlignment="1">
      <alignment horizontal="center"/>
    </xf>
    <xf numFmtId="0" fontId="49" fillId="0" borderId="3" xfId="0" applyFont="1" applyBorder="1" applyAlignment="1">
      <alignment horizontal="center" vertical="center" wrapText="1"/>
    </xf>
    <xf numFmtId="0" fontId="101" fillId="0" borderId="16" xfId="0" applyFont="1" applyBorder="1" applyAlignment="1">
      <alignment horizontal="left" vertical="center" wrapText="1"/>
    </xf>
    <xf numFmtId="0" fontId="101" fillId="0" borderId="0" xfId="0" applyFont="1" applyBorder="1" applyAlignment="1">
      <alignment horizontal="left" vertical="center" wrapText="1"/>
    </xf>
    <xf numFmtId="0" fontId="101" fillId="0" borderId="17" xfId="0" applyFont="1" applyBorder="1" applyAlignment="1">
      <alignment horizontal="left" vertical="center" wrapText="1"/>
    </xf>
    <xf numFmtId="0" fontId="18" fillId="0" borderId="0" xfId="19" applyFont="1" applyAlignment="1">
      <alignment horizontal="center"/>
    </xf>
    <xf numFmtId="0" fontId="56" fillId="0" borderId="53" xfId="2" applyFont="1" applyBorder="1" applyAlignment="1">
      <alignment horizontal="center" vertical="center" wrapText="1"/>
    </xf>
    <xf numFmtId="0" fontId="56" fillId="0" borderId="74" xfId="2" applyFont="1" applyBorder="1" applyAlignment="1">
      <alignment horizontal="center" vertical="center" wrapText="1"/>
    </xf>
    <xf numFmtId="0" fontId="56" fillId="0" borderId="52" xfId="2" applyFont="1" applyBorder="1" applyAlignment="1">
      <alignment horizontal="center" vertical="center" wrapText="1"/>
    </xf>
    <xf numFmtId="0" fontId="56" fillId="0" borderId="49" xfId="2" applyFont="1" applyBorder="1" applyAlignment="1">
      <alignment horizontal="center" vertical="center" wrapText="1"/>
    </xf>
    <xf numFmtId="0" fontId="75" fillId="8" borderId="4" xfId="2" applyFont="1" applyFill="1" applyBorder="1" applyAlignment="1">
      <alignment horizontal="center" vertical="center" wrapText="1"/>
    </xf>
    <xf numFmtId="0" fontId="75" fillId="8" borderId="5" xfId="2" applyFont="1" applyFill="1" applyBorder="1" applyAlignment="1">
      <alignment horizontal="center" vertical="center" wrapText="1"/>
    </xf>
    <xf numFmtId="0" fontId="31" fillId="0" borderId="0" xfId="19" applyFont="1" applyAlignment="1">
      <alignment horizontal="center"/>
    </xf>
    <xf numFmtId="0" fontId="27" fillId="0" borderId="3" xfId="0" applyFont="1" applyBorder="1" applyAlignment="1">
      <alignment vertical="center"/>
    </xf>
    <xf numFmtId="0" fontId="31" fillId="0" borderId="0" xfId="19" applyFont="1" applyAlignment="1">
      <alignment horizontal="center" vertical="center" wrapText="1"/>
    </xf>
    <xf numFmtId="0" fontId="26" fillId="2" borderId="3" xfId="0" applyFont="1" applyFill="1" applyBorder="1" applyAlignment="1">
      <alignment horizontal="center"/>
    </xf>
    <xf numFmtId="0" fontId="0" fillId="0" borderId="3" xfId="0" applyBorder="1" applyAlignment="1">
      <alignment horizontal="center"/>
    </xf>
    <xf numFmtId="0" fontId="26" fillId="0" borderId="3" xfId="0" applyFont="1" applyBorder="1" applyAlignment="1">
      <alignment horizontal="left"/>
    </xf>
    <xf numFmtId="0" fontId="0" fillId="0" borderId="3" xfId="0" applyBorder="1" applyAlignment="1">
      <alignment horizontal="left"/>
    </xf>
    <xf numFmtId="0" fontId="60" fillId="0" borderId="3" xfId="0" applyFont="1" applyBorder="1" applyAlignment="1">
      <alignment horizontal="left"/>
    </xf>
    <xf numFmtId="0" fontId="10" fillId="0" borderId="0" xfId="19" applyFont="1" applyAlignment="1">
      <alignment horizontal="center"/>
    </xf>
    <xf numFmtId="0" fontId="24" fillId="0" borderId="16" xfId="0" applyFont="1" applyBorder="1" applyAlignment="1">
      <alignment horizontal="left" vertical="center" wrapText="1"/>
    </xf>
    <xf numFmtId="0" fontId="24" fillId="0" borderId="0" xfId="0" applyFont="1" applyBorder="1" applyAlignment="1">
      <alignment horizontal="left" vertical="center" wrapText="1"/>
    </xf>
    <xf numFmtId="0" fontId="24" fillId="0" borderId="17" xfId="0" applyFont="1" applyBorder="1" applyAlignment="1">
      <alignment horizontal="left" vertical="center" wrapText="1"/>
    </xf>
    <xf numFmtId="0" fontId="24" fillId="0" borderId="16" xfId="0" applyFont="1" applyBorder="1" applyAlignment="1">
      <alignment horizontal="left" wrapText="1"/>
    </xf>
    <xf numFmtId="0" fontId="24" fillId="0" borderId="0" xfId="0" applyFont="1" applyBorder="1" applyAlignment="1">
      <alignment horizontal="left" wrapText="1"/>
    </xf>
    <xf numFmtId="0" fontId="24" fillId="0" borderId="17" xfId="0" applyFont="1" applyBorder="1" applyAlignment="1">
      <alignment horizontal="left" wrapText="1"/>
    </xf>
    <xf numFmtId="0" fontId="11" fillId="0" borderId="16" xfId="0" applyFont="1" applyBorder="1" applyAlignment="1">
      <alignment horizontal="left" wrapText="1"/>
    </xf>
    <xf numFmtId="0" fontId="11" fillId="0" borderId="0" xfId="0" applyFont="1" applyBorder="1" applyAlignment="1">
      <alignment horizontal="left" wrapText="1"/>
    </xf>
    <xf numFmtId="0" fontId="11" fillId="0" borderId="17" xfId="0" applyFont="1" applyBorder="1" applyAlignment="1">
      <alignment horizontal="left" wrapText="1"/>
    </xf>
    <xf numFmtId="0" fontId="24" fillId="0" borderId="16" xfId="0" applyFont="1" applyBorder="1" applyAlignment="1">
      <alignment horizontal="justify" wrapText="1"/>
    </xf>
    <xf numFmtId="0" fontId="24" fillId="0" borderId="0" xfId="0" applyFont="1" applyBorder="1" applyAlignment="1">
      <alignment horizontal="justify" wrapText="1"/>
    </xf>
    <xf numFmtId="0" fontId="24" fillId="0" borderId="17" xfId="0" applyFont="1" applyBorder="1" applyAlignment="1">
      <alignment horizontal="justify" wrapText="1"/>
    </xf>
    <xf numFmtId="0" fontId="24" fillId="0" borderId="16" xfId="0" applyFont="1" applyBorder="1" applyAlignment="1">
      <alignment horizontal="justify" vertical="justify" wrapText="1"/>
    </xf>
    <xf numFmtId="0" fontId="24" fillId="0" borderId="0" xfId="0" applyFont="1" applyBorder="1" applyAlignment="1">
      <alignment horizontal="justify" vertical="justify" wrapText="1"/>
    </xf>
    <xf numFmtId="0" fontId="24" fillId="0" borderId="17" xfId="0" applyFont="1" applyBorder="1" applyAlignment="1">
      <alignment horizontal="justify" vertical="justify" wrapText="1"/>
    </xf>
    <xf numFmtId="0" fontId="3" fillId="2" borderId="26" xfId="20" applyFont="1" applyFill="1" applyBorder="1" applyAlignment="1">
      <alignment horizontal="center" vertical="center" wrapText="1"/>
    </xf>
    <xf numFmtId="0" fontId="3" fillId="2" borderId="6" xfId="20" applyFont="1" applyFill="1" applyBorder="1" applyAlignment="1">
      <alignment horizontal="center" vertical="center" wrapText="1"/>
    </xf>
    <xf numFmtId="43" fontId="3" fillId="2" borderId="47" xfId="20" applyNumberFormat="1" applyFont="1" applyFill="1" applyBorder="1" applyAlignment="1">
      <alignment horizontal="center" vertical="center" wrapText="1"/>
    </xf>
    <xf numFmtId="43" fontId="3" fillId="2" borderId="48" xfId="20" applyNumberFormat="1" applyFont="1" applyFill="1" applyBorder="1" applyAlignment="1">
      <alignment horizontal="center" vertical="center" wrapText="1"/>
    </xf>
    <xf numFmtId="0" fontId="4" fillId="0" borderId="0" xfId="20" applyFont="1" applyAlignment="1">
      <alignment horizontal="center"/>
    </xf>
    <xf numFmtId="0" fontId="4" fillId="0" borderId="0" xfId="20" applyFont="1" applyAlignment="1">
      <alignment horizontal="center" wrapText="1"/>
    </xf>
    <xf numFmtId="0" fontId="3" fillId="2" borderId="10" xfId="20" applyFont="1" applyFill="1" applyBorder="1" applyAlignment="1">
      <alignment horizontal="center" vertical="center" wrapText="1"/>
    </xf>
    <xf numFmtId="0" fontId="3" fillId="2" borderId="30" xfId="20" applyFont="1" applyFill="1" applyBorder="1" applyAlignment="1">
      <alignment horizontal="center" vertical="center" wrapText="1"/>
    </xf>
    <xf numFmtId="0" fontId="3" fillId="2" borderId="22" xfId="20" applyFont="1" applyFill="1" applyBorder="1" applyAlignment="1">
      <alignment horizontal="center" vertical="center" wrapText="1"/>
    </xf>
    <xf numFmtId="0" fontId="3" fillId="2" borderId="1" xfId="20" applyFont="1" applyFill="1" applyBorder="1" applyAlignment="1">
      <alignment horizontal="center" vertical="center" wrapText="1"/>
    </xf>
    <xf numFmtId="0" fontId="92" fillId="0" borderId="0" xfId="2" applyFont="1" applyAlignment="1">
      <alignment horizontal="center"/>
    </xf>
    <xf numFmtId="0" fontId="13" fillId="0" borderId="3" xfId="2" applyFont="1" applyBorder="1" applyAlignment="1">
      <alignment horizontal="center" vertical="center" wrapText="1"/>
    </xf>
    <xf numFmtId="0" fontId="7" fillId="0" borderId="0" xfId="2" applyFont="1" applyAlignment="1">
      <alignment horizontal="center"/>
    </xf>
    <xf numFmtId="0" fontId="2" fillId="0" borderId="0" xfId="2" applyAlignment="1">
      <alignment horizontal="left" vertical="top" wrapText="1"/>
    </xf>
    <xf numFmtId="0" fontId="4" fillId="0" borderId="0" xfId="2" applyFont="1" applyAlignment="1">
      <alignment horizontal="center"/>
    </xf>
    <xf numFmtId="0" fontId="56" fillId="0" borderId="0" xfId="2" applyFont="1" applyFill="1" applyAlignment="1">
      <alignment horizontal="center"/>
    </xf>
    <xf numFmtId="43" fontId="11" fillId="0" borderId="16" xfId="1" applyFont="1" applyFill="1" applyBorder="1" applyAlignment="1">
      <alignment horizontal="justify" vertical="center" wrapText="1"/>
    </xf>
    <xf numFmtId="43" fontId="11" fillId="0" borderId="17" xfId="1" applyFont="1" applyFill="1" applyBorder="1" applyAlignment="1">
      <alignment horizontal="justify" vertical="center" wrapText="1"/>
    </xf>
    <xf numFmtId="43" fontId="94" fillId="0" borderId="19" xfId="1" applyFont="1" applyBorder="1" applyAlignment="1">
      <alignment horizontal="justify" vertical="center" wrapText="1"/>
    </xf>
    <xf numFmtId="43" fontId="94" fillId="0" borderId="20" xfId="1" applyFont="1" applyBorder="1" applyAlignment="1">
      <alignment horizontal="justify" vertical="center" wrapText="1"/>
    </xf>
    <xf numFmtId="43" fontId="10" fillId="0" borderId="16" xfId="1" applyFont="1" applyBorder="1" applyAlignment="1">
      <alignment horizontal="justify" vertical="center" wrapText="1"/>
    </xf>
    <xf numFmtId="43" fontId="10" fillId="0" borderId="17" xfId="1" applyFont="1" applyBorder="1" applyAlignment="1">
      <alignment horizontal="justify" vertical="center" wrapText="1"/>
    </xf>
    <xf numFmtId="0" fontId="10" fillId="10" borderId="15" xfId="0" applyFont="1" applyFill="1" applyBorder="1" applyAlignment="1">
      <alignment horizontal="center" vertical="center" wrapText="1"/>
    </xf>
    <xf numFmtId="0" fontId="10" fillId="10" borderId="111" xfId="0" applyFont="1" applyFill="1" applyBorder="1" applyAlignment="1">
      <alignment horizontal="center" vertical="center" wrapText="1"/>
    </xf>
    <xf numFmtId="0" fontId="10" fillId="10" borderId="18" xfId="0" applyFont="1" applyFill="1" applyBorder="1" applyAlignment="1">
      <alignment horizontal="center" vertical="center" wrapText="1"/>
    </xf>
    <xf numFmtId="43" fontId="10" fillId="0" borderId="0" xfId="1" applyFont="1" applyFill="1" applyBorder="1" applyAlignment="1">
      <alignment horizontal="center" vertical="center"/>
    </xf>
    <xf numFmtId="43" fontId="10" fillId="0" borderId="0" xfId="1" applyFont="1" applyFill="1" applyBorder="1" applyAlignment="1">
      <alignment horizontal="center" vertical="center" wrapText="1"/>
    </xf>
    <xf numFmtId="43" fontId="10" fillId="10" borderId="10" xfId="1" applyFont="1" applyFill="1" applyBorder="1" applyAlignment="1">
      <alignment horizontal="center" vertical="center" wrapText="1"/>
    </xf>
    <xf numFmtId="43" fontId="10" fillId="10" borderId="11" xfId="1" applyFont="1" applyFill="1" applyBorder="1" applyAlignment="1">
      <alignment horizontal="center" vertical="center" wrapText="1"/>
    </xf>
    <xf numFmtId="43" fontId="10" fillId="10" borderId="19" xfId="1" applyFont="1" applyFill="1" applyBorder="1" applyAlignment="1">
      <alignment horizontal="center" vertical="center" wrapText="1"/>
    </xf>
    <xf numFmtId="43" fontId="10" fillId="10" borderId="20" xfId="1" applyFont="1" applyFill="1" applyBorder="1" applyAlignment="1">
      <alignment horizontal="center" vertical="center" wrapText="1"/>
    </xf>
    <xf numFmtId="43" fontId="10" fillId="10" borderId="15" xfId="1" applyFont="1" applyFill="1" applyBorder="1" applyAlignment="1">
      <alignment horizontal="center" vertical="center" wrapText="1"/>
    </xf>
    <xf numFmtId="43" fontId="10" fillId="10" borderId="18" xfId="1" applyFont="1" applyFill="1" applyBorder="1" applyAlignment="1">
      <alignment horizontal="center" vertical="center" wrapText="1"/>
    </xf>
    <xf numFmtId="0" fontId="10" fillId="10" borderId="15" xfId="0" applyFont="1" applyFill="1" applyBorder="1" applyAlignment="1">
      <alignment horizontal="center" vertical="center"/>
    </xf>
    <xf numFmtId="0" fontId="10" fillId="10" borderId="111" xfId="0" applyFont="1" applyFill="1" applyBorder="1" applyAlignment="1">
      <alignment horizontal="center" vertical="center"/>
    </xf>
    <xf numFmtId="0" fontId="10" fillId="10" borderId="18" xfId="0" applyFont="1" applyFill="1" applyBorder="1" applyAlignment="1">
      <alignment horizontal="center" vertical="center"/>
    </xf>
    <xf numFmtId="43" fontId="94" fillId="0" borderId="16" xfId="1" applyFont="1" applyBorder="1" applyAlignment="1">
      <alignment horizontal="justify" vertical="center" wrapText="1"/>
    </xf>
    <xf numFmtId="43" fontId="94" fillId="0" borderId="17" xfId="1" applyFont="1" applyBorder="1" applyAlignment="1">
      <alignment horizontal="justify" vertical="center" wrapText="1"/>
    </xf>
    <xf numFmtId="43" fontId="10" fillId="0" borderId="10" xfId="1" applyFont="1" applyBorder="1" applyAlignment="1">
      <alignment horizontal="justify" vertical="center" wrapText="1"/>
    </xf>
    <xf numFmtId="43" fontId="10" fillId="0" borderId="11" xfId="1" applyFont="1" applyBorder="1" applyAlignment="1">
      <alignment horizontal="justify" vertical="center" wrapText="1"/>
    </xf>
    <xf numFmtId="43" fontId="25" fillId="0" borderId="0" xfId="1" applyFont="1" applyFill="1" applyBorder="1" applyAlignment="1">
      <alignment horizontal="center" vertical="center"/>
    </xf>
    <xf numFmtId="43" fontId="25" fillId="0" borderId="0" xfId="1" applyFont="1" applyFill="1" applyBorder="1" applyAlignment="1">
      <alignment horizontal="center" vertical="center" wrapText="1"/>
    </xf>
    <xf numFmtId="0" fontId="31" fillId="0" borderId="0" xfId="0" applyFont="1" applyFill="1" applyBorder="1" applyAlignment="1">
      <alignment horizontal="center" vertical="center"/>
    </xf>
    <xf numFmtId="0" fontId="10" fillId="10" borderId="10" xfId="0" applyFont="1" applyFill="1" applyBorder="1" applyAlignment="1">
      <alignment vertical="center"/>
    </xf>
    <xf numFmtId="0" fontId="10" fillId="10" borderId="19" xfId="0" applyFont="1" applyFill="1" applyBorder="1" applyAlignment="1">
      <alignment vertical="center"/>
    </xf>
    <xf numFmtId="43" fontId="11" fillId="0" borderId="54" xfId="1" applyFont="1" applyBorder="1" applyAlignment="1">
      <alignment horizontal="justify" vertical="center"/>
    </xf>
    <xf numFmtId="43" fontId="11" fillId="0" borderId="113" xfId="1" applyFont="1" applyBorder="1" applyAlignment="1">
      <alignment horizontal="justify" vertical="center"/>
    </xf>
    <xf numFmtId="43" fontId="10" fillId="0" borderId="16" xfId="1" applyFont="1" applyBorder="1" applyAlignment="1">
      <alignment horizontal="left" vertical="center"/>
    </xf>
    <xf numFmtId="43" fontId="10" fillId="0" borderId="0" xfId="1" applyFont="1" applyBorder="1" applyAlignment="1">
      <alignment horizontal="left" vertical="center"/>
    </xf>
    <xf numFmtId="43" fontId="10" fillId="0" borderId="114" xfId="1" applyFont="1" applyBorder="1" applyAlignment="1">
      <alignment horizontal="left" vertical="center"/>
    </xf>
    <xf numFmtId="43" fontId="11" fillId="0" borderId="0" xfId="1" applyFont="1" applyAlignment="1">
      <alignment horizontal="justify" vertical="center"/>
    </xf>
    <xf numFmtId="43" fontId="11" fillId="0" borderId="114" xfId="1" applyFont="1" applyBorder="1" applyAlignment="1">
      <alignment horizontal="justify" vertical="center"/>
    </xf>
    <xf numFmtId="43" fontId="11" fillId="0" borderId="0" xfId="1" applyFont="1" applyAlignment="1">
      <alignment horizontal="left" vertical="center"/>
    </xf>
    <xf numFmtId="43" fontId="11" fillId="0" borderId="114" xfId="1" applyFont="1" applyBorder="1" applyAlignment="1">
      <alignment horizontal="left" vertical="center"/>
    </xf>
    <xf numFmtId="43" fontId="10" fillId="0" borderId="0" xfId="1" applyFont="1" applyAlignment="1">
      <alignment horizontal="left" vertical="center"/>
    </xf>
    <xf numFmtId="43" fontId="10" fillId="0" borderId="111" xfId="1" applyFont="1" applyBorder="1" applyAlignment="1">
      <alignment horizontal="center" vertical="center"/>
    </xf>
    <xf numFmtId="43" fontId="10" fillId="0" borderId="115" xfId="1" applyFont="1" applyBorder="1" applyAlignment="1">
      <alignment horizontal="center" vertical="center"/>
    </xf>
    <xf numFmtId="43" fontId="11" fillId="0" borderId="111" xfId="1" applyFont="1" applyBorder="1" applyAlignment="1">
      <alignment horizontal="center" vertical="center"/>
    </xf>
    <xf numFmtId="43" fontId="11" fillId="0" borderId="115" xfId="1" applyFont="1" applyBorder="1" applyAlignment="1">
      <alignment horizontal="center" vertical="center"/>
    </xf>
    <xf numFmtId="43" fontId="11" fillId="0" borderId="10" xfId="1" applyFont="1" applyBorder="1" applyAlignment="1">
      <alignment horizontal="justify" vertical="center"/>
    </xf>
    <xf numFmtId="43" fontId="11" fillId="0" borderId="22" xfId="1" applyFont="1" applyBorder="1" applyAlignment="1">
      <alignment horizontal="justify" vertical="center"/>
    </xf>
    <xf numFmtId="43" fontId="11" fillId="0" borderId="11" xfId="1" applyFont="1" applyBorder="1" applyAlignment="1">
      <alignment horizontal="justify" vertical="center"/>
    </xf>
    <xf numFmtId="43" fontId="10" fillId="0" borderId="17" xfId="1" applyFont="1" applyBorder="1" applyAlignment="1">
      <alignment horizontal="left" vertical="center"/>
    </xf>
    <xf numFmtId="43" fontId="11" fillId="0" borderId="16" xfId="1" applyFont="1" applyBorder="1" applyAlignment="1">
      <alignment horizontal="left" vertical="center"/>
    </xf>
    <xf numFmtId="43" fontId="10" fillId="10" borderId="10" xfId="1" applyFont="1" applyFill="1" applyBorder="1" applyAlignment="1">
      <alignment horizontal="center" vertical="center"/>
    </xf>
    <xf numFmtId="43" fontId="10" fillId="10" borderId="22" xfId="1" applyFont="1" applyFill="1" applyBorder="1" applyAlignment="1">
      <alignment horizontal="center" vertical="center"/>
    </xf>
    <xf numFmtId="43" fontId="10" fillId="10" borderId="11" xfId="1" applyFont="1" applyFill="1" applyBorder="1" applyAlignment="1">
      <alignment horizontal="center" vertical="center"/>
    </xf>
    <xf numFmtId="43" fontId="10" fillId="10" borderId="112" xfId="1" applyFont="1" applyFill="1" applyBorder="1" applyAlignment="1">
      <alignment horizontal="center" vertical="center"/>
    </xf>
    <xf numFmtId="43" fontId="10" fillId="10" borderId="62" xfId="1" applyFont="1" applyFill="1" applyBorder="1" applyAlignment="1">
      <alignment horizontal="center" vertical="center"/>
    </xf>
    <xf numFmtId="43" fontId="10" fillId="10" borderId="63" xfId="1" applyFont="1" applyFill="1" applyBorder="1" applyAlignment="1">
      <alignment horizontal="center" vertical="center"/>
    </xf>
    <xf numFmtId="43" fontId="10" fillId="10" borderId="15" xfId="1" applyFont="1" applyFill="1" applyBorder="1" applyAlignment="1">
      <alignment horizontal="center" vertical="center"/>
    </xf>
    <xf numFmtId="43" fontId="10" fillId="10" borderId="111" xfId="1" applyFont="1" applyFill="1" applyBorder="1" applyAlignment="1">
      <alignment horizontal="center" vertical="center"/>
    </xf>
    <xf numFmtId="43" fontId="10" fillId="10" borderId="18" xfId="1" applyFont="1" applyFill="1" applyBorder="1" applyAlignment="1">
      <alignment horizontal="center" vertical="center"/>
    </xf>
    <xf numFmtId="43" fontId="10" fillId="10" borderId="16" xfId="1" applyFont="1" applyFill="1" applyBorder="1" applyAlignment="1">
      <alignment horizontal="center" vertical="center"/>
    </xf>
    <xf numFmtId="43" fontId="10" fillId="10" borderId="0" xfId="1" applyFont="1" applyFill="1" applyBorder="1" applyAlignment="1">
      <alignment horizontal="center" vertical="center"/>
    </xf>
    <xf numFmtId="43" fontId="10" fillId="10" borderId="17" xfId="1" applyFont="1" applyFill="1" applyBorder="1" applyAlignment="1">
      <alignment horizontal="center" vertical="center"/>
    </xf>
    <xf numFmtId="43" fontId="10" fillId="10" borderId="19" xfId="1" applyFont="1" applyFill="1" applyBorder="1" applyAlignment="1">
      <alignment horizontal="center" vertical="center"/>
    </xf>
    <xf numFmtId="43" fontId="10" fillId="10" borderId="54" xfId="1" applyFont="1" applyFill="1" applyBorder="1" applyAlignment="1">
      <alignment horizontal="center" vertical="center"/>
    </xf>
    <xf numFmtId="43" fontId="10" fillId="10" borderId="20" xfId="1" applyFont="1" applyFill="1" applyBorder="1" applyAlignment="1">
      <alignment horizontal="center" vertical="center"/>
    </xf>
    <xf numFmtId="0" fontId="56" fillId="0" borderId="116" xfId="17" applyFont="1" applyBorder="1" applyAlignment="1">
      <alignment horizontal="center" vertical="center"/>
    </xf>
    <xf numFmtId="0" fontId="56" fillId="0" borderId="117" xfId="17" applyFont="1" applyBorder="1" applyAlignment="1">
      <alignment horizontal="center" vertical="center"/>
    </xf>
    <xf numFmtId="0" fontId="56" fillId="0" borderId="3" xfId="17" applyFont="1" applyBorder="1" applyAlignment="1">
      <alignment horizontal="center"/>
    </xf>
    <xf numFmtId="0" fontId="63" fillId="0" borderId="54" xfId="17" applyFont="1" applyBorder="1" applyAlignment="1">
      <alignment horizontal="center"/>
    </xf>
    <xf numFmtId="0" fontId="57" fillId="0" borderId="12" xfId="17" applyFont="1" applyBorder="1" applyAlignment="1">
      <alignment horizontal="center" vertical="center"/>
    </xf>
    <xf numFmtId="0" fontId="57" fillId="0" borderId="117" xfId="17" applyFont="1" applyBorder="1" applyAlignment="1">
      <alignment horizontal="center" vertical="center"/>
    </xf>
    <xf numFmtId="0" fontId="10" fillId="10" borderId="112" xfId="0" applyFont="1" applyFill="1" applyBorder="1" applyAlignment="1">
      <alignment horizontal="center" vertical="center"/>
    </xf>
    <xf numFmtId="0" fontId="10" fillId="10" borderId="62" xfId="0" applyFont="1" applyFill="1" applyBorder="1" applyAlignment="1">
      <alignment horizontal="center" vertical="center"/>
    </xf>
    <xf numFmtId="0" fontId="10" fillId="10" borderId="63" xfId="0" applyFont="1" applyFill="1" applyBorder="1" applyAlignment="1">
      <alignment horizontal="center" vertical="center"/>
    </xf>
    <xf numFmtId="0" fontId="10" fillId="0" borderId="0" xfId="0" applyFont="1" applyFill="1" applyBorder="1" applyAlignment="1">
      <alignment horizontal="center" vertical="center"/>
    </xf>
    <xf numFmtId="0" fontId="27" fillId="0" borderId="0" xfId="0" applyFont="1" applyFill="1" applyBorder="1" applyAlignment="1">
      <alignment horizontal="center" vertical="center"/>
    </xf>
  </cellXfs>
  <cellStyles count="257">
    <cellStyle name="Hipervínculo 2" xfId="4"/>
    <cellStyle name="Incorrecto 2" xfId="27"/>
    <cellStyle name="Millares" xfId="1" builtinId="3"/>
    <cellStyle name="Millares 10" xfId="28"/>
    <cellStyle name="Millares 10 2" xfId="194"/>
    <cellStyle name="Millares 11" xfId="5"/>
    <cellStyle name="Millares 11 2" xfId="184"/>
    <cellStyle name="Millares 12" xfId="182"/>
    <cellStyle name="Millares 2" xfId="3"/>
    <cellStyle name="Millares 2 2" xfId="6"/>
    <cellStyle name="Millares 2 2 2" xfId="7"/>
    <cellStyle name="Millares 2 2 2 2" xfId="29"/>
    <cellStyle name="Millares 2 2 2 2 2" xfId="195"/>
    <cellStyle name="Millares 2 2 2 3" xfId="185"/>
    <cellStyle name="Millares 2 2 3" xfId="30"/>
    <cellStyle name="Millares 2 2 3 2" xfId="196"/>
    <cellStyle name="Millares 2 3" xfId="31"/>
    <cellStyle name="Millares 2 4" xfId="183"/>
    <cellStyle name="Millares 3" xfId="8"/>
    <cellStyle name="Millares 3 2" xfId="9"/>
    <cellStyle name="Millares 3 2 2" xfId="187"/>
    <cellStyle name="Millares 3 3" xfId="26"/>
    <cellStyle name="Millares 3 3 2" xfId="32"/>
    <cellStyle name="Millares 3 3 2 2" xfId="33"/>
    <cellStyle name="Millares 3 3 2 2 2" xfId="198"/>
    <cellStyle name="Millares 3 3 2 3" xfId="197"/>
    <cellStyle name="Millares 3 3 3" xfId="34"/>
    <cellStyle name="Millares 3 3 3 2" xfId="199"/>
    <cellStyle name="Millares 3 3 4" xfId="35"/>
    <cellStyle name="Millares 3 3 4 2" xfId="200"/>
    <cellStyle name="Millares 3 3 5" xfId="193"/>
    <cellStyle name="Millares 3 4" xfId="36"/>
    <cellStyle name="Millares 3 4 2" xfId="37"/>
    <cellStyle name="Millares 3 4 2 2" xfId="202"/>
    <cellStyle name="Millares 3 4 3" xfId="201"/>
    <cellStyle name="Millares 3 5" xfId="38"/>
    <cellStyle name="Millares 3 5 2" xfId="39"/>
    <cellStyle name="Millares 3 5 2 2" xfId="204"/>
    <cellStyle name="Millares 3 5 3" xfId="203"/>
    <cellStyle name="Millares 3 6" xfId="40"/>
    <cellStyle name="Millares 3 6 2" xfId="205"/>
    <cellStyle name="Millares 3 7" xfId="186"/>
    <cellStyle name="Millares 4" xfId="10"/>
    <cellStyle name="Millares 4 2" xfId="41"/>
    <cellStyle name="Millares 4 2 2" xfId="42"/>
    <cellStyle name="Millares 4 2 2 2" xfId="207"/>
    <cellStyle name="Millares 4 2 3" xfId="206"/>
    <cellStyle name="Millares 4 3" xfId="43"/>
    <cellStyle name="Millares 4 3 2" xfId="208"/>
    <cellStyle name="Millares 4 4" xfId="188"/>
    <cellStyle name="Millares 5" xfId="11"/>
    <cellStyle name="Millares 5 2" xfId="44"/>
    <cellStyle name="Millares 5 2 2" xfId="45"/>
    <cellStyle name="Millares 5 2 2 2" xfId="210"/>
    <cellStyle name="Millares 5 2 3" xfId="209"/>
    <cellStyle name="Millares 5 3" xfId="46"/>
    <cellStyle name="Millares 5 3 2" xfId="211"/>
    <cellStyle name="Millares 5 4" xfId="189"/>
    <cellStyle name="Millares 6" xfId="12"/>
    <cellStyle name="Millares 6 2" xfId="47"/>
    <cellStyle name="Millares 6 2 2" xfId="48"/>
    <cellStyle name="Millares 6 2 2 2" xfId="213"/>
    <cellStyle name="Millares 6 2 3" xfId="212"/>
    <cellStyle name="Millares 6 3" xfId="49"/>
    <cellStyle name="Millares 6 3 2" xfId="214"/>
    <cellStyle name="Millares 6 4" xfId="190"/>
    <cellStyle name="Millares 7" xfId="50"/>
    <cellStyle name="Millares 7 2" xfId="51"/>
    <cellStyle name="Millares 7 2 2" xfId="52"/>
    <cellStyle name="Millares 7 2 2 2" xfId="53"/>
    <cellStyle name="Millares 7 2 2 2 2" xfId="218"/>
    <cellStyle name="Millares 7 2 2 3" xfId="217"/>
    <cellStyle name="Millares 7 2 3" xfId="54"/>
    <cellStyle name="Millares 7 2 3 2" xfId="219"/>
    <cellStyle name="Millares 7 2 4" xfId="216"/>
    <cellStyle name="Millares 7 3" xfId="55"/>
    <cellStyle name="Millares 7 3 2" xfId="220"/>
    <cellStyle name="Millares 7 4" xfId="215"/>
    <cellStyle name="Millares 8" xfId="56"/>
    <cellStyle name="Millares 8 2" xfId="57"/>
    <cellStyle name="Millares 8 2 2" xfId="58"/>
    <cellStyle name="Millares 8 2 2 2" xfId="223"/>
    <cellStyle name="Millares 8 2 3" xfId="222"/>
    <cellStyle name="Millares 8 3" xfId="59"/>
    <cellStyle name="Millares 8 3 2" xfId="224"/>
    <cellStyle name="Millares 8 4" xfId="221"/>
    <cellStyle name="Millares 9" xfId="60"/>
    <cellStyle name="Millares 9 2" xfId="225"/>
    <cellStyle name="Moneda" xfId="177" builtinId="4"/>
    <cellStyle name="Moneda 2" xfId="13"/>
    <cellStyle name="Moneda 2 2" xfId="61"/>
    <cellStyle name="Moneda 2 2 2" xfId="62"/>
    <cellStyle name="Moneda 2 2 2 2" xfId="63"/>
    <cellStyle name="Moneda 2 2 2 2 2" xfId="228"/>
    <cellStyle name="Moneda 2 2 2 3" xfId="227"/>
    <cellStyle name="Moneda 2 2 3" xfId="64"/>
    <cellStyle name="Moneda 2 2 3 2" xfId="229"/>
    <cellStyle name="Moneda 2 2 4" xfId="226"/>
    <cellStyle name="Moneda 2 3" xfId="65"/>
    <cellStyle name="Moneda 2 3 2" xfId="66"/>
    <cellStyle name="Moneda 2 3 2 2" xfId="67"/>
    <cellStyle name="Moneda 2 3 2 2 2" xfId="232"/>
    <cellStyle name="Moneda 2 3 2 3" xfId="231"/>
    <cellStyle name="Moneda 2 3 3" xfId="68"/>
    <cellStyle name="Moneda 2 3 3 2" xfId="233"/>
    <cellStyle name="Moneda 2 3 4" xfId="69"/>
    <cellStyle name="Moneda 2 3 4 2" xfId="234"/>
    <cellStyle name="Moneda 2 3 5" xfId="230"/>
    <cellStyle name="Moneda 2 4" xfId="70"/>
    <cellStyle name="Moneda 2 4 2" xfId="71"/>
    <cellStyle name="Moneda 2 4 2 2" xfId="236"/>
    <cellStyle name="Moneda 2 4 3" xfId="235"/>
    <cellStyle name="Moneda 2 5" xfId="72"/>
    <cellStyle name="Moneda 2 5 2" xfId="73"/>
    <cellStyle name="Moneda 2 5 2 2" xfId="74"/>
    <cellStyle name="Moneda 2 5 2 2 2" xfId="239"/>
    <cellStyle name="Moneda 2 5 2 3" xfId="238"/>
    <cellStyle name="Moneda 2 5 3" xfId="75"/>
    <cellStyle name="Moneda 2 5 3 2" xfId="240"/>
    <cellStyle name="Moneda 2 5 4" xfId="237"/>
    <cellStyle name="Moneda 2 6" xfId="76"/>
    <cellStyle name="Moneda 2 6 2" xfId="77"/>
    <cellStyle name="Moneda 2 6 2 2" xfId="242"/>
    <cellStyle name="Moneda 2 6 3" xfId="241"/>
    <cellStyle name="Moneda 2 7" xfId="78"/>
    <cellStyle name="Moneda 2 7 2" xfId="243"/>
    <cellStyle name="Moneda 2 8" xfId="191"/>
    <cellStyle name="Moneda 3" xfId="79"/>
    <cellStyle name="Moneda 3 2" xfId="80"/>
    <cellStyle name="Moneda 3 2 2" xfId="245"/>
    <cellStyle name="Moneda 3 3" xfId="244"/>
    <cellStyle name="Moneda 4" xfId="81"/>
    <cellStyle name="Moneda 4 2" xfId="82"/>
    <cellStyle name="Moneda 4 2 2" xfId="83"/>
    <cellStyle name="Moneda 4 2 2 2" xfId="248"/>
    <cellStyle name="Moneda 4 2 3" xfId="247"/>
    <cellStyle name="Moneda 4 3" xfId="84"/>
    <cellStyle name="Moneda 4 3 2" xfId="85"/>
    <cellStyle name="Moneda 4 3 2 2" xfId="250"/>
    <cellStyle name="Moneda 4 3 3" xfId="249"/>
    <cellStyle name="Moneda 4 4" xfId="86"/>
    <cellStyle name="Moneda 4 4 2" xfId="251"/>
    <cellStyle name="Moneda 4 5" xfId="246"/>
    <cellStyle name="Moneda 5" xfId="87"/>
    <cellStyle name="Moneda 5 2" xfId="252"/>
    <cellStyle name="Moneda 6" xfId="14"/>
    <cellStyle name="Moneda 6 2" xfId="192"/>
    <cellStyle name="Moneda 7" xfId="176"/>
    <cellStyle name="Moneda 7 2" xfId="179"/>
    <cellStyle name="Moneda 7 2 2" xfId="255"/>
    <cellStyle name="Moneda 7 3" xfId="253"/>
    <cellStyle name="Moneda 8" xfId="254"/>
    <cellStyle name="Normal" xfId="0" builtinId="0"/>
    <cellStyle name="Normal 10" xfId="88"/>
    <cellStyle name="Normal 10 2" xfId="89"/>
    <cellStyle name="Normal 10 2 2" xfId="90"/>
    <cellStyle name="Normal 10 2 2 2" xfId="91"/>
    <cellStyle name="Normal 10 2 3" xfId="92"/>
    <cellStyle name="Normal 10 3" xfId="93"/>
    <cellStyle name="Normal 10 3 2" xfId="94"/>
    <cellStyle name="Normal 10 4" xfId="95"/>
    <cellStyle name="Normal 11" xfId="25"/>
    <cellStyle name="Normal 11 2" xfId="96"/>
    <cellStyle name="Normal 11 2 2" xfId="97"/>
    <cellStyle name="Normal 11 2 2 2" xfId="98"/>
    <cellStyle name="Normal 11 2 3" xfId="99"/>
    <cellStyle name="Normal 11 2 4" xfId="100"/>
    <cellStyle name="Normal 11 3" xfId="101"/>
    <cellStyle name="Normal 11 4" xfId="102"/>
    <cellStyle name="Normal 12" xfId="103"/>
    <cellStyle name="Normal 13" xfId="104"/>
    <cellStyle name="Normal 14" xfId="105"/>
    <cellStyle name="Normal 15" xfId="106"/>
    <cellStyle name="Normal 16" xfId="175"/>
    <cellStyle name="Normal 16 2" xfId="178"/>
    <cellStyle name="Normal 17" xfId="180"/>
    <cellStyle name="Normal 17 2" xfId="181"/>
    <cellStyle name="Normal 17 2 2" xfId="256"/>
    <cellStyle name="Normal 2" xfId="2"/>
    <cellStyle name="Normal 2 2" xfId="15"/>
    <cellStyle name="Normal 2 2 2" xfId="107"/>
    <cellStyle name="Normal 2 2 3" xfId="108"/>
    <cellStyle name="Normal 2 2 3 2" xfId="109"/>
    <cellStyle name="Normal 2 2 3 2 2" xfId="110"/>
    <cellStyle name="Normal 2 2 3 3" xfId="111"/>
    <cellStyle name="Normal 2 2 4" xfId="112"/>
    <cellStyle name="Normal 2 2 4 2" xfId="113"/>
    <cellStyle name="Normal 2 2 4 2 2" xfId="114"/>
    <cellStyle name="Normal 2 2 4 3" xfId="115"/>
    <cellStyle name="Normal 2 3" xfId="116"/>
    <cellStyle name="Normal 2 3 2" xfId="117"/>
    <cellStyle name="Normal 2 3 2 2" xfId="118"/>
    <cellStyle name="Normal 2 3 2 2 2" xfId="119"/>
    <cellStyle name="Normal 2 3 2 3" xfId="120"/>
    <cellStyle name="Normal 2 3 3" xfId="121"/>
    <cellStyle name="Normal 2 3 3 2" xfId="122"/>
    <cellStyle name="Normal 2 3 4" xfId="123"/>
    <cellStyle name="Normal 2 3 5" xfId="124"/>
    <cellStyle name="Normal 2 4" xfId="125"/>
    <cellStyle name="Normal 2 4 2" xfId="126"/>
    <cellStyle name="Normal 2 4 2 2" xfId="127"/>
    <cellStyle name="Normal 2 4 3" xfId="128"/>
    <cellStyle name="Normal 2 4 4" xfId="129"/>
    <cellStyle name="Normal 2 5" xfId="130"/>
    <cellStyle name="Normal 3" xfId="16"/>
    <cellStyle name="Normal 3 2" xfId="17"/>
    <cellStyle name="Normal 3 2 2" xfId="131"/>
    <cellStyle name="Normal 3 3" xfId="132"/>
    <cellStyle name="Normal 3 3 2" xfId="133"/>
    <cellStyle name="Normal 3 3 2 2" xfId="134"/>
    <cellStyle name="Normal 3 3 3" xfId="135"/>
    <cellStyle name="Normal 3 4" xfId="136"/>
    <cellStyle name="Normal 3 4 2" xfId="137"/>
    <cellStyle name="Normal 3 5" xfId="138"/>
    <cellStyle name="Normal 4" xfId="18"/>
    <cellStyle name="Normal 4 2" xfId="139"/>
    <cellStyle name="Normal 4 2 2" xfId="140"/>
    <cellStyle name="Normal 4 3" xfId="141"/>
    <cellStyle name="Normal 4 3 2" xfId="142"/>
    <cellStyle name="Normal 4 4" xfId="143"/>
    <cellStyle name="Normal 5" xfId="19"/>
    <cellStyle name="Normal 5 2" xfId="144"/>
    <cellStyle name="Normal 5 2 2" xfId="145"/>
    <cellStyle name="Normal 5 3" xfId="146"/>
    <cellStyle name="Normal 6" xfId="20"/>
    <cellStyle name="Normal 65" xfId="24"/>
    <cellStyle name="Normal 7" xfId="147"/>
    <cellStyle name="Normal 7 2" xfId="148"/>
    <cellStyle name="Normal 7 2 2" xfId="149"/>
    <cellStyle name="Normal 7 2 2 2" xfId="150"/>
    <cellStyle name="Normal 7 2 3" xfId="151"/>
    <cellStyle name="Normal 7 3" xfId="152"/>
    <cellStyle name="Normal 7 3 2" xfId="153"/>
    <cellStyle name="Normal 7 4" xfId="154"/>
    <cellStyle name="Normal 8" xfId="155"/>
    <cellStyle name="Normal 8 2" xfId="156"/>
    <cellStyle name="Normal 8 2 2" xfId="157"/>
    <cellStyle name="Normal 8 2 2 2" xfId="158"/>
    <cellStyle name="Normal 8 2 3" xfId="159"/>
    <cellStyle name="Normal 8 3" xfId="160"/>
    <cellStyle name="Normal 8 3 2" xfId="161"/>
    <cellStyle name="Normal 8 4" xfId="162"/>
    <cellStyle name="Normal 9" xfId="163"/>
    <cellStyle name="Notas 2" xfId="164"/>
    <cellStyle name="Notas 2 2" xfId="165"/>
    <cellStyle name="Notas 2 2 2" xfId="166"/>
    <cellStyle name="Notas 2 3" xfId="167"/>
    <cellStyle name="Notas 3" xfId="168"/>
    <cellStyle name="Notas 3 2" xfId="169"/>
    <cellStyle name="Porcentaje" xfId="23" builtinId="5"/>
    <cellStyle name="Porcentaje 2" xfId="21"/>
    <cellStyle name="Porcentaje 2 2" xfId="170"/>
    <cellStyle name="Porcentaje 2 2 2" xfId="171"/>
    <cellStyle name="Porcentaje 2 3" xfId="172"/>
    <cellStyle name="Porcentaje 3" xfId="173"/>
    <cellStyle name="Porcentaje 4" xfId="174"/>
    <cellStyle name="Porcentual 2" xfId="2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21.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jpeg"/><Relationship Id="rId1" Type="http://schemas.openxmlformats.org/officeDocument/2006/relationships/image" Target="../media/image22.jpeg"/><Relationship Id="rId6" Type="http://schemas.openxmlformats.org/officeDocument/2006/relationships/image" Target="../media/image27.png"/><Relationship Id="rId5" Type="http://schemas.openxmlformats.org/officeDocument/2006/relationships/image" Target="../media/image26.jpeg"/><Relationship Id="rId4" Type="http://schemas.openxmlformats.org/officeDocument/2006/relationships/image" Target="../media/image2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28.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jpeg"/></Relationships>
</file>

<file path=xl/drawings/_rels/drawing23.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jpeg"/></Relationships>
</file>

<file path=xl/drawings/_rels/drawing24.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6.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6.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7.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7.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6.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9.jpeg"/><Relationship Id="rId1" Type="http://schemas.openxmlformats.org/officeDocument/2006/relationships/image" Target="../media/image38.jpeg"/><Relationship Id="rId4" Type="http://schemas.openxmlformats.org/officeDocument/2006/relationships/image" Target="../media/image40.png"/></Relationships>
</file>

<file path=xl/drawings/_rels/drawing31.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6.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6.jpeg"/></Relationships>
</file>

<file path=xl/drawings/_rels/drawing33.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41.jpeg"/></Relationships>
</file>

<file path=xl/drawings/_rels/drawing34.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41.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35.png"/><Relationship Id="rId1" Type="http://schemas.openxmlformats.org/officeDocument/2006/relationships/image" Target="../media/image41.jpeg"/><Relationship Id="rId4" Type="http://schemas.openxmlformats.org/officeDocument/2006/relationships/image" Target="../media/image4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7.jpeg"/></Relationships>
</file>

<file path=xl/drawings/_rels/drawing3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44.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6.jpeg"/></Relationships>
</file>

<file path=xl/drawings/_rels/drawing3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4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drawing40.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32.jpeg"/></Relationships>
</file>

<file path=xl/drawings/_rels/drawing41.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image" Target="../media/image47.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jpeg"/></Relationships>
</file>

<file path=xl/drawings/_rels/drawing46.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jpeg"/></Relationships>
</file>

<file path=xl/drawings/_rels/drawing48.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image" Target="../media/image50.jpeg"/></Relationships>
</file>

<file path=xl/drawings/_rels/drawing49.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50.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jpeg"/></Relationships>
</file>

<file path=xl/drawings/_rels/drawing51.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jpeg"/></Relationships>
</file>

<file path=xl/drawings/_rels/drawing52.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jpeg"/></Relationships>
</file>

<file path=xl/drawings/_rels/drawing53.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jpeg"/></Relationships>
</file>

<file path=xl/drawings/_rels/drawing54.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jpeg"/></Relationships>
</file>

<file path=xl/drawings/_rels/drawing55.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jpeg"/></Relationships>
</file>

<file path=xl/drawings/_rels/drawing56.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jpeg"/></Relationships>
</file>

<file path=xl/drawings/_rels/drawing57.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jpeg"/></Relationships>
</file>

<file path=xl/drawings/_rels/drawing58.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image" Target="../media/image48.jpeg"/></Relationships>
</file>

<file path=xl/drawings/_rels/drawing59.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image" Target="../media/image5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jpeg"/></Relationships>
</file>

<file path=xl/drawings/_rels/drawing60.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jpeg"/></Relationships>
</file>

<file path=xl/drawings/_rels/drawing61.xml.rels><?xml version="1.0" encoding="UTF-8" standalone="yes"?>
<Relationships xmlns="http://schemas.openxmlformats.org/package/2006/relationships"><Relationship Id="rId2" Type="http://schemas.openxmlformats.org/officeDocument/2006/relationships/image" Target="../media/image57.png"/><Relationship Id="rId1" Type="http://schemas.openxmlformats.org/officeDocument/2006/relationships/image" Target="../media/image56.jpeg"/></Relationships>
</file>

<file path=xl/drawings/_rels/drawing62.xml.rels><?xml version="1.0" encoding="UTF-8" standalone="yes"?>
<Relationships xmlns="http://schemas.openxmlformats.org/package/2006/relationships"><Relationship Id="rId2" Type="http://schemas.openxmlformats.org/officeDocument/2006/relationships/image" Target="../media/image59.png"/><Relationship Id="rId1" Type="http://schemas.openxmlformats.org/officeDocument/2006/relationships/image" Target="../media/image58.jpeg"/></Relationships>
</file>

<file path=xl/drawings/_rels/drawing63.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image" Target="../media/image60.jpeg"/></Relationships>
</file>

<file path=xl/drawings/_rels/drawing6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drawing6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drawing6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drawing67.xml.rels><?xml version="1.0" encoding="UTF-8" standalone="yes"?>
<Relationships xmlns="http://schemas.openxmlformats.org/package/2006/relationships"><Relationship Id="rId2" Type="http://schemas.openxmlformats.org/officeDocument/2006/relationships/image" Target="../media/image63.png"/><Relationship Id="rId1" Type="http://schemas.openxmlformats.org/officeDocument/2006/relationships/image" Target="../media/image62.jpeg"/></Relationships>
</file>

<file path=xl/drawings/_rels/drawing68.xml.rels><?xml version="1.0" encoding="UTF-8" standalone="yes"?>
<Relationships xmlns="http://schemas.openxmlformats.org/package/2006/relationships"><Relationship Id="rId2" Type="http://schemas.openxmlformats.org/officeDocument/2006/relationships/image" Target="../media/image65.png"/><Relationship Id="rId1" Type="http://schemas.openxmlformats.org/officeDocument/2006/relationships/image" Target="../media/image64.jpeg"/></Relationships>
</file>

<file path=xl/drawings/_rels/drawing69.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image" Target="../media/image64.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jpeg"/></Relationships>
</file>

<file path=xl/drawings/_rels/drawing70.xml.rels><?xml version="1.0" encoding="UTF-8" standalone="yes"?>
<Relationships xmlns="http://schemas.openxmlformats.org/package/2006/relationships"><Relationship Id="rId2" Type="http://schemas.openxmlformats.org/officeDocument/2006/relationships/image" Target="../media/image65.png"/><Relationship Id="rId1" Type="http://schemas.openxmlformats.org/officeDocument/2006/relationships/image" Target="../media/image64.jpeg"/></Relationships>
</file>

<file path=xl/drawings/_rels/drawing71.xml.rels><?xml version="1.0" encoding="UTF-8" standalone="yes"?>
<Relationships xmlns="http://schemas.openxmlformats.org/package/2006/relationships"><Relationship Id="rId2" Type="http://schemas.openxmlformats.org/officeDocument/2006/relationships/image" Target="../media/image66.png"/><Relationship Id="rId1" Type="http://schemas.openxmlformats.org/officeDocument/2006/relationships/image" Target="../media/image64.jpeg"/></Relationships>
</file>

<file path=xl/drawings/_rels/drawing72.xml.rels><?xml version="1.0" encoding="UTF-8" standalone="yes"?>
<Relationships xmlns="http://schemas.openxmlformats.org/package/2006/relationships"><Relationship Id="rId2" Type="http://schemas.openxmlformats.org/officeDocument/2006/relationships/image" Target="../media/image65.png"/><Relationship Id="rId1" Type="http://schemas.openxmlformats.org/officeDocument/2006/relationships/image" Target="../media/image64.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xdr:from>
      <xdr:col>6</xdr:col>
      <xdr:colOff>2698750</xdr:colOff>
      <xdr:row>61</xdr:row>
      <xdr:rowOff>111125</xdr:rowOff>
    </xdr:from>
    <xdr:to>
      <xdr:col>9</xdr:col>
      <xdr:colOff>810886</xdr:colOff>
      <xdr:row>62</xdr:row>
      <xdr:rowOff>0</xdr:rowOff>
    </xdr:to>
    <xdr:sp macro="" textlink="">
      <xdr:nvSpPr>
        <xdr:cNvPr id="2" name="6 CuadroTexto">
          <a:extLst>
            <a:ext uri="{FF2B5EF4-FFF2-40B4-BE49-F238E27FC236}">
              <a16:creationId xmlns:a16="http://schemas.microsoft.com/office/drawing/2014/main" xmlns="" id="{00000000-0008-0000-0100-000002000000}"/>
            </a:ext>
          </a:extLst>
        </xdr:cNvPr>
        <xdr:cNvSpPr txBox="1"/>
      </xdr:nvSpPr>
      <xdr:spPr>
        <a:xfrm>
          <a:off x="9613900" y="10198100"/>
          <a:ext cx="3435350" cy="22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1100">
              <a:latin typeface="+mn-lt"/>
            </a:rPr>
            <a:t>____________________________</a:t>
          </a:r>
        </a:p>
        <a:p>
          <a:pPr algn="ctr"/>
          <a:r>
            <a:rPr lang="es-MX" sz="900">
              <a:latin typeface="+mn-lt"/>
              <a:cs typeface="Arial" pitchFamily="34" charset="0"/>
            </a:rPr>
            <a:t>LIC. ANDROMEDA MONTIEL LERMA</a:t>
          </a:r>
        </a:p>
      </xdr:txBody>
    </xdr:sp>
    <xdr:clientData/>
  </xdr:twoCellAnchor>
  <xdr:twoCellAnchor>
    <xdr:from>
      <xdr:col>1</xdr:col>
      <xdr:colOff>2933700</xdr:colOff>
      <xdr:row>61</xdr:row>
      <xdr:rowOff>101600</xdr:rowOff>
    </xdr:from>
    <xdr:to>
      <xdr:col>3</xdr:col>
      <xdr:colOff>790575</xdr:colOff>
      <xdr:row>66</xdr:row>
      <xdr:rowOff>71758</xdr:rowOff>
    </xdr:to>
    <xdr:sp macro="" textlink="">
      <xdr:nvSpPr>
        <xdr:cNvPr id="3" name="7 CuadroTexto">
          <a:extLst>
            <a:ext uri="{FF2B5EF4-FFF2-40B4-BE49-F238E27FC236}">
              <a16:creationId xmlns:a16="http://schemas.microsoft.com/office/drawing/2014/main" xmlns="" id="{00000000-0008-0000-0100-000003000000}"/>
            </a:ext>
          </a:extLst>
        </xdr:cNvPr>
        <xdr:cNvSpPr txBox="1"/>
      </xdr:nvSpPr>
      <xdr:spPr>
        <a:xfrm>
          <a:off x="3381375" y="10188575"/>
          <a:ext cx="2705100" cy="8655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200">
              <a:latin typeface="+mn-lt"/>
              <a:cs typeface="Arial" pitchFamily="34" charset="0"/>
            </a:rPr>
            <a:t>TESORERO MUNICIPAL</a:t>
          </a:r>
        </a:p>
        <a:p>
          <a:pPr algn="ctr"/>
          <a:endParaRPr lang="es-MX" sz="1200">
            <a:latin typeface="+mn-lt"/>
            <a:cs typeface="Arial" pitchFamily="34" charset="0"/>
          </a:endParaRPr>
        </a:p>
        <a:p>
          <a:pPr algn="ctr"/>
          <a:r>
            <a:rPr lang="es-MX" sz="1200">
              <a:latin typeface="+mn-lt"/>
            </a:rPr>
            <a:t>_______________________________</a:t>
          </a:r>
        </a:p>
        <a:p>
          <a:pPr algn="ctr"/>
          <a:r>
            <a:rPr lang="es-MX" sz="1200">
              <a:latin typeface="+mn-lt"/>
              <a:cs typeface="Arial" pitchFamily="34" charset="0"/>
            </a:rPr>
            <a:t>L.A.P. JOSÉ ALFREDO PEÑA RODRÍGUEZ</a:t>
          </a:r>
        </a:p>
      </xdr:txBody>
    </xdr:sp>
    <xdr:clientData/>
  </xdr:twoCellAnchor>
  <xdr:twoCellAnchor>
    <xdr:from>
      <xdr:col>0</xdr:col>
      <xdr:colOff>106362</xdr:colOff>
      <xdr:row>61</xdr:row>
      <xdr:rowOff>109141</xdr:rowOff>
    </xdr:from>
    <xdr:to>
      <xdr:col>1</xdr:col>
      <xdr:colOff>2395537</xdr:colOff>
      <xdr:row>66</xdr:row>
      <xdr:rowOff>104192</xdr:rowOff>
    </xdr:to>
    <xdr:sp macro="" textlink="">
      <xdr:nvSpPr>
        <xdr:cNvPr id="4" name="8 CuadroTexto">
          <a:extLst>
            <a:ext uri="{FF2B5EF4-FFF2-40B4-BE49-F238E27FC236}">
              <a16:creationId xmlns:a16="http://schemas.microsoft.com/office/drawing/2014/main" xmlns="" id="{00000000-0008-0000-0100-000004000000}"/>
            </a:ext>
          </a:extLst>
        </xdr:cNvPr>
        <xdr:cNvSpPr txBox="1"/>
      </xdr:nvSpPr>
      <xdr:spPr>
        <a:xfrm>
          <a:off x="106362" y="10196116"/>
          <a:ext cx="2736850" cy="8904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200">
              <a:latin typeface="+mn-lt"/>
              <a:cs typeface="Arial" pitchFamily="34" charset="0"/>
            </a:rPr>
            <a:t>PRESIDENTE MUNICIPAL</a:t>
          </a:r>
        </a:p>
        <a:p>
          <a:pPr algn="ctr"/>
          <a:endParaRPr lang="es-MX" sz="1200">
            <a:latin typeface="+mn-lt"/>
            <a:cs typeface="Arial" pitchFamily="34" charset="0"/>
          </a:endParaRPr>
        </a:p>
        <a:p>
          <a:pPr algn="ctr"/>
          <a:r>
            <a:rPr lang="es-MX" sz="1200">
              <a:latin typeface="+mn-lt"/>
            </a:rPr>
            <a:t>________________________________</a:t>
          </a:r>
        </a:p>
        <a:p>
          <a:pPr algn="ctr"/>
          <a:r>
            <a:rPr lang="es-MX" sz="1200">
              <a:latin typeface="+mn-lt"/>
              <a:cs typeface="Arial" pitchFamily="34" charset="0"/>
            </a:rPr>
            <a:t>DR. XICOTÉNCATL GONZÁLEZ URESTI</a:t>
          </a:r>
        </a:p>
        <a:p>
          <a:pPr algn="ctr"/>
          <a:endParaRPr lang="es-MX" sz="1200">
            <a:latin typeface="+mn-lt"/>
            <a:cs typeface="Arial" pitchFamily="34" charset="0"/>
          </a:endParaRPr>
        </a:p>
      </xdr:txBody>
    </xdr:sp>
    <xdr:clientData/>
  </xdr:twoCellAnchor>
  <xdr:twoCellAnchor>
    <xdr:from>
      <xdr:col>5</xdr:col>
      <xdr:colOff>200026</xdr:colOff>
      <xdr:row>61</xdr:row>
      <xdr:rowOff>116681</xdr:rowOff>
    </xdr:from>
    <xdr:to>
      <xdr:col>6</xdr:col>
      <xdr:colOff>2714625</xdr:colOff>
      <xdr:row>66</xdr:row>
      <xdr:rowOff>97631</xdr:rowOff>
    </xdr:to>
    <xdr:sp macro="" textlink="">
      <xdr:nvSpPr>
        <xdr:cNvPr id="5" name="9 CuadroTexto">
          <a:extLst>
            <a:ext uri="{FF2B5EF4-FFF2-40B4-BE49-F238E27FC236}">
              <a16:creationId xmlns:a16="http://schemas.microsoft.com/office/drawing/2014/main" xmlns="" id="{00000000-0008-0000-0100-000005000000}"/>
            </a:ext>
          </a:extLst>
        </xdr:cNvPr>
        <xdr:cNvSpPr txBox="1"/>
      </xdr:nvSpPr>
      <xdr:spPr>
        <a:xfrm>
          <a:off x="6667501" y="10203656"/>
          <a:ext cx="2962274"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200">
              <a:latin typeface="+mn-lt"/>
              <a:cs typeface="Arial" pitchFamily="34" charset="0"/>
            </a:rPr>
            <a:t>SINDICO</a:t>
          </a:r>
          <a:r>
            <a:rPr lang="es-MX" sz="1200" baseline="0">
              <a:latin typeface="+mn-lt"/>
              <a:cs typeface="Arial" pitchFamily="34" charset="0"/>
            </a:rPr>
            <a:t> MUNICIPAL</a:t>
          </a:r>
        </a:p>
        <a:p>
          <a:pPr algn="ctr"/>
          <a:endParaRPr lang="es-MX" sz="1200" baseline="0">
            <a:latin typeface="+mn-lt"/>
            <a:cs typeface="Arial" pitchFamily="34" charset="0"/>
          </a:endParaRPr>
        </a:p>
        <a:p>
          <a:pPr algn="ctr"/>
          <a:r>
            <a:rPr lang="es-MX" sz="1200">
              <a:latin typeface="+mn-lt"/>
              <a:cs typeface="Arial" pitchFamily="34" charset="0"/>
            </a:rPr>
            <a:t>_________________________________</a:t>
          </a:r>
        </a:p>
        <a:p>
          <a:pPr algn="ctr"/>
          <a:r>
            <a:rPr lang="es-MX" sz="1200">
              <a:solidFill>
                <a:schemeClr val="dk1"/>
              </a:solidFill>
              <a:effectLst/>
              <a:latin typeface="+mn-lt"/>
              <a:ea typeface="+mn-ea"/>
              <a:cs typeface="+mn-cs"/>
            </a:rPr>
            <a:t>LIC.</a:t>
          </a:r>
          <a:r>
            <a:rPr lang="es-MX" sz="1200" baseline="0">
              <a:solidFill>
                <a:schemeClr val="dk1"/>
              </a:solidFill>
              <a:effectLst/>
              <a:latin typeface="+mn-lt"/>
              <a:ea typeface="+mn-ea"/>
              <a:cs typeface="+mn-cs"/>
            </a:rPr>
            <a:t> FRIDA PATRICIA ESCOBAR ORTIZ</a:t>
          </a:r>
          <a:endParaRPr lang="es-MX" sz="1200">
            <a:solidFill>
              <a:schemeClr val="dk1"/>
            </a:solidFill>
            <a:effectLst/>
            <a:latin typeface="+mn-lt"/>
            <a:ea typeface="+mn-ea"/>
            <a:cs typeface="+mn-cs"/>
          </a:endParaRPr>
        </a:p>
        <a:p>
          <a:pPr algn="ctr"/>
          <a:endParaRPr lang="es-MX" sz="1200">
            <a:effectLst/>
          </a:endParaRPr>
        </a:p>
      </xdr:txBody>
    </xdr:sp>
    <xdr:clientData/>
  </xdr:twoCellAnchor>
  <xdr:twoCellAnchor>
    <xdr:from>
      <xdr:col>6</xdr:col>
      <xdr:colOff>3456328</xdr:colOff>
      <xdr:row>61</xdr:row>
      <xdr:rowOff>111368</xdr:rowOff>
    </xdr:from>
    <xdr:to>
      <xdr:col>10</xdr:col>
      <xdr:colOff>177656</xdr:colOff>
      <xdr:row>66</xdr:row>
      <xdr:rowOff>156062</xdr:rowOff>
    </xdr:to>
    <xdr:sp macro="" textlink="">
      <xdr:nvSpPr>
        <xdr:cNvPr id="6" name="10 CuadroTexto">
          <a:extLst>
            <a:ext uri="{FF2B5EF4-FFF2-40B4-BE49-F238E27FC236}">
              <a16:creationId xmlns:a16="http://schemas.microsoft.com/office/drawing/2014/main" xmlns="" id="{00000000-0008-0000-0100-000006000000}"/>
            </a:ext>
          </a:extLst>
        </xdr:cNvPr>
        <xdr:cNvSpPr txBox="1"/>
      </xdr:nvSpPr>
      <xdr:spPr>
        <a:xfrm>
          <a:off x="10371478" y="10198343"/>
          <a:ext cx="2855428" cy="940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200">
              <a:latin typeface="+mn-lt"/>
              <a:cs typeface="Arial" pitchFamily="34" charset="0"/>
            </a:rPr>
            <a:t>CONTRALOR</a:t>
          </a:r>
          <a:r>
            <a:rPr lang="es-MX" sz="1200" baseline="0">
              <a:latin typeface="+mn-lt"/>
              <a:cs typeface="Arial" pitchFamily="34" charset="0"/>
            </a:rPr>
            <a:t> MUNICIPAL</a:t>
          </a:r>
        </a:p>
        <a:p>
          <a:pPr algn="ctr"/>
          <a:endParaRPr lang="es-MX" sz="1200">
            <a:latin typeface="+mn-lt"/>
            <a:cs typeface="Arial" pitchFamily="34" charset="0"/>
          </a:endParaRPr>
        </a:p>
        <a:p>
          <a:pPr algn="ctr"/>
          <a:r>
            <a:rPr lang="es-MX" sz="1200">
              <a:latin typeface="+mn-lt"/>
            </a:rPr>
            <a:t>__________________________________</a:t>
          </a:r>
        </a:p>
        <a:p>
          <a:pPr algn="ctr"/>
          <a:r>
            <a:rPr lang="es-MX" sz="1200">
              <a:latin typeface="+mn-lt"/>
              <a:cs typeface="Arial" pitchFamily="34" charset="0"/>
            </a:rPr>
            <a:t>C.P. NORA ROSALVA</a:t>
          </a:r>
          <a:r>
            <a:rPr lang="es-MX" sz="1200" baseline="0">
              <a:latin typeface="+mn-lt"/>
              <a:cs typeface="Arial" pitchFamily="34" charset="0"/>
            </a:rPr>
            <a:t> CEPEDA GUERRERO</a:t>
          </a:r>
          <a:endParaRPr lang="es-MX" sz="1200">
            <a:latin typeface="+mn-lt"/>
            <a:cs typeface="Arial" pitchFamily="34" charset="0"/>
          </a:endParaRPr>
        </a:p>
      </xdr:txBody>
    </xdr:sp>
    <xdr:clientData/>
  </xdr:twoCellAnchor>
  <xdr:twoCellAnchor editAs="oneCell">
    <xdr:from>
      <xdr:col>0</xdr:col>
      <xdr:colOff>1</xdr:colOff>
      <xdr:row>0</xdr:row>
      <xdr:rowOff>1</xdr:rowOff>
    </xdr:from>
    <xdr:to>
      <xdr:col>1</xdr:col>
      <xdr:colOff>1419226</xdr:colOff>
      <xdr:row>4</xdr:row>
      <xdr:rowOff>112076</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
          <a:ext cx="1866900" cy="997900"/>
        </a:xfrm>
        <a:prstGeom prst="rect">
          <a:avLst/>
        </a:prstGeom>
      </xdr:spPr>
    </xdr:pic>
    <xdr:clientData/>
  </xdr:twoCellAnchor>
  <xdr:twoCellAnchor editAs="oneCell">
    <xdr:from>
      <xdr:col>6</xdr:col>
      <xdr:colOff>3933825</xdr:colOff>
      <xdr:row>0</xdr:row>
      <xdr:rowOff>0</xdr:rowOff>
    </xdr:from>
    <xdr:to>
      <xdr:col>8</xdr:col>
      <xdr:colOff>923926</xdr:colOff>
      <xdr:row>4</xdr:row>
      <xdr:rowOff>144888</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48975" y="0"/>
          <a:ext cx="2066926" cy="10307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85725</xdr:colOff>
      <xdr:row>40</xdr:row>
      <xdr:rowOff>0</xdr:rowOff>
    </xdr:from>
    <xdr:to>
      <xdr:col>1</xdr:col>
      <xdr:colOff>2051212</xdr:colOff>
      <xdr:row>44</xdr:row>
      <xdr:rowOff>139212</xdr:rowOff>
    </xdr:to>
    <xdr:sp macro="" textlink="">
      <xdr:nvSpPr>
        <xdr:cNvPr id="2" name="9 CuadroTexto"/>
        <xdr:cNvSpPr txBox="1"/>
      </xdr:nvSpPr>
      <xdr:spPr>
        <a:xfrm>
          <a:off x="85725" y="14849475"/>
          <a:ext cx="2422687" cy="786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PRESIDENTE MUNICIPAL</a:t>
          </a:r>
        </a:p>
        <a:p>
          <a:pPr algn="ctr"/>
          <a:endParaRPr lang="es-MX" sz="900">
            <a:latin typeface="+mn-lt"/>
            <a:cs typeface="Arial" pitchFamily="34" charset="0"/>
          </a:endParaRPr>
        </a:p>
        <a:p>
          <a:pPr algn="ctr"/>
          <a:r>
            <a:rPr lang="es-MX" sz="1100">
              <a:latin typeface="+mn-lt"/>
            </a:rPr>
            <a:t>_____________________________</a:t>
          </a:r>
        </a:p>
        <a:p>
          <a:pPr algn="ctr"/>
          <a:r>
            <a:rPr lang="es-MX" sz="900">
              <a:latin typeface="+mn-lt"/>
              <a:cs typeface="Arial" pitchFamily="34" charset="0"/>
            </a:rPr>
            <a:t>DR. XICOTÉNCATL GONZÁLEZ URESTI</a:t>
          </a:r>
        </a:p>
      </xdr:txBody>
    </xdr:sp>
    <xdr:clientData/>
  </xdr:twoCellAnchor>
  <xdr:twoCellAnchor>
    <xdr:from>
      <xdr:col>1</xdr:col>
      <xdr:colOff>2374021</xdr:colOff>
      <xdr:row>40</xdr:row>
      <xdr:rowOff>3678</xdr:rowOff>
    </xdr:from>
    <xdr:to>
      <xdr:col>2</xdr:col>
      <xdr:colOff>231938</xdr:colOff>
      <xdr:row>44</xdr:row>
      <xdr:rowOff>153867</xdr:rowOff>
    </xdr:to>
    <xdr:sp macro="" textlink="">
      <xdr:nvSpPr>
        <xdr:cNvPr id="3" name="10 CuadroTexto"/>
        <xdr:cNvSpPr txBox="1"/>
      </xdr:nvSpPr>
      <xdr:spPr>
        <a:xfrm>
          <a:off x="2831221" y="14853153"/>
          <a:ext cx="2277517" cy="797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TESORERO MUNICIPAL</a:t>
          </a:r>
        </a:p>
        <a:p>
          <a:pPr algn="ctr"/>
          <a:endParaRPr lang="es-MX" sz="900">
            <a:latin typeface="+mn-lt"/>
            <a:cs typeface="Arial" pitchFamily="34" charset="0"/>
          </a:endParaRPr>
        </a:p>
        <a:p>
          <a:pPr algn="ctr"/>
          <a:r>
            <a:rPr lang="es-MX" sz="1100">
              <a:latin typeface="+mn-lt"/>
            </a:rPr>
            <a:t>__________________________</a:t>
          </a:r>
        </a:p>
        <a:p>
          <a:pPr algn="ctr"/>
          <a:r>
            <a:rPr lang="es-MX" sz="900">
              <a:latin typeface="+mn-lt"/>
              <a:cs typeface="Arial" pitchFamily="34" charset="0"/>
            </a:rPr>
            <a:t>LAP. JOSÉ ALFREDO PEÑA RODRÍGUEZ</a:t>
          </a:r>
        </a:p>
      </xdr:txBody>
    </xdr:sp>
    <xdr:clientData/>
  </xdr:twoCellAnchor>
  <xdr:twoCellAnchor>
    <xdr:from>
      <xdr:col>2</xdr:col>
      <xdr:colOff>536089</xdr:colOff>
      <xdr:row>40</xdr:row>
      <xdr:rowOff>28235</xdr:rowOff>
    </xdr:from>
    <xdr:to>
      <xdr:col>5</xdr:col>
      <xdr:colOff>298614</xdr:colOff>
      <xdr:row>44</xdr:row>
      <xdr:rowOff>146539</xdr:rowOff>
    </xdr:to>
    <xdr:sp macro="" textlink="">
      <xdr:nvSpPr>
        <xdr:cNvPr id="4" name="11 CuadroTexto"/>
        <xdr:cNvSpPr txBox="1"/>
      </xdr:nvSpPr>
      <xdr:spPr>
        <a:xfrm>
          <a:off x="5412889" y="14877710"/>
          <a:ext cx="2801000" cy="7660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SINDICO</a:t>
          </a:r>
          <a:r>
            <a:rPr lang="es-MX" sz="900" baseline="0">
              <a:latin typeface="+mn-lt"/>
              <a:cs typeface="Arial" pitchFamily="34" charset="0"/>
            </a:rPr>
            <a:t> MUNICIPAL</a:t>
          </a:r>
        </a:p>
        <a:p>
          <a:pPr algn="ctr"/>
          <a:endParaRPr lang="es-MX" sz="900" baseline="0">
            <a:latin typeface="+mn-lt"/>
            <a:cs typeface="Arial" pitchFamily="34" charset="0"/>
          </a:endParaRPr>
        </a:p>
        <a:p>
          <a:pPr algn="ctr"/>
          <a:r>
            <a:rPr lang="es-MX" sz="900">
              <a:latin typeface="+mn-lt"/>
              <a:cs typeface="Arial" pitchFamily="34" charset="0"/>
            </a:rPr>
            <a:t>_________________________________</a:t>
          </a:r>
        </a:p>
        <a:p>
          <a:pPr algn="ctr"/>
          <a:r>
            <a:rPr lang="es-MX" sz="900">
              <a:latin typeface="+mn-lt"/>
              <a:cs typeface="Arial" pitchFamily="34" charset="0"/>
            </a:rPr>
            <a:t>LIC. FRIDA PATRICIA ESCOBAR ORTIZ</a:t>
          </a:r>
        </a:p>
      </xdr:txBody>
    </xdr:sp>
    <xdr:clientData/>
  </xdr:twoCellAnchor>
  <xdr:twoCellAnchor>
    <xdr:from>
      <xdr:col>5</xdr:col>
      <xdr:colOff>473238</xdr:colOff>
      <xdr:row>40</xdr:row>
      <xdr:rowOff>14905</xdr:rowOff>
    </xdr:from>
    <xdr:to>
      <xdr:col>7</xdr:col>
      <xdr:colOff>751632</xdr:colOff>
      <xdr:row>44</xdr:row>
      <xdr:rowOff>117231</xdr:rowOff>
    </xdr:to>
    <xdr:sp macro="" textlink="">
      <xdr:nvSpPr>
        <xdr:cNvPr id="5" name="12 CuadroTexto"/>
        <xdr:cNvSpPr txBox="1"/>
      </xdr:nvSpPr>
      <xdr:spPr>
        <a:xfrm>
          <a:off x="8388513" y="14864380"/>
          <a:ext cx="2183394" cy="7500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1100">
              <a:latin typeface="+mn-lt"/>
            </a:rPr>
            <a:t>____________________________</a:t>
          </a:r>
        </a:p>
        <a:p>
          <a:pPr algn="ctr"/>
          <a:r>
            <a:rPr lang="es-MX" sz="900">
              <a:latin typeface="+mn-lt"/>
              <a:cs typeface="Arial" pitchFamily="34" charset="0"/>
            </a:rPr>
            <a:t>C.P. NORA ROSALVA CEPEDA GUERRERO</a:t>
          </a:r>
        </a:p>
      </xdr:txBody>
    </xdr:sp>
    <xdr:clientData/>
  </xdr:twoCellAnchor>
  <xdr:twoCellAnchor editAs="oneCell">
    <xdr:from>
      <xdr:col>0</xdr:col>
      <xdr:colOff>63500</xdr:colOff>
      <xdr:row>1</xdr:row>
      <xdr:rowOff>0</xdr:rowOff>
    </xdr:from>
    <xdr:to>
      <xdr:col>1</xdr:col>
      <xdr:colOff>1254864</xdr:colOff>
      <xdr:row>5</xdr:row>
      <xdr:rowOff>93589</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174625"/>
          <a:ext cx="1731114" cy="919089"/>
        </a:xfrm>
        <a:prstGeom prst="rect">
          <a:avLst/>
        </a:prstGeom>
      </xdr:spPr>
    </xdr:pic>
    <xdr:clientData/>
  </xdr:twoCellAnchor>
  <xdr:twoCellAnchor editAs="oneCell">
    <xdr:from>
      <xdr:col>5</xdr:col>
      <xdr:colOff>912202</xdr:colOff>
      <xdr:row>1</xdr:row>
      <xdr:rowOff>41032</xdr:rowOff>
    </xdr:from>
    <xdr:to>
      <xdr:col>7</xdr:col>
      <xdr:colOff>811789</xdr:colOff>
      <xdr:row>5</xdr:row>
      <xdr:rowOff>79970</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16327" y="215657"/>
          <a:ext cx="1756962" cy="86443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85725</xdr:colOff>
      <xdr:row>51</xdr:row>
      <xdr:rowOff>0</xdr:rowOff>
    </xdr:from>
    <xdr:to>
      <xdr:col>1</xdr:col>
      <xdr:colOff>2051212</xdr:colOff>
      <xdr:row>55</xdr:row>
      <xdr:rowOff>139212</xdr:rowOff>
    </xdr:to>
    <xdr:sp macro="" textlink="">
      <xdr:nvSpPr>
        <xdr:cNvPr id="2" name="9 CuadroTexto"/>
        <xdr:cNvSpPr txBox="1"/>
      </xdr:nvSpPr>
      <xdr:spPr>
        <a:xfrm>
          <a:off x="85725" y="14849475"/>
          <a:ext cx="2422687" cy="786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PRESIDENTE MUNICIPAL</a:t>
          </a:r>
        </a:p>
        <a:p>
          <a:pPr algn="ctr"/>
          <a:endParaRPr lang="es-MX" sz="900">
            <a:latin typeface="+mn-lt"/>
            <a:cs typeface="Arial" pitchFamily="34" charset="0"/>
          </a:endParaRPr>
        </a:p>
        <a:p>
          <a:pPr algn="ctr"/>
          <a:r>
            <a:rPr lang="es-MX" sz="1100">
              <a:latin typeface="+mn-lt"/>
            </a:rPr>
            <a:t>_____________________________</a:t>
          </a:r>
        </a:p>
        <a:p>
          <a:pPr algn="ctr"/>
          <a:r>
            <a:rPr lang="es-MX" sz="900">
              <a:latin typeface="+mn-lt"/>
              <a:cs typeface="Arial" pitchFamily="34" charset="0"/>
            </a:rPr>
            <a:t>DR. XICOTÉNCATL GONZÁLEZ URESTI</a:t>
          </a:r>
        </a:p>
      </xdr:txBody>
    </xdr:sp>
    <xdr:clientData/>
  </xdr:twoCellAnchor>
  <xdr:twoCellAnchor>
    <xdr:from>
      <xdr:col>1</xdr:col>
      <xdr:colOff>2374021</xdr:colOff>
      <xdr:row>51</xdr:row>
      <xdr:rowOff>3678</xdr:rowOff>
    </xdr:from>
    <xdr:to>
      <xdr:col>2</xdr:col>
      <xdr:colOff>231938</xdr:colOff>
      <xdr:row>55</xdr:row>
      <xdr:rowOff>153867</xdr:rowOff>
    </xdr:to>
    <xdr:sp macro="" textlink="">
      <xdr:nvSpPr>
        <xdr:cNvPr id="3" name="10 CuadroTexto"/>
        <xdr:cNvSpPr txBox="1"/>
      </xdr:nvSpPr>
      <xdr:spPr>
        <a:xfrm>
          <a:off x="2831221" y="14853153"/>
          <a:ext cx="2277517" cy="797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TESORERO MUNICIPAL</a:t>
          </a:r>
        </a:p>
        <a:p>
          <a:pPr algn="ctr"/>
          <a:endParaRPr lang="es-MX" sz="900">
            <a:latin typeface="+mn-lt"/>
            <a:cs typeface="Arial" pitchFamily="34" charset="0"/>
          </a:endParaRPr>
        </a:p>
        <a:p>
          <a:pPr algn="ctr"/>
          <a:r>
            <a:rPr lang="es-MX" sz="1100">
              <a:latin typeface="+mn-lt"/>
            </a:rPr>
            <a:t>__________________________</a:t>
          </a:r>
        </a:p>
        <a:p>
          <a:pPr algn="ctr"/>
          <a:r>
            <a:rPr lang="es-MX" sz="900">
              <a:latin typeface="+mn-lt"/>
              <a:cs typeface="Arial" pitchFamily="34" charset="0"/>
            </a:rPr>
            <a:t>LAP. JOSÉ ALFREDO PEÑA RODRÍGUEZ</a:t>
          </a:r>
        </a:p>
      </xdr:txBody>
    </xdr:sp>
    <xdr:clientData/>
  </xdr:twoCellAnchor>
  <xdr:twoCellAnchor>
    <xdr:from>
      <xdr:col>2</xdr:col>
      <xdr:colOff>536089</xdr:colOff>
      <xdr:row>51</xdr:row>
      <xdr:rowOff>28235</xdr:rowOff>
    </xdr:from>
    <xdr:to>
      <xdr:col>5</xdr:col>
      <xdr:colOff>298614</xdr:colOff>
      <xdr:row>55</xdr:row>
      <xdr:rowOff>146539</xdr:rowOff>
    </xdr:to>
    <xdr:sp macro="" textlink="">
      <xdr:nvSpPr>
        <xdr:cNvPr id="4" name="11 CuadroTexto"/>
        <xdr:cNvSpPr txBox="1"/>
      </xdr:nvSpPr>
      <xdr:spPr>
        <a:xfrm>
          <a:off x="5412889" y="14877710"/>
          <a:ext cx="2801000" cy="7660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SINDICO</a:t>
          </a:r>
          <a:r>
            <a:rPr lang="es-MX" sz="900" baseline="0">
              <a:latin typeface="+mn-lt"/>
              <a:cs typeface="Arial" pitchFamily="34" charset="0"/>
            </a:rPr>
            <a:t> MUNICIPAL</a:t>
          </a:r>
        </a:p>
        <a:p>
          <a:pPr algn="ctr"/>
          <a:endParaRPr lang="es-MX" sz="900" baseline="0">
            <a:latin typeface="+mn-lt"/>
            <a:cs typeface="Arial" pitchFamily="34" charset="0"/>
          </a:endParaRPr>
        </a:p>
        <a:p>
          <a:pPr algn="ctr"/>
          <a:r>
            <a:rPr lang="es-MX" sz="900">
              <a:latin typeface="+mn-lt"/>
              <a:cs typeface="Arial" pitchFamily="34" charset="0"/>
            </a:rPr>
            <a:t>_________________________________</a:t>
          </a:r>
        </a:p>
        <a:p>
          <a:pPr algn="ctr"/>
          <a:r>
            <a:rPr lang="es-MX" sz="900">
              <a:latin typeface="+mn-lt"/>
              <a:cs typeface="Arial" pitchFamily="34" charset="0"/>
            </a:rPr>
            <a:t>LIC. FRIDA PATRICIA ESCOBAR ORTIZ</a:t>
          </a:r>
        </a:p>
      </xdr:txBody>
    </xdr:sp>
    <xdr:clientData/>
  </xdr:twoCellAnchor>
  <xdr:twoCellAnchor>
    <xdr:from>
      <xdr:col>5</xdr:col>
      <xdr:colOff>473238</xdr:colOff>
      <xdr:row>51</xdr:row>
      <xdr:rowOff>14905</xdr:rowOff>
    </xdr:from>
    <xdr:to>
      <xdr:col>7</xdr:col>
      <xdr:colOff>751632</xdr:colOff>
      <xdr:row>55</xdr:row>
      <xdr:rowOff>117231</xdr:rowOff>
    </xdr:to>
    <xdr:sp macro="" textlink="">
      <xdr:nvSpPr>
        <xdr:cNvPr id="5" name="12 CuadroTexto"/>
        <xdr:cNvSpPr txBox="1"/>
      </xdr:nvSpPr>
      <xdr:spPr>
        <a:xfrm>
          <a:off x="8388513" y="14864380"/>
          <a:ext cx="2183394" cy="7500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1100">
              <a:latin typeface="+mn-lt"/>
            </a:rPr>
            <a:t>____________________________</a:t>
          </a:r>
        </a:p>
        <a:p>
          <a:pPr algn="ctr"/>
          <a:r>
            <a:rPr lang="es-MX" sz="900">
              <a:latin typeface="+mn-lt"/>
              <a:cs typeface="Arial" pitchFamily="34" charset="0"/>
            </a:rPr>
            <a:t>C.P. NORA ROSALVA CEPEDA GUERRERO</a:t>
          </a:r>
        </a:p>
      </xdr:txBody>
    </xdr:sp>
    <xdr:clientData/>
  </xdr:twoCellAnchor>
  <xdr:twoCellAnchor editAs="oneCell">
    <xdr:from>
      <xdr:col>0</xdr:col>
      <xdr:colOff>14654</xdr:colOff>
      <xdr:row>1</xdr:row>
      <xdr:rowOff>14654</xdr:rowOff>
    </xdr:from>
    <xdr:to>
      <xdr:col>1</xdr:col>
      <xdr:colOff>1328133</xdr:colOff>
      <xdr:row>5</xdr:row>
      <xdr:rowOff>142435</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4" y="175846"/>
          <a:ext cx="1731114" cy="919089"/>
        </a:xfrm>
        <a:prstGeom prst="rect">
          <a:avLst/>
        </a:prstGeom>
      </xdr:spPr>
    </xdr:pic>
    <xdr:clientData/>
  </xdr:twoCellAnchor>
  <xdr:twoCellAnchor editAs="oneCell">
    <xdr:from>
      <xdr:col>6</xdr:col>
      <xdr:colOff>12211</xdr:colOff>
      <xdr:row>1</xdr:row>
      <xdr:rowOff>70340</xdr:rowOff>
    </xdr:from>
    <xdr:to>
      <xdr:col>7</xdr:col>
      <xdr:colOff>853308</xdr:colOff>
      <xdr:row>5</xdr:row>
      <xdr:rowOff>143470</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7788" y="231532"/>
          <a:ext cx="1756962" cy="8644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85725</xdr:colOff>
      <xdr:row>32</xdr:row>
      <xdr:rowOff>0</xdr:rowOff>
    </xdr:from>
    <xdr:to>
      <xdr:col>1</xdr:col>
      <xdr:colOff>2051212</xdr:colOff>
      <xdr:row>36</xdr:row>
      <xdr:rowOff>139212</xdr:rowOff>
    </xdr:to>
    <xdr:sp macro="" textlink="">
      <xdr:nvSpPr>
        <xdr:cNvPr id="2" name="9 CuadroTexto"/>
        <xdr:cNvSpPr txBox="1"/>
      </xdr:nvSpPr>
      <xdr:spPr>
        <a:xfrm>
          <a:off x="85725" y="14849475"/>
          <a:ext cx="2422687" cy="786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PRESIDENTE MUNICIPAL</a:t>
          </a:r>
        </a:p>
        <a:p>
          <a:pPr algn="ctr"/>
          <a:endParaRPr lang="es-MX" sz="900">
            <a:latin typeface="+mn-lt"/>
            <a:cs typeface="Arial" pitchFamily="34" charset="0"/>
          </a:endParaRPr>
        </a:p>
        <a:p>
          <a:pPr algn="ctr"/>
          <a:r>
            <a:rPr lang="es-MX" sz="1100">
              <a:latin typeface="+mn-lt"/>
            </a:rPr>
            <a:t>_____________________________</a:t>
          </a:r>
        </a:p>
        <a:p>
          <a:pPr algn="ctr"/>
          <a:r>
            <a:rPr lang="es-MX" sz="900">
              <a:latin typeface="+mn-lt"/>
              <a:cs typeface="Arial" pitchFamily="34" charset="0"/>
            </a:rPr>
            <a:t>DR. XICOTÉNCATL GONZÁLEZ URESTI</a:t>
          </a:r>
        </a:p>
      </xdr:txBody>
    </xdr:sp>
    <xdr:clientData/>
  </xdr:twoCellAnchor>
  <xdr:twoCellAnchor>
    <xdr:from>
      <xdr:col>1</xdr:col>
      <xdr:colOff>2374021</xdr:colOff>
      <xdr:row>32</xdr:row>
      <xdr:rowOff>3678</xdr:rowOff>
    </xdr:from>
    <xdr:to>
      <xdr:col>2</xdr:col>
      <xdr:colOff>231938</xdr:colOff>
      <xdr:row>36</xdr:row>
      <xdr:rowOff>153867</xdr:rowOff>
    </xdr:to>
    <xdr:sp macro="" textlink="">
      <xdr:nvSpPr>
        <xdr:cNvPr id="3" name="10 CuadroTexto"/>
        <xdr:cNvSpPr txBox="1"/>
      </xdr:nvSpPr>
      <xdr:spPr>
        <a:xfrm>
          <a:off x="2831221" y="14853153"/>
          <a:ext cx="2277517" cy="797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TESORERO MUNICIPAL</a:t>
          </a:r>
        </a:p>
        <a:p>
          <a:pPr algn="ctr"/>
          <a:endParaRPr lang="es-MX" sz="900">
            <a:latin typeface="+mn-lt"/>
            <a:cs typeface="Arial" pitchFamily="34" charset="0"/>
          </a:endParaRPr>
        </a:p>
        <a:p>
          <a:pPr algn="ctr"/>
          <a:r>
            <a:rPr lang="es-MX" sz="1100">
              <a:latin typeface="+mn-lt"/>
            </a:rPr>
            <a:t>__________________________</a:t>
          </a:r>
        </a:p>
        <a:p>
          <a:pPr algn="ctr"/>
          <a:r>
            <a:rPr lang="es-MX" sz="900">
              <a:latin typeface="+mn-lt"/>
              <a:cs typeface="Arial" pitchFamily="34" charset="0"/>
            </a:rPr>
            <a:t>LAP. JOSÉ ALFREDO PEÑA RODRÍGUEZ</a:t>
          </a:r>
        </a:p>
      </xdr:txBody>
    </xdr:sp>
    <xdr:clientData/>
  </xdr:twoCellAnchor>
  <xdr:twoCellAnchor>
    <xdr:from>
      <xdr:col>2</xdr:col>
      <xdr:colOff>536089</xdr:colOff>
      <xdr:row>32</xdr:row>
      <xdr:rowOff>28235</xdr:rowOff>
    </xdr:from>
    <xdr:to>
      <xdr:col>5</xdr:col>
      <xdr:colOff>298614</xdr:colOff>
      <xdr:row>36</xdr:row>
      <xdr:rowOff>146539</xdr:rowOff>
    </xdr:to>
    <xdr:sp macro="" textlink="">
      <xdr:nvSpPr>
        <xdr:cNvPr id="4" name="11 CuadroTexto"/>
        <xdr:cNvSpPr txBox="1"/>
      </xdr:nvSpPr>
      <xdr:spPr>
        <a:xfrm>
          <a:off x="5412889" y="14877710"/>
          <a:ext cx="2801000" cy="7660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SINDICO</a:t>
          </a:r>
          <a:r>
            <a:rPr lang="es-MX" sz="900" baseline="0">
              <a:latin typeface="+mn-lt"/>
              <a:cs typeface="Arial" pitchFamily="34" charset="0"/>
            </a:rPr>
            <a:t> MUNICIPAL</a:t>
          </a:r>
        </a:p>
        <a:p>
          <a:pPr algn="ctr"/>
          <a:endParaRPr lang="es-MX" sz="900" baseline="0">
            <a:latin typeface="+mn-lt"/>
            <a:cs typeface="Arial" pitchFamily="34" charset="0"/>
          </a:endParaRPr>
        </a:p>
        <a:p>
          <a:pPr algn="ctr"/>
          <a:r>
            <a:rPr lang="es-MX" sz="900">
              <a:latin typeface="+mn-lt"/>
              <a:cs typeface="Arial" pitchFamily="34" charset="0"/>
            </a:rPr>
            <a:t>_________________________________</a:t>
          </a:r>
        </a:p>
        <a:p>
          <a:pPr algn="ctr"/>
          <a:r>
            <a:rPr lang="es-MX" sz="900">
              <a:latin typeface="+mn-lt"/>
              <a:cs typeface="Arial" pitchFamily="34" charset="0"/>
            </a:rPr>
            <a:t>LIC. FRIDA PATRICIA ESCOBAR ORTIZ</a:t>
          </a:r>
        </a:p>
      </xdr:txBody>
    </xdr:sp>
    <xdr:clientData/>
  </xdr:twoCellAnchor>
  <xdr:twoCellAnchor>
    <xdr:from>
      <xdr:col>5</xdr:col>
      <xdr:colOff>473238</xdr:colOff>
      <xdr:row>32</xdr:row>
      <xdr:rowOff>14905</xdr:rowOff>
    </xdr:from>
    <xdr:to>
      <xdr:col>7</xdr:col>
      <xdr:colOff>751632</xdr:colOff>
      <xdr:row>36</xdr:row>
      <xdr:rowOff>117231</xdr:rowOff>
    </xdr:to>
    <xdr:sp macro="" textlink="">
      <xdr:nvSpPr>
        <xdr:cNvPr id="5" name="12 CuadroTexto"/>
        <xdr:cNvSpPr txBox="1"/>
      </xdr:nvSpPr>
      <xdr:spPr>
        <a:xfrm>
          <a:off x="8388513" y="14864380"/>
          <a:ext cx="2183394" cy="7500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1100">
              <a:latin typeface="+mn-lt"/>
            </a:rPr>
            <a:t>____________________________</a:t>
          </a:r>
        </a:p>
        <a:p>
          <a:pPr algn="ctr"/>
          <a:r>
            <a:rPr lang="es-MX" sz="900">
              <a:latin typeface="+mn-lt"/>
              <a:cs typeface="Arial" pitchFamily="34" charset="0"/>
            </a:rPr>
            <a:t>C.P. NORA ROSALVA CEPEDA GUERRERO</a:t>
          </a:r>
        </a:p>
      </xdr:txBody>
    </xdr:sp>
    <xdr:clientData/>
  </xdr:twoCellAnchor>
  <xdr:twoCellAnchor editAs="oneCell">
    <xdr:from>
      <xdr:col>0</xdr:col>
      <xdr:colOff>19050</xdr:colOff>
      <xdr:row>1</xdr:row>
      <xdr:rowOff>0</xdr:rowOff>
    </xdr:from>
    <xdr:to>
      <xdr:col>1</xdr:col>
      <xdr:colOff>1331064</xdr:colOff>
      <xdr:row>5</xdr:row>
      <xdr:rowOff>118989</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61925"/>
          <a:ext cx="1731114" cy="919089"/>
        </a:xfrm>
        <a:prstGeom prst="rect">
          <a:avLst/>
        </a:prstGeom>
      </xdr:spPr>
    </xdr:pic>
    <xdr:clientData/>
  </xdr:twoCellAnchor>
  <xdr:twoCellAnchor editAs="oneCell">
    <xdr:from>
      <xdr:col>6</xdr:col>
      <xdr:colOff>14409</xdr:colOff>
      <xdr:row>1</xdr:row>
      <xdr:rowOff>55686</xdr:rowOff>
    </xdr:from>
    <xdr:to>
      <xdr:col>7</xdr:col>
      <xdr:colOff>856971</xdr:colOff>
      <xdr:row>5</xdr:row>
      <xdr:rowOff>120024</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82184" y="217611"/>
          <a:ext cx="1756962" cy="8644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2790601</xdr:colOff>
      <xdr:row>824</xdr:row>
      <xdr:rowOff>65407</xdr:rowOff>
    </xdr:from>
    <xdr:to>
      <xdr:col>1</xdr:col>
      <xdr:colOff>4431196</xdr:colOff>
      <xdr:row>828</xdr:row>
      <xdr:rowOff>101048</xdr:rowOff>
    </xdr:to>
    <xdr:sp macro="" textlink="">
      <xdr:nvSpPr>
        <xdr:cNvPr id="14" name="13 CuadroTexto"/>
        <xdr:cNvSpPr txBox="1"/>
      </xdr:nvSpPr>
      <xdr:spPr>
        <a:xfrm>
          <a:off x="3213014" y="150634950"/>
          <a:ext cx="1640595" cy="698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endParaRPr lang="es-MX" sz="600" baseline="0">
            <a:latin typeface="Arial" pitchFamily="34" charset="0"/>
            <a:cs typeface="Arial" pitchFamily="34" charset="0"/>
          </a:endParaRP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algn="ctr"/>
          <a:r>
            <a:rPr lang="es-MX" sz="600">
              <a:solidFill>
                <a:schemeClr val="dk1"/>
              </a:solidFill>
              <a:effectLst/>
              <a:latin typeface="Arial" panose="020B0604020202020204" pitchFamily="34" charset="0"/>
              <a:ea typeface="+mn-ea"/>
              <a:cs typeface="Arial" panose="020B0604020202020204" pitchFamily="34" charset="0"/>
            </a:rPr>
            <a:t>LIC. FRIDA PATRICIA ESCOBAR ORTIZ</a:t>
          </a:r>
        </a:p>
      </xdr:txBody>
    </xdr:sp>
    <xdr:clientData/>
  </xdr:twoCellAnchor>
  <xdr:twoCellAnchor>
    <xdr:from>
      <xdr:col>1</xdr:col>
      <xdr:colOff>1180401</xdr:colOff>
      <xdr:row>824</xdr:row>
      <xdr:rowOff>62135</xdr:rowOff>
    </xdr:from>
    <xdr:to>
      <xdr:col>1</xdr:col>
      <xdr:colOff>2865782</xdr:colOff>
      <xdr:row>828</xdr:row>
      <xdr:rowOff>121340</xdr:rowOff>
    </xdr:to>
    <xdr:sp macro="" textlink="">
      <xdr:nvSpPr>
        <xdr:cNvPr id="13" name="12 CuadroTexto"/>
        <xdr:cNvSpPr txBox="1"/>
      </xdr:nvSpPr>
      <xdr:spPr>
        <a:xfrm flipH="1">
          <a:off x="1602814" y="150631678"/>
          <a:ext cx="1685381" cy="7218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solidFill>
                <a:schemeClr val="dk1"/>
              </a:solidFill>
              <a:effectLst/>
              <a:latin typeface="Arial" panose="020B0604020202020204" pitchFamily="34" charset="0"/>
              <a:ea typeface="+mn-ea"/>
              <a:cs typeface="Arial" panose="020B0604020202020204" pitchFamily="34" charset="0"/>
            </a:rPr>
            <a:t>LAP. JOSÉ ALFREDO PEÑA RODRÍGUEZ</a:t>
          </a:r>
        </a:p>
      </xdr:txBody>
    </xdr:sp>
    <xdr:clientData/>
  </xdr:twoCellAnchor>
  <xdr:twoCellAnchor>
    <xdr:from>
      <xdr:col>1</xdr:col>
      <xdr:colOff>4391026</xdr:colOff>
      <xdr:row>824</xdr:row>
      <xdr:rowOff>71229</xdr:rowOff>
    </xdr:from>
    <xdr:to>
      <xdr:col>2</xdr:col>
      <xdr:colOff>1050038</xdr:colOff>
      <xdr:row>828</xdr:row>
      <xdr:rowOff>81999</xdr:rowOff>
    </xdr:to>
    <xdr:sp macro="" textlink="">
      <xdr:nvSpPr>
        <xdr:cNvPr id="15" name="14 CuadroTexto"/>
        <xdr:cNvSpPr txBox="1"/>
      </xdr:nvSpPr>
      <xdr:spPr>
        <a:xfrm>
          <a:off x="4810126" y="147384879"/>
          <a:ext cx="1773937" cy="6584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C.P. NORA ROSALVA CEPEDA GUERRERO</a:t>
          </a:r>
        </a:p>
      </xdr:txBody>
    </xdr:sp>
    <xdr:clientData/>
  </xdr:twoCellAnchor>
  <xdr:twoCellAnchor editAs="oneCell">
    <xdr:from>
      <xdr:col>0</xdr:col>
      <xdr:colOff>24848</xdr:colOff>
      <xdr:row>0</xdr:row>
      <xdr:rowOff>162944</xdr:rowOff>
    </xdr:from>
    <xdr:to>
      <xdr:col>1</xdr:col>
      <xdr:colOff>886239</xdr:colOff>
      <xdr:row>6</xdr:row>
      <xdr:rowOff>16285</xdr:rowOff>
    </xdr:to>
    <xdr:pic>
      <xdr:nvPicPr>
        <xdr:cNvPr id="10"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848" y="162944"/>
          <a:ext cx="1283804" cy="681602"/>
        </a:xfrm>
        <a:prstGeom prst="rect">
          <a:avLst/>
        </a:prstGeom>
      </xdr:spPr>
    </xdr:pic>
    <xdr:clientData/>
  </xdr:twoCellAnchor>
  <xdr:twoCellAnchor editAs="oneCell">
    <xdr:from>
      <xdr:col>1</xdr:col>
      <xdr:colOff>4829503</xdr:colOff>
      <xdr:row>0</xdr:row>
      <xdr:rowOff>163095</xdr:rowOff>
    </xdr:from>
    <xdr:to>
      <xdr:col>2</xdr:col>
      <xdr:colOff>1013824</xdr:colOff>
      <xdr:row>5</xdr:row>
      <xdr:rowOff>58732</xdr:rowOff>
    </xdr:to>
    <xdr:pic>
      <xdr:nvPicPr>
        <xdr:cNvPr id="11" name="Imagen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51916" y="163095"/>
          <a:ext cx="1302973" cy="641072"/>
        </a:xfrm>
        <a:prstGeom prst="rect">
          <a:avLst/>
        </a:prstGeom>
      </xdr:spPr>
    </xdr:pic>
    <xdr:clientData/>
  </xdr:twoCellAnchor>
  <xdr:twoCellAnchor>
    <xdr:from>
      <xdr:col>0</xdr:col>
      <xdr:colOff>36635</xdr:colOff>
      <xdr:row>824</xdr:row>
      <xdr:rowOff>60183</xdr:rowOff>
    </xdr:from>
    <xdr:to>
      <xdr:col>1</xdr:col>
      <xdr:colOff>1283804</xdr:colOff>
      <xdr:row>828</xdr:row>
      <xdr:rowOff>152400</xdr:rowOff>
    </xdr:to>
    <xdr:sp macro="" textlink="">
      <xdr:nvSpPr>
        <xdr:cNvPr id="12" name="11 CuadroTexto"/>
        <xdr:cNvSpPr txBox="1"/>
      </xdr:nvSpPr>
      <xdr:spPr>
        <a:xfrm>
          <a:off x="36635" y="148724726"/>
          <a:ext cx="1669582" cy="7548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solidFill>
                <a:schemeClr val="dk1"/>
              </a:solidFill>
              <a:effectLst/>
              <a:latin typeface="Arial" panose="020B0604020202020204" pitchFamily="34" charset="0"/>
              <a:ea typeface="+mn-ea"/>
              <a:cs typeface="Arial" panose="020B0604020202020204" pitchFamily="34" charset="0"/>
            </a:rPr>
            <a:t>DR. XICOTÉNCATL GONZÁLEZ URESTI</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3091113</xdr:colOff>
      <xdr:row>6213</xdr:row>
      <xdr:rowOff>146549</xdr:rowOff>
    </xdr:from>
    <xdr:to>
      <xdr:col>2</xdr:col>
      <xdr:colOff>1157538</xdr:colOff>
      <xdr:row>6217</xdr:row>
      <xdr:rowOff>65326</xdr:rowOff>
    </xdr:to>
    <xdr:sp macro="" textlink="">
      <xdr:nvSpPr>
        <xdr:cNvPr id="15" name="14 CuadroTexto"/>
        <xdr:cNvSpPr txBox="1"/>
      </xdr:nvSpPr>
      <xdr:spPr>
        <a:xfrm>
          <a:off x="4474745" y="1149964444"/>
          <a:ext cx="1705977" cy="5604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70">
              <a:latin typeface="Arial" pitchFamily="34" charset="0"/>
              <a:cs typeface="Arial" pitchFamily="34" charset="0"/>
            </a:rPr>
            <a:t>CONTRALOR</a:t>
          </a:r>
          <a:r>
            <a:rPr lang="es-MX" sz="570" baseline="0">
              <a:latin typeface="Arial" pitchFamily="34" charset="0"/>
              <a:cs typeface="Arial" pitchFamily="34" charset="0"/>
            </a:rPr>
            <a:t> MUNICIPAL</a:t>
          </a:r>
        </a:p>
        <a:p>
          <a:pPr algn="ctr"/>
          <a:endParaRPr lang="es-MX" sz="570">
            <a:latin typeface="Arial" pitchFamily="34" charset="0"/>
            <a:cs typeface="Arial" pitchFamily="34" charset="0"/>
          </a:endParaRPr>
        </a:p>
        <a:p>
          <a:pPr algn="ctr"/>
          <a:endParaRPr lang="es-MX" sz="570">
            <a:latin typeface="Arial" pitchFamily="34" charset="0"/>
            <a:cs typeface="Arial" pitchFamily="34" charset="0"/>
          </a:endParaRPr>
        </a:p>
        <a:p>
          <a:pPr algn="ctr"/>
          <a:r>
            <a:rPr lang="es-MX" sz="570"/>
            <a:t>__________________________________________</a:t>
          </a:r>
        </a:p>
        <a:p>
          <a:pPr algn="ctr"/>
          <a:r>
            <a:rPr lang="es-MX" sz="570">
              <a:latin typeface="Arial" pitchFamily="34" charset="0"/>
              <a:cs typeface="Arial" pitchFamily="34" charset="0"/>
            </a:rPr>
            <a:t>C.P. NORA ROSALVA CEPEDA GUERRERO</a:t>
          </a:r>
        </a:p>
      </xdr:txBody>
    </xdr:sp>
    <xdr:clientData/>
  </xdr:twoCellAnchor>
  <xdr:twoCellAnchor>
    <xdr:from>
      <xdr:col>1</xdr:col>
      <xdr:colOff>1587047</xdr:colOff>
      <xdr:row>6213</xdr:row>
      <xdr:rowOff>150253</xdr:rowOff>
    </xdr:from>
    <xdr:to>
      <xdr:col>1</xdr:col>
      <xdr:colOff>3188371</xdr:colOff>
      <xdr:row>6218</xdr:row>
      <xdr:rowOff>5978</xdr:rowOff>
    </xdr:to>
    <xdr:sp macro="" textlink="">
      <xdr:nvSpPr>
        <xdr:cNvPr id="14" name="13 CuadroTexto"/>
        <xdr:cNvSpPr txBox="1"/>
      </xdr:nvSpPr>
      <xdr:spPr>
        <a:xfrm>
          <a:off x="2970679" y="1149968148"/>
          <a:ext cx="1601324" cy="6578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70">
              <a:latin typeface="Arial" pitchFamily="34" charset="0"/>
              <a:cs typeface="Arial" pitchFamily="34" charset="0"/>
            </a:rPr>
            <a:t>SINDICO</a:t>
          </a:r>
          <a:r>
            <a:rPr lang="es-MX" sz="570" baseline="0">
              <a:latin typeface="Arial" pitchFamily="34" charset="0"/>
              <a:cs typeface="Arial" pitchFamily="34" charset="0"/>
            </a:rPr>
            <a:t> MUNICIPAL</a:t>
          </a:r>
        </a:p>
        <a:p>
          <a:pPr algn="ctr"/>
          <a:endParaRPr lang="es-MX" sz="570" baseline="0">
            <a:latin typeface="Arial" pitchFamily="34" charset="0"/>
            <a:cs typeface="Arial" pitchFamily="34" charset="0"/>
          </a:endParaRPr>
        </a:p>
        <a:p>
          <a:pPr algn="ctr"/>
          <a:endParaRPr lang="es-MX" sz="570" baseline="0">
            <a:latin typeface="Arial" pitchFamily="34" charset="0"/>
            <a:cs typeface="Arial" pitchFamily="34" charset="0"/>
          </a:endParaRPr>
        </a:p>
        <a:p>
          <a:pPr algn="ctr"/>
          <a:r>
            <a:rPr lang="es-MX" sz="570">
              <a:latin typeface="+mn-lt"/>
              <a:cs typeface="Arial" pitchFamily="34" charset="0"/>
            </a:rPr>
            <a:t>_____________________________________</a:t>
          </a:r>
        </a:p>
        <a:p>
          <a:pPr algn="ctr"/>
          <a:r>
            <a:rPr lang="es-MX" sz="570">
              <a:latin typeface="Arial" panose="020B0604020202020204" pitchFamily="34" charset="0"/>
              <a:cs typeface="Arial" panose="020B0604020202020204" pitchFamily="34" charset="0"/>
            </a:rPr>
            <a:t>LIC. FRIDA PATRICIA ESCOBAR ORTIZ</a:t>
          </a:r>
        </a:p>
      </xdr:txBody>
    </xdr:sp>
    <xdr:clientData/>
  </xdr:twoCellAnchor>
  <xdr:twoCellAnchor>
    <xdr:from>
      <xdr:col>1</xdr:col>
      <xdr:colOff>80210</xdr:colOff>
      <xdr:row>6213</xdr:row>
      <xdr:rowOff>150751</xdr:rowOff>
    </xdr:from>
    <xdr:to>
      <xdr:col>1</xdr:col>
      <xdr:colOff>1718509</xdr:colOff>
      <xdr:row>6217</xdr:row>
      <xdr:rowOff>104775</xdr:rowOff>
    </xdr:to>
    <xdr:sp macro="" textlink="">
      <xdr:nvSpPr>
        <xdr:cNvPr id="13" name="12 CuadroTexto"/>
        <xdr:cNvSpPr txBox="1"/>
      </xdr:nvSpPr>
      <xdr:spPr>
        <a:xfrm flipH="1">
          <a:off x="1463842" y="1149968646"/>
          <a:ext cx="1638299" cy="5957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70">
              <a:latin typeface="Arial" pitchFamily="34" charset="0"/>
              <a:cs typeface="Arial" pitchFamily="34" charset="0"/>
            </a:rPr>
            <a:t>TESORERO MUNICIPAL</a:t>
          </a:r>
        </a:p>
        <a:p>
          <a:pPr algn="ctr"/>
          <a:endParaRPr lang="es-MX" sz="570">
            <a:latin typeface="Arial" pitchFamily="34" charset="0"/>
            <a:cs typeface="Arial" pitchFamily="34" charset="0"/>
          </a:endParaRPr>
        </a:p>
        <a:p>
          <a:pPr algn="ctr"/>
          <a:endParaRPr lang="es-MX" sz="570">
            <a:latin typeface="Arial" pitchFamily="34" charset="0"/>
            <a:cs typeface="Arial" pitchFamily="34" charset="0"/>
          </a:endParaRPr>
        </a:p>
        <a:p>
          <a:pPr algn="ctr"/>
          <a:r>
            <a:rPr lang="es-MX" sz="570"/>
            <a:t>_______________________________________</a:t>
          </a:r>
        </a:p>
        <a:p>
          <a:pPr algn="ctr"/>
          <a:r>
            <a:rPr lang="es-MX" sz="570">
              <a:latin typeface="Arial" pitchFamily="34" charset="0"/>
              <a:cs typeface="Arial" pitchFamily="34" charset="0"/>
            </a:rPr>
            <a:t>LAP. JOSÉ ALFREDO PEÑA RODRÍGUEZ</a:t>
          </a:r>
        </a:p>
      </xdr:txBody>
    </xdr:sp>
    <xdr:clientData/>
  </xdr:twoCellAnchor>
  <xdr:twoCellAnchor>
    <xdr:from>
      <xdr:col>0</xdr:col>
      <xdr:colOff>1</xdr:colOff>
      <xdr:row>6213</xdr:row>
      <xdr:rowOff>153642</xdr:rowOff>
    </xdr:from>
    <xdr:to>
      <xdr:col>1</xdr:col>
      <xdr:colOff>190500</xdr:colOff>
      <xdr:row>6217</xdr:row>
      <xdr:rowOff>87924</xdr:rowOff>
    </xdr:to>
    <xdr:sp macro="" textlink="">
      <xdr:nvSpPr>
        <xdr:cNvPr id="12" name="11 CuadroTexto"/>
        <xdr:cNvSpPr txBox="1"/>
      </xdr:nvSpPr>
      <xdr:spPr>
        <a:xfrm>
          <a:off x="1" y="1149971537"/>
          <a:ext cx="1574131" cy="5759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70">
              <a:latin typeface="Arial" pitchFamily="34" charset="0"/>
              <a:cs typeface="Arial" pitchFamily="34" charset="0"/>
            </a:rPr>
            <a:t>PRESIDENTE MUNICIPAL</a:t>
          </a:r>
        </a:p>
        <a:p>
          <a:pPr algn="ctr"/>
          <a:endParaRPr lang="es-MX" sz="570">
            <a:latin typeface="Arial" pitchFamily="34" charset="0"/>
            <a:cs typeface="Arial" pitchFamily="34" charset="0"/>
          </a:endParaRPr>
        </a:p>
        <a:p>
          <a:pPr algn="ctr"/>
          <a:endParaRPr lang="es-MX" sz="570">
            <a:latin typeface="Arial" pitchFamily="34" charset="0"/>
            <a:cs typeface="Arial" pitchFamily="34" charset="0"/>
          </a:endParaRPr>
        </a:p>
        <a:p>
          <a:pPr algn="ctr"/>
          <a:r>
            <a:rPr lang="es-MX" sz="570"/>
            <a:t>______________________________________</a:t>
          </a:r>
        </a:p>
        <a:p>
          <a:pPr algn="ctr"/>
          <a:r>
            <a:rPr lang="es-MX" sz="570">
              <a:latin typeface="Arial" pitchFamily="34" charset="0"/>
              <a:cs typeface="Arial" pitchFamily="34" charset="0"/>
            </a:rPr>
            <a:t>DR. XICOTÉNCATL GONZÁLEZ URESTI</a:t>
          </a:r>
        </a:p>
      </xdr:txBody>
    </xdr:sp>
    <xdr:clientData/>
  </xdr:twoCellAnchor>
  <xdr:twoCellAnchor editAs="oneCell">
    <xdr:from>
      <xdr:col>0</xdr:col>
      <xdr:colOff>28575</xdr:colOff>
      <xdr:row>0</xdr:row>
      <xdr:rowOff>47625</xdr:rowOff>
    </xdr:from>
    <xdr:to>
      <xdr:col>0</xdr:col>
      <xdr:colOff>1312379</xdr:colOff>
      <xdr:row>5</xdr:row>
      <xdr:rowOff>2152</xdr:rowOff>
    </xdr:to>
    <xdr:pic>
      <xdr:nvPicPr>
        <xdr:cNvPr id="18" name="Imagen 1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47625"/>
          <a:ext cx="1283804" cy="681602"/>
        </a:xfrm>
        <a:prstGeom prst="rect">
          <a:avLst/>
        </a:prstGeom>
      </xdr:spPr>
    </xdr:pic>
    <xdr:clientData/>
  </xdr:twoCellAnchor>
  <xdr:twoCellAnchor editAs="oneCell">
    <xdr:from>
      <xdr:col>1</xdr:col>
      <xdr:colOff>3455418</xdr:colOff>
      <xdr:row>0</xdr:row>
      <xdr:rowOff>38251</xdr:rowOff>
    </xdr:from>
    <xdr:to>
      <xdr:col>2</xdr:col>
      <xdr:colOff>1119841</xdr:colOff>
      <xdr:row>4</xdr:row>
      <xdr:rowOff>31623</xdr:rowOff>
    </xdr:to>
    <xdr:pic>
      <xdr:nvPicPr>
        <xdr:cNvPr id="19" name="Imagen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36543" y="38251"/>
          <a:ext cx="1302973" cy="641072"/>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3157743</xdr:colOff>
      <xdr:row>61</xdr:row>
      <xdr:rowOff>92767</xdr:rowOff>
    </xdr:from>
    <xdr:to>
      <xdr:col>1</xdr:col>
      <xdr:colOff>1597270</xdr:colOff>
      <xdr:row>64</xdr:row>
      <xdr:rowOff>152401</xdr:rowOff>
    </xdr:to>
    <xdr:sp macro="" textlink="">
      <xdr:nvSpPr>
        <xdr:cNvPr id="6" name="5 CuadroTexto"/>
        <xdr:cNvSpPr txBox="1"/>
      </xdr:nvSpPr>
      <xdr:spPr>
        <a:xfrm>
          <a:off x="3157743" y="9676382"/>
          <a:ext cx="1729315" cy="6311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algn="ctr"/>
          <a:r>
            <a:rPr lang="es-MX" sz="600">
              <a:solidFill>
                <a:schemeClr val="dk1"/>
              </a:solidFill>
              <a:effectLst/>
              <a:latin typeface="Arial" panose="020B0604020202020204" pitchFamily="34" charset="0"/>
              <a:ea typeface="+mn-ea"/>
              <a:cs typeface="Arial" panose="020B0604020202020204" pitchFamily="34" charset="0"/>
            </a:rPr>
            <a:t>LIC. FRIDA PATRICIA ESCOBAR ORTIZ</a:t>
          </a:r>
        </a:p>
      </xdr:txBody>
    </xdr:sp>
    <xdr:clientData/>
  </xdr:twoCellAnchor>
  <xdr:twoCellAnchor>
    <xdr:from>
      <xdr:col>0</xdr:col>
      <xdr:colOff>1</xdr:colOff>
      <xdr:row>61</xdr:row>
      <xdr:rowOff>83241</xdr:rowOff>
    </xdr:from>
    <xdr:to>
      <xdr:col>0</xdr:col>
      <xdr:colOff>1670538</xdr:colOff>
      <xdr:row>64</xdr:row>
      <xdr:rowOff>140391</xdr:rowOff>
    </xdr:to>
    <xdr:sp macro="" textlink="">
      <xdr:nvSpPr>
        <xdr:cNvPr id="4" name="3 CuadroTexto"/>
        <xdr:cNvSpPr txBox="1"/>
      </xdr:nvSpPr>
      <xdr:spPr>
        <a:xfrm>
          <a:off x="1" y="9666856"/>
          <a:ext cx="1670537" cy="628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solidFill>
                <a:schemeClr val="dk1"/>
              </a:solidFill>
              <a:effectLst/>
              <a:latin typeface="Arial" panose="020B0604020202020204" pitchFamily="34" charset="0"/>
              <a:ea typeface="+mn-ea"/>
              <a:cs typeface="Arial" panose="020B0604020202020204" pitchFamily="34" charset="0"/>
            </a:rPr>
            <a:t>DR. XICOTÉNCATL GONZÁLEZ URESTI</a:t>
          </a:r>
        </a:p>
      </xdr:txBody>
    </xdr:sp>
    <xdr:clientData/>
  </xdr:twoCellAnchor>
  <xdr:twoCellAnchor>
    <xdr:from>
      <xdr:col>0</xdr:col>
      <xdr:colOff>1581882</xdr:colOff>
      <xdr:row>61</xdr:row>
      <xdr:rowOff>83241</xdr:rowOff>
    </xdr:from>
    <xdr:to>
      <xdr:col>1</xdr:col>
      <xdr:colOff>14654</xdr:colOff>
      <xdr:row>64</xdr:row>
      <xdr:rowOff>159441</xdr:rowOff>
    </xdr:to>
    <xdr:sp macro="" textlink="">
      <xdr:nvSpPr>
        <xdr:cNvPr id="5" name="4 CuadroTexto"/>
        <xdr:cNvSpPr txBox="1"/>
      </xdr:nvSpPr>
      <xdr:spPr>
        <a:xfrm>
          <a:off x="1581882" y="9666856"/>
          <a:ext cx="1722560" cy="647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solidFill>
                <a:schemeClr val="dk1"/>
              </a:solidFill>
              <a:effectLst/>
              <a:latin typeface="Arial" panose="020B0604020202020204" pitchFamily="34" charset="0"/>
              <a:ea typeface="+mn-ea"/>
              <a:cs typeface="Arial" panose="020B0604020202020204" pitchFamily="34" charset="0"/>
            </a:rPr>
            <a:t>LAP. JOSÉ ALFREDO PEÑA RODRÍGUEZ</a:t>
          </a:r>
        </a:p>
      </xdr:txBody>
    </xdr:sp>
    <xdr:clientData/>
  </xdr:twoCellAnchor>
  <xdr:twoCellAnchor>
    <xdr:from>
      <xdr:col>1</xdr:col>
      <xdr:colOff>1524001</xdr:colOff>
      <xdr:row>61</xdr:row>
      <xdr:rowOff>92766</xdr:rowOff>
    </xdr:from>
    <xdr:to>
      <xdr:col>3</xdr:col>
      <xdr:colOff>2</xdr:colOff>
      <xdr:row>64</xdr:row>
      <xdr:rowOff>133350</xdr:rowOff>
    </xdr:to>
    <xdr:sp macro="" textlink="">
      <xdr:nvSpPr>
        <xdr:cNvPr id="7" name="6 CuadroTexto"/>
        <xdr:cNvSpPr txBox="1"/>
      </xdr:nvSpPr>
      <xdr:spPr>
        <a:xfrm>
          <a:off x="4813789" y="9676381"/>
          <a:ext cx="1765790" cy="6120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C.P. NORA ROSALVA CEPEDA GUERRERO</a:t>
          </a:r>
        </a:p>
      </xdr:txBody>
    </xdr:sp>
    <xdr:clientData/>
  </xdr:twoCellAnchor>
  <xdr:twoCellAnchor editAs="oneCell">
    <xdr:from>
      <xdr:col>0</xdr:col>
      <xdr:colOff>24318</xdr:colOff>
      <xdr:row>0</xdr:row>
      <xdr:rowOff>20265</xdr:rowOff>
    </xdr:from>
    <xdr:to>
      <xdr:col>0</xdr:col>
      <xdr:colOff>1272701</xdr:colOff>
      <xdr:row>4</xdr:row>
      <xdr:rowOff>52998</xdr:rowOff>
    </xdr:to>
    <xdr:pic>
      <xdr:nvPicPr>
        <xdr:cNvPr id="10"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18" y="20265"/>
          <a:ext cx="1248383" cy="660978"/>
        </a:xfrm>
        <a:prstGeom prst="rect">
          <a:avLst/>
        </a:prstGeom>
      </xdr:spPr>
    </xdr:pic>
    <xdr:clientData/>
  </xdr:twoCellAnchor>
  <xdr:twoCellAnchor editAs="oneCell">
    <xdr:from>
      <xdr:col>2</xdr:col>
      <xdr:colOff>174287</xdr:colOff>
      <xdr:row>0</xdr:row>
      <xdr:rowOff>36628</xdr:rowOff>
    </xdr:from>
    <xdr:to>
      <xdr:col>2</xdr:col>
      <xdr:colOff>1460589</xdr:colOff>
      <xdr:row>4</xdr:row>
      <xdr:rowOff>39407</xdr:rowOff>
    </xdr:to>
    <xdr:pic>
      <xdr:nvPicPr>
        <xdr:cNvPr id="11" name="Imagen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52936" y="36628"/>
          <a:ext cx="1286302" cy="6310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28575</xdr:rowOff>
    </xdr:from>
    <xdr:to>
      <xdr:col>1</xdr:col>
      <xdr:colOff>1038225</xdr:colOff>
      <xdr:row>5</xdr:row>
      <xdr:rowOff>76309</xdr:rowOff>
    </xdr:to>
    <xdr:pic>
      <xdr:nvPicPr>
        <xdr:cNvPr id="14" name="Imagen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8575"/>
          <a:ext cx="1762125" cy="933559"/>
        </a:xfrm>
        <a:prstGeom prst="rect">
          <a:avLst/>
        </a:prstGeom>
      </xdr:spPr>
    </xdr:pic>
    <xdr:clientData/>
  </xdr:twoCellAnchor>
  <xdr:twoCellAnchor editAs="oneCell">
    <xdr:from>
      <xdr:col>5</xdr:col>
      <xdr:colOff>1102468</xdr:colOff>
      <xdr:row>0</xdr:row>
      <xdr:rowOff>16363</xdr:rowOff>
    </xdr:from>
    <xdr:to>
      <xdr:col>7</xdr:col>
      <xdr:colOff>736892</xdr:colOff>
      <xdr:row>5</xdr:row>
      <xdr:rowOff>21817</xdr:rowOff>
    </xdr:to>
    <xdr:pic>
      <xdr:nvPicPr>
        <xdr:cNvPr id="15" name="Imagen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50818" y="16363"/>
          <a:ext cx="1815649" cy="891279"/>
        </a:xfrm>
        <a:prstGeom prst="rect">
          <a:avLst/>
        </a:prstGeom>
      </xdr:spPr>
    </xdr:pic>
    <xdr:clientData/>
  </xdr:twoCellAnchor>
  <xdr:twoCellAnchor>
    <xdr:from>
      <xdr:col>0</xdr:col>
      <xdr:colOff>85725</xdr:colOff>
      <xdr:row>1026</xdr:row>
      <xdr:rowOff>0</xdr:rowOff>
    </xdr:from>
    <xdr:to>
      <xdr:col>2</xdr:col>
      <xdr:colOff>104775</xdr:colOff>
      <xdr:row>1030</xdr:row>
      <xdr:rowOff>139212</xdr:rowOff>
    </xdr:to>
    <xdr:sp macro="" textlink="">
      <xdr:nvSpPr>
        <xdr:cNvPr id="20" name="9 CuadroTexto"/>
        <xdr:cNvSpPr txBox="1"/>
      </xdr:nvSpPr>
      <xdr:spPr>
        <a:xfrm>
          <a:off x="85725" y="195929250"/>
          <a:ext cx="2057400" cy="786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PRESIDENTE MUNICIPAL</a:t>
          </a:r>
        </a:p>
        <a:p>
          <a:pPr algn="ctr"/>
          <a:endParaRPr lang="es-MX" sz="900">
            <a:latin typeface="+mn-lt"/>
            <a:cs typeface="Arial" pitchFamily="34" charset="0"/>
          </a:endParaRPr>
        </a:p>
        <a:p>
          <a:pPr algn="ctr"/>
          <a:r>
            <a:rPr lang="es-MX" sz="1100">
              <a:latin typeface="+mn-lt"/>
            </a:rPr>
            <a:t>__________________________</a:t>
          </a:r>
        </a:p>
        <a:p>
          <a:pPr algn="ctr"/>
          <a:r>
            <a:rPr lang="es-MX" sz="900">
              <a:latin typeface="+mn-lt"/>
              <a:cs typeface="Arial" pitchFamily="34" charset="0"/>
            </a:rPr>
            <a:t>DR. XICOTÉNCATL GONZÁLEZ URESTI</a:t>
          </a:r>
        </a:p>
      </xdr:txBody>
    </xdr:sp>
    <xdr:clientData/>
  </xdr:twoCellAnchor>
  <xdr:twoCellAnchor>
    <xdr:from>
      <xdr:col>2</xdr:col>
      <xdr:colOff>373771</xdr:colOff>
      <xdr:row>1026</xdr:row>
      <xdr:rowOff>3678</xdr:rowOff>
    </xdr:from>
    <xdr:to>
      <xdr:col>4</xdr:col>
      <xdr:colOff>1219200</xdr:colOff>
      <xdr:row>1030</xdr:row>
      <xdr:rowOff>153867</xdr:rowOff>
    </xdr:to>
    <xdr:sp macro="" textlink="">
      <xdr:nvSpPr>
        <xdr:cNvPr id="21" name="10 CuadroTexto"/>
        <xdr:cNvSpPr txBox="1"/>
      </xdr:nvSpPr>
      <xdr:spPr>
        <a:xfrm>
          <a:off x="2412121" y="195932928"/>
          <a:ext cx="2036054" cy="797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TESORERO MUNICIPAL</a:t>
          </a:r>
        </a:p>
        <a:p>
          <a:pPr algn="ctr"/>
          <a:endParaRPr lang="es-MX" sz="900">
            <a:latin typeface="+mn-lt"/>
            <a:cs typeface="Arial" pitchFamily="34" charset="0"/>
          </a:endParaRPr>
        </a:p>
        <a:p>
          <a:pPr algn="ctr"/>
          <a:r>
            <a:rPr lang="es-MX" sz="1100">
              <a:latin typeface="+mn-lt"/>
            </a:rPr>
            <a:t>__________________________</a:t>
          </a:r>
        </a:p>
        <a:p>
          <a:pPr algn="ctr"/>
          <a:r>
            <a:rPr lang="es-MX" sz="900">
              <a:latin typeface="+mn-lt"/>
              <a:cs typeface="Arial" pitchFamily="34" charset="0"/>
            </a:rPr>
            <a:t>LAP. JOSÉ ALFREDO PEÑA RODRÍGUEZ</a:t>
          </a:r>
        </a:p>
      </xdr:txBody>
    </xdr:sp>
    <xdr:clientData/>
  </xdr:twoCellAnchor>
  <xdr:twoCellAnchor>
    <xdr:from>
      <xdr:col>4</xdr:col>
      <xdr:colOff>1266825</xdr:colOff>
      <xdr:row>1026</xdr:row>
      <xdr:rowOff>28235</xdr:rowOff>
    </xdr:from>
    <xdr:to>
      <xdr:col>5</xdr:col>
      <xdr:colOff>727239</xdr:colOff>
      <xdr:row>1030</xdr:row>
      <xdr:rowOff>146539</xdr:rowOff>
    </xdr:to>
    <xdr:sp macro="" textlink="">
      <xdr:nvSpPr>
        <xdr:cNvPr id="22" name="11 CuadroTexto"/>
        <xdr:cNvSpPr txBox="1"/>
      </xdr:nvSpPr>
      <xdr:spPr>
        <a:xfrm>
          <a:off x="4495800" y="195957485"/>
          <a:ext cx="2079789" cy="7660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SINDICO</a:t>
          </a:r>
          <a:r>
            <a:rPr lang="es-MX" sz="900" baseline="0">
              <a:latin typeface="+mn-lt"/>
              <a:cs typeface="Arial" pitchFamily="34" charset="0"/>
            </a:rPr>
            <a:t> MUNICIPAL</a:t>
          </a:r>
        </a:p>
        <a:p>
          <a:pPr algn="ctr"/>
          <a:endParaRPr lang="es-MX" sz="900" baseline="0">
            <a:latin typeface="+mn-lt"/>
            <a:cs typeface="Arial" pitchFamily="34" charset="0"/>
          </a:endParaRPr>
        </a:p>
        <a:p>
          <a:pPr algn="ctr"/>
          <a:r>
            <a:rPr lang="es-MX" sz="900">
              <a:latin typeface="+mn-lt"/>
              <a:cs typeface="Arial" pitchFamily="34" charset="0"/>
            </a:rPr>
            <a:t>_________________________________</a:t>
          </a:r>
        </a:p>
        <a:p>
          <a:pPr algn="ctr"/>
          <a:r>
            <a:rPr lang="es-MX" sz="900">
              <a:latin typeface="+mn-lt"/>
              <a:cs typeface="Arial" pitchFamily="34" charset="0"/>
            </a:rPr>
            <a:t>LIC. FRIDA PATRICIA ESCOBAR ORTIZ</a:t>
          </a:r>
        </a:p>
      </xdr:txBody>
    </xdr:sp>
    <xdr:clientData/>
  </xdr:twoCellAnchor>
  <xdr:twoCellAnchor>
    <xdr:from>
      <xdr:col>5</xdr:col>
      <xdr:colOff>790575</xdr:colOff>
      <xdr:row>1026</xdr:row>
      <xdr:rowOff>14905</xdr:rowOff>
    </xdr:from>
    <xdr:to>
      <xdr:col>7</xdr:col>
      <xdr:colOff>751632</xdr:colOff>
      <xdr:row>1030</xdr:row>
      <xdr:rowOff>104775</xdr:rowOff>
    </xdr:to>
    <xdr:sp macro="" textlink="">
      <xdr:nvSpPr>
        <xdr:cNvPr id="23" name="12 CuadroTexto"/>
        <xdr:cNvSpPr txBox="1"/>
      </xdr:nvSpPr>
      <xdr:spPr>
        <a:xfrm>
          <a:off x="6638925" y="195944155"/>
          <a:ext cx="2142282" cy="7375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1100">
              <a:latin typeface="+mn-lt"/>
            </a:rPr>
            <a:t>____________________________</a:t>
          </a:r>
        </a:p>
        <a:p>
          <a:pPr algn="ctr"/>
          <a:r>
            <a:rPr lang="es-MX" sz="900">
              <a:latin typeface="+mn-lt"/>
              <a:cs typeface="Arial" pitchFamily="34" charset="0"/>
            </a:rPr>
            <a:t>C.P. NORA ROSALVA CEPEDA GUERRERO</a:t>
          </a: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140804</xdr:colOff>
      <xdr:row>0</xdr:row>
      <xdr:rowOff>0</xdr:rowOff>
    </xdr:from>
    <xdr:ext cx="1801468" cy="971351"/>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0804" y="0"/>
          <a:ext cx="1801468" cy="971351"/>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1</xdr:col>
      <xdr:colOff>1649023</xdr:colOff>
      <xdr:row>17</xdr:row>
      <xdr:rowOff>97602</xdr:rowOff>
    </xdr:from>
    <xdr:ext cx="9182627" cy="1121266"/>
    <xdr:sp macro="" textlink="">
      <xdr:nvSpPr>
        <xdr:cNvPr id="2" name="7 Rectángulo"/>
        <xdr:cNvSpPr/>
      </xdr:nvSpPr>
      <xdr:spPr>
        <a:xfrm rot="19708366">
          <a:off x="1525198" y="3336102"/>
          <a:ext cx="9182627" cy="1121266"/>
        </a:xfrm>
        <a:prstGeom prst="rect">
          <a:avLst/>
        </a:prstGeom>
        <a:noFill/>
      </xdr:spPr>
      <xdr:txBody>
        <a:bodyPr wrap="square" lIns="91440" tIns="45720" rIns="91440" bIns="45720">
          <a:noAutofit/>
        </a:bodyPr>
        <a:lstStyle/>
        <a:p>
          <a:pPr algn="ctr"/>
          <a:r>
            <a:rPr lang="es-ES" sz="7200" b="1" cap="none" spc="0">
              <a:ln w="3175"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SIN MOVIMIENTOS</a:t>
          </a:r>
        </a:p>
      </xdr:txBody>
    </xdr:sp>
    <xdr:clientData/>
  </xdr:oneCellAnchor>
  <xdr:oneCellAnchor>
    <xdr:from>
      <xdr:col>0</xdr:col>
      <xdr:colOff>133350</xdr:colOff>
      <xdr:row>0</xdr:row>
      <xdr:rowOff>38100</xdr:rowOff>
    </xdr:from>
    <xdr:ext cx="1805609" cy="965139"/>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38100"/>
          <a:ext cx="1805609" cy="965139"/>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2270</xdr:row>
      <xdr:rowOff>59530</xdr:rowOff>
    </xdr:from>
    <xdr:to>
      <xdr:col>2</xdr:col>
      <xdr:colOff>1131094</xdr:colOff>
      <xdr:row>2273</xdr:row>
      <xdr:rowOff>95250</xdr:rowOff>
    </xdr:to>
    <xdr:sp macro="" textlink="">
      <xdr:nvSpPr>
        <xdr:cNvPr id="2" name="55 CuadroTexto"/>
        <xdr:cNvSpPr txBox="1"/>
      </xdr:nvSpPr>
      <xdr:spPr>
        <a:xfrm>
          <a:off x="0" y="4324945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2</xdr:col>
      <xdr:colOff>1138241</xdr:colOff>
      <xdr:row>2270</xdr:row>
      <xdr:rowOff>47623</xdr:rowOff>
    </xdr:from>
    <xdr:to>
      <xdr:col>2</xdr:col>
      <xdr:colOff>2697961</xdr:colOff>
      <xdr:row>2274</xdr:row>
      <xdr:rowOff>47624</xdr:rowOff>
    </xdr:to>
    <xdr:sp macro="" textlink="">
      <xdr:nvSpPr>
        <xdr:cNvPr id="3" name="56 CuadroTexto"/>
        <xdr:cNvSpPr txBox="1"/>
      </xdr:nvSpPr>
      <xdr:spPr>
        <a:xfrm>
          <a:off x="2281241" y="432482623"/>
          <a:ext cx="7145" cy="7620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2576513</xdr:colOff>
      <xdr:row>2270</xdr:row>
      <xdr:rowOff>45248</xdr:rowOff>
    </xdr:from>
    <xdr:to>
      <xdr:col>3</xdr:col>
      <xdr:colOff>1016794</xdr:colOff>
      <xdr:row>2274</xdr:row>
      <xdr:rowOff>40717</xdr:rowOff>
    </xdr:to>
    <xdr:sp macro="" textlink="">
      <xdr:nvSpPr>
        <xdr:cNvPr id="4" name="57 CuadroTexto"/>
        <xdr:cNvSpPr txBox="1"/>
      </xdr:nvSpPr>
      <xdr:spPr>
        <a:xfrm>
          <a:off x="2281238" y="43248024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897731</xdr:colOff>
      <xdr:row>2270</xdr:row>
      <xdr:rowOff>26193</xdr:rowOff>
    </xdr:from>
    <xdr:to>
      <xdr:col>5</xdr:col>
      <xdr:colOff>1314450</xdr:colOff>
      <xdr:row>2274</xdr:row>
      <xdr:rowOff>39856</xdr:rowOff>
    </xdr:to>
    <xdr:sp macro="" textlink="">
      <xdr:nvSpPr>
        <xdr:cNvPr id="5" name="58 CuadroTexto"/>
        <xdr:cNvSpPr txBox="1"/>
      </xdr:nvSpPr>
      <xdr:spPr>
        <a:xfrm>
          <a:off x="3050381" y="432461193"/>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0</xdr:col>
      <xdr:colOff>0</xdr:colOff>
      <xdr:row>2335</xdr:row>
      <xdr:rowOff>59530</xdr:rowOff>
    </xdr:from>
    <xdr:to>
      <xdr:col>2</xdr:col>
      <xdr:colOff>1131094</xdr:colOff>
      <xdr:row>2338</xdr:row>
      <xdr:rowOff>95250</xdr:rowOff>
    </xdr:to>
    <xdr:sp macro="" textlink="">
      <xdr:nvSpPr>
        <xdr:cNvPr id="6" name="63 CuadroTexto"/>
        <xdr:cNvSpPr txBox="1"/>
      </xdr:nvSpPr>
      <xdr:spPr>
        <a:xfrm>
          <a:off x="0" y="4448770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2</xdr:col>
      <xdr:colOff>1100141</xdr:colOff>
      <xdr:row>2335</xdr:row>
      <xdr:rowOff>47624</xdr:rowOff>
    </xdr:from>
    <xdr:to>
      <xdr:col>2</xdr:col>
      <xdr:colOff>2659861</xdr:colOff>
      <xdr:row>2339</xdr:row>
      <xdr:rowOff>19050</xdr:rowOff>
    </xdr:to>
    <xdr:sp macro="" textlink="">
      <xdr:nvSpPr>
        <xdr:cNvPr id="7" name="64 CuadroTexto"/>
        <xdr:cNvSpPr txBox="1"/>
      </xdr:nvSpPr>
      <xdr:spPr>
        <a:xfrm>
          <a:off x="1633541" y="373284749"/>
          <a:ext cx="1559720" cy="6191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2614613</xdr:colOff>
      <xdr:row>2335</xdr:row>
      <xdr:rowOff>47628</xdr:rowOff>
    </xdr:from>
    <xdr:to>
      <xdr:col>3</xdr:col>
      <xdr:colOff>1054894</xdr:colOff>
      <xdr:row>2339</xdr:row>
      <xdr:rowOff>0</xdr:rowOff>
    </xdr:to>
    <xdr:sp macro="" textlink="">
      <xdr:nvSpPr>
        <xdr:cNvPr id="8" name="65 CuadroTexto"/>
        <xdr:cNvSpPr txBox="1"/>
      </xdr:nvSpPr>
      <xdr:spPr>
        <a:xfrm>
          <a:off x="2281238" y="444865128"/>
          <a:ext cx="764381" cy="7143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897731</xdr:colOff>
      <xdr:row>2335</xdr:row>
      <xdr:rowOff>35718</xdr:rowOff>
    </xdr:from>
    <xdr:to>
      <xdr:col>5</xdr:col>
      <xdr:colOff>1314450</xdr:colOff>
      <xdr:row>2339</xdr:row>
      <xdr:rowOff>0</xdr:rowOff>
    </xdr:to>
    <xdr:sp macro="" textlink="">
      <xdr:nvSpPr>
        <xdr:cNvPr id="9" name="66 CuadroTexto"/>
        <xdr:cNvSpPr txBox="1"/>
      </xdr:nvSpPr>
      <xdr:spPr>
        <a:xfrm>
          <a:off x="3050381" y="444853218"/>
          <a:ext cx="1521619" cy="7262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0</xdr:col>
      <xdr:colOff>0</xdr:colOff>
      <xdr:row>384</xdr:row>
      <xdr:rowOff>59530</xdr:rowOff>
    </xdr:from>
    <xdr:to>
      <xdr:col>2</xdr:col>
      <xdr:colOff>1131094</xdr:colOff>
      <xdr:row>387</xdr:row>
      <xdr:rowOff>95250</xdr:rowOff>
    </xdr:to>
    <xdr:sp macro="" textlink="">
      <xdr:nvSpPr>
        <xdr:cNvPr id="10" name="279 CuadroTexto"/>
        <xdr:cNvSpPr txBox="1"/>
      </xdr:nvSpPr>
      <xdr:spPr>
        <a:xfrm>
          <a:off x="0" y="732115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cs typeface="Arial" pitchFamily="34" charset="0"/>
            </a:rPr>
            <a:t>DR. XICOTÉNCATL GONZÁLEZ URESTI</a:t>
          </a:r>
        </a:p>
      </xdr:txBody>
    </xdr:sp>
    <xdr:clientData/>
  </xdr:twoCellAnchor>
  <xdr:twoCellAnchor>
    <xdr:from>
      <xdr:col>2</xdr:col>
      <xdr:colOff>1109666</xdr:colOff>
      <xdr:row>384</xdr:row>
      <xdr:rowOff>47623</xdr:rowOff>
    </xdr:from>
    <xdr:to>
      <xdr:col>2</xdr:col>
      <xdr:colOff>2657476</xdr:colOff>
      <xdr:row>387</xdr:row>
      <xdr:rowOff>123825</xdr:rowOff>
    </xdr:to>
    <xdr:sp macro="" textlink="">
      <xdr:nvSpPr>
        <xdr:cNvPr id="11" name="280 CuadroTexto"/>
        <xdr:cNvSpPr txBox="1"/>
      </xdr:nvSpPr>
      <xdr:spPr>
        <a:xfrm>
          <a:off x="2281241" y="73199623"/>
          <a:ext cx="4760" cy="64770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2676525</xdr:colOff>
      <xdr:row>384</xdr:row>
      <xdr:rowOff>47629</xdr:rowOff>
    </xdr:from>
    <xdr:to>
      <xdr:col>3</xdr:col>
      <xdr:colOff>952500</xdr:colOff>
      <xdr:row>388</xdr:row>
      <xdr:rowOff>19051</xdr:rowOff>
    </xdr:to>
    <xdr:sp macro="" textlink="">
      <xdr:nvSpPr>
        <xdr:cNvPr id="12" name="281 CuadroTexto"/>
        <xdr:cNvSpPr txBox="1"/>
      </xdr:nvSpPr>
      <xdr:spPr>
        <a:xfrm>
          <a:off x="2286000" y="73199629"/>
          <a:ext cx="762000" cy="7334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384</xdr:row>
      <xdr:rowOff>35718</xdr:rowOff>
    </xdr:from>
    <xdr:to>
      <xdr:col>5</xdr:col>
      <xdr:colOff>1304925</xdr:colOff>
      <xdr:row>388</xdr:row>
      <xdr:rowOff>49381</xdr:rowOff>
    </xdr:to>
    <xdr:sp macro="" textlink="">
      <xdr:nvSpPr>
        <xdr:cNvPr id="13" name="282 CuadroTexto"/>
        <xdr:cNvSpPr txBox="1"/>
      </xdr:nvSpPr>
      <xdr:spPr>
        <a:xfrm>
          <a:off x="3050381" y="731877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algn="ctr"/>
          <a:r>
            <a:rPr lang="es-MX" sz="600">
              <a:latin typeface="Arial" pitchFamily="34" charset="0"/>
              <a:cs typeface="Arial" pitchFamily="34" charset="0"/>
            </a:rPr>
            <a:t>C.P. NORA ROSALVA CEPEDA GUERRERO</a:t>
          </a:r>
        </a:p>
      </xdr:txBody>
    </xdr:sp>
    <xdr:clientData/>
  </xdr:twoCellAnchor>
  <xdr:twoCellAnchor>
    <xdr:from>
      <xdr:col>0</xdr:col>
      <xdr:colOff>0</xdr:colOff>
      <xdr:row>1685</xdr:row>
      <xdr:rowOff>59530</xdr:rowOff>
    </xdr:from>
    <xdr:to>
      <xdr:col>2</xdr:col>
      <xdr:colOff>1131094</xdr:colOff>
      <xdr:row>1688</xdr:row>
      <xdr:rowOff>95250</xdr:rowOff>
    </xdr:to>
    <xdr:sp macro="" textlink="">
      <xdr:nvSpPr>
        <xdr:cNvPr id="14" name="279 CuadroTexto"/>
        <xdr:cNvSpPr txBox="1"/>
      </xdr:nvSpPr>
      <xdr:spPr>
        <a:xfrm>
          <a:off x="0" y="3210520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XICOTENCATL GONZALEZ URESTI</a:t>
          </a:r>
        </a:p>
      </xdr:txBody>
    </xdr:sp>
    <xdr:clientData/>
  </xdr:twoCellAnchor>
  <xdr:twoCellAnchor>
    <xdr:from>
      <xdr:col>2</xdr:col>
      <xdr:colOff>1109666</xdr:colOff>
      <xdr:row>1685</xdr:row>
      <xdr:rowOff>47623</xdr:rowOff>
    </xdr:from>
    <xdr:to>
      <xdr:col>2</xdr:col>
      <xdr:colOff>2669386</xdr:colOff>
      <xdr:row>1688</xdr:row>
      <xdr:rowOff>152399</xdr:rowOff>
    </xdr:to>
    <xdr:sp macro="" textlink="">
      <xdr:nvSpPr>
        <xdr:cNvPr id="15" name="280 CuadroTexto"/>
        <xdr:cNvSpPr txBox="1"/>
      </xdr:nvSpPr>
      <xdr:spPr>
        <a:xfrm>
          <a:off x="2281241" y="321040123"/>
          <a:ext cx="7145" cy="6762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JOSE ALFREDO PEÑA RODRIGUEZ</a:t>
          </a:r>
        </a:p>
      </xdr:txBody>
    </xdr:sp>
    <xdr:clientData/>
  </xdr:twoCellAnchor>
  <xdr:twoCellAnchor>
    <xdr:from>
      <xdr:col>2</xdr:col>
      <xdr:colOff>2633663</xdr:colOff>
      <xdr:row>1685</xdr:row>
      <xdr:rowOff>47628</xdr:rowOff>
    </xdr:from>
    <xdr:to>
      <xdr:col>3</xdr:col>
      <xdr:colOff>1073944</xdr:colOff>
      <xdr:row>1689</xdr:row>
      <xdr:rowOff>43097</xdr:rowOff>
    </xdr:to>
    <xdr:sp macro="" textlink="">
      <xdr:nvSpPr>
        <xdr:cNvPr id="16" name="281 CuadroTexto"/>
        <xdr:cNvSpPr txBox="1"/>
      </xdr:nvSpPr>
      <xdr:spPr>
        <a:xfrm>
          <a:off x="2281238" y="3210401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1685</xdr:row>
      <xdr:rowOff>35718</xdr:rowOff>
    </xdr:from>
    <xdr:to>
      <xdr:col>5</xdr:col>
      <xdr:colOff>1304925</xdr:colOff>
      <xdr:row>1689</xdr:row>
      <xdr:rowOff>49381</xdr:rowOff>
    </xdr:to>
    <xdr:sp macro="" textlink="">
      <xdr:nvSpPr>
        <xdr:cNvPr id="17" name="282 CuadroTexto"/>
        <xdr:cNvSpPr txBox="1"/>
      </xdr:nvSpPr>
      <xdr:spPr>
        <a:xfrm>
          <a:off x="3050381" y="3210282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0</xdr:col>
      <xdr:colOff>0</xdr:colOff>
      <xdr:row>1749</xdr:row>
      <xdr:rowOff>59530</xdr:rowOff>
    </xdr:from>
    <xdr:to>
      <xdr:col>2</xdr:col>
      <xdr:colOff>1131094</xdr:colOff>
      <xdr:row>1752</xdr:row>
      <xdr:rowOff>95250</xdr:rowOff>
    </xdr:to>
    <xdr:sp macro="" textlink="">
      <xdr:nvSpPr>
        <xdr:cNvPr id="18" name="279 CuadroTexto"/>
        <xdr:cNvSpPr txBox="1"/>
      </xdr:nvSpPr>
      <xdr:spPr>
        <a:xfrm>
          <a:off x="0" y="3332440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cs typeface="Arial" pitchFamily="34" charset="0"/>
            </a:rPr>
            <a:t>C.P. OSCAR DE JESUS ALMARAZ SMER</a:t>
          </a:r>
        </a:p>
      </xdr:txBody>
    </xdr:sp>
    <xdr:clientData/>
  </xdr:twoCellAnchor>
  <xdr:twoCellAnchor>
    <xdr:from>
      <xdr:col>2</xdr:col>
      <xdr:colOff>1109666</xdr:colOff>
      <xdr:row>1749</xdr:row>
      <xdr:rowOff>47624</xdr:rowOff>
    </xdr:from>
    <xdr:to>
      <xdr:col>2</xdr:col>
      <xdr:colOff>2669386</xdr:colOff>
      <xdr:row>1752</xdr:row>
      <xdr:rowOff>83343</xdr:rowOff>
    </xdr:to>
    <xdr:sp macro="" textlink="">
      <xdr:nvSpPr>
        <xdr:cNvPr id="19" name="280 CuadroTexto"/>
        <xdr:cNvSpPr txBox="1"/>
      </xdr:nvSpPr>
      <xdr:spPr>
        <a:xfrm>
          <a:off x="2281241" y="333232124"/>
          <a:ext cx="7145" cy="6072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cs typeface="Arial" pitchFamily="34" charset="0"/>
            </a:rPr>
            <a:t>C.P. GERARDO ROBLES RIESTRA</a:t>
          </a:r>
        </a:p>
      </xdr:txBody>
    </xdr:sp>
    <xdr:clientData/>
  </xdr:twoCellAnchor>
  <xdr:twoCellAnchor>
    <xdr:from>
      <xdr:col>2</xdr:col>
      <xdr:colOff>2633663</xdr:colOff>
      <xdr:row>1749</xdr:row>
      <xdr:rowOff>47628</xdr:rowOff>
    </xdr:from>
    <xdr:to>
      <xdr:col>3</xdr:col>
      <xdr:colOff>1073944</xdr:colOff>
      <xdr:row>1753</xdr:row>
      <xdr:rowOff>43097</xdr:rowOff>
    </xdr:to>
    <xdr:sp macro="" textlink="">
      <xdr:nvSpPr>
        <xdr:cNvPr id="20" name="281 CuadroTexto"/>
        <xdr:cNvSpPr txBox="1"/>
      </xdr:nvSpPr>
      <xdr:spPr>
        <a:xfrm>
          <a:off x="2281238" y="3332321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MARIA AURORA PEÑA ZORRILLA</a:t>
          </a:r>
        </a:p>
      </xdr:txBody>
    </xdr:sp>
    <xdr:clientData/>
  </xdr:twoCellAnchor>
  <xdr:twoCellAnchor>
    <xdr:from>
      <xdr:col>3</xdr:col>
      <xdr:colOff>888206</xdr:colOff>
      <xdr:row>1749</xdr:row>
      <xdr:rowOff>35718</xdr:rowOff>
    </xdr:from>
    <xdr:to>
      <xdr:col>5</xdr:col>
      <xdr:colOff>1304925</xdr:colOff>
      <xdr:row>1753</xdr:row>
      <xdr:rowOff>49381</xdr:rowOff>
    </xdr:to>
    <xdr:sp macro="" textlink="">
      <xdr:nvSpPr>
        <xdr:cNvPr id="21" name="282 CuadroTexto"/>
        <xdr:cNvSpPr txBox="1"/>
      </xdr:nvSpPr>
      <xdr:spPr>
        <a:xfrm>
          <a:off x="3050381" y="3332202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a:t>
          </a:r>
        </a:p>
        <a:p>
          <a:pPr algn="ctr"/>
          <a:r>
            <a:rPr lang="es-MX" sz="600">
              <a:latin typeface="Arial" pitchFamily="34" charset="0"/>
              <a:cs typeface="Arial" pitchFamily="34" charset="0"/>
            </a:rPr>
            <a:t>LIC. ANDROMEDA MONTIEL LERMA</a:t>
          </a:r>
        </a:p>
      </xdr:txBody>
    </xdr:sp>
    <xdr:clientData/>
  </xdr:twoCellAnchor>
  <xdr:twoCellAnchor>
    <xdr:from>
      <xdr:col>0</xdr:col>
      <xdr:colOff>0</xdr:colOff>
      <xdr:row>2009</xdr:row>
      <xdr:rowOff>59530</xdr:rowOff>
    </xdr:from>
    <xdr:to>
      <xdr:col>2</xdr:col>
      <xdr:colOff>1131094</xdr:colOff>
      <xdr:row>2012</xdr:row>
      <xdr:rowOff>95250</xdr:rowOff>
    </xdr:to>
    <xdr:sp macro="" textlink="">
      <xdr:nvSpPr>
        <xdr:cNvPr id="22" name="279 CuadroTexto"/>
        <xdr:cNvSpPr txBox="1"/>
      </xdr:nvSpPr>
      <xdr:spPr>
        <a:xfrm>
          <a:off x="0" y="3827740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XICOTENCATL GONZALEZ URESTI</a:t>
          </a:r>
        </a:p>
      </xdr:txBody>
    </xdr:sp>
    <xdr:clientData/>
  </xdr:twoCellAnchor>
  <xdr:twoCellAnchor>
    <xdr:from>
      <xdr:col>2</xdr:col>
      <xdr:colOff>1109666</xdr:colOff>
      <xdr:row>2009</xdr:row>
      <xdr:rowOff>47624</xdr:rowOff>
    </xdr:from>
    <xdr:to>
      <xdr:col>2</xdr:col>
      <xdr:colOff>2669386</xdr:colOff>
      <xdr:row>2012</xdr:row>
      <xdr:rowOff>142875</xdr:rowOff>
    </xdr:to>
    <xdr:sp macro="" textlink="">
      <xdr:nvSpPr>
        <xdr:cNvPr id="23" name="280 CuadroTexto"/>
        <xdr:cNvSpPr txBox="1"/>
      </xdr:nvSpPr>
      <xdr:spPr>
        <a:xfrm>
          <a:off x="2281241" y="382762124"/>
          <a:ext cx="7145" cy="666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JOSE ALFREDO PEÑA RODRIGUEZ</a:t>
          </a:r>
        </a:p>
      </xdr:txBody>
    </xdr:sp>
    <xdr:clientData/>
  </xdr:twoCellAnchor>
  <xdr:twoCellAnchor>
    <xdr:from>
      <xdr:col>2</xdr:col>
      <xdr:colOff>2633663</xdr:colOff>
      <xdr:row>2009</xdr:row>
      <xdr:rowOff>47628</xdr:rowOff>
    </xdr:from>
    <xdr:to>
      <xdr:col>3</xdr:col>
      <xdr:colOff>1073944</xdr:colOff>
      <xdr:row>2013</xdr:row>
      <xdr:rowOff>43097</xdr:rowOff>
    </xdr:to>
    <xdr:sp macro="" textlink="">
      <xdr:nvSpPr>
        <xdr:cNvPr id="24" name="281 CuadroTexto"/>
        <xdr:cNvSpPr txBox="1"/>
      </xdr:nvSpPr>
      <xdr:spPr>
        <a:xfrm>
          <a:off x="2281238" y="3827621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2009</xdr:row>
      <xdr:rowOff>35718</xdr:rowOff>
    </xdr:from>
    <xdr:to>
      <xdr:col>5</xdr:col>
      <xdr:colOff>1304925</xdr:colOff>
      <xdr:row>2013</xdr:row>
      <xdr:rowOff>49381</xdr:rowOff>
    </xdr:to>
    <xdr:sp macro="" textlink="">
      <xdr:nvSpPr>
        <xdr:cNvPr id="25" name="282 CuadroTexto"/>
        <xdr:cNvSpPr txBox="1"/>
      </xdr:nvSpPr>
      <xdr:spPr>
        <a:xfrm>
          <a:off x="3050381" y="3827502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0</xdr:col>
      <xdr:colOff>0</xdr:colOff>
      <xdr:row>644</xdr:row>
      <xdr:rowOff>59530</xdr:rowOff>
    </xdr:from>
    <xdr:to>
      <xdr:col>2</xdr:col>
      <xdr:colOff>1131094</xdr:colOff>
      <xdr:row>647</xdr:row>
      <xdr:rowOff>95250</xdr:rowOff>
    </xdr:to>
    <xdr:sp macro="" textlink="">
      <xdr:nvSpPr>
        <xdr:cNvPr id="26" name="279 CuadroTexto"/>
        <xdr:cNvSpPr txBox="1"/>
      </xdr:nvSpPr>
      <xdr:spPr>
        <a:xfrm>
          <a:off x="0" y="1227415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2</xdr:col>
      <xdr:colOff>1109666</xdr:colOff>
      <xdr:row>644</xdr:row>
      <xdr:rowOff>47624</xdr:rowOff>
    </xdr:from>
    <xdr:to>
      <xdr:col>2</xdr:col>
      <xdr:colOff>2669386</xdr:colOff>
      <xdr:row>647</xdr:row>
      <xdr:rowOff>142875</xdr:rowOff>
    </xdr:to>
    <xdr:sp macro="" textlink="">
      <xdr:nvSpPr>
        <xdr:cNvPr id="27" name="280 CuadroTexto"/>
        <xdr:cNvSpPr txBox="1"/>
      </xdr:nvSpPr>
      <xdr:spPr>
        <a:xfrm>
          <a:off x="2281241" y="122729624"/>
          <a:ext cx="7145" cy="666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2633663</xdr:colOff>
      <xdr:row>644</xdr:row>
      <xdr:rowOff>47628</xdr:rowOff>
    </xdr:from>
    <xdr:to>
      <xdr:col>3</xdr:col>
      <xdr:colOff>1073944</xdr:colOff>
      <xdr:row>648</xdr:row>
      <xdr:rowOff>43097</xdr:rowOff>
    </xdr:to>
    <xdr:sp macro="" textlink="">
      <xdr:nvSpPr>
        <xdr:cNvPr id="28" name="281 CuadroTexto"/>
        <xdr:cNvSpPr txBox="1"/>
      </xdr:nvSpPr>
      <xdr:spPr>
        <a:xfrm>
          <a:off x="2281238" y="1227296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644</xdr:row>
      <xdr:rowOff>35718</xdr:rowOff>
    </xdr:from>
    <xdr:to>
      <xdr:col>5</xdr:col>
      <xdr:colOff>1304925</xdr:colOff>
      <xdr:row>648</xdr:row>
      <xdr:rowOff>49381</xdr:rowOff>
    </xdr:to>
    <xdr:sp macro="" textlink="">
      <xdr:nvSpPr>
        <xdr:cNvPr id="29" name="282 CuadroTexto"/>
        <xdr:cNvSpPr txBox="1"/>
      </xdr:nvSpPr>
      <xdr:spPr>
        <a:xfrm>
          <a:off x="3050381" y="1227177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0</xdr:col>
      <xdr:colOff>0</xdr:colOff>
      <xdr:row>709</xdr:row>
      <xdr:rowOff>59530</xdr:rowOff>
    </xdr:from>
    <xdr:to>
      <xdr:col>2</xdr:col>
      <xdr:colOff>1131094</xdr:colOff>
      <xdr:row>712</xdr:row>
      <xdr:rowOff>95250</xdr:rowOff>
    </xdr:to>
    <xdr:sp macro="" textlink="">
      <xdr:nvSpPr>
        <xdr:cNvPr id="30" name="279 CuadroTexto"/>
        <xdr:cNvSpPr txBox="1"/>
      </xdr:nvSpPr>
      <xdr:spPr>
        <a:xfrm>
          <a:off x="0" y="1351240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2</xdr:col>
      <xdr:colOff>1109666</xdr:colOff>
      <xdr:row>709</xdr:row>
      <xdr:rowOff>47623</xdr:rowOff>
    </xdr:from>
    <xdr:to>
      <xdr:col>2</xdr:col>
      <xdr:colOff>2669386</xdr:colOff>
      <xdr:row>712</xdr:row>
      <xdr:rowOff>152399</xdr:rowOff>
    </xdr:to>
    <xdr:sp macro="" textlink="">
      <xdr:nvSpPr>
        <xdr:cNvPr id="31" name="280 CuadroTexto"/>
        <xdr:cNvSpPr txBox="1"/>
      </xdr:nvSpPr>
      <xdr:spPr>
        <a:xfrm>
          <a:off x="2281241" y="135112123"/>
          <a:ext cx="7145" cy="6762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2633663</xdr:colOff>
      <xdr:row>709</xdr:row>
      <xdr:rowOff>47628</xdr:rowOff>
    </xdr:from>
    <xdr:to>
      <xdr:col>3</xdr:col>
      <xdr:colOff>1073944</xdr:colOff>
      <xdr:row>713</xdr:row>
      <xdr:rowOff>43097</xdr:rowOff>
    </xdr:to>
    <xdr:sp macro="" textlink="">
      <xdr:nvSpPr>
        <xdr:cNvPr id="32" name="281 CuadroTexto"/>
        <xdr:cNvSpPr txBox="1"/>
      </xdr:nvSpPr>
      <xdr:spPr>
        <a:xfrm>
          <a:off x="2281238" y="1351121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709</xdr:row>
      <xdr:rowOff>35718</xdr:rowOff>
    </xdr:from>
    <xdr:to>
      <xdr:col>5</xdr:col>
      <xdr:colOff>1304925</xdr:colOff>
      <xdr:row>713</xdr:row>
      <xdr:rowOff>49381</xdr:rowOff>
    </xdr:to>
    <xdr:sp macro="" textlink="">
      <xdr:nvSpPr>
        <xdr:cNvPr id="33" name="282 CuadroTexto"/>
        <xdr:cNvSpPr txBox="1"/>
      </xdr:nvSpPr>
      <xdr:spPr>
        <a:xfrm>
          <a:off x="3050381" y="1351002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0</xdr:col>
      <xdr:colOff>0</xdr:colOff>
      <xdr:row>774</xdr:row>
      <xdr:rowOff>59530</xdr:rowOff>
    </xdr:from>
    <xdr:to>
      <xdr:col>2</xdr:col>
      <xdr:colOff>1131094</xdr:colOff>
      <xdr:row>777</xdr:row>
      <xdr:rowOff>95250</xdr:rowOff>
    </xdr:to>
    <xdr:sp macro="" textlink="">
      <xdr:nvSpPr>
        <xdr:cNvPr id="34" name="279 CuadroTexto"/>
        <xdr:cNvSpPr txBox="1"/>
      </xdr:nvSpPr>
      <xdr:spPr>
        <a:xfrm>
          <a:off x="0" y="1475065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XICOTENCATL GONZALEZ URESTI</a:t>
          </a:r>
        </a:p>
      </xdr:txBody>
    </xdr:sp>
    <xdr:clientData/>
  </xdr:twoCellAnchor>
  <xdr:twoCellAnchor>
    <xdr:from>
      <xdr:col>2</xdr:col>
      <xdr:colOff>2633663</xdr:colOff>
      <xdr:row>774</xdr:row>
      <xdr:rowOff>47628</xdr:rowOff>
    </xdr:from>
    <xdr:to>
      <xdr:col>3</xdr:col>
      <xdr:colOff>1073944</xdr:colOff>
      <xdr:row>778</xdr:row>
      <xdr:rowOff>43097</xdr:rowOff>
    </xdr:to>
    <xdr:sp macro="" textlink="">
      <xdr:nvSpPr>
        <xdr:cNvPr id="35" name="281 CuadroTexto"/>
        <xdr:cNvSpPr txBox="1"/>
      </xdr:nvSpPr>
      <xdr:spPr>
        <a:xfrm>
          <a:off x="2281238" y="1474946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774</xdr:row>
      <xdr:rowOff>35718</xdr:rowOff>
    </xdr:from>
    <xdr:to>
      <xdr:col>5</xdr:col>
      <xdr:colOff>1304925</xdr:colOff>
      <xdr:row>778</xdr:row>
      <xdr:rowOff>49381</xdr:rowOff>
    </xdr:to>
    <xdr:sp macro="" textlink="">
      <xdr:nvSpPr>
        <xdr:cNvPr id="36" name="282 CuadroTexto"/>
        <xdr:cNvSpPr txBox="1"/>
      </xdr:nvSpPr>
      <xdr:spPr>
        <a:xfrm>
          <a:off x="3050381" y="1474827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0</xdr:col>
      <xdr:colOff>0</xdr:colOff>
      <xdr:row>839</xdr:row>
      <xdr:rowOff>59530</xdr:rowOff>
    </xdr:from>
    <xdr:to>
      <xdr:col>2</xdr:col>
      <xdr:colOff>1131094</xdr:colOff>
      <xdr:row>842</xdr:row>
      <xdr:rowOff>95250</xdr:rowOff>
    </xdr:to>
    <xdr:sp macro="" textlink="">
      <xdr:nvSpPr>
        <xdr:cNvPr id="37" name="279 CuadroTexto"/>
        <xdr:cNvSpPr txBox="1"/>
      </xdr:nvSpPr>
      <xdr:spPr>
        <a:xfrm>
          <a:off x="0" y="1598890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2</xdr:col>
      <xdr:colOff>1109666</xdr:colOff>
      <xdr:row>839</xdr:row>
      <xdr:rowOff>47623</xdr:rowOff>
    </xdr:from>
    <xdr:to>
      <xdr:col>2</xdr:col>
      <xdr:colOff>2669386</xdr:colOff>
      <xdr:row>843</xdr:row>
      <xdr:rowOff>0</xdr:rowOff>
    </xdr:to>
    <xdr:sp macro="" textlink="">
      <xdr:nvSpPr>
        <xdr:cNvPr id="38" name="280 CuadroTexto"/>
        <xdr:cNvSpPr txBox="1"/>
      </xdr:nvSpPr>
      <xdr:spPr>
        <a:xfrm>
          <a:off x="2281241" y="159877123"/>
          <a:ext cx="7145" cy="71437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2633663</xdr:colOff>
      <xdr:row>839</xdr:row>
      <xdr:rowOff>47628</xdr:rowOff>
    </xdr:from>
    <xdr:to>
      <xdr:col>3</xdr:col>
      <xdr:colOff>1073944</xdr:colOff>
      <xdr:row>843</xdr:row>
      <xdr:rowOff>43097</xdr:rowOff>
    </xdr:to>
    <xdr:sp macro="" textlink="">
      <xdr:nvSpPr>
        <xdr:cNvPr id="39" name="281 CuadroTexto"/>
        <xdr:cNvSpPr txBox="1"/>
      </xdr:nvSpPr>
      <xdr:spPr>
        <a:xfrm>
          <a:off x="2281238" y="1598771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839</xdr:row>
      <xdr:rowOff>35718</xdr:rowOff>
    </xdr:from>
    <xdr:to>
      <xdr:col>5</xdr:col>
      <xdr:colOff>1304925</xdr:colOff>
      <xdr:row>843</xdr:row>
      <xdr:rowOff>49381</xdr:rowOff>
    </xdr:to>
    <xdr:sp macro="" textlink="">
      <xdr:nvSpPr>
        <xdr:cNvPr id="40" name="282 CuadroTexto"/>
        <xdr:cNvSpPr txBox="1"/>
      </xdr:nvSpPr>
      <xdr:spPr>
        <a:xfrm>
          <a:off x="3050381" y="1598652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0</xdr:col>
      <xdr:colOff>0</xdr:colOff>
      <xdr:row>904</xdr:row>
      <xdr:rowOff>59530</xdr:rowOff>
    </xdr:from>
    <xdr:to>
      <xdr:col>2</xdr:col>
      <xdr:colOff>1131094</xdr:colOff>
      <xdr:row>907</xdr:row>
      <xdr:rowOff>95250</xdr:rowOff>
    </xdr:to>
    <xdr:sp macro="" textlink="">
      <xdr:nvSpPr>
        <xdr:cNvPr id="41" name="279 CuadroTexto"/>
        <xdr:cNvSpPr txBox="1"/>
      </xdr:nvSpPr>
      <xdr:spPr>
        <a:xfrm>
          <a:off x="0" y="1722715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2</xdr:col>
      <xdr:colOff>1109666</xdr:colOff>
      <xdr:row>904</xdr:row>
      <xdr:rowOff>47623</xdr:rowOff>
    </xdr:from>
    <xdr:to>
      <xdr:col>2</xdr:col>
      <xdr:colOff>2669386</xdr:colOff>
      <xdr:row>908</xdr:row>
      <xdr:rowOff>66675</xdr:rowOff>
    </xdr:to>
    <xdr:sp macro="" textlink="">
      <xdr:nvSpPr>
        <xdr:cNvPr id="42" name="280 CuadroTexto"/>
        <xdr:cNvSpPr txBox="1"/>
      </xdr:nvSpPr>
      <xdr:spPr>
        <a:xfrm>
          <a:off x="2281241" y="172259623"/>
          <a:ext cx="7145" cy="78105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2633663</xdr:colOff>
      <xdr:row>904</xdr:row>
      <xdr:rowOff>47628</xdr:rowOff>
    </xdr:from>
    <xdr:to>
      <xdr:col>3</xdr:col>
      <xdr:colOff>1073944</xdr:colOff>
      <xdr:row>908</xdr:row>
      <xdr:rowOff>43097</xdr:rowOff>
    </xdr:to>
    <xdr:sp macro="" textlink="">
      <xdr:nvSpPr>
        <xdr:cNvPr id="43" name="281 CuadroTexto"/>
        <xdr:cNvSpPr txBox="1"/>
      </xdr:nvSpPr>
      <xdr:spPr>
        <a:xfrm>
          <a:off x="2281238" y="1722596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904</xdr:row>
      <xdr:rowOff>35718</xdr:rowOff>
    </xdr:from>
    <xdr:to>
      <xdr:col>5</xdr:col>
      <xdr:colOff>1304925</xdr:colOff>
      <xdr:row>908</xdr:row>
      <xdr:rowOff>49381</xdr:rowOff>
    </xdr:to>
    <xdr:sp macro="" textlink="">
      <xdr:nvSpPr>
        <xdr:cNvPr id="44" name="282 CuadroTexto"/>
        <xdr:cNvSpPr txBox="1"/>
      </xdr:nvSpPr>
      <xdr:spPr>
        <a:xfrm>
          <a:off x="3050381" y="1722477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0</xdr:col>
      <xdr:colOff>0</xdr:colOff>
      <xdr:row>969</xdr:row>
      <xdr:rowOff>59530</xdr:rowOff>
    </xdr:from>
    <xdr:to>
      <xdr:col>2</xdr:col>
      <xdr:colOff>1131094</xdr:colOff>
      <xdr:row>972</xdr:row>
      <xdr:rowOff>95250</xdr:rowOff>
    </xdr:to>
    <xdr:sp macro="" textlink="">
      <xdr:nvSpPr>
        <xdr:cNvPr id="45" name="279 CuadroTexto"/>
        <xdr:cNvSpPr txBox="1"/>
      </xdr:nvSpPr>
      <xdr:spPr>
        <a:xfrm>
          <a:off x="0" y="1846540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2</xdr:col>
      <xdr:colOff>1109666</xdr:colOff>
      <xdr:row>969</xdr:row>
      <xdr:rowOff>47623</xdr:rowOff>
    </xdr:from>
    <xdr:to>
      <xdr:col>2</xdr:col>
      <xdr:colOff>2669386</xdr:colOff>
      <xdr:row>973</xdr:row>
      <xdr:rowOff>28574</xdr:rowOff>
    </xdr:to>
    <xdr:sp macro="" textlink="">
      <xdr:nvSpPr>
        <xdr:cNvPr id="46" name="280 CuadroTexto"/>
        <xdr:cNvSpPr txBox="1"/>
      </xdr:nvSpPr>
      <xdr:spPr>
        <a:xfrm>
          <a:off x="2281241" y="184642123"/>
          <a:ext cx="7145" cy="742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2633663</xdr:colOff>
      <xdr:row>969</xdr:row>
      <xdr:rowOff>47628</xdr:rowOff>
    </xdr:from>
    <xdr:to>
      <xdr:col>3</xdr:col>
      <xdr:colOff>1073944</xdr:colOff>
      <xdr:row>973</xdr:row>
      <xdr:rowOff>43097</xdr:rowOff>
    </xdr:to>
    <xdr:sp macro="" textlink="">
      <xdr:nvSpPr>
        <xdr:cNvPr id="47" name="281 CuadroTexto"/>
        <xdr:cNvSpPr txBox="1"/>
      </xdr:nvSpPr>
      <xdr:spPr>
        <a:xfrm>
          <a:off x="2281238" y="1846421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969</xdr:row>
      <xdr:rowOff>35718</xdr:rowOff>
    </xdr:from>
    <xdr:to>
      <xdr:col>5</xdr:col>
      <xdr:colOff>1304925</xdr:colOff>
      <xdr:row>973</xdr:row>
      <xdr:rowOff>49381</xdr:rowOff>
    </xdr:to>
    <xdr:sp macro="" textlink="">
      <xdr:nvSpPr>
        <xdr:cNvPr id="48" name="282 CuadroTexto"/>
        <xdr:cNvSpPr txBox="1"/>
      </xdr:nvSpPr>
      <xdr:spPr>
        <a:xfrm>
          <a:off x="3050381" y="1846302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0</xdr:col>
      <xdr:colOff>0</xdr:colOff>
      <xdr:row>1034</xdr:row>
      <xdr:rowOff>59530</xdr:rowOff>
    </xdr:from>
    <xdr:to>
      <xdr:col>2</xdr:col>
      <xdr:colOff>1131094</xdr:colOff>
      <xdr:row>1037</xdr:row>
      <xdr:rowOff>95250</xdr:rowOff>
    </xdr:to>
    <xdr:sp macro="" textlink="">
      <xdr:nvSpPr>
        <xdr:cNvPr id="49" name="279 CuadroTexto"/>
        <xdr:cNvSpPr txBox="1"/>
      </xdr:nvSpPr>
      <xdr:spPr>
        <a:xfrm>
          <a:off x="0" y="1970365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2</xdr:col>
      <xdr:colOff>1109666</xdr:colOff>
      <xdr:row>1034</xdr:row>
      <xdr:rowOff>47623</xdr:rowOff>
    </xdr:from>
    <xdr:to>
      <xdr:col>2</xdr:col>
      <xdr:colOff>2669386</xdr:colOff>
      <xdr:row>1038</xdr:row>
      <xdr:rowOff>9524</xdr:rowOff>
    </xdr:to>
    <xdr:sp macro="" textlink="">
      <xdr:nvSpPr>
        <xdr:cNvPr id="50" name="280 CuadroTexto"/>
        <xdr:cNvSpPr txBox="1"/>
      </xdr:nvSpPr>
      <xdr:spPr>
        <a:xfrm>
          <a:off x="2281241" y="197024623"/>
          <a:ext cx="7145" cy="723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2633663</xdr:colOff>
      <xdr:row>1034</xdr:row>
      <xdr:rowOff>47628</xdr:rowOff>
    </xdr:from>
    <xdr:to>
      <xdr:col>3</xdr:col>
      <xdr:colOff>1073944</xdr:colOff>
      <xdr:row>1038</xdr:row>
      <xdr:rowOff>43097</xdr:rowOff>
    </xdr:to>
    <xdr:sp macro="" textlink="">
      <xdr:nvSpPr>
        <xdr:cNvPr id="51" name="281 CuadroTexto"/>
        <xdr:cNvSpPr txBox="1"/>
      </xdr:nvSpPr>
      <xdr:spPr>
        <a:xfrm>
          <a:off x="2281238" y="1970246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1034</xdr:row>
      <xdr:rowOff>35718</xdr:rowOff>
    </xdr:from>
    <xdr:to>
      <xdr:col>5</xdr:col>
      <xdr:colOff>1304925</xdr:colOff>
      <xdr:row>1038</xdr:row>
      <xdr:rowOff>49381</xdr:rowOff>
    </xdr:to>
    <xdr:sp macro="" textlink="">
      <xdr:nvSpPr>
        <xdr:cNvPr id="52" name="282 CuadroTexto"/>
        <xdr:cNvSpPr txBox="1"/>
      </xdr:nvSpPr>
      <xdr:spPr>
        <a:xfrm>
          <a:off x="3050381" y="1970127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0</xdr:col>
      <xdr:colOff>0</xdr:colOff>
      <xdr:row>1099</xdr:row>
      <xdr:rowOff>59530</xdr:rowOff>
    </xdr:from>
    <xdr:to>
      <xdr:col>2</xdr:col>
      <xdr:colOff>1131094</xdr:colOff>
      <xdr:row>1102</xdr:row>
      <xdr:rowOff>95250</xdr:rowOff>
    </xdr:to>
    <xdr:sp macro="" textlink="">
      <xdr:nvSpPr>
        <xdr:cNvPr id="53" name="279 CuadroTexto"/>
        <xdr:cNvSpPr txBox="1"/>
      </xdr:nvSpPr>
      <xdr:spPr>
        <a:xfrm>
          <a:off x="0" y="2094190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2</xdr:col>
      <xdr:colOff>1109666</xdr:colOff>
      <xdr:row>1099</xdr:row>
      <xdr:rowOff>47623</xdr:rowOff>
    </xdr:from>
    <xdr:to>
      <xdr:col>2</xdr:col>
      <xdr:colOff>2669386</xdr:colOff>
      <xdr:row>1103</xdr:row>
      <xdr:rowOff>28574</xdr:rowOff>
    </xdr:to>
    <xdr:sp macro="" textlink="">
      <xdr:nvSpPr>
        <xdr:cNvPr id="54" name="280 CuadroTexto"/>
        <xdr:cNvSpPr txBox="1"/>
      </xdr:nvSpPr>
      <xdr:spPr>
        <a:xfrm>
          <a:off x="2281241" y="209407123"/>
          <a:ext cx="7145" cy="7429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2633663</xdr:colOff>
      <xdr:row>1099</xdr:row>
      <xdr:rowOff>47628</xdr:rowOff>
    </xdr:from>
    <xdr:to>
      <xdr:col>3</xdr:col>
      <xdr:colOff>1073944</xdr:colOff>
      <xdr:row>1103</xdr:row>
      <xdr:rowOff>43097</xdr:rowOff>
    </xdr:to>
    <xdr:sp macro="" textlink="">
      <xdr:nvSpPr>
        <xdr:cNvPr id="55" name="281 CuadroTexto"/>
        <xdr:cNvSpPr txBox="1"/>
      </xdr:nvSpPr>
      <xdr:spPr>
        <a:xfrm>
          <a:off x="2281238" y="2094071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1099</xdr:row>
      <xdr:rowOff>35718</xdr:rowOff>
    </xdr:from>
    <xdr:to>
      <xdr:col>5</xdr:col>
      <xdr:colOff>1304925</xdr:colOff>
      <xdr:row>1103</xdr:row>
      <xdr:rowOff>49381</xdr:rowOff>
    </xdr:to>
    <xdr:sp macro="" textlink="">
      <xdr:nvSpPr>
        <xdr:cNvPr id="56" name="282 CuadroTexto"/>
        <xdr:cNvSpPr txBox="1"/>
      </xdr:nvSpPr>
      <xdr:spPr>
        <a:xfrm>
          <a:off x="3050381" y="2093952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0</xdr:col>
      <xdr:colOff>0</xdr:colOff>
      <xdr:row>1164</xdr:row>
      <xdr:rowOff>59530</xdr:rowOff>
    </xdr:from>
    <xdr:to>
      <xdr:col>2</xdr:col>
      <xdr:colOff>1131094</xdr:colOff>
      <xdr:row>1167</xdr:row>
      <xdr:rowOff>95250</xdr:rowOff>
    </xdr:to>
    <xdr:sp macro="" textlink="">
      <xdr:nvSpPr>
        <xdr:cNvPr id="57" name="279 CuadroTexto"/>
        <xdr:cNvSpPr txBox="1"/>
      </xdr:nvSpPr>
      <xdr:spPr>
        <a:xfrm>
          <a:off x="0" y="2218015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2</xdr:col>
      <xdr:colOff>1109666</xdr:colOff>
      <xdr:row>1164</xdr:row>
      <xdr:rowOff>47623</xdr:rowOff>
    </xdr:from>
    <xdr:to>
      <xdr:col>2</xdr:col>
      <xdr:colOff>2669386</xdr:colOff>
      <xdr:row>1167</xdr:row>
      <xdr:rowOff>152399</xdr:rowOff>
    </xdr:to>
    <xdr:sp macro="" textlink="">
      <xdr:nvSpPr>
        <xdr:cNvPr id="58" name="280 CuadroTexto"/>
        <xdr:cNvSpPr txBox="1"/>
      </xdr:nvSpPr>
      <xdr:spPr>
        <a:xfrm>
          <a:off x="2281241" y="221789623"/>
          <a:ext cx="7145" cy="6762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2633663</xdr:colOff>
      <xdr:row>1164</xdr:row>
      <xdr:rowOff>47628</xdr:rowOff>
    </xdr:from>
    <xdr:to>
      <xdr:col>3</xdr:col>
      <xdr:colOff>1073944</xdr:colOff>
      <xdr:row>1168</xdr:row>
      <xdr:rowOff>43097</xdr:rowOff>
    </xdr:to>
    <xdr:sp macro="" textlink="">
      <xdr:nvSpPr>
        <xdr:cNvPr id="59" name="281 CuadroTexto"/>
        <xdr:cNvSpPr txBox="1"/>
      </xdr:nvSpPr>
      <xdr:spPr>
        <a:xfrm>
          <a:off x="2281238" y="2217896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1164</xdr:row>
      <xdr:rowOff>35718</xdr:rowOff>
    </xdr:from>
    <xdr:to>
      <xdr:col>5</xdr:col>
      <xdr:colOff>1304925</xdr:colOff>
      <xdr:row>1168</xdr:row>
      <xdr:rowOff>49381</xdr:rowOff>
    </xdr:to>
    <xdr:sp macro="" textlink="">
      <xdr:nvSpPr>
        <xdr:cNvPr id="60" name="282 CuadroTexto"/>
        <xdr:cNvSpPr txBox="1"/>
      </xdr:nvSpPr>
      <xdr:spPr>
        <a:xfrm>
          <a:off x="3050381" y="2217777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0</xdr:col>
      <xdr:colOff>0</xdr:colOff>
      <xdr:row>1229</xdr:row>
      <xdr:rowOff>59530</xdr:rowOff>
    </xdr:from>
    <xdr:to>
      <xdr:col>2</xdr:col>
      <xdr:colOff>1131094</xdr:colOff>
      <xdr:row>1232</xdr:row>
      <xdr:rowOff>95250</xdr:rowOff>
    </xdr:to>
    <xdr:sp macro="" textlink="">
      <xdr:nvSpPr>
        <xdr:cNvPr id="61" name="279 CuadroTexto"/>
        <xdr:cNvSpPr txBox="1"/>
      </xdr:nvSpPr>
      <xdr:spPr>
        <a:xfrm>
          <a:off x="0" y="2341840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2</xdr:col>
      <xdr:colOff>1109666</xdr:colOff>
      <xdr:row>1229</xdr:row>
      <xdr:rowOff>47623</xdr:rowOff>
    </xdr:from>
    <xdr:to>
      <xdr:col>2</xdr:col>
      <xdr:colOff>2669386</xdr:colOff>
      <xdr:row>1233</xdr:row>
      <xdr:rowOff>9524</xdr:rowOff>
    </xdr:to>
    <xdr:sp macro="" textlink="">
      <xdr:nvSpPr>
        <xdr:cNvPr id="62" name="280 CuadroTexto"/>
        <xdr:cNvSpPr txBox="1"/>
      </xdr:nvSpPr>
      <xdr:spPr>
        <a:xfrm>
          <a:off x="2281241" y="234172123"/>
          <a:ext cx="7145" cy="7239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2633663</xdr:colOff>
      <xdr:row>1229</xdr:row>
      <xdr:rowOff>47628</xdr:rowOff>
    </xdr:from>
    <xdr:to>
      <xdr:col>3</xdr:col>
      <xdr:colOff>1073944</xdr:colOff>
      <xdr:row>1233</xdr:row>
      <xdr:rowOff>43097</xdr:rowOff>
    </xdr:to>
    <xdr:sp macro="" textlink="">
      <xdr:nvSpPr>
        <xdr:cNvPr id="63" name="281 CuadroTexto"/>
        <xdr:cNvSpPr txBox="1"/>
      </xdr:nvSpPr>
      <xdr:spPr>
        <a:xfrm>
          <a:off x="2281238" y="2341721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1229</xdr:row>
      <xdr:rowOff>35718</xdr:rowOff>
    </xdr:from>
    <xdr:to>
      <xdr:col>5</xdr:col>
      <xdr:colOff>1304925</xdr:colOff>
      <xdr:row>1233</xdr:row>
      <xdr:rowOff>49381</xdr:rowOff>
    </xdr:to>
    <xdr:sp macro="" textlink="">
      <xdr:nvSpPr>
        <xdr:cNvPr id="64" name="282 CuadroTexto"/>
        <xdr:cNvSpPr txBox="1"/>
      </xdr:nvSpPr>
      <xdr:spPr>
        <a:xfrm>
          <a:off x="3050381" y="2341602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0</xdr:col>
      <xdr:colOff>0</xdr:colOff>
      <xdr:row>1424</xdr:row>
      <xdr:rowOff>59530</xdr:rowOff>
    </xdr:from>
    <xdr:to>
      <xdr:col>2</xdr:col>
      <xdr:colOff>1131094</xdr:colOff>
      <xdr:row>1427</xdr:row>
      <xdr:rowOff>95250</xdr:rowOff>
    </xdr:to>
    <xdr:sp macro="" textlink="">
      <xdr:nvSpPr>
        <xdr:cNvPr id="65" name="279 CuadroTexto"/>
        <xdr:cNvSpPr txBox="1"/>
      </xdr:nvSpPr>
      <xdr:spPr>
        <a:xfrm>
          <a:off x="0" y="2713315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I</a:t>
          </a:r>
        </a:p>
      </xdr:txBody>
    </xdr:sp>
    <xdr:clientData/>
  </xdr:twoCellAnchor>
  <xdr:twoCellAnchor>
    <xdr:from>
      <xdr:col>2</xdr:col>
      <xdr:colOff>1109666</xdr:colOff>
      <xdr:row>1424</xdr:row>
      <xdr:rowOff>47623</xdr:rowOff>
    </xdr:from>
    <xdr:to>
      <xdr:col>2</xdr:col>
      <xdr:colOff>2669386</xdr:colOff>
      <xdr:row>1427</xdr:row>
      <xdr:rowOff>152399</xdr:rowOff>
    </xdr:to>
    <xdr:sp macro="" textlink="">
      <xdr:nvSpPr>
        <xdr:cNvPr id="66" name="280 CuadroTexto"/>
        <xdr:cNvSpPr txBox="1"/>
      </xdr:nvSpPr>
      <xdr:spPr>
        <a:xfrm>
          <a:off x="2281241" y="271319623"/>
          <a:ext cx="7145" cy="6762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2633663</xdr:colOff>
      <xdr:row>1424</xdr:row>
      <xdr:rowOff>47628</xdr:rowOff>
    </xdr:from>
    <xdr:to>
      <xdr:col>3</xdr:col>
      <xdr:colOff>1073944</xdr:colOff>
      <xdr:row>1428</xdr:row>
      <xdr:rowOff>43097</xdr:rowOff>
    </xdr:to>
    <xdr:sp macro="" textlink="">
      <xdr:nvSpPr>
        <xdr:cNvPr id="67" name="281 CuadroTexto"/>
        <xdr:cNvSpPr txBox="1"/>
      </xdr:nvSpPr>
      <xdr:spPr>
        <a:xfrm>
          <a:off x="2281238" y="2713196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1424</xdr:row>
      <xdr:rowOff>35718</xdr:rowOff>
    </xdr:from>
    <xdr:to>
      <xdr:col>5</xdr:col>
      <xdr:colOff>1304925</xdr:colOff>
      <xdr:row>1428</xdr:row>
      <xdr:rowOff>49381</xdr:rowOff>
    </xdr:to>
    <xdr:sp macro="" textlink="">
      <xdr:nvSpPr>
        <xdr:cNvPr id="68" name="282 CuadroTexto"/>
        <xdr:cNvSpPr txBox="1"/>
      </xdr:nvSpPr>
      <xdr:spPr>
        <a:xfrm>
          <a:off x="3050381" y="2713077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0</xdr:col>
      <xdr:colOff>0</xdr:colOff>
      <xdr:row>1489</xdr:row>
      <xdr:rowOff>59530</xdr:rowOff>
    </xdr:from>
    <xdr:to>
      <xdr:col>2</xdr:col>
      <xdr:colOff>1131094</xdr:colOff>
      <xdr:row>1492</xdr:row>
      <xdr:rowOff>95250</xdr:rowOff>
    </xdr:to>
    <xdr:sp macro="" textlink="">
      <xdr:nvSpPr>
        <xdr:cNvPr id="69" name="279 CuadroTexto"/>
        <xdr:cNvSpPr txBox="1"/>
      </xdr:nvSpPr>
      <xdr:spPr>
        <a:xfrm>
          <a:off x="0" y="2837140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2</xdr:col>
      <xdr:colOff>1109666</xdr:colOff>
      <xdr:row>1489</xdr:row>
      <xdr:rowOff>47624</xdr:rowOff>
    </xdr:from>
    <xdr:to>
      <xdr:col>2</xdr:col>
      <xdr:colOff>2669386</xdr:colOff>
      <xdr:row>1493</xdr:row>
      <xdr:rowOff>19050</xdr:rowOff>
    </xdr:to>
    <xdr:sp macro="" textlink="">
      <xdr:nvSpPr>
        <xdr:cNvPr id="70" name="280 CuadroTexto"/>
        <xdr:cNvSpPr txBox="1"/>
      </xdr:nvSpPr>
      <xdr:spPr>
        <a:xfrm>
          <a:off x="2281241" y="283702124"/>
          <a:ext cx="714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2633663</xdr:colOff>
      <xdr:row>1489</xdr:row>
      <xdr:rowOff>47628</xdr:rowOff>
    </xdr:from>
    <xdr:to>
      <xdr:col>3</xdr:col>
      <xdr:colOff>1073944</xdr:colOff>
      <xdr:row>1493</xdr:row>
      <xdr:rowOff>43097</xdr:rowOff>
    </xdr:to>
    <xdr:sp macro="" textlink="">
      <xdr:nvSpPr>
        <xdr:cNvPr id="71" name="281 CuadroTexto"/>
        <xdr:cNvSpPr txBox="1"/>
      </xdr:nvSpPr>
      <xdr:spPr>
        <a:xfrm>
          <a:off x="2281238" y="2837021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1489</xdr:row>
      <xdr:rowOff>35718</xdr:rowOff>
    </xdr:from>
    <xdr:to>
      <xdr:col>5</xdr:col>
      <xdr:colOff>1304925</xdr:colOff>
      <xdr:row>1493</xdr:row>
      <xdr:rowOff>49381</xdr:rowOff>
    </xdr:to>
    <xdr:sp macro="" textlink="">
      <xdr:nvSpPr>
        <xdr:cNvPr id="72" name="282 CuadroTexto"/>
        <xdr:cNvSpPr txBox="1"/>
      </xdr:nvSpPr>
      <xdr:spPr>
        <a:xfrm>
          <a:off x="3050381" y="2836902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0</xdr:col>
      <xdr:colOff>0</xdr:colOff>
      <xdr:row>1554</xdr:row>
      <xdr:rowOff>59530</xdr:rowOff>
    </xdr:from>
    <xdr:to>
      <xdr:col>2</xdr:col>
      <xdr:colOff>1131094</xdr:colOff>
      <xdr:row>1557</xdr:row>
      <xdr:rowOff>95250</xdr:rowOff>
    </xdr:to>
    <xdr:sp macro="" textlink="">
      <xdr:nvSpPr>
        <xdr:cNvPr id="73" name="279 CuadroTexto"/>
        <xdr:cNvSpPr txBox="1"/>
      </xdr:nvSpPr>
      <xdr:spPr>
        <a:xfrm>
          <a:off x="0" y="2960965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2</xdr:col>
      <xdr:colOff>1109666</xdr:colOff>
      <xdr:row>1554</xdr:row>
      <xdr:rowOff>47623</xdr:rowOff>
    </xdr:from>
    <xdr:to>
      <xdr:col>2</xdr:col>
      <xdr:colOff>2669386</xdr:colOff>
      <xdr:row>1557</xdr:row>
      <xdr:rowOff>133349</xdr:rowOff>
    </xdr:to>
    <xdr:sp macro="" textlink="">
      <xdr:nvSpPr>
        <xdr:cNvPr id="74" name="280 CuadroTexto"/>
        <xdr:cNvSpPr txBox="1"/>
      </xdr:nvSpPr>
      <xdr:spPr>
        <a:xfrm>
          <a:off x="2281241" y="296084623"/>
          <a:ext cx="7145" cy="6572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2633663</xdr:colOff>
      <xdr:row>1554</xdr:row>
      <xdr:rowOff>47628</xdr:rowOff>
    </xdr:from>
    <xdr:to>
      <xdr:col>3</xdr:col>
      <xdr:colOff>1073944</xdr:colOff>
      <xdr:row>1558</xdr:row>
      <xdr:rowOff>43097</xdr:rowOff>
    </xdr:to>
    <xdr:sp macro="" textlink="">
      <xdr:nvSpPr>
        <xdr:cNvPr id="75" name="281 CuadroTexto"/>
        <xdr:cNvSpPr txBox="1"/>
      </xdr:nvSpPr>
      <xdr:spPr>
        <a:xfrm>
          <a:off x="2281238" y="2960846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1554</xdr:row>
      <xdr:rowOff>35718</xdr:rowOff>
    </xdr:from>
    <xdr:to>
      <xdr:col>5</xdr:col>
      <xdr:colOff>1304925</xdr:colOff>
      <xdr:row>1558</xdr:row>
      <xdr:rowOff>49381</xdr:rowOff>
    </xdr:to>
    <xdr:sp macro="" textlink="">
      <xdr:nvSpPr>
        <xdr:cNvPr id="76" name="282 CuadroTexto"/>
        <xdr:cNvSpPr txBox="1"/>
      </xdr:nvSpPr>
      <xdr:spPr>
        <a:xfrm>
          <a:off x="3050381" y="2960727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0</xdr:col>
      <xdr:colOff>0</xdr:colOff>
      <xdr:row>1619</xdr:row>
      <xdr:rowOff>59530</xdr:rowOff>
    </xdr:from>
    <xdr:to>
      <xdr:col>2</xdr:col>
      <xdr:colOff>1131094</xdr:colOff>
      <xdr:row>1622</xdr:row>
      <xdr:rowOff>95250</xdr:rowOff>
    </xdr:to>
    <xdr:sp macro="" textlink="">
      <xdr:nvSpPr>
        <xdr:cNvPr id="77" name="279 CuadroTexto"/>
        <xdr:cNvSpPr txBox="1"/>
      </xdr:nvSpPr>
      <xdr:spPr>
        <a:xfrm>
          <a:off x="0" y="3084790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2</xdr:col>
      <xdr:colOff>1109666</xdr:colOff>
      <xdr:row>1619</xdr:row>
      <xdr:rowOff>47624</xdr:rowOff>
    </xdr:from>
    <xdr:to>
      <xdr:col>2</xdr:col>
      <xdr:colOff>2669386</xdr:colOff>
      <xdr:row>1623</xdr:row>
      <xdr:rowOff>19050</xdr:rowOff>
    </xdr:to>
    <xdr:sp macro="" textlink="">
      <xdr:nvSpPr>
        <xdr:cNvPr id="78" name="280 CuadroTexto"/>
        <xdr:cNvSpPr txBox="1"/>
      </xdr:nvSpPr>
      <xdr:spPr>
        <a:xfrm>
          <a:off x="2281241" y="308467124"/>
          <a:ext cx="714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2633663</xdr:colOff>
      <xdr:row>1619</xdr:row>
      <xdr:rowOff>47628</xdr:rowOff>
    </xdr:from>
    <xdr:to>
      <xdr:col>3</xdr:col>
      <xdr:colOff>1073944</xdr:colOff>
      <xdr:row>1623</xdr:row>
      <xdr:rowOff>43097</xdr:rowOff>
    </xdr:to>
    <xdr:sp macro="" textlink="">
      <xdr:nvSpPr>
        <xdr:cNvPr id="79" name="281 CuadroTexto"/>
        <xdr:cNvSpPr txBox="1"/>
      </xdr:nvSpPr>
      <xdr:spPr>
        <a:xfrm>
          <a:off x="2281238" y="3084671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1619</xdr:row>
      <xdr:rowOff>35718</xdr:rowOff>
    </xdr:from>
    <xdr:to>
      <xdr:col>5</xdr:col>
      <xdr:colOff>1304925</xdr:colOff>
      <xdr:row>1623</xdr:row>
      <xdr:rowOff>49381</xdr:rowOff>
    </xdr:to>
    <xdr:sp macro="" textlink="">
      <xdr:nvSpPr>
        <xdr:cNvPr id="80" name="282 CuadroTexto"/>
        <xdr:cNvSpPr txBox="1"/>
      </xdr:nvSpPr>
      <xdr:spPr>
        <a:xfrm>
          <a:off x="3050381" y="3084552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0</xdr:col>
      <xdr:colOff>0</xdr:colOff>
      <xdr:row>2074</xdr:row>
      <xdr:rowOff>59530</xdr:rowOff>
    </xdr:from>
    <xdr:to>
      <xdr:col>2</xdr:col>
      <xdr:colOff>1131094</xdr:colOff>
      <xdr:row>2077</xdr:row>
      <xdr:rowOff>95250</xdr:rowOff>
    </xdr:to>
    <xdr:sp macro="" textlink="">
      <xdr:nvSpPr>
        <xdr:cNvPr id="81" name="279 CuadroTexto"/>
        <xdr:cNvSpPr txBox="1"/>
      </xdr:nvSpPr>
      <xdr:spPr>
        <a:xfrm>
          <a:off x="0" y="3951565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2</xdr:col>
      <xdr:colOff>1109666</xdr:colOff>
      <xdr:row>2074</xdr:row>
      <xdr:rowOff>47624</xdr:rowOff>
    </xdr:from>
    <xdr:to>
      <xdr:col>2</xdr:col>
      <xdr:colOff>2669386</xdr:colOff>
      <xdr:row>2078</xdr:row>
      <xdr:rowOff>19050</xdr:rowOff>
    </xdr:to>
    <xdr:sp macro="" textlink="">
      <xdr:nvSpPr>
        <xdr:cNvPr id="82" name="280 CuadroTexto"/>
        <xdr:cNvSpPr txBox="1"/>
      </xdr:nvSpPr>
      <xdr:spPr>
        <a:xfrm>
          <a:off x="2281241" y="395144624"/>
          <a:ext cx="714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2633663</xdr:colOff>
      <xdr:row>2074</xdr:row>
      <xdr:rowOff>47628</xdr:rowOff>
    </xdr:from>
    <xdr:to>
      <xdr:col>3</xdr:col>
      <xdr:colOff>1073944</xdr:colOff>
      <xdr:row>2078</xdr:row>
      <xdr:rowOff>43097</xdr:rowOff>
    </xdr:to>
    <xdr:sp macro="" textlink="">
      <xdr:nvSpPr>
        <xdr:cNvPr id="83" name="281 CuadroTexto"/>
        <xdr:cNvSpPr txBox="1"/>
      </xdr:nvSpPr>
      <xdr:spPr>
        <a:xfrm>
          <a:off x="2281238" y="3951446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2074</xdr:row>
      <xdr:rowOff>35718</xdr:rowOff>
    </xdr:from>
    <xdr:to>
      <xdr:col>5</xdr:col>
      <xdr:colOff>1304925</xdr:colOff>
      <xdr:row>2078</xdr:row>
      <xdr:rowOff>49381</xdr:rowOff>
    </xdr:to>
    <xdr:sp macro="" textlink="">
      <xdr:nvSpPr>
        <xdr:cNvPr id="84" name="282 CuadroTexto"/>
        <xdr:cNvSpPr txBox="1"/>
      </xdr:nvSpPr>
      <xdr:spPr>
        <a:xfrm>
          <a:off x="3050381" y="3951327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0</xdr:col>
      <xdr:colOff>0</xdr:colOff>
      <xdr:row>2139</xdr:row>
      <xdr:rowOff>59530</xdr:rowOff>
    </xdr:from>
    <xdr:to>
      <xdr:col>2</xdr:col>
      <xdr:colOff>1131094</xdr:colOff>
      <xdr:row>2142</xdr:row>
      <xdr:rowOff>95250</xdr:rowOff>
    </xdr:to>
    <xdr:sp macro="" textlink="">
      <xdr:nvSpPr>
        <xdr:cNvPr id="85" name="279 CuadroTexto"/>
        <xdr:cNvSpPr txBox="1"/>
      </xdr:nvSpPr>
      <xdr:spPr>
        <a:xfrm>
          <a:off x="0" y="4075390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2</xdr:col>
      <xdr:colOff>1109666</xdr:colOff>
      <xdr:row>2139</xdr:row>
      <xdr:rowOff>47624</xdr:rowOff>
    </xdr:from>
    <xdr:to>
      <xdr:col>2</xdr:col>
      <xdr:colOff>2669386</xdr:colOff>
      <xdr:row>2143</xdr:row>
      <xdr:rowOff>19050</xdr:rowOff>
    </xdr:to>
    <xdr:sp macro="" textlink="">
      <xdr:nvSpPr>
        <xdr:cNvPr id="86" name="280 CuadroTexto"/>
        <xdr:cNvSpPr txBox="1"/>
      </xdr:nvSpPr>
      <xdr:spPr>
        <a:xfrm>
          <a:off x="2281241" y="407527124"/>
          <a:ext cx="714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2633663</xdr:colOff>
      <xdr:row>2139</xdr:row>
      <xdr:rowOff>47628</xdr:rowOff>
    </xdr:from>
    <xdr:to>
      <xdr:col>3</xdr:col>
      <xdr:colOff>1073944</xdr:colOff>
      <xdr:row>2143</xdr:row>
      <xdr:rowOff>43097</xdr:rowOff>
    </xdr:to>
    <xdr:sp macro="" textlink="">
      <xdr:nvSpPr>
        <xdr:cNvPr id="87" name="281 CuadroTexto"/>
        <xdr:cNvSpPr txBox="1"/>
      </xdr:nvSpPr>
      <xdr:spPr>
        <a:xfrm>
          <a:off x="2281238" y="4075271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2139</xdr:row>
      <xdr:rowOff>35718</xdr:rowOff>
    </xdr:from>
    <xdr:to>
      <xdr:col>5</xdr:col>
      <xdr:colOff>1304925</xdr:colOff>
      <xdr:row>2143</xdr:row>
      <xdr:rowOff>49381</xdr:rowOff>
    </xdr:to>
    <xdr:sp macro="" textlink="">
      <xdr:nvSpPr>
        <xdr:cNvPr id="88" name="282 CuadroTexto"/>
        <xdr:cNvSpPr txBox="1"/>
      </xdr:nvSpPr>
      <xdr:spPr>
        <a:xfrm>
          <a:off x="3050381" y="4075152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oneCellAnchor>
    <xdr:from>
      <xdr:col>0</xdr:col>
      <xdr:colOff>0</xdr:colOff>
      <xdr:row>326</xdr:row>
      <xdr:rowOff>0</xdr:rowOff>
    </xdr:from>
    <xdr:ext cx="495300" cy="0"/>
    <xdr:pic>
      <xdr:nvPicPr>
        <xdr:cNvPr id="89"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103000"/>
          <a:ext cx="495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328</xdr:row>
      <xdr:rowOff>0</xdr:rowOff>
    </xdr:from>
    <xdr:ext cx="495300" cy="0"/>
    <xdr:pic>
      <xdr:nvPicPr>
        <xdr:cNvPr id="90"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2484000"/>
          <a:ext cx="4953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190500</xdr:colOff>
      <xdr:row>326</xdr:row>
      <xdr:rowOff>57150</xdr:rowOff>
    </xdr:from>
    <xdr:ext cx="1257300" cy="590550"/>
    <xdr:pic>
      <xdr:nvPicPr>
        <xdr:cNvPr id="91"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0" y="62160150"/>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266700</xdr:colOff>
      <xdr:row>586</xdr:row>
      <xdr:rowOff>47625</xdr:rowOff>
    </xdr:from>
    <xdr:ext cx="1162050" cy="590550"/>
    <xdr:pic>
      <xdr:nvPicPr>
        <xdr:cNvPr id="92"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28700" y="111680625"/>
          <a:ext cx="11620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209550</xdr:colOff>
      <xdr:row>651</xdr:row>
      <xdr:rowOff>19050</xdr:rowOff>
    </xdr:from>
    <xdr:ext cx="1162050" cy="590550"/>
    <xdr:pic>
      <xdr:nvPicPr>
        <xdr:cNvPr id="93"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71550" y="124034550"/>
          <a:ext cx="11620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200025</xdr:colOff>
      <xdr:row>781</xdr:row>
      <xdr:rowOff>9525</xdr:rowOff>
    </xdr:from>
    <xdr:ext cx="1200150" cy="590550"/>
    <xdr:pic>
      <xdr:nvPicPr>
        <xdr:cNvPr id="94"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148790025"/>
          <a:ext cx="12001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180974</xdr:colOff>
      <xdr:row>846</xdr:row>
      <xdr:rowOff>19050</xdr:rowOff>
    </xdr:from>
    <xdr:ext cx="1190625" cy="590550"/>
    <xdr:pic>
      <xdr:nvPicPr>
        <xdr:cNvPr id="95"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42974" y="161182050"/>
          <a:ext cx="11906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171450</xdr:colOff>
      <xdr:row>911</xdr:row>
      <xdr:rowOff>19050</xdr:rowOff>
    </xdr:from>
    <xdr:ext cx="1190625" cy="590550"/>
    <xdr:pic>
      <xdr:nvPicPr>
        <xdr:cNvPr id="96"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33450" y="173564550"/>
          <a:ext cx="11906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976</xdr:row>
      <xdr:rowOff>9525</xdr:rowOff>
    </xdr:from>
    <xdr:ext cx="1190625" cy="590550"/>
    <xdr:pic>
      <xdr:nvPicPr>
        <xdr:cNvPr id="97"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14400" y="185937525"/>
          <a:ext cx="11906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219075</xdr:colOff>
      <xdr:row>1041</xdr:row>
      <xdr:rowOff>19050</xdr:rowOff>
    </xdr:from>
    <xdr:ext cx="1190625" cy="590550"/>
    <xdr:pic>
      <xdr:nvPicPr>
        <xdr:cNvPr id="98"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81075" y="198329550"/>
          <a:ext cx="11906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161925</xdr:colOff>
      <xdr:row>1106</xdr:row>
      <xdr:rowOff>0</xdr:rowOff>
    </xdr:from>
    <xdr:ext cx="1190625" cy="590550"/>
    <xdr:pic>
      <xdr:nvPicPr>
        <xdr:cNvPr id="99"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3925" y="210693000"/>
          <a:ext cx="11906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161925</xdr:colOff>
      <xdr:row>1171</xdr:row>
      <xdr:rowOff>0</xdr:rowOff>
    </xdr:from>
    <xdr:ext cx="1190625" cy="590550"/>
    <xdr:pic>
      <xdr:nvPicPr>
        <xdr:cNvPr id="100"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3925" y="223075500"/>
          <a:ext cx="11906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171450</xdr:colOff>
      <xdr:row>1366</xdr:row>
      <xdr:rowOff>9525</xdr:rowOff>
    </xdr:from>
    <xdr:ext cx="1295400" cy="590550"/>
    <xdr:pic>
      <xdr:nvPicPr>
        <xdr:cNvPr id="101"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33450" y="260232525"/>
          <a:ext cx="12954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66675</xdr:colOff>
      <xdr:row>1431</xdr:row>
      <xdr:rowOff>19050</xdr:rowOff>
    </xdr:from>
    <xdr:ext cx="1295400" cy="590550"/>
    <xdr:pic>
      <xdr:nvPicPr>
        <xdr:cNvPr id="102"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28675" y="272624550"/>
          <a:ext cx="12954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95250</xdr:colOff>
      <xdr:row>1496</xdr:row>
      <xdr:rowOff>28575</xdr:rowOff>
    </xdr:from>
    <xdr:ext cx="1295400" cy="590550"/>
    <xdr:pic>
      <xdr:nvPicPr>
        <xdr:cNvPr id="103"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857250" y="285016575"/>
          <a:ext cx="12954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200025</xdr:colOff>
      <xdr:row>1561</xdr:row>
      <xdr:rowOff>38100</xdr:rowOff>
    </xdr:from>
    <xdr:ext cx="1295400" cy="590550"/>
    <xdr:pic>
      <xdr:nvPicPr>
        <xdr:cNvPr id="104"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2025" y="297408600"/>
          <a:ext cx="12954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276225</xdr:colOff>
      <xdr:row>2016</xdr:row>
      <xdr:rowOff>28575</xdr:rowOff>
    </xdr:from>
    <xdr:ext cx="1295400" cy="590550"/>
    <xdr:pic>
      <xdr:nvPicPr>
        <xdr:cNvPr id="105"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38225" y="384076575"/>
          <a:ext cx="12954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200025</xdr:colOff>
      <xdr:row>2081</xdr:row>
      <xdr:rowOff>9525</xdr:rowOff>
    </xdr:from>
    <xdr:ext cx="1295400" cy="590550"/>
    <xdr:pic>
      <xdr:nvPicPr>
        <xdr:cNvPr id="106"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2025" y="396440025"/>
          <a:ext cx="12954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209550</xdr:colOff>
      <xdr:row>2212</xdr:row>
      <xdr:rowOff>47625</xdr:rowOff>
    </xdr:from>
    <xdr:ext cx="1295400" cy="590550"/>
    <xdr:pic>
      <xdr:nvPicPr>
        <xdr:cNvPr id="107"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71550" y="421433625"/>
          <a:ext cx="12954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2277</xdr:row>
      <xdr:rowOff>47625</xdr:rowOff>
    </xdr:from>
    <xdr:ext cx="1295400" cy="590550"/>
    <xdr:pic>
      <xdr:nvPicPr>
        <xdr:cNvPr id="108"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85850" y="433816125"/>
          <a:ext cx="12954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47624</xdr:colOff>
      <xdr:row>326</xdr:row>
      <xdr:rowOff>66675</xdr:rowOff>
    </xdr:from>
    <xdr:ext cx="1150471" cy="523875"/>
    <xdr:pic>
      <xdr:nvPicPr>
        <xdr:cNvPr id="109"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95624" y="62169675"/>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0</xdr:colOff>
      <xdr:row>586</xdr:row>
      <xdr:rowOff>76200</xdr:rowOff>
    </xdr:from>
    <xdr:ext cx="1150471" cy="523875"/>
    <xdr:pic>
      <xdr:nvPicPr>
        <xdr:cNvPr id="110"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10000" y="111709200"/>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57150</xdr:colOff>
      <xdr:row>651</xdr:row>
      <xdr:rowOff>66675</xdr:rowOff>
    </xdr:from>
    <xdr:ext cx="1150471" cy="523875"/>
    <xdr:pic>
      <xdr:nvPicPr>
        <xdr:cNvPr id="111"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05150" y="124082175"/>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781</xdr:row>
      <xdr:rowOff>28575</xdr:rowOff>
    </xdr:from>
    <xdr:ext cx="1150471" cy="523875"/>
    <xdr:pic>
      <xdr:nvPicPr>
        <xdr:cNvPr id="112"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43250" y="148809075"/>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846</xdr:row>
      <xdr:rowOff>66675</xdr:rowOff>
    </xdr:from>
    <xdr:ext cx="1150471" cy="523875"/>
    <xdr:pic>
      <xdr:nvPicPr>
        <xdr:cNvPr id="113"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24200" y="161229675"/>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57150</xdr:colOff>
      <xdr:row>911</xdr:row>
      <xdr:rowOff>47625</xdr:rowOff>
    </xdr:from>
    <xdr:ext cx="1150471" cy="523875"/>
    <xdr:pic>
      <xdr:nvPicPr>
        <xdr:cNvPr id="114"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05150" y="173593125"/>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47625</xdr:colOff>
      <xdr:row>976</xdr:row>
      <xdr:rowOff>47625</xdr:rowOff>
    </xdr:from>
    <xdr:ext cx="1150471" cy="523875"/>
    <xdr:pic>
      <xdr:nvPicPr>
        <xdr:cNvPr id="115"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95625" y="185975625"/>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38100</xdr:colOff>
      <xdr:row>1041</xdr:row>
      <xdr:rowOff>19050</xdr:rowOff>
    </xdr:from>
    <xdr:ext cx="1150471" cy="523875"/>
    <xdr:pic>
      <xdr:nvPicPr>
        <xdr:cNvPr id="116"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86100" y="198329550"/>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85725</xdr:colOff>
      <xdr:row>1106</xdr:row>
      <xdr:rowOff>0</xdr:rowOff>
    </xdr:from>
    <xdr:ext cx="1150471" cy="523875"/>
    <xdr:pic>
      <xdr:nvPicPr>
        <xdr:cNvPr id="117"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33725" y="210693000"/>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38100</xdr:colOff>
      <xdr:row>1171</xdr:row>
      <xdr:rowOff>47625</xdr:rowOff>
    </xdr:from>
    <xdr:ext cx="1150471" cy="523875"/>
    <xdr:pic>
      <xdr:nvPicPr>
        <xdr:cNvPr id="118"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86100" y="223123125"/>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57150</xdr:colOff>
      <xdr:row>1366</xdr:row>
      <xdr:rowOff>85725</xdr:rowOff>
    </xdr:from>
    <xdr:ext cx="1150471" cy="523875"/>
    <xdr:pic>
      <xdr:nvPicPr>
        <xdr:cNvPr id="119"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05150" y="260308725"/>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104775</xdr:colOff>
      <xdr:row>1431</xdr:row>
      <xdr:rowOff>28575</xdr:rowOff>
    </xdr:from>
    <xdr:ext cx="1150471" cy="523875"/>
    <xdr:pic>
      <xdr:nvPicPr>
        <xdr:cNvPr id="120"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14775" y="272634075"/>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95250</xdr:colOff>
      <xdr:row>1496</xdr:row>
      <xdr:rowOff>38100</xdr:rowOff>
    </xdr:from>
    <xdr:ext cx="1150471" cy="523875"/>
    <xdr:pic>
      <xdr:nvPicPr>
        <xdr:cNvPr id="121"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05250" y="285026100"/>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19050</xdr:colOff>
      <xdr:row>1561</xdr:row>
      <xdr:rowOff>9525</xdr:rowOff>
    </xdr:from>
    <xdr:ext cx="1150471" cy="523875"/>
    <xdr:pic>
      <xdr:nvPicPr>
        <xdr:cNvPr id="122"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67050" y="297380025"/>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38100</xdr:colOff>
      <xdr:row>2016</xdr:row>
      <xdr:rowOff>38100</xdr:rowOff>
    </xdr:from>
    <xdr:ext cx="1150471" cy="523875"/>
    <xdr:pic>
      <xdr:nvPicPr>
        <xdr:cNvPr id="123"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86100" y="384086100"/>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47625</xdr:colOff>
      <xdr:row>2081</xdr:row>
      <xdr:rowOff>57150</xdr:rowOff>
    </xdr:from>
    <xdr:ext cx="1150471" cy="523875"/>
    <xdr:pic>
      <xdr:nvPicPr>
        <xdr:cNvPr id="124"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95625" y="396487650"/>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66675</xdr:colOff>
      <xdr:row>2212</xdr:row>
      <xdr:rowOff>57150</xdr:rowOff>
    </xdr:from>
    <xdr:ext cx="1150471" cy="523875"/>
    <xdr:pic>
      <xdr:nvPicPr>
        <xdr:cNvPr id="125"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14675" y="421443150"/>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38100</xdr:colOff>
      <xdr:row>2277</xdr:row>
      <xdr:rowOff>66675</xdr:rowOff>
    </xdr:from>
    <xdr:ext cx="1150471" cy="523875"/>
    <xdr:pic>
      <xdr:nvPicPr>
        <xdr:cNvPr id="126"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86100" y="433835175"/>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2204</xdr:row>
      <xdr:rowOff>59530</xdr:rowOff>
    </xdr:from>
    <xdr:to>
      <xdr:col>2</xdr:col>
      <xdr:colOff>1131094</xdr:colOff>
      <xdr:row>2207</xdr:row>
      <xdr:rowOff>95250</xdr:rowOff>
    </xdr:to>
    <xdr:sp macro="" textlink="">
      <xdr:nvSpPr>
        <xdr:cNvPr id="127" name="279 CuadroTexto"/>
        <xdr:cNvSpPr txBox="1"/>
      </xdr:nvSpPr>
      <xdr:spPr>
        <a:xfrm>
          <a:off x="0" y="419921530"/>
          <a:ext cx="2283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2</xdr:col>
      <xdr:colOff>1109666</xdr:colOff>
      <xdr:row>2204</xdr:row>
      <xdr:rowOff>47624</xdr:rowOff>
    </xdr:from>
    <xdr:to>
      <xdr:col>2</xdr:col>
      <xdr:colOff>2669386</xdr:colOff>
      <xdr:row>2208</xdr:row>
      <xdr:rowOff>19050</xdr:rowOff>
    </xdr:to>
    <xdr:sp macro="" textlink="">
      <xdr:nvSpPr>
        <xdr:cNvPr id="128" name="280 CuadroTexto"/>
        <xdr:cNvSpPr txBox="1"/>
      </xdr:nvSpPr>
      <xdr:spPr>
        <a:xfrm>
          <a:off x="2281241" y="419909624"/>
          <a:ext cx="7145"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2633663</xdr:colOff>
      <xdr:row>2204</xdr:row>
      <xdr:rowOff>47628</xdr:rowOff>
    </xdr:from>
    <xdr:to>
      <xdr:col>3</xdr:col>
      <xdr:colOff>1073944</xdr:colOff>
      <xdr:row>2208</xdr:row>
      <xdr:rowOff>43097</xdr:rowOff>
    </xdr:to>
    <xdr:sp macro="" textlink="">
      <xdr:nvSpPr>
        <xdr:cNvPr id="129" name="281 CuadroTexto"/>
        <xdr:cNvSpPr txBox="1"/>
      </xdr:nvSpPr>
      <xdr:spPr>
        <a:xfrm>
          <a:off x="2281238" y="419909628"/>
          <a:ext cx="764381" cy="7574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888206</xdr:colOff>
      <xdr:row>2204</xdr:row>
      <xdr:rowOff>35718</xdr:rowOff>
    </xdr:from>
    <xdr:to>
      <xdr:col>5</xdr:col>
      <xdr:colOff>1304925</xdr:colOff>
      <xdr:row>2208</xdr:row>
      <xdr:rowOff>49381</xdr:rowOff>
    </xdr:to>
    <xdr:sp macro="" textlink="">
      <xdr:nvSpPr>
        <xdr:cNvPr id="130" name="282 CuadroTexto"/>
        <xdr:cNvSpPr txBox="1"/>
      </xdr:nvSpPr>
      <xdr:spPr>
        <a:xfrm>
          <a:off x="3050381" y="419897718"/>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oneCellAnchor>
    <xdr:from>
      <xdr:col>1</xdr:col>
      <xdr:colOff>200025</xdr:colOff>
      <xdr:row>2146</xdr:row>
      <xdr:rowOff>9525</xdr:rowOff>
    </xdr:from>
    <xdr:ext cx="1295400" cy="590550"/>
    <xdr:pic>
      <xdr:nvPicPr>
        <xdr:cNvPr id="131"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62025" y="408822525"/>
          <a:ext cx="12954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47625</xdr:colOff>
      <xdr:row>2146</xdr:row>
      <xdr:rowOff>57150</xdr:rowOff>
    </xdr:from>
    <xdr:ext cx="1150471" cy="523875"/>
    <xdr:pic>
      <xdr:nvPicPr>
        <xdr:cNvPr id="132"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095625" y="408870150"/>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257175</xdr:colOff>
      <xdr:row>1</xdr:row>
      <xdr:rowOff>9525</xdr:rowOff>
    </xdr:from>
    <xdr:ext cx="1257300" cy="590550"/>
    <xdr:pic>
      <xdr:nvPicPr>
        <xdr:cNvPr id="133"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9175" y="200025"/>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228600</xdr:colOff>
      <xdr:row>65</xdr:row>
      <xdr:rowOff>133350</xdr:rowOff>
    </xdr:from>
    <xdr:ext cx="1257300" cy="590550"/>
    <xdr:pic>
      <xdr:nvPicPr>
        <xdr:cNvPr id="134"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0600" y="12515850"/>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130</xdr:row>
      <xdr:rowOff>123825</xdr:rowOff>
    </xdr:from>
    <xdr:ext cx="1257300" cy="590550"/>
    <xdr:pic>
      <xdr:nvPicPr>
        <xdr:cNvPr id="135"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2975" y="24888825"/>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200025</xdr:colOff>
      <xdr:row>195</xdr:row>
      <xdr:rowOff>152400</xdr:rowOff>
    </xdr:from>
    <xdr:ext cx="1257300" cy="590550"/>
    <xdr:pic>
      <xdr:nvPicPr>
        <xdr:cNvPr id="136"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2025" y="37299900"/>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261</xdr:row>
      <xdr:rowOff>9525</xdr:rowOff>
    </xdr:from>
    <xdr:ext cx="1257300" cy="590550"/>
    <xdr:pic>
      <xdr:nvPicPr>
        <xdr:cNvPr id="137"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2975" y="49730025"/>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142875</xdr:colOff>
      <xdr:row>390</xdr:row>
      <xdr:rowOff>142875</xdr:rowOff>
    </xdr:from>
    <xdr:ext cx="1257300" cy="590550"/>
    <xdr:pic>
      <xdr:nvPicPr>
        <xdr:cNvPr id="138"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4875" y="74437875"/>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455</xdr:row>
      <xdr:rowOff>152400</xdr:rowOff>
    </xdr:from>
    <xdr:ext cx="1257300" cy="590550"/>
    <xdr:pic>
      <xdr:nvPicPr>
        <xdr:cNvPr id="139"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2975" y="86829900"/>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520</xdr:row>
      <xdr:rowOff>142875</xdr:rowOff>
    </xdr:from>
    <xdr:ext cx="1257300" cy="590550"/>
    <xdr:pic>
      <xdr:nvPicPr>
        <xdr:cNvPr id="140"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2975" y="99202875"/>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209550</xdr:colOff>
      <xdr:row>716</xdr:row>
      <xdr:rowOff>19050</xdr:rowOff>
    </xdr:from>
    <xdr:ext cx="1257300" cy="590550"/>
    <xdr:pic>
      <xdr:nvPicPr>
        <xdr:cNvPr id="141"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550" y="136417050"/>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180975</xdr:colOff>
      <xdr:row>1236</xdr:row>
      <xdr:rowOff>47625</xdr:rowOff>
    </xdr:from>
    <xdr:ext cx="1257300" cy="590550"/>
    <xdr:pic>
      <xdr:nvPicPr>
        <xdr:cNvPr id="142"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42975" y="235505625"/>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152400</xdr:colOff>
      <xdr:row>1301</xdr:row>
      <xdr:rowOff>28575</xdr:rowOff>
    </xdr:from>
    <xdr:ext cx="1257300" cy="590550"/>
    <xdr:pic>
      <xdr:nvPicPr>
        <xdr:cNvPr id="143"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4400" y="247869075"/>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123825</xdr:colOff>
      <xdr:row>1627</xdr:row>
      <xdr:rowOff>38100</xdr:rowOff>
    </xdr:from>
    <xdr:ext cx="1257300" cy="590550"/>
    <xdr:pic>
      <xdr:nvPicPr>
        <xdr:cNvPr id="144"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5825" y="309981600"/>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209550</xdr:colOff>
      <xdr:row>1755</xdr:row>
      <xdr:rowOff>152400</xdr:rowOff>
    </xdr:from>
    <xdr:ext cx="1257300" cy="590550"/>
    <xdr:pic>
      <xdr:nvPicPr>
        <xdr:cNvPr id="145"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71550" y="334479900"/>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38100</xdr:colOff>
      <xdr:row>1820</xdr:row>
      <xdr:rowOff>9525</xdr:rowOff>
    </xdr:from>
    <xdr:ext cx="1257300" cy="590550"/>
    <xdr:pic>
      <xdr:nvPicPr>
        <xdr:cNvPr id="146"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00100" y="346719525"/>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171450</xdr:colOff>
      <xdr:row>1885</xdr:row>
      <xdr:rowOff>123825</xdr:rowOff>
    </xdr:from>
    <xdr:ext cx="1257300" cy="590550"/>
    <xdr:pic>
      <xdr:nvPicPr>
        <xdr:cNvPr id="147"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3450" y="359216325"/>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161925</xdr:colOff>
      <xdr:row>1950</xdr:row>
      <xdr:rowOff>104775</xdr:rowOff>
    </xdr:from>
    <xdr:ext cx="1257300" cy="590550"/>
    <xdr:pic>
      <xdr:nvPicPr>
        <xdr:cNvPr id="148"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23925" y="371579775"/>
          <a:ext cx="125730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47625</xdr:colOff>
      <xdr:row>1</xdr:row>
      <xdr:rowOff>0</xdr:rowOff>
    </xdr:from>
    <xdr:ext cx="1150471" cy="523875"/>
    <xdr:pic>
      <xdr:nvPicPr>
        <xdr:cNvPr id="149"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57625" y="190500"/>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57150</xdr:colOff>
      <xdr:row>65</xdr:row>
      <xdr:rowOff>152400</xdr:rowOff>
    </xdr:from>
    <xdr:ext cx="1150471" cy="523875"/>
    <xdr:pic>
      <xdr:nvPicPr>
        <xdr:cNvPr id="150"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105150" y="12534900"/>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123825</xdr:colOff>
      <xdr:row>131</xdr:row>
      <xdr:rowOff>9525</xdr:rowOff>
    </xdr:from>
    <xdr:ext cx="1150471" cy="523875"/>
    <xdr:pic>
      <xdr:nvPicPr>
        <xdr:cNvPr id="151"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33825" y="24965025"/>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114300</xdr:colOff>
      <xdr:row>196</xdr:row>
      <xdr:rowOff>19050</xdr:rowOff>
    </xdr:from>
    <xdr:ext cx="1150471" cy="523875"/>
    <xdr:pic>
      <xdr:nvPicPr>
        <xdr:cNvPr id="152"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24300" y="37357050"/>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28575</xdr:colOff>
      <xdr:row>261</xdr:row>
      <xdr:rowOff>85725</xdr:rowOff>
    </xdr:from>
    <xdr:ext cx="1150471" cy="523875"/>
    <xdr:pic>
      <xdr:nvPicPr>
        <xdr:cNvPr id="153"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38575" y="49806225"/>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104775</xdr:colOff>
      <xdr:row>391</xdr:row>
      <xdr:rowOff>38100</xdr:rowOff>
    </xdr:from>
    <xdr:ext cx="1150471" cy="523875"/>
    <xdr:pic>
      <xdr:nvPicPr>
        <xdr:cNvPr id="154"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14775" y="74523600"/>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57150</xdr:colOff>
      <xdr:row>456</xdr:row>
      <xdr:rowOff>9525</xdr:rowOff>
    </xdr:from>
    <xdr:ext cx="1150471" cy="523875"/>
    <xdr:pic>
      <xdr:nvPicPr>
        <xdr:cNvPr id="155"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67150" y="86877525"/>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133350</xdr:colOff>
      <xdr:row>520</xdr:row>
      <xdr:rowOff>142875</xdr:rowOff>
    </xdr:from>
    <xdr:ext cx="1150471" cy="523875"/>
    <xdr:pic>
      <xdr:nvPicPr>
        <xdr:cNvPr id="156"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43350" y="99202875"/>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171450</xdr:colOff>
      <xdr:row>716</xdr:row>
      <xdr:rowOff>38100</xdr:rowOff>
    </xdr:from>
    <xdr:ext cx="1150471" cy="523875"/>
    <xdr:pic>
      <xdr:nvPicPr>
        <xdr:cNvPr id="157"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81450" y="136436100"/>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152400</xdr:colOff>
      <xdr:row>1236</xdr:row>
      <xdr:rowOff>38100</xdr:rowOff>
    </xdr:from>
    <xdr:ext cx="1150471" cy="523875"/>
    <xdr:pic>
      <xdr:nvPicPr>
        <xdr:cNvPr id="158"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62400" y="235496100"/>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123825</xdr:colOff>
      <xdr:row>1301</xdr:row>
      <xdr:rowOff>19050</xdr:rowOff>
    </xdr:from>
    <xdr:ext cx="1150471" cy="523875"/>
    <xdr:pic>
      <xdr:nvPicPr>
        <xdr:cNvPr id="159"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33825" y="247859550"/>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76200</xdr:colOff>
      <xdr:row>1627</xdr:row>
      <xdr:rowOff>19050</xdr:rowOff>
    </xdr:from>
    <xdr:ext cx="1150471" cy="523875"/>
    <xdr:pic>
      <xdr:nvPicPr>
        <xdr:cNvPr id="160"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886200" y="309962550"/>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142875</xdr:colOff>
      <xdr:row>1756</xdr:row>
      <xdr:rowOff>19050</xdr:rowOff>
    </xdr:from>
    <xdr:ext cx="1150471" cy="523875"/>
    <xdr:pic>
      <xdr:nvPicPr>
        <xdr:cNvPr id="161"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52875" y="334537050"/>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142875</xdr:colOff>
      <xdr:row>1820</xdr:row>
      <xdr:rowOff>66675</xdr:rowOff>
    </xdr:from>
    <xdr:ext cx="1150471" cy="523875"/>
    <xdr:pic>
      <xdr:nvPicPr>
        <xdr:cNvPr id="162"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52875" y="346776675"/>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104775</xdr:colOff>
      <xdr:row>1885</xdr:row>
      <xdr:rowOff>133350</xdr:rowOff>
    </xdr:from>
    <xdr:ext cx="1150471" cy="523875"/>
    <xdr:pic>
      <xdr:nvPicPr>
        <xdr:cNvPr id="163"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14775" y="359225850"/>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114300</xdr:colOff>
      <xdr:row>1951</xdr:row>
      <xdr:rowOff>9525</xdr:rowOff>
    </xdr:from>
    <xdr:ext cx="1150471" cy="523875"/>
    <xdr:pic>
      <xdr:nvPicPr>
        <xdr:cNvPr id="164"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924300" y="371675025"/>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xdr:col>
      <xdr:colOff>28575</xdr:colOff>
      <xdr:row>59</xdr:row>
      <xdr:rowOff>28575</xdr:rowOff>
    </xdr:from>
    <xdr:to>
      <xdr:col>2</xdr:col>
      <xdr:colOff>1197769</xdr:colOff>
      <xdr:row>62</xdr:row>
      <xdr:rowOff>64295</xdr:rowOff>
    </xdr:to>
    <xdr:sp macro="" textlink="">
      <xdr:nvSpPr>
        <xdr:cNvPr id="165" name="63 CuadroTexto"/>
        <xdr:cNvSpPr txBox="1"/>
      </xdr:nvSpPr>
      <xdr:spPr>
        <a:xfrm>
          <a:off x="790575" y="11268075"/>
          <a:ext cx="1493044"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1</xdr:col>
      <xdr:colOff>9525</xdr:colOff>
      <xdr:row>124</xdr:row>
      <xdr:rowOff>28575</xdr:rowOff>
    </xdr:from>
    <xdr:to>
      <xdr:col>2</xdr:col>
      <xdr:colOff>1178719</xdr:colOff>
      <xdr:row>127</xdr:row>
      <xdr:rowOff>64295</xdr:rowOff>
    </xdr:to>
    <xdr:sp macro="" textlink="">
      <xdr:nvSpPr>
        <xdr:cNvPr id="166" name="63 CuadroTexto"/>
        <xdr:cNvSpPr txBox="1"/>
      </xdr:nvSpPr>
      <xdr:spPr>
        <a:xfrm>
          <a:off x="771525" y="23650575"/>
          <a:ext cx="1512094"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1</xdr:col>
      <xdr:colOff>0</xdr:colOff>
      <xdr:row>189</xdr:row>
      <xdr:rowOff>0</xdr:rowOff>
    </xdr:from>
    <xdr:to>
      <xdr:col>2</xdr:col>
      <xdr:colOff>1169194</xdr:colOff>
      <xdr:row>192</xdr:row>
      <xdr:rowOff>35720</xdr:rowOff>
    </xdr:to>
    <xdr:sp macro="" textlink="">
      <xdr:nvSpPr>
        <xdr:cNvPr id="167" name="63 CuadroTexto"/>
        <xdr:cNvSpPr txBox="1"/>
      </xdr:nvSpPr>
      <xdr:spPr>
        <a:xfrm>
          <a:off x="762000" y="36004500"/>
          <a:ext cx="1521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1</xdr:col>
      <xdr:colOff>47625</xdr:colOff>
      <xdr:row>254</xdr:row>
      <xdr:rowOff>19050</xdr:rowOff>
    </xdr:from>
    <xdr:to>
      <xdr:col>2</xdr:col>
      <xdr:colOff>1216819</xdr:colOff>
      <xdr:row>257</xdr:row>
      <xdr:rowOff>54770</xdr:rowOff>
    </xdr:to>
    <xdr:sp macro="" textlink="">
      <xdr:nvSpPr>
        <xdr:cNvPr id="168" name="63 CuadroTexto"/>
        <xdr:cNvSpPr txBox="1"/>
      </xdr:nvSpPr>
      <xdr:spPr>
        <a:xfrm>
          <a:off x="809625" y="48406050"/>
          <a:ext cx="1473994"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1</xdr:col>
      <xdr:colOff>9525</xdr:colOff>
      <xdr:row>319</xdr:row>
      <xdr:rowOff>19050</xdr:rowOff>
    </xdr:from>
    <xdr:to>
      <xdr:col>2</xdr:col>
      <xdr:colOff>1178719</xdr:colOff>
      <xdr:row>322</xdr:row>
      <xdr:rowOff>54770</xdr:rowOff>
    </xdr:to>
    <xdr:sp macro="" textlink="">
      <xdr:nvSpPr>
        <xdr:cNvPr id="169" name="63 CuadroTexto"/>
        <xdr:cNvSpPr txBox="1"/>
      </xdr:nvSpPr>
      <xdr:spPr>
        <a:xfrm>
          <a:off x="771525" y="60788550"/>
          <a:ext cx="1512094"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1</xdr:col>
      <xdr:colOff>28575</xdr:colOff>
      <xdr:row>449</xdr:row>
      <xdr:rowOff>19050</xdr:rowOff>
    </xdr:from>
    <xdr:to>
      <xdr:col>2</xdr:col>
      <xdr:colOff>1197769</xdr:colOff>
      <xdr:row>452</xdr:row>
      <xdr:rowOff>54770</xdr:rowOff>
    </xdr:to>
    <xdr:sp macro="" textlink="">
      <xdr:nvSpPr>
        <xdr:cNvPr id="170" name="63 CuadroTexto"/>
        <xdr:cNvSpPr txBox="1"/>
      </xdr:nvSpPr>
      <xdr:spPr>
        <a:xfrm>
          <a:off x="790575" y="85553550"/>
          <a:ext cx="1493044"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1</xdr:col>
      <xdr:colOff>0</xdr:colOff>
      <xdr:row>514</xdr:row>
      <xdr:rowOff>47625</xdr:rowOff>
    </xdr:from>
    <xdr:to>
      <xdr:col>2</xdr:col>
      <xdr:colOff>1169194</xdr:colOff>
      <xdr:row>517</xdr:row>
      <xdr:rowOff>83345</xdr:rowOff>
    </xdr:to>
    <xdr:sp macro="" textlink="">
      <xdr:nvSpPr>
        <xdr:cNvPr id="171" name="63 CuadroTexto"/>
        <xdr:cNvSpPr txBox="1"/>
      </xdr:nvSpPr>
      <xdr:spPr>
        <a:xfrm>
          <a:off x="762000" y="97964625"/>
          <a:ext cx="1521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1</xdr:col>
      <xdr:colOff>19050</xdr:colOff>
      <xdr:row>579</xdr:row>
      <xdr:rowOff>38100</xdr:rowOff>
    </xdr:from>
    <xdr:to>
      <xdr:col>2</xdr:col>
      <xdr:colOff>1188244</xdr:colOff>
      <xdr:row>582</xdr:row>
      <xdr:rowOff>73820</xdr:rowOff>
    </xdr:to>
    <xdr:sp macro="" textlink="">
      <xdr:nvSpPr>
        <xdr:cNvPr id="172" name="63 CuadroTexto"/>
        <xdr:cNvSpPr txBox="1"/>
      </xdr:nvSpPr>
      <xdr:spPr>
        <a:xfrm>
          <a:off x="781050" y="110337600"/>
          <a:ext cx="150256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1</xdr:col>
      <xdr:colOff>0</xdr:colOff>
      <xdr:row>1294</xdr:row>
      <xdr:rowOff>0</xdr:rowOff>
    </xdr:from>
    <xdr:to>
      <xdr:col>2</xdr:col>
      <xdr:colOff>1169194</xdr:colOff>
      <xdr:row>1297</xdr:row>
      <xdr:rowOff>35720</xdr:rowOff>
    </xdr:to>
    <xdr:sp macro="" textlink="">
      <xdr:nvSpPr>
        <xdr:cNvPr id="173" name="63 CuadroTexto"/>
        <xdr:cNvSpPr txBox="1"/>
      </xdr:nvSpPr>
      <xdr:spPr>
        <a:xfrm>
          <a:off x="762000" y="246507000"/>
          <a:ext cx="1521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1</xdr:col>
      <xdr:colOff>0</xdr:colOff>
      <xdr:row>1359</xdr:row>
      <xdr:rowOff>0</xdr:rowOff>
    </xdr:from>
    <xdr:to>
      <xdr:col>2</xdr:col>
      <xdr:colOff>1169194</xdr:colOff>
      <xdr:row>1362</xdr:row>
      <xdr:rowOff>35720</xdr:rowOff>
    </xdr:to>
    <xdr:sp macro="" textlink="">
      <xdr:nvSpPr>
        <xdr:cNvPr id="174" name="63 CuadroTexto"/>
        <xdr:cNvSpPr txBox="1"/>
      </xdr:nvSpPr>
      <xdr:spPr>
        <a:xfrm>
          <a:off x="762000" y="258889500"/>
          <a:ext cx="1521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1</xdr:col>
      <xdr:colOff>9525</xdr:colOff>
      <xdr:row>1814</xdr:row>
      <xdr:rowOff>19050</xdr:rowOff>
    </xdr:from>
    <xdr:to>
      <xdr:col>2</xdr:col>
      <xdr:colOff>1178719</xdr:colOff>
      <xdr:row>1817</xdr:row>
      <xdr:rowOff>54770</xdr:rowOff>
    </xdr:to>
    <xdr:sp macro="" textlink="">
      <xdr:nvSpPr>
        <xdr:cNvPr id="175" name="63 CuadroTexto"/>
        <xdr:cNvSpPr txBox="1"/>
      </xdr:nvSpPr>
      <xdr:spPr>
        <a:xfrm>
          <a:off x="771525" y="345586050"/>
          <a:ext cx="1512094"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1</xdr:col>
      <xdr:colOff>9525</xdr:colOff>
      <xdr:row>1879</xdr:row>
      <xdr:rowOff>38100</xdr:rowOff>
    </xdr:from>
    <xdr:to>
      <xdr:col>2</xdr:col>
      <xdr:colOff>1178719</xdr:colOff>
      <xdr:row>1882</xdr:row>
      <xdr:rowOff>73820</xdr:rowOff>
    </xdr:to>
    <xdr:sp macro="" textlink="">
      <xdr:nvSpPr>
        <xdr:cNvPr id="176" name="63 CuadroTexto"/>
        <xdr:cNvSpPr txBox="1"/>
      </xdr:nvSpPr>
      <xdr:spPr>
        <a:xfrm>
          <a:off x="771525" y="357987600"/>
          <a:ext cx="1512094"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1</xdr:col>
      <xdr:colOff>0</xdr:colOff>
      <xdr:row>1944</xdr:row>
      <xdr:rowOff>0</xdr:rowOff>
    </xdr:from>
    <xdr:to>
      <xdr:col>2</xdr:col>
      <xdr:colOff>1169194</xdr:colOff>
      <xdr:row>1947</xdr:row>
      <xdr:rowOff>35720</xdr:rowOff>
    </xdr:to>
    <xdr:sp macro="" textlink="">
      <xdr:nvSpPr>
        <xdr:cNvPr id="177" name="63 CuadroTexto"/>
        <xdr:cNvSpPr txBox="1"/>
      </xdr:nvSpPr>
      <xdr:spPr>
        <a:xfrm>
          <a:off x="762000" y="370332000"/>
          <a:ext cx="1521619" cy="6072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DR. XICOTÉNCATL GONZÁLEZ URESTI</a:t>
          </a:r>
        </a:p>
      </xdr:txBody>
    </xdr:sp>
    <xdr:clientData/>
  </xdr:twoCellAnchor>
  <xdr:twoCellAnchor>
    <xdr:from>
      <xdr:col>2</xdr:col>
      <xdr:colOff>1095375</xdr:colOff>
      <xdr:row>59</xdr:row>
      <xdr:rowOff>28575</xdr:rowOff>
    </xdr:from>
    <xdr:to>
      <xdr:col>2</xdr:col>
      <xdr:colOff>2655095</xdr:colOff>
      <xdr:row>63</xdr:row>
      <xdr:rowOff>1</xdr:rowOff>
    </xdr:to>
    <xdr:sp macro="" textlink="">
      <xdr:nvSpPr>
        <xdr:cNvPr id="178" name="64 CuadroTexto"/>
        <xdr:cNvSpPr txBox="1"/>
      </xdr:nvSpPr>
      <xdr:spPr>
        <a:xfrm>
          <a:off x="2286000" y="11268075"/>
          <a:ext cx="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1076325</xdr:colOff>
      <xdr:row>124</xdr:row>
      <xdr:rowOff>28575</xdr:rowOff>
    </xdr:from>
    <xdr:to>
      <xdr:col>2</xdr:col>
      <xdr:colOff>2636045</xdr:colOff>
      <xdr:row>128</xdr:row>
      <xdr:rowOff>1</xdr:rowOff>
    </xdr:to>
    <xdr:sp macro="" textlink="">
      <xdr:nvSpPr>
        <xdr:cNvPr id="179" name="64 CuadroTexto"/>
        <xdr:cNvSpPr txBox="1"/>
      </xdr:nvSpPr>
      <xdr:spPr>
        <a:xfrm>
          <a:off x="2286000" y="23650575"/>
          <a:ext cx="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1114425</xdr:colOff>
      <xdr:row>189</xdr:row>
      <xdr:rowOff>9525</xdr:rowOff>
    </xdr:from>
    <xdr:to>
      <xdr:col>2</xdr:col>
      <xdr:colOff>2674145</xdr:colOff>
      <xdr:row>192</xdr:row>
      <xdr:rowOff>142876</xdr:rowOff>
    </xdr:to>
    <xdr:sp macro="" textlink="">
      <xdr:nvSpPr>
        <xdr:cNvPr id="180" name="64 CuadroTexto"/>
        <xdr:cNvSpPr txBox="1"/>
      </xdr:nvSpPr>
      <xdr:spPr>
        <a:xfrm>
          <a:off x="2286000" y="36014025"/>
          <a:ext cx="0" cy="7048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1200150</xdr:colOff>
      <xdr:row>254</xdr:row>
      <xdr:rowOff>9525</xdr:rowOff>
    </xdr:from>
    <xdr:to>
      <xdr:col>2</xdr:col>
      <xdr:colOff>2759870</xdr:colOff>
      <xdr:row>257</xdr:row>
      <xdr:rowOff>142876</xdr:rowOff>
    </xdr:to>
    <xdr:sp macro="" textlink="">
      <xdr:nvSpPr>
        <xdr:cNvPr id="181" name="64 CuadroTexto"/>
        <xdr:cNvSpPr txBox="1"/>
      </xdr:nvSpPr>
      <xdr:spPr>
        <a:xfrm>
          <a:off x="2286000" y="48396525"/>
          <a:ext cx="0" cy="7048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1276350</xdr:colOff>
      <xdr:row>319</xdr:row>
      <xdr:rowOff>19050</xdr:rowOff>
    </xdr:from>
    <xdr:to>
      <xdr:col>2</xdr:col>
      <xdr:colOff>2836070</xdr:colOff>
      <xdr:row>322</xdr:row>
      <xdr:rowOff>152401</xdr:rowOff>
    </xdr:to>
    <xdr:sp macro="" textlink="">
      <xdr:nvSpPr>
        <xdr:cNvPr id="182" name="64 CuadroTexto"/>
        <xdr:cNvSpPr txBox="1"/>
      </xdr:nvSpPr>
      <xdr:spPr>
        <a:xfrm>
          <a:off x="2286000" y="60788550"/>
          <a:ext cx="0" cy="7048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1181100</xdr:colOff>
      <xdr:row>449</xdr:row>
      <xdr:rowOff>28575</xdr:rowOff>
    </xdr:from>
    <xdr:to>
      <xdr:col>2</xdr:col>
      <xdr:colOff>2740820</xdr:colOff>
      <xdr:row>453</xdr:row>
      <xdr:rowOff>1</xdr:rowOff>
    </xdr:to>
    <xdr:sp macro="" textlink="">
      <xdr:nvSpPr>
        <xdr:cNvPr id="183" name="64 CuadroTexto"/>
        <xdr:cNvSpPr txBox="1"/>
      </xdr:nvSpPr>
      <xdr:spPr>
        <a:xfrm>
          <a:off x="2286000" y="85563075"/>
          <a:ext cx="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1162050</xdr:colOff>
      <xdr:row>514</xdr:row>
      <xdr:rowOff>57150</xdr:rowOff>
    </xdr:from>
    <xdr:to>
      <xdr:col>2</xdr:col>
      <xdr:colOff>2721770</xdr:colOff>
      <xdr:row>518</xdr:row>
      <xdr:rowOff>28576</xdr:rowOff>
    </xdr:to>
    <xdr:sp macro="" textlink="">
      <xdr:nvSpPr>
        <xdr:cNvPr id="184" name="64 CuadroTexto"/>
        <xdr:cNvSpPr txBox="1"/>
      </xdr:nvSpPr>
      <xdr:spPr>
        <a:xfrm>
          <a:off x="2286000" y="97974150"/>
          <a:ext cx="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1095375</xdr:colOff>
      <xdr:row>579</xdr:row>
      <xdr:rowOff>38100</xdr:rowOff>
    </xdr:from>
    <xdr:to>
      <xdr:col>2</xdr:col>
      <xdr:colOff>2655095</xdr:colOff>
      <xdr:row>583</xdr:row>
      <xdr:rowOff>9526</xdr:rowOff>
    </xdr:to>
    <xdr:sp macro="" textlink="">
      <xdr:nvSpPr>
        <xdr:cNvPr id="185" name="64 CuadroTexto"/>
        <xdr:cNvSpPr txBox="1"/>
      </xdr:nvSpPr>
      <xdr:spPr>
        <a:xfrm>
          <a:off x="2286000" y="110337600"/>
          <a:ext cx="0" cy="7334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1104900</xdr:colOff>
      <xdr:row>774</xdr:row>
      <xdr:rowOff>66675</xdr:rowOff>
    </xdr:from>
    <xdr:to>
      <xdr:col>2</xdr:col>
      <xdr:colOff>2664620</xdr:colOff>
      <xdr:row>778</xdr:row>
      <xdr:rowOff>9526</xdr:rowOff>
    </xdr:to>
    <xdr:sp macro="" textlink="">
      <xdr:nvSpPr>
        <xdr:cNvPr id="186" name="280 CuadroTexto"/>
        <xdr:cNvSpPr txBox="1"/>
      </xdr:nvSpPr>
      <xdr:spPr>
        <a:xfrm>
          <a:off x="2286000" y="147513675"/>
          <a:ext cx="0" cy="7048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1133475</xdr:colOff>
      <xdr:row>1294</xdr:row>
      <xdr:rowOff>0</xdr:rowOff>
    </xdr:from>
    <xdr:to>
      <xdr:col>2</xdr:col>
      <xdr:colOff>2693195</xdr:colOff>
      <xdr:row>1297</xdr:row>
      <xdr:rowOff>104776</xdr:rowOff>
    </xdr:to>
    <xdr:sp macro="" textlink="">
      <xdr:nvSpPr>
        <xdr:cNvPr id="187" name="280 CuadroTexto"/>
        <xdr:cNvSpPr txBox="1"/>
      </xdr:nvSpPr>
      <xdr:spPr>
        <a:xfrm>
          <a:off x="2286000" y="246507000"/>
          <a:ext cx="0" cy="6762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1162050</xdr:colOff>
      <xdr:row>1359</xdr:row>
      <xdr:rowOff>28575</xdr:rowOff>
    </xdr:from>
    <xdr:to>
      <xdr:col>2</xdr:col>
      <xdr:colOff>2721770</xdr:colOff>
      <xdr:row>1362</xdr:row>
      <xdr:rowOff>133351</xdr:rowOff>
    </xdr:to>
    <xdr:sp macro="" textlink="">
      <xdr:nvSpPr>
        <xdr:cNvPr id="188" name="280 CuadroTexto"/>
        <xdr:cNvSpPr txBox="1"/>
      </xdr:nvSpPr>
      <xdr:spPr>
        <a:xfrm>
          <a:off x="2286000" y="258918075"/>
          <a:ext cx="0" cy="6762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1152525</xdr:colOff>
      <xdr:row>1814</xdr:row>
      <xdr:rowOff>28575</xdr:rowOff>
    </xdr:from>
    <xdr:to>
      <xdr:col>2</xdr:col>
      <xdr:colOff>2712245</xdr:colOff>
      <xdr:row>1817</xdr:row>
      <xdr:rowOff>133351</xdr:rowOff>
    </xdr:to>
    <xdr:sp macro="" textlink="">
      <xdr:nvSpPr>
        <xdr:cNvPr id="189" name="280 CuadroTexto"/>
        <xdr:cNvSpPr txBox="1"/>
      </xdr:nvSpPr>
      <xdr:spPr>
        <a:xfrm>
          <a:off x="2286000" y="345595575"/>
          <a:ext cx="0" cy="6762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1095375</xdr:colOff>
      <xdr:row>1879</xdr:row>
      <xdr:rowOff>57150</xdr:rowOff>
    </xdr:from>
    <xdr:to>
      <xdr:col>2</xdr:col>
      <xdr:colOff>2655095</xdr:colOff>
      <xdr:row>1883</xdr:row>
      <xdr:rowOff>1</xdr:rowOff>
    </xdr:to>
    <xdr:sp macro="" textlink="">
      <xdr:nvSpPr>
        <xdr:cNvPr id="190" name="280 CuadroTexto"/>
        <xdr:cNvSpPr txBox="1"/>
      </xdr:nvSpPr>
      <xdr:spPr>
        <a:xfrm>
          <a:off x="2286000" y="358006650"/>
          <a:ext cx="0" cy="7048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1133475</xdr:colOff>
      <xdr:row>1944</xdr:row>
      <xdr:rowOff>0</xdr:rowOff>
    </xdr:from>
    <xdr:to>
      <xdr:col>2</xdr:col>
      <xdr:colOff>2693195</xdr:colOff>
      <xdr:row>1947</xdr:row>
      <xdr:rowOff>104776</xdr:rowOff>
    </xdr:to>
    <xdr:sp macro="" textlink="">
      <xdr:nvSpPr>
        <xdr:cNvPr id="191" name="280 CuadroTexto"/>
        <xdr:cNvSpPr txBox="1"/>
      </xdr:nvSpPr>
      <xdr:spPr>
        <a:xfrm>
          <a:off x="2286000" y="370332000"/>
          <a:ext cx="0" cy="6762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t>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L.A.P. JOSÉ ALFREDO PEÑA RODRÍGUEZ</a:t>
          </a:r>
        </a:p>
      </xdr:txBody>
    </xdr:sp>
    <xdr:clientData/>
  </xdr:twoCellAnchor>
  <xdr:twoCellAnchor>
    <xdr:from>
      <xdr:col>2</xdr:col>
      <xdr:colOff>2495550</xdr:colOff>
      <xdr:row>59</xdr:row>
      <xdr:rowOff>19050</xdr:rowOff>
    </xdr:from>
    <xdr:to>
      <xdr:col>3</xdr:col>
      <xdr:colOff>935831</xdr:colOff>
      <xdr:row>62</xdr:row>
      <xdr:rowOff>133347</xdr:rowOff>
    </xdr:to>
    <xdr:sp macro="" textlink="">
      <xdr:nvSpPr>
        <xdr:cNvPr id="192" name="65 CuadroTexto"/>
        <xdr:cNvSpPr txBox="1"/>
      </xdr:nvSpPr>
      <xdr:spPr>
        <a:xfrm>
          <a:off x="2286000" y="11258550"/>
          <a:ext cx="764381" cy="6857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2</xdr:col>
      <xdr:colOff>2428875</xdr:colOff>
      <xdr:row>124</xdr:row>
      <xdr:rowOff>28575</xdr:rowOff>
    </xdr:from>
    <xdr:to>
      <xdr:col>3</xdr:col>
      <xdr:colOff>869156</xdr:colOff>
      <xdr:row>127</xdr:row>
      <xdr:rowOff>142872</xdr:rowOff>
    </xdr:to>
    <xdr:sp macro="" textlink="">
      <xdr:nvSpPr>
        <xdr:cNvPr id="193" name="65 CuadroTexto"/>
        <xdr:cNvSpPr txBox="1"/>
      </xdr:nvSpPr>
      <xdr:spPr>
        <a:xfrm>
          <a:off x="2286000" y="23650575"/>
          <a:ext cx="764381" cy="6857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2</xdr:col>
      <xdr:colOff>2524125</xdr:colOff>
      <xdr:row>188</xdr:row>
      <xdr:rowOff>142875</xdr:rowOff>
    </xdr:from>
    <xdr:to>
      <xdr:col>3</xdr:col>
      <xdr:colOff>964406</xdr:colOff>
      <xdr:row>192</xdr:row>
      <xdr:rowOff>95247</xdr:rowOff>
    </xdr:to>
    <xdr:sp macro="" textlink="">
      <xdr:nvSpPr>
        <xdr:cNvPr id="194" name="65 CuadroTexto"/>
        <xdr:cNvSpPr txBox="1"/>
      </xdr:nvSpPr>
      <xdr:spPr>
        <a:xfrm>
          <a:off x="2286000" y="35956875"/>
          <a:ext cx="764381" cy="7143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2</xdr:col>
      <xdr:colOff>2571750</xdr:colOff>
      <xdr:row>254</xdr:row>
      <xdr:rowOff>19050</xdr:rowOff>
    </xdr:from>
    <xdr:to>
      <xdr:col>3</xdr:col>
      <xdr:colOff>1012031</xdr:colOff>
      <xdr:row>257</xdr:row>
      <xdr:rowOff>133347</xdr:rowOff>
    </xdr:to>
    <xdr:sp macro="" textlink="">
      <xdr:nvSpPr>
        <xdr:cNvPr id="195" name="65 CuadroTexto"/>
        <xdr:cNvSpPr txBox="1"/>
      </xdr:nvSpPr>
      <xdr:spPr>
        <a:xfrm>
          <a:off x="2286000" y="48406050"/>
          <a:ext cx="764381" cy="6857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2</xdr:col>
      <xdr:colOff>2619375</xdr:colOff>
      <xdr:row>319</xdr:row>
      <xdr:rowOff>38100</xdr:rowOff>
    </xdr:from>
    <xdr:to>
      <xdr:col>3</xdr:col>
      <xdr:colOff>1059656</xdr:colOff>
      <xdr:row>322</xdr:row>
      <xdr:rowOff>152397</xdr:rowOff>
    </xdr:to>
    <xdr:sp macro="" textlink="">
      <xdr:nvSpPr>
        <xdr:cNvPr id="196" name="65 CuadroTexto"/>
        <xdr:cNvSpPr txBox="1"/>
      </xdr:nvSpPr>
      <xdr:spPr>
        <a:xfrm>
          <a:off x="2286000" y="60807600"/>
          <a:ext cx="764381" cy="6857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2</xdr:col>
      <xdr:colOff>2686050</xdr:colOff>
      <xdr:row>449</xdr:row>
      <xdr:rowOff>38100</xdr:rowOff>
    </xdr:from>
    <xdr:to>
      <xdr:col>3</xdr:col>
      <xdr:colOff>1126331</xdr:colOff>
      <xdr:row>452</xdr:row>
      <xdr:rowOff>152397</xdr:rowOff>
    </xdr:to>
    <xdr:sp macro="" textlink="">
      <xdr:nvSpPr>
        <xdr:cNvPr id="197" name="65 CuadroTexto"/>
        <xdr:cNvSpPr txBox="1"/>
      </xdr:nvSpPr>
      <xdr:spPr>
        <a:xfrm>
          <a:off x="2286000" y="85572600"/>
          <a:ext cx="764381" cy="6857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2</xdr:col>
      <xdr:colOff>2590800</xdr:colOff>
      <xdr:row>514</xdr:row>
      <xdr:rowOff>57150</xdr:rowOff>
    </xdr:from>
    <xdr:to>
      <xdr:col>3</xdr:col>
      <xdr:colOff>1031081</xdr:colOff>
      <xdr:row>518</xdr:row>
      <xdr:rowOff>9522</xdr:rowOff>
    </xdr:to>
    <xdr:sp macro="" textlink="">
      <xdr:nvSpPr>
        <xdr:cNvPr id="198" name="65 CuadroTexto"/>
        <xdr:cNvSpPr txBox="1"/>
      </xdr:nvSpPr>
      <xdr:spPr>
        <a:xfrm>
          <a:off x="2286000" y="97974150"/>
          <a:ext cx="764381" cy="7143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2</xdr:col>
      <xdr:colOff>2495550</xdr:colOff>
      <xdr:row>579</xdr:row>
      <xdr:rowOff>47625</xdr:rowOff>
    </xdr:from>
    <xdr:to>
      <xdr:col>3</xdr:col>
      <xdr:colOff>935831</xdr:colOff>
      <xdr:row>582</xdr:row>
      <xdr:rowOff>161922</xdr:rowOff>
    </xdr:to>
    <xdr:sp macro="" textlink="">
      <xdr:nvSpPr>
        <xdr:cNvPr id="199" name="65 CuadroTexto"/>
        <xdr:cNvSpPr txBox="1"/>
      </xdr:nvSpPr>
      <xdr:spPr>
        <a:xfrm>
          <a:off x="2286000" y="110347125"/>
          <a:ext cx="764381" cy="6857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2</xdr:col>
      <xdr:colOff>2543175</xdr:colOff>
      <xdr:row>1293</xdr:row>
      <xdr:rowOff>152400</xdr:rowOff>
    </xdr:from>
    <xdr:to>
      <xdr:col>3</xdr:col>
      <xdr:colOff>983456</xdr:colOff>
      <xdr:row>1297</xdr:row>
      <xdr:rowOff>104772</xdr:rowOff>
    </xdr:to>
    <xdr:sp macro="" textlink="">
      <xdr:nvSpPr>
        <xdr:cNvPr id="200" name="65 CuadroTexto"/>
        <xdr:cNvSpPr txBox="1"/>
      </xdr:nvSpPr>
      <xdr:spPr>
        <a:xfrm>
          <a:off x="2286000" y="246468900"/>
          <a:ext cx="764381" cy="7143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2</xdr:col>
      <xdr:colOff>2590800</xdr:colOff>
      <xdr:row>1359</xdr:row>
      <xdr:rowOff>28575</xdr:rowOff>
    </xdr:from>
    <xdr:to>
      <xdr:col>3</xdr:col>
      <xdr:colOff>1031081</xdr:colOff>
      <xdr:row>1362</xdr:row>
      <xdr:rowOff>142872</xdr:rowOff>
    </xdr:to>
    <xdr:sp macro="" textlink="">
      <xdr:nvSpPr>
        <xdr:cNvPr id="201" name="65 CuadroTexto"/>
        <xdr:cNvSpPr txBox="1"/>
      </xdr:nvSpPr>
      <xdr:spPr>
        <a:xfrm>
          <a:off x="2286000" y="258918075"/>
          <a:ext cx="764381" cy="6857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2</xdr:col>
      <xdr:colOff>2609850</xdr:colOff>
      <xdr:row>1814</xdr:row>
      <xdr:rowOff>38100</xdr:rowOff>
    </xdr:from>
    <xdr:to>
      <xdr:col>3</xdr:col>
      <xdr:colOff>1050131</xdr:colOff>
      <xdr:row>1817</xdr:row>
      <xdr:rowOff>152397</xdr:rowOff>
    </xdr:to>
    <xdr:sp macro="" textlink="">
      <xdr:nvSpPr>
        <xdr:cNvPr id="202" name="65 CuadroTexto"/>
        <xdr:cNvSpPr txBox="1"/>
      </xdr:nvSpPr>
      <xdr:spPr>
        <a:xfrm>
          <a:off x="2286000" y="345605100"/>
          <a:ext cx="764381" cy="6857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2</xdr:col>
      <xdr:colOff>2495550</xdr:colOff>
      <xdr:row>1879</xdr:row>
      <xdr:rowOff>66675</xdr:rowOff>
    </xdr:from>
    <xdr:to>
      <xdr:col>3</xdr:col>
      <xdr:colOff>935831</xdr:colOff>
      <xdr:row>1883</xdr:row>
      <xdr:rowOff>19047</xdr:rowOff>
    </xdr:to>
    <xdr:sp macro="" textlink="">
      <xdr:nvSpPr>
        <xdr:cNvPr id="203" name="65 CuadroTexto"/>
        <xdr:cNvSpPr txBox="1"/>
      </xdr:nvSpPr>
      <xdr:spPr>
        <a:xfrm>
          <a:off x="2286000" y="358016175"/>
          <a:ext cx="764381" cy="7143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2</xdr:col>
      <xdr:colOff>2552700</xdr:colOff>
      <xdr:row>1944</xdr:row>
      <xdr:rowOff>0</xdr:rowOff>
    </xdr:from>
    <xdr:to>
      <xdr:col>3</xdr:col>
      <xdr:colOff>992981</xdr:colOff>
      <xdr:row>1947</xdr:row>
      <xdr:rowOff>114297</xdr:rowOff>
    </xdr:to>
    <xdr:sp macro="" textlink="">
      <xdr:nvSpPr>
        <xdr:cNvPr id="204" name="65 CuadroTexto"/>
        <xdr:cNvSpPr txBox="1"/>
      </xdr:nvSpPr>
      <xdr:spPr>
        <a:xfrm>
          <a:off x="2286000" y="370332000"/>
          <a:ext cx="764381" cy="6857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LIC. FRIDA PATRICIA ESCOBAR ORTIZ</a:t>
          </a:r>
        </a:p>
      </xdr:txBody>
    </xdr:sp>
    <xdr:clientData/>
  </xdr:twoCellAnchor>
  <xdr:twoCellAnchor>
    <xdr:from>
      <xdr:col>3</xdr:col>
      <xdr:colOff>895350</xdr:colOff>
      <xdr:row>59</xdr:row>
      <xdr:rowOff>0</xdr:rowOff>
    </xdr:from>
    <xdr:to>
      <xdr:col>5</xdr:col>
      <xdr:colOff>1312069</xdr:colOff>
      <xdr:row>63</xdr:row>
      <xdr:rowOff>13663</xdr:rowOff>
    </xdr:to>
    <xdr:sp macro="" textlink="">
      <xdr:nvSpPr>
        <xdr:cNvPr id="205" name="58 CuadroTexto"/>
        <xdr:cNvSpPr txBox="1"/>
      </xdr:nvSpPr>
      <xdr:spPr>
        <a:xfrm>
          <a:off x="3048000" y="11239500"/>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3</xdr:col>
      <xdr:colOff>914400</xdr:colOff>
      <xdr:row>124</xdr:row>
      <xdr:rowOff>19050</xdr:rowOff>
    </xdr:from>
    <xdr:to>
      <xdr:col>5</xdr:col>
      <xdr:colOff>1331119</xdr:colOff>
      <xdr:row>128</xdr:row>
      <xdr:rowOff>32713</xdr:rowOff>
    </xdr:to>
    <xdr:sp macro="" textlink="">
      <xdr:nvSpPr>
        <xdr:cNvPr id="206" name="58 CuadroTexto"/>
        <xdr:cNvSpPr txBox="1"/>
      </xdr:nvSpPr>
      <xdr:spPr>
        <a:xfrm>
          <a:off x="3048000" y="23641050"/>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3</xdr:col>
      <xdr:colOff>942975</xdr:colOff>
      <xdr:row>188</xdr:row>
      <xdr:rowOff>123825</xdr:rowOff>
    </xdr:from>
    <xdr:to>
      <xdr:col>5</xdr:col>
      <xdr:colOff>1359694</xdr:colOff>
      <xdr:row>192</xdr:row>
      <xdr:rowOff>137488</xdr:rowOff>
    </xdr:to>
    <xdr:sp macro="" textlink="">
      <xdr:nvSpPr>
        <xdr:cNvPr id="207" name="58 CuadroTexto"/>
        <xdr:cNvSpPr txBox="1"/>
      </xdr:nvSpPr>
      <xdr:spPr>
        <a:xfrm>
          <a:off x="3048000" y="35937825"/>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3</xdr:col>
      <xdr:colOff>923925</xdr:colOff>
      <xdr:row>254</xdr:row>
      <xdr:rowOff>9525</xdr:rowOff>
    </xdr:from>
    <xdr:to>
      <xdr:col>5</xdr:col>
      <xdr:colOff>1340644</xdr:colOff>
      <xdr:row>258</xdr:row>
      <xdr:rowOff>23188</xdr:rowOff>
    </xdr:to>
    <xdr:sp macro="" textlink="">
      <xdr:nvSpPr>
        <xdr:cNvPr id="208" name="58 CuadroTexto"/>
        <xdr:cNvSpPr txBox="1"/>
      </xdr:nvSpPr>
      <xdr:spPr>
        <a:xfrm>
          <a:off x="3048000" y="48396525"/>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3</xdr:col>
      <xdr:colOff>895350</xdr:colOff>
      <xdr:row>319</xdr:row>
      <xdr:rowOff>38100</xdr:rowOff>
    </xdr:from>
    <xdr:to>
      <xdr:col>5</xdr:col>
      <xdr:colOff>1312069</xdr:colOff>
      <xdr:row>323</xdr:row>
      <xdr:rowOff>51763</xdr:rowOff>
    </xdr:to>
    <xdr:sp macro="" textlink="">
      <xdr:nvSpPr>
        <xdr:cNvPr id="209" name="58 CuadroTexto"/>
        <xdr:cNvSpPr txBox="1"/>
      </xdr:nvSpPr>
      <xdr:spPr>
        <a:xfrm>
          <a:off x="3048000" y="60807600"/>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3</xdr:col>
      <xdr:colOff>914400</xdr:colOff>
      <xdr:row>449</xdr:row>
      <xdr:rowOff>28575</xdr:rowOff>
    </xdr:from>
    <xdr:to>
      <xdr:col>5</xdr:col>
      <xdr:colOff>1331119</xdr:colOff>
      <xdr:row>453</xdr:row>
      <xdr:rowOff>42238</xdr:rowOff>
    </xdr:to>
    <xdr:sp macro="" textlink="">
      <xdr:nvSpPr>
        <xdr:cNvPr id="210" name="58 CuadroTexto"/>
        <xdr:cNvSpPr txBox="1"/>
      </xdr:nvSpPr>
      <xdr:spPr>
        <a:xfrm>
          <a:off x="3048000" y="85563075"/>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3</xdr:col>
      <xdr:colOff>923925</xdr:colOff>
      <xdr:row>514</xdr:row>
      <xdr:rowOff>47625</xdr:rowOff>
    </xdr:from>
    <xdr:to>
      <xdr:col>5</xdr:col>
      <xdr:colOff>1340644</xdr:colOff>
      <xdr:row>518</xdr:row>
      <xdr:rowOff>61288</xdr:rowOff>
    </xdr:to>
    <xdr:sp macro="" textlink="">
      <xdr:nvSpPr>
        <xdr:cNvPr id="211" name="58 CuadroTexto"/>
        <xdr:cNvSpPr txBox="1"/>
      </xdr:nvSpPr>
      <xdr:spPr>
        <a:xfrm>
          <a:off x="3048000" y="97964625"/>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3</xdr:col>
      <xdr:colOff>933450</xdr:colOff>
      <xdr:row>579</xdr:row>
      <xdr:rowOff>47625</xdr:rowOff>
    </xdr:from>
    <xdr:to>
      <xdr:col>5</xdr:col>
      <xdr:colOff>1350169</xdr:colOff>
      <xdr:row>583</xdr:row>
      <xdr:rowOff>61288</xdr:rowOff>
    </xdr:to>
    <xdr:sp macro="" textlink="">
      <xdr:nvSpPr>
        <xdr:cNvPr id="212" name="58 CuadroTexto"/>
        <xdr:cNvSpPr txBox="1"/>
      </xdr:nvSpPr>
      <xdr:spPr>
        <a:xfrm>
          <a:off x="3048000" y="110347125"/>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3</xdr:col>
      <xdr:colOff>933450</xdr:colOff>
      <xdr:row>1293</xdr:row>
      <xdr:rowOff>133350</xdr:rowOff>
    </xdr:from>
    <xdr:to>
      <xdr:col>5</xdr:col>
      <xdr:colOff>1350169</xdr:colOff>
      <xdr:row>1297</xdr:row>
      <xdr:rowOff>147013</xdr:rowOff>
    </xdr:to>
    <xdr:sp macro="" textlink="">
      <xdr:nvSpPr>
        <xdr:cNvPr id="213" name="58 CuadroTexto"/>
        <xdr:cNvSpPr txBox="1"/>
      </xdr:nvSpPr>
      <xdr:spPr>
        <a:xfrm>
          <a:off x="3048000" y="246449850"/>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3</xdr:col>
      <xdr:colOff>923925</xdr:colOff>
      <xdr:row>1359</xdr:row>
      <xdr:rowOff>19050</xdr:rowOff>
    </xdr:from>
    <xdr:to>
      <xdr:col>5</xdr:col>
      <xdr:colOff>1340644</xdr:colOff>
      <xdr:row>1363</xdr:row>
      <xdr:rowOff>32713</xdr:rowOff>
    </xdr:to>
    <xdr:sp macro="" textlink="">
      <xdr:nvSpPr>
        <xdr:cNvPr id="214" name="58 CuadroTexto"/>
        <xdr:cNvSpPr txBox="1"/>
      </xdr:nvSpPr>
      <xdr:spPr>
        <a:xfrm>
          <a:off x="3048000" y="258908550"/>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3</xdr:col>
      <xdr:colOff>952500</xdr:colOff>
      <xdr:row>1814</xdr:row>
      <xdr:rowOff>19050</xdr:rowOff>
    </xdr:from>
    <xdr:to>
      <xdr:col>5</xdr:col>
      <xdr:colOff>1369219</xdr:colOff>
      <xdr:row>1818</xdr:row>
      <xdr:rowOff>32713</xdr:rowOff>
    </xdr:to>
    <xdr:sp macro="" textlink="">
      <xdr:nvSpPr>
        <xdr:cNvPr id="215" name="58 CuadroTexto"/>
        <xdr:cNvSpPr txBox="1"/>
      </xdr:nvSpPr>
      <xdr:spPr>
        <a:xfrm>
          <a:off x="3048000" y="345586050"/>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3</xdr:col>
      <xdr:colOff>923925</xdr:colOff>
      <xdr:row>1879</xdr:row>
      <xdr:rowOff>47625</xdr:rowOff>
    </xdr:from>
    <xdr:to>
      <xdr:col>5</xdr:col>
      <xdr:colOff>1340644</xdr:colOff>
      <xdr:row>1883</xdr:row>
      <xdr:rowOff>61288</xdr:rowOff>
    </xdr:to>
    <xdr:sp macro="" textlink="">
      <xdr:nvSpPr>
        <xdr:cNvPr id="216" name="58 CuadroTexto"/>
        <xdr:cNvSpPr txBox="1"/>
      </xdr:nvSpPr>
      <xdr:spPr>
        <a:xfrm>
          <a:off x="3048000" y="357997125"/>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twoCellAnchor>
    <xdr:from>
      <xdr:col>3</xdr:col>
      <xdr:colOff>952500</xdr:colOff>
      <xdr:row>1944</xdr:row>
      <xdr:rowOff>0</xdr:rowOff>
    </xdr:from>
    <xdr:to>
      <xdr:col>5</xdr:col>
      <xdr:colOff>1369219</xdr:colOff>
      <xdr:row>1948</xdr:row>
      <xdr:rowOff>13663</xdr:rowOff>
    </xdr:to>
    <xdr:sp macro="" textlink="">
      <xdr:nvSpPr>
        <xdr:cNvPr id="217" name="58 CuadroTexto"/>
        <xdr:cNvSpPr txBox="1"/>
      </xdr:nvSpPr>
      <xdr:spPr>
        <a:xfrm>
          <a:off x="3048000" y="370332000"/>
          <a:ext cx="1521619" cy="7756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ea typeface="+mn-ea"/>
              <a:cs typeface="Arial" pitchFamily="34" charset="0"/>
            </a:rPr>
            <a:t>C.P. NORA ROSALVA CEPEDA GUERRERO</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64477</xdr:colOff>
      <xdr:row>78</xdr:row>
      <xdr:rowOff>13006</xdr:rowOff>
    </xdr:from>
    <xdr:to>
      <xdr:col>1</xdr:col>
      <xdr:colOff>1552575</xdr:colOff>
      <xdr:row>82</xdr:row>
      <xdr:rowOff>83344</xdr:rowOff>
    </xdr:to>
    <xdr:sp macro="" textlink="">
      <xdr:nvSpPr>
        <xdr:cNvPr id="2" name="3 CuadroTexto">
          <a:extLst>
            <a:ext uri="{FF2B5EF4-FFF2-40B4-BE49-F238E27FC236}">
              <a16:creationId xmlns:a16="http://schemas.microsoft.com/office/drawing/2014/main" xmlns="" id="{00000000-0008-0000-0200-000002000000}"/>
            </a:ext>
          </a:extLst>
        </xdr:cNvPr>
        <xdr:cNvSpPr txBox="1"/>
      </xdr:nvSpPr>
      <xdr:spPr>
        <a:xfrm>
          <a:off x="64477" y="7271056"/>
          <a:ext cx="2192948" cy="7180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PRESIDENTE MUNICIPAL</a:t>
          </a:r>
        </a:p>
        <a:p>
          <a:pPr algn="ctr"/>
          <a:endParaRPr lang="es-MX" sz="900">
            <a:latin typeface="+mn-lt"/>
            <a:cs typeface="Arial" pitchFamily="34" charset="0"/>
          </a:endParaRPr>
        </a:p>
        <a:p>
          <a:pPr algn="ctr"/>
          <a:r>
            <a:rPr lang="es-MX" sz="900">
              <a:latin typeface="+mn-lt"/>
            </a:rPr>
            <a:t>___________________________________</a:t>
          </a:r>
        </a:p>
        <a:p>
          <a:pPr algn="ctr"/>
          <a:r>
            <a:rPr lang="es-MX" sz="900">
              <a:latin typeface="+mn-lt"/>
              <a:cs typeface="Arial" pitchFamily="34" charset="0"/>
            </a:rPr>
            <a:t>DR. XICOTÉNCATL GONZÁLEZ URESTI</a:t>
          </a:r>
        </a:p>
      </xdr:txBody>
    </xdr:sp>
    <xdr:clientData/>
  </xdr:twoCellAnchor>
  <xdr:twoCellAnchor>
    <xdr:from>
      <xdr:col>1</xdr:col>
      <xdr:colOff>1666632</xdr:colOff>
      <xdr:row>78</xdr:row>
      <xdr:rowOff>12181</xdr:rowOff>
    </xdr:from>
    <xdr:to>
      <xdr:col>1</xdr:col>
      <xdr:colOff>3762372</xdr:colOff>
      <xdr:row>82</xdr:row>
      <xdr:rowOff>115491</xdr:rowOff>
    </xdr:to>
    <xdr:sp macro="" textlink="">
      <xdr:nvSpPr>
        <xdr:cNvPr id="3" name="4 CuadroTexto">
          <a:extLst>
            <a:ext uri="{FF2B5EF4-FFF2-40B4-BE49-F238E27FC236}">
              <a16:creationId xmlns:a16="http://schemas.microsoft.com/office/drawing/2014/main" xmlns="" id="{00000000-0008-0000-0200-000003000000}"/>
            </a:ext>
          </a:extLst>
        </xdr:cNvPr>
        <xdr:cNvSpPr txBox="1"/>
      </xdr:nvSpPr>
      <xdr:spPr>
        <a:xfrm>
          <a:off x="2371482" y="7270231"/>
          <a:ext cx="2095740" cy="7510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TESORERO MUNICIPAL</a:t>
          </a:r>
        </a:p>
        <a:p>
          <a:pPr algn="ctr"/>
          <a:endParaRPr lang="es-MX" sz="900">
            <a:latin typeface="+mn-lt"/>
            <a:cs typeface="Arial" pitchFamily="34" charset="0"/>
          </a:endParaRPr>
        </a:p>
        <a:p>
          <a:pPr algn="ctr"/>
          <a:r>
            <a:rPr lang="es-MX" sz="900">
              <a:latin typeface="+mn-lt"/>
            </a:rPr>
            <a:t>________________________________</a:t>
          </a:r>
        </a:p>
        <a:p>
          <a:pPr algn="ctr"/>
          <a:r>
            <a:rPr lang="es-MX" sz="900">
              <a:latin typeface="+mn-lt"/>
              <a:cs typeface="Arial" pitchFamily="34" charset="0"/>
            </a:rPr>
            <a:t>LAP. JOSÉ ALFREDO PEÑA RODRÍGUEZ</a:t>
          </a:r>
        </a:p>
      </xdr:txBody>
    </xdr:sp>
    <xdr:clientData/>
  </xdr:twoCellAnchor>
  <xdr:twoCellAnchor>
    <xdr:from>
      <xdr:col>1</xdr:col>
      <xdr:colOff>3805295</xdr:colOff>
      <xdr:row>78</xdr:row>
      <xdr:rowOff>22439</xdr:rowOff>
    </xdr:from>
    <xdr:to>
      <xdr:col>2</xdr:col>
      <xdr:colOff>776281</xdr:colOff>
      <xdr:row>82</xdr:row>
      <xdr:rowOff>142876</xdr:rowOff>
    </xdr:to>
    <xdr:sp macro="" textlink="">
      <xdr:nvSpPr>
        <xdr:cNvPr id="4" name="5 CuadroTexto">
          <a:extLst>
            <a:ext uri="{FF2B5EF4-FFF2-40B4-BE49-F238E27FC236}">
              <a16:creationId xmlns:a16="http://schemas.microsoft.com/office/drawing/2014/main" xmlns="" id="{00000000-0008-0000-0200-000004000000}"/>
            </a:ext>
          </a:extLst>
        </xdr:cNvPr>
        <xdr:cNvSpPr txBox="1"/>
      </xdr:nvSpPr>
      <xdr:spPr>
        <a:xfrm>
          <a:off x="4510145" y="7280489"/>
          <a:ext cx="2381186" cy="7681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SINDICO</a:t>
          </a:r>
          <a:r>
            <a:rPr lang="es-MX" sz="900" baseline="0">
              <a:latin typeface="+mn-lt"/>
              <a:cs typeface="Arial" pitchFamily="34" charset="0"/>
            </a:rPr>
            <a:t> MUNICIPAL</a:t>
          </a:r>
        </a:p>
        <a:p>
          <a:pPr algn="ctr"/>
          <a:endParaRPr lang="es-MX" sz="900" baseline="0">
            <a:latin typeface="+mn-lt"/>
            <a:cs typeface="Arial" pitchFamily="34" charset="0"/>
          </a:endParaRPr>
        </a:p>
        <a:p>
          <a:pPr algn="ctr"/>
          <a:r>
            <a:rPr lang="es-MX" sz="900">
              <a:latin typeface="+mn-lt"/>
              <a:cs typeface="Arial" pitchFamily="34" charset="0"/>
            </a:rPr>
            <a:t>_________________________________</a:t>
          </a:r>
        </a:p>
        <a:p>
          <a:pPr algn="ctr"/>
          <a:r>
            <a:rPr lang="es-MX" sz="900">
              <a:latin typeface="+mn-lt"/>
              <a:cs typeface="Arial" pitchFamily="34" charset="0"/>
            </a:rPr>
            <a:t>LIC. FRIDA PATRICIA ESCOBAR ORTIZ</a:t>
          </a:r>
        </a:p>
        <a:p>
          <a:pPr algn="ctr"/>
          <a:r>
            <a:rPr lang="es-MX" sz="900">
              <a:latin typeface="+mn-lt"/>
              <a:cs typeface="Arial" pitchFamily="34" charset="0"/>
            </a:rPr>
            <a:t>	</a:t>
          </a:r>
        </a:p>
      </xdr:txBody>
    </xdr:sp>
    <xdr:clientData/>
  </xdr:twoCellAnchor>
  <xdr:twoCellAnchor>
    <xdr:from>
      <xdr:col>2</xdr:col>
      <xdr:colOff>796375</xdr:colOff>
      <xdr:row>78</xdr:row>
      <xdr:rowOff>19050</xdr:rowOff>
    </xdr:from>
    <xdr:to>
      <xdr:col>6</xdr:col>
      <xdr:colOff>190500</xdr:colOff>
      <xdr:row>82</xdr:row>
      <xdr:rowOff>152400</xdr:rowOff>
    </xdr:to>
    <xdr:sp macro="" textlink="">
      <xdr:nvSpPr>
        <xdr:cNvPr id="5" name="6 CuadroTexto">
          <a:extLst>
            <a:ext uri="{FF2B5EF4-FFF2-40B4-BE49-F238E27FC236}">
              <a16:creationId xmlns:a16="http://schemas.microsoft.com/office/drawing/2014/main" xmlns="" id="{00000000-0008-0000-0200-000005000000}"/>
            </a:ext>
          </a:extLst>
        </xdr:cNvPr>
        <xdr:cNvSpPr txBox="1"/>
      </xdr:nvSpPr>
      <xdr:spPr>
        <a:xfrm>
          <a:off x="6911425" y="7277100"/>
          <a:ext cx="2251625" cy="781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900">
              <a:latin typeface="+mn-lt"/>
            </a:rPr>
            <a:t>___________________________________</a:t>
          </a:r>
        </a:p>
        <a:p>
          <a:pPr algn="ctr"/>
          <a:r>
            <a:rPr lang="es-MX" sz="900">
              <a:latin typeface="+mn-lt"/>
              <a:cs typeface="Arial" pitchFamily="34" charset="0"/>
            </a:rPr>
            <a:t>C.P. NORA ROSALVA CEPEDA GUERRERO</a:t>
          </a:r>
        </a:p>
      </xdr:txBody>
    </xdr:sp>
    <xdr:clientData/>
  </xdr:twoCellAnchor>
  <xdr:twoCellAnchor editAs="oneCell">
    <xdr:from>
      <xdr:col>0</xdr:col>
      <xdr:colOff>76200</xdr:colOff>
      <xdr:row>0</xdr:row>
      <xdr:rowOff>0</xdr:rowOff>
    </xdr:from>
    <xdr:to>
      <xdr:col>1</xdr:col>
      <xdr:colOff>771525</xdr:colOff>
      <xdr:row>4</xdr:row>
      <xdr:rowOff>53100</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0"/>
          <a:ext cx="1400175" cy="748425"/>
        </a:xfrm>
        <a:prstGeom prst="rect">
          <a:avLst/>
        </a:prstGeom>
      </xdr:spPr>
    </xdr:pic>
    <xdr:clientData/>
  </xdr:twoCellAnchor>
  <xdr:twoCellAnchor editAs="oneCell">
    <xdr:from>
      <xdr:col>2</xdr:col>
      <xdr:colOff>1266825</xdr:colOff>
      <xdr:row>0</xdr:row>
      <xdr:rowOff>0</xdr:rowOff>
    </xdr:from>
    <xdr:to>
      <xdr:col>4</xdr:col>
      <xdr:colOff>1334365</xdr:colOff>
      <xdr:row>4</xdr:row>
      <xdr:rowOff>79329</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81875" y="0"/>
          <a:ext cx="1553440" cy="77465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238854</xdr:colOff>
      <xdr:row>43</xdr:row>
      <xdr:rowOff>16163</xdr:rowOff>
    </xdr:from>
    <xdr:to>
      <xdr:col>3</xdr:col>
      <xdr:colOff>628650</xdr:colOff>
      <xdr:row>46</xdr:row>
      <xdr:rowOff>33588</xdr:rowOff>
    </xdr:to>
    <xdr:sp macro="" textlink="">
      <xdr:nvSpPr>
        <xdr:cNvPr id="16" name="16 CuadroTexto"/>
        <xdr:cNvSpPr txBox="1"/>
      </xdr:nvSpPr>
      <xdr:spPr>
        <a:xfrm>
          <a:off x="3136459" y="8207663"/>
          <a:ext cx="1638073" cy="5889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algn="ctr"/>
          <a:r>
            <a:rPr lang="es-MX" sz="600">
              <a:latin typeface="Arial" pitchFamily="34" charset="0"/>
              <a:cs typeface="Arial" pitchFamily="34" charset="0"/>
            </a:rPr>
            <a:t>LIC. FRIDA PATRICIA ESCOBAR ORTIZ</a:t>
          </a:r>
        </a:p>
      </xdr:txBody>
    </xdr:sp>
    <xdr:clientData/>
  </xdr:twoCellAnchor>
  <xdr:twoCellAnchor>
    <xdr:from>
      <xdr:col>1</xdr:col>
      <xdr:colOff>75753</xdr:colOff>
      <xdr:row>43</xdr:row>
      <xdr:rowOff>13961</xdr:rowOff>
    </xdr:from>
    <xdr:to>
      <xdr:col>2</xdr:col>
      <xdr:colOff>333374</xdr:colOff>
      <xdr:row>46</xdr:row>
      <xdr:rowOff>57150</xdr:rowOff>
    </xdr:to>
    <xdr:sp macro="" textlink="">
      <xdr:nvSpPr>
        <xdr:cNvPr id="15" name="15 CuadroTexto"/>
        <xdr:cNvSpPr txBox="1"/>
      </xdr:nvSpPr>
      <xdr:spPr>
        <a:xfrm>
          <a:off x="1542603" y="8205461"/>
          <a:ext cx="1686371" cy="6146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LAP. JOSÉ ALFREDO PEÑA RODRÍGUEZ</a:t>
          </a:r>
        </a:p>
      </xdr:txBody>
    </xdr:sp>
    <xdr:clientData/>
  </xdr:twoCellAnchor>
  <xdr:oneCellAnchor>
    <xdr:from>
      <xdr:col>1</xdr:col>
      <xdr:colOff>390524</xdr:colOff>
      <xdr:row>9</xdr:row>
      <xdr:rowOff>76200</xdr:rowOff>
    </xdr:from>
    <xdr:ext cx="2657475" cy="438150"/>
    <xdr:sp macro="" textlink="">
      <xdr:nvSpPr>
        <xdr:cNvPr id="11" name="7 Rectángulo"/>
        <xdr:cNvSpPr/>
      </xdr:nvSpPr>
      <xdr:spPr>
        <a:xfrm>
          <a:off x="1714499" y="1219200"/>
          <a:ext cx="2657475" cy="438150"/>
        </a:xfrm>
        <a:prstGeom prst="rect">
          <a:avLst/>
        </a:prstGeom>
        <a:noFill/>
      </xdr:spPr>
      <xdr:txBody>
        <a:bodyPr wrap="square" lIns="91440" tIns="45720" rIns="91440" bIns="45720">
          <a:noAutofit/>
        </a:bodyPr>
        <a:lstStyle/>
        <a:p>
          <a:pPr algn="ctr"/>
          <a:r>
            <a:rPr lang="es-ES" sz="2400" b="1" cap="none" spc="0">
              <a:ln w="3175"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SIN MOVIMIENTOS</a:t>
          </a:r>
        </a:p>
      </xdr:txBody>
    </xdr:sp>
    <xdr:clientData/>
  </xdr:oneCellAnchor>
  <xdr:twoCellAnchor>
    <xdr:from>
      <xdr:col>0</xdr:col>
      <xdr:colOff>1</xdr:colOff>
      <xdr:row>42</xdr:row>
      <xdr:rowOff>190499</xdr:rowOff>
    </xdr:from>
    <xdr:to>
      <xdr:col>1</xdr:col>
      <xdr:colOff>171450</xdr:colOff>
      <xdr:row>46</xdr:row>
      <xdr:rowOff>28574</xdr:rowOff>
    </xdr:to>
    <xdr:sp macro="" textlink="">
      <xdr:nvSpPr>
        <xdr:cNvPr id="14" name="14 CuadroTexto"/>
        <xdr:cNvSpPr txBox="1"/>
      </xdr:nvSpPr>
      <xdr:spPr>
        <a:xfrm>
          <a:off x="1" y="8191499"/>
          <a:ext cx="1638299" cy="600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algn="ctr"/>
          <a:r>
            <a:rPr lang="es-MX" sz="600">
              <a:latin typeface="Arial" pitchFamily="34" charset="0"/>
              <a:cs typeface="Arial" pitchFamily="34" charset="0"/>
            </a:rPr>
            <a:t>DR. XICOTÉNCATL GONZÁLEZ URESTI</a:t>
          </a:r>
        </a:p>
      </xdr:txBody>
    </xdr:sp>
    <xdr:clientData/>
  </xdr:twoCellAnchor>
  <xdr:twoCellAnchor>
    <xdr:from>
      <xdr:col>3</xdr:col>
      <xdr:colOff>581025</xdr:colOff>
      <xdr:row>43</xdr:row>
      <xdr:rowOff>10887</xdr:rowOff>
    </xdr:from>
    <xdr:to>
      <xdr:col>4</xdr:col>
      <xdr:colOff>1438276</xdr:colOff>
      <xdr:row>46</xdr:row>
      <xdr:rowOff>66674</xdr:rowOff>
    </xdr:to>
    <xdr:sp macro="" textlink="">
      <xdr:nvSpPr>
        <xdr:cNvPr id="17" name="17 CuadroTexto"/>
        <xdr:cNvSpPr txBox="1"/>
      </xdr:nvSpPr>
      <xdr:spPr>
        <a:xfrm>
          <a:off x="4726907" y="8202387"/>
          <a:ext cx="1769645" cy="6272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C.P. NORA ROSALVA CEPEDA GUERRERO</a:t>
          </a:r>
        </a:p>
      </xdr:txBody>
    </xdr:sp>
    <xdr:clientData/>
  </xdr:twoCellAnchor>
  <xdr:oneCellAnchor>
    <xdr:from>
      <xdr:col>1</xdr:col>
      <xdr:colOff>428625</xdr:colOff>
      <xdr:row>24</xdr:row>
      <xdr:rowOff>76200</xdr:rowOff>
    </xdr:from>
    <xdr:ext cx="2657475" cy="438150"/>
    <xdr:sp macro="" textlink="">
      <xdr:nvSpPr>
        <xdr:cNvPr id="9" name="7 Rectángulo"/>
        <xdr:cNvSpPr/>
      </xdr:nvSpPr>
      <xdr:spPr>
        <a:xfrm>
          <a:off x="1895475" y="4076700"/>
          <a:ext cx="2657475" cy="438150"/>
        </a:xfrm>
        <a:prstGeom prst="rect">
          <a:avLst/>
        </a:prstGeom>
        <a:noFill/>
      </xdr:spPr>
      <xdr:txBody>
        <a:bodyPr wrap="square" lIns="91440" tIns="45720" rIns="91440" bIns="45720">
          <a:noAutofit/>
        </a:bodyPr>
        <a:lstStyle/>
        <a:p>
          <a:pPr algn="ctr"/>
          <a:r>
            <a:rPr lang="es-ES" sz="2400" b="1" cap="none" spc="0">
              <a:ln w="3175"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SIN MOVIMIENTOS</a:t>
          </a:r>
        </a:p>
      </xdr:txBody>
    </xdr:sp>
    <xdr:clientData/>
  </xdr:oneCellAnchor>
  <xdr:twoCellAnchor editAs="oneCell">
    <xdr:from>
      <xdr:col>0</xdr:col>
      <xdr:colOff>39413</xdr:colOff>
      <xdr:row>0</xdr:row>
      <xdr:rowOff>25301</xdr:rowOff>
    </xdr:from>
    <xdr:to>
      <xdr:col>0</xdr:col>
      <xdr:colOff>1196647</xdr:colOff>
      <xdr:row>3</xdr:row>
      <xdr:rowOff>104965</xdr:rowOff>
    </xdr:to>
    <xdr:pic>
      <xdr:nvPicPr>
        <xdr:cNvPr id="10"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413" y="25301"/>
          <a:ext cx="1157234" cy="651164"/>
        </a:xfrm>
        <a:prstGeom prst="rect">
          <a:avLst/>
        </a:prstGeom>
      </xdr:spPr>
    </xdr:pic>
    <xdr:clientData/>
  </xdr:twoCellAnchor>
  <xdr:twoCellAnchor editAs="oneCell">
    <xdr:from>
      <xdr:col>4</xdr:col>
      <xdr:colOff>177362</xdr:colOff>
      <xdr:row>0</xdr:row>
      <xdr:rowOff>32425</xdr:rowOff>
    </xdr:from>
    <xdr:to>
      <xdr:col>4</xdr:col>
      <xdr:colOff>1414473</xdr:colOff>
      <xdr:row>3</xdr:row>
      <xdr:rowOff>68428</xdr:rowOff>
    </xdr:to>
    <xdr:pic>
      <xdr:nvPicPr>
        <xdr:cNvPr id="18" name="Imagen 1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35465" y="32425"/>
          <a:ext cx="1237111" cy="60750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2</xdr:col>
      <xdr:colOff>845897</xdr:colOff>
      <xdr:row>44</xdr:row>
      <xdr:rowOff>21959</xdr:rowOff>
    </xdr:from>
    <xdr:to>
      <xdr:col>4</xdr:col>
      <xdr:colOff>48988</xdr:colOff>
      <xdr:row>47</xdr:row>
      <xdr:rowOff>46264</xdr:rowOff>
    </xdr:to>
    <xdr:sp macro="" textlink="">
      <xdr:nvSpPr>
        <xdr:cNvPr id="17" name="16 CuadroTexto"/>
        <xdr:cNvSpPr txBox="1"/>
      </xdr:nvSpPr>
      <xdr:spPr>
        <a:xfrm>
          <a:off x="3115568" y="8403959"/>
          <a:ext cx="1652377"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algn="ctr"/>
          <a:r>
            <a:rPr lang="es-MX" sz="600">
              <a:latin typeface="Arial" pitchFamily="34" charset="0"/>
              <a:cs typeface="Arial" pitchFamily="34" charset="0"/>
            </a:rPr>
            <a:t>LIC. FRIDA PATRICIA ESCOBAR ORTIZ</a:t>
          </a:r>
        </a:p>
      </xdr:txBody>
    </xdr:sp>
    <xdr:clientData/>
  </xdr:twoCellAnchor>
  <xdr:twoCellAnchor>
    <xdr:from>
      <xdr:col>1</xdr:col>
      <xdr:colOff>767028</xdr:colOff>
      <xdr:row>44</xdr:row>
      <xdr:rowOff>17092</xdr:rowOff>
    </xdr:from>
    <xdr:to>
      <xdr:col>2</xdr:col>
      <xdr:colOff>941614</xdr:colOff>
      <xdr:row>47</xdr:row>
      <xdr:rowOff>69396</xdr:rowOff>
    </xdr:to>
    <xdr:sp macro="" textlink="">
      <xdr:nvSpPr>
        <xdr:cNvPr id="9" name="8 CuadroTexto"/>
        <xdr:cNvSpPr txBox="1"/>
      </xdr:nvSpPr>
      <xdr:spPr>
        <a:xfrm>
          <a:off x="1529028" y="8399092"/>
          <a:ext cx="1682257" cy="6238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LAP. JOSÉ ALFREDO PEÑA RODRÍGUEZ</a:t>
          </a:r>
        </a:p>
      </xdr:txBody>
    </xdr:sp>
    <xdr:clientData/>
  </xdr:twoCellAnchor>
  <xdr:twoCellAnchor>
    <xdr:from>
      <xdr:col>3</xdr:col>
      <xdr:colOff>751115</xdr:colOff>
      <xdr:row>44</xdr:row>
      <xdr:rowOff>22417</xdr:rowOff>
    </xdr:from>
    <xdr:to>
      <xdr:col>4</xdr:col>
      <xdr:colOff>1706805</xdr:colOff>
      <xdr:row>47</xdr:row>
      <xdr:rowOff>55788</xdr:rowOff>
    </xdr:to>
    <xdr:sp macro="" textlink="">
      <xdr:nvSpPr>
        <xdr:cNvPr id="11" name="10 CuadroTexto"/>
        <xdr:cNvSpPr txBox="1"/>
      </xdr:nvSpPr>
      <xdr:spPr>
        <a:xfrm>
          <a:off x="4669972" y="8404417"/>
          <a:ext cx="1755790" cy="6048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C.P. NORA ROSALVA CEPEDA GUERRERO</a:t>
          </a:r>
        </a:p>
      </xdr:txBody>
    </xdr:sp>
    <xdr:clientData/>
  </xdr:twoCellAnchor>
  <xdr:twoCellAnchor>
    <xdr:from>
      <xdr:col>0</xdr:col>
      <xdr:colOff>1</xdr:colOff>
      <xdr:row>44</xdr:row>
      <xdr:rowOff>19706</xdr:rowOff>
    </xdr:from>
    <xdr:to>
      <xdr:col>1</xdr:col>
      <xdr:colOff>870857</xdr:colOff>
      <xdr:row>47</xdr:row>
      <xdr:rowOff>76199</xdr:rowOff>
    </xdr:to>
    <xdr:sp macro="" textlink="">
      <xdr:nvSpPr>
        <xdr:cNvPr id="16" name="14 CuadroTexto"/>
        <xdr:cNvSpPr txBox="1"/>
      </xdr:nvSpPr>
      <xdr:spPr>
        <a:xfrm>
          <a:off x="1" y="8401706"/>
          <a:ext cx="1632856" cy="6279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algn="ctr"/>
          <a:r>
            <a:rPr lang="es-MX" sz="600">
              <a:latin typeface="Arial" pitchFamily="34" charset="0"/>
              <a:cs typeface="Arial" pitchFamily="34" charset="0"/>
            </a:rPr>
            <a:t>DR. XICOTÉNCATL GONZÁLEZ URESTI</a:t>
          </a:r>
        </a:p>
      </xdr:txBody>
    </xdr:sp>
    <xdr:clientData/>
  </xdr:twoCellAnchor>
  <xdr:twoCellAnchor editAs="oneCell">
    <xdr:from>
      <xdr:col>0</xdr:col>
      <xdr:colOff>14968</xdr:colOff>
      <xdr:row>0</xdr:row>
      <xdr:rowOff>27215</xdr:rowOff>
    </xdr:from>
    <xdr:to>
      <xdr:col>1</xdr:col>
      <xdr:colOff>334724</xdr:colOff>
      <xdr:row>3</xdr:row>
      <xdr:rowOff>36740</xdr:rowOff>
    </xdr:to>
    <xdr:pic>
      <xdr:nvPicPr>
        <xdr:cNvPr id="12" name="Imagen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968" y="27215"/>
          <a:ext cx="1081756" cy="581025"/>
        </a:xfrm>
        <a:prstGeom prst="rect">
          <a:avLst/>
        </a:prstGeom>
      </xdr:spPr>
    </xdr:pic>
    <xdr:clientData/>
  </xdr:twoCellAnchor>
  <xdr:twoCellAnchor editAs="oneCell">
    <xdr:from>
      <xdr:col>4</xdr:col>
      <xdr:colOff>522310</xdr:colOff>
      <xdr:row>0</xdr:row>
      <xdr:rowOff>38265</xdr:rowOff>
    </xdr:from>
    <xdr:to>
      <xdr:col>4</xdr:col>
      <xdr:colOff>1626169</xdr:colOff>
      <xdr:row>3</xdr:row>
      <xdr:rowOff>8832</xdr:rowOff>
    </xdr:to>
    <xdr:pic>
      <xdr:nvPicPr>
        <xdr:cNvPr id="13" name="Imagen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41267" y="38265"/>
          <a:ext cx="1103859" cy="542067"/>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34</xdr:row>
      <xdr:rowOff>0</xdr:rowOff>
    </xdr:from>
    <xdr:to>
      <xdr:col>1</xdr:col>
      <xdr:colOff>1114425</xdr:colOff>
      <xdr:row>36</xdr:row>
      <xdr:rowOff>140495</xdr:rowOff>
    </xdr:to>
    <xdr:sp macro="" textlink="">
      <xdr:nvSpPr>
        <xdr:cNvPr id="2" name="63 CuadroTexto"/>
        <xdr:cNvSpPr txBox="1"/>
      </xdr:nvSpPr>
      <xdr:spPr>
        <a:xfrm>
          <a:off x="0" y="6467475"/>
          <a:ext cx="1876425" cy="52149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Calibri" panose="020F0502020204030204"/>
            </a:rPr>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cs typeface="Arial" pitchFamily="34" charset="0"/>
            </a:rPr>
            <a:t>DR. XICOTÉNCATL GONZÁLEZ URESTI</a:t>
          </a:r>
        </a:p>
      </xdr:txBody>
    </xdr:sp>
    <xdr:clientData/>
  </xdr:twoCellAnchor>
  <xdr:twoCellAnchor>
    <xdr:from>
      <xdr:col>1</xdr:col>
      <xdr:colOff>1133474</xdr:colOff>
      <xdr:row>34</xdr:row>
      <xdr:rowOff>0</xdr:rowOff>
    </xdr:from>
    <xdr:to>
      <xdr:col>3</xdr:col>
      <xdr:colOff>38099</xdr:colOff>
      <xdr:row>36</xdr:row>
      <xdr:rowOff>140494</xdr:rowOff>
    </xdr:to>
    <xdr:sp macro="" textlink="">
      <xdr:nvSpPr>
        <xdr:cNvPr id="3" name="64 CuadroTexto"/>
        <xdr:cNvSpPr txBox="1"/>
      </xdr:nvSpPr>
      <xdr:spPr>
        <a:xfrm>
          <a:off x="1895474" y="6467475"/>
          <a:ext cx="1685925" cy="521494"/>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Calibri" panose="020F0502020204030204"/>
            </a:rPr>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cs typeface="Arial" pitchFamily="34" charset="0"/>
            </a:rPr>
            <a:t>LAP. JOSÉ ALFREDO PEÑA RODRÍGUEZ</a:t>
          </a:r>
        </a:p>
      </xdr:txBody>
    </xdr:sp>
    <xdr:clientData/>
  </xdr:twoCellAnchor>
  <xdr:twoCellAnchor>
    <xdr:from>
      <xdr:col>3</xdr:col>
      <xdr:colOff>152400</xdr:colOff>
      <xdr:row>34</xdr:row>
      <xdr:rowOff>9525</xdr:rowOff>
    </xdr:from>
    <xdr:to>
      <xdr:col>4</xdr:col>
      <xdr:colOff>247651</xdr:colOff>
      <xdr:row>37</xdr:row>
      <xdr:rowOff>0</xdr:rowOff>
    </xdr:to>
    <xdr:sp macro="" textlink="">
      <xdr:nvSpPr>
        <xdr:cNvPr id="4" name="65 CuadroTexto"/>
        <xdr:cNvSpPr txBox="1"/>
      </xdr:nvSpPr>
      <xdr:spPr>
        <a:xfrm>
          <a:off x="3695700" y="6477000"/>
          <a:ext cx="1800226" cy="5619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SINDICO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prstClr val="black"/>
              </a:solidFill>
              <a:effectLst/>
              <a:uLnTx/>
              <a:uFillTx/>
              <a:latin typeface="Arial" pitchFamily="34" charset="0"/>
              <a:cs typeface="Arial" pitchFamily="34" charset="0"/>
            </a:rPr>
            <a:t>LIC. FRIDA PATRICIA ESCOBAR ORTIZ</a:t>
          </a:r>
        </a:p>
      </xdr:txBody>
    </xdr:sp>
    <xdr:clientData/>
  </xdr:twoCellAnchor>
  <xdr:twoCellAnchor>
    <xdr:from>
      <xdr:col>4</xdr:col>
      <xdr:colOff>342900</xdr:colOff>
      <xdr:row>34</xdr:row>
      <xdr:rowOff>0</xdr:rowOff>
    </xdr:from>
    <xdr:to>
      <xdr:col>6</xdr:col>
      <xdr:colOff>1</xdr:colOff>
      <xdr:row>37</xdr:row>
      <xdr:rowOff>0</xdr:rowOff>
    </xdr:to>
    <xdr:sp macro="" textlink="">
      <xdr:nvSpPr>
        <xdr:cNvPr id="5" name="66 CuadroTexto"/>
        <xdr:cNvSpPr txBox="1"/>
      </xdr:nvSpPr>
      <xdr:spPr>
        <a:xfrm>
          <a:off x="5591175" y="6467475"/>
          <a:ext cx="1809751" cy="5715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Calibri" panose="020F0502020204030204"/>
            </a:rPr>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C.P. NORA ROSALVA CEPEDA GUERRERO</a:t>
          </a:r>
        </a:p>
      </xdr:txBody>
    </xdr:sp>
    <xdr:clientData/>
  </xdr:twoCellAnchor>
  <xdr:twoCellAnchor editAs="oneCell">
    <xdr:from>
      <xdr:col>0</xdr:col>
      <xdr:colOff>47625</xdr:colOff>
      <xdr:row>1</xdr:row>
      <xdr:rowOff>19050</xdr:rowOff>
    </xdr:from>
    <xdr:to>
      <xdr:col>1</xdr:col>
      <xdr:colOff>607218</xdr:colOff>
      <xdr:row>4</xdr:row>
      <xdr:rowOff>153971</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209550"/>
          <a:ext cx="1321593" cy="706421"/>
        </a:xfrm>
        <a:prstGeom prst="rect">
          <a:avLst/>
        </a:prstGeom>
      </xdr:spPr>
    </xdr:pic>
    <xdr:clientData/>
  </xdr:twoCellAnchor>
  <xdr:twoCellAnchor editAs="oneCell">
    <xdr:from>
      <xdr:col>4</xdr:col>
      <xdr:colOff>609600</xdr:colOff>
      <xdr:row>1</xdr:row>
      <xdr:rowOff>28575</xdr:rowOff>
    </xdr:from>
    <xdr:to>
      <xdr:col>5</xdr:col>
      <xdr:colOff>1342571</xdr:colOff>
      <xdr:row>5</xdr:row>
      <xdr:rowOff>12072</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57875" y="219075"/>
          <a:ext cx="1494971" cy="74549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719299</xdr:colOff>
      <xdr:row>41</xdr:row>
      <xdr:rowOff>154198</xdr:rowOff>
    </xdr:from>
    <xdr:to>
      <xdr:col>3</xdr:col>
      <xdr:colOff>669261</xdr:colOff>
      <xdr:row>45</xdr:row>
      <xdr:rowOff>16002</xdr:rowOff>
    </xdr:to>
    <xdr:sp macro="" textlink="">
      <xdr:nvSpPr>
        <xdr:cNvPr id="10" name="8 CuadroTexto"/>
        <xdr:cNvSpPr txBox="1"/>
      </xdr:nvSpPr>
      <xdr:spPr>
        <a:xfrm>
          <a:off x="1606628" y="7984751"/>
          <a:ext cx="1674488" cy="6238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LAP. JOSÉ ALFREDO PEÑA RODRÍGUEZ</a:t>
          </a:r>
        </a:p>
      </xdr:txBody>
    </xdr:sp>
    <xdr:clientData/>
  </xdr:twoCellAnchor>
  <xdr:twoCellAnchor>
    <xdr:from>
      <xdr:col>5</xdr:col>
      <xdr:colOff>665649</xdr:colOff>
      <xdr:row>41</xdr:row>
      <xdr:rowOff>158595</xdr:rowOff>
    </xdr:from>
    <xdr:to>
      <xdr:col>7</xdr:col>
      <xdr:colOff>753958</xdr:colOff>
      <xdr:row>45</xdr:row>
      <xdr:rowOff>1466</xdr:rowOff>
    </xdr:to>
    <xdr:sp macro="" textlink="">
      <xdr:nvSpPr>
        <xdr:cNvPr id="11" name="10 CuadroTexto"/>
        <xdr:cNvSpPr txBox="1"/>
      </xdr:nvSpPr>
      <xdr:spPr>
        <a:xfrm>
          <a:off x="4991393" y="7987680"/>
          <a:ext cx="1774931" cy="6048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C.P. NORA ROSALVA CEPEDA GUERRERO</a:t>
          </a:r>
        </a:p>
      </xdr:txBody>
    </xdr:sp>
    <xdr:clientData/>
  </xdr:twoCellAnchor>
  <xdr:twoCellAnchor>
    <xdr:from>
      <xdr:col>0</xdr:col>
      <xdr:colOff>0</xdr:colOff>
      <xdr:row>41</xdr:row>
      <xdr:rowOff>153672</xdr:rowOff>
    </xdr:from>
    <xdr:to>
      <xdr:col>2</xdr:col>
      <xdr:colOff>28575</xdr:colOff>
      <xdr:row>45</xdr:row>
      <xdr:rowOff>19665</xdr:rowOff>
    </xdr:to>
    <xdr:sp macro="" textlink="">
      <xdr:nvSpPr>
        <xdr:cNvPr id="12" name="14 CuadroTexto"/>
        <xdr:cNvSpPr txBox="1"/>
      </xdr:nvSpPr>
      <xdr:spPr>
        <a:xfrm>
          <a:off x="0" y="7983222"/>
          <a:ext cx="1676400" cy="6279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DR. XICOTÉNCATL GONZÁLEZ URESTI</a:t>
          </a:r>
        </a:p>
      </xdr:txBody>
    </xdr:sp>
    <xdr:clientData/>
  </xdr:twoCellAnchor>
  <xdr:twoCellAnchor>
    <xdr:from>
      <xdr:col>3</xdr:col>
      <xdr:colOff>606105</xdr:colOff>
      <xdr:row>41</xdr:row>
      <xdr:rowOff>158253</xdr:rowOff>
    </xdr:from>
    <xdr:to>
      <xdr:col>5</xdr:col>
      <xdr:colOff>731445</xdr:colOff>
      <xdr:row>44</xdr:row>
      <xdr:rowOff>182558</xdr:rowOff>
    </xdr:to>
    <xdr:sp macro="" textlink="">
      <xdr:nvSpPr>
        <xdr:cNvPr id="13" name="16 CuadroTexto"/>
        <xdr:cNvSpPr txBox="1"/>
      </xdr:nvSpPr>
      <xdr:spPr>
        <a:xfrm>
          <a:off x="3217349" y="7987338"/>
          <a:ext cx="1839840"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LIC. FRIDA PATRICIA ESCOBAR ORTIZ</a:t>
          </a:r>
        </a:p>
      </xdr:txBody>
    </xdr:sp>
    <xdr:clientData/>
  </xdr:twoCellAnchor>
  <xdr:oneCellAnchor>
    <xdr:from>
      <xdr:col>1</xdr:col>
      <xdr:colOff>29067</xdr:colOff>
      <xdr:row>18</xdr:row>
      <xdr:rowOff>128452</xdr:rowOff>
    </xdr:from>
    <xdr:ext cx="4994782" cy="1121266"/>
    <xdr:sp macro="" textlink="">
      <xdr:nvSpPr>
        <xdr:cNvPr id="14" name="7 Rectángulo"/>
        <xdr:cNvSpPr/>
      </xdr:nvSpPr>
      <xdr:spPr>
        <a:xfrm rot="19095970">
          <a:off x="914892" y="3566977"/>
          <a:ext cx="4994782" cy="1121266"/>
        </a:xfrm>
        <a:prstGeom prst="rect">
          <a:avLst/>
        </a:prstGeom>
        <a:noFill/>
      </xdr:spPr>
      <xdr:txBody>
        <a:bodyPr wrap="square" lIns="91440" tIns="45720" rIns="91440" bIns="45720">
          <a:noAutofit/>
        </a:bodyPr>
        <a:lstStyle/>
        <a:p>
          <a:pPr algn="ctr"/>
          <a:r>
            <a:rPr lang="es-ES" sz="4000" b="1" cap="none" spc="0">
              <a:ln w="3175"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SIN MOVIMIENTOS</a:t>
          </a:r>
        </a:p>
      </xdr:txBody>
    </xdr:sp>
    <xdr:clientData/>
  </xdr:oneCellAnchor>
  <xdr:twoCellAnchor editAs="oneCell">
    <xdr:from>
      <xdr:col>0</xdr:col>
      <xdr:colOff>9525</xdr:colOff>
      <xdr:row>0</xdr:row>
      <xdr:rowOff>38100</xdr:rowOff>
    </xdr:from>
    <xdr:to>
      <xdr:col>1</xdr:col>
      <xdr:colOff>338375</xdr:colOff>
      <xdr:row>3</xdr:row>
      <xdr:rowOff>115871</xdr:rowOff>
    </xdr:to>
    <xdr:pic>
      <xdr:nvPicPr>
        <xdr:cNvPr id="15" name="Imagen 14"/>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38100"/>
          <a:ext cx="1214675" cy="649271"/>
        </a:xfrm>
        <a:prstGeom prst="rect">
          <a:avLst/>
        </a:prstGeom>
      </xdr:spPr>
    </xdr:pic>
    <xdr:clientData/>
  </xdr:twoCellAnchor>
  <xdr:twoCellAnchor editAs="oneCell">
    <xdr:from>
      <xdr:col>6</xdr:col>
      <xdr:colOff>276225</xdr:colOff>
      <xdr:row>0</xdr:row>
      <xdr:rowOff>50786</xdr:rowOff>
    </xdr:from>
    <xdr:to>
      <xdr:col>7</xdr:col>
      <xdr:colOff>726327</xdr:colOff>
      <xdr:row>3</xdr:row>
      <xdr:rowOff>164472</xdr:rowOff>
    </xdr:to>
    <xdr:pic>
      <xdr:nvPicPr>
        <xdr:cNvPr id="16" name="Imagen 1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62575" y="50786"/>
          <a:ext cx="1374027" cy="68518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1</xdr:col>
      <xdr:colOff>47625</xdr:colOff>
      <xdr:row>16</xdr:row>
      <xdr:rowOff>180974</xdr:rowOff>
    </xdr:from>
    <xdr:ext cx="4994782" cy="1121266"/>
    <xdr:sp macro="" textlink="">
      <xdr:nvSpPr>
        <xdr:cNvPr id="8" name="7 Rectángulo"/>
        <xdr:cNvSpPr/>
      </xdr:nvSpPr>
      <xdr:spPr>
        <a:xfrm rot="19095970">
          <a:off x="933450" y="3238499"/>
          <a:ext cx="4994782" cy="1121266"/>
        </a:xfrm>
        <a:prstGeom prst="rect">
          <a:avLst/>
        </a:prstGeom>
        <a:noFill/>
      </xdr:spPr>
      <xdr:txBody>
        <a:bodyPr wrap="square" lIns="91440" tIns="45720" rIns="91440" bIns="45720">
          <a:noAutofit/>
        </a:bodyPr>
        <a:lstStyle/>
        <a:p>
          <a:pPr algn="ctr"/>
          <a:r>
            <a:rPr lang="es-ES" sz="4000" b="1" cap="none" spc="0">
              <a:ln w="3175"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SIN MOVIMIENTOS</a:t>
          </a:r>
        </a:p>
      </xdr:txBody>
    </xdr:sp>
    <xdr:clientData/>
  </xdr:oneCellAnchor>
  <xdr:twoCellAnchor editAs="oneCell">
    <xdr:from>
      <xdr:col>0</xdr:col>
      <xdr:colOff>0</xdr:colOff>
      <xdr:row>0</xdr:row>
      <xdr:rowOff>0</xdr:rowOff>
    </xdr:from>
    <xdr:to>
      <xdr:col>1</xdr:col>
      <xdr:colOff>330041</xdr:colOff>
      <xdr:row>3</xdr:row>
      <xdr:rowOff>77771</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215866" cy="649271"/>
        </a:xfrm>
        <a:prstGeom prst="rect">
          <a:avLst/>
        </a:prstGeom>
      </xdr:spPr>
    </xdr:pic>
    <xdr:clientData/>
  </xdr:twoCellAnchor>
  <xdr:twoCellAnchor editAs="oneCell">
    <xdr:from>
      <xdr:col>6</xdr:col>
      <xdr:colOff>270272</xdr:colOff>
      <xdr:row>0</xdr:row>
      <xdr:rowOff>12686</xdr:rowOff>
    </xdr:from>
    <xdr:to>
      <xdr:col>7</xdr:col>
      <xdr:colOff>719183</xdr:colOff>
      <xdr:row>3</xdr:row>
      <xdr:rowOff>126372</xdr:rowOff>
    </xdr:to>
    <xdr:pic>
      <xdr:nvPicPr>
        <xdr:cNvPr id="10" name="Imagen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6622" y="12686"/>
          <a:ext cx="1372836" cy="685186"/>
        </a:xfrm>
        <a:prstGeom prst="rect">
          <a:avLst/>
        </a:prstGeom>
      </xdr:spPr>
    </xdr:pic>
    <xdr:clientData/>
  </xdr:twoCellAnchor>
  <xdr:twoCellAnchor>
    <xdr:from>
      <xdr:col>1</xdr:col>
      <xdr:colOff>719299</xdr:colOff>
      <xdr:row>41</xdr:row>
      <xdr:rowOff>154198</xdr:rowOff>
    </xdr:from>
    <xdr:to>
      <xdr:col>3</xdr:col>
      <xdr:colOff>669261</xdr:colOff>
      <xdr:row>45</xdr:row>
      <xdr:rowOff>16002</xdr:rowOff>
    </xdr:to>
    <xdr:sp macro="" textlink="">
      <xdr:nvSpPr>
        <xdr:cNvPr id="11" name="8 CuadroTexto"/>
        <xdr:cNvSpPr txBox="1"/>
      </xdr:nvSpPr>
      <xdr:spPr>
        <a:xfrm>
          <a:off x="1605124" y="7983748"/>
          <a:ext cx="1673987" cy="6238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LAP. JOSÉ ALFREDO PEÑA RODRÍGUEZ</a:t>
          </a:r>
        </a:p>
      </xdr:txBody>
    </xdr:sp>
    <xdr:clientData/>
  </xdr:twoCellAnchor>
  <xdr:twoCellAnchor>
    <xdr:from>
      <xdr:col>5</xdr:col>
      <xdr:colOff>665649</xdr:colOff>
      <xdr:row>41</xdr:row>
      <xdr:rowOff>158595</xdr:rowOff>
    </xdr:from>
    <xdr:to>
      <xdr:col>7</xdr:col>
      <xdr:colOff>753958</xdr:colOff>
      <xdr:row>45</xdr:row>
      <xdr:rowOff>1466</xdr:rowOff>
    </xdr:to>
    <xdr:sp macro="" textlink="">
      <xdr:nvSpPr>
        <xdr:cNvPr id="12" name="10 CuadroTexto"/>
        <xdr:cNvSpPr txBox="1"/>
      </xdr:nvSpPr>
      <xdr:spPr>
        <a:xfrm>
          <a:off x="4989999" y="7988145"/>
          <a:ext cx="1774234" cy="6048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C.P. NORA ROSALVA CEPEDA GUERRERO</a:t>
          </a:r>
        </a:p>
      </xdr:txBody>
    </xdr:sp>
    <xdr:clientData/>
  </xdr:twoCellAnchor>
  <xdr:twoCellAnchor>
    <xdr:from>
      <xdr:col>0</xdr:col>
      <xdr:colOff>0</xdr:colOff>
      <xdr:row>41</xdr:row>
      <xdr:rowOff>153672</xdr:rowOff>
    </xdr:from>
    <xdr:to>
      <xdr:col>2</xdr:col>
      <xdr:colOff>28575</xdr:colOff>
      <xdr:row>45</xdr:row>
      <xdr:rowOff>19665</xdr:rowOff>
    </xdr:to>
    <xdr:sp macro="" textlink="">
      <xdr:nvSpPr>
        <xdr:cNvPr id="13" name="14 CuadroTexto"/>
        <xdr:cNvSpPr txBox="1"/>
      </xdr:nvSpPr>
      <xdr:spPr>
        <a:xfrm>
          <a:off x="0" y="7983222"/>
          <a:ext cx="1676400" cy="6279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DR. XICOTÉNCATL GONZÁLEZ URESTI</a:t>
          </a:r>
        </a:p>
      </xdr:txBody>
    </xdr:sp>
    <xdr:clientData/>
  </xdr:twoCellAnchor>
  <xdr:twoCellAnchor>
    <xdr:from>
      <xdr:col>3</xdr:col>
      <xdr:colOff>606105</xdr:colOff>
      <xdr:row>41</xdr:row>
      <xdr:rowOff>158253</xdr:rowOff>
    </xdr:from>
    <xdr:to>
      <xdr:col>5</xdr:col>
      <xdr:colOff>731445</xdr:colOff>
      <xdr:row>44</xdr:row>
      <xdr:rowOff>182558</xdr:rowOff>
    </xdr:to>
    <xdr:sp macro="" textlink="">
      <xdr:nvSpPr>
        <xdr:cNvPr id="14" name="16 CuadroTexto"/>
        <xdr:cNvSpPr txBox="1"/>
      </xdr:nvSpPr>
      <xdr:spPr>
        <a:xfrm>
          <a:off x="3215955" y="7987803"/>
          <a:ext cx="1839840"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LIC. FRIDA PATRICIA ESCOBAR ORTIZ</a:t>
          </a:r>
        </a:p>
      </xdr:txBody>
    </xdr:sp>
    <xdr:clientData/>
  </xdr:twoCellAnchor>
</xdr:wsDr>
</file>

<file path=xl/drawings/drawing25.xml><?xml version="1.0" encoding="utf-8"?>
<xdr:wsDr xmlns:xdr="http://schemas.openxmlformats.org/drawingml/2006/spreadsheetDrawing" xmlns:a="http://schemas.openxmlformats.org/drawingml/2006/main">
  <xdr:oneCellAnchor>
    <xdr:from>
      <xdr:col>1</xdr:col>
      <xdr:colOff>47625</xdr:colOff>
      <xdr:row>16</xdr:row>
      <xdr:rowOff>180974</xdr:rowOff>
    </xdr:from>
    <xdr:ext cx="4994782" cy="1121266"/>
    <xdr:sp macro="" textlink="">
      <xdr:nvSpPr>
        <xdr:cNvPr id="8" name="7 Rectángulo"/>
        <xdr:cNvSpPr/>
      </xdr:nvSpPr>
      <xdr:spPr>
        <a:xfrm rot="19095970">
          <a:off x="933450" y="3238499"/>
          <a:ext cx="4994782" cy="1121266"/>
        </a:xfrm>
        <a:prstGeom prst="rect">
          <a:avLst/>
        </a:prstGeom>
        <a:noFill/>
      </xdr:spPr>
      <xdr:txBody>
        <a:bodyPr wrap="square" lIns="91440" tIns="45720" rIns="91440" bIns="45720">
          <a:noAutofit/>
        </a:bodyPr>
        <a:lstStyle/>
        <a:p>
          <a:pPr algn="ctr"/>
          <a:r>
            <a:rPr lang="es-ES" sz="4000" b="1" cap="none" spc="0">
              <a:ln w="3175"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SIN MOVIMIENTOS</a:t>
          </a:r>
        </a:p>
      </xdr:txBody>
    </xdr:sp>
    <xdr:clientData/>
  </xdr:oneCellAnchor>
  <xdr:twoCellAnchor>
    <xdr:from>
      <xdr:col>1</xdr:col>
      <xdr:colOff>719299</xdr:colOff>
      <xdr:row>40</xdr:row>
      <xdr:rowOff>154198</xdr:rowOff>
    </xdr:from>
    <xdr:to>
      <xdr:col>3</xdr:col>
      <xdr:colOff>669261</xdr:colOff>
      <xdr:row>44</xdr:row>
      <xdr:rowOff>16002</xdr:rowOff>
    </xdr:to>
    <xdr:sp macro="" textlink="">
      <xdr:nvSpPr>
        <xdr:cNvPr id="9" name="8 CuadroTexto"/>
        <xdr:cNvSpPr txBox="1"/>
      </xdr:nvSpPr>
      <xdr:spPr>
        <a:xfrm>
          <a:off x="1605124" y="7983748"/>
          <a:ext cx="1673987" cy="6238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LAP. JOSÉ ALFREDO PEÑA RODRÍGUEZ</a:t>
          </a:r>
        </a:p>
      </xdr:txBody>
    </xdr:sp>
    <xdr:clientData/>
  </xdr:twoCellAnchor>
  <xdr:twoCellAnchor>
    <xdr:from>
      <xdr:col>5</xdr:col>
      <xdr:colOff>665649</xdr:colOff>
      <xdr:row>40</xdr:row>
      <xdr:rowOff>158595</xdr:rowOff>
    </xdr:from>
    <xdr:to>
      <xdr:col>7</xdr:col>
      <xdr:colOff>753958</xdr:colOff>
      <xdr:row>44</xdr:row>
      <xdr:rowOff>1466</xdr:rowOff>
    </xdr:to>
    <xdr:sp macro="" textlink="">
      <xdr:nvSpPr>
        <xdr:cNvPr id="10" name="10 CuadroTexto"/>
        <xdr:cNvSpPr txBox="1"/>
      </xdr:nvSpPr>
      <xdr:spPr>
        <a:xfrm>
          <a:off x="4989999" y="7988145"/>
          <a:ext cx="1774234" cy="6048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C.P. NORA ROSALVA CEPEDA GUERRERO</a:t>
          </a:r>
        </a:p>
      </xdr:txBody>
    </xdr:sp>
    <xdr:clientData/>
  </xdr:twoCellAnchor>
  <xdr:twoCellAnchor>
    <xdr:from>
      <xdr:col>0</xdr:col>
      <xdr:colOff>0</xdr:colOff>
      <xdr:row>40</xdr:row>
      <xdr:rowOff>153672</xdr:rowOff>
    </xdr:from>
    <xdr:to>
      <xdr:col>2</xdr:col>
      <xdr:colOff>28575</xdr:colOff>
      <xdr:row>44</xdr:row>
      <xdr:rowOff>19665</xdr:rowOff>
    </xdr:to>
    <xdr:sp macro="" textlink="">
      <xdr:nvSpPr>
        <xdr:cNvPr id="11" name="14 CuadroTexto"/>
        <xdr:cNvSpPr txBox="1"/>
      </xdr:nvSpPr>
      <xdr:spPr>
        <a:xfrm>
          <a:off x="0" y="7983222"/>
          <a:ext cx="1676400" cy="6279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DR. XICOTÉNCATL GONZÁLEZ URESTI</a:t>
          </a:r>
        </a:p>
      </xdr:txBody>
    </xdr:sp>
    <xdr:clientData/>
  </xdr:twoCellAnchor>
  <xdr:twoCellAnchor>
    <xdr:from>
      <xdr:col>3</xdr:col>
      <xdr:colOff>606105</xdr:colOff>
      <xdr:row>40</xdr:row>
      <xdr:rowOff>158253</xdr:rowOff>
    </xdr:from>
    <xdr:to>
      <xdr:col>5</xdr:col>
      <xdr:colOff>731445</xdr:colOff>
      <xdr:row>43</xdr:row>
      <xdr:rowOff>182558</xdr:rowOff>
    </xdr:to>
    <xdr:sp macro="" textlink="">
      <xdr:nvSpPr>
        <xdr:cNvPr id="12" name="16 CuadroTexto"/>
        <xdr:cNvSpPr txBox="1"/>
      </xdr:nvSpPr>
      <xdr:spPr>
        <a:xfrm>
          <a:off x="3215955" y="7987803"/>
          <a:ext cx="1839840"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LIC. FRIDA PATRICIA ESCOBAR ORTIZ</a:t>
          </a:r>
        </a:p>
      </xdr:txBody>
    </xdr:sp>
    <xdr:clientData/>
  </xdr:twoCellAnchor>
  <xdr:twoCellAnchor editAs="oneCell">
    <xdr:from>
      <xdr:col>0</xdr:col>
      <xdr:colOff>9525</xdr:colOff>
      <xdr:row>0</xdr:row>
      <xdr:rowOff>19050</xdr:rowOff>
    </xdr:from>
    <xdr:to>
      <xdr:col>1</xdr:col>
      <xdr:colOff>339566</xdr:colOff>
      <xdr:row>3</xdr:row>
      <xdr:rowOff>96821</xdr:rowOff>
    </xdr:to>
    <xdr:pic>
      <xdr:nvPicPr>
        <xdr:cNvPr id="13" name="Imagen 1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19050"/>
          <a:ext cx="1215866" cy="649271"/>
        </a:xfrm>
        <a:prstGeom prst="rect">
          <a:avLst/>
        </a:prstGeom>
      </xdr:spPr>
    </xdr:pic>
    <xdr:clientData/>
  </xdr:twoCellAnchor>
  <xdr:twoCellAnchor editAs="oneCell">
    <xdr:from>
      <xdr:col>6</xdr:col>
      <xdr:colOff>279797</xdr:colOff>
      <xdr:row>0</xdr:row>
      <xdr:rowOff>31736</xdr:rowOff>
    </xdr:from>
    <xdr:to>
      <xdr:col>7</xdr:col>
      <xdr:colOff>728708</xdr:colOff>
      <xdr:row>3</xdr:row>
      <xdr:rowOff>145422</xdr:rowOff>
    </xdr:to>
    <xdr:pic>
      <xdr:nvPicPr>
        <xdr:cNvPr id="14" name="Imagen 1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66147" y="31736"/>
          <a:ext cx="1372836" cy="68518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1200150</xdr:colOff>
      <xdr:row>32</xdr:row>
      <xdr:rowOff>150451</xdr:rowOff>
    </xdr:from>
    <xdr:to>
      <xdr:col>2</xdr:col>
      <xdr:colOff>1333499</xdr:colOff>
      <xdr:row>36</xdr:row>
      <xdr:rowOff>161924</xdr:rowOff>
    </xdr:to>
    <xdr:sp macro="" textlink="">
      <xdr:nvSpPr>
        <xdr:cNvPr id="2" name="8 CuadroTexto"/>
        <xdr:cNvSpPr txBox="1"/>
      </xdr:nvSpPr>
      <xdr:spPr>
        <a:xfrm>
          <a:off x="2286000" y="6779851"/>
          <a:ext cx="2438399" cy="7734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endParaRPr lang="es-MX" sz="800">
            <a:latin typeface="Arial" pitchFamily="34" charset="0"/>
            <a:cs typeface="Arial" pitchFamily="34" charset="0"/>
          </a:endParaRPr>
        </a:p>
        <a:p>
          <a:pPr algn="ctr"/>
          <a:r>
            <a:rPr lang="es-MX" sz="800">
              <a:latin typeface="Arial" pitchFamily="34" charset="0"/>
              <a:cs typeface="Arial" pitchFamily="34" charset="0"/>
            </a:rPr>
            <a:t>___________________________________</a:t>
          </a:r>
        </a:p>
        <a:p>
          <a:pPr algn="ctr"/>
          <a:r>
            <a:rPr lang="es-MX" sz="800">
              <a:latin typeface="Arial" pitchFamily="34" charset="0"/>
              <a:cs typeface="Arial" pitchFamily="34" charset="0"/>
            </a:rPr>
            <a:t>LAP. JOSÉ ALFREDO PEÑA RODRÍGUEZ</a:t>
          </a:r>
        </a:p>
      </xdr:txBody>
    </xdr:sp>
    <xdr:clientData/>
  </xdr:twoCellAnchor>
  <xdr:twoCellAnchor>
    <xdr:from>
      <xdr:col>4</xdr:col>
      <xdr:colOff>723900</xdr:colOff>
      <xdr:row>32</xdr:row>
      <xdr:rowOff>141477</xdr:rowOff>
    </xdr:from>
    <xdr:to>
      <xdr:col>5</xdr:col>
      <xdr:colOff>1466850</xdr:colOff>
      <xdr:row>37</xdr:row>
      <xdr:rowOff>5746</xdr:rowOff>
    </xdr:to>
    <xdr:sp macro="" textlink="">
      <xdr:nvSpPr>
        <xdr:cNvPr id="3" name="10 CuadroTexto"/>
        <xdr:cNvSpPr txBox="1"/>
      </xdr:nvSpPr>
      <xdr:spPr>
        <a:xfrm>
          <a:off x="7315200" y="6770877"/>
          <a:ext cx="2343150" cy="816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endParaRPr lang="es-MX" sz="800">
            <a:latin typeface="Arial" pitchFamily="34" charset="0"/>
            <a:cs typeface="Arial" pitchFamily="34" charset="0"/>
          </a:endParaRPr>
        </a:p>
        <a:p>
          <a:pPr algn="ctr"/>
          <a:r>
            <a:rPr lang="es-MX" sz="800"/>
            <a:t>_________________________________________</a:t>
          </a:r>
        </a:p>
        <a:p>
          <a:pPr algn="ctr"/>
          <a:r>
            <a:rPr lang="es-MX" sz="800">
              <a:latin typeface="Arial" pitchFamily="34" charset="0"/>
              <a:cs typeface="Arial" pitchFamily="34" charset="0"/>
            </a:rPr>
            <a:t>C.P. NORA ROSALVA CEPEDA GUERRERO</a:t>
          </a:r>
        </a:p>
      </xdr:txBody>
    </xdr:sp>
    <xdr:clientData/>
  </xdr:twoCellAnchor>
  <xdr:twoCellAnchor>
    <xdr:from>
      <xdr:col>0</xdr:col>
      <xdr:colOff>8060</xdr:colOff>
      <xdr:row>32</xdr:row>
      <xdr:rowOff>143607</xdr:rowOff>
    </xdr:from>
    <xdr:to>
      <xdr:col>1</xdr:col>
      <xdr:colOff>1247775</xdr:colOff>
      <xdr:row>37</xdr:row>
      <xdr:rowOff>9525</xdr:rowOff>
    </xdr:to>
    <xdr:sp macro="" textlink="">
      <xdr:nvSpPr>
        <xdr:cNvPr id="4" name="12 CuadroTexto"/>
        <xdr:cNvSpPr txBox="1"/>
      </xdr:nvSpPr>
      <xdr:spPr>
        <a:xfrm>
          <a:off x="8060" y="6773007"/>
          <a:ext cx="2325565" cy="81841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endParaRPr lang="es-MX" sz="800">
            <a:latin typeface="Arial" pitchFamily="34" charset="0"/>
            <a:cs typeface="Arial" pitchFamily="34" charset="0"/>
          </a:endParaRPr>
        </a:p>
        <a:p>
          <a:pPr algn="ctr"/>
          <a:r>
            <a:rPr lang="es-MX" sz="800">
              <a:latin typeface="Arial" pitchFamily="34" charset="0"/>
              <a:cs typeface="Arial" pitchFamily="34" charset="0"/>
            </a:rPr>
            <a:t>____________________________________</a:t>
          </a:r>
        </a:p>
        <a:p>
          <a:pPr algn="ctr"/>
          <a:r>
            <a:rPr lang="es-MX" sz="800">
              <a:latin typeface="Arial" pitchFamily="34" charset="0"/>
              <a:cs typeface="Arial" pitchFamily="34" charset="0"/>
            </a:rPr>
            <a:t>DR. XICOTÉNCATL GONZÁLEZ URESTI</a:t>
          </a:r>
        </a:p>
      </xdr:txBody>
    </xdr:sp>
    <xdr:clientData/>
  </xdr:twoCellAnchor>
  <xdr:twoCellAnchor>
    <xdr:from>
      <xdr:col>2</xdr:col>
      <xdr:colOff>1280191</xdr:colOff>
      <xdr:row>32</xdr:row>
      <xdr:rowOff>152976</xdr:rowOff>
    </xdr:from>
    <xdr:to>
      <xdr:col>4</xdr:col>
      <xdr:colOff>704850</xdr:colOff>
      <xdr:row>36</xdr:row>
      <xdr:rowOff>171450</xdr:rowOff>
    </xdr:to>
    <xdr:sp macro="" textlink="">
      <xdr:nvSpPr>
        <xdr:cNvPr id="5" name="14 CuadroTexto"/>
        <xdr:cNvSpPr txBox="1"/>
      </xdr:nvSpPr>
      <xdr:spPr>
        <a:xfrm>
          <a:off x="4671091" y="6782376"/>
          <a:ext cx="2625059" cy="7804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endParaRPr lang="es-MX" sz="800" baseline="0">
            <a:latin typeface="Arial" pitchFamily="34" charset="0"/>
            <a:cs typeface="Arial" pitchFamily="34" charset="0"/>
          </a:endParaRPr>
        </a:p>
        <a:p>
          <a:pPr algn="ctr"/>
          <a:r>
            <a:rPr lang="es-MX" sz="800">
              <a:latin typeface="Arial" pitchFamily="34" charset="0"/>
              <a:cs typeface="Arial" pitchFamily="34" charset="0"/>
            </a:rPr>
            <a:t>____________________________________</a:t>
          </a:r>
        </a:p>
        <a:p>
          <a:pPr algn="ctr"/>
          <a:r>
            <a:rPr lang="es-MX" sz="800">
              <a:solidFill>
                <a:schemeClr val="dk1"/>
              </a:solidFill>
              <a:effectLst/>
              <a:latin typeface="Arial" panose="020B0604020202020204" pitchFamily="34" charset="0"/>
              <a:ea typeface="+mn-ea"/>
              <a:cs typeface="Arial" panose="020B0604020202020204" pitchFamily="34" charset="0"/>
            </a:rPr>
            <a:t>LIC. FRIDA PATRICIA ESCOBAR ORTIZ</a:t>
          </a:r>
        </a:p>
      </xdr:txBody>
    </xdr:sp>
    <xdr:clientData/>
  </xdr:twoCellAnchor>
  <xdr:twoCellAnchor editAs="oneCell">
    <xdr:from>
      <xdr:col>0</xdr:col>
      <xdr:colOff>95250</xdr:colOff>
      <xdr:row>0</xdr:row>
      <xdr:rowOff>85725</xdr:rowOff>
    </xdr:from>
    <xdr:to>
      <xdr:col>1</xdr:col>
      <xdr:colOff>330993</xdr:colOff>
      <xdr:row>4</xdr:row>
      <xdr:rowOff>30146</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85725"/>
          <a:ext cx="1321593" cy="706421"/>
        </a:xfrm>
        <a:prstGeom prst="rect">
          <a:avLst/>
        </a:prstGeom>
      </xdr:spPr>
    </xdr:pic>
    <xdr:clientData/>
  </xdr:twoCellAnchor>
  <xdr:twoCellAnchor editAs="oneCell">
    <xdr:from>
      <xdr:col>4</xdr:col>
      <xdr:colOff>1485900</xdr:colOff>
      <xdr:row>0</xdr:row>
      <xdr:rowOff>114299</xdr:rowOff>
    </xdr:from>
    <xdr:to>
      <xdr:col>5</xdr:col>
      <xdr:colOff>1380671</xdr:colOff>
      <xdr:row>4</xdr:row>
      <xdr:rowOff>97796</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77200" y="114299"/>
          <a:ext cx="1494971" cy="74549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8062</xdr:colOff>
      <xdr:row>32</xdr:row>
      <xdr:rowOff>143607</xdr:rowOff>
    </xdr:from>
    <xdr:to>
      <xdr:col>1</xdr:col>
      <xdr:colOff>962025</xdr:colOff>
      <xdr:row>37</xdr:row>
      <xdr:rowOff>0</xdr:rowOff>
    </xdr:to>
    <xdr:sp macro="" textlink="">
      <xdr:nvSpPr>
        <xdr:cNvPr id="2" name="12 CuadroTexto"/>
        <xdr:cNvSpPr txBox="1"/>
      </xdr:nvSpPr>
      <xdr:spPr>
        <a:xfrm>
          <a:off x="8062" y="6239607"/>
          <a:ext cx="2182688" cy="8088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endParaRPr lang="es-MX" sz="800">
            <a:latin typeface="Arial" pitchFamily="34" charset="0"/>
            <a:cs typeface="Arial" pitchFamily="34" charset="0"/>
          </a:endParaRPr>
        </a:p>
        <a:p>
          <a:pPr algn="ctr"/>
          <a:r>
            <a:rPr lang="es-MX" sz="800">
              <a:latin typeface="Arial" pitchFamily="34" charset="0"/>
              <a:cs typeface="Arial" pitchFamily="34" charset="0"/>
            </a:rPr>
            <a:t>___________________________________</a:t>
          </a:r>
        </a:p>
        <a:p>
          <a:pPr algn="ctr"/>
          <a:r>
            <a:rPr lang="es-MX" sz="800">
              <a:latin typeface="Arial" pitchFamily="34" charset="0"/>
              <a:cs typeface="Arial" pitchFamily="34" charset="0"/>
            </a:rPr>
            <a:t>DR. XICOTÉNCATL GONZÁLEZ URESTI</a:t>
          </a:r>
        </a:p>
      </xdr:txBody>
    </xdr:sp>
    <xdr:clientData/>
  </xdr:twoCellAnchor>
  <xdr:twoCellAnchor>
    <xdr:from>
      <xdr:col>2</xdr:col>
      <xdr:colOff>942975</xdr:colOff>
      <xdr:row>32</xdr:row>
      <xdr:rowOff>124401</xdr:rowOff>
    </xdr:from>
    <xdr:to>
      <xdr:col>4</xdr:col>
      <xdr:colOff>857250</xdr:colOff>
      <xdr:row>36</xdr:row>
      <xdr:rowOff>142875</xdr:rowOff>
    </xdr:to>
    <xdr:sp macro="" textlink="">
      <xdr:nvSpPr>
        <xdr:cNvPr id="3" name="14 CuadroTexto"/>
        <xdr:cNvSpPr txBox="1"/>
      </xdr:nvSpPr>
      <xdr:spPr>
        <a:xfrm>
          <a:off x="4457700" y="6220401"/>
          <a:ext cx="2295525" cy="7804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endParaRPr lang="es-MX" sz="800" baseline="0">
            <a:latin typeface="Arial" pitchFamily="34" charset="0"/>
            <a:cs typeface="Arial" pitchFamily="34" charset="0"/>
          </a:endParaRPr>
        </a:p>
        <a:p>
          <a:pPr algn="ctr"/>
          <a:r>
            <a:rPr lang="es-MX" sz="800">
              <a:latin typeface="Arial" pitchFamily="34" charset="0"/>
              <a:cs typeface="Arial" pitchFamily="34" charset="0"/>
            </a:rPr>
            <a:t>__________________________________</a:t>
          </a:r>
        </a:p>
        <a:p>
          <a:pPr algn="ctr"/>
          <a:r>
            <a:rPr lang="es-MX" sz="800">
              <a:solidFill>
                <a:schemeClr val="dk1"/>
              </a:solidFill>
              <a:effectLst/>
              <a:latin typeface="Arial" panose="020B0604020202020204" pitchFamily="34" charset="0"/>
              <a:ea typeface="+mn-ea"/>
              <a:cs typeface="Arial" panose="020B0604020202020204" pitchFamily="34" charset="0"/>
            </a:rPr>
            <a:t>LIC. FRIDA PATRICIA ESCOBAR ORTIZ</a:t>
          </a:r>
        </a:p>
      </xdr:txBody>
    </xdr:sp>
    <xdr:clientData/>
  </xdr:twoCellAnchor>
  <xdr:oneCellAnchor>
    <xdr:from>
      <xdr:col>1</xdr:col>
      <xdr:colOff>1028118</xdr:colOff>
      <xdr:row>15</xdr:row>
      <xdr:rowOff>129529</xdr:rowOff>
    </xdr:from>
    <xdr:ext cx="4836413" cy="662912"/>
    <xdr:sp macro="" textlink="">
      <xdr:nvSpPr>
        <xdr:cNvPr id="4" name="7 Rectángulo"/>
        <xdr:cNvSpPr/>
      </xdr:nvSpPr>
      <xdr:spPr>
        <a:xfrm rot="20431645">
          <a:off x="2256843" y="2987029"/>
          <a:ext cx="4836413" cy="662912"/>
        </a:xfrm>
        <a:prstGeom prst="rect">
          <a:avLst/>
        </a:prstGeom>
        <a:noFill/>
      </xdr:spPr>
      <xdr:txBody>
        <a:bodyPr wrap="square" lIns="91440" tIns="45720" rIns="91440" bIns="45720">
          <a:noAutofit/>
        </a:bodyPr>
        <a:lstStyle/>
        <a:p>
          <a:pPr algn="ctr"/>
          <a:r>
            <a:rPr lang="es-ES" sz="3600" b="1" cap="none" spc="0">
              <a:ln w="3175"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SIN MOVIMIENTOS</a:t>
          </a:r>
        </a:p>
      </xdr:txBody>
    </xdr:sp>
    <xdr:clientData/>
  </xdr:oneCellAnchor>
  <xdr:twoCellAnchor>
    <xdr:from>
      <xdr:col>4</xdr:col>
      <xdr:colOff>942975</xdr:colOff>
      <xdr:row>32</xdr:row>
      <xdr:rowOff>131952</xdr:rowOff>
    </xdr:from>
    <xdr:to>
      <xdr:col>6</xdr:col>
      <xdr:colOff>0</xdr:colOff>
      <xdr:row>36</xdr:row>
      <xdr:rowOff>180975</xdr:rowOff>
    </xdr:to>
    <xdr:sp macro="" textlink="">
      <xdr:nvSpPr>
        <xdr:cNvPr id="5" name="10 CuadroTexto"/>
        <xdr:cNvSpPr txBox="1"/>
      </xdr:nvSpPr>
      <xdr:spPr>
        <a:xfrm>
          <a:off x="6838950" y="6227952"/>
          <a:ext cx="2343150" cy="8110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endParaRPr lang="es-MX" sz="800">
            <a:latin typeface="Arial" pitchFamily="34" charset="0"/>
            <a:cs typeface="Arial" pitchFamily="34" charset="0"/>
          </a:endParaRPr>
        </a:p>
        <a:p>
          <a:pPr algn="ctr"/>
          <a:r>
            <a:rPr lang="es-MX" sz="800"/>
            <a:t>__________________________________________</a:t>
          </a:r>
        </a:p>
        <a:p>
          <a:pPr algn="ctr"/>
          <a:r>
            <a:rPr lang="es-MX" sz="800">
              <a:latin typeface="Arial" pitchFamily="34" charset="0"/>
              <a:cs typeface="Arial" pitchFamily="34" charset="0"/>
            </a:rPr>
            <a:t>C.P. NORA ROSALVA CEPEDA GUERRERO</a:t>
          </a:r>
        </a:p>
      </xdr:txBody>
    </xdr:sp>
    <xdr:clientData/>
  </xdr:twoCellAnchor>
  <xdr:twoCellAnchor>
    <xdr:from>
      <xdr:col>1</xdr:col>
      <xdr:colOff>1028700</xdr:colOff>
      <xdr:row>32</xdr:row>
      <xdr:rowOff>140926</xdr:rowOff>
    </xdr:from>
    <xdr:to>
      <xdr:col>2</xdr:col>
      <xdr:colOff>904874</xdr:colOff>
      <xdr:row>36</xdr:row>
      <xdr:rowOff>152399</xdr:rowOff>
    </xdr:to>
    <xdr:sp macro="" textlink="">
      <xdr:nvSpPr>
        <xdr:cNvPr id="6" name="8 CuadroTexto"/>
        <xdr:cNvSpPr txBox="1"/>
      </xdr:nvSpPr>
      <xdr:spPr>
        <a:xfrm>
          <a:off x="2257425" y="6236926"/>
          <a:ext cx="2162174" cy="7734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endParaRPr lang="es-MX" sz="800">
            <a:latin typeface="Arial" pitchFamily="34" charset="0"/>
            <a:cs typeface="Arial" pitchFamily="34" charset="0"/>
          </a:endParaRPr>
        </a:p>
        <a:p>
          <a:pPr algn="ctr"/>
          <a:r>
            <a:rPr lang="es-MX" sz="800">
              <a:latin typeface="Arial" pitchFamily="34" charset="0"/>
              <a:cs typeface="Arial" pitchFamily="34" charset="0"/>
            </a:rPr>
            <a:t>___________________________________</a:t>
          </a:r>
        </a:p>
        <a:p>
          <a:pPr algn="ctr"/>
          <a:r>
            <a:rPr lang="es-MX" sz="800">
              <a:latin typeface="Arial" pitchFamily="34" charset="0"/>
              <a:cs typeface="Arial" pitchFamily="34" charset="0"/>
            </a:rPr>
            <a:t>LAP. JOSÉ ALFREDO PEÑA RODRÍGUEZ</a:t>
          </a:r>
        </a:p>
      </xdr:txBody>
    </xdr:sp>
    <xdr:clientData/>
  </xdr:twoCellAnchor>
  <xdr:twoCellAnchor editAs="oneCell">
    <xdr:from>
      <xdr:col>0</xdr:col>
      <xdr:colOff>104775</xdr:colOff>
      <xdr:row>0</xdr:row>
      <xdr:rowOff>0</xdr:rowOff>
    </xdr:from>
    <xdr:to>
      <xdr:col>1</xdr:col>
      <xdr:colOff>197643</xdr:colOff>
      <xdr:row>3</xdr:row>
      <xdr:rowOff>134921</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0"/>
          <a:ext cx="1321593" cy="706421"/>
        </a:xfrm>
        <a:prstGeom prst="rect">
          <a:avLst/>
        </a:prstGeom>
      </xdr:spPr>
    </xdr:pic>
    <xdr:clientData/>
  </xdr:twoCellAnchor>
  <xdr:twoCellAnchor editAs="oneCell">
    <xdr:from>
      <xdr:col>5</xdr:col>
      <xdr:colOff>95250</xdr:colOff>
      <xdr:row>0</xdr:row>
      <xdr:rowOff>0</xdr:rowOff>
    </xdr:from>
    <xdr:to>
      <xdr:col>5</xdr:col>
      <xdr:colOff>1590221</xdr:colOff>
      <xdr:row>3</xdr:row>
      <xdr:rowOff>173997</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639050" y="0"/>
          <a:ext cx="1494971" cy="74549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oneCellAnchor>
    <xdr:from>
      <xdr:col>1</xdr:col>
      <xdr:colOff>47625</xdr:colOff>
      <xdr:row>16</xdr:row>
      <xdr:rowOff>180974</xdr:rowOff>
    </xdr:from>
    <xdr:ext cx="4994782" cy="1121266"/>
    <xdr:sp macro="" textlink="">
      <xdr:nvSpPr>
        <xdr:cNvPr id="8" name="7 Rectángulo"/>
        <xdr:cNvSpPr/>
      </xdr:nvSpPr>
      <xdr:spPr>
        <a:xfrm rot="19095970">
          <a:off x="933450" y="3238499"/>
          <a:ext cx="4994782" cy="1121266"/>
        </a:xfrm>
        <a:prstGeom prst="rect">
          <a:avLst/>
        </a:prstGeom>
        <a:noFill/>
      </xdr:spPr>
      <xdr:txBody>
        <a:bodyPr wrap="square" lIns="91440" tIns="45720" rIns="91440" bIns="45720">
          <a:noAutofit/>
        </a:bodyPr>
        <a:lstStyle/>
        <a:p>
          <a:pPr algn="ctr"/>
          <a:r>
            <a:rPr lang="es-ES" sz="4000" b="1" cap="none" spc="0">
              <a:ln w="3175"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SIN MOVIMIENTOS</a:t>
          </a:r>
        </a:p>
      </xdr:txBody>
    </xdr:sp>
    <xdr:clientData/>
  </xdr:oneCellAnchor>
  <xdr:twoCellAnchor editAs="oneCell">
    <xdr:from>
      <xdr:col>0</xdr:col>
      <xdr:colOff>0</xdr:colOff>
      <xdr:row>0</xdr:row>
      <xdr:rowOff>9525</xdr:rowOff>
    </xdr:from>
    <xdr:to>
      <xdr:col>1</xdr:col>
      <xdr:colOff>330041</xdr:colOff>
      <xdr:row>3</xdr:row>
      <xdr:rowOff>87296</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9525"/>
          <a:ext cx="1215866" cy="649271"/>
        </a:xfrm>
        <a:prstGeom prst="rect">
          <a:avLst/>
        </a:prstGeom>
      </xdr:spPr>
    </xdr:pic>
    <xdr:clientData/>
  </xdr:twoCellAnchor>
  <xdr:twoCellAnchor editAs="oneCell">
    <xdr:from>
      <xdr:col>6</xdr:col>
      <xdr:colOff>270272</xdr:colOff>
      <xdr:row>0</xdr:row>
      <xdr:rowOff>22211</xdr:rowOff>
    </xdr:from>
    <xdr:to>
      <xdr:col>7</xdr:col>
      <xdr:colOff>719183</xdr:colOff>
      <xdr:row>3</xdr:row>
      <xdr:rowOff>135897</xdr:rowOff>
    </xdr:to>
    <xdr:pic>
      <xdr:nvPicPr>
        <xdr:cNvPr id="10" name="Imagen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56622" y="22211"/>
          <a:ext cx="1372836" cy="685186"/>
        </a:xfrm>
        <a:prstGeom prst="rect">
          <a:avLst/>
        </a:prstGeom>
      </xdr:spPr>
    </xdr:pic>
    <xdr:clientData/>
  </xdr:twoCellAnchor>
  <xdr:twoCellAnchor>
    <xdr:from>
      <xdr:col>1</xdr:col>
      <xdr:colOff>719299</xdr:colOff>
      <xdr:row>40</xdr:row>
      <xdr:rowOff>154198</xdr:rowOff>
    </xdr:from>
    <xdr:to>
      <xdr:col>3</xdr:col>
      <xdr:colOff>669261</xdr:colOff>
      <xdr:row>44</xdr:row>
      <xdr:rowOff>16002</xdr:rowOff>
    </xdr:to>
    <xdr:sp macro="" textlink="">
      <xdr:nvSpPr>
        <xdr:cNvPr id="11" name="8 CuadroTexto"/>
        <xdr:cNvSpPr txBox="1"/>
      </xdr:nvSpPr>
      <xdr:spPr>
        <a:xfrm>
          <a:off x="1605124" y="7983748"/>
          <a:ext cx="1673987" cy="6238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LAP. JOSÉ ALFREDO PEÑA RODRÍGUEZ</a:t>
          </a:r>
        </a:p>
      </xdr:txBody>
    </xdr:sp>
    <xdr:clientData/>
  </xdr:twoCellAnchor>
  <xdr:twoCellAnchor>
    <xdr:from>
      <xdr:col>5</xdr:col>
      <xdr:colOff>665649</xdr:colOff>
      <xdr:row>40</xdr:row>
      <xdr:rowOff>158595</xdr:rowOff>
    </xdr:from>
    <xdr:to>
      <xdr:col>7</xdr:col>
      <xdr:colOff>753958</xdr:colOff>
      <xdr:row>44</xdr:row>
      <xdr:rowOff>1466</xdr:rowOff>
    </xdr:to>
    <xdr:sp macro="" textlink="">
      <xdr:nvSpPr>
        <xdr:cNvPr id="12" name="10 CuadroTexto"/>
        <xdr:cNvSpPr txBox="1"/>
      </xdr:nvSpPr>
      <xdr:spPr>
        <a:xfrm>
          <a:off x="4989999" y="7988145"/>
          <a:ext cx="1774234" cy="6048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C.P. NORA ROSALVA CEPEDA GUERRERO</a:t>
          </a:r>
        </a:p>
      </xdr:txBody>
    </xdr:sp>
    <xdr:clientData/>
  </xdr:twoCellAnchor>
  <xdr:twoCellAnchor>
    <xdr:from>
      <xdr:col>0</xdr:col>
      <xdr:colOff>0</xdr:colOff>
      <xdr:row>40</xdr:row>
      <xdr:rowOff>153672</xdr:rowOff>
    </xdr:from>
    <xdr:to>
      <xdr:col>2</xdr:col>
      <xdr:colOff>28575</xdr:colOff>
      <xdr:row>44</xdr:row>
      <xdr:rowOff>19665</xdr:rowOff>
    </xdr:to>
    <xdr:sp macro="" textlink="">
      <xdr:nvSpPr>
        <xdr:cNvPr id="13" name="14 CuadroTexto"/>
        <xdr:cNvSpPr txBox="1"/>
      </xdr:nvSpPr>
      <xdr:spPr>
        <a:xfrm>
          <a:off x="0" y="7983222"/>
          <a:ext cx="1676400" cy="6279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DR. XICOTÉNCATL GONZÁLEZ URESTI</a:t>
          </a:r>
        </a:p>
      </xdr:txBody>
    </xdr:sp>
    <xdr:clientData/>
  </xdr:twoCellAnchor>
  <xdr:twoCellAnchor>
    <xdr:from>
      <xdr:col>3</xdr:col>
      <xdr:colOff>606105</xdr:colOff>
      <xdr:row>40</xdr:row>
      <xdr:rowOff>158253</xdr:rowOff>
    </xdr:from>
    <xdr:to>
      <xdr:col>5</xdr:col>
      <xdr:colOff>731445</xdr:colOff>
      <xdr:row>43</xdr:row>
      <xdr:rowOff>182558</xdr:rowOff>
    </xdr:to>
    <xdr:sp macro="" textlink="">
      <xdr:nvSpPr>
        <xdr:cNvPr id="14" name="16 CuadroTexto"/>
        <xdr:cNvSpPr txBox="1"/>
      </xdr:nvSpPr>
      <xdr:spPr>
        <a:xfrm>
          <a:off x="3215955" y="7987803"/>
          <a:ext cx="1839840"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LIC. FRIDA PATRICIA ESCOBAR ORTIZ</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44</xdr:row>
      <xdr:rowOff>12891</xdr:rowOff>
    </xdr:from>
    <xdr:to>
      <xdr:col>1</xdr:col>
      <xdr:colOff>912395</xdr:colOff>
      <xdr:row>46</xdr:row>
      <xdr:rowOff>157937</xdr:rowOff>
    </xdr:to>
    <xdr:sp macro="" textlink="">
      <xdr:nvSpPr>
        <xdr:cNvPr id="4" name="3 CuadroTexto"/>
        <xdr:cNvSpPr txBox="1"/>
      </xdr:nvSpPr>
      <xdr:spPr>
        <a:xfrm>
          <a:off x="0" y="8394891"/>
          <a:ext cx="1674395" cy="5260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DR. XICOTÉNCATL GONZÁLEZ URESTI</a:t>
          </a:r>
        </a:p>
      </xdr:txBody>
    </xdr:sp>
    <xdr:clientData/>
  </xdr:twoCellAnchor>
  <xdr:twoCellAnchor>
    <xdr:from>
      <xdr:col>1</xdr:col>
      <xdr:colOff>867481</xdr:colOff>
      <xdr:row>44</xdr:row>
      <xdr:rowOff>17828</xdr:rowOff>
    </xdr:from>
    <xdr:to>
      <xdr:col>2</xdr:col>
      <xdr:colOff>1163056</xdr:colOff>
      <xdr:row>46</xdr:row>
      <xdr:rowOff>183285</xdr:rowOff>
    </xdr:to>
    <xdr:sp macro="" textlink="">
      <xdr:nvSpPr>
        <xdr:cNvPr id="5" name="4 CuadroTexto"/>
        <xdr:cNvSpPr txBox="1"/>
      </xdr:nvSpPr>
      <xdr:spPr>
        <a:xfrm>
          <a:off x="1629481" y="8399828"/>
          <a:ext cx="1659154" cy="5464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algn="ctr"/>
          <a:r>
            <a:rPr lang="es-MX" sz="600">
              <a:latin typeface="Arial" pitchFamily="34" charset="0"/>
              <a:cs typeface="Arial" pitchFamily="34" charset="0"/>
            </a:rPr>
            <a:t>LAP. JOSÉ ALFREDO PEÑA RODRÍGUEZ</a:t>
          </a:r>
        </a:p>
      </xdr:txBody>
    </xdr:sp>
    <xdr:clientData/>
  </xdr:twoCellAnchor>
  <xdr:twoCellAnchor>
    <xdr:from>
      <xdr:col>2</xdr:col>
      <xdr:colOff>1180582</xdr:colOff>
      <xdr:row>44</xdr:row>
      <xdr:rowOff>17964</xdr:rowOff>
    </xdr:from>
    <xdr:to>
      <xdr:col>3</xdr:col>
      <xdr:colOff>671759</xdr:colOff>
      <xdr:row>46</xdr:row>
      <xdr:rowOff>136269</xdr:rowOff>
    </xdr:to>
    <xdr:sp macro="" textlink="">
      <xdr:nvSpPr>
        <xdr:cNvPr id="6" name="5 CuadroTexto"/>
        <xdr:cNvSpPr txBox="1"/>
      </xdr:nvSpPr>
      <xdr:spPr>
        <a:xfrm>
          <a:off x="3306161" y="8399964"/>
          <a:ext cx="1636809" cy="4993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algn="ctr"/>
          <a:r>
            <a:rPr lang="es-MX" sz="600">
              <a:latin typeface="Arial" pitchFamily="34" charset="0"/>
              <a:cs typeface="Arial" pitchFamily="34" charset="0"/>
            </a:rPr>
            <a:t>LIC. FRIDA PATRICIA ESCOBAR ORTIZ</a:t>
          </a:r>
        </a:p>
      </xdr:txBody>
    </xdr:sp>
    <xdr:clientData/>
  </xdr:twoCellAnchor>
  <xdr:twoCellAnchor>
    <xdr:from>
      <xdr:col>3</xdr:col>
      <xdr:colOff>726908</xdr:colOff>
      <xdr:row>44</xdr:row>
      <xdr:rowOff>23278</xdr:rowOff>
    </xdr:from>
    <xdr:to>
      <xdr:col>4</xdr:col>
      <xdr:colOff>1701363</xdr:colOff>
      <xdr:row>46</xdr:row>
      <xdr:rowOff>141846</xdr:rowOff>
    </xdr:to>
    <xdr:sp macro="" textlink="">
      <xdr:nvSpPr>
        <xdr:cNvPr id="7" name="6 CuadroTexto"/>
        <xdr:cNvSpPr txBox="1"/>
      </xdr:nvSpPr>
      <xdr:spPr>
        <a:xfrm>
          <a:off x="4998119" y="8405278"/>
          <a:ext cx="1776560" cy="499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C.P. NORA ROSALVA CEPEDA GUERRERO</a:t>
          </a:r>
        </a:p>
      </xdr:txBody>
    </xdr:sp>
    <xdr:clientData/>
  </xdr:twoCellAnchor>
  <xdr:twoCellAnchor editAs="oneCell">
    <xdr:from>
      <xdr:col>0</xdr:col>
      <xdr:colOff>19050</xdr:colOff>
      <xdr:row>0</xdr:row>
      <xdr:rowOff>19050</xdr:rowOff>
    </xdr:from>
    <xdr:to>
      <xdr:col>1</xdr:col>
      <xdr:colOff>472916</xdr:colOff>
      <xdr:row>3</xdr:row>
      <xdr:rowOff>96821</xdr:rowOff>
    </xdr:to>
    <xdr:pic>
      <xdr:nvPicPr>
        <xdr:cNvPr id="10"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19050"/>
          <a:ext cx="1215866" cy="649271"/>
        </a:xfrm>
        <a:prstGeom prst="rect">
          <a:avLst/>
        </a:prstGeom>
      </xdr:spPr>
    </xdr:pic>
    <xdr:clientData/>
  </xdr:twoCellAnchor>
  <xdr:twoCellAnchor editAs="oneCell">
    <xdr:from>
      <xdr:col>4</xdr:col>
      <xdr:colOff>308372</xdr:colOff>
      <xdr:row>0</xdr:row>
      <xdr:rowOff>31736</xdr:rowOff>
    </xdr:from>
    <xdr:to>
      <xdr:col>4</xdr:col>
      <xdr:colOff>1681208</xdr:colOff>
      <xdr:row>3</xdr:row>
      <xdr:rowOff>145422</xdr:rowOff>
    </xdr:to>
    <xdr:pic>
      <xdr:nvPicPr>
        <xdr:cNvPr id="11" name="Imagen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75672" y="31736"/>
          <a:ext cx="1372836" cy="6851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40</xdr:row>
      <xdr:rowOff>88363</xdr:rowOff>
    </xdr:from>
    <xdr:to>
      <xdr:col>0</xdr:col>
      <xdr:colOff>2600325</xdr:colOff>
      <xdr:row>45</xdr:row>
      <xdr:rowOff>7143</xdr:rowOff>
    </xdr:to>
    <xdr:sp macro="" textlink="">
      <xdr:nvSpPr>
        <xdr:cNvPr id="2" name="15 CuadroTexto"/>
        <xdr:cNvSpPr txBox="1"/>
      </xdr:nvSpPr>
      <xdr:spPr>
        <a:xfrm>
          <a:off x="9525" y="7079713"/>
          <a:ext cx="2590800" cy="728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__________________________________</a:t>
          </a:r>
        </a:p>
        <a:p>
          <a:pPr marL="0" indent="0" algn="ctr"/>
          <a:r>
            <a:rPr lang="es-MX" sz="900">
              <a:solidFill>
                <a:schemeClr val="dk1"/>
              </a:solidFill>
              <a:latin typeface="Arial" pitchFamily="34" charset="0"/>
              <a:ea typeface="+mn-ea"/>
              <a:cs typeface="Arial" pitchFamily="34" charset="0"/>
            </a:rPr>
            <a:t>DR. XICOTÉNCATL GONZÁLEZ URESTI</a:t>
          </a:r>
        </a:p>
      </xdr:txBody>
    </xdr:sp>
    <xdr:clientData/>
  </xdr:twoCellAnchor>
  <xdr:twoCellAnchor>
    <xdr:from>
      <xdr:col>0</xdr:col>
      <xdr:colOff>2524125</xdr:colOff>
      <xdr:row>40</xdr:row>
      <xdr:rowOff>85725</xdr:rowOff>
    </xdr:from>
    <xdr:to>
      <xdr:col>1</xdr:col>
      <xdr:colOff>895350</xdr:colOff>
      <xdr:row>45</xdr:row>
      <xdr:rowOff>21432</xdr:rowOff>
    </xdr:to>
    <xdr:sp macro="" textlink="">
      <xdr:nvSpPr>
        <xdr:cNvPr id="3" name="16 CuadroTexto"/>
        <xdr:cNvSpPr txBox="1"/>
      </xdr:nvSpPr>
      <xdr:spPr>
        <a:xfrm>
          <a:off x="2524125" y="7077075"/>
          <a:ext cx="2476500" cy="7453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_______________________________</a:t>
          </a:r>
        </a:p>
        <a:p>
          <a:pPr marL="0" indent="0" algn="ctr"/>
          <a:r>
            <a:rPr lang="es-MX" sz="900">
              <a:solidFill>
                <a:schemeClr val="dk1"/>
              </a:solidFill>
              <a:latin typeface="Arial" pitchFamily="34" charset="0"/>
              <a:ea typeface="+mn-ea"/>
              <a:cs typeface="Arial" pitchFamily="34" charset="0"/>
            </a:rPr>
            <a:t>L.A.P. JOSÉ ALFREDO PEÑA RODRÍGUEZ</a:t>
          </a:r>
        </a:p>
      </xdr:txBody>
    </xdr:sp>
    <xdr:clientData/>
  </xdr:twoCellAnchor>
  <xdr:twoCellAnchor>
    <xdr:from>
      <xdr:col>1</xdr:col>
      <xdr:colOff>857552</xdr:colOff>
      <xdr:row>40</xdr:row>
      <xdr:rowOff>116681</xdr:rowOff>
    </xdr:from>
    <xdr:to>
      <xdr:col>3</xdr:col>
      <xdr:colOff>1057275</xdr:colOff>
      <xdr:row>45</xdr:row>
      <xdr:rowOff>64297</xdr:rowOff>
    </xdr:to>
    <xdr:sp macro="" textlink="">
      <xdr:nvSpPr>
        <xdr:cNvPr id="4" name="17 CuadroTexto"/>
        <xdr:cNvSpPr txBox="1"/>
      </xdr:nvSpPr>
      <xdr:spPr>
        <a:xfrm>
          <a:off x="4962827" y="6946106"/>
          <a:ext cx="2752423" cy="7572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__________________________________</a:t>
          </a:r>
        </a:p>
        <a:p>
          <a:pPr marL="0" indent="0" algn="ctr"/>
          <a:r>
            <a:rPr lang="es-MX" sz="900">
              <a:solidFill>
                <a:schemeClr val="dk1"/>
              </a:solidFill>
              <a:latin typeface="Arial" pitchFamily="34" charset="0"/>
              <a:ea typeface="+mn-ea"/>
              <a:cs typeface="Arial" pitchFamily="34" charset="0"/>
            </a:rPr>
            <a:t>LIC. FRIDA PATRICIA ESCOBAR ORTIZ</a:t>
          </a:r>
        </a:p>
      </xdr:txBody>
    </xdr:sp>
    <xdr:clientData/>
  </xdr:twoCellAnchor>
  <xdr:twoCellAnchor>
    <xdr:from>
      <xdr:col>3</xdr:col>
      <xdr:colOff>942975</xdr:colOff>
      <xdr:row>40</xdr:row>
      <xdr:rowOff>67224</xdr:rowOff>
    </xdr:from>
    <xdr:to>
      <xdr:col>5</xdr:col>
      <xdr:colOff>1076325</xdr:colOff>
      <xdr:row>45</xdr:row>
      <xdr:rowOff>74368</xdr:rowOff>
    </xdr:to>
    <xdr:sp macro="" textlink="">
      <xdr:nvSpPr>
        <xdr:cNvPr id="5" name="18 CuadroTexto"/>
        <xdr:cNvSpPr txBox="1"/>
      </xdr:nvSpPr>
      <xdr:spPr>
        <a:xfrm>
          <a:off x="7600950" y="7058574"/>
          <a:ext cx="2533650" cy="81676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_________________________________</a:t>
          </a:r>
        </a:p>
        <a:p>
          <a:pPr algn="ctr"/>
          <a:r>
            <a:rPr lang="es-MX" sz="900">
              <a:latin typeface="Arial" pitchFamily="34" charset="0"/>
              <a:cs typeface="Arial" pitchFamily="34" charset="0"/>
            </a:rPr>
            <a:t>C.P. NORA ROSALVA CEPEDA GUERRERO</a:t>
          </a:r>
        </a:p>
      </xdr:txBody>
    </xdr:sp>
    <xdr:clientData/>
  </xdr:twoCellAnchor>
  <xdr:twoCellAnchor editAs="oneCell">
    <xdr:from>
      <xdr:col>0</xdr:col>
      <xdr:colOff>9525</xdr:colOff>
      <xdr:row>1</xdr:row>
      <xdr:rowOff>9526</xdr:rowOff>
    </xdr:from>
    <xdr:to>
      <xdr:col>0</xdr:col>
      <xdr:colOff>1590675</xdr:colOff>
      <xdr:row>4</xdr:row>
      <xdr:rowOff>197461</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171451"/>
          <a:ext cx="1581150" cy="845160"/>
        </a:xfrm>
        <a:prstGeom prst="rect">
          <a:avLst/>
        </a:prstGeom>
      </xdr:spPr>
    </xdr:pic>
    <xdr:clientData/>
  </xdr:twoCellAnchor>
  <xdr:twoCellAnchor editAs="oneCell">
    <xdr:from>
      <xdr:col>4</xdr:col>
      <xdr:colOff>447674</xdr:colOff>
      <xdr:row>0</xdr:row>
      <xdr:rowOff>133350</xdr:rowOff>
    </xdr:from>
    <xdr:to>
      <xdr:col>5</xdr:col>
      <xdr:colOff>1074284</xdr:colOff>
      <xdr:row>4</xdr:row>
      <xdr:rowOff>187151</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81999" y="133350"/>
          <a:ext cx="1750560" cy="872951"/>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2</xdr:col>
      <xdr:colOff>1047</xdr:colOff>
      <xdr:row>0</xdr:row>
      <xdr:rowOff>57954</xdr:rowOff>
    </xdr:to>
    <xdr:pic>
      <xdr:nvPicPr>
        <xdr:cNvPr id="2" name="Picture 1025"/>
        <xdr:cNvPicPr>
          <a:picLocks noChangeAspect="1" noChangeArrowheads="1"/>
        </xdr:cNvPicPr>
      </xdr:nvPicPr>
      <xdr:blipFill>
        <a:blip xmlns:r="http://schemas.openxmlformats.org/officeDocument/2006/relationships" r:embed="rId1" cstate="print"/>
        <a:srcRect/>
        <a:stretch>
          <a:fillRect/>
        </a:stretch>
      </xdr:blipFill>
      <xdr:spPr bwMode="auto">
        <a:xfrm>
          <a:off x="95250" y="57150"/>
          <a:ext cx="1401222" cy="804"/>
        </a:xfrm>
        <a:prstGeom prst="rect">
          <a:avLst/>
        </a:prstGeom>
        <a:noFill/>
        <a:ln w="9525">
          <a:noFill/>
          <a:miter lim="800000"/>
          <a:headEnd/>
          <a:tailEnd/>
        </a:ln>
      </xdr:spPr>
    </xdr:pic>
    <xdr:clientData/>
  </xdr:twoCellAnchor>
  <xdr:twoCellAnchor>
    <xdr:from>
      <xdr:col>4</xdr:col>
      <xdr:colOff>76200</xdr:colOff>
      <xdr:row>1850</xdr:row>
      <xdr:rowOff>21182</xdr:rowOff>
    </xdr:from>
    <xdr:to>
      <xdr:col>4</xdr:col>
      <xdr:colOff>2543175</xdr:colOff>
      <xdr:row>1854</xdr:row>
      <xdr:rowOff>97971</xdr:rowOff>
    </xdr:to>
    <xdr:sp macro="" textlink="">
      <xdr:nvSpPr>
        <xdr:cNvPr id="3" name="8 CuadroTexto"/>
        <xdr:cNvSpPr txBox="1"/>
      </xdr:nvSpPr>
      <xdr:spPr>
        <a:xfrm>
          <a:off x="2647950" y="264768557"/>
          <a:ext cx="2466975" cy="838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___________________________________</a:t>
          </a:r>
        </a:p>
        <a:p>
          <a:pPr algn="ctr"/>
          <a:r>
            <a:rPr lang="es-MX" sz="900">
              <a:latin typeface="Arial" pitchFamily="34" charset="0"/>
              <a:cs typeface="Arial" pitchFamily="34" charset="0"/>
            </a:rPr>
            <a:t>LAP. JOSÉ ALFREDO PEÑA RODRÍGUEZ</a:t>
          </a:r>
        </a:p>
      </xdr:txBody>
    </xdr:sp>
    <xdr:clientData/>
  </xdr:twoCellAnchor>
  <xdr:twoCellAnchor>
    <xdr:from>
      <xdr:col>0</xdr:col>
      <xdr:colOff>0</xdr:colOff>
      <xdr:row>1850</xdr:row>
      <xdr:rowOff>10257</xdr:rowOff>
    </xdr:from>
    <xdr:to>
      <xdr:col>3</xdr:col>
      <xdr:colOff>544389</xdr:colOff>
      <xdr:row>1854</xdr:row>
      <xdr:rowOff>57150</xdr:rowOff>
    </xdr:to>
    <xdr:sp macro="" textlink="">
      <xdr:nvSpPr>
        <xdr:cNvPr id="4" name="12 CuadroTexto"/>
        <xdr:cNvSpPr txBox="1"/>
      </xdr:nvSpPr>
      <xdr:spPr>
        <a:xfrm>
          <a:off x="0" y="264757632"/>
          <a:ext cx="2544639" cy="8088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____________________________________</a:t>
          </a:r>
        </a:p>
        <a:p>
          <a:pPr algn="ctr"/>
          <a:r>
            <a:rPr lang="es-MX" sz="900">
              <a:latin typeface="Arial" pitchFamily="34" charset="0"/>
              <a:cs typeface="Arial" pitchFamily="34" charset="0"/>
            </a:rPr>
            <a:t>DR. XICOTÉNCATL GONZÁLEZ URESTI</a:t>
          </a:r>
        </a:p>
      </xdr:txBody>
    </xdr:sp>
    <xdr:clientData/>
  </xdr:twoCellAnchor>
  <xdr:twoCellAnchor>
    <xdr:from>
      <xdr:col>4</xdr:col>
      <xdr:colOff>2485779</xdr:colOff>
      <xdr:row>1850</xdr:row>
      <xdr:rowOff>18263</xdr:rowOff>
    </xdr:from>
    <xdr:to>
      <xdr:col>5</xdr:col>
      <xdr:colOff>2393491</xdr:colOff>
      <xdr:row>1854</xdr:row>
      <xdr:rowOff>36737</xdr:rowOff>
    </xdr:to>
    <xdr:sp macro="" textlink="">
      <xdr:nvSpPr>
        <xdr:cNvPr id="5" name="14 CuadroTexto"/>
        <xdr:cNvSpPr txBox="1"/>
      </xdr:nvSpPr>
      <xdr:spPr>
        <a:xfrm>
          <a:off x="5057529" y="264765638"/>
          <a:ext cx="2660437" cy="7804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____________________________________</a:t>
          </a:r>
        </a:p>
        <a:p>
          <a:pPr algn="ctr"/>
          <a:r>
            <a:rPr lang="es-MX" sz="900">
              <a:solidFill>
                <a:schemeClr val="dk1"/>
              </a:solidFill>
              <a:effectLst/>
              <a:latin typeface="Arial" panose="020B0604020202020204" pitchFamily="34" charset="0"/>
              <a:ea typeface="+mn-ea"/>
              <a:cs typeface="Arial" panose="020B0604020202020204" pitchFamily="34" charset="0"/>
            </a:rPr>
            <a:t>LIC. FRIDA PATRICIA ESCOBAR ORTIZ</a:t>
          </a:r>
        </a:p>
      </xdr:txBody>
    </xdr:sp>
    <xdr:clientData/>
  </xdr:twoCellAnchor>
  <xdr:twoCellAnchor editAs="oneCell">
    <xdr:from>
      <xdr:col>0</xdr:col>
      <xdr:colOff>171450</xdr:colOff>
      <xdr:row>0</xdr:row>
      <xdr:rowOff>0</xdr:rowOff>
    </xdr:from>
    <xdr:to>
      <xdr:col>2</xdr:col>
      <xdr:colOff>9524</xdr:colOff>
      <xdr:row>3</xdr:row>
      <xdr:rowOff>141285</xdr:rowOff>
    </xdr:to>
    <xdr:pic>
      <xdr:nvPicPr>
        <xdr:cNvPr id="6" name="Imagen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1450" y="0"/>
          <a:ext cx="1333499" cy="712785"/>
        </a:xfrm>
        <a:prstGeom prst="rect">
          <a:avLst/>
        </a:prstGeom>
      </xdr:spPr>
    </xdr:pic>
    <xdr:clientData/>
  </xdr:twoCellAnchor>
  <xdr:twoCellAnchor editAs="oneCell">
    <xdr:from>
      <xdr:col>4</xdr:col>
      <xdr:colOff>2555175</xdr:colOff>
      <xdr:row>3002</xdr:row>
      <xdr:rowOff>65888</xdr:rowOff>
    </xdr:from>
    <xdr:to>
      <xdr:col>5</xdr:col>
      <xdr:colOff>1297421</xdr:colOff>
      <xdr:row>3006</xdr:row>
      <xdr:rowOff>87487</xdr:rowOff>
    </xdr:to>
    <xdr:pic>
      <xdr:nvPicPr>
        <xdr:cNvPr id="7" name="Imagen 6"/>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126925" y="473344088"/>
          <a:ext cx="1494971" cy="745499"/>
        </a:xfrm>
        <a:prstGeom prst="rect">
          <a:avLst/>
        </a:prstGeom>
      </xdr:spPr>
    </xdr:pic>
    <xdr:clientData/>
  </xdr:twoCellAnchor>
  <xdr:twoCellAnchor editAs="oneCell">
    <xdr:from>
      <xdr:col>6</xdr:col>
      <xdr:colOff>838200</xdr:colOff>
      <xdr:row>0</xdr:row>
      <xdr:rowOff>1</xdr:rowOff>
    </xdr:from>
    <xdr:to>
      <xdr:col>10</xdr:col>
      <xdr:colOff>761546</xdr:colOff>
      <xdr:row>3</xdr:row>
      <xdr:rowOff>145499</xdr:rowOff>
    </xdr:to>
    <xdr:pic>
      <xdr:nvPicPr>
        <xdr:cNvPr id="8" name="Imagen 7"/>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743950" y="1"/>
          <a:ext cx="1437821" cy="716998"/>
        </a:xfrm>
        <a:prstGeom prst="rect">
          <a:avLst/>
        </a:prstGeom>
      </xdr:spPr>
    </xdr:pic>
    <xdr:clientData/>
  </xdr:twoCellAnchor>
  <xdr:twoCellAnchor>
    <xdr:from>
      <xdr:col>5</xdr:col>
      <xdr:colOff>2295525</xdr:colOff>
      <xdr:row>1850</xdr:row>
      <xdr:rowOff>40782</xdr:rowOff>
    </xdr:from>
    <xdr:to>
      <xdr:col>10</xdr:col>
      <xdr:colOff>794657</xdr:colOff>
      <xdr:row>1854</xdr:row>
      <xdr:rowOff>89805</xdr:rowOff>
    </xdr:to>
    <xdr:sp macro="" textlink="">
      <xdr:nvSpPr>
        <xdr:cNvPr id="9" name="10 CuadroTexto"/>
        <xdr:cNvSpPr txBox="1"/>
      </xdr:nvSpPr>
      <xdr:spPr>
        <a:xfrm>
          <a:off x="7620000" y="264788157"/>
          <a:ext cx="2594882" cy="81102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endParaRPr lang="es-MX" sz="900">
            <a:latin typeface="Arial" pitchFamily="34" charset="0"/>
            <a:cs typeface="Arial" pitchFamily="34" charset="0"/>
          </a:endParaRPr>
        </a:p>
        <a:p>
          <a:pPr algn="ctr"/>
          <a:r>
            <a:rPr lang="es-MX" sz="900">
              <a:latin typeface="Arial" pitchFamily="34" charset="0"/>
              <a:cs typeface="Arial" pitchFamily="34" charset="0"/>
            </a:rPr>
            <a:t>_____________________________________</a:t>
          </a:r>
        </a:p>
        <a:p>
          <a:pPr algn="ctr"/>
          <a:r>
            <a:rPr lang="es-MX" sz="900">
              <a:latin typeface="Arial" pitchFamily="34" charset="0"/>
              <a:cs typeface="Arial" pitchFamily="34" charset="0"/>
            </a:rPr>
            <a:t>C.P. NORA ROSALVA CEPEDA GUERRERO</a:t>
          </a:r>
        </a:p>
      </xdr:txBody>
    </xdr:sp>
    <xdr:clientData/>
  </xdr:twoCellAnchor>
</xdr:wsDr>
</file>

<file path=xl/drawings/drawing31.xml><?xml version="1.0" encoding="utf-8"?>
<xdr:wsDr xmlns:xdr="http://schemas.openxmlformats.org/drawingml/2006/spreadsheetDrawing" xmlns:a="http://schemas.openxmlformats.org/drawingml/2006/main">
  <xdr:oneCellAnchor>
    <xdr:from>
      <xdr:col>1</xdr:col>
      <xdr:colOff>47625</xdr:colOff>
      <xdr:row>16</xdr:row>
      <xdr:rowOff>180974</xdr:rowOff>
    </xdr:from>
    <xdr:ext cx="4994782" cy="1121266"/>
    <xdr:sp macro="" textlink="">
      <xdr:nvSpPr>
        <xdr:cNvPr id="8" name="7 Rectángulo"/>
        <xdr:cNvSpPr/>
      </xdr:nvSpPr>
      <xdr:spPr>
        <a:xfrm rot="19095970">
          <a:off x="933450" y="3238499"/>
          <a:ext cx="4994782" cy="1121266"/>
        </a:xfrm>
        <a:prstGeom prst="rect">
          <a:avLst/>
        </a:prstGeom>
        <a:noFill/>
      </xdr:spPr>
      <xdr:txBody>
        <a:bodyPr wrap="square" lIns="91440" tIns="45720" rIns="91440" bIns="45720">
          <a:noAutofit/>
        </a:bodyPr>
        <a:lstStyle/>
        <a:p>
          <a:pPr algn="ctr"/>
          <a:r>
            <a:rPr lang="es-ES" sz="4000" b="1" cap="none" spc="0">
              <a:ln w="3175"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SIN MOVIMIENTOS</a:t>
          </a:r>
        </a:p>
      </xdr:txBody>
    </xdr:sp>
    <xdr:clientData/>
  </xdr:oneCellAnchor>
  <xdr:twoCellAnchor editAs="oneCell">
    <xdr:from>
      <xdr:col>0</xdr:col>
      <xdr:colOff>9525</xdr:colOff>
      <xdr:row>0</xdr:row>
      <xdr:rowOff>0</xdr:rowOff>
    </xdr:from>
    <xdr:to>
      <xdr:col>1</xdr:col>
      <xdr:colOff>339566</xdr:colOff>
      <xdr:row>3</xdr:row>
      <xdr:rowOff>77771</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215866" cy="649271"/>
        </a:xfrm>
        <a:prstGeom prst="rect">
          <a:avLst/>
        </a:prstGeom>
      </xdr:spPr>
    </xdr:pic>
    <xdr:clientData/>
  </xdr:twoCellAnchor>
  <xdr:twoCellAnchor editAs="oneCell">
    <xdr:from>
      <xdr:col>6</xdr:col>
      <xdr:colOff>279797</xdr:colOff>
      <xdr:row>0</xdr:row>
      <xdr:rowOff>12686</xdr:rowOff>
    </xdr:from>
    <xdr:to>
      <xdr:col>7</xdr:col>
      <xdr:colOff>728708</xdr:colOff>
      <xdr:row>3</xdr:row>
      <xdr:rowOff>126372</xdr:rowOff>
    </xdr:to>
    <xdr:pic>
      <xdr:nvPicPr>
        <xdr:cNvPr id="10" name="Imagen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66147" y="12686"/>
          <a:ext cx="1372836" cy="685186"/>
        </a:xfrm>
        <a:prstGeom prst="rect">
          <a:avLst/>
        </a:prstGeom>
      </xdr:spPr>
    </xdr:pic>
    <xdr:clientData/>
  </xdr:twoCellAnchor>
  <xdr:twoCellAnchor>
    <xdr:from>
      <xdr:col>1</xdr:col>
      <xdr:colOff>719299</xdr:colOff>
      <xdr:row>41</xdr:row>
      <xdr:rowOff>154198</xdr:rowOff>
    </xdr:from>
    <xdr:to>
      <xdr:col>3</xdr:col>
      <xdr:colOff>669261</xdr:colOff>
      <xdr:row>45</xdr:row>
      <xdr:rowOff>16002</xdr:rowOff>
    </xdr:to>
    <xdr:sp macro="" textlink="">
      <xdr:nvSpPr>
        <xdr:cNvPr id="11" name="8 CuadroTexto"/>
        <xdr:cNvSpPr txBox="1"/>
      </xdr:nvSpPr>
      <xdr:spPr>
        <a:xfrm>
          <a:off x="1605124" y="7983748"/>
          <a:ext cx="1673987" cy="6238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LAP. JOSÉ ALFREDO PEÑA RODRÍGUEZ</a:t>
          </a:r>
        </a:p>
      </xdr:txBody>
    </xdr:sp>
    <xdr:clientData/>
  </xdr:twoCellAnchor>
  <xdr:twoCellAnchor>
    <xdr:from>
      <xdr:col>5</xdr:col>
      <xdr:colOff>665649</xdr:colOff>
      <xdr:row>41</xdr:row>
      <xdr:rowOff>158595</xdr:rowOff>
    </xdr:from>
    <xdr:to>
      <xdr:col>7</xdr:col>
      <xdr:colOff>753958</xdr:colOff>
      <xdr:row>45</xdr:row>
      <xdr:rowOff>1466</xdr:rowOff>
    </xdr:to>
    <xdr:sp macro="" textlink="">
      <xdr:nvSpPr>
        <xdr:cNvPr id="12" name="10 CuadroTexto"/>
        <xdr:cNvSpPr txBox="1"/>
      </xdr:nvSpPr>
      <xdr:spPr>
        <a:xfrm>
          <a:off x="4989999" y="7988145"/>
          <a:ext cx="1774234" cy="6048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C.P. NORA ROSALVA CEPEDA GUERRERO</a:t>
          </a:r>
        </a:p>
      </xdr:txBody>
    </xdr:sp>
    <xdr:clientData/>
  </xdr:twoCellAnchor>
  <xdr:twoCellAnchor>
    <xdr:from>
      <xdr:col>0</xdr:col>
      <xdr:colOff>0</xdr:colOff>
      <xdr:row>41</xdr:row>
      <xdr:rowOff>153672</xdr:rowOff>
    </xdr:from>
    <xdr:to>
      <xdr:col>2</xdr:col>
      <xdr:colOff>28575</xdr:colOff>
      <xdr:row>45</xdr:row>
      <xdr:rowOff>19665</xdr:rowOff>
    </xdr:to>
    <xdr:sp macro="" textlink="">
      <xdr:nvSpPr>
        <xdr:cNvPr id="13" name="14 CuadroTexto"/>
        <xdr:cNvSpPr txBox="1"/>
      </xdr:nvSpPr>
      <xdr:spPr>
        <a:xfrm>
          <a:off x="0" y="7983222"/>
          <a:ext cx="1676400" cy="6279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DR. XICOTÉNCATL GONZÁLEZ URESTI</a:t>
          </a:r>
        </a:p>
      </xdr:txBody>
    </xdr:sp>
    <xdr:clientData/>
  </xdr:twoCellAnchor>
  <xdr:twoCellAnchor>
    <xdr:from>
      <xdr:col>3</xdr:col>
      <xdr:colOff>606105</xdr:colOff>
      <xdr:row>41</xdr:row>
      <xdr:rowOff>158253</xdr:rowOff>
    </xdr:from>
    <xdr:to>
      <xdr:col>5</xdr:col>
      <xdr:colOff>731445</xdr:colOff>
      <xdr:row>44</xdr:row>
      <xdr:rowOff>182558</xdr:rowOff>
    </xdr:to>
    <xdr:sp macro="" textlink="">
      <xdr:nvSpPr>
        <xdr:cNvPr id="14" name="16 CuadroTexto"/>
        <xdr:cNvSpPr txBox="1"/>
      </xdr:nvSpPr>
      <xdr:spPr>
        <a:xfrm>
          <a:off x="3215955" y="7987803"/>
          <a:ext cx="1839840"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LIC. FRIDA PATRICIA ESCOBAR ORTIZ</a:t>
          </a:r>
        </a:p>
      </xdr:txBody>
    </xdr:sp>
    <xdr:clientData/>
  </xdr:twoCellAnchor>
</xdr:wsDr>
</file>

<file path=xl/drawings/drawing32.xml><?xml version="1.0" encoding="utf-8"?>
<xdr:wsDr xmlns:xdr="http://schemas.openxmlformats.org/drawingml/2006/spreadsheetDrawing" xmlns:a="http://schemas.openxmlformats.org/drawingml/2006/main">
  <xdr:oneCellAnchor>
    <xdr:from>
      <xdr:col>1</xdr:col>
      <xdr:colOff>47625</xdr:colOff>
      <xdr:row>16</xdr:row>
      <xdr:rowOff>180974</xdr:rowOff>
    </xdr:from>
    <xdr:ext cx="4994782" cy="1121266"/>
    <xdr:sp macro="" textlink="">
      <xdr:nvSpPr>
        <xdr:cNvPr id="8" name="7 Rectángulo"/>
        <xdr:cNvSpPr/>
      </xdr:nvSpPr>
      <xdr:spPr>
        <a:xfrm rot="19095970">
          <a:off x="933450" y="3238499"/>
          <a:ext cx="4994782" cy="1121266"/>
        </a:xfrm>
        <a:prstGeom prst="rect">
          <a:avLst/>
        </a:prstGeom>
        <a:noFill/>
      </xdr:spPr>
      <xdr:txBody>
        <a:bodyPr wrap="square" lIns="91440" tIns="45720" rIns="91440" bIns="45720">
          <a:noAutofit/>
        </a:bodyPr>
        <a:lstStyle/>
        <a:p>
          <a:pPr algn="ctr"/>
          <a:r>
            <a:rPr lang="es-ES" sz="4000" b="1" cap="none" spc="0">
              <a:ln w="3175"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SIN MOVIMIENTOS</a:t>
          </a:r>
        </a:p>
      </xdr:txBody>
    </xdr:sp>
    <xdr:clientData/>
  </xdr:oneCellAnchor>
  <xdr:twoCellAnchor editAs="oneCell">
    <xdr:from>
      <xdr:col>0</xdr:col>
      <xdr:colOff>9525</xdr:colOff>
      <xdr:row>0</xdr:row>
      <xdr:rowOff>0</xdr:rowOff>
    </xdr:from>
    <xdr:to>
      <xdr:col>1</xdr:col>
      <xdr:colOff>339566</xdr:colOff>
      <xdr:row>3</xdr:row>
      <xdr:rowOff>77771</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0"/>
          <a:ext cx="1215866" cy="649271"/>
        </a:xfrm>
        <a:prstGeom prst="rect">
          <a:avLst/>
        </a:prstGeom>
      </xdr:spPr>
    </xdr:pic>
    <xdr:clientData/>
  </xdr:twoCellAnchor>
  <xdr:twoCellAnchor editAs="oneCell">
    <xdr:from>
      <xdr:col>6</xdr:col>
      <xdr:colOff>279797</xdr:colOff>
      <xdr:row>0</xdr:row>
      <xdr:rowOff>12686</xdr:rowOff>
    </xdr:from>
    <xdr:to>
      <xdr:col>7</xdr:col>
      <xdr:colOff>728708</xdr:colOff>
      <xdr:row>3</xdr:row>
      <xdr:rowOff>126372</xdr:rowOff>
    </xdr:to>
    <xdr:pic>
      <xdr:nvPicPr>
        <xdr:cNvPr id="10" name="Imagen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66147" y="12686"/>
          <a:ext cx="1372836" cy="685186"/>
        </a:xfrm>
        <a:prstGeom prst="rect">
          <a:avLst/>
        </a:prstGeom>
      </xdr:spPr>
    </xdr:pic>
    <xdr:clientData/>
  </xdr:twoCellAnchor>
  <xdr:twoCellAnchor>
    <xdr:from>
      <xdr:col>1</xdr:col>
      <xdr:colOff>719299</xdr:colOff>
      <xdr:row>41</xdr:row>
      <xdr:rowOff>154198</xdr:rowOff>
    </xdr:from>
    <xdr:to>
      <xdr:col>3</xdr:col>
      <xdr:colOff>669261</xdr:colOff>
      <xdr:row>45</xdr:row>
      <xdr:rowOff>16002</xdr:rowOff>
    </xdr:to>
    <xdr:sp macro="" textlink="">
      <xdr:nvSpPr>
        <xdr:cNvPr id="11" name="8 CuadroTexto"/>
        <xdr:cNvSpPr txBox="1"/>
      </xdr:nvSpPr>
      <xdr:spPr>
        <a:xfrm>
          <a:off x="1605124" y="7983748"/>
          <a:ext cx="1673987" cy="6238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LAP. JOSÉ ALFREDO PEÑA RODRÍGUEZ</a:t>
          </a:r>
        </a:p>
      </xdr:txBody>
    </xdr:sp>
    <xdr:clientData/>
  </xdr:twoCellAnchor>
  <xdr:twoCellAnchor>
    <xdr:from>
      <xdr:col>5</xdr:col>
      <xdr:colOff>665649</xdr:colOff>
      <xdr:row>41</xdr:row>
      <xdr:rowOff>158595</xdr:rowOff>
    </xdr:from>
    <xdr:to>
      <xdr:col>7</xdr:col>
      <xdr:colOff>753958</xdr:colOff>
      <xdr:row>45</xdr:row>
      <xdr:rowOff>1466</xdr:rowOff>
    </xdr:to>
    <xdr:sp macro="" textlink="">
      <xdr:nvSpPr>
        <xdr:cNvPr id="12" name="10 CuadroTexto"/>
        <xdr:cNvSpPr txBox="1"/>
      </xdr:nvSpPr>
      <xdr:spPr>
        <a:xfrm>
          <a:off x="4989999" y="7988145"/>
          <a:ext cx="1774234" cy="6048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C.P. NORA ROSALVA CEPEDA GUERRERO</a:t>
          </a:r>
        </a:p>
      </xdr:txBody>
    </xdr:sp>
    <xdr:clientData/>
  </xdr:twoCellAnchor>
  <xdr:twoCellAnchor>
    <xdr:from>
      <xdr:col>0</xdr:col>
      <xdr:colOff>0</xdr:colOff>
      <xdr:row>41</xdr:row>
      <xdr:rowOff>153672</xdr:rowOff>
    </xdr:from>
    <xdr:to>
      <xdr:col>2</xdr:col>
      <xdr:colOff>28575</xdr:colOff>
      <xdr:row>45</xdr:row>
      <xdr:rowOff>19665</xdr:rowOff>
    </xdr:to>
    <xdr:sp macro="" textlink="">
      <xdr:nvSpPr>
        <xdr:cNvPr id="13" name="14 CuadroTexto"/>
        <xdr:cNvSpPr txBox="1"/>
      </xdr:nvSpPr>
      <xdr:spPr>
        <a:xfrm>
          <a:off x="0" y="7983222"/>
          <a:ext cx="1676400" cy="6279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DR. XICOTÉNCATL GONZÁLEZ URESTI</a:t>
          </a:r>
        </a:p>
      </xdr:txBody>
    </xdr:sp>
    <xdr:clientData/>
  </xdr:twoCellAnchor>
  <xdr:twoCellAnchor>
    <xdr:from>
      <xdr:col>3</xdr:col>
      <xdr:colOff>606105</xdr:colOff>
      <xdr:row>41</xdr:row>
      <xdr:rowOff>158253</xdr:rowOff>
    </xdr:from>
    <xdr:to>
      <xdr:col>5</xdr:col>
      <xdr:colOff>731445</xdr:colOff>
      <xdr:row>44</xdr:row>
      <xdr:rowOff>182558</xdr:rowOff>
    </xdr:to>
    <xdr:sp macro="" textlink="">
      <xdr:nvSpPr>
        <xdr:cNvPr id="14" name="16 CuadroTexto"/>
        <xdr:cNvSpPr txBox="1"/>
      </xdr:nvSpPr>
      <xdr:spPr>
        <a:xfrm>
          <a:off x="3215955" y="7987803"/>
          <a:ext cx="1839840"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LIC. FRIDA PATRICIA ESCOBAR ORTIZ</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1</xdr:col>
      <xdr:colOff>2372469</xdr:colOff>
      <xdr:row>94</xdr:row>
      <xdr:rowOff>14018</xdr:rowOff>
    </xdr:from>
    <xdr:to>
      <xdr:col>1</xdr:col>
      <xdr:colOff>4000501</xdr:colOff>
      <xdr:row>97</xdr:row>
      <xdr:rowOff>38323</xdr:rowOff>
    </xdr:to>
    <xdr:sp macro="" textlink="">
      <xdr:nvSpPr>
        <xdr:cNvPr id="19" name="16 CuadroTexto"/>
        <xdr:cNvSpPr txBox="1"/>
      </xdr:nvSpPr>
      <xdr:spPr>
        <a:xfrm>
          <a:off x="3162841" y="16494295"/>
          <a:ext cx="1628032"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a:t>
          </a:r>
        </a:p>
        <a:p>
          <a:pPr algn="ctr"/>
          <a:r>
            <a:rPr lang="es-MX" sz="600">
              <a:latin typeface="Arial" pitchFamily="34" charset="0"/>
              <a:cs typeface="Arial" pitchFamily="34" charset="0"/>
            </a:rPr>
            <a:t>LIC. FRIDA PATRICIA ESCOBAR ORTIZ</a:t>
          </a:r>
        </a:p>
      </xdr:txBody>
    </xdr:sp>
    <xdr:clientData/>
  </xdr:twoCellAnchor>
  <xdr:twoCellAnchor>
    <xdr:from>
      <xdr:col>1</xdr:col>
      <xdr:colOff>792232</xdr:colOff>
      <xdr:row>94</xdr:row>
      <xdr:rowOff>15006</xdr:rowOff>
    </xdr:from>
    <xdr:to>
      <xdr:col>1</xdr:col>
      <xdr:colOff>2458058</xdr:colOff>
      <xdr:row>97</xdr:row>
      <xdr:rowOff>67310</xdr:rowOff>
    </xdr:to>
    <xdr:sp macro="" textlink="">
      <xdr:nvSpPr>
        <xdr:cNvPr id="10" name="8 CuadroTexto"/>
        <xdr:cNvSpPr txBox="1"/>
      </xdr:nvSpPr>
      <xdr:spPr>
        <a:xfrm>
          <a:off x="1582604" y="16495283"/>
          <a:ext cx="1665826" cy="6238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LAP. JOSÉ ALFREDO PEÑA RODRÍGUEZ</a:t>
          </a:r>
        </a:p>
      </xdr:txBody>
    </xdr:sp>
    <xdr:clientData/>
  </xdr:twoCellAnchor>
  <xdr:twoCellAnchor>
    <xdr:from>
      <xdr:col>1</xdr:col>
      <xdr:colOff>4006361</xdr:colOff>
      <xdr:row>94</xdr:row>
      <xdr:rowOff>15721</xdr:rowOff>
    </xdr:from>
    <xdr:to>
      <xdr:col>2</xdr:col>
      <xdr:colOff>1209672</xdr:colOff>
      <xdr:row>97</xdr:row>
      <xdr:rowOff>49092</xdr:rowOff>
    </xdr:to>
    <xdr:sp macro="" textlink="">
      <xdr:nvSpPr>
        <xdr:cNvPr id="11" name="10 CuadroTexto"/>
        <xdr:cNvSpPr txBox="1"/>
      </xdr:nvSpPr>
      <xdr:spPr>
        <a:xfrm>
          <a:off x="4795575" y="16491250"/>
          <a:ext cx="1758983" cy="6048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C.P. NORA ROSALVA CEPEDA GUERRERO</a:t>
          </a:r>
        </a:p>
      </xdr:txBody>
    </xdr:sp>
    <xdr:clientData/>
  </xdr:twoCellAnchor>
  <xdr:twoCellAnchor>
    <xdr:from>
      <xdr:col>0</xdr:col>
      <xdr:colOff>1</xdr:colOff>
      <xdr:row>94</xdr:row>
      <xdr:rowOff>17602</xdr:rowOff>
    </xdr:from>
    <xdr:to>
      <xdr:col>1</xdr:col>
      <xdr:colOff>883596</xdr:colOff>
      <xdr:row>97</xdr:row>
      <xdr:rowOff>74095</xdr:rowOff>
    </xdr:to>
    <xdr:sp macro="" textlink="">
      <xdr:nvSpPr>
        <xdr:cNvPr id="18" name="14 CuadroTexto"/>
        <xdr:cNvSpPr txBox="1"/>
      </xdr:nvSpPr>
      <xdr:spPr>
        <a:xfrm>
          <a:off x="1" y="16497879"/>
          <a:ext cx="1673967" cy="6279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DR. XICOTÉNCATL GONZÁLEZ URESTI</a:t>
          </a:r>
        </a:p>
      </xdr:txBody>
    </xdr:sp>
    <xdr:clientData/>
  </xdr:twoCellAnchor>
  <xdr:twoCellAnchor editAs="oneCell">
    <xdr:from>
      <xdr:col>0</xdr:col>
      <xdr:colOff>0</xdr:colOff>
      <xdr:row>0</xdr:row>
      <xdr:rowOff>152400</xdr:rowOff>
    </xdr:from>
    <xdr:to>
      <xdr:col>1</xdr:col>
      <xdr:colOff>425291</xdr:colOff>
      <xdr:row>4</xdr:row>
      <xdr:rowOff>49196</xdr:rowOff>
    </xdr:to>
    <xdr:pic>
      <xdr:nvPicPr>
        <xdr:cNvPr id="12" name="Imagen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2400"/>
          <a:ext cx="1215866" cy="649271"/>
        </a:xfrm>
        <a:prstGeom prst="rect">
          <a:avLst/>
        </a:prstGeom>
      </xdr:spPr>
    </xdr:pic>
    <xdr:clientData/>
  </xdr:twoCellAnchor>
  <xdr:twoCellAnchor editAs="oneCell">
    <xdr:from>
      <xdr:col>1</xdr:col>
      <xdr:colOff>4356497</xdr:colOff>
      <xdr:row>0</xdr:row>
      <xdr:rowOff>165086</xdr:rowOff>
    </xdr:from>
    <xdr:to>
      <xdr:col>2</xdr:col>
      <xdr:colOff>1176383</xdr:colOff>
      <xdr:row>4</xdr:row>
      <xdr:rowOff>97797</xdr:rowOff>
    </xdr:to>
    <xdr:pic>
      <xdr:nvPicPr>
        <xdr:cNvPr id="13" name="Imagen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147072" y="165086"/>
          <a:ext cx="1372836" cy="68518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xdr:from>
      <xdr:col>2</xdr:col>
      <xdr:colOff>1447800</xdr:colOff>
      <xdr:row>54</xdr:row>
      <xdr:rowOff>14253</xdr:rowOff>
    </xdr:from>
    <xdr:to>
      <xdr:col>3</xdr:col>
      <xdr:colOff>1063187</xdr:colOff>
      <xdr:row>57</xdr:row>
      <xdr:rowOff>88446</xdr:rowOff>
    </xdr:to>
    <xdr:sp macro="" textlink="">
      <xdr:nvSpPr>
        <xdr:cNvPr id="17" name="10 CuadroTexto"/>
        <xdr:cNvSpPr txBox="1"/>
      </xdr:nvSpPr>
      <xdr:spPr>
        <a:xfrm>
          <a:off x="5124450" y="9577353"/>
          <a:ext cx="1958537" cy="6456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50">
              <a:latin typeface="Arial" pitchFamily="34" charset="0"/>
              <a:cs typeface="Arial" pitchFamily="34" charset="0"/>
            </a:rPr>
            <a:t>CONTRALOR</a:t>
          </a:r>
          <a:r>
            <a:rPr lang="es-MX" sz="650" baseline="0">
              <a:latin typeface="Arial" pitchFamily="34" charset="0"/>
              <a:cs typeface="Arial" pitchFamily="34" charset="0"/>
            </a:rPr>
            <a:t> MUNICIPAL</a:t>
          </a:r>
        </a:p>
        <a:p>
          <a:pPr algn="ctr"/>
          <a:endParaRPr lang="es-MX" sz="650">
            <a:latin typeface="Arial" pitchFamily="34" charset="0"/>
            <a:cs typeface="Arial" pitchFamily="34" charset="0"/>
          </a:endParaRPr>
        </a:p>
        <a:p>
          <a:pPr algn="ctr"/>
          <a:endParaRPr lang="es-MX" sz="650">
            <a:latin typeface="Arial" pitchFamily="34" charset="0"/>
            <a:cs typeface="Arial" pitchFamily="34" charset="0"/>
          </a:endParaRPr>
        </a:p>
        <a:p>
          <a:pPr algn="ctr"/>
          <a:r>
            <a:rPr lang="es-MX" sz="650">
              <a:latin typeface="Arial" pitchFamily="34" charset="0"/>
              <a:cs typeface="Arial" pitchFamily="34" charset="0"/>
            </a:rPr>
            <a:t>______________________________________</a:t>
          </a:r>
        </a:p>
        <a:p>
          <a:pPr algn="ctr"/>
          <a:r>
            <a:rPr lang="es-MX" sz="650">
              <a:latin typeface="Arial" pitchFamily="34" charset="0"/>
              <a:cs typeface="Arial" pitchFamily="34" charset="0"/>
            </a:rPr>
            <a:t>C.P. NORA ROSALVA CEPEDA GUERRERO</a:t>
          </a:r>
        </a:p>
      </xdr:txBody>
    </xdr:sp>
    <xdr:clientData/>
  </xdr:twoCellAnchor>
  <xdr:twoCellAnchor>
    <xdr:from>
      <xdr:col>1</xdr:col>
      <xdr:colOff>601970</xdr:colOff>
      <xdr:row>54</xdr:row>
      <xdr:rowOff>8928</xdr:rowOff>
    </xdr:from>
    <xdr:to>
      <xdr:col>1</xdr:col>
      <xdr:colOff>2495549</xdr:colOff>
      <xdr:row>57</xdr:row>
      <xdr:rowOff>104775</xdr:rowOff>
    </xdr:to>
    <xdr:sp macro="" textlink="">
      <xdr:nvSpPr>
        <xdr:cNvPr id="16" name="8 CuadroTexto"/>
        <xdr:cNvSpPr txBox="1"/>
      </xdr:nvSpPr>
      <xdr:spPr>
        <a:xfrm>
          <a:off x="1687820" y="9572028"/>
          <a:ext cx="1893579" cy="6673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50">
              <a:latin typeface="Arial" pitchFamily="34" charset="0"/>
              <a:cs typeface="Arial" pitchFamily="34" charset="0"/>
            </a:rPr>
            <a:t>TESORERO MUNICIPAL</a:t>
          </a:r>
        </a:p>
        <a:p>
          <a:pPr algn="ctr"/>
          <a:endParaRPr lang="es-MX" sz="650">
            <a:latin typeface="Arial" pitchFamily="34" charset="0"/>
            <a:cs typeface="Arial" pitchFamily="34" charset="0"/>
          </a:endParaRPr>
        </a:p>
        <a:p>
          <a:pPr algn="ctr"/>
          <a:endParaRPr lang="es-MX" sz="650">
            <a:latin typeface="Arial" pitchFamily="34" charset="0"/>
            <a:cs typeface="Arial" pitchFamily="34" charset="0"/>
          </a:endParaRPr>
        </a:p>
        <a:p>
          <a:pPr algn="ctr"/>
          <a:r>
            <a:rPr lang="es-MX" sz="650">
              <a:latin typeface="Arial" pitchFamily="34" charset="0"/>
              <a:cs typeface="Arial" pitchFamily="34" charset="0"/>
            </a:rPr>
            <a:t>___________________________________</a:t>
          </a:r>
        </a:p>
        <a:p>
          <a:pPr algn="ctr"/>
          <a:r>
            <a:rPr lang="es-MX" sz="650">
              <a:latin typeface="Arial" pitchFamily="34" charset="0"/>
              <a:cs typeface="Arial" pitchFamily="34" charset="0"/>
            </a:rPr>
            <a:t>LAP. JOSÉ ALFREDO PEÑA RODRÍGUEZ</a:t>
          </a:r>
        </a:p>
      </xdr:txBody>
    </xdr:sp>
    <xdr:clientData/>
  </xdr:twoCellAnchor>
  <xdr:twoCellAnchor>
    <xdr:from>
      <xdr:col>0</xdr:col>
      <xdr:colOff>1</xdr:colOff>
      <xdr:row>54</xdr:row>
      <xdr:rowOff>14263</xdr:rowOff>
    </xdr:from>
    <xdr:to>
      <xdr:col>1</xdr:col>
      <xdr:colOff>723901</xdr:colOff>
      <xdr:row>57</xdr:row>
      <xdr:rowOff>70756</xdr:rowOff>
    </xdr:to>
    <xdr:sp macro="" textlink="">
      <xdr:nvSpPr>
        <xdr:cNvPr id="18" name="14 CuadroTexto"/>
        <xdr:cNvSpPr txBox="1"/>
      </xdr:nvSpPr>
      <xdr:spPr>
        <a:xfrm>
          <a:off x="1" y="9577363"/>
          <a:ext cx="1809750" cy="6279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50">
              <a:latin typeface="Arial" pitchFamily="34" charset="0"/>
              <a:cs typeface="Arial" pitchFamily="34" charset="0"/>
            </a:rPr>
            <a:t>PRESIDENTE MUNICIPAL</a:t>
          </a:r>
        </a:p>
        <a:p>
          <a:pPr algn="ctr"/>
          <a:endParaRPr lang="es-MX" sz="650">
            <a:latin typeface="Arial" pitchFamily="34" charset="0"/>
            <a:cs typeface="Arial" pitchFamily="34" charset="0"/>
          </a:endParaRPr>
        </a:p>
        <a:p>
          <a:pPr algn="ctr"/>
          <a:endParaRPr lang="es-MX" sz="650">
            <a:latin typeface="Arial" pitchFamily="34" charset="0"/>
            <a:cs typeface="Arial" pitchFamily="34" charset="0"/>
          </a:endParaRPr>
        </a:p>
        <a:p>
          <a:pPr algn="ctr"/>
          <a:r>
            <a:rPr lang="es-MX" sz="650">
              <a:latin typeface="Arial" pitchFamily="34" charset="0"/>
              <a:cs typeface="Arial" pitchFamily="34" charset="0"/>
            </a:rPr>
            <a:t>___________________________________</a:t>
          </a:r>
        </a:p>
        <a:p>
          <a:pPr algn="ctr"/>
          <a:r>
            <a:rPr lang="es-MX" sz="650">
              <a:latin typeface="Arial" pitchFamily="34" charset="0"/>
              <a:cs typeface="Arial" pitchFamily="34" charset="0"/>
            </a:rPr>
            <a:t>DR. XICOTÉNCATL GONZÁLEZ URESTI</a:t>
          </a:r>
        </a:p>
      </xdr:txBody>
    </xdr:sp>
    <xdr:clientData/>
  </xdr:twoCellAnchor>
  <xdr:twoCellAnchor>
    <xdr:from>
      <xdr:col>1</xdr:col>
      <xdr:colOff>2371725</xdr:colOff>
      <xdr:row>54</xdr:row>
      <xdr:rowOff>8352</xdr:rowOff>
    </xdr:from>
    <xdr:to>
      <xdr:col>2</xdr:col>
      <xdr:colOff>1541391</xdr:colOff>
      <xdr:row>57</xdr:row>
      <xdr:rowOff>126546</xdr:rowOff>
    </xdr:to>
    <xdr:sp macro="" textlink="">
      <xdr:nvSpPr>
        <xdr:cNvPr id="19" name="16 CuadroTexto"/>
        <xdr:cNvSpPr txBox="1"/>
      </xdr:nvSpPr>
      <xdr:spPr>
        <a:xfrm>
          <a:off x="3457575" y="9571452"/>
          <a:ext cx="1760466" cy="6896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50">
              <a:latin typeface="Arial" pitchFamily="34" charset="0"/>
              <a:cs typeface="Arial" pitchFamily="34" charset="0"/>
            </a:rPr>
            <a:t>SINDICO</a:t>
          </a:r>
          <a:r>
            <a:rPr lang="es-MX" sz="650" baseline="0">
              <a:latin typeface="Arial" pitchFamily="34" charset="0"/>
              <a:cs typeface="Arial" pitchFamily="34" charset="0"/>
            </a:rPr>
            <a:t> MUNICIPAL</a:t>
          </a:r>
        </a:p>
        <a:p>
          <a:pPr algn="ctr"/>
          <a:endParaRPr lang="es-MX" sz="650" baseline="0">
            <a:latin typeface="Arial" pitchFamily="34" charset="0"/>
            <a:cs typeface="Arial" pitchFamily="34" charset="0"/>
          </a:endParaRPr>
        </a:p>
        <a:p>
          <a:pPr algn="ctr"/>
          <a:endParaRPr lang="es-MX" sz="650" baseline="0">
            <a:latin typeface="Arial" pitchFamily="34" charset="0"/>
            <a:cs typeface="Arial" pitchFamily="34" charset="0"/>
          </a:endParaRPr>
        </a:p>
        <a:p>
          <a:pPr algn="ctr"/>
          <a:r>
            <a:rPr lang="es-MX" sz="650">
              <a:latin typeface="Arial" pitchFamily="34" charset="0"/>
              <a:cs typeface="Arial" pitchFamily="34" charset="0"/>
            </a:rPr>
            <a:t>__________________________________</a:t>
          </a:r>
        </a:p>
        <a:p>
          <a:pPr algn="ctr"/>
          <a:r>
            <a:rPr lang="es-MX" sz="650">
              <a:latin typeface="Arial" pitchFamily="34" charset="0"/>
              <a:cs typeface="Arial" pitchFamily="34" charset="0"/>
            </a:rPr>
            <a:t>LIC. FRIDA PATRICIA ESCOBAR ORTIZ</a:t>
          </a:r>
        </a:p>
      </xdr:txBody>
    </xdr:sp>
    <xdr:clientData/>
  </xdr:twoCellAnchor>
  <xdr:twoCellAnchor editAs="oneCell">
    <xdr:from>
      <xdr:col>0</xdr:col>
      <xdr:colOff>0</xdr:colOff>
      <xdr:row>0</xdr:row>
      <xdr:rowOff>66675</xdr:rowOff>
    </xdr:from>
    <xdr:to>
      <xdr:col>1</xdr:col>
      <xdr:colOff>126289</xdr:colOff>
      <xdr:row>3</xdr:row>
      <xdr:rowOff>145688</xdr:rowOff>
    </xdr:to>
    <xdr:pic>
      <xdr:nvPicPr>
        <xdr:cNvPr id="8" name="Imagen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6675"/>
          <a:ext cx="1212139" cy="650513"/>
        </a:xfrm>
        <a:prstGeom prst="rect">
          <a:avLst/>
        </a:prstGeom>
      </xdr:spPr>
    </xdr:pic>
    <xdr:clientData/>
  </xdr:twoCellAnchor>
  <xdr:twoCellAnchor editAs="oneCell">
    <xdr:from>
      <xdr:col>2</xdr:col>
      <xdr:colOff>1981045</xdr:colOff>
      <xdr:row>0</xdr:row>
      <xdr:rowOff>60311</xdr:rowOff>
    </xdr:from>
    <xdr:to>
      <xdr:col>3</xdr:col>
      <xdr:colOff>1013216</xdr:colOff>
      <xdr:row>3</xdr:row>
      <xdr:rowOff>175239</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57695" y="60311"/>
          <a:ext cx="1375321" cy="686428"/>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6364</xdr:rowOff>
    </xdr:from>
    <xdr:to>
      <xdr:col>1</xdr:col>
      <xdr:colOff>326314</xdr:colOff>
      <xdr:row>3</xdr:row>
      <xdr:rowOff>85377</xdr:rowOff>
    </xdr:to>
    <xdr:pic>
      <xdr:nvPicPr>
        <xdr:cNvPr id="8" name="Imagen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6364"/>
          <a:ext cx="1212139" cy="650513"/>
        </a:xfrm>
        <a:prstGeom prst="rect">
          <a:avLst/>
        </a:prstGeom>
      </xdr:spPr>
    </xdr:pic>
    <xdr:clientData/>
  </xdr:twoCellAnchor>
  <xdr:twoCellAnchor editAs="oneCell">
    <xdr:from>
      <xdr:col>6</xdr:col>
      <xdr:colOff>276070</xdr:colOff>
      <xdr:row>0</xdr:row>
      <xdr:rowOff>0</xdr:rowOff>
    </xdr:from>
    <xdr:to>
      <xdr:col>7</xdr:col>
      <xdr:colOff>727466</xdr:colOff>
      <xdr:row>3</xdr:row>
      <xdr:rowOff>114928</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62420" y="0"/>
          <a:ext cx="1375321" cy="686428"/>
        </a:xfrm>
        <a:prstGeom prst="rect">
          <a:avLst/>
        </a:prstGeom>
      </xdr:spPr>
    </xdr:pic>
    <xdr:clientData/>
  </xdr:twoCellAnchor>
  <xdr:twoCellAnchor>
    <xdr:from>
      <xdr:col>1</xdr:col>
      <xdr:colOff>719299</xdr:colOff>
      <xdr:row>41</xdr:row>
      <xdr:rowOff>154198</xdr:rowOff>
    </xdr:from>
    <xdr:to>
      <xdr:col>3</xdr:col>
      <xdr:colOff>669261</xdr:colOff>
      <xdr:row>45</xdr:row>
      <xdr:rowOff>16002</xdr:rowOff>
    </xdr:to>
    <xdr:sp macro="" textlink="">
      <xdr:nvSpPr>
        <xdr:cNvPr id="18" name="8 CuadroTexto"/>
        <xdr:cNvSpPr txBox="1"/>
      </xdr:nvSpPr>
      <xdr:spPr>
        <a:xfrm>
          <a:off x="1605124" y="8174248"/>
          <a:ext cx="1673987" cy="6238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LAP. JOSÉ ALFREDO PEÑA RODRÍGUEZ</a:t>
          </a:r>
        </a:p>
      </xdr:txBody>
    </xdr:sp>
    <xdr:clientData/>
  </xdr:twoCellAnchor>
  <xdr:twoCellAnchor>
    <xdr:from>
      <xdr:col>5</xdr:col>
      <xdr:colOff>665649</xdr:colOff>
      <xdr:row>41</xdr:row>
      <xdr:rowOff>158595</xdr:rowOff>
    </xdr:from>
    <xdr:to>
      <xdr:col>7</xdr:col>
      <xdr:colOff>753958</xdr:colOff>
      <xdr:row>45</xdr:row>
      <xdr:rowOff>1466</xdr:rowOff>
    </xdr:to>
    <xdr:sp macro="" textlink="">
      <xdr:nvSpPr>
        <xdr:cNvPr id="19" name="10 CuadroTexto"/>
        <xdr:cNvSpPr txBox="1"/>
      </xdr:nvSpPr>
      <xdr:spPr>
        <a:xfrm>
          <a:off x="4989999" y="8178645"/>
          <a:ext cx="1774234" cy="6048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C.P. NORA ROSALVA CEPEDA GUERRERO</a:t>
          </a:r>
        </a:p>
      </xdr:txBody>
    </xdr:sp>
    <xdr:clientData/>
  </xdr:twoCellAnchor>
  <xdr:twoCellAnchor>
    <xdr:from>
      <xdr:col>0</xdr:col>
      <xdr:colOff>0</xdr:colOff>
      <xdr:row>41</xdr:row>
      <xdr:rowOff>153672</xdr:rowOff>
    </xdr:from>
    <xdr:to>
      <xdr:col>2</xdr:col>
      <xdr:colOff>28575</xdr:colOff>
      <xdr:row>45</xdr:row>
      <xdr:rowOff>19665</xdr:rowOff>
    </xdr:to>
    <xdr:sp macro="" textlink="">
      <xdr:nvSpPr>
        <xdr:cNvPr id="20" name="14 CuadroTexto"/>
        <xdr:cNvSpPr txBox="1"/>
      </xdr:nvSpPr>
      <xdr:spPr>
        <a:xfrm>
          <a:off x="0" y="8173722"/>
          <a:ext cx="1676400" cy="6279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DR. XICOTÉNCATL GONZÁLEZ URESTI</a:t>
          </a:r>
        </a:p>
      </xdr:txBody>
    </xdr:sp>
    <xdr:clientData/>
  </xdr:twoCellAnchor>
  <xdr:twoCellAnchor>
    <xdr:from>
      <xdr:col>3</xdr:col>
      <xdr:colOff>606105</xdr:colOff>
      <xdr:row>41</xdr:row>
      <xdr:rowOff>158253</xdr:rowOff>
    </xdr:from>
    <xdr:to>
      <xdr:col>5</xdr:col>
      <xdr:colOff>731445</xdr:colOff>
      <xdr:row>44</xdr:row>
      <xdr:rowOff>182558</xdr:rowOff>
    </xdr:to>
    <xdr:sp macro="" textlink="">
      <xdr:nvSpPr>
        <xdr:cNvPr id="21" name="16 CuadroTexto"/>
        <xdr:cNvSpPr txBox="1"/>
      </xdr:nvSpPr>
      <xdr:spPr>
        <a:xfrm>
          <a:off x="3215955" y="8178303"/>
          <a:ext cx="1839840"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LIC. FRIDA PATRICIA ESCOBAR ORTIZ</a:t>
          </a:r>
        </a:p>
      </xdr:txBody>
    </xdr:sp>
    <xdr:clientData/>
  </xdr:twoCellAnchor>
  <xdr:twoCellAnchor editAs="oneCell">
    <xdr:from>
      <xdr:col>0</xdr:col>
      <xdr:colOff>582706</xdr:colOff>
      <xdr:row>12</xdr:row>
      <xdr:rowOff>33618</xdr:rowOff>
    </xdr:from>
    <xdr:to>
      <xdr:col>7</xdr:col>
      <xdr:colOff>187334</xdr:colOff>
      <xdr:row>16</xdr:row>
      <xdr:rowOff>180001</xdr:rowOff>
    </xdr:to>
    <xdr:pic>
      <xdr:nvPicPr>
        <xdr:cNvPr id="10" name="6 Imagen"/>
        <xdr:cNvPicPr>
          <a:picLocks noChangeAspect="1"/>
        </xdr:cNvPicPr>
      </xdr:nvPicPr>
      <xdr:blipFill>
        <a:blip xmlns:r="http://schemas.openxmlformats.org/officeDocument/2006/relationships" r:embed="rId3"/>
        <a:stretch>
          <a:fillRect/>
        </a:stretch>
      </xdr:blipFill>
      <xdr:spPr>
        <a:xfrm>
          <a:off x="582706" y="2342030"/>
          <a:ext cx="5610981" cy="908383"/>
        </a:xfrm>
        <a:prstGeom prst="rect">
          <a:avLst/>
        </a:prstGeom>
      </xdr:spPr>
    </xdr:pic>
    <xdr:clientData/>
  </xdr:twoCellAnchor>
  <xdr:twoCellAnchor editAs="oneCell">
    <xdr:from>
      <xdr:col>0</xdr:col>
      <xdr:colOff>358588</xdr:colOff>
      <xdr:row>24</xdr:row>
      <xdr:rowOff>56029</xdr:rowOff>
    </xdr:from>
    <xdr:to>
      <xdr:col>7</xdr:col>
      <xdr:colOff>294788</xdr:colOff>
      <xdr:row>29</xdr:row>
      <xdr:rowOff>65554</xdr:rowOff>
    </xdr:to>
    <xdr:pic>
      <xdr:nvPicPr>
        <xdr:cNvPr id="11" name="9 Imagen"/>
        <xdr:cNvPicPr>
          <a:picLocks noChangeAspect="1"/>
        </xdr:cNvPicPr>
      </xdr:nvPicPr>
      <xdr:blipFill>
        <a:blip xmlns:r="http://schemas.openxmlformats.org/officeDocument/2006/relationships" r:embed="rId4"/>
        <a:stretch>
          <a:fillRect/>
        </a:stretch>
      </xdr:blipFill>
      <xdr:spPr>
        <a:xfrm>
          <a:off x="358588" y="4650441"/>
          <a:ext cx="5942553" cy="9620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2</xdr:col>
      <xdr:colOff>1162050</xdr:colOff>
      <xdr:row>38</xdr:row>
      <xdr:rowOff>111125</xdr:rowOff>
    </xdr:from>
    <xdr:to>
      <xdr:col>4</xdr:col>
      <xdr:colOff>95250</xdr:colOff>
      <xdr:row>43</xdr:row>
      <xdr:rowOff>81283</xdr:rowOff>
    </xdr:to>
    <xdr:sp macro="" textlink="">
      <xdr:nvSpPr>
        <xdr:cNvPr id="3" name="7 CuadroTexto"/>
        <xdr:cNvSpPr txBox="1"/>
      </xdr:nvSpPr>
      <xdr:spPr>
        <a:xfrm>
          <a:off x="2247900" y="7283450"/>
          <a:ext cx="2390775" cy="8655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anose="020B0604020202020204" pitchFamily="34" charset="0"/>
              <a:cs typeface="Arial" panose="020B0604020202020204" pitchFamily="34" charset="0"/>
            </a:rPr>
            <a:t>TESORERO MUNICIPAL</a:t>
          </a:r>
        </a:p>
        <a:p>
          <a:pPr algn="ctr"/>
          <a:endParaRPr lang="es-MX" sz="800">
            <a:latin typeface="Arial" panose="020B0604020202020204" pitchFamily="34" charset="0"/>
            <a:cs typeface="Arial" panose="020B0604020202020204" pitchFamily="34" charset="0"/>
          </a:endParaRPr>
        </a:p>
        <a:p>
          <a:pPr algn="ctr"/>
          <a:endParaRPr lang="es-MX" sz="800">
            <a:latin typeface="Arial" panose="020B0604020202020204" pitchFamily="34" charset="0"/>
            <a:cs typeface="Arial" panose="020B0604020202020204" pitchFamily="34" charset="0"/>
          </a:endParaRPr>
        </a:p>
        <a:p>
          <a:pPr algn="ctr"/>
          <a:r>
            <a:rPr lang="es-MX" sz="800">
              <a:latin typeface="Arial" panose="020B0604020202020204" pitchFamily="34" charset="0"/>
              <a:cs typeface="Arial" panose="020B0604020202020204" pitchFamily="34" charset="0"/>
            </a:rPr>
            <a:t>___________________________________</a:t>
          </a:r>
        </a:p>
        <a:p>
          <a:pPr algn="ctr"/>
          <a:r>
            <a:rPr lang="es-MX" sz="800">
              <a:latin typeface="Arial" panose="020B0604020202020204" pitchFamily="34" charset="0"/>
              <a:cs typeface="Arial" panose="020B0604020202020204" pitchFamily="34" charset="0"/>
            </a:rPr>
            <a:t>LAP. JOSÉ ALFREDO PEÑA RODRÍGUEZ</a:t>
          </a:r>
        </a:p>
      </xdr:txBody>
    </xdr:sp>
    <xdr:clientData/>
  </xdr:twoCellAnchor>
  <xdr:twoCellAnchor>
    <xdr:from>
      <xdr:col>0</xdr:col>
      <xdr:colOff>11112</xdr:colOff>
      <xdr:row>38</xdr:row>
      <xdr:rowOff>109141</xdr:rowOff>
    </xdr:from>
    <xdr:to>
      <xdr:col>2</xdr:col>
      <xdr:colOff>1162050</xdr:colOff>
      <xdr:row>43</xdr:row>
      <xdr:rowOff>104192</xdr:rowOff>
    </xdr:to>
    <xdr:sp macro="" textlink="">
      <xdr:nvSpPr>
        <xdr:cNvPr id="4" name="8 CuadroTexto"/>
        <xdr:cNvSpPr txBox="1"/>
      </xdr:nvSpPr>
      <xdr:spPr>
        <a:xfrm>
          <a:off x="11112" y="7281466"/>
          <a:ext cx="2236788" cy="8904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anose="020B0604020202020204" pitchFamily="34" charset="0"/>
              <a:cs typeface="Arial" panose="020B0604020202020204" pitchFamily="34" charset="0"/>
            </a:rPr>
            <a:t>PRESIDENTE MUNICIPAL</a:t>
          </a:r>
        </a:p>
        <a:p>
          <a:pPr algn="ctr"/>
          <a:endParaRPr lang="es-MX" sz="800">
            <a:latin typeface="Arial" panose="020B0604020202020204" pitchFamily="34" charset="0"/>
            <a:cs typeface="Arial" panose="020B0604020202020204" pitchFamily="34" charset="0"/>
          </a:endParaRPr>
        </a:p>
        <a:p>
          <a:pPr algn="ctr"/>
          <a:endParaRPr lang="es-MX" sz="800">
            <a:latin typeface="Arial" panose="020B0604020202020204" pitchFamily="34" charset="0"/>
            <a:cs typeface="Arial" panose="020B0604020202020204" pitchFamily="34" charset="0"/>
          </a:endParaRPr>
        </a:p>
        <a:p>
          <a:pPr algn="ctr"/>
          <a:r>
            <a:rPr lang="es-MX" sz="800">
              <a:latin typeface="Arial" panose="020B0604020202020204" pitchFamily="34" charset="0"/>
              <a:cs typeface="Arial" panose="020B0604020202020204" pitchFamily="34" charset="0"/>
            </a:rPr>
            <a:t>___________________________________</a:t>
          </a:r>
        </a:p>
        <a:p>
          <a:pPr algn="ctr"/>
          <a:r>
            <a:rPr lang="es-MX" sz="800">
              <a:latin typeface="Arial" panose="020B0604020202020204" pitchFamily="34" charset="0"/>
              <a:cs typeface="Arial" panose="020B0604020202020204" pitchFamily="34" charset="0"/>
            </a:rPr>
            <a:t>DR. XICOTÉNCATL GONZÁLEZ URESTI</a:t>
          </a:r>
        </a:p>
      </xdr:txBody>
    </xdr:sp>
    <xdr:clientData/>
  </xdr:twoCellAnchor>
  <xdr:twoCellAnchor>
    <xdr:from>
      <xdr:col>4</xdr:col>
      <xdr:colOff>171451</xdr:colOff>
      <xdr:row>38</xdr:row>
      <xdr:rowOff>126206</xdr:rowOff>
    </xdr:from>
    <xdr:to>
      <xdr:col>6</xdr:col>
      <xdr:colOff>838201</xdr:colOff>
      <xdr:row>43</xdr:row>
      <xdr:rowOff>107156</xdr:rowOff>
    </xdr:to>
    <xdr:sp macro="" textlink="">
      <xdr:nvSpPr>
        <xdr:cNvPr id="5" name="9 CuadroTexto"/>
        <xdr:cNvSpPr txBox="1"/>
      </xdr:nvSpPr>
      <xdr:spPr>
        <a:xfrm>
          <a:off x="4714876" y="7298531"/>
          <a:ext cx="2381250"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anose="020B0604020202020204" pitchFamily="34" charset="0"/>
              <a:cs typeface="Arial" panose="020B0604020202020204" pitchFamily="34" charset="0"/>
            </a:rPr>
            <a:t>SINDICO</a:t>
          </a:r>
          <a:r>
            <a:rPr lang="es-MX" sz="800" baseline="0">
              <a:latin typeface="Arial" panose="020B0604020202020204" pitchFamily="34" charset="0"/>
              <a:cs typeface="Arial" panose="020B0604020202020204" pitchFamily="34" charset="0"/>
            </a:rPr>
            <a:t> MUNICIPAL</a:t>
          </a:r>
        </a:p>
        <a:p>
          <a:pPr algn="ctr"/>
          <a:endParaRPr lang="es-MX" sz="800" baseline="0">
            <a:latin typeface="Arial" panose="020B0604020202020204" pitchFamily="34" charset="0"/>
            <a:cs typeface="Arial" panose="020B0604020202020204" pitchFamily="34" charset="0"/>
          </a:endParaRPr>
        </a:p>
        <a:p>
          <a:pPr algn="ctr"/>
          <a:endParaRPr lang="es-MX" sz="800" baseline="0">
            <a:latin typeface="Arial" panose="020B0604020202020204" pitchFamily="34" charset="0"/>
            <a:cs typeface="Arial" panose="020B0604020202020204" pitchFamily="34" charset="0"/>
          </a:endParaRPr>
        </a:p>
        <a:p>
          <a:pPr algn="ctr"/>
          <a:r>
            <a:rPr lang="es-MX" sz="800">
              <a:latin typeface="Arial" panose="020B0604020202020204" pitchFamily="34" charset="0"/>
              <a:cs typeface="Arial" panose="020B0604020202020204" pitchFamily="34" charset="0"/>
            </a:rPr>
            <a:t>____________________________________</a:t>
          </a:r>
        </a:p>
        <a:p>
          <a:pPr algn="ctr"/>
          <a:r>
            <a:rPr lang="es-MX" sz="800">
              <a:latin typeface="Arial" panose="020B0604020202020204" pitchFamily="34" charset="0"/>
              <a:cs typeface="Arial" panose="020B0604020202020204" pitchFamily="34" charset="0"/>
            </a:rPr>
            <a:t>LIC. FRIDA PATRICIA ESCOBAR ORTIZ</a:t>
          </a:r>
        </a:p>
      </xdr:txBody>
    </xdr:sp>
    <xdr:clientData/>
  </xdr:twoCellAnchor>
  <xdr:twoCellAnchor>
    <xdr:from>
      <xdr:col>7</xdr:col>
      <xdr:colOff>85725</xdr:colOff>
      <xdr:row>38</xdr:row>
      <xdr:rowOff>120893</xdr:rowOff>
    </xdr:from>
    <xdr:to>
      <xdr:col>9</xdr:col>
      <xdr:colOff>0</xdr:colOff>
      <xdr:row>44</xdr:row>
      <xdr:rowOff>3662</xdr:rowOff>
    </xdr:to>
    <xdr:sp macro="" textlink="">
      <xdr:nvSpPr>
        <xdr:cNvPr id="6" name="10 CuadroTexto"/>
        <xdr:cNvSpPr txBox="1"/>
      </xdr:nvSpPr>
      <xdr:spPr>
        <a:xfrm>
          <a:off x="7200900" y="7293218"/>
          <a:ext cx="2371725" cy="940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anose="020B0604020202020204" pitchFamily="34" charset="0"/>
              <a:cs typeface="Arial" panose="020B0604020202020204" pitchFamily="34" charset="0"/>
            </a:rPr>
            <a:t>CONTRALOR</a:t>
          </a:r>
          <a:r>
            <a:rPr lang="es-MX" sz="800" baseline="0">
              <a:latin typeface="Arial" panose="020B0604020202020204" pitchFamily="34" charset="0"/>
              <a:cs typeface="Arial" panose="020B0604020202020204" pitchFamily="34" charset="0"/>
            </a:rPr>
            <a:t> MUNICIPAL</a:t>
          </a:r>
        </a:p>
        <a:p>
          <a:pPr algn="ctr"/>
          <a:endParaRPr lang="es-MX" sz="800">
            <a:latin typeface="Arial" panose="020B0604020202020204" pitchFamily="34" charset="0"/>
            <a:cs typeface="Arial" panose="020B0604020202020204" pitchFamily="34" charset="0"/>
          </a:endParaRPr>
        </a:p>
        <a:p>
          <a:pPr algn="ctr"/>
          <a:endParaRPr lang="es-MX" sz="800">
            <a:latin typeface="Arial" panose="020B0604020202020204" pitchFamily="34" charset="0"/>
            <a:cs typeface="Arial" panose="020B0604020202020204" pitchFamily="34" charset="0"/>
          </a:endParaRPr>
        </a:p>
        <a:p>
          <a:pPr algn="ctr"/>
          <a:r>
            <a:rPr lang="es-MX" sz="800">
              <a:latin typeface="Arial" panose="020B0604020202020204" pitchFamily="34" charset="0"/>
              <a:cs typeface="Arial" panose="020B0604020202020204" pitchFamily="34" charset="0"/>
            </a:rPr>
            <a:t>______________________________________</a:t>
          </a:r>
        </a:p>
        <a:p>
          <a:pPr algn="ctr"/>
          <a:r>
            <a:rPr lang="es-MX" sz="800">
              <a:latin typeface="Arial" panose="020B0604020202020204" pitchFamily="34" charset="0"/>
              <a:cs typeface="Arial" panose="020B0604020202020204" pitchFamily="34" charset="0"/>
            </a:rPr>
            <a:t>C.P. NORA ROSALVA CEPEDA GUERRERO</a:t>
          </a:r>
        </a:p>
      </xdr:txBody>
    </xdr:sp>
    <xdr:clientData/>
  </xdr:twoCellAnchor>
  <xdr:twoCellAnchor editAs="oneCell">
    <xdr:from>
      <xdr:col>0</xdr:col>
      <xdr:colOff>85725</xdr:colOff>
      <xdr:row>1</xdr:row>
      <xdr:rowOff>0</xdr:rowOff>
    </xdr:from>
    <xdr:to>
      <xdr:col>2</xdr:col>
      <xdr:colOff>321468</xdr:colOff>
      <xdr:row>4</xdr:row>
      <xdr:rowOff>134921</xdr:rowOff>
    </xdr:to>
    <xdr:pic>
      <xdr:nvPicPr>
        <xdr:cNvPr id="8" name="Imagen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190500"/>
          <a:ext cx="1321593" cy="706421"/>
        </a:xfrm>
        <a:prstGeom prst="rect">
          <a:avLst/>
        </a:prstGeom>
      </xdr:spPr>
    </xdr:pic>
    <xdr:clientData/>
  </xdr:twoCellAnchor>
  <xdr:twoCellAnchor editAs="oneCell">
    <xdr:from>
      <xdr:col>8</xdr:col>
      <xdr:colOff>19050</xdr:colOff>
      <xdr:row>0</xdr:row>
      <xdr:rowOff>85725</xdr:rowOff>
    </xdr:from>
    <xdr:to>
      <xdr:col>8</xdr:col>
      <xdr:colOff>1514021</xdr:colOff>
      <xdr:row>4</xdr:row>
      <xdr:rowOff>69222</xdr:rowOff>
    </xdr:to>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29575" y="85725"/>
          <a:ext cx="1494971" cy="74549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85725</xdr:colOff>
      <xdr:row>0</xdr:row>
      <xdr:rowOff>47625</xdr:rowOff>
    </xdr:from>
    <xdr:to>
      <xdr:col>1</xdr:col>
      <xdr:colOff>960834</xdr:colOff>
      <xdr:row>5</xdr:row>
      <xdr:rowOff>25383</xdr:rowOff>
    </xdr:to>
    <xdr:pic>
      <xdr:nvPicPr>
        <xdr:cNvPr id="10"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47625"/>
          <a:ext cx="1322784" cy="711183"/>
        </a:xfrm>
        <a:prstGeom prst="rect">
          <a:avLst/>
        </a:prstGeom>
      </xdr:spPr>
    </xdr:pic>
    <xdr:clientData/>
  </xdr:twoCellAnchor>
  <xdr:twoCellAnchor editAs="oneCell">
    <xdr:from>
      <xdr:col>5</xdr:col>
      <xdr:colOff>330993</xdr:colOff>
      <xdr:row>0</xdr:row>
      <xdr:rowOff>47625</xdr:rowOff>
    </xdr:from>
    <xdr:to>
      <xdr:col>6</xdr:col>
      <xdr:colOff>844654</xdr:colOff>
      <xdr:row>5</xdr:row>
      <xdr:rowOff>20406</xdr:rowOff>
    </xdr:to>
    <xdr:pic>
      <xdr:nvPicPr>
        <xdr:cNvPr id="11" name="Imagen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65018" y="47625"/>
          <a:ext cx="1409011" cy="706206"/>
        </a:xfrm>
        <a:prstGeom prst="rect">
          <a:avLst/>
        </a:prstGeom>
      </xdr:spPr>
    </xdr:pic>
    <xdr:clientData/>
  </xdr:twoCellAnchor>
  <xdr:twoCellAnchor>
    <xdr:from>
      <xdr:col>0</xdr:col>
      <xdr:colOff>75008</xdr:colOff>
      <xdr:row>59</xdr:row>
      <xdr:rowOff>133350</xdr:rowOff>
    </xdr:from>
    <xdr:to>
      <xdr:col>1</xdr:col>
      <xdr:colOff>1351358</xdr:colOff>
      <xdr:row>63</xdr:row>
      <xdr:rowOff>85725</xdr:rowOff>
    </xdr:to>
    <xdr:sp macro="" textlink="">
      <xdr:nvSpPr>
        <xdr:cNvPr id="12" name="43 CuadroTexto"/>
        <xdr:cNvSpPr txBox="1"/>
      </xdr:nvSpPr>
      <xdr:spPr>
        <a:xfrm>
          <a:off x="75008" y="9639300"/>
          <a:ext cx="1724025" cy="6000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Calibri" panose="020F0502020204030204"/>
            </a:rPr>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DR. XICOTÉNCATL GONZÁLEZ URESTI</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1363265</xdr:colOff>
      <xdr:row>59</xdr:row>
      <xdr:rowOff>139303</xdr:rowOff>
    </xdr:from>
    <xdr:to>
      <xdr:col>2</xdr:col>
      <xdr:colOff>617933</xdr:colOff>
      <xdr:row>63</xdr:row>
      <xdr:rowOff>158353</xdr:rowOff>
    </xdr:to>
    <xdr:sp macro="" textlink="">
      <xdr:nvSpPr>
        <xdr:cNvPr id="13" name="44 CuadroTexto"/>
        <xdr:cNvSpPr txBox="1"/>
      </xdr:nvSpPr>
      <xdr:spPr>
        <a:xfrm>
          <a:off x="1810940" y="9645253"/>
          <a:ext cx="1664493" cy="6667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Calibri" panose="020F0502020204030204"/>
            </a:rPr>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LAP. JOSÉ ALFREDO PEÑA RODRÍGUEZ</a:t>
          </a:r>
        </a:p>
      </xdr:txBody>
    </xdr:sp>
    <xdr:clientData/>
  </xdr:twoCellAnchor>
  <xdr:twoCellAnchor>
    <xdr:from>
      <xdr:col>2</xdr:col>
      <xdr:colOff>572689</xdr:colOff>
      <xdr:row>59</xdr:row>
      <xdr:rowOff>139304</xdr:rowOff>
    </xdr:from>
    <xdr:to>
      <xdr:col>4</xdr:col>
      <xdr:colOff>751283</xdr:colOff>
      <xdr:row>63</xdr:row>
      <xdr:rowOff>63104</xdr:rowOff>
    </xdr:to>
    <xdr:sp macro="" textlink="">
      <xdr:nvSpPr>
        <xdr:cNvPr id="14" name="45 CuadroTexto"/>
        <xdr:cNvSpPr txBox="1"/>
      </xdr:nvSpPr>
      <xdr:spPr>
        <a:xfrm>
          <a:off x="3430189" y="9645254"/>
          <a:ext cx="1893094" cy="5715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SINDICO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mn-lt"/>
              <a:cs typeface="Arial" pitchFamily="34" charset="0"/>
            </a:rPr>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LIC. FRIDA PATRICIA ESCOBAR ORTIZ</a:t>
          </a:r>
        </a:p>
      </xdr:txBody>
    </xdr:sp>
    <xdr:clientData/>
  </xdr:twoCellAnchor>
  <xdr:twoCellAnchor>
    <xdr:from>
      <xdr:col>4</xdr:col>
      <xdr:colOff>694133</xdr:colOff>
      <xdr:row>59</xdr:row>
      <xdr:rowOff>133350</xdr:rowOff>
    </xdr:from>
    <xdr:to>
      <xdr:col>6</xdr:col>
      <xdr:colOff>844152</xdr:colOff>
      <xdr:row>63</xdr:row>
      <xdr:rowOff>66675</xdr:rowOff>
    </xdr:to>
    <xdr:sp macro="" textlink="">
      <xdr:nvSpPr>
        <xdr:cNvPr id="15" name="46 CuadroTexto"/>
        <xdr:cNvSpPr txBox="1"/>
      </xdr:nvSpPr>
      <xdr:spPr>
        <a:xfrm>
          <a:off x="5266133" y="9639300"/>
          <a:ext cx="1883569" cy="5810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Calibri" panose="020F0502020204030204"/>
            </a:rPr>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C.P. NORA ROSALVA CEPEDA GUERRERO</a:t>
          </a:r>
        </a:p>
      </xdr:txBody>
    </xdr:sp>
    <xdr:clientData/>
  </xdr:twoCellAnchor>
</xdr:wsDr>
</file>

<file path=xl/drawings/drawing38.xml><?xml version="1.0" encoding="utf-8"?>
<xdr:wsDr xmlns:xdr="http://schemas.openxmlformats.org/drawingml/2006/spreadsheetDrawing" xmlns:a="http://schemas.openxmlformats.org/drawingml/2006/main">
  <xdr:oneCellAnchor>
    <xdr:from>
      <xdr:col>0</xdr:col>
      <xdr:colOff>295275</xdr:colOff>
      <xdr:row>0</xdr:row>
      <xdr:rowOff>133350</xdr:rowOff>
    </xdr:from>
    <xdr:ext cx="1390650" cy="590550"/>
    <xdr:pic>
      <xdr:nvPicPr>
        <xdr:cNvPr id="2" name="Imagen 2" descr="https://attachment.outlook.live.net/owa/fcojavier821@hotmail.com/service.svc/s/GetAttachmentThumbnail?id=AQMkADAwATYwMAItYzRkMC1kMDViLTAwAi0wMAoARgAAA1JFZ70oIGVIoWzLdokylbIHAJpt9UZ5M%2BNEqEdUWqcw8hMAAAIBDAAAAJpt9UZ5M%2BNEqEdUWqcw8hMAAjNGpogAAAABEgAQAB%2Bw9sPlBB1OjWr6dr4RhP8%3D&amp;thumbnailType=2&amp;owa=outlook.live.com&amp;scriptVer=20181029.03&amp;isc=1&amp;X-OWA-CANARY=kJzgrriigEy--u1UAzOot1AUR-omRNYY971ZCMk42y1C4S6AoTRwkGAj7NiklmCKi_lC-IgCKDk.&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yMzksImV4cCI6MTU0MTUzNjgzOSwiaXNzIjoiMDAwMDAwMDItMDAwMC0wZmYxLWNlMDAtMDAwMDAwMDAwMDAwQDg0ZGY5ZTdmLWU5ZjYtNDBhZi1iNDM1LWFhYWFhYWFhYWFhYSIsImF1ZCI6IjAwMDAwMDAyLTAwMDAtMGZmMS1jZTAwLTAwMDAwMDAwMDAwMC9hdHRhY2htZW50Lm91dGxvb2subGl2ZS5uZXRAODRkZjllN2YtZTlmNi00MGFmLWI0MzUtYWFhYWFhYWFhYWFhIn0.JwvhjZdiSxYrslDQdsoQqWkYFxFh0BJ3dIgHdaaeHvRtr6HVz5ZMpXsO2LHtGoZZkmQPiCg7scq1ihog4bxTCrZCoGh1WNTXSwSmelqPUOByCwrWsff5FrryHWhudg-RhfQ3vye5cEf9aitgvo-oc_5nRVP7Hjg1TASpJFXOIyYauQqbjOMakLFsA3lRsNv7uqnilwkWaUTKOKvx-5dkaV2ksCWj_ubSAtZXIYyM64QwhygyLUFAiWbxut7Kuq5pTibG6iOB-XonB3nxsqnM-3rEjDQSoM6F_n8c9WzwOc25GoqkSidI3jk7NnP0gggeuuu2I-ivbZF_flmSsyqHrA&amp;animation=tru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5275" y="133350"/>
          <a:ext cx="13906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4638675</xdr:colOff>
      <xdr:row>1</xdr:row>
      <xdr:rowOff>19050</xdr:rowOff>
    </xdr:from>
    <xdr:ext cx="1150471" cy="523875"/>
    <xdr:pic>
      <xdr:nvPicPr>
        <xdr:cNvPr id="3" name="Imagen 4" descr="https://attachment.outlook.live.net/owa/fcojavier821@hotmail.com/service.svc/s/GetAttachmentThumbnail?id=AQMkADAwATYwMAItYzRkMC1kMDViLTAwAi0wMAoARgAAA1JFZ70oIGVIoWzLdokylbIHAJpt9UZ5M%2BNEqEdUWqcw8hMAAAIBDAAAAJpt9UZ5M%2BNEqEdUWqcw8hMAAjNGpooAAAABEgAQADMvWiaSOA9EgjOgE2vbmj0%3D&amp;thumbnailType=2&amp;owa=outlook.live.com&amp;scriptVer=20181029.03&amp;isc=1&amp;X-OWA-CANARY=ku19zjEpfU68bO-CVi7seyDd-WknRNYYoPhH8rQrJZsZKOUcgNcdVoA8tTb1j_Xoqv80AMtuQAs.&amp;token=eyJhbGciOiJSUzI1NiIsImtpZCI6IjA2MDBGOUY2NzQ2MjA3MzdFNzM0MDRFMjg3QzQ1QTgxOENCN0NFQjgiLCJ4NXQiOiJCZ0Q1OW5SaUJ6Zm5OQVRpaDhSYWdZeTN6cmciLCJ0eXAiOiJKV1QifQ.eyJ2ZXIiOiJFeGNoYW5nZS5DYWxsYmFjay5WMSIsImFwcGN0eHNlbmRlciI6Ik93YURvd25sb2FkQDg0ZGY5ZTdmLWU5ZjYtNDBhZi1iNDM1LWFhYWFhYWFhYWFhYSIsImFwcGN0eCI6IntcIm1zZXhjaHByb3RcIjpcIm93YVwiLFwicHJpbWFyeXNpZFwiOlwiUy0xLTI4MjctMzkzMjE2LTMzMDIwMTkxNjNcIixcInB1aWRcIjpcIjE2ODg4NTMxNjIyODMwOTlcIixcIm9pZFwiOlwiMDAwNjAwMDAtYzRkMC1kMDViLTAwMDAtMDAwMDAwMDAwMDAwXCIsXCJzY29wZVwiOlwiT3dhRG93bmxvYWRcIn0iLCJuYmYiOjE1NDE1MzY1MzksImV4cCI6MTU0MTUzNzEzOSwiaXNzIjoiMDAwMDAwMDItMDAwMC0wZmYxLWNlMDAtMDAwMDAwMDAwMDAwQDg0ZGY5ZTdmLWU5ZjYtNDBhZi1iNDM1LWFhYWFhYWFhYWFhYSIsImF1ZCI6IjAwMDAwMDAyLTAwMDAtMGZmMS1jZTAwLTAwMDAwMDAwMDAwMC9hdHRhY2htZW50Lm91dGxvb2subGl2ZS5uZXRAODRkZjllN2YtZTlmNi00MGFmLWI0MzUtYWFhYWFhYWFhYWFhIn0.JGcwopK8VITLubPlUT4Zsl8llWlPQFI12qc7rsXdR1ZQemOUjPm80bUwC2ulZSZH4S3Riq4vOWNgJTztVFj-20QqlYvh4wXe5xzl5UJhAtizgMH5BBi-NJU0_8qvpJdvdx3w_mWOW41ff_dQRsMlkrWCXUw92oVVQbrSrbB0TjZDac_y4lZKekgb-QtZpzXQ4Bd2MVW4_-Yxu15upJMBworIq7HpU1sTCFx1PzX8uDRKXF9_YQM8rfHn8P0SN6m3ghY_Ne8QvGE4jL-cgcwmjM3P2vPO99MHKIZ0_3IW8-VhxiMmOHXz0FJYKr492JwDCXVsizvXoENIFBKiNasslw&amp;animation=tru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0" y="209550"/>
          <a:ext cx="1150471"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157</xdr:row>
      <xdr:rowOff>38101</xdr:rowOff>
    </xdr:from>
    <xdr:to>
      <xdr:col>1</xdr:col>
      <xdr:colOff>702128</xdr:colOff>
      <xdr:row>158</xdr:row>
      <xdr:rowOff>316028</xdr:rowOff>
    </xdr:to>
    <xdr:sp macro="" textlink="">
      <xdr:nvSpPr>
        <xdr:cNvPr id="4" name="63 CuadroTexto"/>
        <xdr:cNvSpPr txBox="1"/>
      </xdr:nvSpPr>
      <xdr:spPr>
        <a:xfrm>
          <a:off x="0" y="49862015"/>
          <a:ext cx="1845128" cy="604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_______________________________________</a:t>
          </a:r>
        </a:p>
        <a:p>
          <a:pPr algn="ctr"/>
          <a:r>
            <a:rPr lang="es-MX" sz="600">
              <a:latin typeface="Arial" pitchFamily="34" charset="0"/>
              <a:cs typeface="Arial" pitchFamily="34" charset="0"/>
            </a:rPr>
            <a:t>DR. XICOTÉNCATL GONZÁLEZ URESTI</a:t>
          </a:r>
        </a:p>
      </xdr:txBody>
    </xdr:sp>
    <xdr:clientData/>
  </xdr:twoCellAnchor>
  <xdr:twoCellAnchor>
    <xdr:from>
      <xdr:col>1</xdr:col>
      <xdr:colOff>971546</xdr:colOff>
      <xdr:row>157</xdr:row>
      <xdr:rowOff>40821</xdr:rowOff>
    </xdr:from>
    <xdr:to>
      <xdr:col>2</xdr:col>
      <xdr:colOff>1552571</xdr:colOff>
      <xdr:row>159</xdr:row>
      <xdr:rowOff>9525</xdr:rowOff>
    </xdr:to>
    <xdr:sp macro="" textlink="">
      <xdr:nvSpPr>
        <xdr:cNvPr id="5" name="63 CuadroTexto"/>
        <xdr:cNvSpPr txBox="1"/>
      </xdr:nvSpPr>
      <xdr:spPr>
        <a:xfrm>
          <a:off x="2114546" y="49864735"/>
          <a:ext cx="1860096" cy="6218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_______________________________________</a:t>
          </a:r>
        </a:p>
        <a:p>
          <a:pPr algn="ctr"/>
          <a:r>
            <a:rPr lang="es-MX" sz="600">
              <a:latin typeface="Arial" pitchFamily="34" charset="0"/>
              <a:cs typeface="Arial" pitchFamily="34" charset="0"/>
            </a:rPr>
            <a:t>LAP. JOSÉ ALFREDO PEÑA RODRÍGUEZ</a:t>
          </a:r>
        </a:p>
      </xdr:txBody>
    </xdr:sp>
    <xdr:clientData/>
  </xdr:twoCellAnchor>
  <xdr:twoCellAnchor>
    <xdr:from>
      <xdr:col>2</xdr:col>
      <xdr:colOff>1819280</xdr:colOff>
      <xdr:row>157</xdr:row>
      <xdr:rowOff>35378</xdr:rowOff>
    </xdr:from>
    <xdr:to>
      <xdr:col>2</xdr:col>
      <xdr:colOff>3714755</xdr:colOff>
      <xdr:row>159</xdr:row>
      <xdr:rowOff>54428</xdr:rowOff>
    </xdr:to>
    <xdr:sp macro="" textlink="">
      <xdr:nvSpPr>
        <xdr:cNvPr id="6" name="63 CuadroTexto"/>
        <xdr:cNvSpPr txBox="1"/>
      </xdr:nvSpPr>
      <xdr:spPr>
        <a:xfrm>
          <a:off x="4241351" y="49859292"/>
          <a:ext cx="1895475" cy="6721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_______________________________________</a:t>
          </a:r>
        </a:p>
        <a:p>
          <a:pPr algn="ctr"/>
          <a:r>
            <a:rPr lang="es-MX" sz="600">
              <a:latin typeface="Arial" pitchFamily="34" charset="0"/>
              <a:cs typeface="Arial" pitchFamily="34" charset="0"/>
            </a:rPr>
            <a:t>LIC. FRIDA PATRICIA ESCOBAR ORTIZ</a:t>
          </a:r>
        </a:p>
      </xdr:txBody>
    </xdr:sp>
    <xdr:clientData/>
  </xdr:twoCellAnchor>
  <xdr:twoCellAnchor>
    <xdr:from>
      <xdr:col>2</xdr:col>
      <xdr:colOff>3966482</xdr:colOff>
      <xdr:row>157</xdr:row>
      <xdr:rowOff>47625</xdr:rowOff>
    </xdr:from>
    <xdr:to>
      <xdr:col>3</xdr:col>
      <xdr:colOff>1185182</xdr:colOff>
      <xdr:row>159</xdr:row>
      <xdr:rowOff>142875</xdr:rowOff>
    </xdr:to>
    <xdr:sp macro="" textlink="">
      <xdr:nvSpPr>
        <xdr:cNvPr id="7" name="63 CuadroTexto"/>
        <xdr:cNvSpPr txBox="1"/>
      </xdr:nvSpPr>
      <xdr:spPr>
        <a:xfrm>
          <a:off x="6388553" y="49871539"/>
          <a:ext cx="2019300" cy="7483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_________________________________________</a:t>
          </a:r>
        </a:p>
        <a:p>
          <a:pPr algn="ctr"/>
          <a:r>
            <a:rPr lang="es-MX" sz="600">
              <a:latin typeface="Arial" pitchFamily="34" charset="0"/>
              <a:cs typeface="Arial" pitchFamily="34" charset="0"/>
            </a:rPr>
            <a:t>C.P. NORA ROSALVA CEPEDA GUERRERO</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1649017</xdr:colOff>
      <xdr:row>43</xdr:row>
      <xdr:rowOff>143336</xdr:rowOff>
    </xdr:from>
    <xdr:to>
      <xdr:col>0</xdr:col>
      <xdr:colOff>3321051</xdr:colOff>
      <xdr:row>47</xdr:row>
      <xdr:rowOff>5140</xdr:rowOff>
    </xdr:to>
    <xdr:sp macro="" textlink="">
      <xdr:nvSpPr>
        <xdr:cNvPr id="10" name="8 CuadroTexto"/>
        <xdr:cNvSpPr txBox="1"/>
      </xdr:nvSpPr>
      <xdr:spPr>
        <a:xfrm>
          <a:off x="1649017" y="8334836"/>
          <a:ext cx="1672034" cy="6238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LAP. JOSÉ ALFREDO PEÑA RODRÍGUEZ</a:t>
          </a:r>
        </a:p>
      </xdr:txBody>
    </xdr:sp>
    <xdr:clientData/>
  </xdr:twoCellAnchor>
  <xdr:twoCellAnchor>
    <xdr:from>
      <xdr:col>0</xdr:col>
      <xdr:colOff>5101828</xdr:colOff>
      <xdr:row>43</xdr:row>
      <xdr:rowOff>158595</xdr:rowOff>
    </xdr:from>
    <xdr:to>
      <xdr:col>2</xdr:col>
      <xdr:colOff>990845</xdr:colOff>
      <xdr:row>47</xdr:row>
      <xdr:rowOff>1466</xdr:rowOff>
    </xdr:to>
    <xdr:sp macro="" textlink="">
      <xdr:nvSpPr>
        <xdr:cNvPr id="11" name="10 CuadroTexto"/>
        <xdr:cNvSpPr txBox="1"/>
      </xdr:nvSpPr>
      <xdr:spPr>
        <a:xfrm>
          <a:off x="5101828" y="8350095"/>
          <a:ext cx="1770705" cy="6048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C.P. NORA ROSALVA CEPEDA GUERRERO</a:t>
          </a:r>
        </a:p>
      </xdr:txBody>
    </xdr:sp>
    <xdr:clientData/>
  </xdr:twoCellAnchor>
  <xdr:twoCellAnchor>
    <xdr:from>
      <xdr:col>0</xdr:col>
      <xdr:colOff>0</xdr:colOff>
      <xdr:row>43</xdr:row>
      <xdr:rowOff>153672</xdr:rowOff>
    </xdr:from>
    <xdr:to>
      <xdr:col>0</xdr:col>
      <xdr:colOff>1678781</xdr:colOff>
      <xdr:row>47</xdr:row>
      <xdr:rowOff>19665</xdr:rowOff>
    </xdr:to>
    <xdr:sp macro="" textlink="">
      <xdr:nvSpPr>
        <xdr:cNvPr id="12" name="14 CuadroTexto"/>
        <xdr:cNvSpPr txBox="1"/>
      </xdr:nvSpPr>
      <xdr:spPr>
        <a:xfrm>
          <a:off x="0" y="8345172"/>
          <a:ext cx="1678781" cy="6279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DR. XICOTÉNCATL GONZÁLEZ URESTI</a:t>
          </a:r>
        </a:p>
      </xdr:txBody>
    </xdr:sp>
    <xdr:clientData/>
  </xdr:twoCellAnchor>
  <xdr:twoCellAnchor>
    <xdr:from>
      <xdr:col>0</xdr:col>
      <xdr:colOff>3319465</xdr:colOff>
      <xdr:row>43</xdr:row>
      <xdr:rowOff>152300</xdr:rowOff>
    </xdr:from>
    <xdr:to>
      <xdr:col>1</xdr:col>
      <xdr:colOff>10140</xdr:colOff>
      <xdr:row>46</xdr:row>
      <xdr:rowOff>176605</xdr:rowOff>
    </xdr:to>
    <xdr:sp macro="" textlink="">
      <xdr:nvSpPr>
        <xdr:cNvPr id="13" name="16 CuadroTexto"/>
        <xdr:cNvSpPr txBox="1"/>
      </xdr:nvSpPr>
      <xdr:spPr>
        <a:xfrm>
          <a:off x="3319465" y="8343800"/>
          <a:ext cx="1798456"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LIC. FRIDA PATRICIA ESCOBAR ORTIZ</a:t>
          </a:r>
        </a:p>
      </xdr:txBody>
    </xdr:sp>
    <xdr:clientData/>
  </xdr:twoCellAnchor>
  <xdr:twoCellAnchor editAs="oneCell">
    <xdr:from>
      <xdr:col>0</xdr:col>
      <xdr:colOff>41671</xdr:colOff>
      <xdr:row>0</xdr:row>
      <xdr:rowOff>152400</xdr:rowOff>
    </xdr:from>
    <xdr:to>
      <xdr:col>0</xdr:col>
      <xdr:colOff>1364455</xdr:colOff>
      <xdr:row>4</xdr:row>
      <xdr:rowOff>111108</xdr:rowOff>
    </xdr:to>
    <xdr:pic>
      <xdr:nvPicPr>
        <xdr:cNvPr id="14" name="Imagen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671" y="152400"/>
          <a:ext cx="1322784" cy="708802"/>
        </a:xfrm>
        <a:prstGeom prst="rect">
          <a:avLst/>
        </a:prstGeom>
      </xdr:spPr>
    </xdr:pic>
    <xdr:clientData/>
  </xdr:twoCellAnchor>
  <xdr:twoCellAnchor editAs="oneCell">
    <xdr:from>
      <xdr:col>1</xdr:col>
      <xdr:colOff>304800</xdr:colOff>
      <xdr:row>1</xdr:row>
      <xdr:rowOff>21431</xdr:rowOff>
    </xdr:from>
    <xdr:to>
      <xdr:col>2</xdr:col>
      <xdr:colOff>944667</xdr:colOff>
      <xdr:row>4</xdr:row>
      <xdr:rowOff>153756</xdr:rowOff>
    </xdr:to>
    <xdr:pic>
      <xdr:nvPicPr>
        <xdr:cNvPr id="15" name="Imagen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12581" y="200025"/>
          <a:ext cx="1413774" cy="7038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869156</xdr:colOff>
      <xdr:row>78</xdr:row>
      <xdr:rowOff>156063</xdr:rowOff>
    </xdr:from>
    <xdr:to>
      <xdr:col>2</xdr:col>
      <xdr:colOff>1359699</xdr:colOff>
      <xdr:row>81</xdr:row>
      <xdr:rowOff>52475</xdr:rowOff>
    </xdr:to>
    <xdr:sp macro="" textlink="">
      <xdr:nvSpPr>
        <xdr:cNvPr id="5" name="15 CuadroTexto"/>
        <xdr:cNvSpPr txBox="1"/>
      </xdr:nvSpPr>
      <xdr:spPr>
        <a:xfrm>
          <a:off x="4935140" y="7704626"/>
          <a:ext cx="1853809" cy="6941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30">
              <a:latin typeface="Arial" pitchFamily="34" charset="0"/>
              <a:cs typeface="Arial" pitchFamily="34" charset="0"/>
            </a:rPr>
            <a:t>CONTRALOR</a:t>
          </a:r>
          <a:r>
            <a:rPr lang="es-MX" sz="630" baseline="0">
              <a:latin typeface="Arial" pitchFamily="34" charset="0"/>
              <a:cs typeface="Arial" pitchFamily="34" charset="0"/>
            </a:rPr>
            <a:t> MUNICIPAL</a:t>
          </a:r>
        </a:p>
        <a:p>
          <a:pPr algn="ctr"/>
          <a:endParaRPr lang="es-MX" sz="630">
            <a:latin typeface="Arial" pitchFamily="34" charset="0"/>
            <a:cs typeface="Arial" pitchFamily="34" charset="0"/>
          </a:endParaRPr>
        </a:p>
        <a:p>
          <a:pPr algn="ctr"/>
          <a:r>
            <a:rPr lang="es-MX" sz="630">
              <a:latin typeface="Arial" pitchFamily="34" charset="0"/>
              <a:cs typeface="Arial" pitchFamily="34" charset="0"/>
            </a:rPr>
            <a:t>_____________________________________</a:t>
          </a:r>
        </a:p>
        <a:p>
          <a:pPr algn="ctr"/>
          <a:r>
            <a:rPr lang="es-MX" sz="630">
              <a:latin typeface="Arial" pitchFamily="34" charset="0"/>
              <a:cs typeface="Arial" pitchFamily="34" charset="0"/>
            </a:rPr>
            <a:t>C.P. NORA ROSALVA CEPEDA GUERRERO</a:t>
          </a:r>
        </a:p>
      </xdr:txBody>
    </xdr:sp>
    <xdr:clientData/>
  </xdr:twoCellAnchor>
  <xdr:twoCellAnchor>
    <xdr:from>
      <xdr:col>0</xdr:col>
      <xdr:colOff>3268267</xdr:colOff>
      <xdr:row>78</xdr:row>
      <xdr:rowOff>158261</xdr:rowOff>
    </xdr:from>
    <xdr:to>
      <xdr:col>1</xdr:col>
      <xdr:colOff>958454</xdr:colOff>
      <xdr:row>81</xdr:row>
      <xdr:rowOff>36479</xdr:rowOff>
    </xdr:to>
    <xdr:sp macro="" textlink="">
      <xdr:nvSpPr>
        <xdr:cNvPr id="4" name="14 CuadroTexto"/>
        <xdr:cNvSpPr txBox="1"/>
      </xdr:nvSpPr>
      <xdr:spPr>
        <a:xfrm>
          <a:off x="3268267" y="7706824"/>
          <a:ext cx="1756171" cy="67593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30">
              <a:latin typeface="Arial" pitchFamily="34" charset="0"/>
              <a:cs typeface="Arial" pitchFamily="34" charset="0"/>
            </a:rPr>
            <a:t>SINDICO</a:t>
          </a:r>
          <a:r>
            <a:rPr lang="es-MX" sz="630" baseline="0">
              <a:latin typeface="Arial" pitchFamily="34" charset="0"/>
              <a:cs typeface="Arial" pitchFamily="34" charset="0"/>
            </a:rPr>
            <a:t> MUNICIPAL</a:t>
          </a:r>
        </a:p>
        <a:p>
          <a:pPr algn="ctr"/>
          <a:endParaRPr lang="es-MX" sz="630" baseline="0">
            <a:latin typeface="Arial" pitchFamily="34" charset="0"/>
            <a:cs typeface="Arial" pitchFamily="34" charset="0"/>
          </a:endParaRPr>
        </a:p>
        <a:p>
          <a:pPr algn="ctr"/>
          <a:r>
            <a:rPr lang="es-MX" sz="630">
              <a:latin typeface="Arial" pitchFamily="34" charset="0"/>
              <a:cs typeface="Arial" pitchFamily="34" charset="0"/>
            </a:rPr>
            <a:t>_________________________________</a:t>
          </a:r>
        </a:p>
        <a:p>
          <a:pPr algn="ctr"/>
          <a:r>
            <a:rPr lang="es-MX" sz="630">
              <a:solidFill>
                <a:schemeClr val="dk1"/>
              </a:solidFill>
              <a:effectLst/>
              <a:latin typeface="Arial" panose="020B0604020202020204" pitchFamily="34" charset="0"/>
              <a:ea typeface="+mn-ea"/>
              <a:cs typeface="Arial" panose="020B0604020202020204" pitchFamily="34" charset="0"/>
            </a:rPr>
            <a:t>LIC. FRIDA PATRICIA ESCOBAR ORTIZ</a:t>
          </a:r>
        </a:p>
      </xdr:txBody>
    </xdr:sp>
    <xdr:clientData/>
  </xdr:twoCellAnchor>
  <xdr:twoCellAnchor>
    <xdr:from>
      <xdr:col>0</xdr:col>
      <xdr:colOff>1562105</xdr:colOff>
      <xdr:row>78</xdr:row>
      <xdr:rowOff>148003</xdr:rowOff>
    </xdr:from>
    <xdr:to>
      <xdr:col>0</xdr:col>
      <xdr:colOff>3392093</xdr:colOff>
      <xdr:row>81</xdr:row>
      <xdr:rowOff>59327</xdr:rowOff>
    </xdr:to>
    <xdr:sp macro="" textlink="">
      <xdr:nvSpPr>
        <xdr:cNvPr id="3" name="13 CuadroTexto"/>
        <xdr:cNvSpPr txBox="1"/>
      </xdr:nvSpPr>
      <xdr:spPr>
        <a:xfrm>
          <a:off x="1562105" y="7696566"/>
          <a:ext cx="1829988" cy="7090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30">
              <a:latin typeface="Arial" pitchFamily="34" charset="0"/>
              <a:cs typeface="Arial" pitchFamily="34" charset="0"/>
            </a:rPr>
            <a:t>TESORERO MUNICIPAL</a:t>
          </a:r>
        </a:p>
        <a:p>
          <a:pPr algn="ctr"/>
          <a:endParaRPr lang="es-MX" sz="630">
            <a:latin typeface="Arial" pitchFamily="34" charset="0"/>
            <a:cs typeface="Arial" pitchFamily="34" charset="0"/>
          </a:endParaRPr>
        </a:p>
        <a:p>
          <a:pPr algn="ctr"/>
          <a:r>
            <a:rPr lang="es-MX" sz="630">
              <a:latin typeface="Arial" pitchFamily="34" charset="0"/>
              <a:cs typeface="Arial" pitchFamily="34" charset="0"/>
            </a:rPr>
            <a:t>____________________________________</a:t>
          </a:r>
        </a:p>
        <a:p>
          <a:pPr algn="ctr"/>
          <a:r>
            <a:rPr lang="es-MX" sz="630">
              <a:solidFill>
                <a:schemeClr val="dk1"/>
              </a:solidFill>
              <a:effectLst/>
              <a:latin typeface="Arial" panose="020B0604020202020204" pitchFamily="34" charset="0"/>
              <a:ea typeface="+mn-ea"/>
              <a:cs typeface="Arial" panose="020B0604020202020204" pitchFamily="34" charset="0"/>
            </a:rPr>
            <a:t>L.A.P. JOSÉ ALFREDO PEÑA RODRÍGUEZ</a:t>
          </a:r>
        </a:p>
      </xdr:txBody>
    </xdr:sp>
    <xdr:clientData/>
  </xdr:twoCellAnchor>
  <xdr:twoCellAnchor>
    <xdr:from>
      <xdr:col>0</xdr:col>
      <xdr:colOff>1</xdr:colOff>
      <xdr:row>78</xdr:row>
      <xdr:rowOff>151209</xdr:rowOff>
    </xdr:from>
    <xdr:to>
      <xdr:col>0</xdr:col>
      <xdr:colOff>1678781</xdr:colOff>
      <xdr:row>81</xdr:row>
      <xdr:rowOff>43482</xdr:rowOff>
    </xdr:to>
    <xdr:sp macro="" textlink="">
      <xdr:nvSpPr>
        <xdr:cNvPr id="2" name="12 CuadroTexto"/>
        <xdr:cNvSpPr txBox="1"/>
      </xdr:nvSpPr>
      <xdr:spPr>
        <a:xfrm>
          <a:off x="1" y="7699772"/>
          <a:ext cx="1678780" cy="6899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30">
              <a:latin typeface="Arial" pitchFamily="34" charset="0"/>
              <a:cs typeface="Arial" pitchFamily="34" charset="0"/>
            </a:rPr>
            <a:t>PRESIDENTE MUNICIPAL</a:t>
          </a:r>
        </a:p>
        <a:p>
          <a:pPr algn="ctr"/>
          <a:endParaRPr lang="es-MX" sz="630">
            <a:latin typeface="Arial" pitchFamily="34" charset="0"/>
            <a:cs typeface="Arial" pitchFamily="34" charset="0"/>
          </a:endParaRPr>
        </a:p>
        <a:p>
          <a:pPr algn="ctr"/>
          <a:r>
            <a:rPr lang="es-MX" sz="630">
              <a:latin typeface="Arial" pitchFamily="34" charset="0"/>
              <a:cs typeface="Arial" pitchFamily="34" charset="0"/>
            </a:rPr>
            <a:t>_________________________________</a:t>
          </a:r>
        </a:p>
        <a:p>
          <a:pPr algn="ctr"/>
          <a:r>
            <a:rPr lang="es-MX" sz="630">
              <a:solidFill>
                <a:schemeClr val="dk1"/>
              </a:solidFill>
              <a:effectLst/>
              <a:latin typeface="Arial" panose="020B0604020202020204" pitchFamily="34" charset="0"/>
              <a:ea typeface="+mn-ea"/>
              <a:cs typeface="Arial" panose="020B0604020202020204" pitchFamily="34" charset="0"/>
            </a:rPr>
            <a:t>DR. XICOTÉNCATL GONZÁLEZ URESTI</a:t>
          </a:r>
        </a:p>
      </xdr:txBody>
    </xdr:sp>
    <xdr:clientData/>
  </xdr:twoCellAnchor>
  <xdr:twoCellAnchor editAs="oneCell">
    <xdr:from>
      <xdr:col>0</xdr:col>
      <xdr:colOff>0</xdr:colOff>
      <xdr:row>0</xdr:row>
      <xdr:rowOff>38101</xdr:rowOff>
    </xdr:from>
    <xdr:to>
      <xdr:col>0</xdr:col>
      <xdr:colOff>1095375</xdr:colOff>
      <xdr:row>3</xdr:row>
      <xdr:rowOff>137828</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1"/>
          <a:ext cx="1095375" cy="585502"/>
        </a:xfrm>
        <a:prstGeom prst="rect">
          <a:avLst/>
        </a:prstGeom>
      </xdr:spPr>
    </xdr:pic>
    <xdr:clientData/>
  </xdr:twoCellAnchor>
  <xdr:twoCellAnchor editAs="oneCell">
    <xdr:from>
      <xdr:col>2</xdr:col>
      <xdr:colOff>114299</xdr:colOff>
      <xdr:row>0</xdr:row>
      <xdr:rowOff>0</xdr:rowOff>
    </xdr:from>
    <xdr:to>
      <xdr:col>2</xdr:col>
      <xdr:colOff>1327036</xdr:colOff>
      <xdr:row>3</xdr:row>
      <xdr:rowOff>118980</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543549" y="0"/>
          <a:ext cx="1212737" cy="60475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1619250</xdr:colOff>
      <xdr:row>49</xdr:row>
      <xdr:rowOff>152861</xdr:rowOff>
    </xdr:from>
    <xdr:to>
      <xdr:col>0</xdr:col>
      <xdr:colOff>3286125</xdr:colOff>
      <xdr:row>53</xdr:row>
      <xdr:rowOff>14665</xdr:rowOff>
    </xdr:to>
    <xdr:sp macro="" textlink="">
      <xdr:nvSpPr>
        <xdr:cNvPr id="2" name="8 CuadroTexto"/>
        <xdr:cNvSpPr txBox="1"/>
      </xdr:nvSpPr>
      <xdr:spPr>
        <a:xfrm>
          <a:off x="762000" y="9487361"/>
          <a:ext cx="0" cy="6238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LAP. JOSÉ ALFREDO PEÑA RODRÍGUEZ</a:t>
          </a:r>
        </a:p>
      </xdr:txBody>
    </xdr:sp>
    <xdr:clientData/>
  </xdr:twoCellAnchor>
  <xdr:twoCellAnchor>
    <xdr:from>
      <xdr:col>1</xdr:col>
      <xdr:colOff>9525</xdr:colOff>
      <xdr:row>49</xdr:row>
      <xdr:rowOff>158595</xdr:rowOff>
    </xdr:from>
    <xdr:to>
      <xdr:col>3</xdr:col>
      <xdr:colOff>245</xdr:colOff>
      <xdr:row>53</xdr:row>
      <xdr:rowOff>1466</xdr:rowOff>
    </xdr:to>
    <xdr:sp macro="" textlink="">
      <xdr:nvSpPr>
        <xdr:cNvPr id="3" name="10 CuadroTexto"/>
        <xdr:cNvSpPr txBox="1"/>
      </xdr:nvSpPr>
      <xdr:spPr>
        <a:xfrm>
          <a:off x="771525" y="9493095"/>
          <a:ext cx="1514720" cy="6048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C.P. NORA ROSALVA CEPEDA GUERRERO</a:t>
          </a:r>
        </a:p>
      </xdr:txBody>
    </xdr:sp>
    <xdr:clientData/>
  </xdr:twoCellAnchor>
  <xdr:twoCellAnchor>
    <xdr:from>
      <xdr:col>0</xdr:col>
      <xdr:colOff>0</xdr:colOff>
      <xdr:row>49</xdr:row>
      <xdr:rowOff>153672</xdr:rowOff>
    </xdr:from>
    <xdr:to>
      <xdr:col>0</xdr:col>
      <xdr:colOff>1666875</xdr:colOff>
      <xdr:row>53</xdr:row>
      <xdr:rowOff>19665</xdr:rowOff>
    </xdr:to>
    <xdr:sp macro="" textlink="">
      <xdr:nvSpPr>
        <xdr:cNvPr id="4" name="14 CuadroTexto"/>
        <xdr:cNvSpPr txBox="1"/>
      </xdr:nvSpPr>
      <xdr:spPr>
        <a:xfrm>
          <a:off x="0" y="9488172"/>
          <a:ext cx="762000" cy="6279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DR. XICOTÉNCATL GONZÁLEZ URESTI</a:t>
          </a:r>
        </a:p>
      </xdr:txBody>
    </xdr:sp>
    <xdr:clientData/>
  </xdr:twoCellAnchor>
  <xdr:twoCellAnchor>
    <xdr:from>
      <xdr:col>0</xdr:col>
      <xdr:colOff>3286126</xdr:colOff>
      <xdr:row>49</xdr:row>
      <xdr:rowOff>158253</xdr:rowOff>
    </xdr:from>
    <xdr:to>
      <xdr:col>0</xdr:col>
      <xdr:colOff>5038726</xdr:colOff>
      <xdr:row>52</xdr:row>
      <xdr:rowOff>182558</xdr:rowOff>
    </xdr:to>
    <xdr:sp macro="" textlink="">
      <xdr:nvSpPr>
        <xdr:cNvPr id="5" name="16 CuadroTexto"/>
        <xdr:cNvSpPr txBox="1"/>
      </xdr:nvSpPr>
      <xdr:spPr>
        <a:xfrm>
          <a:off x="762001" y="9492753"/>
          <a:ext cx="0"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LIC. FRIDA PATRICIA ESCOBAR ORTIZ</a:t>
          </a:r>
        </a:p>
      </xdr:txBody>
    </xdr:sp>
    <xdr:clientData/>
  </xdr:twoCellAnchor>
  <xdr:oneCellAnchor>
    <xdr:from>
      <xdr:col>0</xdr:col>
      <xdr:colOff>0</xdr:colOff>
      <xdr:row>0</xdr:row>
      <xdr:rowOff>152400</xdr:rowOff>
    </xdr:from>
    <xdr:ext cx="1321593" cy="706421"/>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2400"/>
          <a:ext cx="1321593" cy="706421"/>
        </a:xfrm>
        <a:prstGeom prst="rect">
          <a:avLst/>
        </a:prstGeom>
      </xdr:spPr>
    </xdr:pic>
    <xdr:clientData/>
  </xdr:oneCellAnchor>
  <xdr:oneCellAnchor>
    <xdr:from>
      <xdr:col>1</xdr:col>
      <xdr:colOff>466725</xdr:colOff>
      <xdr:row>0</xdr:row>
      <xdr:rowOff>161445</xdr:rowOff>
    </xdr:from>
    <xdr:ext cx="1304925" cy="650727"/>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28725" y="161445"/>
          <a:ext cx="1304925" cy="650727"/>
        </a:xfrm>
        <a:prstGeom prst="rect">
          <a:avLst/>
        </a:prstGeom>
      </xdr:spPr>
    </xdr:pic>
    <xdr:clientData/>
  </xdr:oneCellAnchor>
</xdr:wsDr>
</file>

<file path=xl/drawings/drawing41.xml><?xml version="1.0" encoding="utf-8"?>
<xdr:wsDr xmlns:xdr="http://schemas.openxmlformats.org/drawingml/2006/spreadsheetDrawing" xmlns:a="http://schemas.openxmlformats.org/drawingml/2006/main">
  <xdr:twoCellAnchor>
    <xdr:from>
      <xdr:col>0</xdr:col>
      <xdr:colOff>1733550</xdr:colOff>
      <xdr:row>45</xdr:row>
      <xdr:rowOff>143336</xdr:rowOff>
    </xdr:from>
    <xdr:to>
      <xdr:col>0</xdr:col>
      <xdr:colOff>3400425</xdr:colOff>
      <xdr:row>49</xdr:row>
      <xdr:rowOff>5140</xdr:rowOff>
    </xdr:to>
    <xdr:sp macro="" textlink="">
      <xdr:nvSpPr>
        <xdr:cNvPr id="2" name="8 CuadroTexto"/>
        <xdr:cNvSpPr txBox="1"/>
      </xdr:nvSpPr>
      <xdr:spPr>
        <a:xfrm>
          <a:off x="762000" y="8715836"/>
          <a:ext cx="0" cy="6238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TESORERO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LAP. JOSÉ ALFREDO PEÑA RODRÍGUEZ</a:t>
          </a:r>
        </a:p>
      </xdr:txBody>
    </xdr:sp>
    <xdr:clientData/>
  </xdr:twoCellAnchor>
  <xdr:twoCellAnchor>
    <xdr:from>
      <xdr:col>1</xdr:col>
      <xdr:colOff>111124</xdr:colOff>
      <xdr:row>45</xdr:row>
      <xdr:rowOff>158595</xdr:rowOff>
    </xdr:from>
    <xdr:to>
      <xdr:col>2</xdr:col>
      <xdr:colOff>1009649</xdr:colOff>
      <xdr:row>49</xdr:row>
      <xdr:rowOff>1466</xdr:rowOff>
    </xdr:to>
    <xdr:sp macro="" textlink="">
      <xdr:nvSpPr>
        <xdr:cNvPr id="3" name="10 CuadroTexto"/>
        <xdr:cNvSpPr txBox="1"/>
      </xdr:nvSpPr>
      <xdr:spPr>
        <a:xfrm>
          <a:off x="873124" y="8731095"/>
          <a:ext cx="1412875" cy="6048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CONTRALOR</a:t>
          </a:r>
          <a:r>
            <a:rPr lang="es-MX" sz="600" baseline="0">
              <a:latin typeface="Arial" pitchFamily="34" charset="0"/>
              <a:cs typeface="Arial" pitchFamily="34" charset="0"/>
            </a:rPr>
            <a:t>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_____________________________________</a:t>
          </a:r>
        </a:p>
        <a:p>
          <a:pPr algn="ctr"/>
          <a:r>
            <a:rPr lang="es-MX" sz="600">
              <a:latin typeface="Arial" pitchFamily="34" charset="0"/>
              <a:cs typeface="Arial" pitchFamily="34" charset="0"/>
            </a:rPr>
            <a:t>C.P. NORA ROSALVA CEPEDA GUERRERO</a:t>
          </a:r>
        </a:p>
      </xdr:txBody>
    </xdr:sp>
    <xdr:clientData/>
  </xdr:twoCellAnchor>
  <xdr:twoCellAnchor>
    <xdr:from>
      <xdr:col>0</xdr:col>
      <xdr:colOff>0</xdr:colOff>
      <xdr:row>45</xdr:row>
      <xdr:rowOff>153672</xdr:rowOff>
    </xdr:from>
    <xdr:to>
      <xdr:col>0</xdr:col>
      <xdr:colOff>1685925</xdr:colOff>
      <xdr:row>49</xdr:row>
      <xdr:rowOff>19665</xdr:rowOff>
    </xdr:to>
    <xdr:sp macro="" textlink="">
      <xdr:nvSpPr>
        <xdr:cNvPr id="4" name="14 CuadroTexto"/>
        <xdr:cNvSpPr txBox="1"/>
      </xdr:nvSpPr>
      <xdr:spPr>
        <a:xfrm>
          <a:off x="0" y="8726172"/>
          <a:ext cx="762000" cy="6279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PRESIDENTE MUNICIPAL</a:t>
          </a:r>
        </a:p>
        <a:p>
          <a:pPr algn="ctr"/>
          <a:endParaRPr lang="es-MX" sz="600">
            <a:latin typeface="Arial" pitchFamily="34" charset="0"/>
            <a:cs typeface="Arial" pitchFamily="34" charset="0"/>
          </a:endParaRPr>
        </a:p>
        <a:p>
          <a:pPr algn="ctr"/>
          <a:endParaRPr lang="es-MX" sz="600">
            <a:latin typeface="Arial" pitchFamily="34" charset="0"/>
            <a:cs typeface="Arial" pitchFamily="34" charset="0"/>
          </a:endParaRPr>
        </a:p>
        <a:p>
          <a:pPr algn="ctr"/>
          <a:r>
            <a:rPr lang="es-MX" sz="600">
              <a:latin typeface="Arial" pitchFamily="34" charset="0"/>
              <a:cs typeface="Arial" pitchFamily="34" charset="0"/>
            </a:rPr>
            <a:t>___________________________________</a:t>
          </a:r>
        </a:p>
        <a:p>
          <a:pPr algn="ctr"/>
          <a:r>
            <a:rPr lang="es-MX" sz="600">
              <a:latin typeface="Arial" pitchFamily="34" charset="0"/>
              <a:cs typeface="Arial" pitchFamily="34" charset="0"/>
            </a:rPr>
            <a:t>DR. XICOTÉNCATL GONZÁLEZ URESTI</a:t>
          </a:r>
        </a:p>
      </xdr:txBody>
    </xdr:sp>
    <xdr:clientData/>
  </xdr:twoCellAnchor>
  <xdr:twoCellAnchor>
    <xdr:from>
      <xdr:col>0</xdr:col>
      <xdr:colOff>3429000</xdr:colOff>
      <xdr:row>45</xdr:row>
      <xdr:rowOff>148728</xdr:rowOff>
    </xdr:from>
    <xdr:to>
      <xdr:col>1</xdr:col>
      <xdr:colOff>119675</xdr:colOff>
      <xdr:row>48</xdr:row>
      <xdr:rowOff>173033</xdr:rowOff>
    </xdr:to>
    <xdr:sp macro="" textlink="">
      <xdr:nvSpPr>
        <xdr:cNvPr id="5" name="16 CuadroTexto"/>
        <xdr:cNvSpPr txBox="1"/>
      </xdr:nvSpPr>
      <xdr:spPr>
        <a:xfrm>
          <a:off x="762000" y="8721228"/>
          <a:ext cx="119675"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600">
              <a:latin typeface="Arial" pitchFamily="34" charset="0"/>
              <a:cs typeface="Arial" pitchFamily="34" charset="0"/>
            </a:rPr>
            <a:t>SINDICO</a:t>
          </a:r>
          <a:r>
            <a:rPr lang="es-MX" sz="600" baseline="0">
              <a:latin typeface="Arial" pitchFamily="34" charset="0"/>
              <a:cs typeface="Arial" pitchFamily="34" charset="0"/>
            </a:rPr>
            <a:t> MUNICIPAL</a:t>
          </a:r>
        </a:p>
        <a:p>
          <a:pPr algn="ctr"/>
          <a:endParaRPr lang="es-MX" sz="600" baseline="0">
            <a:latin typeface="Arial" pitchFamily="34" charset="0"/>
            <a:cs typeface="Arial" pitchFamily="34" charset="0"/>
          </a:endParaRPr>
        </a:p>
        <a:p>
          <a:pPr algn="ctr"/>
          <a:endParaRPr lang="es-MX" sz="600" baseline="0">
            <a:latin typeface="Arial" pitchFamily="34" charset="0"/>
            <a:cs typeface="Arial" pitchFamily="34" charset="0"/>
          </a:endParaRPr>
        </a:p>
        <a:p>
          <a:pPr algn="ctr"/>
          <a:r>
            <a:rPr lang="es-MX" sz="600">
              <a:latin typeface="Arial" pitchFamily="34" charset="0"/>
              <a:cs typeface="Arial" pitchFamily="34" charset="0"/>
            </a:rPr>
            <a:t>____________________________________</a:t>
          </a:r>
        </a:p>
        <a:p>
          <a:pPr algn="ctr"/>
          <a:r>
            <a:rPr lang="es-MX" sz="600">
              <a:latin typeface="Arial" pitchFamily="34" charset="0"/>
              <a:cs typeface="Arial" pitchFamily="34" charset="0"/>
            </a:rPr>
            <a:t>LIC. FRIDA PATRICIA ESCOBAR ORTIZ</a:t>
          </a:r>
        </a:p>
      </xdr:txBody>
    </xdr:sp>
    <xdr:clientData/>
  </xdr:twoCellAnchor>
  <xdr:oneCellAnchor>
    <xdr:from>
      <xdr:col>0</xdr:col>
      <xdr:colOff>1</xdr:colOff>
      <xdr:row>0</xdr:row>
      <xdr:rowOff>171451</xdr:rowOff>
    </xdr:from>
    <xdr:ext cx="1238250" cy="661872"/>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171451"/>
          <a:ext cx="1238250" cy="661872"/>
        </a:xfrm>
        <a:prstGeom prst="rect">
          <a:avLst/>
        </a:prstGeom>
      </xdr:spPr>
    </xdr:pic>
    <xdr:clientData/>
  </xdr:oneCellAnchor>
  <xdr:oneCellAnchor>
    <xdr:from>
      <xdr:col>1</xdr:col>
      <xdr:colOff>676275</xdr:colOff>
      <xdr:row>0</xdr:row>
      <xdr:rowOff>133350</xdr:rowOff>
    </xdr:from>
    <xdr:ext cx="1304925" cy="650727"/>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38275" y="133350"/>
          <a:ext cx="1304925" cy="650727"/>
        </a:xfrm>
        <a:prstGeom prst="rect">
          <a:avLst/>
        </a:prstGeom>
      </xdr:spPr>
    </xdr:pic>
    <xdr:clientData/>
  </xdr:oneCellAnchor>
</xdr:wsDr>
</file>

<file path=xl/drawings/drawing42.xml><?xml version="1.0" encoding="utf-8"?>
<xdr:wsDr xmlns:xdr="http://schemas.openxmlformats.org/drawingml/2006/spreadsheetDrawing" xmlns:a="http://schemas.openxmlformats.org/drawingml/2006/main">
  <xdr:twoCellAnchor>
    <xdr:from>
      <xdr:col>3</xdr:col>
      <xdr:colOff>700645</xdr:colOff>
      <xdr:row>39</xdr:row>
      <xdr:rowOff>158253</xdr:rowOff>
    </xdr:from>
    <xdr:to>
      <xdr:col>5</xdr:col>
      <xdr:colOff>687658</xdr:colOff>
      <xdr:row>42</xdr:row>
      <xdr:rowOff>182558</xdr:rowOff>
    </xdr:to>
    <xdr:sp macro="" textlink="">
      <xdr:nvSpPr>
        <xdr:cNvPr id="13" name="16 CuadroTexto"/>
        <xdr:cNvSpPr txBox="1"/>
      </xdr:nvSpPr>
      <xdr:spPr>
        <a:xfrm>
          <a:off x="2986645" y="8749338"/>
          <a:ext cx="1511013"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SINDICO</a:t>
          </a:r>
          <a:r>
            <a:rPr lang="es-MX" sz="550" baseline="0">
              <a:latin typeface="Arial" pitchFamily="34" charset="0"/>
              <a:cs typeface="Arial" pitchFamily="34" charset="0"/>
            </a:rPr>
            <a:t> MUNICIPAL</a:t>
          </a:r>
        </a:p>
        <a:p>
          <a:pPr algn="ctr"/>
          <a:endParaRPr lang="es-MX" sz="550" baseline="0">
            <a:latin typeface="Arial" pitchFamily="34" charset="0"/>
            <a:cs typeface="Arial" pitchFamily="34" charset="0"/>
          </a:endParaRPr>
        </a:p>
        <a:p>
          <a:pPr algn="ctr"/>
          <a:endParaRPr lang="es-MX" sz="550" baseline="0">
            <a:latin typeface="Arial" pitchFamily="34" charset="0"/>
            <a:cs typeface="Arial" pitchFamily="34" charset="0"/>
          </a:endParaRPr>
        </a:p>
        <a:p>
          <a:pPr algn="ctr"/>
          <a:r>
            <a:rPr lang="es-MX" sz="550">
              <a:latin typeface="Arial" pitchFamily="34" charset="0"/>
              <a:cs typeface="Arial" pitchFamily="34" charset="0"/>
            </a:rPr>
            <a:t>__________________________________</a:t>
          </a:r>
        </a:p>
        <a:p>
          <a:pPr algn="ctr"/>
          <a:r>
            <a:rPr lang="es-MX" sz="550">
              <a:latin typeface="Arial" pitchFamily="34" charset="0"/>
              <a:cs typeface="Arial" pitchFamily="34" charset="0"/>
            </a:rPr>
            <a:t>LIC. FRIDA PATRICIA ESCOBAR ORTIZ</a:t>
          </a:r>
        </a:p>
      </xdr:txBody>
    </xdr:sp>
    <xdr:clientData/>
  </xdr:twoCellAnchor>
  <xdr:twoCellAnchor>
    <xdr:from>
      <xdr:col>1</xdr:col>
      <xdr:colOff>738766</xdr:colOff>
      <xdr:row>39</xdr:row>
      <xdr:rowOff>154565</xdr:rowOff>
    </xdr:from>
    <xdr:to>
      <xdr:col>4</xdr:col>
      <xdr:colOff>4646</xdr:colOff>
      <xdr:row>42</xdr:row>
      <xdr:rowOff>185854</xdr:rowOff>
    </xdr:to>
    <xdr:sp macro="" textlink="">
      <xdr:nvSpPr>
        <xdr:cNvPr id="10" name="8 CuadroTexto"/>
        <xdr:cNvSpPr txBox="1"/>
      </xdr:nvSpPr>
      <xdr:spPr>
        <a:xfrm>
          <a:off x="1500766" y="8745650"/>
          <a:ext cx="1551880" cy="602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TESORERO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LAP. JOSÉ ALFREDO PEÑA RODRÍGUEZ</a:t>
          </a:r>
        </a:p>
      </xdr:txBody>
    </xdr:sp>
    <xdr:clientData/>
  </xdr:twoCellAnchor>
  <xdr:twoCellAnchor>
    <xdr:from>
      <xdr:col>5</xdr:col>
      <xdr:colOff>637011</xdr:colOff>
      <xdr:row>39</xdr:row>
      <xdr:rowOff>158595</xdr:rowOff>
    </xdr:from>
    <xdr:to>
      <xdr:col>7</xdr:col>
      <xdr:colOff>748059</xdr:colOff>
      <xdr:row>42</xdr:row>
      <xdr:rowOff>190500</xdr:rowOff>
    </xdr:to>
    <xdr:sp macro="" textlink="">
      <xdr:nvSpPr>
        <xdr:cNvPr id="11" name="10 CuadroTexto"/>
        <xdr:cNvSpPr txBox="1"/>
      </xdr:nvSpPr>
      <xdr:spPr>
        <a:xfrm>
          <a:off x="4447011" y="8749680"/>
          <a:ext cx="1635048" cy="603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CONTRALOR</a:t>
          </a:r>
          <a:r>
            <a:rPr lang="es-MX" sz="550" baseline="0">
              <a:latin typeface="Arial" pitchFamily="34" charset="0"/>
              <a:cs typeface="Arial" pitchFamily="34" charset="0"/>
            </a:rPr>
            <a:t>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_____________________________________</a:t>
          </a:r>
        </a:p>
        <a:p>
          <a:pPr algn="ctr"/>
          <a:r>
            <a:rPr lang="es-MX" sz="550">
              <a:latin typeface="Arial" pitchFamily="34" charset="0"/>
              <a:cs typeface="Arial" pitchFamily="34" charset="0"/>
            </a:rPr>
            <a:t>C.P. NORA ROSALVA CEPEDA GUERRERO</a:t>
          </a:r>
        </a:p>
      </xdr:txBody>
    </xdr:sp>
    <xdr:clientData/>
  </xdr:twoCellAnchor>
  <xdr:twoCellAnchor>
    <xdr:from>
      <xdr:col>0</xdr:col>
      <xdr:colOff>1</xdr:colOff>
      <xdr:row>39</xdr:row>
      <xdr:rowOff>153672</xdr:rowOff>
    </xdr:from>
    <xdr:to>
      <xdr:col>2</xdr:col>
      <xdr:colOff>32524</xdr:colOff>
      <xdr:row>42</xdr:row>
      <xdr:rowOff>190500</xdr:rowOff>
    </xdr:to>
    <xdr:sp macro="" textlink="">
      <xdr:nvSpPr>
        <xdr:cNvPr id="12" name="14 CuadroTexto"/>
        <xdr:cNvSpPr txBox="1"/>
      </xdr:nvSpPr>
      <xdr:spPr>
        <a:xfrm>
          <a:off x="1" y="8744757"/>
          <a:ext cx="1556523" cy="608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PRESIDENTE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DR. XICOTÉNCATL GONZÁLEZ URESTI</a:t>
          </a:r>
        </a:p>
      </xdr:txBody>
    </xdr:sp>
    <xdr:clientData/>
  </xdr:twoCellAnchor>
  <xdr:twoCellAnchor editAs="oneCell">
    <xdr:from>
      <xdr:col>0</xdr:col>
      <xdr:colOff>17860</xdr:colOff>
      <xdr:row>0</xdr:row>
      <xdr:rowOff>35717</xdr:rowOff>
    </xdr:from>
    <xdr:to>
      <xdr:col>1</xdr:col>
      <xdr:colOff>360790</xdr:colOff>
      <xdr:row>3</xdr:row>
      <xdr:rowOff>53577</xdr:rowOff>
    </xdr:to>
    <xdr:pic>
      <xdr:nvPicPr>
        <xdr:cNvPr id="22" name="Imagen 2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60" y="35717"/>
          <a:ext cx="1104930" cy="589360"/>
        </a:xfrm>
        <a:prstGeom prst="rect">
          <a:avLst/>
        </a:prstGeom>
      </xdr:spPr>
    </xdr:pic>
    <xdr:clientData/>
  </xdr:twoCellAnchor>
  <xdr:twoCellAnchor editAs="oneCell">
    <xdr:from>
      <xdr:col>6</xdr:col>
      <xdr:colOff>236780</xdr:colOff>
      <xdr:row>0</xdr:row>
      <xdr:rowOff>34621</xdr:rowOff>
    </xdr:from>
    <xdr:to>
      <xdr:col>7</xdr:col>
      <xdr:colOff>728461</xdr:colOff>
      <xdr:row>3</xdr:row>
      <xdr:rowOff>85220</xdr:rowOff>
    </xdr:to>
    <xdr:pic>
      <xdr:nvPicPr>
        <xdr:cNvPr id="23" name="Imagen 2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08780" y="34621"/>
          <a:ext cx="1253681" cy="622099"/>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19050</xdr:colOff>
      <xdr:row>0</xdr:row>
      <xdr:rowOff>29671</xdr:rowOff>
    </xdr:from>
    <xdr:to>
      <xdr:col>1</xdr:col>
      <xdr:colOff>361980</xdr:colOff>
      <xdr:row>3</xdr:row>
      <xdr:rowOff>47531</xdr:rowOff>
    </xdr:to>
    <xdr:pic>
      <xdr:nvPicPr>
        <xdr:cNvPr id="14" name="Imagen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29671"/>
          <a:ext cx="1104930" cy="589360"/>
        </a:xfrm>
        <a:prstGeom prst="rect">
          <a:avLst/>
        </a:prstGeom>
      </xdr:spPr>
    </xdr:pic>
    <xdr:clientData/>
  </xdr:twoCellAnchor>
  <xdr:twoCellAnchor editAs="oneCell">
    <xdr:from>
      <xdr:col>6</xdr:col>
      <xdr:colOff>237970</xdr:colOff>
      <xdr:row>0</xdr:row>
      <xdr:rowOff>28575</xdr:rowOff>
    </xdr:from>
    <xdr:to>
      <xdr:col>7</xdr:col>
      <xdr:colOff>729651</xdr:colOff>
      <xdr:row>3</xdr:row>
      <xdr:rowOff>79174</xdr:rowOff>
    </xdr:to>
    <xdr:pic>
      <xdr:nvPicPr>
        <xdr:cNvPr id="15" name="Imagen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09970" y="28575"/>
          <a:ext cx="1253681" cy="622099"/>
        </a:xfrm>
        <a:prstGeom prst="rect">
          <a:avLst/>
        </a:prstGeom>
      </xdr:spPr>
    </xdr:pic>
    <xdr:clientData/>
  </xdr:twoCellAnchor>
  <xdr:twoCellAnchor>
    <xdr:from>
      <xdr:col>3</xdr:col>
      <xdr:colOff>700645</xdr:colOff>
      <xdr:row>31</xdr:row>
      <xdr:rowOff>158253</xdr:rowOff>
    </xdr:from>
    <xdr:to>
      <xdr:col>5</xdr:col>
      <xdr:colOff>687658</xdr:colOff>
      <xdr:row>34</xdr:row>
      <xdr:rowOff>182558</xdr:rowOff>
    </xdr:to>
    <xdr:sp macro="" textlink="">
      <xdr:nvSpPr>
        <xdr:cNvPr id="16" name="16 CuadroTexto"/>
        <xdr:cNvSpPr txBox="1"/>
      </xdr:nvSpPr>
      <xdr:spPr>
        <a:xfrm>
          <a:off x="2986645" y="8749803"/>
          <a:ext cx="1511013"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SINDICO</a:t>
          </a:r>
          <a:r>
            <a:rPr lang="es-MX" sz="550" baseline="0">
              <a:latin typeface="Arial" pitchFamily="34" charset="0"/>
              <a:cs typeface="Arial" pitchFamily="34" charset="0"/>
            </a:rPr>
            <a:t> MUNICIPAL</a:t>
          </a:r>
        </a:p>
        <a:p>
          <a:pPr algn="ctr"/>
          <a:endParaRPr lang="es-MX" sz="550" baseline="0">
            <a:latin typeface="Arial" pitchFamily="34" charset="0"/>
            <a:cs typeface="Arial" pitchFamily="34" charset="0"/>
          </a:endParaRPr>
        </a:p>
        <a:p>
          <a:pPr algn="ctr"/>
          <a:endParaRPr lang="es-MX" sz="550" baseline="0">
            <a:latin typeface="Arial" pitchFamily="34" charset="0"/>
            <a:cs typeface="Arial" pitchFamily="34" charset="0"/>
          </a:endParaRPr>
        </a:p>
        <a:p>
          <a:pPr algn="ctr"/>
          <a:r>
            <a:rPr lang="es-MX" sz="550">
              <a:latin typeface="Arial" pitchFamily="34" charset="0"/>
              <a:cs typeface="Arial" pitchFamily="34" charset="0"/>
            </a:rPr>
            <a:t>__________________________________</a:t>
          </a:r>
        </a:p>
        <a:p>
          <a:pPr algn="ctr"/>
          <a:r>
            <a:rPr lang="es-MX" sz="550">
              <a:latin typeface="Arial" pitchFamily="34" charset="0"/>
              <a:cs typeface="Arial" pitchFamily="34" charset="0"/>
            </a:rPr>
            <a:t>LIC. FRIDA PATRICIA ESCOBAR ORTIZ</a:t>
          </a:r>
        </a:p>
      </xdr:txBody>
    </xdr:sp>
    <xdr:clientData/>
  </xdr:twoCellAnchor>
  <xdr:twoCellAnchor>
    <xdr:from>
      <xdr:col>1</xdr:col>
      <xdr:colOff>738766</xdr:colOff>
      <xdr:row>31</xdr:row>
      <xdr:rowOff>154565</xdr:rowOff>
    </xdr:from>
    <xdr:to>
      <xdr:col>4</xdr:col>
      <xdr:colOff>4646</xdr:colOff>
      <xdr:row>34</xdr:row>
      <xdr:rowOff>185854</xdr:rowOff>
    </xdr:to>
    <xdr:sp macro="" textlink="">
      <xdr:nvSpPr>
        <xdr:cNvPr id="17" name="8 CuadroTexto"/>
        <xdr:cNvSpPr txBox="1"/>
      </xdr:nvSpPr>
      <xdr:spPr>
        <a:xfrm>
          <a:off x="1500766" y="8746115"/>
          <a:ext cx="1551880" cy="602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TESORERO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LAP. JOSÉ ALFREDO PEÑA RODRÍGUEZ</a:t>
          </a:r>
        </a:p>
      </xdr:txBody>
    </xdr:sp>
    <xdr:clientData/>
  </xdr:twoCellAnchor>
  <xdr:twoCellAnchor>
    <xdr:from>
      <xdr:col>5</xdr:col>
      <xdr:colOff>637011</xdr:colOff>
      <xdr:row>31</xdr:row>
      <xdr:rowOff>158595</xdr:rowOff>
    </xdr:from>
    <xdr:to>
      <xdr:col>7</xdr:col>
      <xdr:colOff>748059</xdr:colOff>
      <xdr:row>34</xdr:row>
      <xdr:rowOff>190500</xdr:rowOff>
    </xdr:to>
    <xdr:sp macro="" textlink="">
      <xdr:nvSpPr>
        <xdr:cNvPr id="18" name="10 CuadroTexto"/>
        <xdr:cNvSpPr txBox="1"/>
      </xdr:nvSpPr>
      <xdr:spPr>
        <a:xfrm>
          <a:off x="4447011" y="8750145"/>
          <a:ext cx="1635048" cy="603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CONTRALOR</a:t>
          </a:r>
          <a:r>
            <a:rPr lang="es-MX" sz="550" baseline="0">
              <a:latin typeface="Arial" pitchFamily="34" charset="0"/>
              <a:cs typeface="Arial" pitchFamily="34" charset="0"/>
            </a:rPr>
            <a:t>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_____________________________________</a:t>
          </a:r>
        </a:p>
        <a:p>
          <a:pPr algn="ctr"/>
          <a:r>
            <a:rPr lang="es-MX" sz="550">
              <a:latin typeface="Arial" pitchFamily="34" charset="0"/>
              <a:cs typeface="Arial" pitchFamily="34" charset="0"/>
            </a:rPr>
            <a:t>C.P. NORA ROSALVA CEPEDA GUERRERO</a:t>
          </a:r>
        </a:p>
      </xdr:txBody>
    </xdr:sp>
    <xdr:clientData/>
  </xdr:twoCellAnchor>
  <xdr:twoCellAnchor>
    <xdr:from>
      <xdr:col>0</xdr:col>
      <xdr:colOff>1</xdr:colOff>
      <xdr:row>31</xdr:row>
      <xdr:rowOff>153672</xdr:rowOff>
    </xdr:from>
    <xdr:to>
      <xdr:col>2</xdr:col>
      <xdr:colOff>32524</xdr:colOff>
      <xdr:row>34</xdr:row>
      <xdr:rowOff>190500</xdr:rowOff>
    </xdr:to>
    <xdr:sp macro="" textlink="">
      <xdr:nvSpPr>
        <xdr:cNvPr id="19" name="14 CuadroTexto"/>
        <xdr:cNvSpPr txBox="1"/>
      </xdr:nvSpPr>
      <xdr:spPr>
        <a:xfrm>
          <a:off x="1" y="8745222"/>
          <a:ext cx="1556523" cy="608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PRESIDENTE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DR. XICOTÉNCATL GONZÁLEZ URESTI</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3</xdr:col>
      <xdr:colOff>700645</xdr:colOff>
      <xdr:row>39</xdr:row>
      <xdr:rowOff>158253</xdr:rowOff>
    </xdr:from>
    <xdr:to>
      <xdr:col>5</xdr:col>
      <xdr:colOff>687658</xdr:colOff>
      <xdr:row>42</xdr:row>
      <xdr:rowOff>182558</xdr:rowOff>
    </xdr:to>
    <xdr:sp macro="" textlink="">
      <xdr:nvSpPr>
        <xdr:cNvPr id="14" name="16 CuadroTexto"/>
        <xdr:cNvSpPr txBox="1"/>
      </xdr:nvSpPr>
      <xdr:spPr>
        <a:xfrm>
          <a:off x="2986645" y="8749803"/>
          <a:ext cx="1511013"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SINDICO</a:t>
          </a:r>
          <a:r>
            <a:rPr lang="es-MX" sz="550" baseline="0">
              <a:latin typeface="Arial" pitchFamily="34" charset="0"/>
              <a:cs typeface="Arial" pitchFamily="34" charset="0"/>
            </a:rPr>
            <a:t> MUNICIPAL</a:t>
          </a:r>
        </a:p>
        <a:p>
          <a:pPr algn="ctr"/>
          <a:endParaRPr lang="es-MX" sz="550" baseline="0">
            <a:latin typeface="Arial" pitchFamily="34" charset="0"/>
            <a:cs typeface="Arial" pitchFamily="34" charset="0"/>
          </a:endParaRPr>
        </a:p>
        <a:p>
          <a:pPr algn="ctr"/>
          <a:endParaRPr lang="es-MX" sz="550" baseline="0">
            <a:latin typeface="Arial" pitchFamily="34" charset="0"/>
            <a:cs typeface="Arial" pitchFamily="34" charset="0"/>
          </a:endParaRPr>
        </a:p>
        <a:p>
          <a:pPr algn="ctr"/>
          <a:r>
            <a:rPr lang="es-MX" sz="550">
              <a:latin typeface="Arial" pitchFamily="34" charset="0"/>
              <a:cs typeface="Arial" pitchFamily="34" charset="0"/>
            </a:rPr>
            <a:t>__________________________________</a:t>
          </a:r>
        </a:p>
        <a:p>
          <a:pPr algn="ctr"/>
          <a:r>
            <a:rPr lang="es-MX" sz="550">
              <a:latin typeface="Arial" pitchFamily="34" charset="0"/>
              <a:cs typeface="Arial" pitchFamily="34" charset="0"/>
            </a:rPr>
            <a:t>LIC. FRIDA PATRICIA ESCOBAR ORTIZ</a:t>
          </a:r>
        </a:p>
      </xdr:txBody>
    </xdr:sp>
    <xdr:clientData/>
  </xdr:twoCellAnchor>
  <xdr:twoCellAnchor>
    <xdr:from>
      <xdr:col>1</xdr:col>
      <xdr:colOff>738766</xdr:colOff>
      <xdr:row>39</xdr:row>
      <xdr:rowOff>154565</xdr:rowOff>
    </xdr:from>
    <xdr:to>
      <xdr:col>4</xdr:col>
      <xdr:colOff>4646</xdr:colOff>
      <xdr:row>42</xdr:row>
      <xdr:rowOff>185854</xdr:rowOff>
    </xdr:to>
    <xdr:sp macro="" textlink="">
      <xdr:nvSpPr>
        <xdr:cNvPr id="15" name="8 CuadroTexto"/>
        <xdr:cNvSpPr txBox="1"/>
      </xdr:nvSpPr>
      <xdr:spPr>
        <a:xfrm>
          <a:off x="1500766" y="8746115"/>
          <a:ext cx="1551880" cy="602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TESORERO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LAP. JOSÉ ALFREDO PEÑA RODRÍGUEZ</a:t>
          </a:r>
        </a:p>
      </xdr:txBody>
    </xdr:sp>
    <xdr:clientData/>
  </xdr:twoCellAnchor>
  <xdr:twoCellAnchor>
    <xdr:from>
      <xdr:col>5</xdr:col>
      <xdr:colOff>637011</xdr:colOff>
      <xdr:row>39</xdr:row>
      <xdr:rowOff>158595</xdr:rowOff>
    </xdr:from>
    <xdr:to>
      <xdr:col>7</xdr:col>
      <xdr:colOff>748059</xdr:colOff>
      <xdr:row>42</xdr:row>
      <xdr:rowOff>190500</xdr:rowOff>
    </xdr:to>
    <xdr:sp macro="" textlink="">
      <xdr:nvSpPr>
        <xdr:cNvPr id="16" name="10 CuadroTexto"/>
        <xdr:cNvSpPr txBox="1"/>
      </xdr:nvSpPr>
      <xdr:spPr>
        <a:xfrm>
          <a:off x="4447011" y="8750145"/>
          <a:ext cx="1635048" cy="603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CONTRALOR</a:t>
          </a:r>
          <a:r>
            <a:rPr lang="es-MX" sz="550" baseline="0">
              <a:latin typeface="Arial" pitchFamily="34" charset="0"/>
              <a:cs typeface="Arial" pitchFamily="34" charset="0"/>
            </a:rPr>
            <a:t>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_____________________________________</a:t>
          </a:r>
        </a:p>
        <a:p>
          <a:pPr algn="ctr"/>
          <a:r>
            <a:rPr lang="es-MX" sz="550">
              <a:latin typeface="Arial" pitchFamily="34" charset="0"/>
              <a:cs typeface="Arial" pitchFamily="34" charset="0"/>
            </a:rPr>
            <a:t>C.P. NORA ROSALVA CEPEDA GUERRERO</a:t>
          </a:r>
        </a:p>
      </xdr:txBody>
    </xdr:sp>
    <xdr:clientData/>
  </xdr:twoCellAnchor>
  <xdr:twoCellAnchor>
    <xdr:from>
      <xdr:col>0</xdr:col>
      <xdr:colOff>1</xdr:colOff>
      <xdr:row>39</xdr:row>
      <xdr:rowOff>153672</xdr:rowOff>
    </xdr:from>
    <xdr:to>
      <xdr:col>2</xdr:col>
      <xdr:colOff>32524</xdr:colOff>
      <xdr:row>42</xdr:row>
      <xdr:rowOff>190500</xdr:rowOff>
    </xdr:to>
    <xdr:sp macro="" textlink="">
      <xdr:nvSpPr>
        <xdr:cNvPr id="17" name="14 CuadroTexto"/>
        <xdr:cNvSpPr txBox="1"/>
      </xdr:nvSpPr>
      <xdr:spPr>
        <a:xfrm>
          <a:off x="1" y="8745222"/>
          <a:ext cx="1556523" cy="608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PRESIDENTE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DR. XICOTÉNCATL GONZÁLEZ URESTI</a:t>
          </a:r>
        </a:p>
      </xdr:txBody>
    </xdr:sp>
    <xdr:clientData/>
  </xdr:twoCellAnchor>
  <xdr:twoCellAnchor editAs="oneCell">
    <xdr:from>
      <xdr:col>0</xdr:col>
      <xdr:colOff>19050</xdr:colOff>
      <xdr:row>0</xdr:row>
      <xdr:rowOff>29671</xdr:rowOff>
    </xdr:from>
    <xdr:to>
      <xdr:col>1</xdr:col>
      <xdr:colOff>361980</xdr:colOff>
      <xdr:row>3</xdr:row>
      <xdr:rowOff>47531</xdr:rowOff>
    </xdr:to>
    <xdr:pic>
      <xdr:nvPicPr>
        <xdr:cNvPr id="18" name="Imagen 1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29671"/>
          <a:ext cx="1104930" cy="589360"/>
        </a:xfrm>
        <a:prstGeom prst="rect">
          <a:avLst/>
        </a:prstGeom>
      </xdr:spPr>
    </xdr:pic>
    <xdr:clientData/>
  </xdr:twoCellAnchor>
  <xdr:twoCellAnchor editAs="oneCell">
    <xdr:from>
      <xdr:col>6</xdr:col>
      <xdr:colOff>237970</xdr:colOff>
      <xdr:row>0</xdr:row>
      <xdr:rowOff>28575</xdr:rowOff>
    </xdr:from>
    <xdr:to>
      <xdr:col>7</xdr:col>
      <xdr:colOff>729651</xdr:colOff>
      <xdr:row>3</xdr:row>
      <xdr:rowOff>79174</xdr:rowOff>
    </xdr:to>
    <xdr:pic>
      <xdr:nvPicPr>
        <xdr:cNvPr id="19" name="Imagen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09970" y="28575"/>
          <a:ext cx="1253681" cy="622099"/>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19050</xdr:colOff>
      <xdr:row>0</xdr:row>
      <xdr:rowOff>39196</xdr:rowOff>
    </xdr:from>
    <xdr:to>
      <xdr:col>1</xdr:col>
      <xdr:colOff>361980</xdr:colOff>
      <xdr:row>3</xdr:row>
      <xdr:rowOff>57056</xdr:rowOff>
    </xdr:to>
    <xdr:pic>
      <xdr:nvPicPr>
        <xdr:cNvPr id="14" name="Imagen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39196"/>
          <a:ext cx="1104930" cy="589360"/>
        </a:xfrm>
        <a:prstGeom prst="rect">
          <a:avLst/>
        </a:prstGeom>
      </xdr:spPr>
    </xdr:pic>
    <xdr:clientData/>
  </xdr:twoCellAnchor>
  <xdr:twoCellAnchor editAs="oneCell">
    <xdr:from>
      <xdr:col>6</xdr:col>
      <xdr:colOff>237970</xdr:colOff>
      <xdr:row>0</xdr:row>
      <xdr:rowOff>38100</xdr:rowOff>
    </xdr:from>
    <xdr:to>
      <xdr:col>7</xdr:col>
      <xdr:colOff>729651</xdr:colOff>
      <xdr:row>3</xdr:row>
      <xdr:rowOff>88699</xdr:rowOff>
    </xdr:to>
    <xdr:pic>
      <xdr:nvPicPr>
        <xdr:cNvPr id="15" name="Imagen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09970" y="38100"/>
          <a:ext cx="1253681" cy="622099"/>
        </a:xfrm>
        <a:prstGeom prst="rect">
          <a:avLst/>
        </a:prstGeom>
      </xdr:spPr>
    </xdr:pic>
    <xdr:clientData/>
  </xdr:twoCellAnchor>
  <xdr:twoCellAnchor>
    <xdr:from>
      <xdr:col>3</xdr:col>
      <xdr:colOff>700645</xdr:colOff>
      <xdr:row>34</xdr:row>
      <xdr:rowOff>158253</xdr:rowOff>
    </xdr:from>
    <xdr:to>
      <xdr:col>5</xdr:col>
      <xdr:colOff>687658</xdr:colOff>
      <xdr:row>37</xdr:row>
      <xdr:rowOff>182558</xdr:rowOff>
    </xdr:to>
    <xdr:sp macro="" textlink="">
      <xdr:nvSpPr>
        <xdr:cNvPr id="16" name="16 CuadroTexto"/>
        <xdr:cNvSpPr txBox="1"/>
      </xdr:nvSpPr>
      <xdr:spPr>
        <a:xfrm>
          <a:off x="2986645" y="9111753"/>
          <a:ext cx="1511013"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SINDICO</a:t>
          </a:r>
          <a:r>
            <a:rPr lang="es-MX" sz="550" baseline="0">
              <a:latin typeface="Arial" pitchFamily="34" charset="0"/>
              <a:cs typeface="Arial" pitchFamily="34" charset="0"/>
            </a:rPr>
            <a:t> MUNICIPAL</a:t>
          </a:r>
        </a:p>
        <a:p>
          <a:pPr algn="ctr"/>
          <a:endParaRPr lang="es-MX" sz="550" baseline="0">
            <a:latin typeface="Arial" pitchFamily="34" charset="0"/>
            <a:cs typeface="Arial" pitchFamily="34" charset="0"/>
          </a:endParaRPr>
        </a:p>
        <a:p>
          <a:pPr algn="ctr"/>
          <a:endParaRPr lang="es-MX" sz="550" baseline="0">
            <a:latin typeface="Arial" pitchFamily="34" charset="0"/>
            <a:cs typeface="Arial" pitchFamily="34" charset="0"/>
          </a:endParaRPr>
        </a:p>
        <a:p>
          <a:pPr algn="ctr"/>
          <a:r>
            <a:rPr lang="es-MX" sz="550">
              <a:latin typeface="Arial" pitchFamily="34" charset="0"/>
              <a:cs typeface="Arial" pitchFamily="34" charset="0"/>
            </a:rPr>
            <a:t>__________________________________</a:t>
          </a:r>
        </a:p>
        <a:p>
          <a:pPr algn="ctr"/>
          <a:r>
            <a:rPr lang="es-MX" sz="550">
              <a:latin typeface="Arial" pitchFamily="34" charset="0"/>
              <a:cs typeface="Arial" pitchFamily="34" charset="0"/>
            </a:rPr>
            <a:t>LIC. FRIDA PATRICIA ESCOBAR ORTIZ</a:t>
          </a:r>
        </a:p>
      </xdr:txBody>
    </xdr:sp>
    <xdr:clientData/>
  </xdr:twoCellAnchor>
  <xdr:twoCellAnchor>
    <xdr:from>
      <xdr:col>1</xdr:col>
      <xdr:colOff>738766</xdr:colOff>
      <xdr:row>34</xdr:row>
      <xdr:rowOff>154565</xdr:rowOff>
    </xdr:from>
    <xdr:to>
      <xdr:col>4</xdr:col>
      <xdr:colOff>4646</xdr:colOff>
      <xdr:row>37</xdr:row>
      <xdr:rowOff>185854</xdr:rowOff>
    </xdr:to>
    <xdr:sp macro="" textlink="">
      <xdr:nvSpPr>
        <xdr:cNvPr id="17" name="8 CuadroTexto"/>
        <xdr:cNvSpPr txBox="1"/>
      </xdr:nvSpPr>
      <xdr:spPr>
        <a:xfrm>
          <a:off x="1500766" y="9108065"/>
          <a:ext cx="1551880" cy="602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TESORERO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LAP. JOSÉ ALFREDO PEÑA RODRÍGUEZ</a:t>
          </a:r>
        </a:p>
      </xdr:txBody>
    </xdr:sp>
    <xdr:clientData/>
  </xdr:twoCellAnchor>
  <xdr:twoCellAnchor>
    <xdr:from>
      <xdr:col>5</xdr:col>
      <xdr:colOff>637011</xdr:colOff>
      <xdr:row>34</xdr:row>
      <xdr:rowOff>158595</xdr:rowOff>
    </xdr:from>
    <xdr:to>
      <xdr:col>7</xdr:col>
      <xdr:colOff>748059</xdr:colOff>
      <xdr:row>37</xdr:row>
      <xdr:rowOff>190500</xdr:rowOff>
    </xdr:to>
    <xdr:sp macro="" textlink="">
      <xdr:nvSpPr>
        <xdr:cNvPr id="18" name="10 CuadroTexto"/>
        <xdr:cNvSpPr txBox="1"/>
      </xdr:nvSpPr>
      <xdr:spPr>
        <a:xfrm>
          <a:off x="4447011" y="9112095"/>
          <a:ext cx="1635048" cy="603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CONTRALOR</a:t>
          </a:r>
          <a:r>
            <a:rPr lang="es-MX" sz="550" baseline="0">
              <a:latin typeface="Arial" pitchFamily="34" charset="0"/>
              <a:cs typeface="Arial" pitchFamily="34" charset="0"/>
            </a:rPr>
            <a:t>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_____________________________________</a:t>
          </a:r>
        </a:p>
        <a:p>
          <a:pPr algn="ctr"/>
          <a:r>
            <a:rPr lang="es-MX" sz="550">
              <a:latin typeface="Arial" pitchFamily="34" charset="0"/>
              <a:cs typeface="Arial" pitchFamily="34" charset="0"/>
            </a:rPr>
            <a:t>C.P. NORA ROSALVA CEPEDA GUERRERO</a:t>
          </a:r>
        </a:p>
      </xdr:txBody>
    </xdr:sp>
    <xdr:clientData/>
  </xdr:twoCellAnchor>
  <xdr:twoCellAnchor>
    <xdr:from>
      <xdr:col>0</xdr:col>
      <xdr:colOff>1</xdr:colOff>
      <xdr:row>34</xdr:row>
      <xdr:rowOff>153672</xdr:rowOff>
    </xdr:from>
    <xdr:to>
      <xdr:col>2</xdr:col>
      <xdr:colOff>32524</xdr:colOff>
      <xdr:row>37</xdr:row>
      <xdr:rowOff>190500</xdr:rowOff>
    </xdr:to>
    <xdr:sp macro="" textlink="">
      <xdr:nvSpPr>
        <xdr:cNvPr id="19" name="14 CuadroTexto"/>
        <xdr:cNvSpPr txBox="1"/>
      </xdr:nvSpPr>
      <xdr:spPr>
        <a:xfrm>
          <a:off x="1" y="9107172"/>
          <a:ext cx="1556523" cy="608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PRESIDENTE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DR. XICOTÉNCATL GONZÁLEZ URESTI</a:t>
          </a:r>
        </a:p>
      </xdr:txBody>
    </xdr:sp>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19050</xdr:colOff>
      <xdr:row>0</xdr:row>
      <xdr:rowOff>58246</xdr:rowOff>
    </xdr:from>
    <xdr:to>
      <xdr:col>1</xdr:col>
      <xdr:colOff>361980</xdr:colOff>
      <xdr:row>3</xdr:row>
      <xdr:rowOff>76106</xdr:rowOff>
    </xdr:to>
    <xdr:pic>
      <xdr:nvPicPr>
        <xdr:cNvPr id="12" name="Imagen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58246"/>
          <a:ext cx="1104930" cy="589360"/>
        </a:xfrm>
        <a:prstGeom prst="rect">
          <a:avLst/>
        </a:prstGeom>
      </xdr:spPr>
    </xdr:pic>
    <xdr:clientData/>
  </xdr:twoCellAnchor>
  <xdr:twoCellAnchor editAs="oneCell">
    <xdr:from>
      <xdr:col>6</xdr:col>
      <xdr:colOff>237970</xdr:colOff>
      <xdr:row>0</xdr:row>
      <xdr:rowOff>57150</xdr:rowOff>
    </xdr:from>
    <xdr:to>
      <xdr:col>7</xdr:col>
      <xdr:colOff>729651</xdr:colOff>
      <xdr:row>3</xdr:row>
      <xdr:rowOff>107749</xdr:rowOff>
    </xdr:to>
    <xdr:pic>
      <xdr:nvPicPr>
        <xdr:cNvPr id="13" name="Imagen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09970" y="57150"/>
          <a:ext cx="1253681" cy="622099"/>
        </a:xfrm>
        <a:prstGeom prst="rect">
          <a:avLst/>
        </a:prstGeom>
      </xdr:spPr>
    </xdr:pic>
    <xdr:clientData/>
  </xdr:twoCellAnchor>
  <xdr:twoCellAnchor>
    <xdr:from>
      <xdr:col>3</xdr:col>
      <xdr:colOff>700645</xdr:colOff>
      <xdr:row>41</xdr:row>
      <xdr:rowOff>158253</xdr:rowOff>
    </xdr:from>
    <xdr:to>
      <xdr:col>5</xdr:col>
      <xdr:colOff>687658</xdr:colOff>
      <xdr:row>44</xdr:row>
      <xdr:rowOff>182558</xdr:rowOff>
    </xdr:to>
    <xdr:sp macro="" textlink="">
      <xdr:nvSpPr>
        <xdr:cNvPr id="14" name="16 CuadroTexto"/>
        <xdr:cNvSpPr txBox="1"/>
      </xdr:nvSpPr>
      <xdr:spPr>
        <a:xfrm>
          <a:off x="2986645" y="8416428"/>
          <a:ext cx="1511013"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SINDICO</a:t>
          </a:r>
          <a:r>
            <a:rPr lang="es-MX" sz="550" baseline="0">
              <a:latin typeface="Arial" pitchFamily="34" charset="0"/>
              <a:cs typeface="Arial" pitchFamily="34" charset="0"/>
            </a:rPr>
            <a:t> MUNICIPAL</a:t>
          </a:r>
        </a:p>
        <a:p>
          <a:pPr algn="ctr"/>
          <a:endParaRPr lang="es-MX" sz="550" baseline="0">
            <a:latin typeface="Arial" pitchFamily="34" charset="0"/>
            <a:cs typeface="Arial" pitchFamily="34" charset="0"/>
          </a:endParaRPr>
        </a:p>
        <a:p>
          <a:pPr algn="ctr"/>
          <a:endParaRPr lang="es-MX" sz="550" baseline="0">
            <a:latin typeface="Arial" pitchFamily="34" charset="0"/>
            <a:cs typeface="Arial" pitchFamily="34" charset="0"/>
          </a:endParaRPr>
        </a:p>
        <a:p>
          <a:pPr algn="ctr"/>
          <a:r>
            <a:rPr lang="es-MX" sz="550">
              <a:latin typeface="Arial" pitchFamily="34" charset="0"/>
              <a:cs typeface="Arial" pitchFamily="34" charset="0"/>
            </a:rPr>
            <a:t>__________________________________</a:t>
          </a:r>
        </a:p>
        <a:p>
          <a:pPr algn="ctr"/>
          <a:r>
            <a:rPr lang="es-MX" sz="550">
              <a:latin typeface="Arial" pitchFamily="34" charset="0"/>
              <a:cs typeface="Arial" pitchFamily="34" charset="0"/>
            </a:rPr>
            <a:t>LIC. FRIDA PATRICIA ESCOBAR ORTIZ</a:t>
          </a:r>
        </a:p>
      </xdr:txBody>
    </xdr:sp>
    <xdr:clientData/>
  </xdr:twoCellAnchor>
  <xdr:twoCellAnchor>
    <xdr:from>
      <xdr:col>1</xdr:col>
      <xdr:colOff>738766</xdr:colOff>
      <xdr:row>41</xdr:row>
      <xdr:rowOff>154565</xdr:rowOff>
    </xdr:from>
    <xdr:to>
      <xdr:col>4</xdr:col>
      <xdr:colOff>4646</xdr:colOff>
      <xdr:row>44</xdr:row>
      <xdr:rowOff>185854</xdr:rowOff>
    </xdr:to>
    <xdr:sp macro="" textlink="">
      <xdr:nvSpPr>
        <xdr:cNvPr id="15" name="8 CuadroTexto"/>
        <xdr:cNvSpPr txBox="1"/>
      </xdr:nvSpPr>
      <xdr:spPr>
        <a:xfrm>
          <a:off x="1500766" y="8412740"/>
          <a:ext cx="1551880" cy="602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TESORERO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LAP. JOSÉ ALFREDO PEÑA RODRÍGUEZ</a:t>
          </a:r>
        </a:p>
      </xdr:txBody>
    </xdr:sp>
    <xdr:clientData/>
  </xdr:twoCellAnchor>
  <xdr:twoCellAnchor>
    <xdr:from>
      <xdr:col>5</xdr:col>
      <xdr:colOff>637011</xdr:colOff>
      <xdr:row>41</xdr:row>
      <xdr:rowOff>158595</xdr:rowOff>
    </xdr:from>
    <xdr:to>
      <xdr:col>7</xdr:col>
      <xdr:colOff>748059</xdr:colOff>
      <xdr:row>44</xdr:row>
      <xdr:rowOff>190500</xdr:rowOff>
    </xdr:to>
    <xdr:sp macro="" textlink="">
      <xdr:nvSpPr>
        <xdr:cNvPr id="16" name="10 CuadroTexto"/>
        <xdr:cNvSpPr txBox="1"/>
      </xdr:nvSpPr>
      <xdr:spPr>
        <a:xfrm>
          <a:off x="4447011" y="8416770"/>
          <a:ext cx="1635048" cy="603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CONTRALOR</a:t>
          </a:r>
          <a:r>
            <a:rPr lang="es-MX" sz="550" baseline="0">
              <a:latin typeface="Arial" pitchFamily="34" charset="0"/>
              <a:cs typeface="Arial" pitchFamily="34" charset="0"/>
            </a:rPr>
            <a:t>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_____________________________________</a:t>
          </a:r>
        </a:p>
        <a:p>
          <a:pPr algn="ctr"/>
          <a:r>
            <a:rPr lang="es-MX" sz="550">
              <a:latin typeface="Arial" pitchFamily="34" charset="0"/>
              <a:cs typeface="Arial" pitchFamily="34" charset="0"/>
            </a:rPr>
            <a:t>C.P. NORA ROSALVA CEPEDA GUERRERO</a:t>
          </a:r>
        </a:p>
      </xdr:txBody>
    </xdr:sp>
    <xdr:clientData/>
  </xdr:twoCellAnchor>
  <xdr:twoCellAnchor>
    <xdr:from>
      <xdr:col>0</xdr:col>
      <xdr:colOff>1</xdr:colOff>
      <xdr:row>41</xdr:row>
      <xdr:rowOff>153672</xdr:rowOff>
    </xdr:from>
    <xdr:to>
      <xdr:col>2</xdr:col>
      <xdr:colOff>32524</xdr:colOff>
      <xdr:row>44</xdr:row>
      <xdr:rowOff>190500</xdr:rowOff>
    </xdr:to>
    <xdr:sp macro="" textlink="">
      <xdr:nvSpPr>
        <xdr:cNvPr id="17" name="14 CuadroTexto"/>
        <xdr:cNvSpPr txBox="1"/>
      </xdr:nvSpPr>
      <xdr:spPr>
        <a:xfrm>
          <a:off x="1" y="8411847"/>
          <a:ext cx="1556523" cy="608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PRESIDENTE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DR. XICOTÉNCATL GONZÁLEZ URESTI</a:t>
          </a:r>
        </a:p>
      </xdr:txBody>
    </xdr:sp>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19050</xdr:colOff>
      <xdr:row>0</xdr:row>
      <xdr:rowOff>48721</xdr:rowOff>
    </xdr:from>
    <xdr:to>
      <xdr:col>1</xdr:col>
      <xdr:colOff>361980</xdr:colOff>
      <xdr:row>3</xdr:row>
      <xdr:rowOff>66581</xdr:rowOff>
    </xdr:to>
    <xdr:pic>
      <xdr:nvPicPr>
        <xdr:cNvPr id="12" name="Imagen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48721"/>
          <a:ext cx="1104930" cy="589360"/>
        </a:xfrm>
        <a:prstGeom prst="rect">
          <a:avLst/>
        </a:prstGeom>
      </xdr:spPr>
    </xdr:pic>
    <xdr:clientData/>
  </xdr:twoCellAnchor>
  <xdr:twoCellAnchor editAs="oneCell">
    <xdr:from>
      <xdr:col>6</xdr:col>
      <xdr:colOff>237970</xdr:colOff>
      <xdr:row>0</xdr:row>
      <xdr:rowOff>47625</xdr:rowOff>
    </xdr:from>
    <xdr:to>
      <xdr:col>7</xdr:col>
      <xdr:colOff>729651</xdr:colOff>
      <xdr:row>3</xdr:row>
      <xdr:rowOff>98224</xdr:rowOff>
    </xdr:to>
    <xdr:pic>
      <xdr:nvPicPr>
        <xdr:cNvPr id="13" name="Imagen 1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09970" y="47625"/>
          <a:ext cx="1253681" cy="622099"/>
        </a:xfrm>
        <a:prstGeom prst="rect">
          <a:avLst/>
        </a:prstGeom>
      </xdr:spPr>
    </xdr:pic>
    <xdr:clientData/>
  </xdr:twoCellAnchor>
  <xdr:twoCellAnchor>
    <xdr:from>
      <xdr:col>3</xdr:col>
      <xdr:colOff>700645</xdr:colOff>
      <xdr:row>39</xdr:row>
      <xdr:rowOff>158253</xdr:rowOff>
    </xdr:from>
    <xdr:to>
      <xdr:col>5</xdr:col>
      <xdr:colOff>687658</xdr:colOff>
      <xdr:row>42</xdr:row>
      <xdr:rowOff>182558</xdr:rowOff>
    </xdr:to>
    <xdr:sp macro="" textlink="">
      <xdr:nvSpPr>
        <xdr:cNvPr id="14" name="16 CuadroTexto"/>
        <xdr:cNvSpPr txBox="1"/>
      </xdr:nvSpPr>
      <xdr:spPr>
        <a:xfrm>
          <a:off x="2986645" y="8816478"/>
          <a:ext cx="1511013"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SINDICO</a:t>
          </a:r>
          <a:r>
            <a:rPr lang="es-MX" sz="550" baseline="0">
              <a:latin typeface="Arial" pitchFamily="34" charset="0"/>
              <a:cs typeface="Arial" pitchFamily="34" charset="0"/>
            </a:rPr>
            <a:t> MUNICIPAL</a:t>
          </a:r>
        </a:p>
        <a:p>
          <a:pPr algn="ctr"/>
          <a:endParaRPr lang="es-MX" sz="550" baseline="0">
            <a:latin typeface="Arial" pitchFamily="34" charset="0"/>
            <a:cs typeface="Arial" pitchFamily="34" charset="0"/>
          </a:endParaRPr>
        </a:p>
        <a:p>
          <a:pPr algn="ctr"/>
          <a:endParaRPr lang="es-MX" sz="550" baseline="0">
            <a:latin typeface="Arial" pitchFamily="34" charset="0"/>
            <a:cs typeface="Arial" pitchFamily="34" charset="0"/>
          </a:endParaRPr>
        </a:p>
        <a:p>
          <a:pPr algn="ctr"/>
          <a:r>
            <a:rPr lang="es-MX" sz="550">
              <a:latin typeface="Arial" pitchFamily="34" charset="0"/>
              <a:cs typeface="Arial" pitchFamily="34" charset="0"/>
            </a:rPr>
            <a:t>__________________________________</a:t>
          </a:r>
        </a:p>
        <a:p>
          <a:pPr algn="ctr"/>
          <a:r>
            <a:rPr lang="es-MX" sz="550">
              <a:latin typeface="Arial" pitchFamily="34" charset="0"/>
              <a:cs typeface="Arial" pitchFamily="34" charset="0"/>
            </a:rPr>
            <a:t>LIC. FRIDA PATRICIA ESCOBAR ORTIZ</a:t>
          </a:r>
        </a:p>
      </xdr:txBody>
    </xdr:sp>
    <xdr:clientData/>
  </xdr:twoCellAnchor>
  <xdr:twoCellAnchor>
    <xdr:from>
      <xdr:col>1</xdr:col>
      <xdr:colOff>738766</xdr:colOff>
      <xdr:row>39</xdr:row>
      <xdr:rowOff>154565</xdr:rowOff>
    </xdr:from>
    <xdr:to>
      <xdr:col>4</xdr:col>
      <xdr:colOff>4646</xdr:colOff>
      <xdr:row>42</xdr:row>
      <xdr:rowOff>185854</xdr:rowOff>
    </xdr:to>
    <xdr:sp macro="" textlink="">
      <xdr:nvSpPr>
        <xdr:cNvPr id="15" name="8 CuadroTexto"/>
        <xdr:cNvSpPr txBox="1"/>
      </xdr:nvSpPr>
      <xdr:spPr>
        <a:xfrm>
          <a:off x="1500766" y="8812790"/>
          <a:ext cx="1551880" cy="602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TESORERO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LAP. JOSÉ ALFREDO PEÑA RODRÍGUEZ</a:t>
          </a:r>
        </a:p>
      </xdr:txBody>
    </xdr:sp>
    <xdr:clientData/>
  </xdr:twoCellAnchor>
  <xdr:twoCellAnchor>
    <xdr:from>
      <xdr:col>5</xdr:col>
      <xdr:colOff>637011</xdr:colOff>
      <xdr:row>39</xdr:row>
      <xdr:rowOff>158595</xdr:rowOff>
    </xdr:from>
    <xdr:to>
      <xdr:col>7</xdr:col>
      <xdr:colOff>748059</xdr:colOff>
      <xdr:row>42</xdr:row>
      <xdr:rowOff>190500</xdr:rowOff>
    </xdr:to>
    <xdr:sp macro="" textlink="">
      <xdr:nvSpPr>
        <xdr:cNvPr id="16" name="10 CuadroTexto"/>
        <xdr:cNvSpPr txBox="1"/>
      </xdr:nvSpPr>
      <xdr:spPr>
        <a:xfrm>
          <a:off x="4447011" y="8816820"/>
          <a:ext cx="1635048" cy="603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CONTRALOR</a:t>
          </a:r>
          <a:r>
            <a:rPr lang="es-MX" sz="550" baseline="0">
              <a:latin typeface="Arial" pitchFamily="34" charset="0"/>
              <a:cs typeface="Arial" pitchFamily="34" charset="0"/>
            </a:rPr>
            <a:t>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_____________________________________</a:t>
          </a:r>
        </a:p>
        <a:p>
          <a:pPr algn="ctr"/>
          <a:r>
            <a:rPr lang="es-MX" sz="550">
              <a:latin typeface="Arial" pitchFamily="34" charset="0"/>
              <a:cs typeface="Arial" pitchFamily="34" charset="0"/>
            </a:rPr>
            <a:t>C.P. NORA ROSALVA CEPEDA GUERRERO</a:t>
          </a:r>
        </a:p>
      </xdr:txBody>
    </xdr:sp>
    <xdr:clientData/>
  </xdr:twoCellAnchor>
  <xdr:twoCellAnchor>
    <xdr:from>
      <xdr:col>0</xdr:col>
      <xdr:colOff>1</xdr:colOff>
      <xdr:row>39</xdr:row>
      <xdr:rowOff>153672</xdr:rowOff>
    </xdr:from>
    <xdr:to>
      <xdr:col>2</xdr:col>
      <xdr:colOff>32524</xdr:colOff>
      <xdr:row>42</xdr:row>
      <xdr:rowOff>190500</xdr:rowOff>
    </xdr:to>
    <xdr:sp macro="" textlink="">
      <xdr:nvSpPr>
        <xdr:cNvPr id="17" name="14 CuadroTexto"/>
        <xdr:cNvSpPr txBox="1"/>
      </xdr:nvSpPr>
      <xdr:spPr>
        <a:xfrm>
          <a:off x="1" y="8811897"/>
          <a:ext cx="1556523" cy="608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PRESIDENTE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DR. XICOTÉNCATL GONZÁLEZ URESTI</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3</xdr:col>
      <xdr:colOff>700645</xdr:colOff>
      <xdr:row>44</xdr:row>
      <xdr:rowOff>158253</xdr:rowOff>
    </xdr:from>
    <xdr:to>
      <xdr:col>5</xdr:col>
      <xdr:colOff>687658</xdr:colOff>
      <xdr:row>47</xdr:row>
      <xdr:rowOff>182558</xdr:rowOff>
    </xdr:to>
    <xdr:sp macro="" textlink="">
      <xdr:nvSpPr>
        <xdr:cNvPr id="12" name="16 CuadroTexto"/>
        <xdr:cNvSpPr txBox="1"/>
      </xdr:nvSpPr>
      <xdr:spPr>
        <a:xfrm>
          <a:off x="2986645" y="8502153"/>
          <a:ext cx="1511013"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SINDICO</a:t>
          </a:r>
          <a:r>
            <a:rPr lang="es-MX" sz="550" baseline="0">
              <a:latin typeface="Arial" pitchFamily="34" charset="0"/>
              <a:cs typeface="Arial" pitchFamily="34" charset="0"/>
            </a:rPr>
            <a:t> MUNICIPAL</a:t>
          </a:r>
        </a:p>
        <a:p>
          <a:pPr algn="ctr"/>
          <a:endParaRPr lang="es-MX" sz="550" baseline="0">
            <a:latin typeface="Arial" pitchFamily="34" charset="0"/>
            <a:cs typeface="Arial" pitchFamily="34" charset="0"/>
          </a:endParaRPr>
        </a:p>
        <a:p>
          <a:pPr algn="ctr"/>
          <a:endParaRPr lang="es-MX" sz="550" baseline="0">
            <a:latin typeface="Arial" pitchFamily="34" charset="0"/>
            <a:cs typeface="Arial" pitchFamily="34" charset="0"/>
          </a:endParaRPr>
        </a:p>
        <a:p>
          <a:pPr algn="ctr"/>
          <a:r>
            <a:rPr lang="es-MX" sz="550">
              <a:latin typeface="Arial" pitchFamily="34" charset="0"/>
              <a:cs typeface="Arial" pitchFamily="34" charset="0"/>
            </a:rPr>
            <a:t>__________________________________</a:t>
          </a:r>
        </a:p>
        <a:p>
          <a:pPr algn="ctr"/>
          <a:r>
            <a:rPr lang="es-MX" sz="550">
              <a:latin typeface="Arial" pitchFamily="34" charset="0"/>
              <a:cs typeface="Arial" pitchFamily="34" charset="0"/>
            </a:rPr>
            <a:t>LIC. FRIDA PATRICIA ESCOBAR ORTIZ</a:t>
          </a:r>
        </a:p>
      </xdr:txBody>
    </xdr:sp>
    <xdr:clientData/>
  </xdr:twoCellAnchor>
  <xdr:twoCellAnchor>
    <xdr:from>
      <xdr:col>1</xdr:col>
      <xdr:colOff>738766</xdr:colOff>
      <xdr:row>44</xdr:row>
      <xdr:rowOff>154565</xdr:rowOff>
    </xdr:from>
    <xdr:to>
      <xdr:col>4</xdr:col>
      <xdr:colOff>4646</xdr:colOff>
      <xdr:row>47</xdr:row>
      <xdr:rowOff>185854</xdr:rowOff>
    </xdr:to>
    <xdr:sp macro="" textlink="">
      <xdr:nvSpPr>
        <xdr:cNvPr id="13" name="8 CuadroTexto"/>
        <xdr:cNvSpPr txBox="1"/>
      </xdr:nvSpPr>
      <xdr:spPr>
        <a:xfrm>
          <a:off x="1500766" y="8498465"/>
          <a:ext cx="1551880" cy="602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TESORERO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LAP. JOSÉ ALFREDO PEÑA RODRÍGUEZ</a:t>
          </a:r>
        </a:p>
      </xdr:txBody>
    </xdr:sp>
    <xdr:clientData/>
  </xdr:twoCellAnchor>
  <xdr:twoCellAnchor>
    <xdr:from>
      <xdr:col>5</xdr:col>
      <xdr:colOff>637011</xdr:colOff>
      <xdr:row>44</xdr:row>
      <xdr:rowOff>158595</xdr:rowOff>
    </xdr:from>
    <xdr:to>
      <xdr:col>7</xdr:col>
      <xdr:colOff>748059</xdr:colOff>
      <xdr:row>47</xdr:row>
      <xdr:rowOff>190500</xdr:rowOff>
    </xdr:to>
    <xdr:sp macro="" textlink="">
      <xdr:nvSpPr>
        <xdr:cNvPr id="14" name="10 CuadroTexto"/>
        <xdr:cNvSpPr txBox="1"/>
      </xdr:nvSpPr>
      <xdr:spPr>
        <a:xfrm>
          <a:off x="4447011" y="8502495"/>
          <a:ext cx="1635048" cy="603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CONTRALOR</a:t>
          </a:r>
          <a:r>
            <a:rPr lang="es-MX" sz="550" baseline="0">
              <a:latin typeface="Arial" pitchFamily="34" charset="0"/>
              <a:cs typeface="Arial" pitchFamily="34" charset="0"/>
            </a:rPr>
            <a:t>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_____________________________________</a:t>
          </a:r>
        </a:p>
        <a:p>
          <a:pPr algn="ctr"/>
          <a:r>
            <a:rPr lang="es-MX" sz="550">
              <a:latin typeface="Arial" pitchFamily="34" charset="0"/>
              <a:cs typeface="Arial" pitchFamily="34" charset="0"/>
            </a:rPr>
            <a:t>C.P. NORA ROSALVA CEPEDA GUERRERO</a:t>
          </a:r>
        </a:p>
      </xdr:txBody>
    </xdr:sp>
    <xdr:clientData/>
  </xdr:twoCellAnchor>
  <xdr:twoCellAnchor>
    <xdr:from>
      <xdr:col>0</xdr:col>
      <xdr:colOff>1</xdr:colOff>
      <xdr:row>44</xdr:row>
      <xdr:rowOff>153672</xdr:rowOff>
    </xdr:from>
    <xdr:to>
      <xdr:col>2</xdr:col>
      <xdr:colOff>32524</xdr:colOff>
      <xdr:row>47</xdr:row>
      <xdr:rowOff>190500</xdr:rowOff>
    </xdr:to>
    <xdr:sp macro="" textlink="">
      <xdr:nvSpPr>
        <xdr:cNvPr id="15" name="14 CuadroTexto"/>
        <xdr:cNvSpPr txBox="1"/>
      </xdr:nvSpPr>
      <xdr:spPr>
        <a:xfrm>
          <a:off x="1" y="8497572"/>
          <a:ext cx="1556523" cy="608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PRESIDENTE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DR. XICOTÉNCATL GONZÁLEZ URESTI</a:t>
          </a:r>
        </a:p>
      </xdr:txBody>
    </xdr:sp>
    <xdr:clientData/>
  </xdr:twoCellAnchor>
  <xdr:twoCellAnchor editAs="oneCell">
    <xdr:from>
      <xdr:col>0</xdr:col>
      <xdr:colOff>18563</xdr:colOff>
      <xdr:row>0</xdr:row>
      <xdr:rowOff>31032</xdr:rowOff>
    </xdr:from>
    <xdr:to>
      <xdr:col>1</xdr:col>
      <xdr:colOff>168728</xdr:colOff>
      <xdr:row>2</xdr:row>
      <xdr:rowOff>136573</xdr:rowOff>
    </xdr:to>
    <xdr:pic>
      <xdr:nvPicPr>
        <xdr:cNvPr id="16" name="Imagen 1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563" y="31032"/>
          <a:ext cx="912165" cy="486541"/>
        </a:xfrm>
        <a:prstGeom prst="rect">
          <a:avLst/>
        </a:prstGeom>
      </xdr:spPr>
    </xdr:pic>
    <xdr:clientData/>
  </xdr:twoCellAnchor>
  <xdr:twoCellAnchor editAs="oneCell">
    <xdr:from>
      <xdr:col>6</xdr:col>
      <xdr:colOff>462643</xdr:colOff>
      <xdr:row>0</xdr:row>
      <xdr:rowOff>19051</xdr:rowOff>
    </xdr:from>
    <xdr:to>
      <xdr:col>7</xdr:col>
      <xdr:colOff>735608</xdr:colOff>
      <xdr:row>2</xdr:row>
      <xdr:rowOff>151619</xdr:rowOff>
    </xdr:to>
    <xdr:pic>
      <xdr:nvPicPr>
        <xdr:cNvPr id="17" name="Imagen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34643" y="19051"/>
          <a:ext cx="1034965" cy="51356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6</xdr:col>
      <xdr:colOff>2698750</xdr:colOff>
      <xdr:row>6296</xdr:row>
      <xdr:rowOff>111125</xdr:rowOff>
    </xdr:from>
    <xdr:to>
      <xdr:col>9</xdr:col>
      <xdr:colOff>810886</xdr:colOff>
      <xdr:row>6297</xdr:row>
      <xdr:rowOff>0</xdr:rowOff>
    </xdr:to>
    <xdr:sp macro="" textlink="">
      <xdr:nvSpPr>
        <xdr:cNvPr id="12" name="6 CuadroTexto"/>
        <xdr:cNvSpPr txBox="1"/>
      </xdr:nvSpPr>
      <xdr:spPr>
        <a:xfrm>
          <a:off x="10052050" y="10140950"/>
          <a:ext cx="3435350" cy="22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1100">
              <a:latin typeface="+mn-lt"/>
            </a:rPr>
            <a:t>____________________________</a:t>
          </a:r>
        </a:p>
        <a:p>
          <a:pPr algn="ctr"/>
          <a:r>
            <a:rPr lang="es-MX" sz="900">
              <a:latin typeface="+mn-lt"/>
              <a:cs typeface="Arial" pitchFamily="34" charset="0"/>
            </a:rPr>
            <a:t>LIC. ANDROMEDA MONTIEL LERMA</a:t>
          </a:r>
        </a:p>
      </xdr:txBody>
    </xdr:sp>
    <xdr:clientData/>
  </xdr:twoCellAnchor>
  <xdr:twoCellAnchor>
    <xdr:from>
      <xdr:col>2</xdr:col>
      <xdr:colOff>1393547</xdr:colOff>
      <xdr:row>6297</xdr:row>
      <xdr:rowOff>10493</xdr:rowOff>
    </xdr:from>
    <xdr:to>
      <xdr:col>3</xdr:col>
      <xdr:colOff>66265</xdr:colOff>
      <xdr:row>6301</xdr:row>
      <xdr:rowOff>113173</xdr:rowOff>
    </xdr:to>
    <xdr:sp macro="" textlink="">
      <xdr:nvSpPr>
        <xdr:cNvPr id="13" name="7 CuadroTexto"/>
        <xdr:cNvSpPr txBox="1"/>
      </xdr:nvSpPr>
      <xdr:spPr>
        <a:xfrm>
          <a:off x="2917547" y="895087167"/>
          <a:ext cx="2424740" cy="8646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latin typeface="+mn-lt"/>
              <a:cs typeface="Arial" pitchFamily="34" charset="0"/>
            </a:rPr>
            <a:t>TESORERO MUNICIPAL</a:t>
          </a:r>
        </a:p>
        <a:p>
          <a:pPr algn="ctr"/>
          <a:endParaRPr lang="es-MX" sz="1100">
            <a:latin typeface="+mn-lt"/>
            <a:cs typeface="Arial" pitchFamily="34" charset="0"/>
          </a:endParaRPr>
        </a:p>
        <a:p>
          <a:pPr algn="ctr"/>
          <a:r>
            <a:rPr lang="es-MX" sz="1100">
              <a:latin typeface="+mn-lt"/>
            </a:rPr>
            <a:t>_______________________________</a:t>
          </a:r>
        </a:p>
        <a:p>
          <a:pPr algn="ctr"/>
          <a:r>
            <a:rPr lang="es-MX" sz="1100">
              <a:latin typeface="+mn-lt"/>
              <a:cs typeface="Arial" pitchFamily="34" charset="0"/>
            </a:rPr>
            <a:t>LAP. JOSÉ ALFREDO PEÑA RODRÍGUEZ</a:t>
          </a:r>
        </a:p>
      </xdr:txBody>
    </xdr:sp>
    <xdr:clientData/>
  </xdr:twoCellAnchor>
  <xdr:twoCellAnchor>
    <xdr:from>
      <xdr:col>0</xdr:col>
      <xdr:colOff>1586</xdr:colOff>
      <xdr:row>6297</xdr:row>
      <xdr:rowOff>16792</xdr:rowOff>
    </xdr:from>
    <xdr:to>
      <xdr:col>2</xdr:col>
      <xdr:colOff>1109870</xdr:colOff>
      <xdr:row>6301</xdr:row>
      <xdr:rowOff>144365</xdr:rowOff>
    </xdr:to>
    <xdr:sp macro="" textlink="">
      <xdr:nvSpPr>
        <xdr:cNvPr id="14" name="8 CuadroTexto"/>
        <xdr:cNvSpPr txBox="1"/>
      </xdr:nvSpPr>
      <xdr:spPr>
        <a:xfrm>
          <a:off x="1586" y="895093466"/>
          <a:ext cx="2632284" cy="8895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latin typeface="+mn-lt"/>
              <a:cs typeface="Arial" pitchFamily="34" charset="0"/>
            </a:rPr>
            <a:t>PRESIDENTE MUNICIPAL</a:t>
          </a:r>
        </a:p>
        <a:p>
          <a:pPr algn="ctr"/>
          <a:endParaRPr lang="es-MX" sz="1100">
            <a:latin typeface="+mn-lt"/>
            <a:cs typeface="Arial" pitchFamily="34" charset="0"/>
          </a:endParaRPr>
        </a:p>
        <a:p>
          <a:pPr algn="ctr"/>
          <a:r>
            <a:rPr lang="es-MX" sz="1100">
              <a:latin typeface="+mn-lt"/>
            </a:rPr>
            <a:t>________________________________</a:t>
          </a:r>
        </a:p>
        <a:p>
          <a:pPr algn="ctr"/>
          <a:r>
            <a:rPr lang="es-MX" sz="1100">
              <a:latin typeface="+mn-lt"/>
              <a:cs typeface="Arial" pitchFamily="34" charset="0"/>
            </a:rPr>
            <a:t>DR. XICOTÉNCATL GONZÁLEZ URESTI</a:t>
          </a:r>
        </a:p>
      </xdr:txBody>
    </xdr:sp>
    <xdr:clientData/>
  </xdr:twoCellAnchor>
  <xdr:twoCellAnchor>
    <xdr:from>
      <xdr:col>3</xdr:col>
      <xdr:colOff>411264</xdr:colOff>
      <xdr:row>6297</xdr:row>
      <xdr:rowOff>23094</xdr:rowOff>
    </xdr:from>
    <xdr:to>
      <xdr:col>6</xdr:col>
      <xdr:colOff>911087</xdr:colOff>
      <xdr:row>6301</xdr:row>
      <xdr:rowOff>136566</xdr:rowOff>
    </xdr:to>
    <xdr:sp macro="" textlink="">
      <xdr:nvSpPr>
        <xdr:cNvPr id="15" name="9 CuadroTexto"/>
        <xdr:cNvSpPr txBox="1"/>
      </xdr:nvSpPr>
      <xdr:spPr>
        <a:xfrm>
          <a:off x="5687286" y="895099768"/>
          <a:ext cx="2653301" cy="87547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latin typeface="+mn-lt"/>
              <a:cs typeface="Arial" pitchFamily="34" charset="0"/>
            </a:rPr>
            <a:t>SINDICO</a:t>
          </a:r>
          <a:r>
            <a:rPr lang="es-MX" sz="1100" baseline="0">
              <a:latin typeface="+mn-lt"/>
              <a:cs typeface="Arial" pitchFamily="34" charset="0"/>
            </a:rPr>
            <a:t> MUNICIPAL</a:t>
          </a:r>
        </a:p>
        <a:p>
          <a:pPr algn="ctr"/>
          <a:endParaRPr lang="es-MX" sz="1100" baseline="0">
            <a:latin typeface="+mn-lt"/>
            <a:cs typeface="Arial" pitchFamily="34" charset="0"/>
          </a:endParaRPr>
        </a:p>
        <a:p>
          <a:pPr algn="ctr"/>
          <a:r>
            <a:rPr lang="es-MX" sz="1100">
              <a:latin typeface="+mn-lt"/>
              <a:cs typeface="Arial" pitchFamily="34" charset="0"/>
            </a:rPr>
            <a:t>_________________________________</a:t>
          </a:r>
        </a:p>
        <a:p>
          <a:pPr algn="ctr"/>
          <a:r>
            <a:rPr lang="es-MX" sz="1100">
              <a:latin typeface="+mn-lt"/>
              <a:cs typeface="Arial" pitchFamily="34" charset="0"/>
            </a:rPr>
            <a:t>LIC. FRIDA PATRICIA ESCOBAR ORTIZ</a:t>
          </a:r>
        </a:p>
      </xdr:txBody>
    </xdr:sp>
    <xdr:clientData/>
  </xdr:twoCellAnchor>
  <xdr:twoCellAnchor>
    <xdr:from>
      <xdr:col>7</xdr:col>
      <xdr:colOff>248478</xdr:colOff>
      <xdr:row>6297</xdr:row>
      <xdr:rowOff>27302</xdr:rowOff>
    </xdr:from>
    <xdr:to>
      <xdr:col>9</xdr:col>
      <xdr:colOff>886238</xdr:colOff>
      <xdr:row>6302</xdr:row>
      <xdr:rowOff>38866</xdr:rowOff>
    </xdr:to>
    <xdr:sp macro="" textlink="">
      <xdr:nvSpPr>
        <xdr:cNvPr id="16" name="10 CuadroTexto"/>
        <xdr:cNvSpPr txBox="1"/>
      </xdr:nvSpPr>
      <xdr:spPr>
        <a:xfrm>
          <a:off x="8754717" y="895103976"/>
          <a:ext cx="2509630" cy="93921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a:latin typeface="+mn-lt"/>
              <a:cs typeface="Arial" pitchFamily="34" charset="0"/>
            </a:rPr>
            <a:t>CONTRALOR</a:t>
          </a:r>
          <a:r>
            <a:rPr lang="es-MX" sz="1100" baseline="0">
              <a:latin typeface="+mn-lt"/>
              <a:cs typeface="Arial" pitchFamily="34" charset="0"/>
            </a:rPr>
            <a:t> MUNICIPAL</a:t>
          </a:r>
        </a:p>
        <a:p>
          <a:pPr algn="ctr"/>
          <a:endParaRPr lang="es-MX" sz="1100">
            <a:latin typeface="+mn-lt"/>
            <a:cs typeface="Arial" pitchFamily="34" charset="0"/>
          </a:endParaRPr>
        </a:p>
        <a:p>
          <a:pPr algn="ctr"/>
          <a:r>
            <a:rPr lang="es-MX" sz="1100">
              <a:latin typeface="+mn-lt"/>
            </a:rPr>
            <a:t>_________________________________</a:t>
          </a:r>
        </a:p>
        <a:p>
          <a:pPr algn="ctr"/>
          <a:r>
            <a:rPr lang="es-MX" sz="1100">
              <a:latin typeface="+mn-lt"/>
              <a:cs typeface="Arial" pitchFamily="34" charset="0"/>
            </a:rPr>
            <a:t>C.P. NORA ROSALVA CEPEDA GUERRERO</a:t>
          </a:r>
        </a:p>
      </xdr:txBody>
    </xdr:sp>
    <xdr:clientData/>
  </xdr:twoCellAnchor>
  <xdr:twoCellAnchor editAs="oneCell">
    <xdr:from>
      <xdr:col>0</xdr:col>
      <xdr:colOff>56155</xdr:colOff>
      <xdr:row>0</xdr:row>
      <xdr:rowOff>48720</xdr:rowOff>
    </xdr:from>
    <xdr:to>
      <xdr:col>2</xdr:col>
      <xdr:colOff>47625</xdr:colOff>
      <xdr:row>4</xdr:row>
      <xdr:rowOff>133159</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155" y="48720"/>
          <a:ext cx="1515470" cy="808339"/>
        </a:xfrm>
        <a:prstGeom prst="rect">
          <a:avLst/>
        </a:prstGeom>
      </xdr:spPr>
    </xdr:pic>
    <xdr:clientData/>
  </xdr:twoCellAnchor>
  <xdr:twoCellAnchor editAs="oneCell">
    <xdr:from>
      <xdr:col>8</xdr:col>
      <xdr:colOff>504825</xdr:colOff>
      <xdr:row>0</xdr:row>
      <xdr:rowOff>57151</xdr:rowOff>
    </xdr:from>
    <xdr:to>
      <xdr:col>9</xdr:col>
      <xdr:colOff>1058882</xdr:colOff>
      <xdr:row>4</xdr:row>
      <xdr:rowOff>151729</xdr:rowOff>
    </xdr:to>
    <xdr:pic>
      <xdr:nvPicPr>
        <xdr:cNvPr id="10" name="Imagen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25075" y="57151"/>
          <a:ext cx="1649432" cy="81847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44025</xdr:colOff>
      <xdr:row>106</xdr:row>
      <xdr:rowOff>7989</xdr:rowOff>
    </xdr:from>
    <xdr:to>
      <xdr:col>0</xdr:col>
      <xdr:colOff>2314574</xdr:colOff>
      <xdr:row>110</xdr:row>
      <xdr:rowOff>117231</xdr:rowOff>
    </xdr:to>
    <xdr:sp macro="" textlink="">
      <xdr:nvSpPr>
        <xdr:cNvPr id="2" name="3 CuadroTexto"/>
        <xdr:cNvSpPr txBox="1"/>
      </xdr:nvSpPr>
      <xdr:spPr>
        <a:xfrm>
          <a:off x="44025" y="12961989"/>
          <a:ext cx="2270549" cy="7664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endParaRPr lang="es-MX" sz="800">
            <a:latin typeface="Arial" pitchFamily="34" charset="0"/>
            <a:cs typeface="Arial" pitchFamily="34" charset="0"/>
          </a:endParaRPr>
        </a:p>
        <a:p>
          <a:pPr algn="ctr"/>
          <a:r>
            <a:rPr lang="es-MX" sz="800"/>
            <a:t>________________________________________</a:t>
          </a:r>
        </a:p>
        <a:p>
          <a:pPr algn="ctr"/>
          <a:r>
            <a:rPr lang="es-MX" sz="800">
              <a:latin typeface="Arial" pitchFamily="34" charset="0"/>
              <a:cs typeface="Arial" pitchFamily="34" charset="0"/>
            </a:rPr>
            <a:t>DR. XICOTÉNCATL GONZÁLEZ URESTI</a:t>
          </a:r>
        </a:p>
      </xdr:txBody>
    </xdr:sp>
    <xdr:clientData/>
  </xdr:twoCellAnchor>
  <xdr:twoCellAnchor>
    <xdr:from>
      <xdr:col>0</xdr:col>
      <xdr:colOff>2476500</xdr:colOff>
      <xdr:row>106</xdr:row>
      <xdr:rowOff>8341</xdr:rowOff>
    </xdr:from>
    <xdr:to>
      <xdr:col>0</xdr:col>
      <xdr:colOff>4648199</xdr:colOff>
      <xdr:row>110</xdr:row>
      <xdr:rowOff>117230</xdr:rowOff>
    </xdr:to>
    <xdr:sp macro="" textlink="">
      <xdr:nvSpPr>
        <xdr:cNvPr id="3" name="4 CuadroTexto"/>
        <xdr:cNvSpPr txBox="1"/>
      </xdr:nvSpPr>
      <xdr:spPr>
        <a:xfrm>
          <a:off x="2476500" y="12962341"/>
          <a:ext cx="2171699" cy="7661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endParaRPr lang="es-MX" sz="800">
            <a:latin typeface="Arial" pitchFamily="34" charset="0"/>
            <a:cs typeface="Arial" pitchFamily="34" charset="0"/>
          </a:endParaRPr>
        </a:p>
        <a:p>
          <a:pPr algn="ctr"/>
          <a:r>
            <a:rPr lang="es-MX" sz="800"/>
            <a:t>_______________________________________</a:t>
          </a:r>
        </a:p>
        <a:p>
          <a:pPr algn="ctr"/>
          <a:r>
            <a:rPr lang="es-MX" sz="800">
              <a:latin typeface="Arial" pitchFamily="34" charset="0"/>
              <a:cs typeface="Arial" pitchFamily="34" charset="0"/>
            </a:rPr>
            <a:t>LAP. JOSÉ ALFREDO PEÑA RODRÍGUEZ</a:t>
          </a:r>
        </a:p>
      </xdr:txBody>
    </xdr:sp>
    <xdr:clientData/>
  </xdr:twoCellAnchor>
  <xdr:twoCellAnchor>
    <xdr:from>
      <xdr:col>0</xdr:col>
      <xdr:colOff>4731363</xdr:colOff>
      <xdr:row>106</xdr:row>
      <xdr:rowOff>9639</xdr:rowOff>
    </xdr:from>
    <xdr:to>
      <xdr:col>4</xdr:col>
      <xdr:colOff>561975</xdr:colOff>
      <xdr:row>110</xdr:row>
      <xdr:rowOff>73268</xdr:rowOff>
    </xdr:to>
    <xdr:sp macro="" textlink="">
      <xdr:nvSpPr>
        <xdr:cNvPr id="4" name="5 CuadroTexto"/>
        <xdr:cNvSpPr txBox="1"/>
      </xdr:nvSpPr>
      <xdr:spPr>
        <a:xfrm>
          <a:off x="4731363" y="12963639"/>
          <a:ext cx="2421912" cy="72085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endParaRPr lang="es-MX" sz="800" baseline="0">
            <a:latin typeface="Arial" pitchFamily="34" charset="0"/>
            <a:cs typeface="Arial" pitchFamily="34" charset="0"/>
          </a:endParaRPr>
        </a:p>
        <a:p>
          <a:pPr algn="ctr"/>
          <a:r>
            <a:rPr lang="es-MX" sz="800">
              <a:latin typeface="Arial" pitchFamily="34" charset="0"/>
              <a:cs typeface="Arial" pitchFamily="34" charset="0"/>
            </a:rPr>
            <a:t>___________________________________</a:t>
          </a:r>
        </a:p>
        <a:p>
          <a:pPr algn="ctr"/>
          <a:r>
            <a:rPr lang="es-MX" sz="800">
              <a:latin typeface="Arial" pitchFamily="34" charset="0"/>
              <a:cs typeface="Arial" pitchFamily="34" charset="0"/>
            </a:rPr>
            <a:t>LIC. FRIDA PATRICIA ESCOBAR ORTIZ</a:t>
          </a:r>
        </a:p>
      </xdr:txBody>
    </xdr:sp>
    <xdr:clientData/>
  </xdr:twoCellAnchor>
  <xdr:twoCellAnchor>
    <xdr:from>
      <xdr:col>4</xdr:col>
      <xdr:colOff>542925</xdr:colOff>
      <xdr:row>106</xdr:row>
      <xdr:rowOff>7366</xdr:rowOff>
    </xdr:from>
    <xdr:to>
      <xdr:col>7</xdr:col>
      <xdr:colOff>161925</xdr:colOff>
      <xdr:row>110</xdr:row>
      <xdr:rowOff>87923</xdr:rowOff>
    </xdr:to>
    <xdr:sp macro="" textlink="">
      <xdr:nvSpPr>
        <xdr:cNvPr id="5" name="6 CuadroTexto"/>
        <xdr:cNvSpPr txBox="1"/>
      </xdr:nvSpPr>
      <xdr:spPr>
        <a:xfrm>
          <a:off x="7134225" y="12961366"/>
          <a:ext cx="2381250" cy="7377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endParaRPr lang="es-MX" sz="800">
            <a:latin typeface="Arial" pitchFamily="34" charset="0"/>
            <a:cs typeface="Arial" pitchFamily="34" charset="0"/>
          </a:endParaRPr>
        </a:p>
        <a:p>
          <a:pPr algn="ctr"/>
          <a:r>
            <a:rPr lang="es-MX" sz="800"/>
            <a:t>__________________________________________</a:t>
          </a:r>
        </a:p>
        <a:p>
          <a:pPr algn="ctr"/>
          <a:r>
            <a:rPr lang="es-MX" sz="800">
              <a:latin typeface="Arial" pitchFamily="34" charset="0"/>
              <a:cs typeface="Arial" pitchFamily="34" charset="0"/>
            </a:rPr>
            <a:t>C.P. NORA ROSALVA CEPEDA GUERRERO</a:t>
          </a:r>
        </a:p>
      </xdr:txBody>
    </xdr:sp>
    <xdr:clientData/>
  </xdr:twoCellAnchor>
  <xdr:twoCellAnchor editAs="oneCell">
    <xdr:from>
      <xdr:col>0</xdr:col>
      <xdr:colOff>133350</xdr:colOff>
      <xdr:row>0</xdr:row>
      <xdr:rowOff>190500</xdr:rowOff>
    </xdr:from>
    <xdr:to>
      <xdr:col>0</xdr:col>
      <xdr:colOff>1533525</xdr:colOff>
      <xdr:row>4</xdr:row>
      <xdr:rowOff>167400</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90500"/>
          <a:ext cx="1400175" cy="748425"/>
        </a:xfrm>
        <a:prstGeom prst="rect">
          <a:avLst/>
        </a:prstGeom>
      </xdr:spPr>
    </xdr:pic>
    <xdr:clientData/>
  </xdr:twoCellAnchor>
  <xdr:twoCellAnchor editAs="oneCell">
    <xdr:from>
      <xdr:col>4</xdr:col>
      <xdr:colOff>1190626</xdr:colOff>
      <xdr:row>0</xdr:row>
      <xdr:rowOff>180975</xdr:rowOff>
    </xdr:from>
    <xdr:to>
      <xdr:col>6</xdr:col>
      <xdr:colOff>1380722</xdr:colOff>
      <xdr:row>4</xdr:row>
      <xdr:rowOff>164472</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81926" y="180975"/>
          <a:ext cx="1514071" cy="755022"/>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oneCellAnchor>
    <xdr:from>
      <xdr:col>1</xdr:col>
      <xdr:colOff>47625</xdr:colOff>
      <xdr:row>16</xdr:row>
      <xdr:rowOff>180974</xdr:rowOff>
    </xdr:from>
    <xdr:ext cx="4994782" cy="1121266"/>
    <xdr:sp macro="" textlink="">
      <xdr:nvSpPr>
        <xdr:cNvPr id="8" name="7 Rectángulo"/>
        <xdr:cNvSpPr/>
      </xdr:nvSpPr>
      <xdr:spPr>
        <a:xfrm rot="19095970">
          <a:off x="933450" y="3238499"/>
          <a:ext cx="4994782" cy="1121266"/>
        </a:xfrm>
        <a:prstGeom prst="rect">
          <a:avLst/>
        </a:prstGeom>
        <a:noFill/>
      </xdr:spPr>
      <xdr:txBody>
        <a:bodyPr wrap="square" lIns="91440" tIns="45720" rIns="91440" bIns="45720">
          <a:noAutofit/>
        </a:bodyPr>
        <a:lstStyle/>
        <a:p>
          <a:pPr algn="ctr"/>
          <a:r>
            <a:rPr lang="es-ES" sz="4000" b="1" cap="none" spc="0">
              <a:ln w="3175"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SIN MOVIMIENTOS</a:t>
          </a:r>
        </a:p>
      </xdr:txBody>
    </xdr:sp>
    <xdr:clientData/>
  </xdr:oneCellAnchor>
  <xdr:twoCellAnchor editAs="oneCell">
    <xdr:from>
      <xdr:col>0</xdr:col>
      <xdr:colOff>38100</xdr:colOff>
      <xdr:row>0</xdr:row>
      <xdr:rowOff>77296</xdr:rowOff>
    </xdr:from>
    <xdr:to>
      <xdr:col>1</xdr:col>
      <xdr:colOff>257205</xdr:colOff>
      <xdr:row>3</xdr:row>
      <xdr:rowOff>95156</xdr:rowOff>
    </xdr:to>
    <xdr:pic>
      <xdr:nvPicPr>
        <xdr:cNvPr id="9" name="Imagen 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77296"/>
          <a:ext cx="1104930" cy="589360"/>
        </a:xfrm>
        <a:prstGeom prst="rect">
          <a:avLst/>
        </a:prstGeom>
      </xdr:spPr>
    </xdr:pic>
    <xdr:clientData/>
  </xdr:twoCellAnchor>
  <xdr:twoCellAnchor editAs="oneCell">
    <xdr:from>
      <xdr:col>6</xdr:col>
      <xdr:colOff>371320</xdr:colOff>
      <xdr:row>0</xdr:row>
      <xdr:rowOff>57150</xdr:rowOff>
    </xdr:from>
    <xdr:to>
      <xdr:col>7</xdr:col>
      <xdr:colOff>701076</xdr:colOff>
      <xdr:row>3</xdr:row>
      <xdr:rowOff>107749</xdr:rowOff>
    </xdr:to>
    <xdr:pic>
      <xdr:nvPicPr>
        <xdr:cNvPr id="10" name="Imagen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57670" y="57150"/>
          <a:ext cx="1253681" cy="622099"/>
        </a:xfrm>
        <a:prstGeom prst="rect">
          <a:avLst/>
        </a:prstGeom>
      </xdr:spPr>
    </xdr:pic>
    <xdr:clientData/>
  </xdr:twoCellAnchor>
  <xdr:twoCellAnchor>
    <xdr:from>
      <xdr:col>3</xdr:col>
      <xdr:colOff>700645</xdr:colOff>
      <xdr:row>41</xdr:row>
      <xdr:rowOff>158253</xdr:rowOff>
    </xdr:from>
    <xdr:to>
      <xdr:col>5</xdr:col>
      <xdr:colOff>687658</xdr:colOff>
      <xdr:row>44</xdr:row>
      <xdr:rowOff>182558</xdr:rowOff>
    </xdr:to>
    <xdr:sp macro="" textlink="">
      <xdr:nvSpPr>
        <xdr:cNvPr id="11" name="16 CuadroTexto"/>
        <xdr:cNvSpPr txBox="1"/>
      </xdr:nvSpPr>
      <xdr:spPr>
        <a:xfrm>
          <a:off x="2986645" y="8749803"/>
          <a:ext cx="1511013"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SINDICO</a:t>
          </a:r>
          <a:r>
            <a:rPr lang="es-MX" sz="550" baseline="0">
              <a:latin typeface="Arial" pitchFamily="34" charset="0"/>
              <a:cs typeface="Arial" pitchFamily="34" charset="0"/>
            </a:rPr>
            <a:t> MUNICIPAL</a:t>
          </a:r>
        </a:p>
        <a:p>
          <a:pPr algn="ctr"/>
          <a:endParaRPr lang="es-MX" sz="550" baseline="0">
            <a:latin typeface="Arial" pitchFamily="34" charset="0"/>
            <a:cs typeface="Arial" pitchFamily="34" charset="0"/>
          </a:endParaRPr>
        </a:p>
        <a:p>
          <a:pPr algn="ctr"/>
          <a:endParaRPr lang="es-MX" sz="550" baseline="0">
            <a:latin typeface="Arial" pitchFamily="34" charset="0"/>
            <a:cs typeface="Arial" pitchFamily="34" charset="0"/>
          </a:endParaRPr>
        </a:p>
        <a:p>
          <a:pPr algn="ctr"/>
          <a:r>
            <a:rPr lang="es-MX" sz="550">
              <a:latin typeface="Arial" pitchFamily="34" charset="0"/>
              <a:cs typeface="Arial" pitchFamily="34" charset="0"/>
            </a:rPr>
            <a:t>__________________________________</a:t>
          </a:r>
        </a:p>
        <a:p>
          <a:pPr algn="ctr"/>
          <a:r>
            <a:rPr lang="es-MX" sz="550">
              <a:latin typeface="Arial" pitchFamily="34" charset="0"/>
              <a:cs typeface="Arial" pitchFamily="34" charset="0"/>
            </a:rPr>
            <a:t>LIC. FRIDA PATRICIA ESCOBAR ORTIZ</a:t>
          </a:r>
        </a:p>
      </xdr:txBody>
    </xdr:sp>
    <xdr:clientData/>
  </xdr:twoCellAnchor>
  <xdr:twoCellAnchor>
    <xdr:from>
      <xdr:col>1</xdr:col>
      <xdr:colOff>738766</xdr:colOff>
      <xdr:row>41</xdr:row>
      <xdr:rowOff>154565</xdr:rowOff>
    </xdr:from>
    <xdr:to>
      <xdr:col>4</xdr:col>
      <xdr:colOff>4646</xdr:colOff>
      <xdr:row>44</xdr:row>
      <xdr:rowOff>185854</xdr:rowOff>
    </xdr:to>
    <xdr:sp macro="" textlink="">
      <xdr:nvSpPr>
        <xdr:cNvPr id="12" name="8 CuadroTexto"/>
        <xdr:cNvSpPr txBox="1"/>
      </xdr:nvSpPr>
      <xdr:spPr>
        <a:xfrm>
          <a:off x="1500766" y="8746115"/>
          <a:ext cx="1551880" cy="602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TESORERO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LAP. JOSÉ ALFREDO PEÑA RODRÍGUEZ</a:t>
          </a:r>
        </a:p>
      </xdr:txBody>
    </xdr:sp>
    <xdr:clientData/>
  </xdr:twoCellAnchor>
  <xdr:twoCellAnchor>
    <xdr:from>
      <xdr:col>5</xdr:col>
      <xdr:colOff>637011</xdr:colOff>
      <xdr:row>41</xdr:row>
      <xdr:rowOff>158595</xdr:rowOff>
    </xdr:from>
    <xdr:to>
      <xdr:col>7</xdr:col>
      <xdr:colOff>748059</xdr:colOff>
      <xdr:row>44</xdr:row>
      <xdr:rowOff>190500</xdr:rowOff>
    </xdr:to>
    <xdr:sp macro="" textlink="">
      <xdr:nvSpPr>
        <xdr:cNvPr id="13" name="10 CuadroTexto"/>
        <xdr:cNvSpPr txBox="1"/>
      </xdr:nvSpPr>
      <xdr:spPr>
        <a:xfrm>
          <a:off x="4447011" y="8750145"/>
          <a:ext cx="1635048" cy="603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CONTRALOR</a:t>
          </a:r>
          <a:r>
            <a:rPr lang="es-MX" sz="550" baseline="0">
              <a:latin typeface="Arial" pitchFamily="34" charset="0"/>
              <a:cs typeface="Arial" pitchFamily="34" charset="0"/>
            </a:rPr>
            <a:t>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_____________________________________</a:t>
          </a:r>
        </a:p>
        <a:p>
          <a:pPr algn="ctr"/>
          <a:r>
            <a:rPr lang="es-MX" sz="550">
              <a:latin typeface="Arial" pitchFamily="34" charset="0"/>
              <a:cs typeface="Arial" pitchFamily="34" charset="0"/>
            </a:rPr>
            <a:t>C.P. NORA ROSALVA CEPEDA GUERRERO</a:t>
          </a:r>
        </a:p>
      </xdr:txBody>
    </xdr:sp>
    <xdr:clientData/>
  </xdr:twoCellAnchor>
  <xdr:twoCellAnchor>
    <xdr:from>
      <xdr:col>0</xdr:col>
      <xdr:colOff>1</xdr:colOff>
      <xdr:row>41</xdr:row>
      <xdr:rowOff>153672</xdr:rowOff>
    </xdr:from>
    <xdr:to>
      <xdr:col>2</xdr:col>
      <xdr:colOff>32524</xdr:colOff>
      <xdr:row>44</xdr:row>
      <xdr:rowOff>190500</xdr:rowOff>
    </xdr:to>
    <xdr:sp macro="" textlink="">
      <xdr:nvSpPr>
        <xdr:cNvPr id="14" name="14 CuadroTexto"/>
        <xdr:cNvSpPr txBox="1"/>
      </xdr:nvSpPr>
      <xdr:spPr>
        <a:xfrm>
          <a:off x="1" y="8745222"/>
          <a:ext cx="1556523" cy="608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PRESIDENTE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DR. XICOTÉNCATL GONZÁLEZ URESTI</a:t>
          </a:r>
        </a:p>
      </xdr:txBody>
    </xdr:sp>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19050</xdr:colOff>
      <xdr:row>0</xdr:row>
      <xdr:rowOff>39196</xdr:rowOff>
    </xdr:from>
    <xdr:to>
      <xdr:col>1</xdr:col>
      <xdr:colOff>361980</xdr:colOff>
      <xdr:row>3</xdr:row>
      <xdr:rowOff>57056</xdr:rowOff>
    </xdr:to>
    <xdr:pic>
      <xdr:nvPicPr>
        <xdr:cNvPr id="10"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39196"/>
          <a:ext cx="1104930" cy="589360"/>
        </a:xfrm>
        <a:prstGeom prst="rect">
          <a:avLst/>
        </a:prstGeom>
      </xdr:spPr>
    </xdr:pic>
    <xdr:clientData/>
  </xdr:twoCellAnchor>
  <xdr:twoCellAnchor editAs="oneCell">
    <xdr:from>
      <xdr:col>6</xdr:col>
      <xdr:colOff>190345</xdr:colOff>
      <xdr:row>0</xdr:row>
      <xdr:rowOff>76200</xdr:rowOff>
    </xdr:from>
    <xdr:to>
      <xdr:col>7</xdr:col>
      <xdr:colOff>682026</xdr:colOff>
      <xdr:row>3</xdr:row>
      <xdr:rowOff>126799</xdr:rowOff>
    </xdr:to>
    <xdr:pic>
      <xdr:nvPicPr>
        <xdr:cNvPr id="11" name="Imagen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345" y="76200"/>
          <a:ext cx="1253681" cy="622099"/>
        </a:xfrm>
        <a:prstGeom prst="rect">
          <a:avLst/>
        </a:prstGeom>
      </xdr:spPr>
    </xdr:pic>
    <xdr:clientData/>
  </xdr:twoCellAnchor>
  <xdr:twoCellAnchor>
    <xdr:from>
      <xdr:col>3</xdr:col>
      <xdr:colOff>700645</xdr:colOff>
      <xdr:row>39</xdr:row>
      <xdr:rowOff>158253</xdr:rowOff>
    </xdr:from>
    <xdr:to>
      <xdr:col>5</xdr:col>
      <xdr:colOff>687658</xdr:colOff>
      <xdr:row>42</xdr:row>
      <xdr:rowOff>182558</xdr:rowOff>
    </xdr:to>
    <xdr:sp macro="" textlink="">
      <xdr:nvSpPr>
        <xdr:cNvPr id="12" name="16 CuadroTexto"/>
        <xdr:cNvSpPr txBox="1"/>
      </xdr:nvSpPr>
      <xdr:spPr>
        <a:xfrm>
          <a:off x="3310495" y="7987803"/>
          <a:ext cx="1701513"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SINDICO</a:t>
          </a:r>
          <a:r>
            <a:rPr lang="es-MX" sz="550" baseline="0">
              <a:latin typeface="Arial" pitchFamily="34" charset="0"/>
              <a:cs typeface="Arial" pitchFamily="34" charset="0"/>
            </a:rPr>
            <a:t> MUNICIPAL</a:t>
          </a:r>
        </a:p>
        <a:p>
          <a:pPr algn="ctr"/>
          <a:endParaRPr lang="es-MX" sz="550" baseline="0">
            <a:latin typeface="Arial" pitchFamily="34" charset="0"/>
            <a:cs typeface="Arial" pitchFamily="34" charset="0"/>
          </a:endParaRPr>
        </a:p>
        <a:p>
          <a:pPr algn="ctr"/>
          <a:endParaRPr lang="es-MX" sz="550" baseline="0">
            <a:latin typeface="Arial" pitchFamily="34" charset="0"/>
            <a:cs typeface="Arial" pitchFamily="34" charset="0"/>
          </a:endParaRPr>
        </a:p>
        <a:p>
          <a:pPr algn="ctr"/>
          <a:r>
            <a:rPr lang="es-MX" sz="550">
              <a:latin typeface="Arial" pitchFamily="34" charset="0"/>
              <a:cs typeface="Arial" pitchFamily="34" charset="0"/>
            </a:rPr>
            <a:t>__________________________________</a:t>
          </a:r>
        </a:p>
        <a:p>
          <a:pPr algn="ctr"/>
          <a:r>
            <a:rPr lang="es-MX" sz="550">
              <a:latin typeface="Arial" pitchFamily="34" charset="0"/>
              <a:cs typeface="Arial" pitchFamily="34" charset="0"/>
            </a:rPr>
            <a:t>LIC. FRIDA PATRICIA ESCOBAR ORTIZ</a:t>
          </a:r>
        </a:p>
      </xdr:txBody>
    </xdr:sp>
    <xdr:clientData/>
  </xdr:twoCellAnchor>
  <xdr:twoCellAnchor>
    <xdr:from>
      <xdr:col>1</xdr:col>
      <xdr:colOff>738766</xdr:colOff>
      <xdr:row>39</xdr:row>
      <xdr:rowOff>154565</xdr:rowOff>
    </xdr:from>
    <xdr:to>
      <xdr:col>4</xdr:col>
      <xdr:colOff>4646</xdr:colOff>
      <xdr:row>42</xdr:row>
      <xdr:rowOff>185854</xdr:rowOff>
    </xdr:to>
    <xdr:sp macro="" textlink="">
      <xdr:nvSpPr>
        <xdr:cNvPr id="13" name="8 CuadroTexto"/>
        <xdr:cNvSpPr txBox="1"/>
      </xdr:nvSpPr>
      <xdr:spPr>
        <a:xfrm>
          <a:off x="1624591" y="7984115"/>
          <a:ext cx="1751905" cy="602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TESORERO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LAP. JOSÉ ALFREDO PEÑA RODRÍGUEZ</a:t>
          </a:r>
        </a:p>
      </xdr:txBody>
    </xdr:sp>
    <xdr:clientData/>
  </xdr:twoCellAnchor>
  <xdr:twoCellAnchor>
    <xdr:from>
      <xdr:col>5</xdr:col>
      <xdr:colOff>637011</xdr:colOff>
      <xdr:row>39</xdr:row>
      <xdr:rowOff>158595</xdr:rowOff>
    </xdr:from>
    <xdr:to>
      <xdr:col>7</xdr:col>
      <xdr:colOff>748059</xdr:colOff>
      <xdr:row>42</xdr:row>
      <xdr:rowOff>190500</xdr:rowOff>
    </xdr:to>
    <xdr:sp macro="" textlink="">
      <xdr:nvSpPr>
        <xdr:cNvPr id="18" name="10 CuadroTexto"/>
        <xdr:cNvSpPr txBox="1"/>
      </xdr:nvSpPr>
      <xdr:spPr>
        <a:xfrm>
          <a:off x="4961361" y="7988145"/>
          <a:ext cx="1796973" cy="603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CONTRALOR</a:t>
          </a:r>
          <a:r>
            <a:rPr lang="es-MX" sz="550" baseline="0">
              <a:latin typeface="Arial" pitchFamily="34" charset="0"/>
              <a:cs typeface="Arial" pitchFamily="34" charset="0"/>
            </a:rPr>
            <a:t>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_____________________________________</a:t>
          </a:r>
        </a:p>
        <a:p>
          <a:pPr algn="ctr"/>
          <a:r>
            <a:rPr lang="es-MX" sz="550">
              <a:latin typeface="Arial" pitchFamily="34" charset="0"/>
              <a:cs typeface="Arial" pitchFamily="34" charset="0"/>
            </a:rPr>
            <a:t>C.P. NORA ROSALVA CEPEDA GUERRERO</a:t>
          </a:r>
        </a:p>
      </xdr:txBody>
    </xdr:sp>
    <xdr:clientData/>
  </xdr:twoCellAnchor>
  <xdr:twoCellAnchor>
    <xdr:from>
      <xdr:col>0</xdr:col>
      <xdr:colOff>1</xdr:colOff>
      <xdr:row>39</xdr:row>
      <xdr:rowOff>153672</xdr:rowOff>
    </xdr:from>
    <xdr:to>
      <xdr:col>2</xdr:col>
      <xdr:colOff>32524</xdr:colOff>
      <xdr:row>42</xdr:row>
      <xdr:rowOff>190500</xdr:rowOff>
    </xdr:to>
    <xdr:sp macro="" textlink="">
      <xdr:nvSpPr>
        <xdr:cNvPr id="19" name="14 CuadroTexto"/>
        <xdr:cNvSpPr txBox="1"/>
      </xdr:nvSpPr>
      <xdr:spPr>
        <a:xfrm>
          <a:off x="1" y="7983222"/>
          <a:ext cx="1680348" cy="608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PRESIDENTE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DR. XICOTÉNCATL GONZÁLEZ URESTI</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0</xdr:col>
      <xdr:colOff>0</xdr:colOff>
      <xdr:row>88</xdr:row>
      <xdr:rowOff>21435</xdr:rowOff>
    </xdr:from>
    <xdr:to>
      <xdr:col>4</xdr:col>
      <xdr:colOff>214313</xdr:colOff>
      <xdr:row>95</xdr:row>
      <xdr:rowOff>111125</xdr:rowOff>
    </xdr:to>
    <xdr:sp macro="" textlink="">
      <xdr:nvSpPr>
        <xdr:cNvPr id="4" name="3 CuadroTexto"/>
        <xdr:cNvSpPr txBox="1"/>
      </xdr:nvSpPr>
      <xdr:spPr>
        <a:xfrm>
          <a:off x="0" y="8046248"/>
          <a:ext cx="3083719" cy="11791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200">
              <a:latin typeface="Arial" pitchFamily="34" charset="0"/>
              <a:cs typeface="Arial" pitchFamily="34" charset="0"/>
            </a:rPr>
            <a:t>PRESIDENTE MUNICIPAL</a:t>
          </a:r>
        </a:p>
        <a:p>
          <a:pPr algn="ctr"/>
          <a:endParaRPr lang="es-MX" sz="1200">
            <a:latin typeface="Arial" pitchFamily="34" charset="0"/>
            <a:cs typeface="Arial" pitchFamily="34" charset="0"/>
          </a:endParaRPr>
        </a:p>
        <a:p>
          <a:pPr algn="ctr"/>
          <a:r>
            <a:rPr lang="es-MX" sz="1200"/>
            <a:t>______________________________________</a:t>
          </a:r>
        </a:p>
        <a:p>
          <a:pPr algn="ctr"/>
          <a:r>
            <a:rPr lang="es-MX" sz="1200">
              <a:solidFill>
                <a:schemeClr val="dk1"/>
              </a:solidFill>
              <a:effectLst/>
              <a:latin typeface="Arial" panose="020B0604020202020204" pitchFamily="34" charset="0"/>
              <a:ea typeface="+mn-ea"/>
              <a:cs typeface="Arial" panose="020B0604020202020204" pitchFamily="34" charset="0"/>
            </a:rPr>
            <a:t>DR. XICOTÉNCATL GONZÁLEZ URESTI</a:t>
          </a:r>
        </a:p>
      </xdr:txBody>
    </xdr:sp>
    <xdr:clientData/>
  </xdr:twoCellAnchor>
  <xdr:twoCellAnchor>
    <xdr:from>
      <xdr:col>4</xdr:col>
      <xdr:colOff>198984</xdr:colOff>
      <xdr:row>88</xdr:row>
      <xdr:rowOff>22914</xdr:rowOff>
    </xdr:from>
    <xdr:to>
      <xdr:col>8</xdr:col>
      <xdr:colOff>101203</xdr:colOff>
      <xdr:row>95</xdr:row>
      <xdr:rowOff>47625</xdr:rowOff>
    </xdr:to>
    <xdr:sp macro="" textlink="">
      <xdr:nvSpPr>
        <xdr:cNvPr id="5" name="4 CuadroTexto"/>
        <xdr:cNvSpPr txBox="1"/>
      </xdr:nvSpPr>
      <xdr:spPr>
        <a:xfrm>
          <a:off x="3068390" y="8047727"/>
          <a:ext cx="3247876" cy="111413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200">
              <a:latin typeface="Arial" pitchFamily="34" charset="0"/>
              <a:cs typeface="Arial" pitchFamily="34" charset="0"/>
            </a:rPr>
            <a:t>TESORERO MUNICIPAL</a:t>
          </a:r>
        </a:p>
        <a:p>
          <a:pPr algn="ctr"/>
          <a:endParaRPr lang="es-MX" sz="1200">
            <a:latin typeface="Arial" pitchFamily="34" charset="0"/>
            <a:cs typeface="Arial" pitchFamily="34" charset="0"/>
          </a:endParaRPr>
        </a:p>
        <a:p>
          <a:pPr algn="ctr"/>
          <a:r>
            <a:rPr lang="es-MX" sz="1200"/>
            <a:t>_______________________________________</a:t>
          </a:r>
        </a:p>
        <a:p>
          <a:pPr algn="ctr"/>
          <a:r>
            <a:rPr lang="es-MX" sz="1200">
              <a:solidFill>
                <a:schemeClr val="dk1"/>
              </a:solidFill>
              <a:effectLst/>
              <a:latin typeface="Arial" panose="020B0604020202020204" pitchFamily="34" charset="0"/>
              <a:ea typeface="+mn-ea"/>
              <a:cs typeface="Arial" panose="020B0604020202020204" pitchFamily="34" charset="0"/>
            </a:rPr>
            <a:t>LAP. JOSÉ ALFREDO PEÑA RODRÍGUEZ</a:t>
          </a:r>
        </a:p>
      </xdr:txBody>
    </xdr:sp>
    <xdr:clientData/>
  </xdr:twoCellAnchor>
  <xdr:twoCellAnchor>
    <xdr:from>
      <xdr:col>7</xdr:col>
      <xdr:colOff>827487</xdr:colOff>
      <xdr:row>88</xdr:row>
      <xdr:rowOff>17920</xdr:rowOff>
    </xdr:from>
    <xdr:to>
      <xdr:col>12</xdr:col>
      <xdr:colOff>181375</xdr:colOff>
      <xdr:row>93</xdr:row>
      <xdr:rowOff>138917</xdr:rowOff>
    </xdr:to>
    <xdr:sp macro="" textlink="">
      <xdr:nvSpPr>
        <xdr:cNvPr id="6" name="5 CuadroTexto"/>
        <xdr:cNvSpPr txBox="1"/>
      </xdr:nvSpPr>
      <xdr:spPr>
        <a:xfrm>
          <a:off x="6203159" y="8042733"/>
          <a:ext cx="3485357" cy="8889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200">
              <a:latin typeface="Arial" pitchFamily="34" charset="0"/>
              <a:cs typeface="Arial" pitchFamily="34" charset="0"/>
            </a:rPr>
            <a:t>SINDICO</a:t>
          </a:r>
          <a:r>
            <a:rPr lang="es-MX" sz="1200" baseline="0">
              <a:latin typeface="Arial" pitchFamily="34" charset="0"/>
              <a:cs typeface="Arial" pitchFamily="34" charset="0"/>
            </a:rPr>
            <a:t> MUNICIPAL</a:t>
          </a:r>
        </a:p>
        <a:p>
          <a:pPr algn="ctr"/>
          <a:endParaRPr lang="es-MX" sz="1200" baseline="0">
            <a:latin typeface="Arial" pitchFamily="34" charset="0"/>
            <a:cs typeface="Arial" pitchFamily="34" charset="0"/>
          </a:endParaRPr>
        </a:p>
        <a:p>
          <a:pPr algn="ctr"/>
          <a:r>
            <a:rPr lang="es-MX" sz="1200">
              <a:latin typeface="Arial" pitchFamily="34" charset="0"/>
              <a:cs typeface="Arial" pitchFamily="34" charset="0"/>
            </a:rPr>
            <a:t>__________________________________</a:t>
          </a:r>
        </a:p>
        <a:p>
          <a:pPr algn="ctr"/>
          <a:r>
            <a:rPr lang="es-MX" sz="1200">
              <a:solidFill>
                <a:schemeClr val="dk1"/>
              </a:solidFill>
              <a:effectLst/>
              <a:latin typeface="Arial" panose="020B0604020202020204" pitchFamily="34" charset="0"/>
              <a:ea typeface="+mn-ea"/>
              <a:cs typeface="Arial" panose="020B0604020202020204" pitchFamily="34" charset="0"/>
            </a:rPr>
            <a:t>LIC. FRIDA PATRICIA ESCOBAR ORTIZ</a:t>
          </a:r>
        </a:p>
      </xdr:txBody>
    </xdr:sp>
    <xdr:clientData/>
  </xdr:twoCellAnchor>
  <xdr:twoCellAnchor>
    <xdr:from>
      <xdr:col>12</xdr:col>
      <xdr:colOff>23812</xdr:colOff>
      <xdr:row>88</xdr:row>
      <xdr:rowOff>14115</xdr:rowOff>
    </xdr:from>
    <xdr:to>
      <xdr:col>16</xdr:col>
      <xdr:colOff>0</xdr:colOff>
      <xdr:row>94</xdr:row>
      <xdr:rowOff>66675</xdr:rowOff>
    </xdr:to>
    <xdr:sp macro="" textlink="">
      <xdr:nvSpPr>
        <xdr:cNvPr id="7" name="6 CuadroTexto"/>
        <xdr:cNvSpPr txBox="1"/>
      </xdr:nvSpPr>
      <xdr:spPr>
        <a:xfrm>
          <a:off x="9530953" y="8038928"/>
          <a:ext cx="3357563" cy="9812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200">
              <a:latin typeface="Arial" pitchFamily="34" charset="0"/>
              <a:cs typeface="Arial" pitchFamily="34" charset="0"/>
            </a:rPr>
            <a:t>CONTRALOR</a:t>
          </a:r>
          <a:r>
            <a:rPr lang="es-MX" sz="1200" baseline="0">
              <a:latin typeface="Arial" pitchFamily="34" charset="0"/>
              <a:cs typeface="Arial" pitchFamily="34" charset="0"/>
            </a:rPr>
            <a:t> MUNICIPAL</a:t>
          </a:r>
        </a:p>
        <a:p>
          <a:pPr algn="ctr"/>
          <a:endParaRPr lang="es-MX" sz="1200">
            <a:latin typeface="Arial" pitchFamily="34" charset="0"/>
            <a:cs typeface="Arial" pitchFamily="34" charset="0"/>
          </a:endParaRPr>
        </a:p>
        <a:p>
          <a:pPr algn="ctr"/>
          <a:r>
            <a:rPr lang="es-MX" sz="1200"/>
            <a:t>_________________________________________</a:t>
          </a:r>
        </a:p>
        <a:p>
          <a:pPr algn="ctr"/>
          <a:r>
            <a:rPr lang="es-MX" sz="1200">
              <a:latin typeface="Arial" pitchFamily="34" charset="0"/>
              <a:cs typeface="Arial" pitchFamily="34" charset="0"/>
            </a:rPr>
            <a:t>C.P. NORA ROSALVA CEPEDA GUERRERO</a:t>
          </a:r>
        </a:p>
      </xdr:txBody>
    </xdr:sp>
    <xdr:clientData/>
  </xdr:twoCellAnchor>
  <xdr:twoCellAnchor editAs="oneCell">
    <xdr:from>
      <xdr:col>2</xdr:col>
      <xdr:colOff>76200</xdr:colOff>
      <xdr:row>1</xdr:row>
      <xdr:rowOff>38099</xdr:rowOff>
    </xdr:from>
    <xdr:to>
      <xdr:col>2</xdr:col>
      <xdr:colOff>1701226</xdr:colOff>
      <xdr:row>4</xdr:row>
      <xdr:rowOff>104774</xdr:rowOff>
    </xdr:to>
    <xdr:pic>
      <xdr:nvPicPr>
        <xdr:cNvPr id="10"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38099"/>
          <a:ext cx="1625026" cy="866775"/>
        </a:xfrm>
        <a:prstGeom prst="rect">
          <a:avLst/>
        </a:prstGeom>
      </xdr:spPr>
    </xdr:pic>
    <xdr:clientData/>
  </xdr:twoCellAnchor>
  <xdr:twoCellAnchor editAs="oneCell">
    <xdr:from>
      <xdr:col>13</xdr:col>
      <xdr:colOff>704695</xdr:colOff>
      <xdr:row>1</xdr:row>
      <xdr:rowOff>0</xdr:rowOff>
    </xdr:from>
    <xdr:to>
      <xdr:col>15</xdr:col>
      <xdr:colOff>881615</xdr:colOff>
      <xdr:row>4</xdr:row>
      <xdr:rowOff>114824</xdr:rowOff>
    </xdr:to>
    <xdr:pic>
      <xdr:nvPicPr>
        <xdr:cNvPr id="11" name="Imagen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91695" y="0"/>
          <a:ext cx="1843795" cy="91492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1</xdr:col>
      <xdr:colOff>704850</xdr:colOff>
      <xdr:row>69</xdr:row>
      <xdr:rowOff>92075</xdr:rowOff>
    </xdr:from>
    <xdr:to>
      <xdr:col>3</xdr:col>
      <xdr:colOff>911680</xdr:colOff>
      <xdr:row>74</xdr:row>
      <xdr:rowOff>59512</xdr:rowOff>
    </xdr:to>
    <xdr:sp macro="" textlink="">
      <xdr:nvSpPr>
        <xdr:cNvPr id="4" name="3 CuadroTexto"/>
        <xdr:cNvSpPr txBox="1"/>
      </xdr:nvSpPr>
      <xdr:spPr>
        <a:xfrm>
          <a:off x="3105150" y="8721725"/>
          <a:ext cx="2407105" cy="8627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TESORERO MUNICIPAL</a:t>
          </a:r>
        </a:p>
        <a:p>
          <a:pPr algn="ctr"/>
          <a:endParaRPr lang="es-MX" sz="900">
            <a:latin typeface="Arial" pitchFamily="34" charset="0"/>
            <a:cs typeface="Arial" pitchFamily="34" charset="0"/>
          </a:endParaRPr>
        </a:p>
        <a:p>
          <a:pPr algn="ctr"/>
          <a:r>
            <a:rPr lang="es-MX" sz="1100"/>
            <a:t>______________________________</a:t>
          </a:r>
        </a:p>
        <a:p>
          <a:pPr algn="ctr"/>
          <a:r>
            <a:rPr lang="es-MX" sz="900">
              <a:latin typeface="Arial" pitchFamily="34" charset="0"/>
              <a:cs typeface="Arial" pitchFamily="34" charset="0"/>
            </a:rPr>
            <a:t>JOSÉ ALFREDO PEÑA RODRÍGUEZ</a:t>
          </a:r>
        </a:p>
      </xdr:txBody>
    </xdr:sp>
    <xdr:clientData/>
  </xdr:twoCellAnchor>
  <xdr:twoCellAnchor>
    <xdr:from>
      <xdr:col>0</xdr:col>
      <xdr:colOff>2271</xdr:colOff>
      <xdr:row>69</xdr:row>
      <xdr:rowOff>99786</xdr:rowOff>
    </xdr:from>
    <xdr:to>
      <xdr:col>1</xdr:col>
      <xdr:colOff>361951</xdr:colOff>
      <xdr:row>74</xdr:row>
      <xdr:rowOff>89734</xdr:rowOff>
    </xdr:to>
    <xdr:sp macro="" textlink="">
      <xdr:nvSpPr>
        <xdr:cNvPr id="5" name="4 CuadroTexto"/>
        <xdr:cNvSpPr txBox="1"/>
      </xdr:nvSpPr>
      <xdr:spPr>
        <a:xfrm>
          <a:off x="2271" y="8729436"/>
          <a:ext cx="2759980" cy="88529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PRESIDENTE MUNICIPAL</a:t>
          </a:r>
        </a:p>
        <a:p>
          <a:pPr algn="ctr"/>
          <a:endParaRPr lang="es-MX" sz="900">
            <a:latin typeface="Arial" pitchFamily="34" charset="0"/>
            <a:cs typeface="Arial" pitchFamily="34" charset="0"/>
          </a:endParaRPr>
        </a:p>
        <a:p>
          <a:pPr algn="ctr"/>
          <a:r>
            <a:rPr lang="es-MX" sz="1100"/>
            <a:t>_______________________________</a:t>
          </a:r>
        </a:p>
        <a:p>
          <a:pPr algn="ctr"/>
          <a:r>
            <a:rPr lang="es-MX" sz="900">
              <a:latin typeface="Arial" pitchFamily="34" charset="0"/>
              <a:cs typeface="Arial" pitchFamily="34" charset="0"/>
            </a:rPr>
            <a:t>DR. XICOTÉNCATL GONZÁLEZ URESTI</a:t>
          </a:r>
        </a:p>
      </xdr:txBody>
    </xdr:sp>
    <xdr:clientData/>
  </xdr:twoCellAnchor>
  <xdr:twoCellAnchor>
    <xdr:from>
      <xdr:col>4</xdr:col>
      <xdr:colOff>17694</xdr:colOff>
      <xdr:row>69</xdr:row>
      <xdr:rowOff>129268</xdr:rowOff>
    </xdr:from>
    <xdr:to>
      <xdr:col>6</xdr:col>
      <xdr:colOff>937537</xdr:colOff>
      <xdr:row>74</xdr:row>
      <xdr:rowOff>11906</xdr:rowOff>
    </xdr:to>
    <xdr:sp macro="" textlink="">
      <xdr:nvSpPr>
        <xdr:cNvPr id="6" name="5 CuadroTexto"/>
        <xdr:cNvSpPr txBox="1"/>
      </xdr:nvSpPr>
      <xdr:spPr>
        <a:xfrm>
          <a:off x="5744600" y="8767252"/>
          <a:ext cx="2765312" cy="7756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SINDICO</a:t>
          </a:r>
          <a:r>
            <a:rPr lang="es-MX" sz="900" baseline="0">
              <a:latin typeface="Arial" pitchFamily="34" charset="0"/>
              <a:cs typeface="Arial" pitchFamily="34" charset="0"/>
            </a:rPr>
            <a:t> MUNICIPAL</a:t>
          </a:r>
        </a:p>
        <a:p>
          <a:pPr algn="ctr"/>
          <a:endParaRPr lang="es-MX" sz="900" baseline="0">
            <a:latin typeface="Arial" pitchFamily="34" charset="0"/>
            <a:cs typeface="Arial" pitchFamily="34" charset="0"/>
          </a:endParaRPr>
        </a:p>
        <a:p>
          <a:pPr algn="ctr"/>
          <a:r>
            <a:rPr lang="es-MX" sz="900">
              <a:latin typeface="Arial" pitchFamily="34" charset="0"/>
              <a:cs typeface="Arial" pitchFamily="34" charset="0"/>
            </a:rPr>
            <a:t>__________________________________</a:t>
          </a:r>
        </a:p>
        <a:p>
          <a:pPr algn="ctr"/>
          <a:r>
            <a:rPr lang="es-MX" sz="900">
              <a:latin typeface="Arial" pitchFamily="34" charset="0"/>
              <a:cs typeface="Arial" pitchFamily="34" charset="0"/>
            </a:rPr>
            <a:t>LIC. FRIDA PATRICIA ESCOBAR ORTIZ</a:t>
          </a:r>
        </a:p>
      </xdr:txBody>
    </xdr:sp>
    <xdr:clientData/>
  </xdr:twoCellAnchor>
  <xdr:twoCellAnchor>
    <xdr:from>
      <xdr:col>7</xdr:col>
      <xdr:colOff>418188</xdr:colOff>
      <xdr:row>69</xdr:row>
      <xdr:rowOff>83911</xdr:rowOff>
    </xdr:from>
    <xdr:to>
      <xdr:col>9</xdr:col>
      <xdr:colOff>1047750</xdr:colOff>
      <xdr:row>74</xdr:row>
      <xdr:rowOff>36722</xdr:rowOff>
    </xdr:to>
    <xdr:sp macro="" textlink="">
      <xdr:nvSpPr>
        <xdr:cNvPr id="7" name="6 CuadroTexto"/>
        <xdr:cNvSpPr txBox="1"/>
      </xdr:nvSpPr>
      <xdr:spPr>
        <a:xfrm>
          <a:off x="9066888" y="8713561"/>
          <a:ext cx="2563137" cy="8481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Arial" pitchFamily="34" charset="0"/>
              <a:cs typeface="Arial" pitchFamily="34" charset="0"/>
            </a:rPr>
            <a:t>CONTRALOR</a:t>
          </a:r>
          <a:r>
            <a:rPr lang="es-MX" sz="900" baseline="0">
              <a:latin typeface="Arial" pitchFamily="34" charset="0"/>
              <a:cs typeface="Arial" pitchFamily="34" charset="0"/>
            </a:rPr>
            <a:t> MUNICIPAL</a:t>
          </a:r>
        </a:p>
        <a:p>
          <a:pPr algn="ctr"/>
          <a:endParaRPr lang="es-MX" sz="900">
            <a:latin typeface="Arial" pitchFamily="34" charset="0"/>
            <a:cs typeface="Arial" pitchFamily="34" charset="0"/>
          </a:endParaRPr>
        </a:p>
        <a:p>
          <a:pPr algn="ctr"/>
          <a:r>
            <a:rPr lang="es-MX" sz="1100"/>
            <a:t>__________________________________</a:t>
          </a:r>
        </a:p>
        <a:p>
          <a:pPr algn="ctr"/>
          <a:r>
            <a:rPr lang="es-MX" sz="900">
              <a:latin typeface="Arial" pitchFamily="34" charset="0"/>
              <a:cs typeface="Arial" pitchFamily="34" charset="0"/>
            </a:rPr>
            <a:t>C.P. NORA ROSALVA CEPEDA GUERRERO</a:t>
          </a:r>
        </a:p>
      </xdr:txBody>
    </xdr:sp>
    <xdr:clientData/>
  </xdr:twoCellAnchor>
  <xdr:twoCellAnchor editAs="oneCell">
    <xdr:from>
      <xdr:col>0</xdr:col>
      <xdr:colOff>38100</xdr:colOff>
      <xdr:row>0</xdr:row>
      <xdr:rowOff>28575</xdr:rowOff>
    </xdr:from>
    <xdr:to>
      <xdr:col>0</xdr:col>
      <xdr:colOff>1553570</xdr:colOff>
      <xdr:row>4</xdr:row>
      <xdr:rowOff>103489</xdr:rowOff>
    </xdr:to>
    <xdr:pic>
      <xdr:nvPicPr>
        <xdr:cNvPr id="10" name="Imagen 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28575"/>
          <a:ext cx="1515470" cy="808339"/>
        </a:xfrm>
        <a:prstGeom prst="rect">
          <a:avLst/>
        </a:prstGeom>
      </xdr:spPr>
    </xdr:pic>
    <xdr:clientData/>
  </xdr:twoCellAnchor>
  <xdr:twoCellAnchor editAs="oneCell">
    <xdr:from>
      <xdr:col>8</xdr:col>
      <xdr:colOff>524870</xdr:colOff>
      <xdr:row>0</xdr:row>
      <xdr:rowOff>37006</xdr:rowOff>
    </xdr:from>
    <xdr:to>
      <xdr:col>9</xdr:col>
      <xdr:colOff>1174177</xdr:colOff>
      <xdr:row>4</xdr:row>
      <xdr:rowOff>122059</xdr:rowOff>
    </xdr:to>
    <xdr:pic>
      <xdr:nvPicPr>
        <xdr:cNvPr id="11" name="Imagen 1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07020" y="37006"/>
          <a:ext cx="1649432" cy="818478"/>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3</xdr:col>
      <xdr:colOff>700645</xdr:colOff>
      <xdr:row>43</xdr:row>
      <xdr:rowOff>158253</xdr:rowOff>
    </xdr:from>
    <xdr:to>
      <xdr:col>5</xdr:col>
      <xdr:colOff>687658</xdr:colOff>
      <xdr:row>46</xdr:row>
      <xdr:rowOff>182558</xdr:rowOff>
    </xdr:to>
    <xdr:sp macro="" textlink="">
      <xdr:nvSpPr>
        <xdr:cNvPr id="14" name="16 CuadroTexto"/>
        <xdr:cNvSpPr txBox="1"/>
      </xdr:nvSpPr>
      <xdr:spPr>
        <a:xfrm>
          <a:off x="3310495" y="7987803"/>
          <a:ext cx="1701513"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SINDICO</a:t>
          </a:r>
          <a:r>
            <a:rPr lang="es-MX" sz="550" baseline="0">
              <a:latin typeface="Arial" pitchFamily="34" charset="0"/>
              <a:cs typeface="Arial" pitchFamily="34" charset="0"/>
            </a:rPr>
            <a:t> MUNICIPAL</a:t>
          </a:r>
        </a:p>
        <a:p>
          <a:pPr algn="ctr"/>
          <a:endParaRPr lang="es-MX" sz="550" baseline="0">
            <a:latin typeface="Arial" pitchFamily="34" charset="0"/>
            <a:cs typeface="Arial" pitchFamily="34" charset="0"/>
          </a:endParaRPr>
        </a:p>
        <a:p>
          <a:pPr algn="ctr"/>
          <a:endParaRPr lang="es-MX" sz="550" baseline="0">
            <a:latin typeface="Arial" pitchFamily="34" charset="0"/>
            <a:cs typeface="Arial" pitchFamily="34" charset="0"/>
          </a:endParaRPr>
        </a:p>
        <a:p>
          <a:pPr algn="ctr"/>
          <a:r>
            <a:rPr lang="es-MX" sz="550">
              <a:latin typeface="Arial" pitchFamily="34" charset="0"/>
              <a:cs typeface="Arial" pitchFamily="34" charset="0"/>
            </a:rPr>
            <a:t>__________________________________</a:t>
          </a:r>
        </a:p>
        <a:p>
          <a:pPr algn="ctr"/>
          <a:r>
            <a:rPr lang="es-MX" sz="550">
              <a:latin typeface="Arial" pitchFamily="34" charset="0"/>
              <a:cs typeface="Arial" pitchFamily="34" charset="0"/>
            </a:rPr>
            <a:t>LIC. FRIDA PATRICIA ESCOBAR ORTIZ</a:t>
          </a:r>
        </a:p>
      </xdr:txBody>
    </xdr:sp>
    <xdr:clientData/>
  </xdr:twoCellAnchor>
  <xdr:twoCellAnchor>
    <xdr:from>
      <xdr:col>1</xdr:col>
      <xdr:colOff>738766</xdr:colOff>
      <xdr:row>43</xdr:row>
      <xdr:rowOff>154565</xdr:rowOff>
    </xdr:from>
    <xdr:to>
      <xdr:col>4</xdr:col>
      <xdr:colOff>4646</xdr:colOff>
      <xdr:row>46</xdr:row>
      <xdr:rowOff>185854</xdr:rowOff>
    </xdr:to>
    <xdr:sp macro="" textlink="">
      <xdr:nvSpPr>
        <xdr:cNvPr id="15" name="8 CuadroTexto"/>
        <xdr:cNvSpPr txBox="1"/>
      </xdr:nvSpPr>
      <xdr:spPr>
        <a:xfrm>
          <a:off x="1624591" y="7984115"/>
          <a:ext cx="1751905" cy="602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TESORERO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LAP. JOSÉ ALFREDO PEÑA RODRÍGUEZ</a:t>
          </a:r>
        </a:p>
      </xdr:txBody>
    </xdr:sp>
    <xdr:clientData/>
  </xdr:twoCellAnchor>
  <xdr:twoCellAnchor>
    <xdr:from>
      <xdr:col>5</xdr:col>
      <xdr:colOff>637011</xdr:colOff>
      <xdr:row>43</xdr:row>
      <xdr:rowOff>158595</xdr:rowOff>
    </xdr:from>
    <xdr:to>
      <xdr:col>7</xdr:col>
      <xdr:colOff>748059</xdr:colOff>
      <xdr:row>46</xdr:row>
      <xdr:rowOff>190500</xdr:rowOff>
    </xdr:to>
    <xdr:sp macro="" textlink="">
      <xdr:nvSpPr>
        <xdr:cNvPr id="16" name="10 CuadroTexto"/>
        <xdr:cNvSpPr txBox="1"/>
      </xdr:nvSpPr>
      <xdr:spPr>
        <a:xfrm>
          <a:off x="4961361" y="7988145"/>
          <a:ext cx="1796973" cy="603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CONTRALOR</a:t>
          </a:r>
          <a:r>
            <a:rPr lang="es-MX" sz="550" baseline="0">
              <a:latin typeface="Arial" pitchFamily="34" charset="0"/>
              <a:cs typeface="Arial" pitchFamily="34" charset="0"/>
            </a:rPr>
            <a:t>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_____________________________________</a:t>
          </a:r>
        </a:p>
        <a:p>
          <a:pPr algn="ctr"/>
          <a:r>
            <a:rPr lang="es-MX" sz="550">
              <a:latin typeface="Arial" pitchFamily="34" charset="0"/>
              <a:cs typeface="Arial" pitchFamily="34" charset="0"/>
            </a:rPr>
            <a:t>C.P. NORA ROSALVA CEPEDA GUERRERO</a:t>
          </a:r>
        </a:p>
      </xdr:txBody>
    </xdr:sp>
    <xdr:clientData/>
  </xdr:twoCellAnchor>
  <xdr:twoCellAnchor>
    <xdr:from>
      <xdr:col>0</xdr:col>
      <xdr:colOff>1</xdr:colOff>
      <xdr:row>43</xdr:row>
      <xdr:rowOff>153672</xdr:rowOff>
    </xdr:from>
    <xdr:to>
      <xdr:col>2</xdr:col>
      <xdr:colOff>32524</xdr:colOff>
      <xdr:row>46</xdr:row>
      <xdr:rowOff>190500</xdr:rowOff>
    </xdr:to>
    <xdr:sp macro="" textlink="">
      <xdr:nvSpPr>
        <xdr:cNvPr id="17" name="14 CuadroTexto"/>
        <xdr:cNvSpPr txBox="1"/>
      </xdr:nvSpPr>
      <xdr:spPr>
        <a:xfrm>
          <a:off x="1" y="7983222"/>
          <a:ext cx="1680348" cy="608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PRESIDENTE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DR. XICOTÉNCATL GONZÁLEZ URESTI</a:t>
          </a:r>
        </a:p>
      </xdr:txBody>
    </xdr:sp>
    <xdr:clientData/>
  </xdr:twoCellAnchor>
  <xdr:twoCellAnchor editAs="oneCell">
    <xdr:from>
      <xdr:col>0</xdr:col>
      <xdr:colOff>47625</xdr:colOff>
      <xdr:row>0</xdr:row>
      <xdr:rowOff>0</xdr:rowOff>
    </xdr:from>
    <xdr:to>
      <xdr:col>1</xdr:col>
      <xdr:colOff>390555</xdr:colOff>
      <xdr:row>3</xdr:row>
      <xdr:rowOff>17860</xdr:rowOff>
    </xdr:to>
    <xdr:pic>
      <xdr:nvPicPr>
        <xdr:cNvPr id="18" name="Imagen 1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0"/>
          <a:ext cx="1104930" cy="589360"/>
        </a:xfrm>
        <a:prstGeom prst="rect">
          <a:avLst/>
        </a:prstGeom>
      </xdr:spPr>
    </xdr:pic>
    <xdr:clientData/>
  </xdr:twoCellAnchor>
  <xdr:twoCellAnchor editAs="oneCell">
    <xdr:from>
      <xdr:col>6</xdr:col>
      <xdr:colOff>218920</xdr:colOff>
      <xdr:row>0</xdr:row>
      <xdr:rowOff>37004</xdr:rowOff>
    </xdr:from>
    <xdr:to>
      <xdr:col>7</xdr:col>
      <xdr:colOff>710601</xdr:colOff>
      <xdr:row>3</xdr:row>
      <xdr:rowOff>87603</xdr:rowOff>
    </xdr:to>
    <xdr:pic>
      <xdr:nvPicPr>
        <xdr:cNvPr id="19" name="Imagen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90920" y="37004"/>
          <a:ext cx="1253681" cy="622099"/>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1</xdr:col>
      <xdr:colOff>381030</xdr:colOff>
      <xdr:row>3</xdr:row>
      <xdr:rowOff>55960</xdr:rowOff>
    </xdr:to>
    <xdr:pic>
      <xdr:nvPicPr>
        <xdr:cNvPr id="14" name="Imagen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38100"/>
          <a:ext cx="1104930" cy="589360"/>
        </a:xfrm>
        <a:prstGeom prst="rect">
          <a:avLst/>
        </a:prstGeom>
      </xdr:spPr>
    </xdr:pic>
    <xdr:clientData/>
  </xdr:twoCellAnchor>
  <xdr:twoCellAnchor editAs="oneCell">
    <xdr:from>
      <xdr:col>6</xdr:col>
      <xdr:colOff>209395</xdr:colOff>
      <xdr:row>0</xdr:row>
      <xdr:rowOff>8429</xdr:rowOff>
    </xdr:from>
    <xdr:to>
      <xdr:col>7</xdr:col>
      <xdr:colOff>701076</xdr:colOff>
      <xdr:row>3</xdr:row>
      <xdr:rowOff>59028</xdr:rowOff>
    </xdr:to>
    <xdr:pic>
      <xdr:nvPicPr>
        <xdr:cNvPr id="15" name="Imagen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81395" y="8429"/>
          <a:ext cx="1253681" cy="622099"/>
        </a:xfrm>
        <a:prstGeom prst="rect">
          <a:avLst/>
        </a:prstGeom>
      </xdr:spPr>
    </xdr:pic>
    <xdr:clientData/>
  </xdr:twoCellAnchor>
  <xdr:twoCellAnchor>
    <xdr:from>
      <xdr:col>3</xdr:col>
      <xdr:colOff>700645</xdr:colOff>
      <xdr:row>37</xdr:row>
      <xdr:rowOff>158253</xdr:rowOff>
    </xdr:from>
    <xdr:to>
      <xdr:col>5</xdr:col>
      <xdr:colOff>687658</xdr:colOff>
      <xdr:row>40</xdr:row>
      <xdr:rowOff>182558</xdr:rowOff>
    </xdr:to>
    <xdr:sp macro="" textlink="">
      <xdr:nvSpPr>
        <xdr:cNvPr id="16" name="16 CuadroTexto"/>
        <xdr:cNvSpPr txBox="1"/>
      </xdr:nvSpPr>
      <xdr:spPr>
        <a:xfrm>
          <a:off x="2986645" y="8759328"/>
          <a:ext cx="1511013"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SINDICO</a:t>
          </a:r>
          <a:r>
            <a:rPr lang="es-MX" sz="550" baseline="0">
              <a:latin typeface="Arial" pitchFamily="34" charset="0"/>
              <a:cs typeface="Arial" pitchFamily="34" charset="0"/>
            </a:rPr>
            <a:t> MUNICIPAL</a:t>
          </a:r>
        </a:p>
        <a:p>
          <a:pPr algn="ctr"/>
          <a:endParaRPr lang="es-MX" sz="550" baseline="0">
            <a:latin typeface="Arial" pitchFamily="34" charset="0"/>
            <a:cs typeface="Arial" pitchFamily="34" charset="0"/>
          </a:endParaRPr>
        </a:p>
        <a:p>
          <a:pPr algn="ctr"/>
          <a:endParaRPr lang="es-MX" sz="550" baseline="0">
            <a:latin typeface="Arial" pitchFamily="34" charset="0"/>
            <a:cs typeface="Arial" pitchFamily="34" charset="0"/>
          </a:endParaRPr>
        </a:p>
        <a:p>
          <a:pPr algn="ctr"/>
          <a:r>
            <a:rPr lang="es-MX" sz="550">
              <a:latin typeface="Arial" pitchFamily="34" charset="0"/>
              <a:cs typeface="Arial" pitchFamily="34" charset="0"/>
            </a:rPr>
            <a:t>__________________________________</a:t>
          </a:r>
        </a:p>
        <a:p>
          <a:pPr algn="ctr"/>
          <a:r>
            <a:rPr lang="es-MX" sz="550">
              <a:latin typeface="Arial" pitchFamily="34" charset="0"/>
              <a:cs typeface="Arial" pitchFamily="34" charset="0"/>
            </a:rPr>
            <a:t>LIC. FRIDA PATRICIA ESCOBAR ORTIZ</a:t>
          </a:r>
        </a:p>
      </xdr:txBody>
    </xdr:sp>
    <xdr:clientData/>
  </xdr:twoCellAnchor>
  <xdr:twoCellAnchor>
    <xdr:from>
      <xdr:col>1</xdr:col>
      <xdr:colOff>738766</xdr:colOff>
      <xdr:row>37</xdr:row>
      <xdr:rowOff>154565</xdr:rowOff>
    </xdr:from>
    <xdr:to>
      <xdr:col>4</xdr:col>
      <xdr:colOff>4646</xdr:colOff>
      <xdr:row>40</xdr:row>
      <xdr:rowOff>185854</xdr:rowOff>
    </xdr:to>
    <xdr:sp macro="" textlink="">
      <xdr:nvSpPr>
        <xdr:cNvPr id="17" name="8 CuadroTexto"/>
        <xdr:cNvSpPr txBox="1"/>
      </xdr:nvSpPr>
      <xdr:spPr>
        <a:xfrm>
          <a:off x="1500766" y="8755640"/>
          <a:ext cx="1551880" cy="602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TESORERO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LAP. JOSÉ ALFREDO PEÑA RODRÍGUEZ</a:t>
          </a:r>
        </a:p>
      </xdr:txBody>
    </xdr:sp>
    <xdr:clientData/>
  </xdr:twoCellAnchor>
  <xdr:twoCellAnchor>
    <xdr:from>
      <xdr:col>5</xdr:col>
      <xdr:colOff>637011</xdr:colOff>
      <xdr:row>37</xdr:row>
      <xdr:rowOff>158595</xdr:rowOff>
    </xdr:from>
    <xdr:to>
      <xdr:col>7</xdr:col>
      <xdr:colOff>748059</xdr:colOff>
      <xdr:row>40</xdr:row>
      <xdr:rowOff>190500</xdr:rowOff>
    </xdr:to>
    <xdr:sp macro="" textlink="">
      <xdr:nvSpPr>
        <xdr:cNvPr id="18" name="10 CuadroTexto"/>
        <xdr:cNvSpPr txBox="1"/>
      </xdr:nvSpPr>
      <xdr:spPr>
        <a:xfrm>
          <a:off x="4447011" y="8759670"/>
          <a:ext cx="1635048" cy="603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CONTRALOR</a:t>
          </a:r>
          <a:r>
            <a:rPr lang="es-MX" sz="550" baseline="0">
              <a:latin typeface="Arial" pitchFamily="34" charset="0"/>
              <a:cs typeface="Arial" pitchFamily="34" charset="0"/>
            </a:rPr>
            <a:t>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_____________________________________</a:t>
          </a:r>
        </a:p>
        <a:p>
          <a:pPr algn="ctr"/>
          <a:r>
            <a:rPr lang="es-MX" sz="550">
              <a:latin typeface="Arial" pitchFamily="34" charset="0"/>
              <a:cs typeface="Arial" pitchFamily="34" charset="0"/>
            </a:rPr>
            <a:t>C.P. NORA ROSALVA CEPEDA GUERRERO</a:t>
          </a:r>
        </a:p>
      </xdr:txBody>
    </xdr:sp>
    <xdr:clientData/>
  </xdr:twoCellAnchor>
  <xdr:twoCellAnchor>
    <xdr:from>
      <xdr:col>0</xdr:col>
      <xdr:colOff>1</xdr:colOff>
      <xdr:row>37</xdr:row>
      <xdr:rowOff>153672</xdr:rowOff>
    </xdr:from>
    <xdr:to>
      <xdr:col>2</xdr:col>
      <xdr:colOff>32524</xdr:colOff>
      <xdr:row>40</xdr:row>
      <xdr:rowOff>190500</xdr:rowOff>
    </xdr:to>
    <xdr:sp macro="" textlink="">
      <xdr:nvSpPr>
        <xdr:cNvPr id="19" name="14 CuadroTexto"/>
        <xdr:cNvSpPr txBox="1"/>
      </xdr:nvSpPr>
      <xdr:spPr>
        <a:xfrm>
          <a:off x="1" y="8754747"/>
          <a:ext cx="1556523" cy="608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PRESIDENTE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DR. XICOTÉNCATL GONZÁLEZ URESTI</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3</xdr:col>
      <xdr:colOff>700645</xdr:colOff>
      <xdr:row>43</xdr:row>
      <xdr:rowOff>158253</xdr:rowOff>
    </xdr:from>
    <xdr:to>
      <xdr:col>5</xdr:col>
      <xdr:colOff>687658</xdr:colOff>
      <xdr:row>46</xdr:row>
      <xdr:rowOff>182558</xdr:rowOff>
    </xdr:to>
    <xdr:sp macro="" textlink="">
      <xdr:nvSpPr>
        <xdr:cNvPr id="14" name="16 CuadroTexto"/>
        <xdr:cNvSpPr txBox="1"/>
      </xdr:nvSpPr>
      <xdr:spPr>
        <a:xfrm>
          <a:off x="2986645" y="8797428"/>
          <a:ext cx="1511013"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SINDICO</a:t>
          </a:r>
          <a:r>
            <a:rPr lang="es-MX" sz="550" baseline="0">
              <a:latin typeface="Arial" pitchFamily="34" charset="0"/>
              <a:cs typeface="Arial" pitchFamily="34" charset="0"/>
            </a:rPr>
            <a:t> MUNICIPAL</a:t>
          </a:r>
        </a:p>
        <a:p>
          <a:pPr algn="ctr"/>
          <a:endParaRPr lang="es-MX" sz="550" baseline="0">
            <a:latin typeface="Arial" pitchFamily="34" charset="0"/>
            <a:cs typeface="Arial" pitchFamily="34" charset="0"/>
          </a:endParaRPr>
        </a:p>
        <a:p>
          <a:pPr algn="ctr"/>
          <a:endParaRPr lang="es-MX" sz="550" baseline="0">
            <a:latin typeface="Arial" pitchFamily="34" charset="0"/>
            <a:cs typeface="Arial" pitchFamily="34" charset="0"/>
          </a:endParaRPr>
        </a:p>
        <a:p>
          <a:pPr algn="ctr"/>
          <a:r>
            <a:rPr lang="es-MX" sz="550">
              <a:latin typeface="Arial" pitchFamily="34" charset="0"/>
              <a:cs typeface="Arial" pitchFamily="34" charset="0"/>
            </a:rPr>
            <a:t>__________________________________</a:t>
          </a:r>
        </a:p>
        <a:p>
          <a:pPr algn="ctr"/>
          <a:r>
            <a:rPr lang="es-MX" sz="550">
              <a:latin typeface="Arial" pitchFamily="34" charset="0"/>
              <a:cs typeface="Arial" pitchFamily="34" charset="0"/>
            </a:rPr>
            <a:t>LIC. FRIDA PATRICIA ESCOBAR ORTIZ</a:t>
          </a:r>
        </a:p>
      </xdr:txBody>
    </xdr:sp>
    <xdr:clientData/>
  </xdr:twoCellAnchor>
  <xdr:twoCellAnchor>
    <xdr:from>
      <xdr:col>1</xdr:col>
      <xdr:colOff>738766</xdr:colOff>
      <xdr:row>43</xdr:row>
      <xdr:rowOff>154565</xdr:rowOff>
    </xdr:from>
    <xdr:to>
      <xdr:col>4</xdr:col>
      <xdr:colOff>4646</xdr:colOff>
      <xdr:row>46</xdr:row>
      <xdr:rowOff>185854</xdr:rowOff>
    </xdr:to>
    <xdr:sp macro="" textlink="">
      <xdr:nvSpPr>
        <xdr:cNvPr id="15" name="8 CuadroTexto"/>
        <xdr:cNvSpPr txBox="1"/>
      </xdr:nvSpPr>
      <xdr:spPr>
        <a:xfrm>
          <a:off x="1500766" y="8793740"/>
          <a:ext cx="1551880" cy="602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TESORERO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LAP. JOSÉ ALFREDO PEÑA RODRÍGUEZ</a:t>
          </a:r>
        </a:p>
      </xdr:txBody>
    </xdr:sp>
    <xdr:clientData/>
  </xdr:twoCellAnchor>
  <xdr:twoCellAnchor>
    <xdr:from>
      <xdr:col>5</xdr:col>
      <xdr:colOff>637011</xdr:colOff>
      <xdr:row>43</xdr:row>
      <xdr:rowOff>158595</xdr:rowOff>
    </xdr:from>
    <xdr:to>
      <xdr:col>7</xdr:col>
      <xdr:colOff>748059</xdr:colOff>
      <xdr:row>46</xdr:row>
      <xdr:rowOff>190500</xdr:rowOff>
    </xdr:to>
    <xdr:sp macro="" textlink="">
      <xdr:nvSpPr>
        <xdr:cNvPr id="16" name="10 CuadroTexto"/>
        <xdr:cNvSpPr txBox="1"/>
      </xdr:nvSpPr>
      <xdr:spPr>
        <a:xfrm>
          <a:off x="4447011" y="8797770"/>
          <a:ext cx="1635048" cy="603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CONTRALOR</a:t>
          </a:r>
          <a:r>
            <a:rPr lang="es-MX" sz="550" baseline="0">
              <a:latin typeface="Arial" pitchFamily="34" charset="0"/>
              <a:cs typeface="Arial" pitchFamily="34" charset="0"/>
            </a:rPr>
            <a:t>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_____________________________________</a:t>
          </a:r>
        </a:p>
        <a:p>
          <a:pPr algn="ctr"/>
          <a:r>
            <a:rPr lang="es-MX" sz="550">
              <a:latin typeface="Arial" pitchFamily="34" charset="0"/>
              <a:cs typeface="Arial" pitchFamily="34" charset="0"/>
            </a:rPr>
            <a:t>C.P. NORA ROSALVA CEPEDA GUERRERO</a:t>
          </a:r>
        </a:p>
      </xdr:txBody>
    </xdr:sp>
    <xdr:clientData/>
  </xdr:twoCellAnchor>
  <xdr:twoCellAnchor>
    <xdr:from>
      <xdr:col>0</xdr:col>
      <xdr:colOff>1</xdr:colOff>
      <xdr:row>43</xdr:row>
      <xdr:rowOff>153672</xdr:rowOff>
    </xdr:from>
    <xdr:to>
      <xdr:col>2</xdr:col>
      <xdr:colOff>32524</xdr:colOff>
      <xdr:row>46</xdr:row>
      <xdr:rowOff>190500</xdr:rowOff>
    </xdr:to>
    <xdr:sp macro="" textlink="">
      <xdr:nvSpPr>
        <xdr:cNvPr id="17" name="14 CuadroTexto"/>
        <xdr:cNvSpPr txBox="1"/>
      </xdr:nvSpPr>
      <xdr:spPr>
        <a:xfrm>
          <a:off x="1" y="8792847"/>
          <a:ext cx="1556523" cy="608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PRESIDENTE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DR. XICOTÉNCATL GONZÁLEZ URESTI</a:t>
          </a:r>
        </a:p>
      </xdr:txBody>
    </xdr:sp>
    <xdr:clientData/>
  </xdr:twoCellAnchor>
  <xdr:twoCellAnchor editAs="oneCell">
    <xdr:from>
      <xdr:col>0</xdr:col>
      <xdr:colOff>19050</xdr:colOff>
      <xdr:row>0</xdr:row>
      <xdr:rowOff>39196</xdr:rowOff>
    </xdr:from>
    <xdr:to>
      <xdr:col>1</xdr:col>
      <xdr:colOff>361980</xdr:colOff>
      <xdr:row>3</xdr:row>
      <xdr:rowOff>57056</xdr:rowOff>
    </xdr:to>
    <xdr:pic>
      <xdr:nvPicPr>
        <xdr:cNvPr id="20" name="Imagen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39196"/>
          <a:ext cx="1104930" cy="589360"/>
        </a:xfrm>
        <a:prstGeom prst="rect">
          <a:avLst/>
        </a:prstGeom>
      </xdr:spPr>
    </xdr:pic>
    <xdr:clientData/>
  </xdr:twoCellAnchor>
  <xdr:twoCellAnchor editAs="oneCell">
    <xdr:from>
      <xdr:col>6</xdr:col>
      <xdr:colOff>190345</xdr:colOff>
      <xdr:row>0</xdr:row>
      <xdr:rowOff>9525</xdr:rowOff>
    </xdr:from>
    <xdr:to>
      <xdr:col>7</xdr:col>
      <xdr:colOff>682026</xdr:colOff>
      <xdr:row>3</xdr:row>
      <xdr:rowOff>60124</xdr:rowOff>
    </xdr:to>
    <xdr:pic>
      <xdr:nvPicPr>
        <xdr:cNvPr id="21" name="Imagen 20"/>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62345" y="9525"/>
          <a:ext cx="1253681" cy="622099"/>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28575</xdr:colOff>
      <xdr:row>0</xdr:row>
      <xdr:rowOff>58246</xdr:rowOff>
    </xdr:from>
    <xdr:to>
      <xdr:col>1</xdr:col>
      <xdr:colOff>371505</xdr:colOff>
      <xdr:row>3</xdr:row>
      <xdr:rowOff>76106</xdr:rowOff>
    </xdr:to>
    <xdr:pic>
      <xdr:nvPicPr>
        <xdr:cNvPr id="14" name="Imagen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58246"/>
          <a:ext cx="1104930" cy="589360"/>
        </a:xfrm>
        <a:prstGeom prst="rect">
          <a:avLst/>
        </a:prstGeom>
      </xdr:spPr>
    </xdr:pic>
    <xdr:clientData/>
  </xdr:twoCellAnchor>
  <xdr:twoCellAnchor editAs="oneCell">
    <xdr:from>
      <xdr:col>6</xdr:col>
      <xdr:colOff>199870</xdr:colOff>
      <xdr:row>0</xdr:row>
      <xdr:rowOff>28575</xdr:rowOff>
    </xdr:from>
    <xdr:to>
      <xdr:col>7</xdr:col>
      <xdr:colOff>691551</xdr:colOff>
      <xdr:row>3</xdr:row>
      <xdr:rowOff>79174</xdr:rowOff>
    </xdr:to>
    <xdr:pic>
      <xdr:nvPicPr>
        <xdr:cNvPr id="15" name="Imagen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71870" y="28575"/>
          <a:ext cx="1253681" cy="622099"/>
        </a:xfrm>
        <a:prstGeom prst="rect">
          <a:avLst/>
        </a:prstGeom>
      </xdr:spPr>
    </xdr:pic>
    <xdr:clientData/>
  </xdr:twoCellAnchor>
  <xdr:twoCellAnchor>
    <xdr:from>
      <xdr:col>3</xdr:col>
      <xdr:colOff>700645</xdr:colOff>
      <xdr:row>43</xdr:row>
      <xdr:rowOff>158253</xdr:rowOff>
    </xdr:from>
    <xdr:to>
      <xdr:col>5</xdr:col>
      <xdr:colOff>687658</xdr:colOff>
      <xdr:row>46</xdr:row>
      <xdr:rowOff>182558</xdr:rowOff>
    </xdr:to>
    <xdr:sp macro="" textlink="">
      <xdr:nvSpPr>
        <xdr:cNvPr id="16" name="16 CuadroTexto"/>
        <xdr:cNvSpPr txBox="1"/>
      </xdr:nvSpPr>
      <xdr:spPr>
        <a:xfrm>
          <a:off x="2986645" y="8845053"/>
          <a:ext cx="1511013"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SINDICO</a:t>
          </a:r>
          <a:r>
            <a:rPr lang="es-MX" sz="550" baseline="0">
              <a:latin typeface="Arial" pitchFamily="34" charset="0"/>
              <a:cs typeface="Arial" pitchFamily="34" charset="0"/>
            </a:rPr>
            <a:t> MUNICIPAL</a:t>
          </a:r>
        </a:p>
        <a:p>
          <a:pPr algn="ctr"/>
          <a:endParaRPr lang="es-MX" sz="550" baseline="0">
            <a:latin typeface="Arial" pitchFamily="34" charset="0"/>
            <a:cs typeface="Arial" pitchFamily="34" charset="0"/>
          </a:endParaRPr>
        </a:p>
        <a:p>
          <a:pPr algn="ctr"/>
          <a:endParaRPr lang="es-MX" sz="550" baseline="0">
            <a:latin typeface="Arial" pitchFamily="34" charset="0"/>
            <a:cs typeface="Arial" pitchFamily="34" charset="0"/>
          </a:endParaRPr>
        </a:p>
        <a:p>
          <a:pPr algn="ctr"/>
          <a:r>
            <a:rPr lang="es-MX" sz="550">
              <a:latin typeface="Arial" pitchFamily="34" charset="0"/>
              <a:cs typeface="Arial" pitchFamily="34" charset="0"/>
            </a:rPr>
            <a:t>__________________________________</a:t>
          </a:r>
        </a:p>
        <a:p>
          <a:pPr algn="ctr"/>
          <a:r>
            <a:rPr lang="es-MX" sz="550">
              <a:latin typeface="Arial" pitchFamily="34" charset="0"/>
              <a:cs typeface="Arial" pitchFamily="34" charset="0"/>
            </a:rPr>
            <a:t>LIC. FRIDA PATRICIA ESCOBAR ORTIZ</a:t>
          </a:r>
        </a:p>
      </xdr:txBody>
    </xdr:sp>
    <xdr:clientData/>
  </xdr:twoCellAnchor>
  <xdr:twoCellAnchor>
    <xdr:from>
      <xdr:col>1</xdr:col>
      <xdr:colOff>738766</xdr:colOff>
      <xdr:row>43</xdr:row>
      <xdr:rowOff>154565</xdr:rowOff>
    </xdr:from>
    <xdr:to>
      <xdr:col>4</xdr:col>
      <xdr:colOff>4646</xdr:colOff>
      <xdr:row>46</xdr:row>
      <xdr:rowOff>185854</xdr:rowOff>
    </xdr:to>
    <xdr:sp macro="" textlink="">
      <xdr:nvSpPr>
        <xdr:cNvPr id="17" name="8 CuadroTexto"/>
        <xdr:cNvSpPr txBox="1"/>
      </xdr:nvSpPr>
      <xdr:spPr>
        <a:xfrm>
          <a:off x="1500766" y="8841365"/>
          <a:ext cx="1551880" cy="602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TESORERO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LAP. JOSÉ ALFREDO PEÑA RODRÍGUEZ</a:t>
          </a:r>
        </a:p>
      </xdr:txBody>
    </xdr:sp>
    <xdr:clientData/>
  </xdr:twoCellAnchor>
  <xdr:twoCellAnchor>
    <xdr:from>
      <xdr:col>5</xdr:col>
      <xdr:colOff>637011</xdr:colOff>
      <xdr:row>43</xdr:row>
      <xdr:rowOff>158595</xdr:rowOff>
    </xdr:from>
    <xdr:to>
      <xdr:col>7</xdr:col>
      <xdr:colOff>748059</xdr:colOff>
      <xdr:row>46</xdr:row>
      <xdr:rowOff>190500</xdr:rowOff>
    </xdr:to>
    <xdr:sp macro="" textlink="">
      <xdr:nvSpPr>
        <xdr:cNvPr id="18" name="10 CuadroTexto"/>
        <xdr:cNvSpPr txBox="1"/>
      </xdr:nvSpPr>
      <xdr:spPr>
        <a:xfrm>
          <a:off x="4447011" y="8845395"/>
          <a:ext cx="1635048" cy="603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CONTRALOR</a:t>
          </a:r>
          <a:r>
            <a:rPr lang="es-MX" sz="550" baseline="0">
              <a:latin typeface="Arial" pitchFamily="34" charset="0"/>
              <a:cs typeface="Arial" pitchFamily="34" charset="0"/>
            </a:rPr>
            <a:t>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_____________________________________</a:t>
          </a:r>
        </a:p>
        <a:p>
          <a:pPr algn="ctr"/>
          <a:r>
            <a:rPr lang="es-MX" sz="550">
              <a:latin typeface="Arial" pitchFamily="34" charset="0"/>
              <a:cs typeface="Arial" pitchFamily="34" charset="0"/>
            </a:rPr>
            <a:t>C.P. NORA ROSALVA CEPEDA GUERRERO</a:t>
          </a:r>
        </a:p>
      </xdr:txBody>
    </xdr:sp>
    <xdr:clientData/>
  </xdr:twoCellAnchor>
  <xdr:twoCellAnchor>
    <xdr:from>
      <xdr:col>0</xdr:col>
      <xdr:colOff>1</xdr:colOff>
      <xdr:row>43</xdr:row>
      <xdr:rowOff>153672</xdr:rowOff>
    </xdr:from>
    <xdr:to>
      <xdr:col>2</xdr:col>
      <xdr:colOff>32524</xdr:colOff>
      <xdr:row>46</xdr:row>
      <xdr:rowOff>190500</xdr:rowOff>
    </xdr:to>
    <xdr:sp macro="" textlink="">
      <xdr:nvSpPr>
        <xdr:cNvPr id="19" name="14 CuadroTexto"/>
        <xdr:cNvSpPr txBox="1"/>
      </xdr:nvSpPr>
      <xdr:spPr>
        <a:xfrm>
          <a:off x="1" y="8840472"/>
          <a:ext cx="1556523" cy="608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PRESIDENTE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DR. XICOTÉNCATL GONZÁLEZ URESTI</a:t>
          </a:r>
        </a:p>
      </xdr:txBody>
    </xdr:sp>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47625</xdr:colOff>
      <xdr:row>0</xdr:row>
      <xdr:rowOff>48721</xdr:rowOff>
    </xdr:from>
    <xdr:to>
      <xdr:col>1</xdr:col>
      <xdr:colOff>390555</xdr:colOff>
      <xdr:row>3</xdr:row>
      <xdr:rowOff>66581</xdr:rowOff>
    </xdr:to>
    <xdr:pic>
      <xdr:nvPicPr>
        <xdr:cNvPr id="14" name="Imagen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48721"/>
          <a:ext cx="1104930" cy="589360"/>
        </a:xfrm>
        <a:prstGeom prst="rect">
          <a:avLst/>
        </a:prstGeom>
      </xdr:spPr>
    </xdr:pic>
    <xdr:clientData/>
  </xdr:twoCellAnchor>
  <xdr:twoCellAnchor editAs="oneCell">
    <xdr:from>
      <xdr:col>6</xdr:col>
      <xdr:colOff>218920</xdr:colOff>
      <xdr:row>0</xdr:row>
      <xdr:rowOff>19050</xdr:rowOff>
    </xdr:from>
    <xdr:to>
      <xdr:col>7</xdr:col>
      <xdr:colOff>710601</xdr:colOff>
      <xdr:row>3</xdr:row>
      <xdr:rowOff>69649</xdr:rowOff>
    </xdr:to>
    <xdr:pic>
      <xdr:nvPicPr>
        <xdr:cNvPr id="15" name="Imagen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790920" y="19050"/>
          <a:ext cx="1253681" cy="622099"/>
        </a:xfrm>
        <a:prstGeom prst="rect">
          <a:avLst/>
        </a:prstGeom>
      </xdr:spPr>
    </xdr:pic>
    <xdr:clientData/>
  </xdr:twoCellAnchor>
  <xdr:twoCellAnchor>
    <xdr:from>
      <xdr:col>3</xdr:col>
      <xdr:colOff>700645</xdr:colOff>
      <xdr:row>44</xdr:row>
      <xdr:rowOff>158253</xdr:rowOff>
    </xdr:from>
    <xdr:to>
      <xdr:col>5</xdr:col>
      <xdr:colOff>687658</xdr:colOff>
      <xdr:row>47</xdr:row>
      <xdr:rowOff>182558</xdr:rowOff>
    </xdr:to>
    <xdr:sp macro="" textlink="">
      <xdr:nvSpPr>
        <xdr:cNvPr id="16" name="16 CuadroTexto"/>
        <xdr:cNvSpPr txBox="1"/>
      </xdr:nvSpPr>
      <xdr:spPr>
        <a:xfrm>
          <a:off x="2986645" y="8530728"/>
          <a:ext cx="1511013" cy="5958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SINDICO</a:t>
          </a:r>
          <a:r>
            <a:rPr lang="es-MX" sz="550" baseline="0">
              <a:latin typeface="Arial" pitchFamily="34" charset="0"/>
              <a:cs typeface="Arial" pitchFamily="34" charset="0"/>
            </a:rPr>
            <a:t> MUNICIPAL</a:t>
          </a:r>
        </a:p>
        <a:p>
          <a:pPr algn="ctr"/>
          <a:endParaRPr lang="es-MX" sz="550" baseline="0">
            <a:latin typeface="Arial" pitchFamily="34" charset="0"/>
            <a:cs typeface="Arial" pitchFamily="34" charset="0"/>
          </a:endParaRPr>
        </a:p>
        <a:p>
          <a:pPr algn="ctr"/>
          <a:endParaRPr lang="es-MX" sz="550" baseline="0">
            <a:latin typeface="Arial" pitchFamily="34" charset="0"/>
            <a:cs typeface="Arial" pitchFamily="34" charset="0"/>
          </a:endParaRPr>
        </a:p>
        <a:p>
          <a:pPr algn="ctr"/>
          <a:r>
            <a:rPr lang="es-MX" sz="550">
              <a:latin typeface="Arial" pitchFamily="34" charset="0"/>
              <a:cs typeface="Arial" pitchFamily="34" charset="0"/>
            </a:rPr>
            <a:t>__________________________________</a:t>
          </a:r>
        </a:p>
        <a:p>
          <a:pPr algn="ctr"/>
          <a:r>
            <a:rPr lang="es-MX" sz="550">
              <a:latin typeface="Arial" pitchFamily="34" charset="0"/>
              <a:cs typeface="Arial" pitchFamily="34" charset="0"/>
            </a:rPr>
            <a:t>LIC. FRIDA PATRICIA ESCOBAR ORTIZ</a:t>
          </a:r>
        </a:p>
      </xdr:txBody>
    </xdr:sp>
    <xdr:clientData/>
  </xdr:twoCellAnchor>
  <xdr:twoCellAnchor>
    <xdr:from>
      <xdr:col>1</xdr:col>
      <xdr:colOff>738766</xdr:colOff>
      <xdr:row>44</xdr:row>
      <xdr:rowOff>154565</xdr:rowOff>
    </xdr:from>
    <xdr:to>
      <xdr:col>4</xdr:col>
      <xdr:colOff>4646</xdr:colOff>
      <xdr:row>47</xdr:row>
      <xdr:rowOff>185854</xdr:rowOff>
    </xdr:to>
    <xdr:sp macro="" textlink="">
      <xdr:nvSpPr>
        <xdr:cNvPr id="17" name="8 CuadroTexto"/>
        <xdr:cNvSpPr txBox="1"/>
      </xdr:nvSpPr>
      <xdr:spPr>
        <a:xfrm>
          <a:off x="1500766" y="8527040"/>
          <a:ext cx="1551880" cy="6027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TESORERO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LAP. JOSÉ ALFREDO PEÑA RODRÍGUEZ</a:t>
          </a:r>
        </a:p>
      </xdr:txBody>
    </xdr:sp>
    <xdr:clientData/>
  </xdr:twoCellAnchor>
  <xdr:twoCellAnchor>
    <xdr:from>
      <xdr:col>5</xdr:col>
      <xdr:colOff>637011</xdr:colOff>
      <xdr:row>44</xdr:row>
      <xdr:rowOff>158595</xdr:rowOff>
    </xdr:from>
    <xdr:to>
      <xdr:col>7</xdr:col>
      <xdr:colOff>748059</xdr:colOff>
      <xdr:row>47</xdr:row>
      <xdr:rowOff>190500</xdr:rowOff>
    </xdr:to>
    <xdr:sp macro="" textlink="">
      <xdr:nvSpPr>
        <xdr:cNvPr id="18" name="10 CuadroTexto"/>
        <xdr:cNvSpPr txBox="1"/>
      </xdr:nvSpPr>
      <xdr:spPr>
        <a:xfrm>
          <a:off x="4447011" y="8531070"/>
          <a:ext cx="1635048" cy="6034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CONTRALOR</a:t>
          </a:r>
          <a:r>
            <a:rPr lang="es-MX" sz="550" baseline="0">
              <a:latin typeface="Arial" pitchFamily="34" charset="0"/>
              <a:cs typeface="Arial" pitchFamily="34" charset="0"/>
            </a:rPr>
            <a:t>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_____________________________________</a:t>
          </a:r>
        </a:p>
        <a:p>
          <a:pPr algn="ctr"/>
          <a:r>
            <a:rPr lang="es-MX" sz="550">
              <a:latin typeface="Arial" pitchFamily="34" charset="0"/>
              <a:cs typeface="Arial" pitchFamily="34" charset="0"/>
            </a:rPr>
            <a:t>C.P. NORA ROSALVA CEPEDA GUERRERO</a:t>
          </a:r>
        </a:p>
      </xdr:txBody>
    </xdr:sp>
    <xdr:clientData/>
  </xdr:twoCellAnchor>
  <xdr:twoCellAnchor>
    <xdr:from>
      <xdr:col>0</xdr:col>
      <xdr:colOff>1</xdr:colOff>
      <xdr:row>44</xdr:row>
      <xdr:rowOff>153672</xdr:rowOff>
    </xdr:from>
    <xdr:to>
      <xdr:col>2</xdr:col>
      <xdr:colOff>32524</xdr:colOff>
      <xdr:row>47</xdr:row>
      <xdr:rowOff>190500</xdr:rowOff>
    </xdr:to>
    <xdr:sp macro="" textlink="">
      <xdr:nvSpPr>
        <xdr:cNvPr id="19" name="14 CuadroTexto"/>
        <xdr:cNvSpPr txBox="1"/>
      </xdr:nvSpPr>
      <xdr:spPr>
        <a:xfrm>
          <a:off x="1" y="8526147"/>
          <a:ext cx="1556523" cy="60832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550">
              <a:latin typeface="Arial" pitchFamily="34" charset="0"/>
              <a:cs typeface="Arial" pitchFamily="34" charset="0"/>
            </a:rPr>
            <a:t>PRESIDENTE MUNICIPAL</a:t>
          </a:r>
        </a:p>
        <a:p>
          <a:pPr algn="ctr"/>
          <a:endParaRPr lang="es-MX" sz="550">
            <a:latin typeface="Arial" pitchFamily="34" charset="0"/>
            <a:cs typeface="Arial" pitchFamily="34" charset="0"/>
          </a:endParaRPr>
        </a:p>
        <a:p>
          <a:pPr algn="ctr"/>
          <a:endParaRPr lang="es-MX" sz="550">
            <a:latin typeface="Arial" pitchFamily="34" charset="0"/>
            <a:cs typeface="Arial" pitchFamily="34" charset="0"/>
          </a:endParaRPr>
        </a:p>
        <a:p>
          <a:pPr algn="ctr"/>
          <a:r>
            <a:rPr lang="es-MX" sz="550">
              <a:latin typeface="Arial" pitchFamily="34" charset="0"/>
              <a:cs typeface="Arial" pitchFamily="34" charset="0"/>
            </a:rPr>
            <a:t>___________________________________</a:t>
          </a:r>
        </a:p>
        <a:p>
          <a:pPr algn="ctr"/>
          <a:r>
            <a:rPr lang="es-MX" sz="550">
              <a:latin typeface="Arial" pitchFamily="34" charset="0"/>
              <a:cs typeface="Arial" pitchFamily="34" charset="0"/>
            </a:rPr>
            <a:t>DR. XICOTÉNCATL GONZÁLEZ URESTI</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6</xdr:col>
      <xdr:colOff>2698750</xdr:colOff>
      <xdr:row>61</xdr:row>
      <xdr:rowOff>111125</xdr:rowOff>
    </xdr:from>
    <xdr:to>
      <xdr:col>9</xdr:col>
      <xdr:colOff>810886</xdr:colOff>
      <xdr:row>62</xdr:row>
      <xdr:rowOff>0</xdr:rowOff>
    </xdr:to>
    <xdr:sp macro="" textlink="">
      <xdr:nvSpPr>
        <xdr:cNvPr id="2" name="6 CuadroTexto">
          <a:extLst>
            <a:ext uri="{FF2B5EF4-FFF2-40B4-BE49-F238E27FC236}">
              <a16:creationId xmlns:a16="http://schemas.microsoft.com/office/drawing/2014/main" xmlns="" id="{00000000-0008-0000-0100-000002000000}"/>
            </a:ext>
          </a:extLst>
        </xdr:cNvPr>
        <xdr:cNvSpPr txBox="1"/>
      </xdr:nvSpPr>
      <xdr:spPr>
        <a:xfrm>
          <a:off x="9613900" y="10198100"/>
          <a:ext cx="3435350" cy="22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1100">
              <a:latin typeface="+mn-lt"/>
            </a:rPr>
            <a:t>____________________________</a:t>
          </a:r>
        </a:p>
        <a:p>
          <a:pPr algn="ctr"/>
          <a:r>
            <a:rPr lang="es-MX" sz="900">
              <a:latin typeface="+mn-lt"/>
              <a:cs typeface="Arial" pitchFamily="34" charset="0"/>
            </a:rPr>
            <a:t>LIC. ANDROMEDA MONTIEL LERMA</a:t>
          </a:r>
        </a:p>
      </xdr:txBody>
    </xdr:sp>
    <xdr:clientData/>
  </xdr:twoCellAnchor>
  <xdr:twoCellAnchor>
    <xdr:from>
      <xdr:col>1</xdr:col>
      <xdr:colOff>2933700</xdr:colOff>
      <xdr:row>61</xdr:row>
      <xdr:rowOff>101600</xdr:rowOff>
    </xdr:from>
    <xdr:to>
      <xdr:col>3</xdr:col>
      <xdr:colOff>790575</xdr:colOff>
      <xdr:row>66</xdr:row>
      <xdr:rowOff>71758</xdr:rowOff>
    </xdr:to>
    <xdr:sp macro="" textlink="">
      <xdr:nvSpPr>
        <xdr:cNvPr id="3" name="7 CuadroTexto">
          <a:extLst>
            <a:ext uri="{FF2B5EF4-FFF2-40B4-BE49-F238E27FC236}">
              <a16:creationId xmlns:a16="http://schemas.microsoft.com/office/drawing/2014/main" xmlns="" id="{00000000-0008-0000-0100-000003000000}"/>
            </a:ext>
          </a:extLst>
        </xdr:cNvPr>
        <xdr:cNvSpPr txBox="1"/>
      </xdr:nvSpPr>
      <xdr:spPr>
        <a:xfrm>
          <a:off x="3381375" y="10188575"/>
          <a:ext cx="2705100" cy="86550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200">
              <a:latin typeface="+mn-lt"/>
              <a:cs typeface="Arial" pitchFamily="34" charset="0"/>
            </a:rPr>
            <a:t>TESORERO MUNICIPAL</a:t>
          </a:r>
        </a:p>
        <a:p>
          <a:pPr algn="ctr"/>
          <a:endParaRPr lang="es-MX" sz="1200">
            <a:latin typeface="+mn-lt"/>
            <a:cs typeface="Arial" pitchFamily="34" charset="0"/>
          </a:endParaRPr>
        </a:p>
        <a:p>
          <a:pPr algn="ctr"/>
          <a:r>
            <a:rPr lang="es-MX" sz="1200">
              <a:latin typeface="+mn-lt"/>
            </a:rPr>
            <a:t>_______________________________</a:t>
          </a:r>
        </a:p>
        <a:p>
          <a:pPr algn="ctr"/>
          <a:r>
            <a:rPr lang="es-MX" sz="1200">
              <a:latin typeface="+mn-lt"/>
              <a:cs typeface="Arial" pitchFamily="34" charset="0"/>
            </a:rPr>
            <a:t>L.A.P. JOSÉ ALFREDO PEÑA RODRÍGUEZ</a:t>
          </a:r>
        </a:p>
      </xdr:txBody>
    </xdr:sp>
    <xdr:clientData/>
  </xdr:twoCellAnchor>
  <xdr:twoCellAnchor>
    <xdr:from>
      <xdr:col>0</xdr:col>
      <xdr:colOff>106362</xdr:colOff>
      <xdr:row>61</xdr:row>
      <xdr:rowOff>109141</xdr:rowOff>
    </xdr:from>
    <xdr:to>
      <xdr:col>1</xdr:col>
      <xdr:colOff>2395537</xdr:colOff>
      <xdr:row>66</xdr:row>
      <xdr:rowOff>104192</xdr:rowOff>
    </xdr:to>
    <xdr:sp macro="" textlink="">
      <xdr:nvSpPr>
        <xdr:cNvPr id="4" name="8 CuadroTexto">
          <a:extLst>
            <a:ext uri="{FF2B5EF4-FFF2-40B4-BE49-F238E27FC236}">
              <a16:creationId xmlns:a16="http://schemas.microsoft.com/office/drawing/2014/main" xmlns="" id="{00000000-0008-0000-0100-000004000000}"/>
            </a:ext>
          </a:extLst>
        </xdr:cNvPr>
        <xdr:cNvSpPr txBox="1"/>
      </xdr:nvSpPr>
      <xdr:spPr>
        <a:xfrm>
          <a:off x="106362" y="10196116"/>
          <a:ext cx="2736850" cy="8904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200">
              <a:latin typeface="+mn-lt"/>
              <a:cs typeface="Arial" pitchFamily="34" charset="0"/>
            </a:rPr>
            <a:t>PRESIDENTE MUNICIPAL</a:t>
          </a:r>
        </a:p>
        <a:p>
          <a:pPr algn="ctr"/>
          <a:endParaRPr lang="es-MX" sz="1200">
            <a:latin typeface="+mn-lt"/>
            <a:cs typeface="Arial" pitchFamily="34" charset="0"/>
          </a:endParaRPr>
        </a:p>
        <a:p>
          <a:pPr algn="ctr"/>
          <a:r>
            <a:rPr lang="es-MX" sz="1200">
              <a:latin typeface="+mn-lt"/>
            </a:rPr>
            <a:t>________________________________</a:t>
          </a:r>
        </a:p>
        <a:p>
          <a:pPr algn="ctr"/>
          <a:r>
            <a:rPr lang="es-MX" sz="1200">
              <a:latin typeface="+mn-lt"/>
              <a:cs typeface="Arial" pitchFamily="34" charset="0"/>
            </a:rPr>
            <a:t>DR. XICOTÉNCATL GONZÁLEZ URESTI</a:t>
          </a:r>
        </a:p>
        <a:p>
          <a:pPr algn="ctr"/>
          <a:endParaRPr lang="es-MX" sz="1200">
            <a:latin typeface="+mn-lt"/>
            <a:cs typeface="Arial" pitchFamily="34" charset="0"/>
          </a:endParaRPr>
        </a:p>
      </xdr:txBody>
    </xdr:sp>
    <xdr:clientData/>
  </xdr:twoCellAnchor>
  <xdr:twoCellAnchor>
    <xdr:from>
      <xdr:col>5</xdr:col>
      <xdr:colOff>200026</xdr:colOff>
      <xdr:row>61</xdr:row>
      <xdr:rowOff>116681</xdr:rowOff>
    </xdr:from>
    <xdr:to>
      <xdr:col>6</xdr:col>
      <xdr:colOff>2714625</xdr:colOff>
      <xdr:row>66</xdr:row>
      <xdr:rowOff>97631</xdr:rowOff>
    </xdr:to>
    <xdr:sp macro="" textlink="">
      <xdr:nvSpPr>
        <xdr:cNvPr id="5" name="9 CuadroTexto">
          <a:extLst>
            <a:ext uri="{FF2B5EF4-FFF2-40B4-BE49-F238E27FC236}">
              <a16:creationId xmlns:a16="http://schemas.microsoft.com/office/drawing/2014/main" xmlns="" id="{00000000-0008-0000-0100-000005000000}"/>
            </a:ext>
          </a:extLst>
        </xdr:cNvPr>
        <xdr:cNvSpPr txBox="1"/>
      </xdr:nvSpPr>
      <xdr:spPr>
        <a:xfrm>
          <a:off x="6667501" y="10203656"/>
          <a:ext cx="2962274" cy="8763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200">
              <a:latin typeface="+mn-lt"/>
              <a:cs typeface="Arial" pitchFamily="34" charset="0"/>
            </a:rPr>
            <a:t>SINDICO</a:t>
          </a:r>
          <a:r>
            <a:rPr lang="es-MX" sz="1200" baseline="0">
              <a:latin typeface="+mn-lt"/>
              <a:cs typeface="Arial" pitchFamily="34" charset="0"/>
            </a:rPr>
            <a:t> MUNICIPAL</a:t>
          </a:r>
        </a:p>
        <a:p>
          <a:pPr algn="ctr"/>
          <a:endParaRPr lang="es-MX" sz="1200" baseline="0">
            <a:latin typeface="+mn-lt"/>
            <a:cs typeface="Arial" pitchFamily="34" charset="0"/>
          </a:endParaRPr>
        </a:p>
        <a:p>
          <a:pPr algn="ctr"/>
          <a:r>
            <a:rPr lang="es-MX" sz="1200">
              <a:latin typeface="+mn-lt"/>
              <a:cs typeface="Arial" pitchFamily="34" charset="0"/>
            </a:rPr>
            <a:t>_________________________________</a:t>
          </a:r>
        </a:p>
        <a:p>
          <a:pPr algn="ctr"/>
          <a:r>
            <a:rPr lang="es-MX" sz="1200">
              <a:solidFill>
                <a:schemeClr val="dk1"/>
              </a:solidFill>
              <a:effectLst/>
              <a:latin typeface="+mn-lt"/>
              <a:ea typeface="+mn-ea"/>
              <a:cs typeface="+mn-cs"/>
            </a:rPr>
            <a:t>LIC.</a:t>
          </a:r>
          <a:r>
            <a:rPr lang="es-MX" sz="1200" baseline="0">
              <a:solidFill>
                <a:schemeClr val="dk1"/>
              </a:solidFill>
              <a:effectLst/>
              <a:latin typeface="+mn-lt"/>
              <a:ea typeface="+mn-ea"/>
              <a:cs typeface="+mn-cs"/>
            </a:rPr>
            <a:t> FRIDA PATRICIA ESCOBAR ORTIZ</a:t>
          </a:r>
          <a:endParaRPr lang="es-MX" sz="1200">
            <a:solidFill>
              <a:schemeClr val="dk1"/>
            </a:solidFill>
            <a:effectLst/>
            <a:latin typeface="+mn-lt"/>
            <a:ea typeface="+mn-ea"/>
            <a:cs typeface="+mn-cs"/>
          </a:endParaRPr>
        </a:p>
        <a:p>
          <a:pPr algn="ctr"/>
          <a:endParaRPr lang="es-MX" sz="1200">
            <a:effectLst/>
          </a:endParaRPr>
        </a:p>
      </xdr:txBody>
    </xdr:sp>
    <xdr:clientData/>
  </xdr:twoCellAnchor>
  <xdr:twoCellAnchor>
    <xdr:from>
      <xdr:col>6</xdr:col>
      <xdr:colOff>3456328</xdr:colOff>
      <xdr:row>61</xdr:row>
      <xdr:rowOff>111368</xdr:rowOff>
    </xdr:from>
    <xdr:to>
      <xdr:col>10</xdr:col>
      <xdr:colOff>177656</xdr:colOff>
      <xdr:row>66</xdr:row>
      <xdr:rowOff>156062</xdr:rowOff>
    </xdr:to>
    <xdr:sp macro="" textlink="">
      <xdr:nvSpPr>
        <xdr:cNvPr id="6" name="10 CuadroTexto">
          <a:extLst>
            <a:ext uri="{FF2B5EF4-FFF2-40B4-BE49-F238E27FC236}">
              <a16:creationId xmlns:a16="http://schemas.microsoft.com/office/drawing/2014/main" xmlns="" id="{00000000-0008-0000-0100-000006000000}"/>
            </a:ext>
          </a:extLst>
        </xdr:cNvPr>
        <xdr:cNvSpPr txBox="1"/>
      </xdr:nvSpPr>
      <xdr:spPr>
        <a:xfrm>
          <a:off x="10371478" y="10198343"/>
          <a:ext cx="2855428" cy="9400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200">
              <a:latin typeface="+mn-lt"/>
              <a:cs typeface="Arial" pitchFamily="34" charset="0"/>
            </a:rPr>
            <a:t>CONTRALOR</a:t>
          </a:r>
          <a:r>
            <a:rPr lang="es-MX" sz="1200" baseline="0">
              <a:latin typeface="+mn-lt"/>
              <a:cs typeface="Arial" pitchFamily="34" charset="0"/>
            </a:rPr>
            <a:t> MUNICIPAL</a:t>
          </a:r>
        </a:p>
        <a:p>
          <a:pPr algn="ctr"/>
          <a:endParaRPr lang="es-MX" sz="1200">
            <a:latin typeface="+mn-lt"/>
            <a:cs typeface="Arial" pitchFamily="34" charset="0"/>
          </a:endParaRPr>
        </a:p>
        <a:p>
          <a:pPr algn="ctr"/>
          <a:r>
            <a:rPr lang="es-MX" sz="1200">
              <a:latin typeface="+mn-lt"/>
            </a:rPr>
            <a:t>__________________________________</a:t>
          </a:r>
        </a:p>
        <a:p>
          <a:pPr algn="ctr"/>
          <a:r>
            <a:rPr lang="es-MX" sz="1200">
              <a:latin typeface="+mn-lt"/>
              <a:cs typeface="Arial" pitchFamily="34" charset="0"/>
            </a:rPr>
            <a:t>C.P. NORA ROSALVA</a:t>
          </a:r>
          <a:r>
            <a:rPr lang="es-MX" sz="1200" baseline="0">
              <a:latin typeface="+mn-lt"/>
              <a:cs typeface="Arial" pitchFamily="34" charset="0"/>
            </a:rPr>
            <a:t> CEPEDA GUERRERO</a:t>
          </a:r>
          <a:endParaRPr lang="es-MX" sz="1200">
            <a:latin typeface="+mn-lt"/>
            <a:cs typeface="Arial" pitchFamily="34" charset="0"/>
          </a:endParaRPr>
        </a:p>
      </xdr:txBody>
    </xdr:sp>
    <xdr:clientData/>
  </xdr:twoCellAnchor>
  <xdr:twoCellAnchor editAs="oneCell">
    <xdr:from>
      <xdr:col>0</xdr:col>
      <xdr:colOff>71662</xdr:colOff>
      <xdr:row>0</xdr:row>
      <xdr:rowOff>0</xdr:rowOff>
    </xdr:from>
    <xdr:to>
      <xdr:col>1</xdr:col>
      <xdr:colOff>1576551</xdr:colOff>
      <xdr:row>4</xdr:row>
      <xdr:rowOff>162922</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662" y="0"/>
          <a:ext cx="1952564" cy="1048747"/>
        </a:xfrm>
        <a:prstGeom prst="rect">
          <a:avLst/>
        </a:prstGeom>
      </xdr:spPr>
    </xdr:pic>
    <xdr:clientData/>
  </xdr:twoCellAnchor>
  <xdr:twoCellAnchor editAs="oneCell">
    <xdr:from>
      <xdr:col>7</xdr:col>
      <xdr:colOff>51954</xdr:colOff>
      <xdr:row>0</xdr:row>
      <xdr:rowOff>17318</xdr:rowOff>
    </xdr:from>
    <xdr:to>
      <xdr:col>8</xdr:col>
      <xdr:colOff>987136</xdr:colOff>
      <xdr:row>4</xdr:row>
      <xdr:rowOff>109920</xdr:rowOff>
    </xdr:to>
    <xdr:pic>
      <xdr:nvPicPr>
        <xdr:cNvPr id="8" name="Imagen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86654" y="17318"/>
          <a:ext cx="1992457" cy="97842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75008</xdr:colOff>
      <xdr:row>98</xdr:row>
      <xdr:rowOff>133350</xdr:rowOff>
    </xdr:from>
    <xdr:to>
      <xdr:col>1</xdr:col>
      <xdr:colOff>1351358</xdr:colOff>
      <xdr:row>102</xdr:row>
      <xdr:rowOff>85725</xdr:rowOff>
    </xdr:to>
    <xdr:sp macro="" textlink="">
      <xdr:nvSpPr>
        <xdr:cNvPr id="2" name="43 CuadroTexto"/>
        <xdr:cNvSpPr txBox="1"/>
      </xdr:nvSpPr>
      <xdr:spPr>
        <a:xfrm>
          <a:off x="75008" y="9639300"/>
          <a:ext cx="1724025" cy="60007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PRESIDENTE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Calibri" panose="020F0502020204030204"/>
            </a:rPr>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DR. XICOTÉNCATL GONZÁLEZ URESTI</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xdr:txBody>
    </xdr:sp>
    <xdr:clientData/>
  </xdr:twoCellAnchor>
  <xdr:twoCellAnchor>
    <xdr:from>
      <xdr:col>1</xdr:col>
      <xdr:colOff>1363265</xdr:colOff>
      <xdr:row>98</xdr:row>
      <xdr:rowOff>139303</xdr:rowOff>
    </xdr:from>
    <xdr:to>
      <xdr:col>2</xdr:col>
      <xdr:colOff>617933</xdr:colOff>
      <xdr:row>102</xdr:row>
      <xdr:rowOff>158353</xdr:rowOff>
    </xdr:to>
    <xdr:sp macro="" textlink="">
      <xdr:nvSpPr>
        <xdr:cNvPr id="3" name="44 CuadroTexto"/>
        <xdr:cNvSpPr txBox="1"/>
      </xdr:nvSpPr>
      <xdr:spPr>
        <a:xfrm>
          <a:off x="1810940" y="9645253"/>
          <a:ext cx="1664493" cy="66675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TESORERO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Calibri" panose="020F0502020204030204"/>
            </a:rPr>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LAP. JOSÉ ALFREDO PEÑA RODRÍGUEZ</a:t>
          </a:r>
        </a:p>
      </xdr:txBody>
    </xdr:sp>
    <xdr:clientData/>
  </xdr:twoCellAnchor>
  <xdr:twoCellAnchor>
    <xdr:from>
      <xdr:col>2</xdr:col>
      <xdr:colOff>572689</xdr:colOff>
      <xdr:row>98</xdr:row>
      <xdr:rowOff>139304</xdr:rowOff>
    </xdr:from>
    <xdr:to>
      <xdr:col>4</xdr:col>
      <xdr:colOff>751283</xdr:colOff>
      <xdr:row>102</xdr:row>
      <xdr:rowOff>63104</xdr:rowOff>
    </xdr:to>
    <xdr:sp macro="" textlink="">
      <xdr:nvSpPr>
        <xdr:cNvPr id="4" name="45 CuadroTexto"/>
        <xdr:cNvSpPr txBox="1"/>
      </xdr:nvSpPr>
      <xdr:spPr>
        <a:xfrm>
          <a:off x="3430189" y="9645254"/>
          <a:ext cx="1893094" cy="571500"/>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SINDICO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mn-lt"/>
              <a:cs typeface="Arial" pitchFamily="34" charset="0"/>
            </a:rPr>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LIC. FRIDA PATRICIA ESCOBAR ORTIZ</a:t>
          </a:r>
        </a:p>
      </xdr:txBody>
    </xdr:sp>
    <xdr:clientData/>
  </xdr:twoCellAnchor>
  <xdr:twoCellAnchor>
    <xdr:from>
      <xdr:col>4</xdr:col>
      <xdr:colOff>694133</xdr:colOff>
      <xdr:row>98</xdr:row>
      <xdr:rowOff>133350</xdr:rowOff>
    </xdr:from>
    <xdr:to>
      <xdr:col>6</xdr:col>
      <xdr:colOff>844152</xdr:colOff>
      <xdr:row>102</xdr:row>
      <xdr:rowOff>66675</xdr:rowOff>
    </xdr:to>
    <xdr:sp macro="" textlink="">
      <xdr:nvSpPr>
        <xdr:cNvPr id="5" name="46 CuadroTexto"/>
        <xdr:cNvSpPr txBox="1"/>
      </xdr:nvSpPr>
      <xdr:spPr>
        <a:xfrm>
          <a:off x="5266133" y="9639300"/>
          <a:ext cx="1883569" cy="581025"/>
        </a:xfrm>
        <a:prstGeom prst="rect">
          <a:avLst/>
        </a:prstGeom>
        <a:solidFill>
          <a:sysClr val="window" lastClr="FFFFFF"/>
        </a:solidFill>
        <a:ln w="9525" cmpd="sng">
          <a:noFill/>
        </a:ln>
        <a:effectLst/>
      </xdr:spPr>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CONTRALOR MUNICIPAL</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Calibri" panose="020F0502020204030204"/>
            </a:rPr>
            <a:t>_________________________________________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600" b="0" i="0" u="none" strike="noStrike" kern="0" cap="none" spc="0" normalizeH="0" baseline="0" noProof="0">
              <a:ln>
                <a:noFill/>
              </a:ln>
              <a:solidFill>
                <a:sysClr val="windowText" lastClr="000000"/>
              </a:solidFill>
              <a:effectLst/>
              <a:uLnTx/>
              <a:uFillTx/>
              <a:latin typeface="Arial" pitchFamily="34" charset="0"/>
              <a:cs typeface="Arial" pitchFamily="34" charset="0"/>
            </a:rPr>
            <a:t>C.P. NORA ROSALVA CEPEDA GUERRERO</a:t>
          </a:r>
        </a:p>
      </xdr:txBody>
    </xdr:sp>
    <xdr:clientData/>
  </xdr:twoCellAnchor>
  <xdr:twoCellAnchor editAs="oneCell">
    <xdr:from>
      <xdr:col>0</xdr:col>
      <xdr:colOff>35719</xdr:colOff>
      <xdr:row>0</xdr:row>
      <xdr:rowOff>0</xdr:rowOff>
    </xdr:from>
    <xdr:to>
      <xdr:col>1</xdr:col>
      <xdr:colOff>910828</xdr:colOff>
      <xdr:row>4</xdr:row>
      <xdr:rowOff>63483</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719" y="0"/>
          <a:ext cx="1322784" cy="711183"/>
        </a:xfrm>
        <a:prstGeom prst="rect">
          <a:avLst/>
        </a:prstGeom>
      </xdr:spPr>
    </xdr:pic>
    <xdr:clientData/>
  </xdr:twoCellAnchor>
  <xdr:twoCellAnchor editAs="oneCell">
    <xdr:from>
      <xdr:col>5</xdr:col>
      <xdr:colOff>404812</xdr:colOff>
      <xdr:row>0</xdr:row>
      <xdr:rowOff>0</xdr:rowOff>
    </xdr:from>
    <xdr:to>
      <xdr:col>6</xdr:col>
      <xdr:colOff>918473</xdr:colOff>
      <xdr:row>4</xdr:row>
      <xdr:rowOff>58506</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5012" y="0"/>
          <a:ext cx="1409011" cy="70620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1066800</xdr:colOff>
      <xdr:row>3</xdr:row>
      <xdr:rowOff>119161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1285875" cy="690660"/>
        </a:xfrm>
        <a:prstGeom prst="rect">
          <a:avLst/>
        </a:prstGeom>
      </xdr:spPr>
    </xdr:pic>
    <xdr:clientData/>
  </xdr:twoCellAnchor>
  <xdr:twoCellAnchor editAs="oneCell">
    <xdr:from>
      <xdr:col>7</xdr:col>
      <xdr:colOff>142217</xdr:colOff>
      <xdr:row>0</xdr:row>
      <xdr:rowOff>0</xdr:rowOff>
    </xdr:from>
    <xdr:to>
      <xdr:col>8</xdr:col>
      <xdr:colOff>692364</xdr:colOff>
      <xdr:row>3</xdr:row>
      <xdr:rowOff>72850</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23967" y="0"/>
          <a:ext cx="1312147" cy="644350"/>
        </a:xfrm>
        <a:prstGeom prst="rect">
          <a:avLst/>
        </a:prstGeom>
      </xdr:spPr>
    </xdr:pic>
    <xdr:clientData/>
  </xdr:twoCellAnchor>
  <xdr:twoCellAnchor>
    <xdr:from>
      <xdr:col>0</xdr:col>
      <xdr:colOff>0</xdr:colOff>
      <xdr:row>42</xdr:row>
      <xdr:rowOff>13006</xdr:rowOff>
    </xdr:from>
    <xdr:to>
      <xdr:col>1</xdr:col>
      <xdr:colOff>1744265</xdr:colOff>
      <xdr:row>46</xdr:row>
      <xdr:rowOff>83344</xdr:rowOff>
    </xdr:to>
    <xdr:sp macro="" textlink="">
      <xdr:nvSpPr>
        <xdr:cNvPr id="13" name="3 CuadroTexto">
          <a:extLst>
            <a:ext uri="{FF2B5EF4-FFF2-40B4-BE49-F238E27FC236}">
              <a16:creationId xmlns:a16="http://schemas.microsoft.com/office/drawing/2014/main" xmlns="" id="{00000000-0008-0000-0200-000002000000}"/>
            </a:ext>
          </a:extLst>
        </xdr:cNvPr>
        <xdr:cNvSpPr txBox="1"/>
      </xdr:nvSpPr>
      <xdr:spPr>
        <a:xfrm>
          <a:off x="0" y="8859350"/>
          <a:ext cx="1964531" cy="713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mn-lt"/>
              <a:cs typeface="Arial" pitchFamily="34" charset="0"/>
            </a:rPr>
            <a:t>PRESIDENTE MUNICIPAL</a:t>
          </a:r>
        </a:p>
        <a:p>
          <a:pPr algn="ctr"/>
          <a:endParaRPr lang="es-MX" sz="800">
            <a:latin typeface="+mn-lt"/>
            <a:cs typeface="Arial" pitchFamily="34" charset="0"/>
          </a:endParaRPr>
        </a:p>
        <a:p>
          <a:pPr algn="ctr"/>
          <a:r>
            <a:rPr lang="es-MX" sz="800">
              <a:latin typeface="+mn-lt"/>
            </a:rPr>
            <a:t>___________________________________</a:t>
          </a:r>
        </a:p>
        <a:p>
          <a:pPr algn="ctr"/>
          <a:r>
            <a:rPr lang="es-MX" sz="800">
              <a:latin typeface="+mn-lt"/>
              <a:cs typeface="Arial" pitchFamily="34" charset="0"/>
            </a:rPr>
            <a:t>DR. XICOTÉNCATL GONZÁLEZ URESTI</a:t>
          </a:r>
        </a:p>
      </xdr:txBody>
    </xdr:sp>
    <xdr:clientData/>
  </xdr:twoCellAnchor>
  <xdr:twoCellAnchor>
    <xdr:from>
      <xdr:col>1</xdr:col>
      <xdr:colOff>1773786</xdr:colOff>
      <xdr:row>42</xdr:row>
      <xdr:rowOff>6228</xdr:rowOff>
    </xdr:from>
    <xdr:to>
      <xdr:col>3</xdr:col>
      <xdr:colOff>815576</xdr:colOff>
      <xdr:row>46</xdr:row>
      <xdr:rowOff>109538</xdr:rowOff>
    </xdr:to>
    <xdr:sp macro="" textlink="">
      <xdr:nvSpPr>
        <xdr:cNvPr id="14" name="4 CuadroTexto">
          <a:extLst>
            <a:ext uri="{FF2B5EF4-FFF2-40B4-BE49-F238E27FC236}">
              <a16:creationId xmlns:a16="http://schemas.microsoft.com/office/drawing/2014/main" xmlns="" id="{00000000-0008-0000-0200-000003000000}"/>
            </a:ext>
          </a:extLst>
        </xdr:cNvPr>
        <xdr:cNvSpPr txBox="1"/>
      </xdr:nvSpPr>
      <xdr:spPr>
        <a:xfrm>
          <a:off x="1994052" y="8852572"/>
          <a:ext cx="2071930" cy="7462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mn-lt"/>
              <a:cs typeface="Arial" pitchFamily="34" charset="0"/>
            </a:rPr>
            <a:t>TESORERO MUNICIPAL</a:t>
          </a:r>
        </a:p>
        <a:p>
          <a:pPr algn="ctr"/>
          <a:endParaRPr lang="es-MX" sz="800">
            <a:latin typeface="+mn-lt"/>
            <a:cs typeface="Arial" pitchFamily="34" charset="0"/>
          </a:endParaRPr>
        </a:p>
        <a:p>
          <a:pPr algn="ctr"/>
          <a:r>
            <a:rPr lang="es-MX" sz="800">
              <a:latin typeface="+mn-lt"/>
            </a:rPr>
            <a:t>________________________________</a:t>
          </a:r>
        </a:p>
        <a:p>
          <a:pPr algn="ctr"/>
          <a:r>
            <a:rPr lang="es-MX" sz="800">
              <a:latin typeface="+mn-lt"/>
              <a:cs typeface="Arial" pitchFamily="34" charset="0"/>
            </a:rPr>
            <a:t>LAP. JOSÉ ALFREDO PEÑA RODRÍGUEZ</a:t>
          </a:r>
        </a:p>
      </xdr:txBody>
    </xdr:sp>
    <xdr:clientData/>
  </xdr:twoCellAnchor>
  <xdr:twoCellAnchor>
    <xdr:from>
      <xdr:col>3</xdr:col>
      <xdr:colOff>812063</xdr:colOff>
      <xdr:row>41</xdr:row>
      <xdr:rowOff>105783</xdr:rowOff>
    </xdr:from>
    <xdr:to>
      <xdr:col>6</xdr:col>
      <xdr:colOff>321467</xdr:colOff>
      <xdr:row>46</xdr:row>
      <xdr:rowOff>119064</xdr:rowOff>
    </xdr:to>
    <xdr:sp macro="" textlink="">
      <xdr:nvSpPr>
        <xdr:cNvPr id="15" name="5 CuadroTexto">
          <a:extLst>
            <a:ext uri="{FF2B5EF4-FFF2-40B4-BE49-F238E27FC236}">
              <a16:creationId xmlns:a16="http://schemas.microsoft.com/office/drawing/2014/main" xmlns="" id="{00000000-0008-0000-0200-000004000000}"/>
            </a:ext>
          </a:extLst>
        </xdr:cNvPr>
        <xdr:cNvSpPr txBox="1"/>
      </xdr:nvSpPr>
      <xdr:spPr>
        <a:xfrm>
          <a:off x="4062469" y="8844971"/>
          <a:ext cx="1860889" cy="7633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mn-lt"/>
              <a:cs typeface="Arial" pitchFamily="34" charset="0"/>
            </a:rPr>
            <a:t>SINDICO</a:t>
          </a:r>
          <a:r>
            <a:rPr lang="es-MX" sz="800" baseline="0">
              <a:latin typeface="+mn-lt"/>
              <a:cs typeface="Arial" pitchFamily="34" charset="0"/>
            </a:rPr>
            <a:t> MUNICIPAL</a:t>
          </a:r>
        </a:p>
        <a:p>
          <a:pPr algn="ctr"/>
          <a:endParaRPr lang="es-MX" sz="800" baseline="0">
            <a:latin typeface="+mn-lt"/>
            <a:cs typeface="Arial" pitchFamily="34" charset="0"/>
          </a:endParaRPr>
        </a:p>
        <a:p>
          <a:pPr algn="ctr"/>
          <a:r>
            <a:rPr lang="es-MX" sz="800">
              <a:latin typeface="+mn-lt"/>
              <a:cs typeface="Arial" pitchFamily="34" charset="0"/>
            </a:rPr>
            <a:t>_________________________________</a:t>
          </a:r>
        </a:p>
        <a:p>
          <a:pPr algn="ctr"/>
          <a:r>
            <a:rPr lang="es-MX" sz="800">
              <a:latin typeface="+mn-lt"/>
              <a:cs typeface="Arial" pitchFamily="34" charset="0"/>
            </a:rPr>
            <a:t>LIC. FRIDA PATRICIA ESCOBAR ORTIZ</a:t>
          </a:r>
        </a:p>
        <a:p>
          <a:pPr algn="ctr"/>
          <a:r>
            <a:rPr lang="es-MX" sz="900">
              <a:latin typeface="+mn-lt"/>
              <a:cs typeface="Arial" pitchFamily="34" charset="0"/>
            </a:rPr>
            <a:t>	</a:t>
          </a:r>
        </a:p>
      </xdr:txBody>
    </xdr:sp>
    <xdr:clientData/>
  </xdr:twoCellAnchor>
  <xdr:twoCellAnchor>
    <xdr:from>
      <xdr:col>6</xdr:col>
      <xdr:colOff>291703</xdr:colOff>
      <xdr:row>41</xdr:row>
      <xdr:rowOff>102394</xdr:rowOff>
    </xdr:from>
    <xdr:to>
      <xdr:col>8</xdr:col>
      <xdr:colOff>708422</xdr:colOff>
      <xdr:row>46</xdr:row>
      <xdr:rowOff>128588</xdr:rowOff>
    </xdr:to>
    <xdr:sp macro="" textlink="">
      <xdr:nvSpPr>
        <xdr:cNvPr id="16" name="6 CuadroTexto">
          <a:extLst>
            <a:ext uri="{FF2B5EF4-FFF2-40B4-BE49-F238E27FC236}">
              <a16:creationId xmlns:a16="http://schemas.microsoft.com/office/drawing/2014/main" xmlns="" id="{00000000-0008-0000-0200-000005000000}"/>
            </a:ext>
          </a:extLst>
        </xdr:cNvPr>
        <xdr:cNvSpPr txBox="1"/>
      </xdr:nvSpPr>
      <xdr:spPr>
        <a:xfrm>
          <a:off x="5893594" y="8841582"/>
          <a:ext cx="1958578" cy="7762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mn-lt"/>
              <a:cs typeface="Arial" pitchFamily="34" charset="0"/>
            </a:rPr>
            <a:t>CONTRALOR</a:t>
          </a:r>
          <a:r>
            <a:rPr lang="es-MX" sz="800" baseline="0">
              <a:latin typeface="+mn-lt"/>
              <a:cs typeface="Arial" pitchFamily="34" charset="0"/>
            </a:rPr>
            <a:t> MUNICIPAL</a:t>
          </a:r>
        </a:p>
        <a:p>
          <a:pPr algn="ctr"/>
          <a:endParaRPr lang="es-MX" sz="800">
            <a:latin typeface="+mn-lt"/>
            <a:cs typeface="Arial" pitchFamily="34" charset="0"/>
          </a:endParaRPr>
        </a:p>
        <a:p>
          <a:pPr algn="ctr"/>
          <a:r>
            <a:rPr lang="es-MX" sz="800">
              <a:latin typeface="+mn-lt"/>
            </a:rPr>
            <a:t>___________________________________</a:t>
          </a:r>
        </a:p>
        <a:p>
          <a:pPr algn="ctr"/>
          <a:r>
            <a:rPr lang="es-MX" sz="800">
              <a:latin typeface="+mn-lt"/>
              <a:cs typeface="Arial" pitchFamily="34" charset="0"/>
            </a:rPr>
            <a:t>C.P. NORA ROSALVA CEPEDA GUERRERO</a:t>
          </a:r>
        </a:p>
      </xdr:txBody>
    </xdr:sp>
    <xdr:clientData/>
  </xdr:twoCellAnchor>
</xdr:wsDr>
</file>

<file path=xl/drawings/drawing61.xml><?xml version="1.0" encoding="utf-8"?>
<xdr:wsDr xmlns:xdr="http://schemas.openxmlformats.org/drawingml/2006/spreadsheetDrawing" xmlns:a="http://schemas.openxmlformats.org/drawingml/2006/main">
  <xdr:oneCellAnchor>
    <xdr:from>
      <xdr:col>0</xdr:col>
      <xdr:colOff>2028825</xdr:colOff>
      <xdr:row>7</xdr:row>
      <xdr:rowOff>70160</xdr:rowOff>
    </xdr:from>
    <xdr:ext cx="7620000" cy="1121266"/>
    <xdr:sp macro="" textlink="">
      <xdr:nvSpPr>
        <xdr:cNvPr id="2" name="7 Rectángulo"/>
        <xdr:cNvSpPr/>
      </xdr:nvSpPr>
      <xdr:spPr>
        <a:xfrm>
          <a:off x="2028825" y="2756210"/>
          <a:ext cx="7620000" cy="1121266"/>
        </a:xfrm>
        <a:prstGeom prst="rect">
          <a:avLst/>
        </a:prstGeom>
        <a:noFill/>
      </xdr:spPr>
      <xdr:txBody>
        <a:bodyPr wrap="square" lIns="91440" tIns="45720" rIns="91440" bIns="45720">
          <a:noAutofit/>
        </a:bodyPr>
        <a:lstStyle/>
        <a:p>
          <a:pPr algn="ctr"/>
          <a:r>
            <a:rPr lang="es-ES" sz="4400" b="1" cap="none" spc="0">
              <a:ln w="3175" cmpd="sng">
                <a:solidFill>
                  <a:srgbClr val="FFFFFF"/>
                </a:solidFill>
                <a:prstDash val="solid"/>
                <a:miter lim="800000"/>
              </a:ln>
              <a:gradFill rotWithShape="1">
                <a:gsLst>
                  <a:gs pos="0">
                    <a:srgbClr val="000000">
                      <a:tint val="92000"/>
                      <a:shade val="100000"/>
                      <a:satMod val="150000"/>
                    </a:srgbClr>
                  </a:gs>
                  <a:gs pos="49000">
                    <a:srgbClr val="000000">
                      <a:tint val="89000"/>
                      <a:shade val="90000"/>
                      <a:satMod val="150000"/>
                    </a:srgbClr>
                  </a:gs>
                  <a:gs pos="50000">
                    <a:srgbClr val="000000">
                      <a:tint val="100000"/>
                      <a:shade val="75000"/>
                      <a:satMod val="150000"/>
                    </a:srgbClr>
                  </a:gs>
                  <a:gs pos="95000">
                    <a:srgbClr val="000000">
                      <a:shade val="47000"/>
                      <a:satMod val="150000"/>
                    </a:srgbClr>
                  </a:gs>
                  <a:gs pos="100000">
                    <a:srgbClr val="000000">
                      <a:shade val="39000"/>
                      <a:satMod val="150000"/>
                    </a:srgbClr>
                  </a:gs>
                </a:gsLst>
                <a:lin ang="5400000"/>
              </a:gradFill>
              <a:effectLst>
                <a:outerShdw blurRad="50800" algn="tl" rotWithShape="0">
                  <a:srgbClr val="000000"/>
                </a:outerShdw>
              </a:effectLst>
            </a:rPr>
            <a:t>SIN MOVIMIENTOS</a:t>
          </a:r>
        </a:p>
      </xdr:txBody>
    </xdr:sp>
    <xdr:clientData/>
  </xdr:oneCellAnchor>
  <xdr:twoCellAnchor editAs="oneCell">
    <xdr:from>
      <xdr:col>0</xdr:col>
      <xdr:colOff>47625</xdr:colOff>
      <xdr:row>0</xdr:row>
      <xdr:rowOff>9526</xdr:rowOff>
    </xdr:from>
    <xdr:to>
      <xdr:col>0</xdr:col>
      <xdr:colOff>1276350</xdr:colOff>
      <xdr:row>3</xdr:row>
      <xdr:rowOff>136090</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9526"/>
          <a:ext cx="1228725" cy="659964"/>
        </a:xfrm>
        <a:prstGeom prst="rect">
          <a:avLst/>
        </a:prstGeom>
      </xdr:spPr>
    </xdr:pic>
    <xdr:clientData/>
  </xdr:twoCellAnchor>
  <xdr:twoCellAnchor editAs="oneCell">
    <xdr:from>
      <xdr:col>9</xdr:col>
      <xdr:colOff>189842</xdr:colOff>
      <xdr:row>0</xdr:row>
      <xdr:rowOff>0</xdr:rowOff>
    </xdr:from>
    <xdr:to>
      <xdr:col>10</xdr:col>
      <xdr:colOff>681671</xdr:colOff>
      <xdr:row>3</xdr:row>
      <xdr:rowOff>82312</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24192" y="0"/>
          <a:ext cx="1253829" cy="615712"/>
        </a:xfrm>
        <a:prstGeom prst="rect">
          <a:avLst/>
        </a:prstGeom>
      </xdr:spPr>
    </xdr:pic>
    <xdr:clientData/>
  </xdr:twoCellAnchor>
  <xdr:twoCellAnchor>
    <xdr:from>
      <xdr:col>0</xdr:col>
      <xdr:colOff>13138</xdr:colOff>
      <xdr:row>31</xdr:row>
      <xdr:rowOff>6437</xdr:rowOff>
    </xdr:from>
    <xdr:to>
      <xdr:col>1</xdr:col>
      <xdr:colOff>203638</xdr:colOff>
      <xdr:row>35</xdr:row>
      <xdr:rowOff>76775</xdr:rowOff>
    </xdr:to>
    <xdr:sp macro="" textlink="">
      <xdr:nvSpPr>
        <xdr:cNvPr id="23" name="3 CuadroTexto">
          <a:extLst>
            <a:ext uri="{FF2B5EF4-FFF2-40B4-BE49-F238E27FC236}">
              <a16:creationId xmlns:a16="http://schemas.microsoft.com/office/drawing/2014/main" xmlns="" id="{00000000-0008-0000-0200-000002000000}"/>
            </a:ext>
          </a:extLst>
        </xdr:cNvPr>
        <xdr:cNvSpPr txBox="1"/>
      </xdr:nvSpPr>
      <xdr:spPr>
        <a:xfrm>
          <a:off x="13138" y="6496575"/>
          <a:ext cx="2226879" cy="7272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PRESIDENTE MUNICIPAL</a:t>
          </a:r>
        </a:p>
        <a:p>
          <a:pPr algn="ctr"/>
          <a:endParaRPr lang="es-MX" sz="900">
            <a:latin typeface="+mn-lt"/>
            <a:cs typeface="Arial" pitchFamily="34" charset="0"/>
          </a:endParaRPr>
        </a:p>
        <a:p>
          <a:pPr algn="ctr"/>
          <a:r>
            <a:rPr lang="es-MX" sz="900">
              <a:latin typeface="+mn-lt"/>
            </a:rPr>
            <a:t>___________________________________</a:t>
          </a:r>
        </a:p>
        <a:p>
          <a:pPr algn="ctr"/>
          <a:r>
            <a:rPr lang="es-MX" sz="900">
              <a:latin typeface="+mn-lt"/>
              <a:cs typeface="Arial" pitchFamily="34" charset="0"/>
            </a:rPr>
            <a:t>DR. XICOTÉNCATL GONZÁLEZ URESTI</a:t>
          </a:r>
        </a:p>
      </xdr:txBody>
    </xdr:sp>
    <xdr:clientData/>
  </xdr:twoCellAnchor>
  <xdr:twoCellAnchor>
    <xdr:from>
      <xdr:col>1</xdr:col>
      <xdr:colOff>586776</xdr:colOff>
      <xdr:row>31</xdr:row>
      <xdr:rowOff>6228</xdr:rowOff>
    </xdr:from>
    <xdr:to>
      <xdr:col>4</xdr:col>
      <xdr:colOff>348158</xdr:colOff>
      <xdr:row>35</xdr:row>
      <xdr:rowOff>109538</xdr:rowOff>
    </xdr:to>
    <xdr:sp macro="" textlink="">
      <xdr:nvSpPr>
        <xdr:cNvPr id="24" name="4 CuadroTexto">
          <a:extLst>
            <a:ext uri="{FF2B5EF4-FFF2-40B4-BE49-F238E27FC236}">
              <a16:creationId xmlns:a16="http://schemas.microsoft.com/office/drawing/2014/main" xmlns="" id="{00000000-0008-0000-0200-000003000000}"/>
            </a:ext>
          </a:extLst>
        </xdr:cNvPr>
        <xdr:cNvSpPr txBox="1"/>
      </xdr:nvSpPr>
      <xdr:spPr>
        <a:xfrm>
          <a:off x="2623155" y="6496366"/>
          <a:ext cx="2047382" cy="7602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TESORERO MUNICIPAL</a:t>
          </a:r>
        </a:p>
        <a:p>
          <a:pPr algn="ctr"/>
          <a:endParaRPr lang="es-MX" sz="900">
            <a:latin typeface="+mn-lt"/>
            <a:cs typeface="Arial" pitchFamily="34" charset="0"/>
          </a:endParaRPr>
        </a:p>
        <a:p>
          <a:pPr algn="ctr"/>
          <a:r>
            <a:rPr lang="es-MX" sz="900">
              <a:latin typeface="+mn-lt"/>
            </a:rPr>
            <a:t>________________________________</a:t>
          </a:r>
        </a:p>
        <a:p>
          <a:pPr algn="ctr"/>
          <a:r>
            <a:rPr lang="es-MX" sz="900">
              <a:latin typeface="+mn-lt"/>
              <a:cs typeface="Arial" pitchFamily="34" charset="0"/>
            </a:rPr>
            <a:t>LAP. JOSÉ ALFREDO PEÑA RODRÍGUEZ</a:t>
          </a:r>
        </a:p>
      </xdr:txBody>
    </xdr:sp>
    <xdr:clientData/>
  </xdr:twoCellAnchor>
  <xdr:twoCellAnchor>
    <xdr:from>
      <xdr:col>4</xdr:col>
      <xdr:colOff>652766</xdr:colOff>
      <xdr:row>31</xdr:row>
      <xdr:rowOff>13817</xdr:rowOff>
    </xdr:from>
    <xdr:to>
      <xdr:col>7</xdr:col>
      <xdr:colOff>578070</xdr:colOff>
      <xdr:row>35</xdr:row>
      <xdr:rowOff>132202</xdr:rowOff>
    </xdr:to>
    <xdr:sp macro="" textlink="">
      <xdr:nvSpPr>
        <xdr:cNvPr id="25" name="5 CuadroTexto">
          <a:extLst>
            <a:ext uri="{FF2B5EF4-FFF2-40B4-BE49-F238E27FC236}">
              <a16:creationId xmlns:a16="http://schemas.microsoft.com/office/drawing/2014/main" xmlns="" id="{00000000-0008-0000-0200-000004000000}"/>
            </a:ext>
          </a:extLst>
        </xdr:cNvPr>
        <xdr:cNvSpPr txBox="1"/>
      </xdr:nvSpPr>
      <xdr:spPr>
        <a:xfrm>
          <a:off x="4975145" y="6503955"/>
          <a:ext cx="2211304" cy="7752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SINDICO</a:t>
          </a:r>
          <a:r>
            <a:rPr lang="es-MX" sz="900" baseline="0">
              <a:latin typeface="+mn-lt"/>
              <a:cs typeface="Arial" pitchFamily="34" charset="0"/>
            </a:rPr>
            <a:t> MUNICIPAL</a:t>
          </a:r>
        </a:p>
        <a:p>
          <a:pPr algn="ctr"/>
          <a:endParaRPr lang="es-MX" sz="900" baseline="0">
            <a:latin typeface="+mn-lt"/>
            <a:cs typeface="Arial" pitchFamily="34" charset="0"/>
          </a:endParaRPr>
        </a:p>
        <a:p>
          <a:pPr algn="ctr"/>
          <a:r>
            <a:rPr lang="es-MX" sz="900">
              <a:latin typeface="+mn-lt"/>
              <a:cs typeface="Arial" pitchFamily="34" charset="0"/>
            </a:rPr>
            <a:t>_________________________________</a:t>
          </a:r>
        </a:p>
        <a:p>
          <a:pPr algn="ctr"/>
          <a:r>
            <a:rPr lang="es-MX" sz="900">
              <a:latin typeface="+mn-lt"/>
              <a:cs typeface="Arial" pitchFamily="34" charset="0"/>
            </a:rPr>
            <a:t>LIC. FRIDA PATRICIA ESCOBAR ORTIZ</a:t>
          </a:r>
        </a:p>
        <a:p>
          <a:pPr algn="ctr"/>
          <a:r>
            <a:rPr lang="es-MX" sz="900">
              <a:latin typeface="+mn-lt"/>
              <a:cs typeface="Arial" pitchFamily="34" charset="0"/>
            </a:rPr>
            <a:t>	</a:t>
          </a:r>
        </a:p>
      </xdr:txBody>
    </xdr:sp>
    <xdr:clientData/>
  </xdr:twoCellAnchor>
  <xdr:twoCellAnchor>
    <xdr:from>
      <xdr:col>8</xdr:col>
      <xdr:colOff>59121</xdr:colOff>
      <xdr:row>31</xdr:row>
      <xdr:rowOff>10428</xdr:rowOff>
    </xdr:from>
    <xdr:to>
      <xdr:col>10</xdr:col>
      <xdr:colOff>718316</xdr:colOff>
      <xdr:row>35</xdr:row>
      <xdr:rowOff>141726</xdr:rowOff>
    </xdr:to>
    <xdr:sp macro="" textlink="">
      <xdr:nvSpPr>
        <xdr:cNvPr id="26" name="6 CuadroTexto">
          <a:extLst>
            <a:ext uri="{FF2B5EF4-FFF2-40B4-BE49-F238E27FC236}">
              <a16:creationId xmlns:a16="http://schemas.microsoft.com/office/drawing/2014/main" xmlns="" id="{00000000-0008-0000-0200-000005000000}"/>
            </a:ext>
          </a:extLst>
        </xdr:cNvPr>
        <xdr:cNvSpPr txBox="1"/>
      </xdr:nvSpPr>
      <xdr:spPr>
        <a:xfrm>
          <a:off x="7429500" y="6500566"/>
          <a:ext cx="2183195" cy="7881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900">
              <a:latin typeface="+mn-lt"/>
            </a:rPr>
            <a:t>___________________________________</a:t>
          </a:r>
        </a:p>
        <a:p>
          <a:pPr algn="ctr"/>
          <a:r>
            <a:rPr lang="es-MX" sz="900">
              <a:latin typeface="+mn-lt"/>
              <a:cs typeface="Arial" pitchFamily="34" charset="0"/>
            </a:rPr>
            <a:t>C.P. NORA ROSALVA CEPEDA GUERRERO</a:t>
          </a:r>
        </a:p>
      </xdr:txBody>
    </xdr:sp>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57150</xdr:colOff>
      <xdr:row>0</xdr:row>
      <xdr:rowOff>57151</xdr:rowOff>
    </xdr:from>
    <xdr:to>
      <xdr:col>0</xdr:col>
      <xdr:colOff>1447800</xdr:colOff>
      <xdr:row>4</xdr:row>
      <xdr:rowOff>42087</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57151"/>
          <a:ext cx="1390650" cy="746936"/>
        </a:xfrm>
        <a:prstGeom prst="rect">
          <a:avLst/>
        </a:prstGeom>
      </xdr:spPr>
    </xdr:pic>
    <xdr:clientData/>
  </xdr:twoCellAnchor>
  <xdr:twoCellAnchor editAs="oneCell">
    <xdr:from>
      <xdr:col>2</xdr:col>
      <xdr:colOff>285092</xdr:colOff>
      <xdr:row>0</xdr:row>
      <xdr:rowOff>57150</xdr:rowOff>
    </xdr:from>
    <xdr:to>
      <xdr:col>3</xdr:col>
      <xdr:colOff>803006</xdr:colOff>
      <xdr:row>3</xdr:row>
      <xdr:rowOff>182502</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33467" y="57150"/>
          <a:ext cx="1419062" cy="696852"/>
        </a:xfrm>
        <a:prstGeom prst="rect">
          <a:avLst/>
        </a:prstGeom>
      </xdr:spPr>
    </xdr:pic>
    <xdr:clientData/>
  </xdr:twoCellAnchor>
  <xdr:twoCellAnchor>
    <xdr:from>
      <xdr:col>0</xdr:col>
      <xdr:colOff>1</xdr:colOff>
      <xdr:row>103</xdr:row>
      <xdr:rowOff>13006</xdr:rowOff>
    </xdr:from>
    <xdr:to>
      <xdr:col>0</xdr:col>
      <xdr:colOff>2000251</xdr:colOff>
      <xdr:row>107</xdr:row>
      <xdr:rowOff>83344</xdr:rowOff>
    </xdr:to>
    <xdr:sp macro="" textlink="">
      <xdr:nvSpPr>
        <xdr:cNvPr id="8" name="3 CuadroTexto">
          <a:extLst>
            <a:ext uri="{FF2B5EF4-FFF2-40B4-BE49-F238E27FC236}">
              <a16:creationId xmlns:a16="http://schemas.microsoft.com/office/drawing/2014/main" xmlns="" id="{00000000-0008-0000-0200-000002000000}"/>
            </a:ext>
          </a:extLst>
        </xdr:cNvPr>
        <xdr:cNvSpPr txBox="1"/>
      </xdr:nvSpPr>
      <xdr:spPr>
        <a:xfrm>
          <a:off x="1" y="16786531"/>
          <a:ext cx="2000250" cy="7180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mn-lt"/>
              <a:cs typeface="Arial" pitchFamily="34" charset="0"/>
            </a:rPr>
            <a:t>PRESIDENTE MUNICIPAL</a:t>
          </a:r>
        </a:p>
        <a:p>
          <a:pPr algn="ctr"/>
          <a:endParaRPr lang="es-MX" sz="800">
            <a:latin typeface="+mn-lt"/>
            <a:cs typeface="Arial" pitchFamily="34" charset="0"/>
          </a:endParaRPr>
        </a:p>
        <a:p>
          <a:pPr algn="ctr"/>
          <a:r>
            <a:rPr lang="es-MX" sz="800">
              <a:latin typeface="+mn-lt"/>
            </a:rPr>
            <a:t>________________________________</a:t>
          </a:r>
        </a:p>
        <a:p>
          <a:pPr algn="ctr"/>
          <a:r>
            <a:rPr lang="es-MX" sz="800">
              <a:latin typeface="+mn-lt"/>
              <a:cs typeface="Arial" pitchFamily="34" charset="0"/>
            </a:rPr>
            <a:t>DR. XICOTÉNCATL GONZÁLEZ URESTI</a:t>
          </a:r>
        </a:p>
      </xdr:txBody>
    </xdr:sp>
    <xdr:clientData/>
  </xdr:twoCellAnchor>
  <xdr:twoCellAnchor>
    <xdr:from>
      <xdr:col>0</xdr:col>
      <xdr:colOff>1962150</xdr:colOff>
      <xdr:row>103</xdr:row>
      <xdr:rowOff>6228</xdr:rowOff>
    </xdr:from>
    <xdr:to>
      <xdr:col>0</xdr:col>
      <xdr:colOff>3873101</xdr:colOff>
      <xdr:row>107</xdr:row>
      <xdr:rowOff>109538</xdr:rowOff>
    </xdr:to>
    <xdr:sp macro="" textlink="">
      <xdr:nvSpPr>
        <xdr:cNvPr id="9" name="4 CuadroTexto">
          <a:extLst>
            <a:ext uri="{FF2B5EF4-FFF2-40B4-BE49-F238E27FC236}">
              <a16:creationId xmlns:a16="http://schemas.microsoft.com/office/drawing/2014/main" xmlns="" id="{00000000-0008-0000-0200-000003000000}"/>
            </a:ext>
          </a:extLst>
        </xdr:cNvPr>
        <xdr:cNvSpPr txBox="1"/>
      </xdr:nvSpPr>
      <xdr:spPr>
        <a:xfrm>
          <a:off x="1962150" y="16779753"/>
          <a:ext cx="1910951" cy="7510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mn-lt"/>
              <a:cs typeface="Arial" pitchFamily="34" charset="0"/>
            </a:rPr>
            <a:t>TESORERO MUNICIPAL</a:t>
          </a:r>
        </a:p>
        <a:p>
          <a:pPr algn="ctr"/>
          <a:endParaRPr lang="es-MX" sz="800">
            <a:latin typeface="+mn-lt"/>
            <a:cs typeface="Arial" pitchFamily="34" charset="0"/>
          </a:endParaRPr>
        </a:p>
        <a:p>
          <a:pPr algn="ctr"/>
          <a:r>
            <a:rPr lang="es-MX" sz="800">
              <a:latin typeface="+mn-lt"/>
            </a:rPr>
            <a:t>________________________________</a:t>
          </a:r>
        </a:p>
        <a:p>
          <a:pPr algn="ctr"/>
          <a:r>
            <a:rPr lang="es-MX" sz="800">
              <a:latin typeface="+mn-lt"/>
              <a:cs typeface="Arial" pitchFamily="34" charset="0"/>
            </a:rPr>
            <a:t>LAP. JOSÉ ALFREDO PEÑA RODRÍGUEZ</a:t>
          </a:r>
        </a:p>
      </xdr:txBody>
    </xdr:sp>
    <xdr:clientData/>
  </xdr:twoCellAnchor>
  <xdr:twoCellAnchor>
    <xdr:from>
      <xdr:col>0</xdr:col>
      <xdr:colOff>3774338</xdr:colOff>
      <xdr:row>103</xdr:row>
      <xdr:rowOff>1008</xdr:rowOff>
    </xdr:from>
    <xdr:to>
      <xdr:col>1</xdr:col>
      <xdr:colOff>540542</xdr:colOff>
      <xdr:row>107</xdr:row>
      <xdr:rowOff>119064</xdr:rowOff>
    </xdr:to>
    <xdr:sp macro="" textlink="">
      <xdr:nvSpPr>
        <xdr:cNvPr id="10" name="5 CuadroTexto">
          <a:extLst>
            <a:ext uri="{FF2B5EF4-FFF2-40B4-BE49-F238E27FC236}">
              <a16:creationId xmlns:a16="http://schemas.microsoft.com/office/drawing/2014/main" xmlns="" id="{00000000-0008-0000-0200-000004000000}"/>
            </a:ext>
          </a:extLst>
        </xdr:cNvPr>
        <xdr:cNvSpPr txBox="1"/>
      </xdr:nvSpPr>
      <xdr:spPr>
        <a:xfrm>
          <a:off x="3774338" y="16774533"/>
          <a:ext cx="1881129" cy="76575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mn-lt"/>
              <a:cs typeface="Arial" pitchFamily="34" charset="0"/>
            </a:rPr>
            <a:t>SINDICO</a:t>
          </a:r>
          <a:r>
            <a:rPr lang="es-MX" sz="800" baseline="0">
              <a:latin typeface="+mn-lt"/>
              <a:cs typeface="Arial" pitchFamily="34" charset="0"/>
            </a:rPr>
            <a:t> MUNICIPAL</a:t>
          </a:r>
        </a:p>
        <a:p>
          <a:pPr algn="ctr"/>
          <a:endParaRPr lang="es-MX" sz="800" baseline="0">
            <a:latin typeface="+mn-lt"/>
            <a:cs typeface="Arial" pitchFamily="34" charset="0"/>
          </a:endParaRPr>
        </a:p>
        <a:p>
          <a:pPr algn="ctr"/>
          <a:r>
            <a:rPr lang="es-MX" sz="800">
              <a:latin typeface="+mn-lt"/>
              <a:cs typeface="Arial" pitchFamily="34" charset="0"/>
            </a:rPr>
            <a:t>_________________________________</a:t>
          </a:r>
        </a:p>
        <a:p>
          <a:pPr algn="ctr"/>
          <a:r>
            <a:rPr lang="es-MX" sz="800">
              <a:latin typeface="+mn-lt"/>
              <a:cs typeface="Arial" pitchFamily="34" charset="0"/>
            </a:rPr>
            <a:t>LIC. FRIDA PATRICIA ESCOBAR ORTIZ</a:t>
          </a:r>
        </a:p>
        <a:p>
          <a:pPr algn="ctr"/>
          <a:r>
            <a:rPr lang="es-MX" sz="900">
              <a:latin typeface="+mn-lt"/>
              <a:cs typeface="Arial" pitchFamily="34" charset="0"/>
            </a:rPr>
            <a:t>	</a:t>
          </a:r>
        </a:p>
      </xdr:txBody>
    </xdr:sp>
    <xdr:clientData/>
  </xdr:twoCellAnchor>
  <xdr:twoCellAnchor>
    <xdr:from>
      <xdr:col>1</xdr:col>
      <xdr:colOff>586278</xdr:colOff>
      <xdr:row>102</xdr:row>
      <xdr:rowOff>102394</xdr:rowOff>
    </xdr:from>
    <xdr:to>
      <xdr:col>3</xdr:col>
      <xdr:colOff>802355</xdr:colOff>
      <xdr:row>107</xdr:row>
      <xdr:rowOff>128588</xdr:rowOff>
    </xdr:to>
    <xdr:sp macro="" textlink="">
      <xdr:nvSpPr>
        <xdr:cNvPr id="11" name="6 CuadroTexto">
          <a:extLst>
            <a:ext uri="{FF2B5EF4-FFF2-40B4-BE49-F238E27FC236}">
              <a16:creationId xmlns:a16="http://schemas.microsoft.com/office/drawing/2014/main" xmlns="" id="{00000000-0008-0000-0200-000005000000}"/>
            </a:ext>
          </a:extLst>
        </xdr:cNvPr>
        <xdr:cNvSpPr txBox="1"/>
      </xdr:nvSpPr>
      <xdr:spPr>
        <a:xfrm>
          <a:off x="5703502" y="16728446"/>
          <a:ext cx="2022543" cy="7881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mn-lt"/>
              <a:cs typeface="Arial" pitchFamily="34" charset="0"/>
            </a:rPr>
            <a:t>CONTRALOR</a:t>
          </a:r>
          <a:r>
            <a:rPr lang="es-MX" sz="800" baseline="0">
              <a:latin typeface="+mn-lt"/>
              <a:cs typeface="Arial" pitchFamily="34" charset="0"/>
            </a:rPr>
            <a:t> MUNICIPAL</a:t>
          </a:r>
        </a:p>
        <a:p>
          <a:pPr algn="ctr"/>
          <a:endParaRPr lang="es-MX" sz="800">
            <a:latin typeface="+mn-lt"/>
            <a:cs typeface="Arial" pitchFamily="34" charset="0"/>
          </a:endParaRPr>
        </a:p>
        <a:p>
          <a:pPr algn="ctr"/>
          <a:r>
            <a:rPr lang="es-MX" sz="800">
              <a:latin typeface="+mn-lt"/>
            </a:rPr>
            <a:t>___________________________________</a:t>
          </a:r>
        </a:p>
        <a:p>
          <a:pPr algn="ctr"/>
          <a:r>
            <a:rPr lang="es-MX" sz="800">
              <a:latin typeface="+mn-lt"/>
              <a:cs typeface="Arial" pitchFamily="34" charset="0"/>
            </a:rPr>
            <a:t>C.P. NORA ROSALVA CEPEDA GUERRERO</a:t>
          </a:r>
        </a:p>
      </xdr:txBody>
    </xdr:sp>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13138</xdr:colOff>
      <xdr:row>0</xdr:row>
      <xdr:rowOff>9526</xdr:rowOff>
    </xdr:from>
    <xdr:to>
      <xdr:col>2</xdr:col>
      <xdr:colOff>315311</xdr:colOff>
      <xdr:row>3</xdr:row>
      <xdr:rowOff>126385</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38" y="9526"/>
          <a:ext cx="1024759" cy="550411"/>
        </a:xfrm>
        <a:prstGeom prst="rect">
          <a:avLst/>
        </a:prstGeom>
      </xdr:spPr>
    </xdr:pic>
    <xdr:clientData/>
  </xdr:twoCellAnchor>
  <xdr:twoCellAnchor editAs="oneCell">
    <xdr:from>
      <xdr:col>7</xdr:col>
      <xdr:colOff>735396</xdr:colOff>
      <xdr:row>0</xdr:row>
      <xdr:rowOff>0</xdr:rowOff>
    </xdr:from>
    <xdr:to>
      <xdr:col>8</xdr:col>
      <xdr:colOff>801377</xdr:colOff>
      <xdr:row>3</xdr:row>
      <xdr:rowOff>79953</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27706" y="0"/>
          <a:ext cx="1045696" cy="513505"/>
        </a:xfrm>
        <a:prstGeom prst="rect">
          <a:avLst/>
        </a:prstGeom>
      </xdr:spPr>
    </xdr:pic>
    <xdr:clientData/>
  </xdr:twoCellAnchor>
  <xdr:twoCellAnchor>
    <xdr:from>
      <xdr:col>0</xdr:col>
      <xdr:colOff>13138</xdr:colOff>
      <xdr:row>92</xdr:row>
      <xdr:rowOff>111541</xdr:rowOff>
    </xdr:from>
    <xdr:to>
      <xdr:col>2</xdr:col>
      <xdr:colOff>1359776</xdr:colOff>
      <xdr:row>97</xdr:row>
      <xdr:rowOff>50499</xdr:rowOff>
    </xdr:to>
    <xdr:sp macro="" textlink="">
      <xdr:nvSpPr>
        <xdr:cNvPr id="8" name="3 CuadroTexto">
          <a:extLst>
            <a:ext uri="{FF2B5EF4-FFF2-40B4-BE49-F238E27FC236}">
              <a16:creationId xmlns:a16="http://schemas.microsoft.com/office/drawing/2014/main" xmlns="" id="{00000000-0008-0000-0200-000002000000}"/>
            </a:ext>
          </a:extLst>
        </xdr:cNvPr>
        <xdr:cNvSpPr txBox="1"/>
      </xdr:nvSpPr>
      <xdr:spPr>
        <a:xfrm>
          <a:off x="13138" y="12861903"/>
          <a:ext cx="2069224" cy="72723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mn-lt"/>
              <a:cs typeface="Arial" pitchFamily="34" charset="0"/>
            </a:rPr>
            <a:t>PRESIDENTE MUNICIPAL</a:t>
          </a:r>
        </a:p>
        <a:p>
          <a:pPr algn="ctr"/>
          <a:endParaRPr lang="es-MX" sz="800">
            <a:latin typeface="+mn-lt"/>
            <a:cs typeface="Arial" pitchFamily="34" charset="0"/>
          </a:endParaRPr>
        </a:p>
        <a:p>
          <a:pPr algn="ctr"/>
          <a:r>
            <a:rPr lang="es-MX" sz="800">
              <a:latin typeface="+mn-lt"/>
            </a:rPr>
            <a:t>___________________________________</a:t>
          </a:r>
        </a:p>
        <a:p>
          <a:pPr algn="ctr"/>
          <a:r>
            <a:rPr lang="es-MX" sz="800">
              <a:latin typeface="+mn-lt"/>
              <a:cs typeface="Arial" pitchFamily="34" charset="0"/>
            </a:rPr>
            <a:t>DR. XICOTÉNCATL GONZÁLEZ URESTI</a:t>
          </a:r>
        </a:p>
      </xdr:txBody>
    </xdr:sp>
    <xdr:clientData/>
  </xdr:twoCellAnchor>
  <xdr:twoCellAnchor>
    <xdr:from>
      <xdr:col>2</xdr:col>
      <xdr:colOff>1441397</xdr:colOff>
      <xdr:row>92</xdr:row>
      <xdr:rowOff>131039</xdr:rowOff>
    </xdr:from>
    <xdr:to>
      <xdr:col>3</xdr:col>
      <xdr:colOff>689742</xdr:colOff>
      <xdr:row>97</xdr:row>
      <xdr:rowOff>102969</xdr:rowOff>
    </xdr:to>
    <xdr:sp macro="" textlink="">
      <xdr:nvSpPr>
        <xdr:cNvPr id="9" name="4 CuadroTexto">
          <a:extLst>
            <a:ext uri="{FF2B5EF4-FFF2-40B4-BE49-F238E27FC236}">
              <a16:creationId xmlns:a16="http://schemas.microsoft.com/office/drawing/2014/main" xmlns="" id="{00000000-0008-0000-0200-000003000000}"/>
            </a:ext>
          </a:extLst>
        </xdr:cNvPr>
        <xdr:cNvSpPr txBox="1"/>
      </xdr:nvSpPr>
      <xdr:spPr>
        <a:xfrm>
          <a:off x="2163983" y="12881401"/>
          <a:ext cx="2020449" cy="7602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mn-lt"/>
              <a:cs typeface="Arial" pitchFamily="34" charset="0"/>
            </a:rPr>
            <a:t>TESORERO MUNICIPAL</a:t>
          </a:r>
        </a:p>
        <a:p>
          <a:pPr algn="ctr"/>
          <a:endParaRPr lang="es-MX" sz="800">
            <a:latin typeface="+mn-lt"/>
            <a:cs typeface="Arial" pitchFamily="34" charset="0"/>
          </a:endParaRPr>
        </a:p>
        <a:p>
          <a:pPr algn="ctr"/>
          <a:r>
            <a:rPr lang="es-MX" sz="800">
              <a:latin typeface="+mn-lt"/>
            </a:rPr>
            <a:t>________________________________</a:t>
          </a:r>
        </a:p>
        <a:p>
          <a:pPr algn="ctr"/>
          <a:r>
            <a:rPr lang="es-MX" sz="800">
              <a:latin typeface="+mn-lt"/>
              <a:cs typeface="Arial" pitchFamily="34" charset="0"/>
            </a:rPr>
            <a:t>LAP. JOSÉ ALFREDO PEÑA RODRÍGUEZ</a:t>
          </a:r>
        </a:p>
      </xdr:txBody>
    </xdr:sp>
    <xdr:clientData/>
  </xdr:twoCellAnchor>
  <xdr:twoCellAnchor>
    <xdr:from>
      <xdr:col>4</xdr:col>
      <xdr:colOff>87177</xdr:colOff>
      <xdr:row>92</xdr:row>
      <xdr:rowOff>138627</xdr:rowOff>
    </xdr:from>
    <xdr:to>
      <xdr:col>6</xdr:col>
      <xdr:colOff>406863</xdr:colOff>
      <xdr:row>97</xdr:row>
      <xdr:rowOff>125632</xdr:rowOff>
    </xdr:to>
    <xdr:sp macro="" textlink="">
      <xdr:nvSpPr>
        <xdr:cNvPr id="10" name="5 CuadroTexto">
          <a:extLst>
            <a:ext uri="{FF2B5EF4-FFF2-40B4-BE49-F238E27FC236}">
              <a16:creationId xmlns:a16="http://schemas.microsoft.com/office/drawing/2014/main" xmlns="" id="{00000000-0008-0000-0200-000004000000}"/>
            </a:ext>
          </a:extLst>
        </xdr:cNvPr>
        <xdr:cNvSpPr txBox="1"/>
      </xdr:nvSpPr>
      <xdr:spPr>
        <a:xfrm>
          <a:off x="4363574" y="12888989"/>
          <a:ext cx="1883099" cy="7752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mn-lt"/>
              <a:cs typeface="Arial" pitchFamily="34" charset="0"/>
            </a:rPr>
            <a:t>SINDICO</a:t>
          </a:r>
          <a:r>
            <a:rPr lang="es-MX" sz="800" baseline="0">
              <a:latin typeface="+mn-lt"/>
              <a:cs typeface="Arial" pitchFamily="34" charset="0"/>
            </a:rPr>
            <a:t> MUNICIPAL</a:t>
          </a:r>
        </a:p>
        <a:p>
          <a:pPr algn="ctr"/>
          <a:endParaRPr lang="es-MX" sz="800" baseline="0">
            <a:latin typeface="+mn-lt"/>
            <a:cs typeface="Arial" pitchFamily="34" charset="0"/>
          </a:endParaRPr>
        </a:p>
        <a:p>
          <a:pPr algn="ctr"/>
          <a:r>
            <a:rPr lang="es-MX" sz="800">
              <a:latin typeface="+mn-lt"/>
              <a:cs typeface="Arial" pitchFamily="34" charset="0"/>
            </a:rPr>
            <a:t>_________________________________</a:t>
          </a:r>
        </a:p>
        <a:p>
          <a:pPr algn="ctr"/>
          <a:r>
            <a:rPr lang="es-MX" sz="800">
              <a:latin typeface="+mn-lt"/>
              <a:cs typeface="Arial" pitchFamily="34" charset="0"/>
            </a:rPr>
            <a:t>LIC. FRIDA PATRICIA ESCOBAR ORTIZ</a:t>
          </a:r>
        </a:p>
        <a:p>
          <a:pPr algn="ctr"/>
          <a:r>
            <a:rPr lang="es-MX" sz="900">
              <a:latin typeface="+mn-lt"/>
              <a:cs typeface="Arial" pitchFamily="34" charset="0"/>
            </a:rPr>
            <a:t>	</a:t>
          </a:r>
        </a:p>
      </xdr:txBody>
    </xdr:sp>
    <xdr:clientData/>
  </xdr:twoCellAnchor>
  <xdr:twoCellAnchor>
    <xdr:from>
      <xdr:col>6</xdr:col>
      <xdr:colOff>442789</xdr:colOff>
      <xdr:row>92</xdr:row>
      <xdr:rowOff>141808</xdr:rowOff>
    </xdr:from>
    <xdr:to>
      <xdr:col>8</xdr:col>
      <xdr:colOff>859508</xdr:colOff>
      <xdr:row>97</xdr:row>
      <xdr:rowOff>141726</xdr:rowOff>
    </xdr:to>
    <xdr:sp macro="" textlink="">
      <xdr:nvSpPr>
        <xdr:cNvPr id="11" name="6 CuadroTexto">
          <a:extLst>
            <a:ext uri="{FF2B5EF4-FFF2-40B4-BE49-F238E27FC236}">
              <a16:creationId xmlns:a16="http://schemas.microsoft.com/office/drawing/2014/main" xmlns="" id="{00000000-0008-0000-0200-000005000000}"/>
            </a:ext>
          </a:extLst>
        </xdr:cNvPr>
        <xdr:cNvSpPr txBox="1"/>
      </xdr:nvSpPr>
      <xdr:spPr>
        <a:xfrm>
          <a:off x="6282599" y="12892170"/>
          <a:ext cx="2321719" cy="7881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mn-lt"/>
              <a:cs typeface="Arial" pitchFamily="34" charset="0"/>
            </a:rPr>
            <a:t>CONTRALOR</a:t>
          </a:r>
          <a:r>
            <a:rPr lang="es-MX" sz="800" baseline="0">
              <a:latin typeface="+mn-lt"/>
              <a:cs typeface="Arial" pitchFamily="34" charset="0"/>
            </a:rPr>
            <a:t> MUNICIPAL</a:t>
          </a:r>
        </a:p>
        <a:p>
          <a:pPr algn="ctr"/>
          <a:endParaRPr lang="es-MX" sz="800">
            <a:latin typeface="+mn-lt"/>
            <a:cs typeface="Arial" pitchFamily="34" charset="0"/>
          </a:endParaRPr>
        </a:p>
        <a:p>
          <a:pPr algn="ctr"/>
          <a:r>
            <a:rPr lang="es-MX" sz="800">
              <a:latin typeface="+mn-lt"/>
            </a:rPr>
            <a:t>___________________________________</a:t>
          </a:r>
        </a:p>
        <a:p>
          <a:pPr algn="ctr"/>
          <a:r>
            <a:rPr lang="es-MX" sz="800">
              <a:latin typeface="+mn-lt"/>
              <a:cs typeface="Arial" pitchFamily="34" charset="0"/>
            </a:rPr>
            <a:t>C.P. NORA ROSALVA CEPEDA GUERRERO</a:t>
          </a:r>
        </a:p>
      </xdr:txBody>
    </xdr:sp>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1047750</xdr:colOff>
      <xdr:row>4</xdr:row>
      <xdr:rowOff>148350</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33350"/>
          <a:ext cx="1400175" cy="748425"/>
        </a:xfrm>
        <a:prstGeom prst="rect">
          <a:avLst/>
        </a:prstGeom>
      </xdr:spPr>
    </xdr:pic>
    <xdr:clientData/>
  </xdr:twoCellAnchor>
  <xdr:twoCellAnchor editAs="oneCell">
    <xdr:from>
      <xdr:col>6</xdr:col>
      <xdr:colOff>133350</xdr:colOff>
      <xdr:row>0</xdr:row>
      <xdr:rowOff>114300</xdr:rowOff>
    </xdr:from>
    <xdr:to>
      <xdr:col>7</xdr:col>
      <xdr:colOff>807606</xdr:colOff>
      <xdr:row>5</xdr:row>
      <xdr:rowOff>2547</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39225" y="114300"/>
          <a:ext cx="1647777" cy="821697"/>
        </a:xfrm>
        <a:prstGeom prst="rect">
          <a:avLst/>
        </a:prstGeom>
      </xdr:spPr>
    </xdr:pic>
    <xdr:clientData/>
  </xdr:twoCellAnchor>
  <xdr:twoCellAnchor>
    <xdr:from>
      <xdr:col>0</xdr:col>
      <xdr:colOff>85725</xdr:colOff>
      <xdr:row>190</xdr:row>
      <xdr:rowOff>0</xdr:rowOff>
    </xdr:from>
    <xdr:to>
      <xdr:col>1</xdr:col>
      <xdr:colOff>2051212</xdr:colOff>
      <xdr:row>194</xdr:row>
      <xdr:rowOff>139212</xdr:rowOff>
    </xdr:to>
    <xdr:sp macro="" textlink="">
      <xdr:nvSpPr>
        <xdr:cNvPr id="8" name="9 CuadroTexto"/>
        <xdr:cNvSpPr txBox="1"/>
      </xdr:nvSpPr>
      <xdr:spPr>
        <a:xfrm>
          <a:off x="85725" y="14849475"/>
          <a:ext cx="2422687" cy="786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PRESIDENTE MUNICIPAL</a:t>
          </a:r>
        </a:p>
        <a:p>
          <a:pPr algn="ctr"/>
          <a:endParaRPr lang="es-MX" sz="900">
            <a:latin typeface="+mn-lt"/>
            <a:cs typeface="Arial" pitchFamily="34" charset="0"/>
          </a:endParaRPr>
        </a:p>
        <a:p>
          <a:pPr algn="ctr"/>
          <a:r>
            <a:rPr lang="es-MX" sz="1100">
              <a:latin typeface="+mn-lt"/>
            </a:rPr>
            <a:t>_____________________________</a:t>
          </a:r>
        </a:p>
        <a:p>
          <a:pPr algn="ctr"/>
          <a:r>
            <a:rPr lang="es-MX" sz="900">
              <a:latin typeface="+mn-lt"/>
              <a:cs typeface="Arial" pitchFamily="34" charset="0"/>
            </a:rPr>
            <a:t>DR. XICOTÉNCATL GONZÁLEZ URESTI</a:t>
          </a:r>
        </a:p>
      </xdr:txBody>
    </xdr:sp>
    <xdr:clientData/>
  </xdr:twoCellAnchor>
  <xdr:twoCellAnchor>
    <xdr:from>
      <xdr:col>1</xdr:col>
      <xdr:colOff>2374021</xdr:colOff>
      <xdr:row>190</xdr:row>
      <xdr:rowOff>3678</xdr:rowOff>
    </xdr:from>
    <xdr:to>
      <xdr:col>2</xdr:col>
      <xdr:colOff>231938</xdr:colOff>
      <xdr:row>194</xdr:row>
      <xdr:rowOff>153867</xdr:rowOff>
    </xdr:to>
    <xdr:sp macro="" textlink="">
      <xdr:nvSpPr>
        <xdr:cNvPr id="9" name="10 CuadroTexto"/>
        <xdr:cNvSpPr txBox="1"/>
      </xdr:nvSpPr>
      <xdr:spPr>
        <a:xfrm>
          <a:off x="2831221" y="14853153"/>
          <a:ext cx="2277517" cy="797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TESORERO MUNICIPAL</a:t>
          </a:r>
        </a:p>
        <a:p>
          <a:pPr algn="ctr"/>
          <a:endParaRPr lang="es-MX" sz="900">
            <a:latin typeface="+mn-lt"/>
            <a:cs typeface="Arial" pitchFamily="34" charset="0"/>
          </a:endParaRPr>
        </a:p>
        <a:p>
          <a:pPr algn="ctr"/>
          <a:r>
            <a:rPr lang="es-MX" sz="1100">
              <a:latin typeface="+mn-lt"/>
            </a:rPr>
            <a:t>__________________________</a:t>
          </a:r>
        </a:p>
        <a:p>
          <a:pPr algn="ctr"/>
          <a:r>
            <a:rPr lang="es-MX" sz="900">
              <a:latin typeface="+mn-lt"/>
              <a:cs typeface="Arial" pitchFamily="34" charset="0"/>
            </a:rPr>
            <a:t>LAP. JOSÉ ALFREDO PEÑA RODRÍGUEZ</a:t>
          </a:r>
        </a:p>
      </xdr:txBody>
    </xdr:sp>
    <xdr:clientData/>
  </xdr:twoCellAnchor>
  <xdr:twoCellAnchor>
    <xdr:from>
      <xdr:col>2</xdr:col>
      <xdr:colOff>536089</xdr:colOff>
      <xdr:row>190</xdr:row>
      <xdr:rowOff>28235</xdr:rowOff>
    </xdr:from>
    <xdr:to>
      <xdr:col>5</xdr:col>
      <xdr:colOff>298614</xdr:colOff>
      <xdr:row>194</xdr:row>
      <xdr:rowOff>146539</xdr:rowOff>
    </xdr:to>
    <xdr:sp macro="" textlink="">
      <xdr:nvSpPr>
        <xdr:cNvPr id="10" name="11 CuadroTexto"/>
        <xdr:cNvSpPr txBox="1"/>
      </xdr:nvSpPr>
      <xdr:spPr>
        <a:xfrm>
          <a:off x="5412889" y="14877710"/>
          <a:ext cx="2801000" cy="7660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SINDICO</a:t>
          </a:r>
          <a:r>
            <a:rPr lang="es-MX" sz="900" baseline="0">
              <a:latin typeface="+mn-lt"/>
              <a:cs typeface="Arial" pitchFamily="34" charset="0"/>
            </a:rPr>
            <a:t> MUNICIPAL</a:t>
          </a:r>
        </a:p>
        <a:p>
          <a:pPr algn="ctr"/>
          <a:endParaRPr lang="es-MX" sz="900" baseline="0">
            <a:latin typeface="+mn-lt"/>
            <a:cs typeface="Arial" pitchFamily="34" charset="0"/>
          </a:endParaRPr>
        </a:p>
        <a:p>
          <a:pPr algn="ctr"/>
          <a:r>
            <a:rPr lang="es-MX" sz="900">
              <a:latin typeface="+mn-lt"/>
              <a:cs typeface="Arial" pitchFamily="34" charset="0"/>
            </a:rPr>
            <a:t>_________________________________</a:t>
          </a:r>
        </a:p>
        <a:p>
          <a:pPr algn="ctr"/>
          <a:r>
            <a:rPr lang="es-MX" sz="900">
              <a:latin typeface="+mn-lt"/>
              <a:cs typeface="Arial" pitchFamily="34" charset="0"/>
            </a:rPr>
            <a:t>LIC. FRIDA PATRICIA ESCOBAR ORTIZ</a:t>
          </a:r>
        </a:p>
      </xdr:txBody>
    </xdr:sp>
    <xdr:clientData/>
  </xdr:twoCellAnchor>
  <xdr:twoCellAnchor>
    <xdr:from>
      <xdr:col>5</xdr:col>
      <xdr:colOff>473238</xdr:colOff>
      <xdr:row>190</xdr:row>
      <xdr:rowOff>14905</xdr:rowOff>
    </xdr:from>
    <xdr:to>
      <xdr:col>7</xdr:col>
      <xdr:colOff>751632</xdr:colOff>
      <xdr:row>194</xdr:row>
      <xdr:rowOff>117231</xdr:rowOff>
    </xdr:to>
    <xdr:sp macro="" textlink="">
      <xdr:nvSpPr>
        <xdr:cNvPr id="11" name="12 CuadroTexto"/>
        <xdr:cNvSpPr txBox="1"/>
      </xdr:nvSpPr>
      <xdr:spPr>
        <a:xfrm>
          <a:off x="8388513" y="14864380"/>
          <a:ext cx="2183394" cy="7500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1100">
              <a:latin typeface="+mn-lt"/>
            </a:rPr>
            <a:t>____________________________</a:t>
          </a:r>
        </a:p>
        <a:p>
          <a:pPr algn="ctr"/>
          <a:r>
            <a:rPr lang="es-MX" sz="900">
              <a:latin typeface="+mn-lt"/>
              <a:cs typeface="Arial" pitchFamily="34" charset="0"/>
            </a:rPr>
            <a:t>C.P. NORA ROSALVA CEPEDA GUERRERO</a:t>
          </a:r>
        </a:p>
      </xdr:txBody>
    </xdr:sp>
    <xdr:clientData/>
  </xdr:twoCellAnchor>
  <xdr:oneCellAnchor>
    <xdr:from>
      <xdr:col>0</xdr:col>
      <xdr:colOff>104775</xdr:colOff>
      <xdr:row>38</xdr:row>
      <xdr:rowOff>28575</xdr:rowOff>
    </xdr:from>
    <xdr:ext cx="1400175" cy="748425"/>
    <xdr:pic>
      <xdr:nvPicPr>
        <xdr:cNvPr id="14" name="Imagen 1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896350"/>
          <a:ext cx="1400175" cy="748425"/>
        </a:xfrm>
        <a:prstGeom prst="rect">
          <a:avLst/>
        </a:prstGeom>
      </xdr:spPr>
    </xdr:pic>
    <xdr:clientData/>
  </xdr:oneCellAnchor>
  <xdr:oneCellAnchor>
    <xdr:from>
      <xdr:col>6</xdr:col>
      <xdr:colOff>133350</xdr:colOff>
      <xdr:row>38</xdr:row>
      <xdr:rowOff>19050</xdr:rowOff>
    </xdr:from>
    <xdr:ext cx="1647777" cy="821697"/>
    <xdr:pic>
      <xdr:nvPicPr>
        <xdr:cNvPr id="15" name="Imagen 1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39225" y="8886825"/>
          <a:ext cx="1647777" cy="821697"/>
        </a:xfrm>
        <a:prstGeom prst="rect">
          <a:avLst/>
        </a:prstGeom>
      </xdr:spPr>
    </xdr:pic>
    <xdr:clientData/>
  </xdr:oneCellAnchor>
  <xdr:oneCellAnchor>
    <xdr:from>
      <xdr:col>0</xdr:col>
      <xdr:colOff>104775</xdr:colOff>
      <xdr:row>98</xdr:row>
      <xdr:rowOff>28575</xdr:rowOff>
    </xdr:from>
    <xdr:ext cx="1400175" cy="748425"/>
    <xdr:pic>
      <xdr:nvPicPr>
        <xdr:cNvPr id="16" name="Imagen 1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943975"/>
          <a:ext cx="1400175" cy="748425"/>
        </a:xfrm>
        <a:prstGeom prst="rect">
          <a:avLst/>
        </a:prstGeom>
      </xdr:spPr>
    </xdr:pic>
    <xdr:clientData/>
  </xdr:oneCellAnchor>
  <xdr:oneCellAnchor>
    <xdr:from>
      <xdr:col>6</xdr:col>
      <xdr:colOff>133350</xdr:colOff>
      <xdr:row>98</xdr:row>
      <xdr:rowOff>19050</xdr:rowOff>
    </xdr:from>
    <xdr:ext cx="1647777" cy="821697"/>
    <xdr:pic>
      <xdr:nvPicPr>
        <xdr:cNvPr id="17" name="Imagen 1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39225" y="8934450"/>
          <a:ext cx="1647777" cy="821697"/>
        </a:xfrm>
        <a:prstGeom prst="rect">
          <a:avLst/>
        </a:prstGeom>
      </xdr:spPr>
    </xdr:pic>
    <xdr:clientData/>
  </xdr:oneCellAnchor>
  <xdr:oneCellAnchor>
    <xdr:from>
      <xdr:col>0</xdr:col>
      <xdr:colOff>104775</xdr:colOff>
      <xdr:row>135</xdr:row>
      <xdr:rowOff>28575</xdr:rowOff>
    </xdr:from>
    <xdr:ext cx="1400175" cy="748425"/>
    <xdr:pic>
      <xdr:nvPicPr>
        <xdr:cNvPr id="18" name="Imagen 1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7716500"/>
          <a:ext cx="1400175" cy="748425"/>
        </a:xfrm>
        <a:prstGeom prst="rect">
          <a:avLst/>
        </a:prstGeom>
      </xdr:spPr>
    </xdr:pic>
    <xdr:clientData/>
  </xdr:oneCellAnchor>
  <xdr:oneCellAnchor>
    <xdr:from>
      <xdr:col>6</xdr:col>
      <xdr:colOff>133350</xdr:colOff>
      <xdr:row>135</xdr:row>
      <xdr:rowOff>19050</xdr:rowOff>
    </xdr:from>
    <xdr:ext cx="1647777" cy="821697"/>
    <xdr:pic>
      <xdr:nvPicPr>
        <xdr:cNvPr id="19" name="Imagen 1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39225" y="17706975"/>
          <a:ext cx="1647777" cy="821697"/>
        </a:xfrm>
        <a:prstGeom prst="rect">
          <a:avLst/>
        </a:prstGeom>
      </xdr:spPr>
    </xdr:pic>
    <xdr:clientData/>
  </xdr:oneCellAnchor>
</xdr:wsDr>
</file>

<file path=xl/drawings/drawing65.xml><?xml version="1.0" encoding="utf-8"?>
<xdr:wsDr xmlns:xdr="http://schemas.openxmlformats.org/drawingml/2006/spreadsheetDrawing" xmlns:a="http://schemas.openxmlformats.org/drawingml/2006/main">
  <xdr:twoCellAnchor>
    <xdr:from>
      <xdr:col>0</xdr:col>
      <xdr:colOff>85725</xdr:colOff>
      <xdr:row>74</xdr:row>
      <xdr:rowOff>0</xdr:rowOff>
    </xdr:from>
    <xdr:to>
      <xdr:col>1</xdr:col>
      <xdr:colOff>2051212</xdr:colOff>
      <xdr:row>78</xdr:row>
      <xdr:rowOff>139212</xdr:rowOff>
    </xdr:to>
    <xdr:sp macro="" textlink="">
      <xdr:nvSpPr>
        <xdr:cNvPr id="2" name="9 CuadroTexto"/>
        <xdr:cNvSpPr txBox="1"/>
      </xdr:nvSpPr>
      <xdr:spPr>
        <a:xfrm>
          <a:off x="85725" y="7553325"/>
          <a:ext cx="2508412" cy="786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PRESIDENTE MUNICIPAL</a:t>
          </a:r>
        </a:p>
        <a:p>
          <a:pPr algn="ctr"/>
          <a:endParaRPr lang="es-MX" sz="900">
            <a:latin typeface="+mn-lt"/>
            <a:cs typeface="Arial" pitchFamily="34" charset="0"/>
          </a:endParaRPr>
        </a:p>
        <a:p>
          <a:pPr algn="ctr"/>
          <a:r>
            <a:rPr lang="es-MX" sz="1100">
              <a:latin typeface="+mn-lt"/>
            </a:rPr>
            <a:t>_____________________________</a:t>
          </a:r>
        </a:p>
        <a:p>
          <a:pPr algn="ctr"/>
          <a:r>
            <a:rPr lang="es-MX" sz="900">
              <a:latin typeface="+mn-lt"/>
              <a:cs typeface="Arial" pitchFamily="34" charset="0"/>
            </a:rPr>
            <a:t>DR. XICOTÉNCATL GONZÁLEZ URESTI</a:t>
          </a:r>
        </a:p>
      </xdr:txBody>
    </xdr:sp>
    <xdr:clientData/>
  </xdr:twoCellAnchor>
  <xdr:twoCellAnchor>
    <xdr:from>
      <xdr:col>1</xdr:col>
      <xdr:colOff>2374021</xdr:colOff>
      <xdr:row>74</xdr:row>
      <xdr:rowOff>3678</xdr:rowOff>
    </xdr:from>
    <xdr:to>
      <xdr:col>2</xdr:col>
      <xdr:colOff>231938</xdr:colOff>
      <xdr:row>78</xdr:row>
      <xdr:rowOff>153867</xdr:rowOff>
    </xdr:to>
    <xdr:sp macro="" textlink="">
      <xdr:nvSpPr>
        <xdr:cNvPr id="3" name="10 CuadroTexto"/>
        <xdr:cNvSpPr txBox="1"/>
      </xdr:nvSpPr>
      <xdr:spPr>
        <a:xfrm>
          <a:off x="2916946" y="7557003"/>
          <a:ext cx="2277517" cy="797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TESORERO MUNICIPAL</a:t>
          </a:r>
        </a:p>
        <a:p>
          <a:pPr algn="ctr"/>
          <a:endParaRPr lang="es-MX" sz="900">
            <a:latin typeface="+mn-lt"/>
            <a:cs typeface="Arial" pitchFamily="34" charset="0"/>
          </a:endParaRPr>
        </a:p>
        <a:p>
          <a:pPr algn="ctr"/>
          <a:r>
            <a:rPr lang="es-MX" sz="1100">
              <a:latin typeface="+mn-lt"/>
            </a:rPr>
            <a:t>__________________________</a:t>
          </a:r>
        </a:p>
        <a:p>
          <a:pPr algn="ctr"/>
          <a:r>
            <a:rPr lang="es-MX" sz="900">
              <a:latin typeface="+mn-lt"/>
              <a:cs typeface="Arial" pitchFamily="34" charset="0"/>
            </a:rPr>
            <a:t>LAP. JOSÉ ALFREDO PEÑA RODRÍGUEZ</a:t>
          </a:r>
        </a:p>
      </xdr:txBody>
    </xdr:sp>
    <xdr:clientData/>
  </xdr:twoCellAnchor>
  <xdr:twoCellAnchor>
    <xdr:from>
      <xdr:col>2</xdr:col>
      <xdr:colOff>536089</xdr:colOff>
      <xdr:row>74</xdr:row>
      <xdr:rowOff>28235</xdr:rowOff>
    </xdr:from>
    <xdr:to>
      <xdr:col>5</xdr:col>
      <xdr:colOff>298614</xdr:colOff>
      <xdr:row>78</xdr:row>
      <xdr:rowOff>146539</xdr:rowOff>
    </xdr:to>
    <xdr:sp macro="" textlink="">
      <xdr:nvSpPr>
        <xdr:cNvPr id="4" name="11 CuadroTexto"/>
        <xdr:cNvSpPr txBox="1"/>
      </xdr:nvSpPr>
      <xdr:spPr>
        <a:xfrm>
          <a:off x="5498614" y="7581560"/>
          <a:ext cx="2420000" cy="7660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SINDICO</a:t>
          </a:r>
          <a:r>
            <a:rPr lang="es-MX" sz="900" baseline="0">
              <a:latin typeface="+mn-lt"/>
              <a:cs typeface="Arial" pitchFamily="34" charset="0"/>
            </a:rPr>
            <a:t> MUNICIPAL</a:t>
          </a:r>
        </a:p>
        <a:p>
          <a:pPr algn="ctr"/>
          <a:endParaRPr lang="es-MX" sz="900" baseline="0">
            <a:latin typeface="+mn-lt"/>
            <a:cs typeface="Arial" pitchFamily="34" charset="0"/>
          </a:endParaRPr>
        </a:p>
        <a:p>
          <a:pPr algn="ctr"/>
          <a:r>
            <a:rPr lang="es-MX" sz="900">
              <a:latin typeface="+mn-lt"/>
              <a:cs typeface="Arial" pitchFamily="34" charset="0"/>
            </a:rPr>
            <a:t>_________________________________</a:t>
          </a:r>
        </a:p>
        <a:p>
          <a:pPr algn="ctr"/>
          <a:r>
            <a:rPr lang="es-MX" sz="900">
              <a:latin typeface="+mn-lt"/>
              <a:cs typeface="Arial" pitchFamily="34" charset="0"/>
            </a:rPr>
            <a:t>LIC. FRIDA PATRICIA ESCOBAR ORTIZ</a:t>
          </a:r>
        </a:p>
      </xdr:txBody>
    </xdr:sp>
    <xdr:clientData/>
  </xdr:twoCellAnchor>
  <xdr:twoCellAnchor>
    <xdr:from>
      <xdr:col>5</xdr:col>
      <xdr:colOff>473238</xdr:colOff>
      <xdr:row>74</xdr:row>
      <xdr:rowOff>14905</xdr:rowOff>
    </xdr:from>
    <xdr:to>
      <xdr:col>7</xdr:col>
      <xdr:colOff>751632</xdr:colOff>
      <xdr:row>78</xdr:row>
      <xdr:rowOff>117231</xdr:rowOff>
    </xdr:to>
    <xdr:sp macro="" textlink="">
      <xdr:nvSpPr>
        <xdr:cNvPr id="5" name="12 CuadroTexto"/>
        <xdr:cNvSpPr txBox="1"/>
      </xdr:nvSpPr>
      <xdr:spPr>
        <a:xfrm>
          <a:off x="8093238" y="7568230"/>
          <a:ext cx="2145294" cy="7500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1100">
              <a:latin typeface="+mn-lt"/>
            </a:rPr>
            <a:t>____________________________</a:t>
          </a:r>
        </a:p>
        <a:p>
          <a:pPr algn="ctr"/>
          <a:r>
            <a:rPr lang="es-MX" sz="900">
              <a:latin typeface="+mn-lt"/>
              <a:cs typeface="Arial" pitchFamily="34" charset="0"/>
            </a:rPr>
            <a:t>C.P. NORA ROSALVA CEPEDA GUERRERO</a:t>
          </a:r>
        </a:p>
      </xdr:txBody>
    </xdr:sp>
    <xdr:clientData/>
  </xdr:twoCellAnchor>
  <xdr:twoCellAnchor editAs="oneCell">
    <xdr:from>
      <xdr:col>0</xdr:col>
      <xdr:colOff>63500</xdr:colOff>
      <xdr:row>1</xdr:row>
      <xdr:rowOff>0</xdr:rowOff>
    </xdr:from>
    <xdr:to>
      <xdr:col>1</xdr:col>
      <xdr:colOff>1254864</xdr:colOff>
      <xdr:row>5</xdr:row>
      <xdr:rowOff>93589</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500" y="180975"/>
          <a:ext cx="1734289" cy="893689"/>
        </a:xfrm>
        <a:prstGeom prst="rect">
          <a:avLst/>
        </a:prstGeom>
      </xdr:spPr>
    </xdr:pic>
    <xdr:clientData/>
  </xdr:twoCellAnchor>
  <xdr:twoCellAnchor editAs="oneCell">
    <xdr:from>
      <xdr:col>5</xdr:col>
      <xdr:colOff>912202</xdr:colOff>
      <xdr:row>1</xdr:row>
      <xdr:rowOff>41032</xdr:rowOff>
    </xdr:from>
    <xdr:to>
      <xdr:col>7</xdr:col>
      <xdr:colOff>605414</xdr:colOff>
      <xdr:row>5</xdr:row>
      <xdr:rowOff>79970</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32202" y="222007"/>
          <a:ext cx="1766487" cy="839038"/>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85725</xdr:colOff>
      <xdr:row>101</xdr:row>
      <xdr:rowOff>0</xdr:rowOff>
    </xdr:from>
    <xdr:to>
      <xdr:col>1</xdr:col>
      <xdr:colOff>2051212</xdr:colOff>
      <xdr:row>105</xdr:row>
      <xdr:rowOff>139212</xdr:rowOff>
    </xdr:to>
    <xdr:sp macro="" textlink="">
      <xdr:nvSpPr>
        <xdr:cNvPr id="2" name="9 CuadroTexto"/>
        <xdr:cNvSpPr txBox="1"/>
      </xdr:nvSpPr>
      <xdr:spPr>
        <a:xfrm>
          <a:off x="85725" y="6629400"/>
          <a:ext cx="2384587" cy="786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PRESIDENTE MUNICIPAL</a:t>
          </a:r>
        </a:p>
        <a:p>
          <a:pPr algn="ctr"/>
          <a:endParaRPr lang="es-MX" sz="900">
            <a:latin typeface="+mn-lt"/>
            <a:cs typeface="Arial" pitchFamily="34" charset="0"/>
          </a:endParaRPr>
        </a:p>
        <a:p>
          <a:pPr algn="ctr"/>
          <a:r>
            <a:rPr lang="es-MX" sz="1100">
              <a:latin typeface="+mn-lt"/>
            </a:rPr>
            <a:t>_____________________________</a:t>
          </a:r>
        </a:p>
        <a:p>
          <a:pPr algn="ctr"/>
          <a:r>
            <a:rPr lang="es-MX" sz="900">
              <a:latin typeface="+mn-lt"/>
              <a:cs typeface="Arial" pitchFamily="34" charset="0"/>
            </a:rPr>
            <a:t>DR. XICOTÉNCATL GONZÁLEZ URESTI</a:t>
          </a:r>
        </a:p>
      </xdr:txBody>
    </xdr:sp>
    <xdr:clientData/>
  </xdr:twoCellAnchor>
  <xdr:twoCellAnchor>
    <xdr:from>
      <xdr:col>1</xdr:col>
      <xdr:colOff>2374021</xdr:colOff>
      <xdr:row>101</xdr:row>
      <xdr:rowOff>3678</xdr:rowOff>
    </xdr:from>
    <xdr:to>
      <xdr:col>2</xdr:col>
      <xdr:colOff>231938</xdr:colOff>
      <xdr:row>105</xdr:row>
      <xdr:rowOff>153867</xdr:rowOff>
    </xdr:to>
    <xdr:sp macro="" textlink="">
      <xdr:nvSpPr>
        <xdr:cNvPr id="3" name="10 CuadroTexto"/>
        <xdr:cNvSpPr txBox="1"/>
      </xdr:nvSpPr>
      <xdr:spPr>
        <a:xfrm>
          <a:off x="2793121" y="6633078"/>
          <a:ext cx="2277517" cy="797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TESORERO MUNICIPAL</a:t>
          </a:r>
        </a:p>
        <a:p>
          <a:pPr algn="ctr"/>
          <a:endParaRPr lang="es-MX" sz="900">
            <a:latin typeface="+mn-lt"/>
            <a:cs typeface="Arial" pitchFamily="34" charset="0"/>
          </a:endParaRPr>
        </a:p>
        <a:p>
          <a:pPr algn="ctr"/>
          <a:r>
            <a:rPr lang="es-MX" sz="1100">
              <a:latin typeface="+mn-lt"/>
            </a:rPr>
            <a:t>__________________________</a:t>
          </a:r>
        </a:p>
        <a:p>
          <a:pPr algn="ctr"/>
          <a:r>
            <a:rPr lang="es-MX" sz="900">
              <a:latin typeface="+mn-lt"/>
              <a:cs typeface="Arial" pitchFamily="34" charset="0"/>
            </a:rPr>
            <a:t>LAP. JOSÉ ALFREDO PEÑA RODRÍGUEZ</a:t>
          </a:r>
        </a:p>
      </xdr:txBody>
    </xdr:sp>
    <xdr:clientData/>
  </xdr:twoCellAnchor>
  <xdr:twoCellAnchor>
    <xdr:from>
      <xdr:col>2</xdr:col>
      <xdr:colOff>536089</xdr:colOff>
      <xdr:row>101</xdr:row>
      <xdr:rowOff>28235</xdr:rowOff>
    </xdr:from>
    <xdr:to>
      <xdr:col>5</xdr:col>
      <xdr:colOff>298614</xdr:colOff>
      <xdr:row>105</xdr:row>
      <xdr:rowOff>146539</xdr:rowOff>
    </xdr:to>
    <xdr:sp macro="" textlink="">
      <xdr:nvSpPr>
        <xdr:cNvPr id="4" name="11 CuadroTexto"/>
        <xdr:cNvSpPr txBox="1"/>
      </xdr:nvSpPr>
      <xdr:spPr>
        <a:xfrm>
          <a:off x="5374789" y="6657635"/>
          <a:ext cx="2801000" cy="7660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SINDICO</a:t>
          </a:r>
          <a:r>
            <a:rPr lang="es-MX" sz="900" baseline="0">
              <a:latin typeface="+mn-lt"/>
              <a:cs typeface="Arial" pitchFamily="34" charset="0"/>
            </a:rPr>
            <a:t> MUNICIPAL</a:t>
          </a:r>
        </a:p>
        <a:p>
          <a:pPr algn="ctr"/>
          <a:endParaRPr lang="es-MX" sz="900" baseline="0">
            <a:latin typeface="+mn-lt"/>
            <a:cs typeface="Arial" pitchFamily="34" charset="0"/>
          </a:endParaRPr>
        </a:p>
        <a:p>
          <a:pPr algn="ctr"/>
          <a:r>
            <a:rPr lang="es-MX" sz="900">
              <a:latin typeface="+mn-lt"/>
              <a:cs typeface="Arial" pitchFamily="34" charset="0"/>
            </a:rPr>
            <a:t>_________________________________</a:t>
          </a:r>
        </a:p>
        <a:p>
          <a:pPr algn="ctr"/>
          <a:r>
            <a:rPr lang="es-MX" sz="900">
              <a:latin typeface="+mn-lt"/>
              <a:cs typeface="Arial" pitchFamily="34" charset="0"/>
            </a:rPr>
            <a:t>LIC. FRIDA PATRICIA ESCOBAR ORTIZ</a:t>
          </a:r>
        </a:p>
      </xdr:txBody>
    </xdr:sp>
    <xdr:clientData/>
  </xdr:twoCellAnchor>
  <xdr:twoCellAnchor>
    <xdr:from>
      <xdr:col>5</xdr:col>
      <xdr:colOff>473238</xdr:colOff>
      <xdr:row>101</xdr:row>
      <xdr:rowOff>14905</xdr:rowOff>
    </xdr:from>
    <xdr:to>
      <xdr:col>7</xdr:col>
      <xdr:colOff>751632</xdr:colOff>
      <xdr:row>105</xdr:row>
      <xdr:rowOff>117231</xdr:rowOff>
    </xdr:to>
    <xdr:sp macro="" textlink="">
      <xdr:nvSpPr>
        <xdr:cNvPr id="5" name="12 CuadroTexto"/>
        <xdr:cNvSpPr txBox="1"/>
      </xdr:nvSpPr>
      <xdr:spPr>
        <a:xfrm>
          <a:off x="8350413" y="6644305"/>
          <a:ext cx="2183394" cy="7500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1100">
              <a:latin typeface="+mn-lt"/>
            </a:rPr>
            <a:t>____________________________</a:t>
          </a:r>
        </a:p>
        <a:p>
          <a:pPr algn="ctr"/>
          <a:r>
            <a:rPr lang="es-MX" sz="900">
              <a:latin typeface="+mn-lt"/>
              <a:cs typeface="Arial" pitchFamily="34" charset="0"/>
            </a:rPr>
            <a:t>C.P. NORA ROSALVA CEPEDA GUERRERO</a:t>
          </a:r>
        </a:p>
      </xdr:txBody>
    </xdr:sp>
    <xdr:clientData/>
  </xdr:twoCellAnchor>
  <xdr:twoCellAnchor editAs="oneCell">
    <xdr:from>
      <xdr:col>0</xdr:col>
      <xdr:colOff>14654</xdr:colOff>
      <xdr:row>1</xdr:row>
      <xdr:rowOff>14654</xdr:rowOff>
    </xdr:from>
    <xdr:to>
      <xdr:col>1</xdr:col>
      <xdr:colOff>1328133</xdr:colOff>
      <xdr:row>5</xdr:row>
      <xdr:rowOff>142435</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4" y="176579"/>
          <a:ext cx="1732579" cy="927881"/>
        </a:xfrm>
        <a:prstGeom prst="rect">
          <a:avLst/>
        </a:prstGeom>
      </xdr:spPr>
    </xdr:pic>
    <xdr:clientData/>
  </xdr:twoCellAnchor>
  <xdr:twoCellAnchor editAs="oneCell">
    <xdr:from>
      <xdr:col>6</xdr:col>
      <xdr:colOff>12211</xdr:colOff>
      <xdr:row>1</xdr:row>
      <xdr:rowOff>70340</xdr:rowOff>
    </xdr:from>
    <xdr:to>
      <xdr:col>7</xdr:col>
      <xdr:colOff>853308</xdr:colOff>
      <xdr:row>5</xdr:row>
      <xdr:rowOff>143470</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9986" y="232265"/>
          <a:ext cx="1755497" cy="873230"/>
        </a:xfrm>
        <a:prstGeom prst="rect">
          <a:avLst/>
        </a:prstGeom>
      </xdr:spPr>
    </xdr:pic>
    <xdr:clientData/>
  </xdr:twoCellAnchor>
  <xdr:oneCellAnchor>
    <xdr:from>
      <xdr:col>0</xdr:col>
      <xdr:colOff>14654</xdr:colOff>
      <xdr:row>54</xdr:row>
      <xdr:rowOff>14654</xdr:rowOff>
    </xdr:from>
    <xdr:ext cx="1732579" cy="927881"/>
    <xdr:pic>
      <xdr:nvPicPr>
        <xdr:cNvPr id="8" name="Imagen 7"/>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54" y="176579"/>
          <a:ext cx="1732579" cy="927881"/>
        </a:xfrm>
        <a:prstGeom prst="rect">
          <a:avLst/>
        </a:prstGeom>
      </xdr:spPr>
    </xdr:pic>
    <xdr:clientData/>
  </xdr:oneCellAnchor>
  <xdr:oneCellAnchor>
    <xdr:from>
      <xdr:col>6</xdr:col>
      <xdr:colOff>12211</xdr:colOff>
      <xdr:row>54</xdr:row>
      <xdr:rowOff>70340</xdr:rowOff>
    </xdr:from>
    <xdr:ext cx="1755497" cy="873230"/>
    <xdr:pic>
      <xdr:nvPicPr>
        <xdr:cNvPr id="9" name="Imagen 8"/>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79986" y="232265"/>
          <a:ext cx="1755497" cy="873230"/>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twoCellAnchor editAs="oneCell">
    <xdr:from>
      <xdr:col>0</xdr:col>
      <xdr:colOff>19050</xdr:colOff>
      <xdr:row>0</xdr:row>
      <xdr:rowOff>66676</xdr:rowOff>
    </xdr:from>
    <xdr:to>
      <xdr:col>0</xdr:col>
      <xdr:colOff>1455479</xdr:colOff>
      <xdr:row>4</xdr:row>
      <xdr:rowOff>76200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66676"/>
          <a:ext cx="1436429" cy="771524"/>
        </a:xfrm>
        <a:prstGeom prst="rect">
          <a:avLst/>
        </a:prstGeom>
      </xdr:spPr>
    </xdr:pic>
    <xdr:clientData/>
  </xdr:twoCellAnchor>
  <xdr:twoCellAnchor editAs="oneCell">
    <xdr:from>
      <xdr:col>5</xdr:col>
      <xdr:colOff>637517</xdr:colOff>
      <xdr:row>0</xdr:row>
      <xdr:rowOff>76200</xdr:rowOff>
    </xdr:from>
    <xdr:to>
      <xdr:col>6</xdr:col>
      <xdr:colOff>988869</xdr:colOff>
      <xdr:row>4</xdr:row>
      <xdr:rowOff>33992</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05092" y="76200"/>
          <a:ext cx="1465777" cy="719792"/>
        </a:xfrm>
        <a:prstGeom prst="rect">
          <a:avLst/>
        </a:prstGeom>
      </xdr:spPr>
    </xdr:pic>
    <xdr:clientData/>
  </xdr:twoCellAnchor>
  <xdr:twoCellAnchor>
    <xdr:from>
      <xdr:col>0</xdr:col>
      <xdr:colOff>27109</xdr:colOff>
      <xdr:row>33</xdr:row>
      <xdr:rowOff>124558</xdr:rowOff>
    </xdr:from>
    <xdr:to>
      <xdr:col>0</xdr:col>
      <xdr:colOff>2255959</xdr:colOff>
      <xdr:row>38</xdr:row>
      <xdr:rowOff>102578</xdr:rowOff>
    </xdr:to>
    <xdr:sp macro="" textlink="">
      <xdr:nvSpPr>
        <xdr:cNvPr id="4" name="9 CuadroTexto"/>
        <xdr:cNvSpPr txBox="1"/>
      </xdr:nvSpPr>
      <xdr:spPr>
        <a:xfrm>
          <a:off x="27109" y="6821366"/>
          <a:ext cx="2228850" cy="7839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PRESIDENTE MUNICIPAL</a:t>
          </a:r>
        </a:p>
        <a:p>
          <a:pPr algn="ctr"/>
          <a:endParaRPr lang="es-MX" sz="900">
            <a:latin typeface="+mn-lt"/>
            <a:cs typeface="Arial" pitchFamily="34" charset="0"/>
          </a:endParaRPr>
        </a:p>
        <a:p>
          <a:pPr algn="ctr"/>
          <a:r>
            <a:rPr lang="es-MX" sz="1100">
              <a:latin typeface="+mn-lt"/>
            </a:rPr>
            <a:t>_____________________________</a:t>
          </a:r>
        </a:p>
        <a:p>
          <a:pPr algn="ctr"/>
          <a:r>
            <a:rPr lang="es-MX" sz="900">
              <a:latin typeface="+mn-lt"/>
              <a:cs typeface="Arial" pitchFamily="34" charset="0"/>
            </a:rPr>
            <a:t>DR. XICOTÉNCATL GONZÁLEZ URESTI</a:t>
          </a:r>
        </a:p>
      </xdr:txBody>
    </xdr:sp>
    <xdr:clientData/>
  </xdr:twoCellAnchor>
  <xdr:twoCellAnchor>
    <xdr:from>
      <xdr:col>0</xdr:col>
      <xdr:colOff>2610582</xdr:colOff>
      <xdr:row>33</xdr:row>
      <xdr:rowOff>120909</xdr:rowOff>
    </xdr:from>
    <xdr:to>
      <xdr:col>2</xdr:col>
      <xdr:colOff>737495</xdr:colOff>
      <xdr:row>38</xdr:row>
      <xdr:rowOff>109906</xdr:rowOff>
    </xdr:to>
    <xdr:sp macro="" textlink="">
      <xdr:nvSpPr>
        <xdr:cNvPr id="5" name="10 CuadroTexto"/>
        <xdr:cNvSpPr txBox="1"/>
      </xdr:nvSpPr>
      <xdr:spPr>
        <a:xfrm>
          <a:off x="2610582" y="6817717"/>
          <a:ext cx="2054144" cy="7949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TESORERO MUNICIPAL</a:t>
          </a:r>
        </a:p>
        <a:p>
          <a:pPr algn="ctr"/>
          <a:endParaRPr lang="es-MX" sz="900">
            <a:latin typeface="+mn-lt"/>
            <a:cs typeface="Arial" pitchFamily="34" charset="0"/>
          </a:endParaRPr>
        </a:p>
        <a:p>
          <a:pPr algn="ctr"/>
          <a:r>
            <a:rPr lang="es-MX" sz="1100">
              <a:latin typeface="+mn-lt"/>
            </a:rPr>
            <a:t>__________________________</a:t>
          </a:r>
        </a:p>
        <a:p>
          <a:pPr algn="ctr"/>
          <a:r>
            <a:rPr lang="es-MX" sz="900">
              <a:latin typeface="+mn-lt"/>
              <a:cs typeface="Arial" pitchFamily="34" charset="0"/>
            </a:rPr>
            <a:t>LAP. JOSÉ ALFREDO PEÑA RODRÍGUEZ</a:t>
          </a:r>
        </a:p>
      </xdr:txBody>
    </xdr:sp>
    <xdr:clientData/>
  </xdr:twoCellAnchor>
  <xdr:twoCellAnchor>
    <xdr:from>
      <xdr:col>2</xdr:col>
      <xdr:colOff>967153</xdr:colOff>
      <xdr:row>33</xdr:row>
      <xdr:rowOff>145465</xdr:rowOff>
    </xdr:from>
    <xdr:to>
      <xdr:col>4</xdr:col>
      <xdr:colOff>826153</xdr:colOff>
      <xdr:row>38</xdr:row>
      <xdr:rowOff>102577</xdr:rowOff>
    </xdr:to>
    <xdr:sp macro="" textlink="">
      <xdr:nvSpPr>
        <xdr:cNvPr id="6" name="11 CuadroTexto"/>
        <xdr:cNvSpPr txBox="1"/>
      </xdr:nvSpPr>
      <xdr:spPr>
        <a:xfrm>
          <a:off x="4894384" y="6842273"/>
          <a:ext cx="2086384" cy="76307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SINDICO</a:t>
          </a:r>
          <a:r>
            <a:rPr lang="es-MX" sz="900" baseline="0">
              <a:latin typeface="+mn-lt"/>
              <a:cs typeface="Arial" pitchFamily="34" charset="0"/>
            </a:rPr>
            <a:t> MUNICIPAL</a:t>
          </a:r>
        </a:p>
        <a:p>
          <a:pPr algn="ctr"/>
          <a:endParaRPr lang="es-MX" sz="900" baseline="0">
            <a:latin typeface="+mn-lt"/>
            <a:cs typeface="Arial" pitchFamily="34" charset="0"/>
          </a:endParaRPr>
        </a:p>
        <a:p>
          <a:pPr algn="ctr"/>
          <a:r>
            <a:rPr lang="es-MX" sz="900">
              <a:latin typeface="+mn-lt"/>
              <a:cs typeface="Arial" pitchFamily="34" charset="0"/>
            </a:rPr>
            <a:t>_________________________________</a:t>
          </a:r>
        </a:p>
        <a:p>
          <a:pPr algn="ctr"/>
          <a:r>
            <a:rPr lang="es-MX" sz="900">
              <a:latin typeface="+mn-lt"/>
              <a:cs typeface="Arial" pitchFamily="34" charset="0"/>
            </a:rPr>
            <a:t>LIC. FRIDA PATRICIA ESCOBAR ORTIZ</a:t>
          </a:r>
        </a:p>
      </xdr:txBody>
    </xdr:sp>
    <xdr:clientData/>
  </xdr:twoCellAnchor>
  <xdr:twoCellAnchor>
    <xdr:from>
      <xdr:col>4</xdr:col>
      <xdr:colOff>1077058</xdr:colOff>
      <xdr:row>33</xdr:row>
      <xdr:rowOff>124809</xdr:rowOff>
    </xdr:from>
    <xdr:to>
      <xdr:col>6</xdr:col>
      <xdr:colOff>1066689</xdr:colOff>
      <xdr:row>38</xdr:row>
      <xdr:rowOff>65943</xdr:rowOff>
    </xdr:to>
    <xdr:sp macro="" textlink="">
      <xdr:nvSpPr>
        <xdr:cNvPr id="7" name="12 CuadroTexto"/>
        <xdr:cNvSpPr txBox="1"/>
      </xdr:nvSpPr>
      <xdr:spPr>
        <a:xfrm>
          <a:off x="7231673" y="6821617"/>
          <a:ext cx="2217016" cy="7470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1100">
              <a:latin typeface="+mn-lt"/>
            </a:rPr>
            <a:t>____________________________</a:t>
          </a:r>
        </a:p>
        <a:p>
          <a:pPr algn="ctr"/>
          <a:r>
            <a:rPr lang="es-MX" sz="900">
              <a:latin typeface="+mn-lt"/>
              <a:cs typeface="Arial" pitchFamily="34" charset="0"/>
            </a:rPr>
            <a:t>C.P. NORA ROSALVA CEPEDA GUERRERO</a:t>
          </a:r>
        </a:p>
      </xdr:txBody>
    </xdr:sp>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47627</xdr:rowOff>
    </xdr:from>
    <xdr:to>
      <xdr:col>0</xdr:col>
      <xdr:colOff>1259093</xdr:colOff>
      <xdr:row>3</xdr:row>
      <xdr:rowOff>152401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7627"/>
          <a:ext cx="1259093" cy="676274"/>
        </a:xfrm>
        <a:prstGeom prst="rect">
          <a:avLst/>
        </a:prstGeom>
      </xdr:spPr>
    </xdr:pic>
    <xdr:clientData/>
  </xdr:twoCellAnchor>
  <xdr:twoCellAnchor editAs="oneCell">
    <xdr:from>
      <xdr:col>5</xdr:col>
      <xdr:colOff>1189968</xdr:colOff>
      <xdr:row>0</xdr:row>
      <xdr:rowOff>76200</xdr:rowOff>
    </xdr:from>
    <xdr:to>
      <xdr:col>6</xdr:col>
      <xdr:colOff>1227011</xdr:colOff>
      <xdr:row>3</xdr:row>
      <xdr:rowOff>135629</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29143" y="76200"/>
          <a:ext cx="1284818" cy="630929"/>
        </a:xfrm>
        <a:prstGeom prst="rect">
          <a:avLst/>
        </a:prstGeom>
      </xdr:spPr>
    </xdr:pic>
    <xdr:clientData/>
  </xdr:twoCellAnchor>
  <xdr:twoCellAnchor>
    <xdr:from>
      <xdr:col>0</xdr:col>
      <xdr:colOff>27109</xdr:colOff>
      <xdr:row>40</xdr:row>
      <xdr:rowOff>124558</xdr:rowOff>
    </xdr:from>
    <xdr:to>
      <xdr:col>0</xdr:col>
      <xdr:colOff>2255959</xdr:colOff>
      <xdr:row>45</xdr:row>
      <xdr:rowOff>102578</xdr:rowOff>
    </xdr:to>
    <xdr:sp macro="" textlink="">
      <xdr:nvSpPr>
        <xdr:cNvPr id="4" name="9 CuadroTexto"/>
        <xdr:cNvSpPr txBox="1"/>
      </xdr:nvSpPr>
      <xdr:spPr>
        <a:xfrm>
          <a:off x="27109" y="6830158"/>
          <a:ext cx="2228850" cy="7876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PRESIDENTE MUNICIPAL</a:t>
          </a:r>
        </a:p>
        <a:p>
          <a:pPr algn="ctr"/>
          <a:endParaRPr lang="es-MX" sz="900">
            <a:latin typeface="+mn-lt"/>
            <a:cs typeface="Arial" pitchFamily="34" charset="0"/>
          </a:endParaRPr>
        </a:p>
        <a:p>
          <a:pPr algn="ctr"/>
          <a:r>
            <a:rPr lang="es-MX" sz="1100">
              <a:latin typeface="+mn-lt"/>
            </a:rPr>
            <a:t>_____________________________</a:t>
          </a:r>
        </a:p>
        <a:p>
          <a:pPr algn="ctr"/>
          <a:r>
            <a:rPr lang="es-MX" sz="900">
              <a:latin typeface="+mn-lt"/>
              <a:cs typeface="Arial" pitchFamily="34" charset="0"/>
            </a:rPr>
            <a:t>DR. XICOTÉNCATL GONZÁLEZ URESTI</a:t>
          </a:r>
        </a:p>
      </xdr:txBody>
    </xdr:sp>
    <xdr:clientData/>
  </xdr:twoCellAnchor>
  <xdr:twoCellAnchor>
    <xdr:from>
      <xdr:col>0</xdr:col>
      <xdr:colOff>2610582</xdr:colOff>
      <xdr:row>40</xdr:row>
      <xdr:rowOff>120909</xdr:rowOff>
    </xdr:from>
    <xdr:to>
      <xdr:col>2</xdr:col>
      <xdr:colOff>737495</xdr:colOff>
      <xdr:row>45</xdr:row>
      <xdr:rowOff>109906</xdr:rowOff>
    </xdr:to>
    <xdr:sp macro="" textlink="">
      <xdr:nvSpPr>
        <xdr:cNvPr id="5" name="10 CuadroTexto"/>
        <xdr:cNvSpPr txBox="1"/>
      </xdr:nvSpPr>
      <xdr:spPr>
        <a:xfrm>
          <a:off x="2610582" y="6826509"/>
          <a:ext cx="2051213" cy="7986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TESORERO MUNICIPAL</a:t>
          </a:r>
        </a:p>
        <a:p>
          <a:pPr algn="ctr"/>
          <a:endParaRPr lang="es-MX" sz="900">
            <a:latin typeface="+mn-lt"/>
            <a:cs typeface="Arial" pitchFamily="34" charset="0"/>
          </a:endParaRPr>
        </a:p>
        <a:p>
          <a:pPr algn="ctr"/>
          <a:r>
            <a:rPr lang="es-MX" sz="1100">
              <a:latin typeface="+mn-lt"/>
            </a:rPr>
            <a:t>__________________________</a:t>
          </a:r>
        </a:p>
        <a:p>
          <a:pPr algn="ctr"/>
          <a:r>
            <a:rPr lang="es-MX" sz="900">
              <a:latin typeface="+mn-lt"/>
              <a:cs typeface="Arial" pitchFamily="34" charset="0"/>
            </a:rPr>
            <a:t>LAP. JOSÉ ALFREDO PEÑA RODRÍGUEZ</a:t>
          </a:r>
        </a:p>
      </xdr:txBody>
    </xdr:sp>
    <xdr:clientData/>
  </xdr:twoCellAnchor>
  <xdr:twoCellAnchor>
    <xdr:from>
      <xdr:col>2</xdr:col>
      <xdr:colOff>967153</xdr:colOff>
      <xdr:row>40</xdr:row>
      <xdr:rowOff>145465</xdr:rowOff>
    </xdr:from>
    <xdr:to>
      <xdr:col>4</xdr:col>
      <xdr:colOff>826153</xdr:colOff>
      <xdr:row>45</xdr:row>
      <xdr:rowOff>102577</xdr:rowOff>
    </xdr:to>
    <xdr:sp macro="" textlink="">
      <xdr:nvSpPr>
        <xdr:cNvPr id="6" name="11 CuadroTexto"/>
        <xdr:cNvSpPr txBox="1"/>
      </xdr:nvSpPr>
      <xdr:spPr>
        <a:xfrm>
          <a:off x="4891453" y="6851065"/>
          <a:ext cx="2087850" cy="7667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SINDICO</a:t>
          </a:r>
          <a:r>
            <a:rPr lang="es-MX" sz="900" baseline="0">
              <a:latin typeface="+mn-lt"/>
              <a:cs typeface="Arial" pitchFamily="34" charset="0"/>
            </a:rPr>
            <a:t> MUNICIPAL</a:t>
          </a:r>
        </a:p>
        <a:p>
          <a:pPr algn="ctr"/>
          <a:endParaRPr lang="es-MX" sz="900" baseline="0">
            <a:latin typeface="+mn-lt"/>
            <a:cs typeface="Arial" pitchFamily="34" charset="0"/>
          </a:endParaRPr>
        </a:p>
        <a:p>
          <a:pPr algn="ctr"/>
          <a:r>
            <a:rPr lang="es-MX" sz="900">
              <a:latin typeface="+mn-lt"/>
              <a:cs typeface="Arial" pitchFamily="34" charset="0"/>
            </a:rPr>
            <a:t>_________________________________</a:t>
          </a:r>
        </a:p>
        <a:p>
          <a:pPr algn="ctr"/>
          <a:r>
            <a:rPr lang="es-MX" sz="900">
              <a:latin typeface="+mn-lt"/>
              <a:cs typeface="Arial" pitchFamily="34" charset="0"/>
            </a:rPr>
            <a:t>LIC. FRIDA PATRICIA ESCOBAR ORTIZ</a:t>
          </a:r>
        </a:p>
      </xdr:txBody>
    </xdr:sp>
    <xdr:clientData/>
  </xdr:twoCellAnchor>
  <xdr:twoCellAnchor>
    <xdr:from>
      <xdr:col>4</xdr:col>
      <xdr:colOff>1077058</xdr:colOff>
      <xdr:row>40</xdr:row>
      <xdr:rowOff>124809</xdr:rowOff>
    </xdr:from>
    <xdr:to>
      <xdr:col>6</xdr:col>
      <xdr:colOff>1066689</xdr:colOff>
      <xdr:row>45</xdr:row>
      <xdr:rowOff>65943</xdr:rowOff>
    </xdr:to>
    <xdr:sp macro="" textlink="">
      <xdr:nvSpPr>
        <xdr:cNvPr id="7" name="12 CuadroTexto"/>
        <xdr:cNvSpPr txBox="1"/>
      </xdr:nvSpPr>
      <xdr:spPr>
        <a:xfrm>
          <a:off x="7230208" y="6830409"/>
          <a:ext cx="2218481" cy="7507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1100">
              <a:latin typeface="+mn-lt"/>
            </a:rPr>
            <a:t>____________________________</a:t>
          </a:r>
        </a:p>
        <a:p>
          <a:pPr algn="ctr"/>
          <a:r>
            <a:rPr lang="es-MX" sz="900">
              <a:latin typeface="+mn-lt"/>
              <a:cs typeface="Arial" pitchFamily="34" charset="0"/>
            </a:rPr>
            <a:t>C.P. NORA ROSALVA CEPEDA GUERRERO</a:t>
          </a:r>
        </a:p>
      </xdr:txBody>
    </xdr:sp>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38100</xdr:colOff>
      <xdr:row>0</xdr:row>
      <xdr:rowOff>47627</xdr:rowOff>
    </xdr:from>
    <xdr:to>
      <xdr:col>0</xdr:col>
      <xdr:colOff>1297193</xdr:colOff>
      <xdr:row>3</xdr:row>
      <xdr:rowOff>152401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47627"/>
          <a:ext cx="1259093" cy="676274"/>
        </a:xfrm>
        <a:prstGeom prst="rect">
          <a:avLst/>
        </a:prstGeom>
      </xdr:spPr>
    </xdr:pic>
    <xdr:clientData/>
  </xdr:twoCellAnchor>
  <xdr:twoCellAnchor editAs="oneCell">
    <xdr:from>
      <xdr:col>5</xdr:col>
      <xdr:colOff>1170918</xdr:colOff>
      <xdr:row>0</xdr:row>
      <xdr:rowOff>66675</xdr:rowOff>
    </xdr:from>
    <xdr:to>
      <xdr:col>6</xdr:col>
      <xdr:colOff>1207961</xdr:colOff>
      <xdr:row>3</xdr:row>
      <xdr:rowOff>126104</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10093" y="66675"/>
          <a:ext cx="1284818" cy="630929"/>
        </a:xfrm>
        <a:prstGeom prst="rect">
          <a:avLst/>
        </a:prstGeom>
      </xdr:spPr>
    </xdr:pic>
    <xdr:clientData/>
  </xdr:twoCellAnchor>
  <xdr:twoCellAnchor>
    <xdr:from>
      <xdr:col>0</xdr:col>
      <xdr:colOff>27109</xdr:colOff>
      <xdr:row>31</xdr:row>
      <xdr:rowOff>124558</xdr:rowOff>
    </xdr:from>
    <xdr:to>
      <xdr:col>0</xdr:col>
      <xdr:colOff>2255959</xdr:colOff>
      <xdr:row>36</xdr:row>
      <xdr:rowOff>102578</xdr:rowOff>
    </xdr:to>
    <xdr:sp macro="" textlink="">
      <xdr:nvSpPr>
        <xdr:cNvPr id="4" name="9 CuadroTexto"/>
        <xdr:cNvSpPr txBox="1"/>
      </xdr:nvSpPr>
      <xdr:spPr>
        <a:xfrm>
          <a:off x="27109" y="8058883"/>
          <a:ext cx="2228850" cy="7876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PRESIDENTE MUNICIPAL</a:t>
          </a:r>
        </a:p>
        <a:p>
          <a:pPr algn="ctr"/>
          <a:endParaRPr lang="es-MX" sz="900">
            <a:latin typeface="+mn-lt"/>
            <a:cs typeface="Arial" pitchFamily="34" charset="0"/>
          </a:endParaRPr>
        </a:p>
        <a:p>
          <a:pPr algn="ctr"/>
          <a:r>
            <a:rPr lang="es-MX" sz="1100">
              <a:latin typeface="+mn-lt"/>
            </a:rPr>
            <a:t>_____________________________</a:t>
          </a:r>
        </a:p>
        <a:p>
          <a:pPr algn="ctr"/>
          <a:r>
            <a:rPr lang="es-MX" sz="900">
              <a:latin typeface="+mn-lt"/>
              <a:cs typeface="Arial" pitchFamily="34" charset="0"/>
            </a:rPr>
            <a:t>DR. XICOTÉNCATL GONZÁLEZ URESTI</a:t>
          </a:r>
        </a:p>
      </xdr:txBody>
    </xdr:sp>
    <xdr:clientData/>
  </xdr:twoCellAnchor>
  <xdr:twoCellAnchor>
    <xdr:from>
      <xdr:col>0</xdr:col>
      <xdr:colOff>2610582</xdr:colOff>
      <xdr:row>31</xdr:row>
      <xdr:rowOff>120909</xdr:rowOff>
    </xdr:from>
    <xdr:to>
      <xdr:col>2</xdr:col>
      <xdr:colOff>737495</xdr:colOff>
      <xdr:row>36</xdr:row>
      <xdr:rowOff>109906</xdr:rowOff>
    </xdr:to>
    <xdr:sp macro="" textlink="">
      <xdr:nvSpPr>
        <xdr:cNvPr id="5" name="10 CuadroTexto"/>
        <xdr:cNvSpPr txBox="1"/>
      </xdr:nvSpPr>
      <xdr:spPr>
        <a:xfrm>
          <a:off x="2610582" y="8055234"/>
          <a:ext cx="3022763" cy="7986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TESORERO MUNICIPAL</a:t>
          </a:r>
        </a:p>
        <a:p>
          <a:pPr algn="ctr"/>
          <a:endParaRPr lang="es-MX" sz="900">
            <a:latin typeface="+mn-lt"/>
            <a:cs typeface="Arial" pitchFamily="34" charset="0"/>
          </a:endParaRPr>
        </a:p>
        <a:p>
          <a:pPr algn="ctr"/>
          <a:r>
            <a:rPr lang="es-MX" sz="1100">
              <a:latin typeface="+mn-lt"/>
            </a:rPr>
            <a:t>__________________________</a:t>
          </a:r>
        </a:p>
        <a:p>
          <a:pPr algn="ctr"/>
          <a:r>
            <a:rPr lang="es-MX" sz="900">
              <a:latin typeface="+mn-lt"/>
              <a:cs typeface="Arial" pitchFamily="34" charset="0"/>
            </a:rPr>
            <a:t>LAP. JOSÉ ALFREDO PEÑA RODRÍGUEZ</a:t>
          </a:r>
        </a:p>
      </xdr:txBody>
    </xdr:sp>
    <xdr:clientData/>
  </xdr:twoCellAnchor>
  <xdr:twoCellAnchor>
    <xdr:from>
      <xdr:col>2</xdr:col>
      <xdr:colOff>967153</xdr:colOff>
      <xdr:row>31</xdr:row>
      <xdr:rowOff>145465</xdr:rowOff>
    </xdr:from>
    <xdr:to>
      <xdr:col>4</xdr:col>
      <xdr:colOff>826153</xdr:colOff>
      <xdr:row>36</xdr:row>
      <xdr:rowOff>102577</xdr:rowOff>
    </xdr:to>
    <xdr:sp macro="" textlink="">
      <xdr:nvSpPr>
        <xdr:cNvPr id="6" name="11 CuadroTexto"/>
        <xdr:cNvSpPr txBox="1"/>
      </xdr:nvSpPr>
      <xdr:spPr>
        <a:xfrm>
          <a:off x="5863003" y="8079790"/>
          <a:ext cx="2354550" cy="7667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SINDICO</a:t>
          </a:r>
          <a:r>
            <a:rPr lang="es-MX" sz="900" baseline="0">
              <a:latin typeface="+mn-lt"/>
              <a:cs typeface="Arial" pitchFamily="34" charset="0"/>
            </a:rPr>
            <a:t> MUNICIPAL</a:t>
          </a:r>
        </a:p>
        <a:p>
          <a:pPr algn="ctr"/>
          <a:endParaRPr lang="es-MX" sz="900" baseline="0">
            <a:latin typeface="+mn-lt"/>
            <a:cs typeface="Arial" pitchFamily="34" charset="0"/>
          </a:endParaRPr>
        </a:p>
        <a:p>
          <a:pPr algn="ctr"/>
          <a:r>
            <a:rPr lang="es-MX" sz="900">
              <a:latin typeface="+mn-lt"/>
              <a:cs typeface="Arial" pitchFamily="34" charset="0"/>
            </a:rPr>
            <a:t>_________________________________</a:t>
          </a:r>
        </a:p>
        <a:p>
          <a:pPr algn="ctr"/>
          <a:r>
            <a:rPr lang="es-MX" sz="900">
              <a:latin typeface="+mn-lt"/>
              <a:cs typeface="Arial" pitchFamily="34" charset="0"/>
            </a:rPr>
            <a:t>LIC. FRIDA PATRICIA ESCOBAR ORTIZ</a:t>
          </a:r>
        </a:p>
      </xdr:txBody>
    </xdr:sp>
    <xdr:clientData/>
  </xdr:twoCellAnchor>
  <xdr:twoCellAnchor>
    <xdr:from>
      <xdr:col>4</xdr:col>
      <xdr:colOff>1077058</xdr:colOff>
      <xdr:row>31</xdr:row>
      <xdr:rowOff>124809</xdr:rowOff>
    </xdr:from>
    <xdr:to>
      <xdr:col>6</xdr:col>
      <xdr:colOff>1066689</xdr:colOff>
      <xdr:row>36</xdr:row>
      <xdr:rowOff>65943</xdr:rowOff>
    </xdr:to>
    <xdr:sp macro="" textlink="">
      <xdr:nvSpPr>
        <xdr:cNvPr id="7" name="12 CuadroTexto"/>
        <xdr:cNvSpPr txBox="1"/>
      </xdr:nvSpPr>
      <xdr:spPr>
        <a:xfrm>
          <a:off x="8468458" y="8059134"/>
          <a:ext cx="2485181" cy="7507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1100">
              <a:latin typeface="+mn-lt"/>
            </a:rPr>
            <a:t>____________________________</a:t>
          </a:r>
        </a:p>
        <a:p>
          <a:pPr algn="ctr"/>
          <a:r>
            <a:rPr lang="es-MX" sz="900">
              <a:latin typeface="+mn-lt"/>
              <a:cs typeface="Arial" pitchFamily="34" charset="0"/>
            </a:rPr>
            <a:t>C.P. NORA ROSALVA CEPEDA GUERRERO</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89648</xdr:colOff>
      <xdr:row>53</xdr:row>
      <xdr:rowOff>44821</xdr:rowOff>
    </xdr:from>
    <xdr:to>
      <xdr:col>1</xdr:col>
      <xdr:colOff>2281527</xdr:colOff>
      <xdr:row>59</xdr:row>
      <xdr:rowOff>53338</xdr:rowOff>
    </xdr:to>
    <xdr:sp macro="" textlink="">
      <xdr:nvSpPr>
        <xdr:cNvPr id="2" name="9 CuadroTexto"/>
        <xdr:cNvSpPr txBox="1"/>
      </xdr:nvSpPr>
      <xdr:spPr>
        <a:xfrm>
          <a:off x="242048" y="7950571"/>
          <a:ext cx="2191879" cy="94196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PRESIDENTE MUNICIPAL</a:t>
          </a:r>
        </a:p>
        <a:p>
          <a:pPr algn="ctr"/>
          <a:endParaRPr lang="es-MX" sz="900">
            <a:latin typeface="+mn-lt"/>
            <a:cs typeface="Arial" pitchFamily="34" charset="0"/>
          </a:endParaRPr>
        </a:p>
        <a:p>
          <a:pPr algn="ctr"/>
          <a:r>
            <a:rPr lang="es-MX" sz="1100">
              <a:latin typeface="+mn-lt"/>
            </a:rPr>
            <a:t>____________________________</a:t>
          </a:r>
        </a:p>
        <a:p>
          <a:pPr algn="ctr"/>
          <a:r>
            <a:rPr lang="es-MX" sz="900">
              <a:latin typeface="+mn-lt"/>
              <a:cs typeface="Arial" pitchFamily="34" charset="0"/>
            </a:rPr>
            <a:t>DR. XICOTÉNCATL GONZÁLEZ URESTI</a:t>
          </a:r>
        </a:p>
      </xdr:txBody>
    </xdr:sp>
    <xdr:clientData/>
  </xdr:twoCellAnchor>
  <xdr:twoCellAnchor>
    <xdr:from>
      <xdr:col>1</xdr:col>
      <xdr:colOff>2763980</xdr:colOff>
      <xdr:row>53</xdr:row>
      <xdr:rowOff>33162</xdr:rowOff>
    </xdr:from>
    <xdr:to>
      <xdr:col>2</xdr:col>
      <xdr:colOff>955778</xdr:colOff>
      <xdr:row>59</xdr:row>
      <xdr:rowOff>20529</xdr:rowOff>
    </xdr:to>
    <xdr:sp macro="" textlink="">
      <xdr:nvSpPr>
        <xdr:cNvPr id="3" name="10 CuadroTexto"/>
        <xdr:cNvSpPr txBox="1"/>
      </xdr:nvSpPr>
      <xdr:spPr>
        <a:xfrm>
          <a:off x="2916380" y="7938912"/>
          <a:ext cx="2344698" cy="9208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TESORERO MUNICIPAL</a:t>
          </a:r>
        </a:p>
        <a:p>
          <a:pPr algn="ctr"/>
          <a:endParaRPr lang="es-MX" sz="900">
            <a:latin typeface="+mn-lt"/>
            <a:cs typeface="Arial" pitchFamily="34" charset="0"/>
          </a:endParaRPr>
        </a:p>
        <a:p>
          <a:pPr algn="ctr"/>
          <a:r>
            <a:rPr lang="es-MX" sz="1100">
              <a:latin typeface="+mn-lt"/>
            </a:rPr>
            <a:t>__________________________</a:t>
          </a:r>
        </a:p>
        <a:p>
          <a:pPr algn="ctr"/>
          <a:r>
            <a:rPr lang="es-MX" sz="900">
              <a:latin typeface="+mn-lt"/>
              <a:cs typeface="Arial" pitchFamily="34" charset="0"/>
            </a:rPr>
            <a:t>LAP. JOSÉ ALFREDO PEÑA RODRÍGUEZ</a:t>
          </a:r>
        </a:p>
      </xdr:txBody>
    </xdr:sp>
    <xdr:clientData/>
  </xdr:twoCellAnchor>
  <xdr:twoCellAnchor>
    <xdr:from>
      <xdr:col>3</xdr:col>
      <xdr:colOff>100224</xdr:colOff>
      <xdr:row>53</xdr:row>
      <xdr:rowOff>73056</xdr:rowOff>
    </xdr:from>
    <xdr:to>
      <xdr:col>5</xdr:col>
      <xdr:colOff>916604</xdr:colOff>
      <xdr:row>59</xdr:row>
      <xdr:rowOff>97869</xdr:rowOff>
    </xdr:to>
    <xdr:sp macro="" textlink="">
      <xdr:nvSpPr>
        <xdr:cNvPr id="4" name="11 CuadroTexto"/>
        <xdr:cNvSpPr txBox="1"/>
      </xdr:nvSpPr>
      <xdr:spPr>
        <a:xfrm>
          <a:off x="5491374" y="7978806"/>
          <a:ext cx="2988080" cy="9582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SINDICO</a:t>
          </a:r>
          <a:r>
            <a:rPr lang="es-MX" sz="900" baseline="0">
              <a:latin typeface="+mn-lt"/>
              <a:cs typeface="Arial" pitchFamily="34" charset="0"/>
            </a:rPr>
            <a:t> MUNICIPAL</a:t>
          </a:r>
        </a:p>
        <a:p>
          <a:pPr algn="ctr"/>
          <a:endParaRPr lang="es-MX" sz="900" baseline="0">
            <a:latin typeface="+mn-lt"/>
            <a:cs typeface="Arial" pitchFamily="34" charset="0"/>
          </a:endParaRPr>
        </a:p>
        <a:p>
          <a:pPr algn="ctr"/>
          <a:r>
            <a:rPr lang="es-MX" sz="900">
              <a:latin typeface="+mn-lt"/>
              <a:cs typeface="Arial" pitchFamily="34" charset="0"/>
            </a:rPr>
            <a:t>_________________________________</a:t>
          </a:r>
        </a:p>
        <a:p>
          <a:pPr algn="ctr"/>
          <a:r>
            <a:rPr lang="es-MX" sz="900">
              <a:latin typeface="+mn-lt"/>
              <a:cs typeface="Arial" pitchFamily="34" charset="0"/>
            </a:rPr>
            <a:t>LIC. FRIDA PATRICIA ESCOBAR ORTIZ</a:t>
          </a:r>
        </a:p>
      </xdr:txBody>
    </xdr:sp>
    <xdr:clientData/>
  </xdr:twoCellAnchor>
  <xdr:twoCellAnchor>
    <xdr:from>
      <xdr:col>6</xdr:col>
      <xdr:colOff>25912</xdr:colOff>
      <xdr:row>53</xdr:row>
      <xdr:rowOff>53376</xdr:rowOff>
    </xdr:from>
    <xdr:to>
      <xdr:col>7</xdr:col>
      <xdr:colOff>1232338</xdr:colOff>
      <xdr:row>59</xdr:row>
      <xdr:rowOff>17045</xdr:rowOff>
    </xdr:to>
    <xdr:sp macro="" textlink="">
      <xdr:nvSpPr>
        <xdr:cNvPr id="5" name="12 CuadroTexto"/>
        <xdr:cNvSpPr txBox="1"/>
      </xdr:nvSpPr>
      <xdr:spPr>
        <a:xfrm>
          <a:off x="8674612" y="7959126"/>
          <a:ext cx="2292276" cy="89711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1100">
              <a:latin typeface="+mn-lt"/>
            </a:rPr>
            <a:t>____________________________</a:t>
          </a:r>
        </a:p>
        <a:p>
          <a:pPr algn="ctr"/>
          <a:r>
            <a:rPr lang="es-MX" sz="900">
              <a:latin typeface="+mn-lt"/>
              <a:cs typeface="Arial" pitchFamily="34" charset="0"/>
            </a:rPr>
            <a:t>C.P. NORA ROSALVA CEPEDA GUERRERO</a:t>
          </a:r>
        </a:p>
      </xdr:txBody>
    </xdr:sp>
    <xdr:clientData/>
  </xdr:twoCellAnchor>
  <xdr:twoCellAnchor editAs="oneCell">
    <xdr:from>
      <xdr:col>1</xdr:col>
      <xdr:colOff>200025</xdr:colOff>
      <xdr:row>0</xdr:row>
      <xdr:rowOff>142875</xdr:rowOff>
    </xdr:from>
    <xdr:to>
      <xdr:col>1</xdr:col>
      <xdr:colOff>1600200</xdr:colOff>
      <xdr:row>4</xdr:row>
      <xdr:rowOff>15000</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52425" y="142875"/>
          <a:ext cx="1400175" cy="748425"/>
        </a:xfrm>
        <a:prstGeom prst="rect">
          <a:avLst/>
        </a:prstGeom>
      </xdr:spPr>
    </xdr:pic>
    <xdr:clientData/>
  </xdr:twoCellAnchor>
  <xdr:twoCellAnchor editAs="oneCell">
    <xdr:from>
      <xdr:col>6</xdr:col>
      <xdr:colOff>628649</xdr:colOff>
      <xdr:row>0</xdr:row>
      <xdr:rowOff>66676</xdr:rowOff>
    </xdr:from>
    <xdr:to>
      <xdr:col>7</xdr:col>
      <xdr:colOff>1286740</xdr:colOff>
      <xdr:row>4</xdr:row>
      <xdr:rowOff>60028</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77349" y="66676"/>
          <a:ext cx="1743941" cy="869652"/>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104775</xdr:colOff>
      <xdr:row>0</xdr:row>
      <xdr:rowOff>47627</xdr:rowOff>
    </xdr:from>
    <xdr:to>
      <xdr:col>0</xdr:col>
      <xdr:colOff>1363868</xdr:colOff>
      <xdr:row>3</xdr:row>
      <xdr:rowOff>152401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47627"/>
          <a:ext cx="1259093" cy="676274"/>
        </a:xfrm>
        <a:prstGeom prst="rect">
          <a:avLst/>
        </a:prstGeom>
      </xdr:spPr>
    </xdr:pic>
    <xdr:clientData/>
  </xdr:twoCellAnchor>
  <xdr:twoCellAnchor editAs="oneCell">
    <xdr:from>
      <xdr:col>5</xdr:col>
      <xdr:colOff>1170918</xdr:colOff>
      <xdr:row>0</xdr:row>
      <xdr:rowOff>66675</xdr:rowOff>
    </xdr:from>
    <xdr:to>
      <xdr:col>6</xdr:col>
      <xdr:colOff>1207961</xdr:colOff>
      <xdr:row>3</xdr:row>
      <xdr:rowOff>126104</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810093" y="66675"/>
          <a:ext cx="1284818" cy="630929"/>
        </a:xfrm>
        <a:prstGeom prst="rect">
          <a:avLst/>
        </a:prstGeom>
      </xdr:spPr>
    </xdr:pic>
    <xdr:clientData/>
  </xdr:twoCellAnchor>
  <xdr:twoCellAnchor>
    <xdr:from>
      <xdr:col>0</xdr:col>
      <xdr:colOff>27109</xdr:colOff>
      <xdr:row>40</xdr:row>
      <xdr:rowOff>124558</xdr:rowOff>
    </xdr:from>
    <xdr:to>
      <xdr:col>0</xdr:col>
      <xdr:colOff>2255959</xdr:colOff>
      <xdr:row>45</xdr:row>
      <xdr:rowOff>102578</xdr:rowOff>
    </xdr:to>
    <xdr:sp macro="" textlink="">
      <xdr:nvSpPr>
        <xdr:cNvPr id="4" name="9 CuadroTexto"/>
        <xdr:cNvSpPr txBox="1"/>
      </xdr:nvSpPr>
      <xdr:spPr>
        <a:xfrm>
          <a:off x="27109" y="6296758"/>
          <a:ext cx="2228850" cy="7876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PRESIDENTE MUNICIPAL</a:t>
          </a:r>
        </a:p>
        <a:p>
          <a:pPr algn="ctr"/>
          <a:endParaRPr lang="es-MX" sz="900">
            <a:latin typeface="+mn-lt"/>
            <a:cs typeface="Arial" pitchFamily="34" charset="0"/>
          </a:endParaRPr>
        </a:p>
        <a:p>
          <a:pPr algn="ctr"/>
          <a:r>
            <a:rPr lang="es-MX" sz="1100">
              <a:latin typeface="+mn-lt"/>
            </a:rPr>
            <a:t>_____________________________</a:t>
          </a:r>
        </a:p>
        <a:p>
          <a:pPr algn="ctr"/>
          <a:r>
            <a:rPr lang="es-MX" sz="900">
              <a:latin typeface="+mn-lt"/>
              <a:cs typeface="Arial" pitchFamily="34" charset="0"/>
            </a:rPr>
            <a:t>DR. XICOTÉNCATL GONZÁLEZ URESTI</a:t>
          </a:r>
        </a:p>
      </xdr:txBody>
    </xdr:sp>
    <xdr:clientData/>
  </xdr:twoCellAnchor>
  <xdr:twoCellAnchor>
    <xdr:from>
      <xdr:col>0</xdr:col>
      <xdr:colOff>2610582</xdr:colOff>
      <xdr:row>40</xdr:row>
      <xdr:rowOff>120909</xdr:rowOff>
    </xdr:from>
    <xdr:to>
      <xdr:col>2</xdr:col>
      <xdr:colOff>737495</xdr:colOff>
      <xdr:row>45</xdr:row>
      <xdr:rowOff>109906</xdr:rowOff>
    </xdr:to>
    <xdr:sp macro="" textlink="">
      <xdr:nvSpPr>
        <xdr:cNvPr id="5" name="10 CuadroTexto"/>
        <xdr:cNvSpPr txBox="1"/>
      </xdr:nvSpPr>
      <xdr:spPr>
        <a:xfrm>
          <a:off x="2610582" y="6293109"/>
          <a:ext cx="3022763" cy="7986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TESORERO MUNICIPAL</a:t>
          </a:r>
        </a:p>
        <a:p>
          <a:pPr algn="ctr"/>
          <a:endParaRPr lang="es-MX" sz="900">
            <a:latin typeface="+mn-lt"/>
            <a:cs typeface="Arial" pitchFamily="34" charset="0"/>
          </a:endParaRPr>
        </a:p>
        <a:p>
          <a:pPr algn="ctr"/>
          <a:r>
            <a:rPr lang="es-MX" sz="1100">
              <a:latin typeface="+mn-lt"/>
            </a:rPr>
            <a:t>__________________________</a:t>
          </a:r>
        </a:p>
        <a:p>
          <a:pPr algn="ctr"/>
          <a:r>
            <a:rPr lang="es-MX" sz="900">
              <a:latin typeface="+mn-lt"/>
              <a:cs typeface="Arial" pitchFamily="34" charset="0"/>
            </a:rPr>
            <a:t>LAP. JOSÉ ALFREDO PEÑA RODRÍGUEZ</a:t>
          </a:r>
        </a:p>
      </xdr:txBody>
    </xdr:sp>
    <xdr:clientData/>
  </xdr:twoCellAnchor>
  <xdr:twoCellAnchor>
    <xdr:from>
      <xdr:col>2</xdr:col>
      <xdr:colOff>967153</xdr:colOff>
      <xdr:row>40</xdr:row>
      <xdr:rowOff>145465</xdr:rowOff>
    </xdr:from>
    <xdr:to>
      <xdr:col>4</xdr:col>
      <xdr:colOff>826153</xdr:colOff>
      <xdr:row>45</xdr:row>
      <xdr:rowOff>102577</xdr:rowOff>
    </xdr:to>
    <xdr:sp macro="" textlink="">
      <xdr:nvSpPr>
        <xdr:cNvPr id="6" name="11 CuadroTexto"/>
        <xdr:cNvSpPr txBox="1"/>
      </xdr:nvSpPr>
      <xdr:spPr>
        <a:xfrm>
          <a:off x="5863003" y="6317665"/>
          <a:ext cx="2354550" cy="7667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SINDICO</a:t>
          </a:r>
          <a:r>
            <a:rPr lang="es-MX" sz="900" baseline="0">
              <a:latin typeface="+mn-lt"/>
              <a:cs typeface="Arial" pitchFamily="34" charset="0"/>
            </a:rPr>
            <a:t> MUNICIPAL</a:t>
          </a:r>
        </a:p>
        <a:p>
          <a:pPr algn="ctr"/>
          <a:endParaRPr lang="es-MX" sz="900" baseline="0">
            <a:latin typeface="+mn-lt"/>
            <a:cs typeface="Arial" pitchFamily="34" charset="0"/>
          </a:endParaRPr>
        </a:p>
        <a:p>
          <a:pPr algn="ctr"/>
          <a:r>
            <a:rPr lang="es-MX" sz="900">
              <a:latin typeface="+mn-lt"/>
              <a:cs typeface="Arial" pitchFamily="34" charset="0"/>
            </a:rPr>
            <a:t>_________________________________</a:t>
          </a:r>
        </a:p>
        <a:p>
          <a:pPr algn="ctr"/>
          <a:r>
            <a:rPr lang="es-MX" sz="900">
              <a:latin typeface="+mn-lt"/>
              <a:cs typeface="Arial" pitchFamily="34" charset="0"/>
            </a:rPr>
            <a:t>LIC. FRIDA PATRICIA ESCOBAR ORTIZ</a:t>
          </a:r>
        </a:p>
      </xdr:txBody>
    </xdr:sp>
    <xdr:clientData/>
  </xdr:twoCellAnchor>
  <xdr:twoCellAnchor>
    <xdr:from>
      <xdr:col>4</xdr:col>
      <xdr:colOff>1077058</xdr:colOff>
      <xdr:row>40</xdr:row>
      <xdr:rowOff>124809</xdr:rowOff>
    </xdr:from>
    <xdr:to>
      <xdr:col>6</xdr:col>
      <xdr:colOff>1066689</xdr:colOff>
      <xdr:row>45</xdr:row>
      <xdr:rowOff>65943</xdr:rowOff>
    </xdr:to>
    <xdr:sp macro="" textlink="">
      <xdr:nvSpPr>
        <xdr:cNvPr id="7" name="12 CuadroTexto"/>
        <xdr:cNvSpPr txBox="1"/>
      </xdr:nvSpPr>
      <xdr:spPr>
        <a:xfrm>
          <a:off x="8468458" y="6297009"/>
          <a:ext cx="2485181" cy="7507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1100">
              <a:latin typeface="+mn-lt"/>
            </a:rPr>
            <a:t>____________________________</a:t>
          </a:r>
        </a:p>
        <a:p>
          <a:pPr algn="ctr"/>
          <a:r>
            <a:rPr lang="es-MX" sz="900">
              <a:latin typeface="+mn-lt"/>
              <a:cs typeface="Arial" pitchFamily="34" charset="0"/>
            </a:rPr>
            <a:t>C.P. NORA ROSALVA CEPEDA GUERRERO</a:t>
          </a:r>
        </a:p>
      </xdr:txBody>
    </xdr:sp>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66675</xdr:colOff>
      <xdr:row>0</xdr:row>
      <xdr:rowOff>47627</xdr:rowOff>
    </xdr:from>
    <xdr:to>
      <xdr:col>0</xdr:col>
      <xdr:colOff>1325768</xdr:colOff>
      <xdr:row>3</xdr:row>
      <xdr:rowOff>152401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47627"/>
          <a:ext cx="1259093" cy="676274"/>
        </a:xfrm>
        <a:prstGeom prst="rect">
          <a:avLst/>
        </a:prstGeom>
      </xdr:spPr>
    </xdr:pic>
    <xdr:clientData/>
  </xdr:twoCellAnchor>
  <xdr:twoCellAnchor editAs="oneCell">
    <xdr:from>
      <xdr:col>5</xdr:col>
      <xdr:colOff>1142343</xdr:colOff>
      <xdr:row>0</xdr:row>
      <xdr:rowOff>76200</xdr:rowOff>
    </xdr:from>
    <xdr:to>
      <xdr:col>6</xdr:col>
      <xdr:colOff>1179386</xdr:colOff>
      <xdr:row>3</xdr:row>
      <xdr:rowOff>135629</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81518" y="76200"/>
          <a:ext cx="1284818" cy="630929"/>
        </a:xfrm>
        <a:prstGeom prst="rect">
          <a:avLst/>
        </a:prstGeom>
      </xdr:spPr>
    </xdr:pic>
    <xdr:clientData/>
  </xdr:twoCellAnchor>
  <xdr:twoCellAnchor>
    <xdr:from>
      <xdr:col>0</xdr:col>
      <xdr:colOff>27109</xdr:colOff>
      <xdr:row>39</xdr:row>
      <xdr:rowOff>124558</xdr:rowOff>
    </xdr:from>
    <xdr:to>
      <xdr:col>0</xdr:col>
      <xdr:colOff>2255959</xdr:colOff>
      <xdr:row>44</xdr:row>
      <xdr:rowOff>102578</xdr:rowOff>
    </xdr:to>
    <xdr:sp macro="" textlink="">
      <xdr:nvSpPr>
        <xdr:cNvPr id="4" name="9 CuadroTexto"/>
        <xdr:cNvSpPr txBox="1"/>
      </xdr:nvSpPr>
      <xdr:spPr>
        <a:xfrm>
          <a:off x="27109" y="8154133"/>
          <a:ext cx="2228850" cy="78764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PRESIDENTE MUNICIPAL</a:t>
          </a:r>
        </a:p>
        <a:p>
          <a:pPr algn="ctr"/>
          <a:endParaRPr lang="es-MX" sz="900">
            <a:latin typeface="+mn-lt"/>
            <a:cs typeface="Arial" pitchFamily="34" charset="0"/>
          </a:endParaRPr>
        </a:p>
        <a:p>
          <a:pPr algn="ctr"/>
          <a:r>
            <a:rPr lang="es-MX" sz="1100">
              <a:latin typeface="+mn-lt"/>
            </a:rPr>
            <a:t>_____________________________</a:t>
          </a:r>
        </a:p>
        <a:p>
          <a:pPr algn="ctr"/>
          <a:r>
            <a:rPr lang="es-MX" sz="900">
              <a:latin typeface="+mn-lt"/>
              <a:cs typeface="Arial" pitchFamily="34" charset="0"/>
            </a:rPr>
            <a:t>DR. XICOTÉNCATL GONZÁLEZ URESTI</a:t>
          </a:r>
        </a:p>
      </xdr:txBody>
    </xdr:sp>
    <xdr:clientData/>
  </xdr:twoCellAnchor>
  <xdr:twoCellAnchor>
    <xdr:from>
      <xdr:col>0</xdr:col>
      <xdr:colOff>2610582</xdr:colOff>
      <xdr:row>39</xdr:row>
      <xdr:rowOff>120909</xdr:rowOff>
    </xdr:from>
    <xdr:to>
      <xdr:col>2</xdr:col>
      <xdr:colOff>737495</xdr:colOff>
      <xdr:row>44</xdr:row>
      <xdr:rowOff>109906</xdr:rowOff>
    </xdr:to>
    <xdr:sp macro="" textlink="">
      <xdr:nvSpPr>
        <xdr:cNvPr id="5" name="10 CuadroTexto"/>
        <xdr:cNvSpPr txBox="1"/>
      </xdr:nvSpPr>
      <xdr:spPr>
        <a:xfrm>
          <a:off x="2610582" y="8150484"/>
          <a:ext cx="3022763" cy="79862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TESORERO MUNICIPAL</a:t>
          </a:r>
        </a:p>
        <a:p>
          <a:pPr algn="ctr"/>
          <a:endParaRPr lang="es-MX" sz="900">
            <a:latin typeface="+mn-lt"/>
            <a:cs typeface="Arial" pitchFamily="34" charset="0"/>
          </a:endParaRPr>
        </a:p>
        <a:p>
          <a:pPr algn="ctr"/>
          <a:r>
            <a:rPr lang="es-MX" sz="1100">
              <a:latin typeface="+mn-lt"/>
            </a:rPr>
            <a:t>__________________________</a:t>
          </a:r>
        </a:p>
        <a:p>
          <a:pPr algn="ctr"/>
          <a:r>
            <a:rPr lang="es-MX" sz="900">
              <a:latin typeface="+mn-lt"/>
              <a:cs typeface="Arial" pitchFamily="34" charset="0"/>
            </a:rPr>
            <a:t>LAP. JOSÉ ALFREDO PEÑA RODRÍGUEZ</a:t>
          </a:r>
        </a:p>
      </xdr:txBody>
    </xdr:sp>
    <xdr:clientData/>
  </xdr:twoCellAnchor>
  <xdr:twoCellAnchor>
    <xdr:from>
      <xdr:col>2</xdr:col>
      <xdr:colOff>967153</xdr:colOff>
      <xdr:row>39</xdr:row>
      <xdr:rowOff>145465</xdr:rowOff>
    </xdr:from>
    <xdr:to>
      <xdr:col>4</xdr:col>
      <xdr:colOff>826153</xdr:colOff>
      <xdr:row>44</xdr:row>
      <xdr:rowOff>102577</xdr:rowOff>
    </xdr:to>
    <xdr:sp macro="" textlink="">
      <xdr:nvSpPr>
        <xdr:cNvPr id="6" name="11 CuadroTexto"/>
        <xdr:cNvSpPr txBox="1"/>
      </xdr:nvSpPr>
      <xdr:spPr>
        <a:xfrm>
          <a:off x="5863003" y="8175040"/>
          <a:ext cx="2354550" cy="7667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SINDICO</a:t>
          </a:r>
          <a:r>
            <a:rPr lang="es-MX" sz="900" baseline="0">
              <a:latin typeface="+mn-lt"/>
              <a:cs typeface="Arial" pitchFamily="34" charset="0"/>
            </a:rPr>
            <a:t> MUNICIPAL</a:t>
          </a:r>
        </a:p>
        <a:p>
          <a:pPr algn="ctr"/>
          <a:endParaRPr lang="es-MX" sz="900" baseline="0">
            <a:latin typeface="+mn-lt"/>
            <a:cs typeface="Arial" pitchFamily="34" charset="0"/>
          </a:endParaRPr>
        </a:p>
        <a:p>
          <a:pPr algn="ctr"/>
          <a:r>
            <a:rPr lang="es-MX" sz="900">
              <a:latin typeface="+mn-lt"/>
              <a:cs typeface="Arial" pitchFamily="34" charset="0"/>
            </a:rPr>
            <a:t>_________________________________</a:t>
          </a:r>
        </a:p>
        <a:p>
          <a:pPr algn="ctr"/>
          <a:r>
            <a:rPr lang="es-MX" sz="900">
              <a:latin typeface="+mn-lt"/>
              <a:cs typeface="Arial" pitchFamily="34" charset="0"/>
            </a:rPr>
            <a:t>LIC. FRIDA PATRICIA ESCOBAR ORTIZ</a:t>
          </a:r>
        </a:p>
      </xdr:txBody>
    </xdr:sp>
    <xdr:clientData/>
  </xdr:twoCellAnchor>
  <xdr:twoCellAnchor>
    <xdr:from>
      <xdr:col>4</xdr:col>
      <xdr:colOff>1077058</xdr:colOff>
      <xdr:row>39</xdr:row>
      <xdr:rowOff>124809</xdr:rowOff>
    </xdr:from>
    <xdr:to>
      <xdr:col>6</xdr:col>
      <xdr:colOff>1066689</xdr:colOff>
      <xdr:row>44</xdr:row>
      <xdr:rowOff>65943</xdr:rowOff>
    </xdr:to>
    <xdr:sp macro="" textlink="">
      <xdr:nvSpPr>
        <xdr:cNvPr id="7" name="12 CuadroTexto"/>
        <xdr:cNvSpPr txBox="1"/>
      </xdr:nvSpPr>
      <xdr:spPr>
        <a:xfrm>
          <a:off x="8468458" y="8154384"/>
          <a:ext cx="2485181" cy="7507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1100">
              <a:latin typeface="+mn-lt"/>
            </a:rPr>
            <a:t>____________________________</a:t>
          </a:r>
        </a:p>
        <a:p>
          <a:pPr algn="ctr"/>
          <a:r>
            <a:rPr lang="es-MX" sz="900">
              <a:latin typeface="+mn-lt"/>
              <a:cs typeface="Arial" pitchFamily="34" charset="0"/>
            </a:rPr>
            <a:t>C.P. NORA ROSALVA CEPEDA GUERRERO</a:t>
          </a:r>
        </a:p>
      </xdr:txBody>
    </xdr:sp>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85725</xdr:colOff>
      <xdr:row>0</xdr:row>
      <xdr:rowOff>47627</xdr:rowOff>
    </xdr:from>
    <xdr:to>
      <xdr:col>0</xdr:col>
      <xdr:colOff>1344818</xdr:colOff>
      <xdr:row>3</xdr:row>
      <xdr:rowOff>152401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47627"/>
          <a:ext cx="1259093" cy="676274"/>
        </a:xfrm>
        <a:prstGeom prst="rect">
          <a:avLst/>
        </a:prstGeom>
      </xdr:spPr>
    </xdr:pic>
    <xdr:clientData/>
  </xdr:twoCellAnchor>
  <xdr:twoCellAnchor editAs="oneCell">
    <xdr:from>
      <xdr:col>4</xdr:col>
      <xdr:colOff>894693</xdr:colOff>
      <xdr:row>0</xdr:row>
      <xdr:rowOff>95250</xdr:rowOff>
    </xdr:from>
    <xdr:to>
      <xdr:col>5</xdr:col>
      <xdr:colOff>1065086</xdr:colOff>
      <xdr:row>3</xdr:row>
      <xdr:rowOff>154679</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86043" y="95250"/>
          <a:ext cx="1284818" cy="630929"/>
        </a:xfrm>
        <a:prstGeom prst="rect">
          <a:avLst/>
        </a:prstGeom>
      </xdr:spPr>
    </xdr:pic>
    <xdr:clientData/>
  </xdr:twoCellAnchor>
  <xdr:twoCellAnchor>
    <xdr:from>
      <xdr:col>0</xdr:col>
      <xdr:colOff>24179</xdr:colOff>
      <xdr:row>69</xdr:row>
      <xdr:rowOff>66382</xdr:rowOff>
    </xdr:from>
    <xdr:to>
      <xdr:col>0</xdr:col>
      <xdr:colOff>2110154</xdr:colOff>
      <xdr:row>73</xdr:row>
      <xdr:rowOff>146354</xdr:rowOff>
    </xdr:to>
    <xdr:sp macro="" textlink="">
      <xdr:nvSpPr>
        <xdr:cNvPr id="12" name="15 CuadroTexto"/>
        <xdr:cNvSpPr txBox="1"/>
      </xdr:nvSpPr>
      <xdr:spPr>
        <a:xfrm>
          <a:off x="24179" y="13994863"/>
          <a:ext cx="2085975" cy="7247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PRESIDENTE MUNICIPAL</a:t>
          </a:r>
        </a:p>
        <a:p>
          <a:pPr algn="ctr"/>
          <a:endParaRPr lang="es-MX" sz="800">
            <a:latin typeface="Arial" pitchFamily="34" charset="0"/>
            <a:cs typeface="Arial" pitchFamily="34" charset="0"/>
          </a:endParaRPr>
        </a:p>
        <a:p>
          <a:pPr algn="ctr"/>
          <a:r>
            <a:rPr lang="es-MX" sz="800"/>
            <a:t>_____________________________________</a:t>
          </a:r>
        </a:p>
        <a:p>
          <a:pPr marL="0" indent="0" algn="ctr"/>
          <a:r>
            <a:rPr lang="es-MX" sz="800">
              <a:solidFill>
                <a:schemeClr val="dk1"/>
              </a:solidFill>
              <a:latin typeface="Arial" pitchFamily="34" charset="0"/>
              <a:ea typeface="+mn-ea"/>
              <a:cs typeface="Arial" pitchFamily="34" charset="0"/>
            </a:rPr>
            <a:t>DR. XICOTÉNCATL GONZÁLEZ URESTI</a:t>
          </a:r>
        </a:p>
      </xdr:txBody>
    </xdr:sp>
    <xdr:clientData/>
  </xdr:twoCellAnchor>
  <xdr:twoCellAnchor>
    <xdr:from>
      <xdr:col>0</xdr:col>
      <xdr:colOff>2279406</xdr:colOff>
      <xdr:row>69</xdr:row>
      <xdr:rowOff>71071</xdr:rowOff>
    </xdr:from>
    <xdr:to>
      <xdr:col>1</xdr:col>
      <xdr:colOff>917331</xdr:colOff>
      <xdr:row>74</xdr:row>
      <xdr:rowOff>6778</xdr:rowOff>
    </xdr:to>
    <xdr:sp macro="" textlink="">
      <xdr:nvSpPr>
        <xdr:cNvPr id="13" name="16 CuadroTexto"/>
        <xdr:cNvSpPr txBox="1"/>
      </xdr:nvSpPr>
      <xdr:spPr>
        <a:xfrm>
          <a:off x="2279406" y="13999552"/>
          <a:ext cx="2286733" cy="7416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TESORERO MUNICIPAL</a:t>
          </a:r>
        </a:p>
        <a:p>
          <a:pPr algn="ctr"/>
          <a:endParaRPr lang="es-MX" sz="800">
            <a:latin typeface="Arial" pitchFamily="34" charset="0"/>
            <a:cs typeface="Arial" pitchFamily="34" charset="0"/>
          </a:endParaRPr>
        </a:p>
        <a:p>
          <a:pPr algn="ctr"/>
          <a:r>
            <a:rPr lang="es-MX" sz="800"/>
            <a:t>_________________________________________</a:t>
          </a:r>
        </a:p>
        <a:p>
          <a:pPr marL="0" indent="0" algn="ctr"/>
          <a:r>
            <a:rPr lang="es-MX" sz="800">
              <a:solidFill>
                <a:schemeClr val="dk1"/>
              </a:solidFill>
              <a:latin typeface="Arial" pitchFamily="34" charset="0"/>
              <a:ea typeface="+mn-ea"/>
              <a:cs typeface="Arial" pitchFamily="34" charset="0"/>
            </a:rPr>
            <a:t>L.A.P. JOSÉ ALFREDO PEÑA RODRÍGUEZ</a:t>
          </a:r>
        </a:p>
      </xdr:txBody>
    </xdr:sp>
    <xdr:clientData/>
  </xdr:twoCellAnchor>
  <xdr:twoCellAnchor>
    <xdr:from>
      <xdr:col>1</xdr:col>
      <xdr:colOff>971853</xdr:colOff>
      <xdr:row>69</xdr:row>
      <xdr:rowOff>69056</xdr:rowOff>
    </xdr:from>
    <xdr:to>
      <xdr:col>3</xdr:col>
      <xdr:colOff>914401</xdr:colOff>
      <xdr:row>74</xdr:row>
      <xdr:rowOff>16672</xdr:rowOff>
    </xdr:to>
    <xdr:sp macro="" textlink="">
      <xdr:nvSpPr>
        <xdr:cNvPr id="14" name="17 CuadroTexto"/>
        <xdr:cNvSpPr txBox="1"/>
      </xdr:nvSpPr>
      <xdr:spPr>
        <a:xfrm>
          <a:off x="4619928" y="14004131"/>
          <a:ext cx="2171398" cy="7572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SINDICO</a:t>
          </a:r>
          <a:r>
            <a:rPr lang="es-MX" sz="800" baseline="0">
              <a:latin typeface="Arial" pitchFamily="34" charset="0"/>
              <a:cs typeface="Arial" pitchFamily="34" charset="0"/>
            </a:rPr>
            <a:t> MUNICIPAL</a:t>
          </a:r>
        </a:p>
        <a:p>
          <a:pPr algn="ctr"/>
          <a:endParaRPr lang="es-MX" sz="800" baseline="0">
            <a:latin typeface="Arial" pitchFamily="34" charset="0"/>
            <a:cs typeface="Arial" pitchFamily="34" charset="0"/>
          </a:endParaRPr>
        </a:p>
        <a:p>
          <a:pPr algn="ctr"/>
          <a:r>
            <a:rPr lang="es-MX" sz="800">
              <a:latin typeface="Arial" pitchFamily="34" charset="0"/>
              <a:cs typeface="Arial" pitchFamily="34" charset="0"/>
            </a:rPr>
            <a:t>__________________________________</a:t>
          </a:r>
        </a:p>
        <a:p>
          <a:pPr marL="0" indent="0" algn="ctr"/>
          <a:r>
            <a:rPr lang="es-MX" sz="800">
              <a:solidFill>
                <a:schemeClr val="dk1"/>
              </a:solidFill>
              <a:latin typeface="Arial" pitchFamily="34" charset="0"/>
              <a:ea typeface="+mn-ea"/>
              <a:cs typeface="Arial" pitchFamily="34" charset="0"/>
            </a:rPr>
            <a:t>LIC. FRIDA PATRICIA ESCOBAR ORTIZ</a:t>
          </a:r>
        </a:p>
      </xdr:txBody>
    </xdr:sp>
    <xdr:clientData/>
  </xdr:twoCellAnchor>
  <xdr:twoCellAnchor>
    <xdr:from>
      <xdr:col>3</xdr:col>
      <xdr:colOff>966418</xdr:colOff>
      <xdr:row>69</xdr:row>
      <xdr:rowOff>67224</xdr:rowOff>
    </xdr:from>
    <xdr:to>
      <xdr:col>5</xdr:col>
      <xdr:colOff>1071192</xdr:colOff>
      <xdr:row>74</xdr:row>
      <xdr:rowOff>74368</xdr:rowOff>
    </xdr:to>
    <xdr:sp macro="" textlink="">
      <xdr:nvSpPr>
        <xdr:cNvPr id="15" name="18 CuadroTexto"/>
        <xdr:cNvSpPr txBox="1"/>
      </xdr:nvSpPr>
      <xdr:spPr>
        <a:xfrm>
          <a:off x="6842610" y="13995705"/>
          <a:ext cx="2332159" cy="8131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800">
              <a:latin typeface="Arial" pitchFamily="34" charset="0"/>
              <a:cs typeface="Arial" pitchFamily="34" charset="0"/>
            </a:rPr>
            <a:t>CONTRALOR</a:t>
          </a:r>
          <a:r>
            <a:rPr lang="es-MX" sz="800" baseline="0">
              <a:latin typeface="Arial" pitchFamily="34" charset="0"/>
              <a:cs typeface="Arial" pitchFamily="34" charset="0"/>
            </a:rPr>
            <a:t> MUNICIPAL</a:t>
          </a:r>
        </a:p>
        <a:p>
          <a:pPr algn="ctr"/>
          <a:endParaRPr lang="es-MX" sz="800">
            <a:latin typeface="Arial" pitchFamily="34" charset="0"/>
            <a:cs typeface="Arial" pitchFamily="34" charset="0"/>
          </a:endParaRPr>
        </a:p>
        <a:p>
          <a:pPr algn="ctr"/>
          <a:r>
            <a:rPr lang="es-MX" sz="800"/>
            <a:t>__________________________________________</a:t>
          </a:r>
        </a:p>
        <a:p>
          <a:pPr algn="ctr"/>
          <a:r>
            <a:rPr lang="es-MX" sz="800">
              <a:latin typeface="Arial" pitchFamily="34" charset="0"/>
              <a:cs typeface="Arial" pitchFamily="34" charset="0"/>
            </a:rPr>
            <a:t>C.P. NORA ROSALVA CEPEDA GUERRERO</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85725</xdr:colOff>
      <xdr:row>83</xdr:row>
      <xdr:rowOff>0</xdr:rowOff>
    </xdr:from>
    <xdr:to>
      <xdr:col>1</xdr:col>
      <xdr:colOff>2051212</xdr:colOff>
      <xdr:row>87</xdr:row>
      <xdr:rowOff>139212</xdr:rowOff>
    </xdr:to>
    <xdr:sp macro="" textlink="">
      <xdr:nvSpPr>
        <xdr:cNvPr id="2" name="9 CuadroTexto"/>
        <xdr:cNvSpPr txBox="1"/>
      </xdr:nvSpPr>
      <xdr:spPr>
        <a:xfrm>
          <a:off x="85725" y="14849475"/>
          <a:ext cx="2422687" cy="786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PRESIDENTE MUNICIPAL</a:t>
          </a:r>
        </a:p>
        <a:p>
          <a:pPr algn="ctr"/>
          <a:endParaRPr lang="es-MX" sz="900">
            <a:latin typeface="+mn-lt"/>
            <a:cs typeface="Arial" pitchFamily="34" charset="0"/>
          </a:endParaRPr>
        </a:p>
        <a:p>
          <a:pPr algn="ctr"/>
          <a:r>
            <a:rPr lang="es-MX" sz="1100">
              <a:latin typeface="+mn-lt"/>
            </a:rPr>
            <a:t>_____________________________</a:t>
          </a:r>
        </a:p>
        <a:p>
          <a:pPr algn="ctr"/>
          <a:r>
            <a:rPr lang="es-MX" sz="900">
              <a:latin typeface="+mn-lt"/>
              <a:cs typeface="Arial" pitchFamily="34" charset="0"/>
            </a:rPr>
            <a:t>DR. XICOTÉNCATL GONZÁLEZ URESTI</a:t>
          </a:r>
        </a:p>
      </xdr:txBody>
    </xdr:sp>
    <xdr:clientData/>
  </xdr:twoCellAnchor>
  <xdr:twoCellAnchor>
    <xdr:from>
      <xdr:col>1</xdr:col>
      <xdr:colOff>2374021</xdr:colOff>
      <xdr:row>83</xdr:row>
      <xdr:rowOff>3678</xdr:rowOff>
    </xdr:from>
    <xdr:to>
      <xdr:col>2</xdr:col>
      <xdr:colOff>231938</xdr:colOff>
      <xdr:row>87</xdr:row>
      <xdr:rowOff>153867</xdr:rowOff>
    </xdr:to>
    <xdr:sp macro="" textlink="">
      <xdr:nvSpPr>
        <xdr:cNvPr id="3" name="10 CuadroTexto"/>
        <xdr:cNvSpPr txBox="1"/>
      </xdr:nvSpPr>
      <xdr:spPr>
        <a:xfrm>
          <a:off x="2831221" y="14853153"/>
          <a:ext cx="2277517" cy="797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TESORERO MUNICIPAL</a:t>
          </a:r>
        </a:p>
        <a:p>
          <a:pPr algn="ctr"/>
          <a:endParaRPr lang="es-MX" sz="900">
            <a:latin typeface="+mn-lt"/>
            <a:cs typeface="Arial" pitchFamily="34" charset="0"/>
          </a:endParaRPr>
        </a:p>
        <a:p>
          <a:pPr algn="ctr"/>
          <a:r>
            <a:rPr lang="es-MX" sz="1100">
              <a:latin typeface="+mn-lt"/>
            </a:rPr>
            <a:t>__________________________</a:t>
          </a:r>
        </a:p>
        <a:p>
          <a:pPr algn="ctr"/>
          <a:r>
            <a:rPr lang="es-MX" sz="900">
              <a:latin typeface="+mn-lt"/>
              <a:cs typeface="Arial" pitchFamily="34" charset="0"/>
            </a:rPr>
            <a:t>LAP. JOSÉ ALFREDO PEÑA RODRÍGUEZ</a:t>
          </a:r>
        </a:p>
      </xdr:txBody>
    </xdr:sp>
    <xdr:clientData/>
  </xdr:twoCellAnchor>
  <xdr:twoCellAnchor>
    <xdr:from>
      <xdr:col>2</xdr:col>
      <xdr:colOff>536089</xdr:colOff>
      <xdr:row>83</xdr:row>
      <xdr:rowOff>28235</xdr:rowOff>
    </xdr:from>
    <xdr:to>
      <xdr:col>5</xdr:col>
      <xdr:colOff>298614</xdr:colOff>
      <xdr:row>87</xdr:row>
      <xdr:rowOff>146539</xdr:rowOff>
    </xdr:to>
    <xdr:sp macro="" textlink="">
      <xdr:nvSpPr>
        <xdr:cNvPr id="4" name="11 CuadroTexto"/>
        <xdr:cNvSpPr txBox="1"/>
      </xdr:nvSpPr>
      <xdr:spPr>
        <a:xfrm>
          <a:off x="5412889" y="14877710"/>
          <a:ext cx="2801000" cy="7660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SINDICO</a:t>
          </a:r>
          <a:r>
            <a:rPr lang="es-MX" sz="900" baseline="0">
              <a:latin typeface="+mn-lt"/>
              <a:cs typeface="Arial" pitchFamily="34" charset="0"/>
            </a:rPr>
            <a:t> MUNICIPAL</a:t>
          </a:r>
        </a:p>
        <a:p>
          <a:pPr algn="ctr"/>
          <a:endParaRPr lang="es-MX" sz="900" baseline="0">
            <a:latin typeface="+mn-lt"/>
            <a:cs typeface="Arial" pitchFamily="34" charset="0"/>
          </a:endParaRPr>
        </a:p>
        <a:p>
          <a:pPr algn="ctr"/>
          <a:r>
            <a:rPr lang="es-MX" sz="900">
              <a:latin typeface="+mn-lt"/>
              <a:cs typeface="Arial" pitchFamily="34" charset="0"/>
            </a:rPr>
            <a:t>_________________________________</a:t>
          </a:r>
        </a:p>
        <a:p>
          <a:pPr algn="ctr"/>
          <a:r>
            <a:rPr lang="es-MX" sz="900">
              <a:latin typeface="+mn-lt"/>
              <a:cs typeface="Arial" pitchFamily="34" charset="0"/>
            </a:rPr>
            <a:t>LIC. FRIDA PATRICIA ESCOBAR ORTIZ</a:t>
          </a:r>
        </a:p>
      </xdr:txBody>
    </xdr:sp>
    <xdr:clientData/>
  </xdr:twoCellAnchor>
  <xdr:twoCellAnchor>
    <xdr:from>
      <xdr:col>5</xdr:col>
      <xdr:colOff>473238</xdr:colOff>
      <xdr:row>83</xdr:row>
      <xdr:rowOff>14905</xdr:rowOff>
    </xdr:from>
    <xdr:to>
      <xdr:col>7</xdr:col>
      <xdr:colOff>751632</xdr:colOff>
      <xdr:row>87</xdr:row>
      <xdr:rowOff>117231</xdr:rowOff>
    </xdr:to>
    <xdr:sp macro="" textlink="">
      <xdr:nvSpPr>
        <xdr:cNvPr id="5" name="12 CuadroTexto"/>
        <xdr:cNvSpPr txBox="1"/>
      </xdr:nvSpPr>
      <xdr:spPr>
        <a:xfrm>
          <a:off x="8388513" y="14864380"/>
          <a:ext cx="2183394" cy="7500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1100">
              <a:latin typeface="+mn-lt"/>
            </a:rPr>
            <a:t>____________________________</a:t>
          </a:r>
        </a:p>
        <a:p>
          <a:pPr algn="ctr"/>
          <a:r>
            <a:rPr lang="es-MX" sz="900">
              <a:latin typeface="+mn-lt"/>
              <a:cs typeface="Arial" pitchFamily="34" charset="0"/>
            </a:rPr>
            <a:t>C.P. NORA ROSALVA CEPEDA GUERRERO</a:t>
          </a:r>
        </a:p>
      </xdr:txBody>
    </xdr:sp>
    <xdr:clientData/>
  </xdr:twoCellAnchor>
  <xdr:twoCellAnchor editAs="oneCell">
    <xdr:from>
      <xdr:col>0</xdr:col>
      <xdr:colOff>104775</xdr:colOff>
      <xdr:row>1</xdr:row>
      <xdr:rowOff>0</xdr:rowOff>
    </xdr:from>
    <xdr:to>
      <xdr:col>1</xdr:col>
      <xdr:colOff>1047750</xdr:colOff>
      <xdr:row>4</xdr:row>
      <xdr:rowOff>148350</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33350"/>
          <a:ext cx="1400175" cy="748425"/>
        </a:xfrm>
        <a:prstGeom prst="rect">
          <a:avLst/>
        </a:prstGeom>
      </xdr:spPr>
    </xdr:pic>
    <xdr:clientData/>
  </xdr:twoCellAnchor>
  <xdr:twoCellAnchor editAs="oneCell">
    <xdr:from>
      <xdr:col>6</xdr:col>
      <xdr:colOff>133350</xdr:colOff>
      <xdr:row>0</xdr:row>
      <xdr:rowOff>114300</xdr:rowOff>
    </xdr:from>
    <xdr:to>
      <xdr:col>7</xdr:col>
      <xdr:colOff>866727</xdr:colOff>
      <xdr:row>5</xdr:row>
      <xdr:rowOff>2547</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39225" y="114300"/>
          <a:ext cx="1647777" cy="82169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85725</xdr:colOff>
      <xdr:row>31</xdr:row>
      <xdr:rowOff>0</xdr:rowOff>
    </xdr:from>
    <xdr:to>
      <xdr:col>1</xdr:col>
      <xdr:colOff>2051212</xdr:colOff>
      <xdr:row>35</xdr:row>
      <xdr:rowOff>139212</xdr:rowOff>
    </xdr:to>
    <xdr:sp macro="" textlink="">
      <xdr:nvSpPr>
        <xdr:cNvPr id="2" name="9 CuadroTexto"/>
        <xdr:cNvSpPr txBox="1"/>
      </xdr:nvSpPr>
      <xdr:spPr>
        <a:xfrm>
          <a:off x="85725" y="14849475"/>
          <a:ext cx="2422687" cy="7869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PRESIDENTE MUNICIPAL</a:t>
          </a:r>
        </a:p>
        <a:p>
          <a:pPr algn="ctr"/>
          <a:endParaRPr lang="es-MX" sz="900">
            <a:latin typeface="+mn-lt"/>
            <a:cs typeface="Arial" pitchFamily="34" charset="0"/>
          </a:endParaRPr>
        </a:p>
        <a:p>
          <a:pPr algn="ctr"/>
          <a:r>
            <a:rPr lang="es-MX" sz="1100">
              <a:latin typeface="+mn-lt"/>
            </a:rPr>
            <a:t>_____________________________</a:t>
          </a:r>
        </a:p>
        <a:p>
          <a:pPr algn="ctr"/>
          <a:r>
            <a:rPr lang="es-MX" sz="900">
              <a:latin typeface="+mn-lt"/>
              <a:cs typeface="Arial" pitchFamily="34" charset="0"/>
            </a:rPr>
            <a:t>DR. XICOTÉNCATL GONZÁLEZ URESTI</a:t>
          </a:r>
        </a:p>
      </xdr:txBody>
    </xdr:sp>
    <xdr:clientData/>
  </xdr:twoCellAnchor>
  <xdr:twoCellAnchor>
    <xdr:from>
      <xdr:col>1</xdr:col>
      <xdr:colOff>2374021</xdr:colOff>
      <xdr:row>31</xdr:row>
      <xdr:rowOff>3678</xdr:rowOff>
    </xdr:from>
    <xdr:to>
      <xdr:col>2</xdr:col>
      <xdr:colOff>231938</xdr:colOff>
      <xdr:row>35</xdr:row>
      <xdr:rowOff>153867</xdr:rowOff>
    </xdr:to>
    <xdr:sp macro="" textlink="">
      <xdr:nvSpPr>
        <xdr:cNvPr id="3" name="10 CuadroTexto"/>
        <xdr:cNvSpPr txBox="1"/>
      </xdr:nvSpPr>
      <xdr:spPr>
        <a:xfrm>
          <a:off x="2831221" y="14853153"/>
          <a:ext cx="2277517" cy="7978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TESORERO MUNICIPAL</a:t>
          </a:r>
        </a:p>
        <a:p>
          <a:pPr algn="ctr"/>
          <a:endParaRPr lang="es-MX" sz="900">
            <a:latin typeface="+mn-lt"/>
            <a:cs typeface="Arial" pitchFamily="34" charset="0"/>
          </a:endParaRPr>
        </a:p>
        <a:p>
          <a:pPr algn="ctr"/>
          <a:r>
            <a:rPr lang="es-MX" sz="1100">
              <a:latin typeface="+mn-lt"/>
            </a:rPr>
            <a:t>__________________________</a:t>
          </a:r>
        </a:p>
        <a:p>
          <a:pPr algn="ctr"/>
          <a:r>
            <a:rPr lang="es-MX" sz="900">
              <a:latin typeface="+mn-lt"/>
              <a:cs typeface="Arial" pitchFamily="34" charset="0"/>
            </a:rPr>
            <a:t>LAP. JOSÉ ALFREDO PEÑA RODRÍGUEZ</a:t>
          </a:r>
        </a:p>
      </xdr:txBody>
    </xdr:sp>
    <xdr:clientData/>
  </xdr:twoCellAnchor>
  <xdr:twoCellAnchor>
    <xdr:from>
      <xdr:col>2</xdr:col>
      <xdr:colOff>536089</xdr:colOff>
      <xdr:row>31</xdr:row>
      <xdr:rowOff>28235</xdr:rowOff>
    </xdr:from>
    <xdr:to>
      <xdr:col>5</xdr:col>
      <xdr:colOff>298614</xdr:colOff>
      <xdr:row>35</xdr:row>
      <xdr:rowOff>146539</xdr:rowOff>
    </xdr:to>
    <xdr:sp macro="" textlink="">
      <xdr:nvSpPr>
        <xdr:cNvPr id="4" name="11 CuadroTexto"/>
        <xdr:cNvSpPr txBox="1"/>
      </xdr:nvSpPr>
      <xdr:spPr>
        <a:xfrm>
          <a:off x="5412889" y="14877710"/>
          <a:ext cx="2801000" cy="76600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SINDICO</a:t>
          </a:r>
          <a:r>
            <a:rPr lang="es-MX" sz="900" baseline="0">
              <a:latin typeface="+mn-lt"/>
              <a:cs typeface="Arial" pitchFamily="34" charset="0"/>
            </a:rPr>
            <a:t> MUNICIPAL</a:t>
          </a:r>
        </a:p>
        <a:p>
          <a:pPr algn="ctr"/>
          <a:endParaRPr lang="es-MX" sz="900" baseline="0">
            <a:latin typeface="+mn-lt"/>
            <a:cs typeface="Arial" pitchFamily="34" charset="0"/>
          </a:endParaRPr>
        </a:p>
        <a:p>
          <a:pPr algn="ctr"/>
          <a:r>
            <a:rPr lang="es-MX" sz="900">
              <a:latin typeface="+mn-lt"/>
              <a:cs typeface="Arial" pitchFamily="34" charset="0"/>
            </a:rPr>
            <a:t>_________________________________</a:t>
          </a:r>
        </a:p>
        <a:p>
          <a:pPr algn="ctr"/>
          <a:r>
            <a:rPr lang="es-MX" sz="900">
              <a:latin typeface="+mn-lt"/>
              <a:cs typeface="Arial" pitchFamily="34" charset="0"/>
            </a:rPr>
            <a:t>LIC. FRIDA PATRICIA ESCOBAR ORTIZ</a:t>
          </a:r>
        </a:p>
      </xdr:txBody>
    </xdr:sp>
    <xdr:clientData/>
  </xdr:twoCellAnchor>
  <xdr:twoCellAnchor>
    <xdr:from>
      <xdr:col>5</xdr:col>
      <xdr:colOff>473238</xdr:colOff>
      <xdr:row>31</xdr:row>
      <xdr:rowOff>14905</xdr:rowOff>
    </xdr:from>
    <xdr:to>
      <xdr:col>7</xdr:col>
      <xdr:colOff>751632</xdr:colOff>
      <xdr:row>35</xdr:row>
      <xdr:rowOff>117231</xdr:rowOff>
    </xdr:to>
    <xdr:sp macro="" textlink="">
      <xdr:nvSpPr>
        <xdr:cNvPr id="5" name="12 CuadroTexto"/>
        <xdr:cNvSpPr txBox="1"/>
      </xdr:nvSpPr>
      <xdr:spPr>
        <a:xfrm>
          <a:off x="8388513" y="14864380"/>
          <a:ext cx="2183394" cy="7500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900">
              <a:latin typeface="+mn-lt"/>
              <a:cs typeface="Arial" pitchFamily="34" charset="0"/>
            </a:rPr>
            <a:t>CONTRALOR</a:t>
          </a:r>
          <a:r>
            <a:rPr lang="es-MX" sz="900" baseline="0">
              <a:latin typeface="+mn-lt"/>
              <a:cs typeface="Arial" pitchFamily="34" charset="0"/>
            </a:rPr>
            <a:t> MUNICIPAL</a:t>
          </a:r>
        </a:p>
        <a:p>
          <a:pPr algn="ctr"/>
          <a:endParaRPr lang="es-MX" sz="900">
            <a:latin typeface="+mn-lt"/>
            <a:cs typeface="Arial" pitchFamily="34" charset="0"/>
          </a:endParaRPr>
        </a:p>
        <a:p>
          <a:pPr algn="ctr"/>
          <a:r>
            <a:rPr lang="es-MX" sz="1100">
              <a:latin typeface="+mn-lt"/>
            </a:rPr>
            <a:t>____________________________</a:t>
          </a:r>
        </a:p>
        <a:p>
          <a:pPr algn="ctr"/>
          <a:r>
            <a:rPr lang="es-MX" sz="900">
              <a:latin typeface="+mn-lt"/>
              <a:cs typeface="Arial" pitchFamily="34" charset="0"/>
            </a:rPr>
            <a:t>C.P. NORA ROSALVA CEPEDA GUERRERO</a:t>
          </a:r>
        </a:p>
      </xdr:txBody>
    </xdr:sp>
    <xdr:clientData/>
  </xdr:twoCellAnchor>
  <xdr:twoCellAnchor editAs="oneCell">
    <xdr:from>
      <xdr:col>0</xdr:col>
      <xdr:colOff>36634</xdr:colOff>
      <xdr:row>0</xdr:row>
      <xdr:rowOff>98181</xdr:rowOff>
    </xdr:from>
    <xdr:to>
      <xdr:col>1</xdr:col>
      <xdr:colOff>1350113</xdr:colOff>
      <xdr:row>5</xdr:row>
      <xdr:rowOff>35462</xdr:rowOff>
    </xdr:to>
    <xdr:pic>
      <xdr:nvPicPr>
        <xdr:cNvPr id="6" name="Imagen 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634" y="98181"/>
          <a:ext cx="1731114" cy="919089"/>
        </a:xfrm>
        <a:prstGeom prst="rect">
          <a:avLst/>
        </a:prstGeom>
      </xdr:spPr>
    </xdr:pic>
    <xdr:clientData/>
  </xdr:twoCellAnchor>
  <xdr:twoCellAnchor editAs="oneCell">
    <xdr:from>
      <xdr:col>6</xdr:col>
      <xdr:colOff>36634</xdr:colOff>
      <xdr:row>0</xdr:row>
      <xdr:rowOff>139213</xdr:rowOff>
    </xdr:from>
    <xdr:to>
      <xdr:col>7</xdr:col>
      <xdr:colOff>877731</xdr:colOff>
      <xdr:row>5</xdr:row>
      <xdr:rowOff>21843</xdr:rowOff>
    </xdr:to>
    <xdr:pic>
      <xdr:nvPicPr>
        <xdr:cNvPr id="7" name="Imagen 6"/>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902211" y="139213"/>
          <a:ext cx="1756962" cy="8644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ESCRITORIOS\2018\TRANSPARENCIA%202018\4%20TRIMESTRE\CLASIFICACIONES%204%20TRIM%202018%20PARA%20SUBI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1"/>
      <sheetName val="9.2"/>
      <sheetName val="9.3"/>
      <sheetName val="9.4"/>
      <sheetName val="9.5"/>
    </sheetNames>
    <sheetDataSet>
      <sheetData sheetId="0">
        <row r="43">
          <cell r="C43">
            <v>41459568.539999999</v>
          </cell>
          <cell r="D43">
            <v>7194651.859999992</v>
          </cell>
          <cell r="F43">
            <v>48654220.400000006</v>
          </cell>
          <cell r="G43">
            <v>48654220.399999999</v>
          </cell>
        </row>
        <row r="48">
          <cell r="C48">
            <v>0</v>
          </cell>
          <cell r="D48">
            <v>654498.27999999991</v>
          </cell>
          <cell r="F48">
            <v>644841.28</v>
          </cell>
          <cell r="G48">
            <v>628516.6</v>
          </cell>
        </row>
        <row r="58">
          <cell r="C58">
            <v>99731787.900000006</v>
          </cell>
          <cell r="D58">
            <v>264914195.34</v>
          </cell>
          <cell r="F58">
            <v>320347883.27000004</v>
          </cell>
          <cell r="G58">
            <v>309571341.31999999</v>
          </cell>
        </row>
        <row r="62">
          <cell r="C62">
            <v>53114849.890000001</v>
          </cell>
          <cell r="D62">
            <v>-53114849.889999993</v>
          </cell>
          <cell r="F62">
            <v>0</v>
          </cell>
          <cell r="G62">
            <v>0</v>
          </cell>
        </row>
        <row r="74">
          <cell r="C74">
            <v>16716932.030000001</v>
          </cell>
          <cell r="D74">
            <v>14139772.120000003</v>
          </cell>
          <cell r="F74">
            <v>30856704.150000002</v>
          </cell>
          <cell r="G74">
            <v>30856704.150000002</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9"/>
  <sheetViews>
    <sheetView view="pageBreakPreview" zoomScale="60" zoomScaleNormal="100" workbookViewId="0"/>
  </sheetViews>
  <sheetFormatPr baseColWidth="10" defaultRowHeight="14.25" x14ac:dyDescent="0.2"/>
  <cols>
    <col min="1" max="1" width="10.140625" style="27" customWidth="1"/>
    <col min="2" max="2" width="51.42578125" style="27" bestFit="1" customWidth="1"/>
    <col min="3" max="3" width="22.85546875" style="27" hidden="1" customWidth="1"/>
    <col min="4" max="4" width="6.7109375" style="27" hidden="1" customWidth="1"/>
    <col min="5" max="16384" width="11.42578125" style="27"/>
  </cols>
  <sheetData>
    <row r="1" spans="1:4" ht="15.75" x14ac:dyDescent="0.25">
      <c r="A1" s="50" t="s">
        <v>11738</v>
      </c>
    </row>
    <row r="2" spans="1:4" ht="15.75" x14ac:dyDescent="0.25">
      <c r="A2" s="1073"/>
      <c r="B2" s="1074"/>
    </row>
    <row r="3" spans="1:4" x14ac:dyDescent="0.2">
      <c r="A3" s="1075" t="s">
        <v>11739</v>
      </c>
      <c r="B3" s="1075" t="s">
        <v>11740</v>
      </c>
    </row>
    <row r="4" spans="1:4" ht="15" x14ac:dyDescent="0.25">
      <c r="C4" s="258" t="s">
        <v>1163</v>
      </c>
      <c r="D4" s="258" t="s">
        <v>1205</v>
      </c>
    </row>
    <row r="5" spans="1:4" ht="15.75" x14ac:dyDescent="0.25">
      <c r="A5" s="28" t="s">
        <v>368</v>
      </c>
      <c r="C5" s="257" t="s">
        <v>1167</v>
      </c>
      <c r="D5" s="257" t="s">
        <v>1167</v>
      </c>
    </row>
    <row r="6" spans="1:4" x14ac:dyDescent="0.2">
      <c r="A6" s="32" t="s">
        <v>205</v>
      </c>
      <c r="B6" s="31" t="s">
        <v>0</v>
      </c>
      <c r="C6" s="257" t="s">
        <v>1167</v>
      </c>
      <c r="D6" s="257" t="s">
        <v>1167</v>
      </c>
    </row>
    <row r="7" spans="1:4" x14ac:dyDescent="0.2">
      <c r="A7" s="32" t="s">
        <v>206</v>
      </c>
      <c r="B7" s="31" t="s">
        <v>104</v>
      </c>
      <c r="C7" s="257" t="s">
        <v>1167</v>
      </c>
      <c r="D7" s="257"/>
    </row>
    <row r="8" spans="1:4" x14ac:dyDescent="0.2">
      <c r="A8" s="32" t="s">
        <v>207</v>
      </c>
      <c r="B8" s="31" t="s">
        <v>186</v>
      </c>
      <c r="C8" s="257" t="s">
        <v>1167</v>
      </c>
      <c r="D8" s="257"/>
    </row>
    <row r="9" spans="1:4" x14ac:dyDescent="0.2">
      <c r="A9" s="32" t="s">
        <v>208</v>
      </c>
      <c r="B9" s="31" t="s">
        <v>209</v>
      </c>
      <c r="C9" s="257" t="s">
        <v>1167</v>
      </c>
      <c r="D9" s="257" t="s">
        <v>1167</v>
      </c>
    </row>
    <row r="10" spans="1:4" x14ac:dyDescent="0.2">
      <c r="A10" s="32" t="s">
        <v>210</v>
      </c>
      <c r="B10" s="31" t="s">
        <v>194</v>
      </c>
      <c r="C10" s="257" t="s">
        <v>1167</v>
      </c>
      <c r="D10" s="257" t="s">
        <v>1167</v>
      </c>
    </row>
    <row r="11" spans="1:4" x14ac:dyDescent="0.2">
      <c r="A11" s="32" t="s">
        <v>211</v>
      </c>
      <c r="B11" s="31" t="s">
        <v>200</v>
      </c>
      <c r="C11" s="257" t="s">
        <v>1164</v>
      </c>
      <c r="D11" s="257"/>
    </row>
    <row r="12" spans="1:4" ht="15" x14ac:dyDescent="0.25">
      <c r="A12" s="29"/>
      <c r="C12" s="257"/>
      <c r="D12" s="257"/>
    </row>
    <row r="13" spans="1:4" ht="15.75" x14ac:dyDescent="0.25">
      <c r="A13" s="28" t="s">
        <v>11741</v>
      </c>
      <c r="C13" s="257"/>
      <c r="D13" s="257"/>
    </row>
    <row r="14" spans="1:4" x14ac:dyDescent="0.2">
      <c r="A14" s="32" t="s">
        <v>369</v>
      </c>
      <c r="B14" s="31" t="s">
        <v>213</v>
      </c>
      <c r="C14" s="257" t="s">
        <v>1167</v>
      </c>
      <c r="D14" s="257" t="s">
        <v>1167</v>
      </c>
    </row>
    <row r="15" spans="1:4" x14ac:dyDescent="0.2">
      <c r="A15" s="32" t="s">
        <v>370</v>
      </c>
      <c r="B15" s="31" t="s">
        <v>239</v>
      </c>
      <c r="C15" s="257" t="s">
        <v>1167</v>
      </c>
      <c r="D15" s="257" t="s">
        <v>1167</v>
      </c>
    </row>
    <row r="16" spans="1:4" x14ac:dyDescent="0.2">
      <c r="A16" s="32" t="s">
        <v>371</v>
      </c>
      <c r="B16" s="31" t="s">
        <v>11742</v>
      </c>
      <c r="C16" s="257" t="s">
        <v>1167</v>
      </c>
      <c r="D16" s="257" t="s">
        <v>1167</v>
      </c>
    </row>
    <row r="17" spans="1:4" x14ac:dyDescent="0.2">
      <c r="A17" s="32" t="s">
        <v>372</v>
      </c>
      <c r="B17" s="31" t="s">
        <v>301</v>
      </c>
      <c r="C17" s="257" t="s">
        <v>1167</v>
      </c>
      <c r="D17" s="257" t="s">
        <v>1167</v>
      </c>
    </row>
    <row r="18" spans="1:4" x14ac:dyDescent="0.2">
      <c r="A18" s="32" t="s">
        <v>373</v>
      </c>
      <c r="B18" s="31" t="s">
        <v>308</v>
      </c>
      <c r="C18" s="257" t="s">
        <v>1165</v>
      </c>
      <c r="D18" s="257" t="s">
        <v>1167</v>
      </c>
    </row>
    <row r="19" spans="1:4" x14ac:dyDescent="0.2">
      <c r="A19" s="32" t="s">
        <v>374</v>
      </c>
      <c r="B19" s="31" t="s">
        <v>309</v>
      </c>
      <c r="C19" s="257" t="s">
        <v>1165</v>
      </c>
      <c r="D19" s="257" t="s">
        <v>1167</v>
      </c>
    </row>
    <row r="20" spans="1:4" ht="15" x14ac:dyDescent="0.25">
      <c r="A20" s="30"/>
      <c r="C20" s="257"/>
      <c r="D20" s="257"/>
    </row>
    <row r="21" spans="1:4" ht="15.75" x14ac:dyDescent="0.25">
      <c r="A21" s="28" t="s">
        <v>375</v>
      </c>
      <c r="C21" s="257"/>
      <c r="D21" s="257"/>
    </row>
    <row r="22" spans="1:4" x14ac:dyDescent="0.2">
      <c r="A22" s="32" t="s">
        <v>379</v>
      </c>
      <c r="B22" s="31" t="s">
        <v>376</v>
      </c>
      <c r="C22" s="257" t="s">
        <v>1167</v>
      </c>
      <c r="D22" s="257"/>
    </row>
    <row r="23" spans="1:4" x14ac:dyDescent="0.2">
      <c r="A23" s="32" t="s">
        <v>380</v>
      </c>
      <c r="B23" s="31" t="s">
        <v>377</v>
      </c>
      <c r="C23" s="257" t="s">
        <v>1167</v>
      </c>
      <c r="D23" s="257"/>
    </row>
    <row r="24" spans="1:4" x14ac:dyDescent="0.2">
      <c r="A24" s="32" t="s">
        <v>381</v>
      </c>
      <c r="B24" s="31" t="s">
        <v>378</v>
      </c>
      <c r="C24" s="257" t="s">
        <v>1167</v>
      </c>
      <c r="D24" s="257"/>
    </row>
    <row r="25" spans="1:4" x14ac:dyDescent="0.2">
      <c r="A25" s="32" t="s">
        <v>557</v>
      </c>
      <c r="B25" s="31" t="s">
        <v>558</v>
      </c>
      <c r="C25" s="257" t="s">
        <v>1166</v>
      </c>
      <c r="D25" s="257"/>
    </row>
    <row r="26" spans="1:4" x14ac:dyDescent="0.2">
      <c r="A26" s="32" t="s">
        <v>11743</v>
      </c>
      <c r="B26" s="31" t="s">
        <v>11744</v>
      </c>
      <c r="C26" s="257" t="s">
        <v>1167</v>
      </c>
      <c r="D26" s="257"/>
    </row>
    <row r="27" spans="1:4" x14ac:dyDescent="0.2">
      <c r="A27" s="32" t="s">
        <v>11745</v>
      </c>
      <c r="B27" s="31" t="s">
        <v>11746</v>
      </c>
    </row>
    <row r="28" spans="1:4" x14ac:dyDescent="0.2">
      <c r="A28" s="32" t="s">
        <v>11747</v>
      </c>
      <c r="B28" s="31" t="s">
        <v>11748</v>
      </c>
    </row>
    <row r="30" spans="1:4" ht="15.75" x14ac:dyDescent="0.25">
      <c r="A30" s="28" t="s">
        <v>212</v>
      </c>
    </row>
    <row r="31" spans="1:4" x14ac:dyDescent="0.2">
      <c r="A31" s="1076" t="s">
        <v>11749</v>
      </c>
      <c r="B31" s="1076" t="s">
        <v>392</v>
      </c>
    </row>
    <row r="32" spans="1:4" x14ac:dyDescent="0.2">
      <c r="A32" s="1077" t="s">
        <v>11750</v>
      </c>
      <c r="B32" s="1077" t="s">
        <v>412</v>
      </c>
    </row>
    <row r="33" spans="1:2" x14ac:dyDescent="0.2">
      <c r="A33" s="1077" t="s">
        <v>11751</v>
      </c>
      <c r="B33" s="1077" t="s">
        <v>413</v>
      </c>
    </row>
    <row r="34" spans="1:2" ht="38.25" x14ac:dyDescent="0.2">
      <c r="A34" s="1078" t="s">
        <v>11752</v>
      </c>
      <c r="B34" s="1079" t="s">
        <v>414</v>
      </c>
    </row>
    <row r="35" spans="1:2" x14ac:dyDescent="0.2">
      <c r="A35" s="1078" t="s">
        <v>11753</v>
      </c>
      <c r="B35" s="1079" t="s">
        <v>2423</v>
      </c>
    </row>
    <row r="36" spans="1:2" x14ac:dyDescent="0.2">
      <c r="A36" s="1077" t="s">
        <v>11754</v>
      </c>
      <c r="B36" s="1077" t="s">
        <v>415</v>
      </c>
    </row>
    <row r="37" spans="1:2" x14ac:dyDescent="0.2">
      <c r="A37" s="1077" t="s">
        <v>11755</v>
      </c>
      <c r="B37" s="1077" t="s">
        <v>34</v>
      </c>
    </row>
    <row r="38" spans="1:2" x14ac:dyDescent="0.2">
      <c r="A38" s="1077" t="s">
        <v>11756</v>
      </c>
      <c r="B38" s="1077" t="s">
        <v>416</v>
      </c>
    </row>
    <row r="39" spans="1:2" x14ac:dyDescent="0.2">
      <c r="A39" s="1077" t="s">
        <v>11757</v>
      </c>
      <c r="B39" s="1077" t="s">
        <v>417</v>
      </c>
    </row>
    <row r="40" spans="1:2" x14ac:dyDescent="0.2">
      <c r="A40" s="1077" t="s">
        <v>11758</v>
      </c>
      <c r="B40" s="1077" t="s">
        <v>393</v>
      </c>
    </row>
    <row r="41" spans="1:2" x14ac:dyDescent="0.2">
      <c r="A41" s="1077" t="s">
        <v>11759</v>
      </c>
      <c r="B41" s="1077" t="s">
        <v>394</v>
      </c>
    </row>
    <row r="42" spans="1:2" x14ac:dyDescent="0.2">
      <c r="A42" s="1077" t="s">
        <v>11760</v>
      </c>
      <c r="B42" s="1077" t="s">
        <v>418</v>
      </c>
    </row>
    <row r="43" spans="1:2" x14ac:dyDescent="0.2">
      <c r="A43" s="1077" t="s">
        <v>11761</v>
      </c>
      <c r="B43" s="1077" t="s">
        <v>419</v>
      </c>
    </row>
    <row r="44" spans="1:2" x14ac:dyDescent="0.2">
      <c r="A44" s="1077" t="s">
        <v>11762</v>
      </c>
      <c r="B44" s="1077" t="s">
        <v>420</v>
      </c>
    </row>
    <row r="45" spans="1:2" x14ac:dyDescent="0.2">
      <c r="A45" s="1076" t="s">
        <v>11763</v>
      </c>
      <c r="B45" s="1076" t="s">
        <v>395</v>
      </c>
    </row>
    <row r="46" spans="1:2" x14ac:dyDescent="0.2">
      <c r="A46" s="1080" t="s">
        <v>11764</v>
      </c>
      <c r="B46" s="1077" t="s">
        <v>421</v>
      </c>
    </row>
    <row r="47" spans="1:2" x14ac:dyDescent="0.2">
      <c r="A47" s="1077" t="s">
        <v>11765</v>
      </c>
      <c r="B47" s="1077" t="s">
        <v>422</v>
      </c>
    </row>
    <row r="48" spans="1:2" x14ac:dyDescent="0.2">
      <c r="A48" s="1077" t="s">
        <v>11766</v>
      </c>
      <c r="B48" s="1077" t="s">
        <v>423</v>
      </c>
    </row>
    <row r="49" spans="1:2" x14ac:dyDescent="0.2">
      <c r="A49" s="1076" t="s">
        <v>11767</v>
      </c>
      <c r="B49" s="1076" t="s">
        <v>396</v>
      </c>
    </row>
    <row r="50" spans="1:2" x14ac:dyDescent="0.2">
      <c r="A50" s="1077" t="s">
        <v>11768</v>
      </c>
      <c r="B50" s="1077" t="s">
        <v>11769</v>
      </c>
    </row>
    <row r="51" spans="1:2" x14ac:dyDescent="0.2">
      <c r="A51" s="1076" t="s">
        <v>11770</v>
      </c>
      <c r="B51" s="1076" t="s">
        <v>397</v>
      </c>
    </row>
    <row r="52" spans="1:2" x14ac:dyDescent="0.2">
      <c r="A52" s="1078" t="s">
        <v>11771</v>
      </c>
      <c r="B52" s="1077" t="s">
        <v>424</v>
      </c>
    </row>
    <row r="53" spans="1:2" x14ac:dyDescent="0.2">
      <c r="A53" s="1078" t="s">
        <v>11772</v>
      </c>
      <c r="B53" s="1077" t="s">
        <v>425</v>
      </c>
    </row>
    <row r="54" spans="1:2" ht="38.25" x14ac:dyDescent="0.2">
      <c r="A54" s="1078" t="s">
        <v>11773</v>
      </c>
      <c r="B54" s="1079" t="s">
        <v>426</v>
      </c>
    </row>
    <row r="55" spans="1:2" ht="38.25" x14ac:dyDescent="0.2">
      <c r="A55" s="1081" t="s">
        <v>11774</v>
      </c>
      <c r="B55" s="1082" t="s">
        <v>433</v>
      </c>
    </row>
    <row r="56" spans="1:2" x14ac:dyDescent="0.2">
      <c r="A56" s="1078" t="s">
        <v>11775</v>
      </c>
      <c r="B56" s="1077" t="s">
        <v>488</v>
      </c>
    </row>
    <row r="57" spans="1:2" x14ac:dyDescent="0.2">
      <c r="A57" s="1078" t="s">
        <v>11776</v>
      </c>
      <c r="B57" s="1077" t="s">
        <v>504</v>
      </c>
    </row>
    <row r="58" spans="1:2" x14ac:dyDescent="0.2">
      <c r="A58" s="1076" t="s">
        <v>11777</v>
      </c>
      <c r="B58" s="1076" t="s">
        <v>2429</v>
      </c>
    </row>
    <row r="59" spans="1:2" x14ac:dyDescent="0.2">
      <c r="A59" s="1077" t="s">
        <v>11778</v>
      </c>
      <c r="B59" s="1077" t="s">
        <v>398</v>
      </c>
    </row>
    <row r="60" spans="1:2" x14ac:dyDescent="0.2">
      <c r="A60" s="1077" t="s">
        <v>11779</v>
      </c>
      <c r="B60" s="1077" t="s">
        <v>399</v>
      </c>
    </row>
    <row r="61" spans="1:2" x14ac:dyDescent="0.2">
      <c r="A61" s="1077" t="s">
        <v>11780</v>
      </c>
      <c r="B61" s="1077" t="s">
        <v>400</v>
      </c>
    </row>
    <row r="62" spans="1:2" x14ac:dyDescent="0.2">
      <c r="A62" s="1077" t="s">
        <v>11781</v>
      </c>
      <c r="B62" s="1077" t="s">
        <v>401</v>
      </c>
    </row>
    <row r="63" spans="1:2" x14ac:dyDescent="0.2">
      <c r="A63" s="1077" t="s">
        <v>11782</v>
      </c>
      <c r="B63" s="1077" t="s">
        <v>402</v>
      </c>
    </row>
    <row r="64" spans="1:2" x14ac:dyDescent="0.2">
      <c r="A64" s="1077" t="s">
        <v>11783</v>
      </c>
      <c r="B64" s="1077" t="s">
        <v>403</v>
      </c>
    </row>
    <row r="65" spans="1:2" x14ac:dyDescent="0.2">
      <c r="A65" s="1077" t="s">
        <v>11784</v>
      </c>
      <c r="B65" s="1077" t="s">
        <v>404</v>
      </c>
    </row>
    <row r="66" spans="1:2" x14ac:dyDescent="0.2">
      <c r="A66" s="1077" t="s">
        <v>11785</v>
      </c>
      <c r="B66" s="1077" t="s">
        <v>434</v>
      </c>
    </row>
    <row r="67" spans="1:2" x14ac:dyDescent="0.2">
      <c r="A67" s="1077" t="s">
        <v>11786</v>
      </c>
      <c r="B67" s="1077" t="s">
        <v>739</v>
      </c>
    </row>
    <row r="68" spans="1:2" x14ac:dyDescent="0.2">
      <c r="A68" s="1077" t="s">
        <v>11787</v>
      </c>
      <c r="B68" s="1077" t="s">
        <v>405</v>
      </c>
    </row>
    <row r="69" spans="1:2" x14ac:dyDescent="0.2">
      <c r="A69" s="1077" t="s">
        <v>11788</v>
      </c>
      <c r="B69" s="1077" t="s">
        <v>406</v>
      </c>
    </row>
    <row r="70" spans="1:2" x14ac:dyDescent="0.2">
      <c r="A70" s="1077" t="s">
        <v>11789</v>
      </c>
      <c r="B70" s="1077" t="s">
        <v>407</v>
      </c>
    </row>
    <row r="71" spans="1:2" x14ac:dyDescent="0.2">
      <c r="A71" s="1077" t="s">
        <v>11790</v>
      </c>
      <c r="B71" s="1077" t="s">
        <v>427</v>
      </c>
    </row>
    <row r="72" spans="1:2" x14ac:dyDescent="0.2">
      <c r="A72" s="1077" t="s">
        <v>11791</v>
      </c>
      <c r="B72" s="1077" t="s">
        <v>408</v>
      </c>
    </row>
    <row r="73" spans="1:2" x14ac:dyDescent="0.2">
      <c r="A73" s="1077" t="s">
        <v>11792</v>
      </c>
      <c r="B73" s="1077" t="s">
        <v>409</v>
      </c>
    </row>
    <row r="74" spans="1:2" x14ac:dyDescent="0.2">
      <c r="A74" s="1077" t="s">
        <v>11793</v>
      </c>
      <c r="B74" s="1077" t="s">
        <v>410</v>
      </c>
    </row>
    <row r="75" spans="1:2" x14ac:dyDescent="0.2">
      <c r="A75" s="1077" t="s">
        <v>11794</v>
      </c>
      <c r="B75" s="1077" t="s">
        <v>411</v>
      </c>
    </row>
    <row r="77" spans="1:2" ht="15.75" x14ac:dyDescent="0.25">
      <c r="A77" s="28" t="s">
        <v>7526</v>
      </c>
      <c r="B77" s="1083"/>
    </row>
    <row r="78" spans="1:2" x14ac:dyDescent="0.2">
      <c r="A78" s="1084">
        <v>1</v>
      </c>
      <c r="B78" s="754" t="s">
        <v>11795</v>
      </c>
    </row>
    <row r="79" spans="1:2" x14ac:dyDescent="0.2">
      <c r="A79" s="1084">
        <v>2</v>
      </c>
      <c r="B79" s="754" t="s">
        <v>11796</v>
      </c>
    </row>
    <row r="80" spans="1:2" x14ac:dyDescent="0.2">
      <c r="A80" s="1084">
        <v>3</v>
      </c>
      <c r="B80" s="754" t="s">
        <v>11797</v>
      </c>
    </row>
    <row r="81" spans="1:2" x14ac:dyDescent="0.2">
      <c r="A81" s="1084">
        <v>4</v>
      </c>
      <c r="B81" s="754" t="s">
        <v>11798</v>
      </c>
    </row>
    <row r="82" spans="1:2" x14ac:dyDescent="0.2">
      <c r="A82" s="1084">
        <v>5</v>
      </c>
      <c r="B82" s="754" t="s">
        <v>11799</v>
      </c>
    </row>
    <row r="83" spans="1:2" x14ac:dyDescent="0.2">
      <c r="A83" s="1084">
        <v>6</v>
      </c>
      <c r="B83" s="754" t="s">
        <v>11800</v>
      </c>
    </row>
    <row r="84" spans="1:2" x14ac:dyDescent="0.2">
      <c r="A84" s="1084" t="s">
        <v>11801</v>
      </c>
      <c r="B84" s="754" t="s">
        <v>11802</v>
      </c>
    </row>
    <row r="85" spans="1:2" x14ac:dyDescent="0.2">
      <c r="A85" s="1084" t="s">
        <v>11803</v>
      </c>
      <c r="B85" s="754" t="s">
        <v>11804</v>
      </c>
    </row>
    <row r="86" spans="1:2" x14ac:dyDescent="0.2">
      <c r="A86" s="1084" t="s">
        <v>11805</v>
      </c>
      <c r="B86" s="754" t="s">
        <v>11806</v>
      </c>
    </row>
    <row r="87" spans="1:2" x14ac:dyDescent="0.2">
      <c r="A87" s="1084" t="s">
        <v>11807</v>
      </c>
      <c r="B87" s="754" t="s">
        <v>11808</v>
      </c>
    </row>
    <row r="88" spans="1:2" x14ac:dyDescent="0.2">
      <c r="A88" s="1084">
        <v>8</v>
      </c>
      <c r="B88" s="754" t="s">
        <v>11809</v>
      </c>
    </row>
    <row r="89" spans="1:2" x14ac:dyDescent="0.2">
      <c r="A89" s="1085"/>
      <c r="B89" s="1085"/>
    </row>
  </sheetData>
  <pageMargins left="0.7" right="0.7" top="0.75" bottom="0.75" header="0.3" footer="0.3"/>
  <pageSetup scale="94" orientation="portrait"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06"/>
  <sheetViews>
    <sheetView view="pageBreakPreview" zoomScale="60" zoomScaleNormal="100" workbookViewId="0"/>
  </sheetViews>
  <sheetFormatPr baseColWidth="10" defaultColWidth="11.42578125" defaultRowHeight="12.75" x14ac:dyDescent="0.2"/>
  <cols>
    <col min="1" max="1" width="6.28515625" style="537" bestFit="1" customWidth="1"/>
    <col min="2" max="2" width="66.28515625" style="537" bestFit="1" customWidth="1"/>
    <col min="3" max="3" width="13.7109375" style="538" customWidth="1"/>
    <col min="4" max="4" width="15" style="538" customWidth="1"/>
    <col min="5" max="5" width="16.85546875" style="538" customWidth="1"/>
    <col min="6" max="6" width="14.85546875" style="538" customWidth="1"/>
    <col min="7" max="8" width="13.7109375" style="538" customWidth="1"/>
    <col min="9" max="9" width="3.140625" style="307" customWidth="1"/>
    <col min="10" max="16384" width="11.42578125" style="540"/>
  </cols>
  <sheetData>
    <row r="1" spans="1:11" ht="15" customHeight="1" x14ac:dyDescent="0.2">
      <c r="H1" s="539"/>
      <c r="I1" s="615"/>
    </row>
    <row r="2" spans="1:11" ht="15.75" customHeight="1" x14ac:dyDescent="0.25">
      <c r="A2" s="1198" t="s">
        <v>732</v>
      </c>
      <c r="B2" s="1198"/>
      <c r="C2" s="1198"/>
      <c r="D2" s="1198"/>
      <c r="E2" s="1198"/>
      <c r="F2" s="1198"/>
      <c r="G2" s="1198"/>
      <c r="H2" s="1198"/>
      <c r="I2" s="1185">
        <v>9.1999999999999993</v>
      </c>
    </row>
    <row r="3" spans="1:11" ht="15.75" customHeight="1" x14ac:dyDescent="0.25">
      <c r="A3" s="1199" t="s">
        <v>239</v>
      </c>
      <c r="B3" s="1199"/>
      <c r="C3" s="1199"/>
      <c r="D3" s="1199"/>
      <c r="E3" s="1199"/>
      <c r="F3" s="1199"/>
      <c r="G3" s="1199"/>
      <c r="H3" s="1199"/>
      <c r="I3" s="1185"/>
    </row>
    <row r="4" spans="1:11" ht="15.75" customHeight="1" x14ac:dyDescent="0.25">
      <c r="A4" s="1199" t="s">
        <v>301</v>
      </c>
      <c r="B4" s="1199"/>
      <c r="C4" s="1199"/>
      <c r="D4" s="1199"/>
      <c r="E4" s="1199"/>
      <c r="F4" s="1199"/>
      <c r="G4" s="1199"/>
      <c r="H4" s="1199"/>
      <c r="I4" s="1185"/>
    </row>
    <row r="5" spans="1:11" ht="15.75" customHeight="1" x14ac:dyDescent="0.25">
      <c r="A5" s="1199" t="s">
        <v>8659</v>
      </c>
      <c r="B5" s="1199"/>
      <c r="C5" s="1199"/>
      <c r="D5" s="1199"/>
      <c r="E5" s="1199"/>
      <c r="F5" s="1199"/>
      <c r="G5" s="1199"/>
      <c r="H5" s="1199"/>
      <c r="I5" s="1185"/>
    </row>
    <row r="6" spans="1:11" ht="15.75" customHeight="1" x14ac:dyDescent="0.25">
      <c r="A6" s="822"/>
      <c r="B6" s="822"/>
      <c r="C6" s="822"/>
      <c r="D6" s="822"/>
      <c r="E6" s="822"/>
      <c r="F6" s="822"/>
      <c r="G6" s="822"/>
      <c r="H6" s="539"/>
      <c r="I6" s="295"/>
    </row>
    <row r="7" spans="1:11" ht="15.75" customHeight="1" x14ac:dyDescent="0.25">
      <c r="A7" s="822"/>
      <c r="B7" s="822"/>
      <c r="C7" s="822"/>
      <c r="D7" s="822"/>
      <c r="E7" s="822"/>
      <c r="F7" s="822"/>
      <c r="G7" s="822"/>
      <c r="H7" s="822"/>
      <c r="I7" s="291"/>
    </row>
    <row r="8" spans="1:11" ht="15.75" customHeight="1" x14ac:dyDescent="0.25">
      <c r="A8" s="822"/>
      <c r="B8" s="822"/>
      <c r="C8" s="822"/>
      <c r="D8" s="822"/>
      <c r="E8" s="822"/>
      <c r="F8" s="822"/>
      <c r="G8" s="822"/>
      <c r="H8" s="822"/>
      <c r="I8" s="280"/>
    </row>
    <row r="9" spans="1:11" ht="15.75" customHeight="1" x14ac:dyDescent="0.25">
      <c r="A9" s="822"/>
      <c r="B9" s="822"/>
      <c r="C9" s="822"/>
      <c r="D9" s="822"/>
      <c r="E9" s="822"/>
      <c r="F9" s="822"/>
      <c r="G9" s="822"/>
      <c r="H9" s="822"/>
      <c r="I9" s="280"/>
    </row>
    <row r="10" spans="1:11" ht="15.75" customHeight="1" x14ac:dyDescent="0.25">
      <c r="A10" s="822"/>
      <c r="B10" s="822"/>
      <c r="C10" s="822"/>
      <c r="D10" s="822"/>
      <c r="E10" s="822"/>
      <c r="F10" s="822"/>
      <c r="G10" s="822"/>
      <c r="H10" s="822"/>
      <c r="I10" s="280"/>
    </row>
    <row r="11" spans="1:11" ht="13.5" thickBot="1" x14ac:dyDescent="0.25">
      <c r="A11" s="541"/>
      <c r="G11" s="542"/>
      <c r="H11" s="543"/>
      <c r="I11" s="280"/>
    </row>
    <row r="12" spans="1:11" s="544" customFormat="1" x14ac:dyDescent="0.2">
      <c r="A12" s="1200" t="s">
        <v>201</v>
      </c>
      <c r="B12" s="1201"/>
      <c r="C12" s="1206" t="s">
        <v>241</v>
      </c>
      <c r="D12" s="1207"/>
      <c r="E12" s="1207"/>
      <c r="F12" s="1207"/>
      <c r="G12" s="1208"/>
      <c r="H12" s="1209" t="s">
        <v>242</v>
      </c>
      <c r="I12" s="280"/>
    </row>
    <row r="13" spans="1:11" ht="26.25" thickBot="1" x14ac:dyDescent="0.25">
      <c r="A13" s="1202"/>
      <c r="B13" s="1203"/>
      <c r="C13" s="823" t="s">
        <v>243</v>
      </c>
      <c r="D13" s="823" t="s">
        <v>244</v>
      </c>
      <c r="E13" s="823" t="s">
        <v>245</v>
      </c>
      <c r="F13" s="823" t="s">
        <v>220</v>
      </c>
      <c r="G13" s="823" t="s">
        <v>246</v>
      </c>
      <c r="H13" s="1210"/>
      <c r="I13" s="280"/>
    </row>
    <row r="14" spans="1:11" ht="15" customHeight="1" thickBot="1" x14ac:dyDescent="0.25">
      <c r="A14" s="1204"/>
      <c r="B14" s="1205"/>
      <c r="C14" s="545">
        <v>1</v>
      </c>
      <c r="D14" s="545">
        <v>2</v>
      </c>
      <c r="E14" s="545" t="s">
        <v>247</v>
      </c>
      <c r="F14" s="545">
        <v>4</v>
      </c>
      <c r="G14" s="545">
        <v>5</v>
      </c>
      <c r="H14" s="545" t="s">
        <v>248</v>
      </c>
      <c r="I14" s="280"/>
    </row>
    <row r="15" spans="1:11" s="547" customFormat="1" ht="15" customHeight="1" x14ac:dyDescent="0.2">
      <c r="A15" s="208"/>
      <c r="B15" s="209"/>
      <c r="C15" s="546"/>
      <c r="D15" s="546"/>
      <c r="E15" s="546"/>
      <c r="F15" s="546"/>
      <c r="G15" s="546"/>
      <c r="H15" s="546"/>
      <c r="I15" s="280"/>
    </row>
    <row r="16" spans="1:11" s="547" customFormat="1" ht="15" customHeight="1" x14ac:dyDescent="0.2">
      <c r="A16" s="548" t="s">
        <v>302</v>
      </c>
      <c r="B16" s="212" t="s">
        <v>303</v>
      </c>
      <c r="C16" s="549">
        <v>634058176.6400001</v>
      </c>
      <c r="D16" s="549">
        <v>202409529.94999993</v>
      </c>
      <c r="E16" s="549">
        <f>C16+D16</f>
        <v>836467706.59000003</v>
      </c>
      <c r="F16" s="549">
        <v>835524907.70000005</v>
      </c>
      <c r="G16" s="549">
        <v>808661183.88999963</v>
      </c>
      <c r="H16" s="549">
        <f>E16-F16</f>
        <v>942798.88999998569</v>
      </c>
      <c r="I16" s="280"/>
      <c r="K16" s="620"/>
    </row>
    <row r="17" spans="1:11" s="547" customFormat="1" ht="15" customHeight="1" x14ac:dyDescent="0.2">
      <c r="A17" s="211"/>
      <c r="B17" s="212"/>
      <c r="C17" s="549"/>
      <c r="D17" s="549"/>
      <c r="E17" s="549"/>
      <c r="F17" s="549"/>
      <c r="G17" s="549"/>
      <c r="H17" s="549"/>
      <c r="I17" s="280"/>
    </row>
    <row r="18" spans="1:11" s="547" customFormat="1" ht="15" customHeight="1" x14ac:dyDescent="0.2">
      <c r="A18" s="548" t="s">
        <v>304</v>
      </c>
      <c r="B18" s="212" t="s">
        <v>305</v>
      </c>
      <c r="C18" s="549">
        <f>'[1]9.1'!C48+'[1]9.1'!C58+'[1]9.1'!C62</f>
        <v>152846637.79000002</v>
      </c>
      <c r="D18" s="549">
        <f>'[1]9.1'!D48+'[1]9.1'!D58+'[1]9.1'!D62</f>
        <v>212453843.73000002</v>
      </c>
      <c r="E18" s="549">
        <f>C18+D18</f>
        <v>365300481.52000004</v>
      </c>
      <c r="F18" s="549">
        <f>'[1]9.1'!F48+'[1]9.1'!F58+'[1]9.1'!F62</f>
        <v>320992724.55000001</v>
      </c>
      <c r="G18" s="549">
        <f>'[1]9.1'!G48+'[1]9.1'!G58+'[1]9.1'!G62</f>
        <v>310199857.92000002</v>
      </c>
      <c r="H18" s="549">
        <f>E18-F18</f>
        <v>44307756.970000029</v>
      </c>
      <c r="I18" s="280"/>
      <c r="K18" s="620"/>
    </row>
    <row r="19" spans="1:11" s="547" customFormat="1" ht="15" customHeight="1" x14ac:dyDescent="0.2">
      <c r="A19" s="211"/>
      <c r="B19" s="212"/>
      <c r="C19" s="549"/>
      <c r="D19" s="549"/>
      <c r="E19" s="549"/>
      <c r="F19" s="549"/>
      <c r="G19" s="549"/>
      <c r="H19" s="549"/>
      <c r="I19" s="280"/>
    </row>
    <row r="20" spans="1:11" s="547" customFormat="1" ht="15" customHeight="1" x14ac:dyDescent="0.2">
      <c r="A20" s="548" t="s">
        <v>306</v>
      </c>
      <c r="B20" s="212" t="s">
        <v>307</v>
      </c>
      <c r="C20" s="549">
        <f>'[1]9.1'!C74</f>
        <v>16716932.030000001</v>
      </c>
      <c r="D20" s="549">
        <f>'[1]9.1'!D74</f>
        <v>14139772.120000003</v>
      </c>
      <c r="E20" s="549">
        <f>C20+D20</f>
        <v>30856704.150000006</v>
      </c>
      <c r="F20" s="549">
        <f>'[1]9.1'!F74</f>
        <v>30856704.150000002</v>
      </c>
      <c r="G20" s="549">
        <f>'[1]9.1'!G74</f>
        <v>30856704.150000002</v>
      </c>
      <c r="H20" s="549">
        <f>E20-F20</f>
        <v>0</v>
      </c>
      <c r="I20" s="280"/>
      <c r="K20" s="620"/>
    </row>
    <row r="21" spans="1:11" s="547" customFormat="1" ht="15" customHeight="1" x14ac:dyDescent="0.2">
      <c r="A21" s="211"/>
      <c r="B21" s="212"/>
      <c r="C21" s="549"/>
      <c r="D21" s="549"/>
      <c r="E21" s="549"/>
      <c r="F21" s="549"/>
      <c r="G21" s="549"/>
      <c r="H21" s="549"/>
      <c r="I21" s="280"/>
    </row>
    <row r="22" spans="1:11" s="547" customFormat="1" ht="15" customHeight="1" x14ac:dyDescent="0.2">
      <c r="A22" s="548" t="s">
        <v>2442</v>
      </c>
      <c r="B22" s="212" t="s">
        <v>149</v>
      </c>
      <c r="C22" s="549">
        <f>'[1]9.1'!C43</f>
        <v>41459568.539999999</v>
      </c>
      <c r="D22" s="549">
        <f>'[1]9.1'!D43</f>
        <v>7194651.859999992</v>
      </c>
      <c r="E22" s="549">
        <f>C22+D22</f>
        <v>48654220.399999991</v>
      </c>
      <c r="F22" s="549">
        <f>'[1]9.1'!F43</f>
        <v>48654220.400000006</v>
      </c>
      <c r="G22" s="549">
        <f>'[1]9.1'!G43</f>
        <v>48654220.399999999</v>
      </c>
      <c r="H22" s="549">
        <f>E22-F22</f>
        <v>0</v>
      </c>
      <c r="I22" s="280"/>
      <c r="K22" s="620"/>
    </row>
    <row r="23" spans="1:11" s="547" customFormat="1" ht="15" customHeight="1" x14ac:dyDescent="0.2">
      <c r="A23" s="211"/>
      <c r="B23" s="212"/>
      <c r="C23" s="549"/>
      <c r="D23" s="549"/>
      <c r="E23" s="549"/>
      <c r="F23" s="549"/>
      <c r="G23" s="549"/>
      <c r="H23" s="549"/>
      <c r="I23" s="280"/>
    </row>
    <row r="24" spans="1:11" s="547" customFormat="1" ht="15" customHeight="1" x14ac:dyDescent="0.2">
      <c r="A24" s="211"/>
      <c r="B24" s="212"/>
      <c r="C24" s="546"/>
      <c r="D24" s="546"/>
      <c r="E24" s="546"/>
      <c r="F24" s="546"/>
      <c r="G24" s="546"/>
      <c r="H24" s="546"/>
      <c r="I24" s="280"/>
    </row>
    <row r="25" spans="1:11" s="547" customFormat="1" ht="15" customHeight="1" x14ac:dyDescent="0.2">
      <c r="A25" s="1183" t="s">
        <v>300</v>
      </c>
      <c r="B25" s="1183"/>
      <c r="C25" s="550">
        <f t="shared" ref="C25:H25" si="0">SUM(C16:C22)</f>
        <v>845081315</v>
      </c>
      <c r="D25" s="550">
        <f t="shared" si="0"/>
        <v>436197797.65999997</v>
      </c>
      <c r="E25" s="550">
        <f t="shared" si="0"/>
        <v>1281279112.6600003</v>
      </c>
      <c r="F25" s="550">
        <f t="shared" si="0"/>
        <v>1236028556.8000002</v>
      </c>
      <c r="G25" s="550">
        <f t="shared" si="0"/>
        <v>1198371966.3599999</v>
      </c>
      <c r="H25" s="550">
        <f t="shared" si="0"/>
        <v>45250555.860000014</v>
      </c>
      <c r="I25" s="280"/>
    </row>
    <row r="26" spans="1:11" x14ac:dyDescent="0.2">
      <c r="I26" s="291"/>
    </row>
    <row r="27" spans="1:11" x14ac:dyDescent="0.2">
      <c r="I27" s="280"/>
    </row>
    <row r="28" spans="1:11" x14ac:dyDescent="0.2">
      <c r="I28" s="280"/>
    </row>
    <row r="29" spans="1:11" x14ac:dyDescent="0.2">
      <c r="I29" s="280"/>
    </row>
    <row r="30" spans="1:11" x14ac:dyDescent="0.2">
      <c r="I30" s="287"/>
    </row>
    <row r="31" spans="1:11" s="19" customFormat="1" ht="8.25" customHeight="1" x14ac:dyDescent="0.2">
      <c r="A31" s="21"/>
      <c r="B31" s="21"/>
      <c r="C31" s="22"/>
      <c r="D31" s="855"/>
      <c r="E31" s="22"/>
      <c r="F31" s="22"/>
      <c r="G31" s="22"/>
      <c r="H31" s="22"/>
      <c r="I31" s="291"/>
    </row>
    <row r="32" spans="1:11" s="19" customFormat="1" x14ac:dyDescent="0.2">
      <c r="A32" s="21"/>
      <c r="B32" s="21"/>
      <c r="C32" s="22"/>
      <c r="D32" s="22"/>
      <c r="E32" s="22"/>
      <c r="F32" s="22"/>
      <c r="G32" s="22"/>
      <c r="H32" s="22"/>
      <c r="I32" s="287"/>
    </row>
    <row r="33" spans="1:9" s="19" customFormat="1" x14ac:dyDescent="0.2">
      <c r="A33" s="21"/>
      <c r="B33" s="21"/>
      <c r="C33" s="22"/>
      <c r="D33" s="22"/>
      <c r="E33" s="22"/>
      <c r="F33" s="22"/>
      <c r="G33" s="22"/>
      <c r="H33" s="22"/>
      <c r="I33" s="280"/>
    </row>
    <row r="34" spans="1:9" s="19" customFormat="1" x14ac:dyDescent="0.2">
      <c r="A34" s="21"/>
      <c r="B34" s="21"/>
      <c r="C34" s="22"/>
      <c r="D34" s="22"/>
      <c r="E34" s="22"/>
      <c r="F34" s="22"/>
      <c r="G34" s="22"/>
      <c r="H34" s="22"/>
      <c r="I34" s="280"/>
    </row>
    <row r="35" spans="1:9" s="19" customFormat="1" x14ac:dyDescent="0.2">
      <c r="A35" s="21"/>
      <c r="B35" s="21"/>
      <c r="C35" s="22"/>
      <c r="D35" s="22"/>
      <c r="E35" s="22"/>
      <c r="F35" s="22"/>
      <c r="G35" s="22"/>
      <c r="H35" s="22"/>
      <c r="I35" s="287"/>
    </row>
    <row r="36" spans="1:9" s="19" customFormat="1" ht="14.25" customHeight="1" x14ac:dyDescent="0.2">
      <c r="A36" s="21"/>
      <c r="B36" s="21"/>
      <c r="C36" s="22"/>
      <c r="D36" s="22"/>
      <c r="E36" s="22"/>
      <c r="F36" s="22"/>
      <c r="G36" s="22"/>
      <c r="H36" s="22"/>
      <c r="I36" s="307"/>
    </row>
    <row r="37" spans="1:9" x14ac:dyDescent="0.2">
      <c r="I37" s="287"/>
    </row>
    <row r="38" spans="1:9" x14ac:dyDescent="0.2">
      <c r="I38" s="287"/>
    </row>
    <row r="39" spans="1:9" x14ac:dyDescent="0.2">
      <c r="I39" s="287"/>
    </row>
    <row r="40" spans="1:9" x14ac:dyDescent="0.2">
      <c r="I40" s="287"/>
    </row>
    <row r="41" spans="1:9" x14ac:dyDescent="0.2">
      <c r="I41" s="287"/>
    </row>
    <row r="42" spans="1:9" x14ac:dyDescent="0.2">
      <c r="I42" s="287"/>
    </row>
    <row r="43" spans="1:9" x14ac:dyDescent="0.2">
      <c r="I43" s="287"/>
    </row>
    <row r="44" spans="1:9" x14ac:dyDescent="0.2">
      <c r="I44" s="287"/>
    </row>
    <row r="45" spans="1:9" x14ac:dyDescent="0.2">
      <c r="I45" s="287"/>
    </row>
    <row r="46" spans="1:9" x14ac:dyDescent="0.2">
      <c r="I46" s="280"/>
    </row>
    <row r="47" spans="1:9" x14ac:dyDescent="0.2">
      <c r="I47" s="280"/>
    </row>
    <row r="48" spans="1:9" x14ac:dyDescent="0.2">
      <c r="I48" s="287"/>
    </row>
    <row r="49" spans="9:9" x14ac:dyDescent="0.2">
      <c r="I49" s="287"/>
    </row>
    <row r="50" spans="9:9" x14ac:dyDescent="0.2">
      <c r="I50" s="291"/>
    </row>
    <row r="51" spans="9:9" x14ac:dyDescent="0.2">
      <c r="I51" s="291"/>
    </row>
    <row r="52" spans="9:9" x14ac:dyDescent="0.2">
      <c r="I52" s="291"/>
    </row>
    <row r="53" spans="9:9" x14ac:dyDescent="0.2">
      <c r="I53" s="287"/>
    </row>
    <row r="54" spans="9:9" x14ac:dyDescent="0.2">
      <c r="I54" s="280"/>
    </row>
    <row r="55" spans="9:9" x14ac:dyDescent="0.2">
      <c r="I55" s="280"/>
    </row>
    <row r="56" spans="9:9" x14ac:dyDescent="0.2">
      <c r="I56" s="287"/>
    </row>
    <row r="58" spans="9:9" x14ac:dyDescent="0.2">
      <c r="I58" s="280"/>
    </row>
    <row r="59" spans="9:9" x14ac:dyDescent="0.2">
      <c r="I59" s="306"/>
    </row>
    <row r="60" spans="9:9" x14ac:dyDescent="0.2">
      <c r="I60" s="291"/>
    </row>
    <row r="61" spans="9:9" x14ac:dyDescent="0.2">
      <c r="I61" s="280"/>
    </row>
    <row r="62" spans="9:9" x14ac:dyDescent="0.2">
      <c r="I62" s="280"/>
    </row>
    <row r="63" spans="9:9" x14ac:dyDescent="0.2">
      <c r="I63" s="280"/>
    </row>
    <row r="64" spans="9:9" x14ac:dyDescent="0.2">
      <c r="I64" s="280"/>
    </row>
    <row r="65" spans="9:9" x14ac:dyDescent="0.2">
      <c r="I65" s="280"/>
    </row>
    <row r="66" spans="9:9" x14ac:dyDescent="0.2">
      <c r="I66" s="280"/>
    </row>
    <row r="67" spans="9:9" x14ac:dyDescent="0.2">
      <c r="I67" s="312"/>
    </row>
    <row r="68" spans="9:9" x14ac:dyDescent="0.2">
      <c r="I68" s="312"/>
    </row>
    <row r="69" spans="9:9" x14ac:dyDescent="0.2">
      <c r="I69" s="818"/>
    </row>
    <row r="70" spans="9:9" x14ac:dyDescent="0.2">
      <c r="I70" s="818"/>
    </row>
    <row r="80" spans="9:9" x14ac:dyDescent="0.2">
      <c r="I80" s="306"/>
    </row>
    <row r="81" spans="9:9" x14ac:dyDescent="0.2">
      <c r="I81" s="306"/>
    </row>
    <row r="82" spans="9:9" x14ac:dyDescent="0.2">
      <c r="I82" s="306"/>
    </row>
    <row r="92" spans="9:9" x14ac:dyDescent="0.2">
      <c r="I92" s="306"/>
    </row>
    <row r="102" spans="9:9" x14ac:dyDescent="0.2">
      <c r="I102" s="306"/>
    </row>
    <row r="103" spans="9:9" x14ac:dyDescent="0.2">
      <c r="I103" s="306"/>
    </row>
    <row r="104" spans="9:9" x14ac:dyDescent="0.2">
      <c r="I104" s="306"/>
    </row>
    <row r="106" spans="9:9" x14ac:dyDescent="0.2">
      <c r="I106" s="306"/>
    </row>
  </sheetData>
  <mergeCells count="9">
    <mergeCell ref="A25:B25"/>
    <mergeCell ref="A2:H2"/>
    <mergeCell ref="I2:I5"/>
    <mergeCell ref="A3:H3"/>
    <mergeCell ref="A4:H4"/>
    <mergeCell ref="A5:H5"/>
    <mergeCell ref="A12:B14"/>
    <mergeCell ref="C12:G12"/>
    <mergeCell ref="H12:H13"/>
  </mergeCells>
  <printOptions horizontalCentered="1"/>
  <pageMargins left="0.15748031496062992" right="0.15748031496062992" top="0.27559055118110237" bottom="0.51181102362204722" header="0.31496062992125984" footer="0.31496062992125984"/>
  <pageSetup scale="83" fitToHeight="0" orientation="landscape" r:id="rId1"/>
  <headerFooter>
    <oddFooter>&amp;C“Bajo protesta de decir verdad declaramos que los Estados Financieros y sus notas, son razonablemente correctos y son responsabilidad del emisor”</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31"/>
  <sheetViews>
    <sheetView view="pageBreakPreview" zoomScale="60" zoomScaleNormal="100" workbookViewId="0"/>
  </sheetViews>
  <sheetFormatPr baseColWidth="10" defaultColWidth="11.42578125" defaultRowHeight="12.75" x14ac:dyDescent="0.2"/>
  <cols>
    <col min="1" max="1" width="8.140625" style="537" customWidth="1"/>
    <col min="2" max="2" width="66.28515625" style="537" bestFit="1" customWidth="1"/>
    <col min="3" max="3" width="12.85546875" style="538" bestFit="1" customWidth="1"/>
    <col min="4" max="4" width="13.140625" style="538" bestFit="1" customWidth="1"/>
    <col min="5" max="5" width="13.85546875" style="538" bestFit="1" customWidth="1"/>
    <col min="6" max="6" width="14.140625" style="538" bestFit="1" customWidth="1"/>
    <col min="7" max="7" width="13.85546875" style="538" bestFit="1" customWidth="1"/>
    <col min="8" max="8" width="12.85546875" style="538" bestFit="1" customWidth="1"/>
    <col min="9" max="9" width="3.5703125" style="307" bestFit="1" customWidth="1"/>
    <col min="10" max="16384" width="11.42578125" style="540"/>
  </cols>
  <sheetData>
    <row r="1" spans="1:9" ht="14.25" customHeight="1" x14ac:dyDescent="0.2">
      <c r="H1" s="539"/>
      <c r="I1" s="615"/>
    </row>
    <row r="2" spans="1:9" ht="15.75" customHeight="1" x14ac:dyDescent="0.25">
      <c r="A2" s="1198" t="s">
        <v>782</v>
      </c>
      <c r="B2" s="1198"/>
      <c r="C2" s="1198"/>
      <c r="D2" s="1198"/>
      <c r="E2" s="1198"/>
      <c r="F2" s="1198"/>
      <c r="G2" s="1198"/>
      <c r="H2" s="1198"/>
      <c r="I2" s="1185">
        <v>9.3000000000000007</v>
      </c>
    </row>
    <row r="3" spans="1:9" ht="15.75" customHeight="1" x14ac:dyDescent="0.25">
      <c r="A3" s="1199" t="s">
        <v>239</v>
      </c>
      <c r="B3" s="1199"/>
      <c r="C3" s="1199"/>
      <c r="D3" s="1199"/>
      <c r="E3" s="1199"/>
      <c r="F3" s="1199"/>
      <c r="G3" s="1199"/>
      <c r="H3" s="1199"/>
      <c r="I3" s="1185"/>
    </row>
    <row r="4" spans="1:9" ht="15.75" customHeight="1" x14ac:dyDescent="0.25">
      <c r="A4" s="1199" t="s">
        <v>308</v>
      </c>
      <c r="B4" s="1199"/>
      <c r="C4" s="1199"/>
      <c r="D4" s="1199"/>
      <c r="E4" s="1199"/>
      <c r="F4" s="1199"/>
      <c r="G4" s="1199"/>
      <c r="H4" s="1199"/>
      <c r="I4" s="1185"/>
    </row>
    <row r="5" spans="1:9" ht="15.75" customHeight="1" x14ac:dyDescent="0.25">
      <c r="A5" s="1199" t="s">
        <v>8659</v>
      </c>
      <c r="B5" s="1199"/>
      <c r="C5" s="1199"/>
      <c r="D5" s="1199"/>
      <c r="E5" s="1199"/>
      <c r="F5" s="1199"/>
      <c r="G5" s="1199"/>
      <c r="H5" s="1199"/>
      <c r="I5" s="1185"/>
    </row>
    <row r="6" spans="1:9" ht="13.5" thickBot="1" x14ac:dyDescent="0.25">
      <c r="A6" s="541"/>
      <c r="G6" s="542"/>
      <c r="H6" s="539"/>
      <c r="I6" s="295"/>
    </row>
    <row r="7" spans="1:9" s="544" customFormat="1" x14ac:dyDescent="0.2">
      <c r="A7" s="1200" t="s">
        <v>201</v>
      </c>
      <c r="B7" s="1201"/>
      <c r="C7" s="1206" t="s">
        <v>241</v>
      </c>
      <c r="D7" s="1207"/>
      <c r="E7" s="1207"/>
      <c r="F7" s="1207"/>
      <c r="G7" s="1208"/>
      <c r="H7" s="1209" t="s">
        <v>242</v>
      </c>
      <c r="I7" s="291"/>
    </row>
    <row r="8" spans="1:9" ht="26.25" thickBot="1" x14ac:dyDescent="0.25">
      <c r="A8" s="1202"/>
      <c r="B8" s="1203"/>
      <c r="C8" s="823" t="s">
        <v>243</v>
      </c>
      <c r="D8" s="823" t="s">
        <v>244</v>
      </c>
      <c r="E8" s="823" t="s">
        <v>245</v>
      </c>
      <c r="F8" s="823" t="s">
        <v>220</v>
      </c>
      <c r="G8" s="823" t="s">
        <v>246</v>
      </c>
      <c r="H8" s="1210"/>
      <c r="I8" s="280"/>
    </row>
    <row r="9" spans="1:9" ht="15" customHeight="1" thickBot="1" x14ac:dyDescent="0.25">
      <c r="A9" s="1204"/>
      <c r="B9" s="1205"/>
      <c r="C9" s="545">
        <v>1</v>
      </c>
      <c r="D9" s="545">
        <v>2</v>
      </c>
      <c r="E9" s="545" t="s">
        <v>247</v>
      </c>
      <c r="F9" s="545">
        <v>4</v>
      </c>
      <c r="G9" s="545">
        <v>5</v>
      </c>
      <c r="H9" s="545" t="s">
        <v>248</v>
      </c>
      <c r="I9" s="280"/>
    </row>
    <row r="10" spans="1:9" s="547" customFormat="1" ht="11.25" customHeight="1" x14ac:dyDescent="0.2">
      <c r="A10" s="208"/>
      <c r="B10" s="209"/>
      <c r="C10" s="546"/>
      <c r="D10" s="546"/>
      <c r="E10" s="546"/>
      <c r="F10" s="546"/>
      <c r="G10" s="546"/>
      <c r="H10" s="546"/>
      <c r="I10" s="280"/>
    </row>
    <row r="11" spans="1:9" s="547" customFormat="1" ht="15" customHeight="1" x14ac:dyDescent="0.2">
      <c r="A11" s="551">
        <v>150000</v>
      </c>
      <c r="B11" s="619" t="s">
        <v>1201</v>
      </c>
      <c r="C11" s="534">
        <v>15847018.73</v>
      </c>
      <c r="D11" s="213">
        <v>4011642.08</v>
      </c>
      <c r="E11" s="213">
        <f t="shared" ref="E11:E36" si="0">C11+D11</f>
        <v>19858660.810000002</v>
      </c>
      <c r="F11" s="213">
        <v>19858660.800000001</v>
      </c>
      <c r="G11" s="213">
        <v>19762605.800000001</v>
      </c>
      <c r="H11" s="213">
        <f t="shared" ref="H11:H36" si="1">E11-F11</f>
        <v>1.0000001639127731E-2</v>
      </c>
      <c r="I11" s="280"/>
    </row>
    <row r="12" spans="1:9" s="547" customFormat="1" ht="15" customHeight="1" x14ac:dyDescent="0.2">
      <c r="A12" s="551">
        <v>170000</v>
      </c>
      <c r="B12" s="619" t="s">
        <v>8686</v>
      </c>
      <c r="C12" s="534">
        <v>7125864.5</v>
      </c>
      <c r="D12" s="213">
        <v>-3809848.8099999996</v>
      </c>
      <c r="E12" s="213">
        <f t="shared" si="0"/>
        <v>3316015.6900000004</v>
      </c>
      <c r="F12" s="213">
        <v>3316015.68</v>
      </c>
      <c r="G12" s="213">
        <v>3312238.63</v>
      </c>
      <c r="H12" s="213">
        <f t="shared" si="1"/>
        <v>1.0000000242143869E-2</v>
      </c>
      <c r="I12" s="280"/>
    </row>
    <row r="13" spans="1:9" s="547" customFormat="1" ht="15" customHeight="1" x14ac:dyDescent="0.2">
      <c r="A13" s="551">
        <v>180000</v>
      </c>
      <c r="B13" s="619" t="s">
        <v>8685</v>
      </c>
      <c r="C13" s="534">
        <v>17827689.379999999</v>
      </c>
      <c r="D13" s="213">
        <v>3685839.6499999985</v>
      </c>
      <c r="E13" s="213">
        <f t="shared" si="0"/>
        <v>21513529.029999997</v>
      </c>
      <c r="F13" s="213">
        <v>21469019.039999999</v>
      </c>
      <c r="G13" s="213">
        <v>20381976.239999998</v>
      </c>
      <c r="H13" s="213">
        <f t="shared" si="1"/>
        <v>44509.989999998361</v>
      </c>
      <c r="I13" s="280"/>
    </row>
    <row r="14" spans="1:9" s="547" customFormat="1" ht="15" customHeight="1" x14ac:dyDescent="0.2">
      <c r="A14" s="551">
        <v>190000</v>
      </c>
      <c r="B14" s="619" t="s">
        <v>8684</v>
      </c>
      <c r="C14" s="534">
        <v>5332036.58</v>
      </c>
      <c r="D14" s="213">
        <v>4034386.67</v>
      </c>
      <c r="E14" s="213">
        <f t="shared" si="0"/>
        <v>9366423.25</v>
      </c>
      <c r="F14" s="213">
        <v>9342528.5500000007</v>
      </c>
      <c r="G14" s="213">
        <v>9267200.9100000001</v>
      </c>
      <c r="H14" s="534">
        <f t="shared" si="1"/>
        <v>23894.699999999255</v>
      </c>
      <c r="I14" s="280"/>
    </row>
    <row r="15" spans="1:9" s="547" customFormat="1" ht="15" customHeight="1" x14ac:dyDescent="0.2">
      <c r="A15" s="551">
        <v>200000</v>
      </c>
      <c r="B15" s="619" t="s">
        <v>8683</v>
      </c>
      <c r="C15" s="534">
        <v>1466563.03</v>
      </c>
      <c r="D15" s="213">
        <v>2797485.6100000003</v>
      </c>
      <c r="E15" s="213">
        <f t="shared" si="0"/>
        <v>4264048.6400000006</v>
      </c>
      <c r="F15" s="213">
        <v>4264048.63</v>
      </c>
      <c r="G15" s="213">
        <v>4037951.42</v>
      </c>
      <c r="H15" s="534">
        <f t="shared" si="1"/>
        <v>1.0000000707805157E-2</v>
      </c>
      <c r="I15" s="280"/>
    </row>
    <row r="16" spans="1:9" s="547" customFormat="1" ht="15" customHeight="1" x14ac:dyDescent="0.2">
      <c r="A16" s="551">
        <v>210000</v>
      </c>
      <c r="B16" s="619" t="s">
        <v>8682</v>
      </c>
      <c r="C16" s="534">
        <v>3401422.32</v>
      </c>
      <c r="D16" s="213">
        <v>2685414.93</v>
      </c>
      <c r="E16" s="213">
        <f t="shared" si="0"/>
        <v>6086837.25</v>
      </c>
      <c r="F16" s="213">
        <v>6077180.2599999998</v>
      </c>
      <c r="G16" s="213">
        <v>6040468.7999999998</v>
      </c>
      <c r="H16" s="213">
        <f t="shared" si="1"/>
        <v>9656.9900000002235</v>
      </c>
      <c r="I16" s="280"/>
    </row>
    <row r="17" spans="1:9" s="547" customFormat="1" ht="15" customHeight="1" x14ac:dyDescent="0.2">
      <c r="A17" s="551">
        <v>220000</v>
      </c>
      <c r="B17" s="619" t="s">
        <v>8681</v>
      </c>
      <c r="C17" s="534">
        <v>64313876.289999999</v>
      </c>
      <c r="D17" s="213">
        <v>69987506.169999987</v>
      </c>
      <c r="E17" s="213">
        <f t="shared" si="0"/>
        <v>134301382.45999998</v>
      </c>
      <c r="F17" s="213">
        <f>115983448.64+17665353</f>
        <v>133648801.64</v>
      </c>
      <c r="G17" s="213">
        <f>114732301.49+17665353</f>
        <v>132397654.48999999</v>
      </c>
      <c r="H17" s="213">
        <f t="shared" si="1"/>
        <v>652580.81999997795</v>
      </c>
      <c r="I17" s="280"/>
    </row>
    <row r="18" spans="1:9" s="547" customFormat="1" ht="15" customHeight="1" x14ac:dyDescent="0.2">
      <c r="A18" s="551">
        <v>230000</v>
      </c>
      <c r="B18" s="619" t="s">
        <v>8680</v>
      </c>
      <c r="C18" s="534">
        <v>33262780.510000002</v>
      </c>
      <c r="D18" s="213">
        <v>38554406.670000002</v>
      </c>
      <c r="E18" s="213">
        <f t="shared" si="0"/>
        <v>71817187.180000007</v>
      </c>
      <c r="F18" s="213">
        <v>71776662.439999998</v>
      </c>
      <c r="G18" s="213">
        <v>62751065.960000001</v>
      </c>
      <c r="H18" s="213">
        <f t="shared" si="1"/>
        <v>40524.740000009537</v>
      </c>
      <c r="I18" s="280"/>
    </row>
    <row r="19" spans="1:9" s="547" customFormat="1" ht="15" customHeight="1" x14ac:dyDescent="0.2">
      <c r="A19" s="551">
        <v>240000</v>
      </c>
      <c r="B19" s="619" t="s">
        <v>8679</v>
      </c>
      <c r="C19" s="534">
        <v>40252641.270000003</v>
      </c>
      <c r="D19" s="213">
        <v>9355075.3999999985</v>
      </c>
      <c r="E19" s="213">
        <f t="shared" si="0"/>
        <v>49607716.670000002</v>
      </c>
      <c r="F19" s="213">
        <v>49591764.520000003</v>
      </c>
      <c r="G19" s="213">
        <v>48917816.5</v>
      </c>
      <c r="H19" s="213">
        <f t="shared" si="1"/>
        <v>15952.14999999851</v>
      </c>
      <c r="I19" s="280"/>
    </row>
    <row r="20" spans="1:9" s="547" customFormat="1" ht="15" customHeight="1" x14ac:dyDescent="0.2">
      <c r="A20" s="551">
        <v>250000</v>
      </c>
      <c r="B20" s="619" t="s">
        <v>8678</v>
      </c>
      <c r="C20" s="534">
        <v>3795521.36</v>
      </c>
      <c r="D20" s="213">
        <v>2534771.2900000005</v>
      </c>
      <c r="E20" s="213">
        <f t="shared" si="0"/>
        <v>6330292.6500000004</v>
      </c>
      <c r="F20" s="213">
        <v>6330292.6500000004</v>
      </c>
      <c r="G20" s="213">
        <v>6242360.21</v>
      </c>
      <c r="H20" s="213">
        <f t="shared" si="1"/>
        <v>0</v>
      </c>
      <c r="I20" s="280"/>
    </row>
    <row r="21" spans="1:9" s="547" customFormat="1" ht="15" customHeight="1" x14ac:dyDescent="0.2">
      <c r="A21" s="551">
        <v>270000</v>
      </c>
      <c r="B21" s="619" t="s">
        <v>8677</v>
      </c>
      <c r="C21" s="534">
        <v>154167290.27000001</v>
      </c>
      <c r="D21" s="213">
        <v>241983103.89999986</v>
      </c>
      <c r="E21" s="213">
        <f t="shared" si="0"/>
        <v>396150394.16999984</v>
      </c>
      <c r="F21" s="213">
        <f>350794334.4+1020510</f>
        <v>351814844.39999998</v>
      </c>
      <c r="G21" s="213">
        <f>339497688.12+1020510</f>
        <v>340518198.12</v>
      </c>
      <c r="H21" s="213">
        <f t="shared" si="1"/>
        <v>44335549.769999862</v>
      </c>
      <c r="I21" s="280"/>
    </row>
    <row r="22" spans="1:9" s="547" customFormat="1" ht="15" customHeight="1" x14ac:dyDescent="0.2">
      <c r="A22" s="551">
        <v>280000</v>
      </c>
      <c r="B22" s="619" t="s">
        <v>8676</v>
      </c>
      <c r="C22" s="534">
        <v>16001537.210000001</v>
      </c>
      <c r="D22" s="213">
        <v>262343.97000000067</v>
      </c>
      <c r="E22" s="213">
        <f t="shared" si="0"/>
        <v>16263881.180000002</v>
      </c>
      <c r="F22" s="213">
        <v>16232391.460000001</v>
      </c>
      <c r="G22" s="213">
        <v>16018066.02</v>
      </c>
      <c r="H22" s="213">
        <f t="shared" si="1"/>
        <v>31489.720000000671</v>
      </c>
      <c r="I22" s="280"/>
    </row>
    <row r="23" spans="1:9" s="547" customFormat="1" ht="15" customHeight="1" x14ac:dyDescent="0.2">
      <c r="A23" s="551">
        <v>290000</v>
      </c>
      <c r="B23" s="619" t="s">
        <v>8675</v>
      </c>
      <c r="C23" s="534">
        <v>134665390.22</v>
      </c>
      <c r="D23" s="213">
        <v>5815005.6700000167</v>
      </c>
      <c r="E23" s="213">
        <f t="shared" si="0"/>
        <v>140480395.89000002</v>
      </c>
      <c r="F23" s="213">
        <v>140446855.71000001</v>
      </c>
      <c r="G23" s="213">
        <v>130726973.56</v>
      </c>
      <c r="H23" s="213">
        <f t="shared" si="1"/>
        <v>33540.180000007153</v>
      </c>
      <c r="I23" s="280"/>
    </row>
    <row r="24" spans="1:9" s="547" customFormat="1" ht="15" customHeight="1" x14ac:dyDescent="0.2">
      <c r="A24" s="551">
        <v>300000</v>
      </c>
      <c r="B24" s="619" t="s">
        <v>8674</v>
      </c>
      <c r="C24" s="534">
        <v>110201581.92</v>
      </c>
      <c r="D24" s="213">
        <v>11258691.370000005</v>
      </c>
      <c r="E24" s="213">
        <f t="shared" si="0"/>
        <v>121460273.29000001</v>
      </c>
      <c r="F24" s="213">
        <v>121455972.41</v>
      </c>
      <c r="G24" s="213">
        <v>120611202.38</v>
      </c>
      <c r="H24" s="213">
        <f t="shared" si="1"/>
        <v>4300.8800000101328</v>
      </c>
      <c r="I24" s="280"/>
    </row>
    <row r="25" spans="1:9" s="547" customFormat="1" ht="15" customHeight="1" x14ac:dyDescent="0.2">
      <c r="A25" s="551">
        <v>310000</v>
      </c>
      <c r="B25" s="619" t="s">
        <v>8673</v>
      </c>
      <c r="C25" s="534">
        <v>4983859.5999999996</v>
      </c>
      <c r="D25" s="213">
        <v>628383.52999999933</v>
      </c>
      <c r="E25" s="213">
        <f t="shared" si="0"/>
        <v>5612243.129999999</v>
      </c>
      <c r="F25" s="213">
        <v>5612243.1200000001</v>
      </c>
      <c r="G25" s="213">
        <v>5569662.8700000001</v>
      </c>
      <c r="H25" s="213">
        <f t="shared" si="1"/>
        <v>9.9999988451600075E-3</v>
      </c>
      <c r="I25" s="280"/>
    </row>
    <row r="26" spans="1:9" s="547" customFormat="1" ht="15" customHeight="1" x14ac:dyDescent="0.2">
      <c r="A26" s="551">
        <v>320000</v>
      </c>
      <c r="B26" s="619" t="s">
        <v>1202</v>
      </c>
      <c r="C26" s="534">
        <v>4607500.1100000003</v>
      </c>
      <c r="D26" s="213">
        <v>-873765.73999999976</v>
      </c>
      <c r="E26" s="213">
        <f t="shared" si="0"/>
        <v>3733734.3700000006</v>
      </c>
      <c r="F26" s="213">
        <v>3721509.15</v>
      </c>
      <c r="G26" s="213">
        <v>3710069.15</v>
      </c>
      <c r="H26" s="213">
        <f t="shared" si="1"/>
        <v>12225.220000000671</v>
      </c>
      <c r="I26" s="280"/>
    </row>
    <row r="27" spans="1:9" s="547" customFormat="1" ht="15" customHeight="1" x14ac:dyDescent="0.2">
      <c r="A27" s="551">
        <v>330000</v>
      </c>
      <c r="B27" s="619" t="s">
        <v>8672</v>
      </c>
      <c r="C27" s="534">
        <v>1697897.41</v>
      </c>
      <c r="D27" s="213">
        <v>1496553.33</v>
      </c>
      <c r="E27" s="213">
        <f t="shared" si="0"/>
        <v>3194450.74</v>
      </c>
      <c r="F27" s="213">
        <v>3194450.74</v>
      </c>
      <c r="G27" s="213">
        <v>3162292.73</v>
      </c>
      <c r="H27" s="213">
        <f t="shared" si="1"/>
        <v>0</v>
      </c>
      <c r="I27" s="280"/>
    </row>
    <row r="28" spans="1:9" s="547" customFormat="1" ht="15" customHeight="1" x14ac:dyDescent="0.2">
      <c r="A28" s="551">
        <v>340000</v>
      </c>
      <c r="B28" s="619" t="s">
        <v>8671</v>
      </c>
      <c r="C28" s="534">
        <v>37348453.840000004</v>
      </c>
      <c r="D28" s="213">
        <v>-5067263.4200000018</v>
      </c>
      <c r="E28" s="213">
        <f t="shared" si="0"/>
        <v>32281190.420000002</v>
      </c>
      <c r="F28" s="213">
        <v>32277364.420000002</v>
      </c>
      <c r="G28" s="213">
        <v>31938329.109999999</v>
      </c>
      <c r="H28" s="213">
        <f t="shared" si="1"/>
        <v>3826</v>
      </c>
      <c r="I28" s="280"/>
    </row>
    <row r="29" spans="1:9" s="547" customFormat="1" ht="15" customHeight="1" x14ac:dyDescent="0.2">
      <c r="A29" s="551">
        <v>350000</v>
      </c>
      <c r="B29" s="619" t="s">
        <v>8670</v>
      </c>
      <c r="C29" s="534">
        <v>563036.73</v>
      </c>
      <c r="D29" s="213">
        <v>97085.389999999898</v>
      </c>
      <c r="E29" s="213">
        <f t="shared" si="0"/>
        <v>660122.11999999988</v>
      </c>
      <c r="F29" s="213">
        <v>660122.12</v>
      </c>
      <c r="G29" s="213">
        <v>660122.12</v>
      </c>
      <c r="H29" s="213">
        <f t="shared" si="1"/>
        <v>0</v>
      </c>
      <c r="I29" s="280"/>
    </row>
    <row r="30" spans="1:9" s="547" customFormat="1" ht="15" customHeight="1" x14ac:dyDescent="0.2">
      <c r="A30" s="552">
        <v>360000</v>
      </c>
      <c r="B30" s="619" t="s">
        <v>8669</v>
      </c>
      <c r="C30" s="534">
        <v>4243910.9000000004</v>
      </c>
      <c r="D30" s="213">
        <v>10429385.57</v>
      </c>
      <c r="E30" s="213">
        <f t="shared" si="0"/>
        <v>14673296.470000001</v>
      </c>
      <c r="F30" s="213">
        <v>14665217.210000001</v>
      </c>
      <c r="G30" s="213">
        <v>14233890.560000001</v>
      </c>
      <c r="H30" s="213">
        <f t="shared" si="1"/>
        <v>8079.2599999997765</v>
      </c>
      <c r="I30" s="280"/>
    </row>
    <row r="31" spans="1:9" s="547" customFormat="1" ht="15" customHeight="1" x14ac:dyDescent="0.2">
      <c r="A31" s="552">
        <v>370000</v>
      </c>
      <c r="B31" s="619" t="s">
        <v>8668</v>
      </c>
      <c r="C31" s="534">
        <v>9576384.9499999993</v>
      </c>
      <c r="D31" s="213">
        <v>3248487.2899999991</v>
      </c>
      <c r="E31" s="213">
        <f t="shared" si="0"/>
        <v>12824872.239999998</v>
      </c>
      <c r="F31" s="213">
        <v>12822645.029999999</v>
      </c>
      <c r="G31" s="213">
        <v>12537684.630000001</v>
      </c>
      <c r="H31" s="213">
        <f t="shared" si="1"/>
        <v>2227.2099999990314</v>
      </c>
      <c r="I31" s="280"/>
    </row>
    <row r="32" spans="1:9" s="547" customFormat="1" ht="15" customHeight="1" x14ac:dyDescent="0.2">
      <c r="A32" s="552">
        <v>380000</v>
      </c>
      <c r="B32" s="619" t="s">
        <v>8667</v>
      </c>
      <c r="C32" s="534">
        <v>2471608.11</v>
      </c>
      <c r="D32" s="213">
        <v>1285521.8799999999</v>
      </c>
      <c r="E32" s="213">
        <f t="shared" si="0"/>
        <v>3757129.9899999998</v>
      </c>
      <c r="F32" s="213">
        <v>3757129.99</v>
      </c>
      <c r="G32" s="213">
        <v>3715988.3</v>
      </c>
      <c r="H32" s="213">
        <f t="shared" si="1"/>
        <v>0</v>
      </c>
      <c r="I32" s="280"/>
    </row>
    <row r="33" spans="1:9" s="547" customFormat="1" ht="15" customHeight="1" x14ac:dyDescent="0.2">
      <c r="A33" s="552">
        <v>390000</v>
      </c>
      <c r="B33" s="619" t="s">
        <v>8666</v>
      </c>
      <c r="C33" s="534">
        <v>4732288.04</v>
      </c>
      <c r="D33" s="213">
        <v>1011652.9700000007</v>
      </c>
      <c r="E33" s="213">
        <f t="shared" si="0"/>
        <v>5743941.0100000007</v>
      </c>
      <c r="F33" s="213">
        <v>5737557.0099999998</v>
      </c>
      <c r="G33" s="213">
        <v>5616021.4199999999</v>
      </c>
      <c r="H33" s="213">
        <f t="shared" si="1"/>
        <v>6384.0000000009313</v>
      </c>
      <c r="I33" s="280"/>
    </row>
    <row r="34" spans="1:9" s="547" customFormat="1" ht="15" customHeight="1" x14ac:dyDescent="0.2">
      <c r="A34" s="552">
        <v>400000</v>
      </c>
      <c r="B34" s="619" t="s">
        <v>8665</v>
      </c>
      <c r="C34" s="534">
        <v>28892727.57</v>
      </c>
      <c r="D34" s="213">
        <v>1179012</v>
      </c>
      <c r="E34" s="213">
        <f t="shared" si="0"/>
        <v>30071739.57</v>
      </c>
      <c r="F34" s="213">
        <v>30045925.390000001</v>
      </c>
      <c r="G34" s="213">
        <v>29670491.170000002</v>
      </c>
      <c r="H34" s="213">
        <f t="shared" si="1"/>
        <v>25814.179999999702</v>
      </c>
      <c r="I34" s="280"/>
    </row>
    <row r="35" spans="1:9" s="547" customFormat="1" ht="15" customHeight="1" x14ac:dyDescent="0.2">
      <c r="A35" s="552">
        <v>410000</v>
      </c>
      <c r="B35" s="619" t="s">
        <v>8664</v>
      </c>
      <c r="C35" s="534">
        <v>58041177.210000001</v>
      </c>
      <c r="D35" s="213">
        <v>16932990.359999999</v>
      </c>
      <c r="E35" s="213">
        <f t="shared" si="0"/>
        <v>74974167.569999993</v>
      </c>
      <c r="F35" s="213">
        <v>74974167.560000002</v>
      </c>
      <c r="G35" s="213">
        <v>74627507.379999995</v>
      </c>
      <c r="H35" s="213">
        <f t="shared" si="1"/>
        <v>9.9999904632568359E-3</v>
      </c>
      <c r="I35" s="280"/>
    </row>
    <row r="36" spans="1:9" s="547" customFormat="1" ht="15" customHeight="1" x14ac:dyDescent="0.2">
      <c r="A36" s="552">
        <v>420000</v>
      </c>
      <c r="B36" s="619" t="s">
        <v>1203</v>
      </c>
      <c r="C36" s="534">
        <v>80261256.939999998</v>
      </c>
      <c r="D36" s="213">
        <v>12673929.930000007</v>
      </c>
      <c r="E36" s="213">
        <f t="shared" si="0"/>
        <v>92935186.870000005</v>
      </c>
      <c r="F36" s="213">
        <v>92935186.870000005</v>
      </c>
      <c r="G36" s="213">
        <v>91944127.879999995</v>
      </c>
      <c r="H36" s="213">
        <f t="shared" si="1"/>
        <v>0</v>
      </c>
      <c r="I36" s="280"/>
    </row>
    <row r="37" spans="1:9" s="547" customFormat="1" ht="15" customHeight="1" x14ac:dyDescent="0.2">
      <c r="A37" s="1183" t="s">
        <v>300</v>
      </c>
      <c r="B37" s="1183"/>
      <c r="C37" s="550">
        <f t="shared" ref="C37:H37" si="2">SUM(C11:C36)</f>
        <v>845081315</v>
      </c>
      <c r="D37" s="550">
        <f t="shared" si="2"/>
        <v>436197797.65999985</v>
      </c>
      <c r="E37" s="550">
        <f t="shared" si="2"/>
        <v>1281279112.6599994</v>
      </c>
      <c r="F37" s="550">
        <f t="shared" si="2"/>
        <v>1236028556.7999997</v>
      </c>
      <c r="G37" s="550">
        <f t="shared" si="2"/>
        <v>1198371966.3599997</v>
      </c>
      <c r="H37" s="550">
        <f t="shared" si="2"/>
        <v>45250555.85999985</v>
      </c>
      <c r="I37" s="280"/>
    </row>
    <row r="38" spans="1:9" s="537" customFormat="1" ht="12.75" customHeight="1" x14ac:dyDescent="0.2">
      <c r="C38" s="538"/>
      <c r="D38" s="538"/>
      <c r="E38" s="538"/>
      <c r="F38" s="538"/>
      <c r="G38" s="538"/>
      <c r="H38" s="538"/>
      <c r="I38" s="280"/>
    </row>
    <row r="39" spans="1:9" x14ac:dyDescent="0.2">
      <c r="I39" s="295"/>
    </row>
    <row r="40" spans="1:9" s="19" customFormat="1" ht="8.25" customHeight="1" x14ac:dyDescent="0.2">
      <c r="A40" s="21"/>
      <c r="B40" s="21"/>
      <c r="C40" s="22"/>
      <c r="D40" s="855"/>
      <c r="E40" s="22"/>
      <c r="F40" s="22"/>
      <c r="G40" s="22"/>
      <c r="H40" s="22"/>
      <c r="I40" s="291"/>
    </row>
    <row r="41" spans="1:9" s="19" customFormat="1" x14ac:dyDescent="0.2">
      <c r="A41" s="21"/>
      <c r="B41" s="21"/>
      <c r="C41" s="22"/>
      <c r="D41" s="22"/>
      <c r="E41" s="22"/>
      <c r="F41" s="22"/>
      <c r="G41" s="22"/>
      <c r="H41" s="22"/>
      <c r="I41" s="287"/>
    </row>
    <row r="42" spans="1:9" s="19" customFormat="1" x14ac:dyDescent="0.2">
      <c r="A42" s="21"/>
      <c r="B42" s="21"/>
      <c r="C42" s="22"/>
      <c r="D42" s="22"/>
      <c r="E42" s="22"/>
      <c r="F42" s="22"/>
      <c r="G42" s="22"/>
      <c r="H42" s="22"/>
      <c r="I42" s="280"/>
    </row>
    <row r="43" spans="1:9" s="19" customFormat="1" x14ac:dyDescent="0.2">
      <c r="A43" s="21"/>
      <c r="B43" s="21"/>
      <c r="C43" s="22"/>
      <c r="D43" s="22"/>
      <c r="E43" s="22"/>
      <c r="F43" s="22"/>
      <c r="G43" s="22"/>
      <c r="H43" s="22"/>
      <c r="I43" s="280"/>
    </row>
    <row r="44" spans="1:9" s="19" customFormat="1" x14ac:dyDescent="0.2">
      <c r="A44" s="21"/>
      <c r="B44" s="21"/>
      <c r="C44" s="22"/>
      <c r="D44" s="22"/>
      <c r="E44" s="22"/>
      <c r="F44" s="22"/>
      <c r="G44" s="22"/>
      <c r="H44" s="22"/>
      <c r="I44" s="287"/>
    </row>
    <row r="45" spans="1:9" s="19" customFormat="1" ht="14.25" customHeight="1" x14ac:dyDescent="0.2">
      <c r="A45" s="21"/>
      <c r="B45" s="21"/>
      <c r="C45" s="22"/>
      <c r="D45" s="22"/>
      <c r="E45" s="22"/>
      <c r="F45" s="22"/>
      <c r="G45" s="22"/>
      <c r="H45" s="22"/>
      <c r="I45" s="307"/>
    </row>
    <row r="46" spans="1:9" x14ac:dyDescent="0.2">
      <c r="I46" s="287"/>
    </row>
    <row r="47" spans="1:9" x14ac:dyDescent="0.2">
      <c r="I47" s="287"/>
    </row>
    <row r="48" spans="1:9" x14ac:dyDescent="0.2">
      <c r="I48" s="287"/>
    </row>
    <row r="49" spans="9:9" x14ac:dyDescent="0.2">
      <c r="I49" s="287"/>
    </row>
    <row r="50" spans="9:9" x14ac:dyDescent="0.2">
      <c r="I50" s="287"/>
    </row>
    <row r="51" spans="9:9" x14ac:dyDescent="0.2">
      <c r="I51" s="287"/>
    </row>
    <row r="52" spans="9:9" x14ac:dyDescent="0.2">
      <c r="I52" s="280"/>
    </row>
    <row r="53" spans="9:9" x14ac:dyDescent="0.2">
      <c r="I53" s="280"/>
    </row>
    <row r="54" spans="9:9" x14ac:dyDescent="0.2">
      <c r="I54" s="280"/>
    </row>
    <row r="55" spans="9:9" x14ac:dyDescent="0.2">
      <c r="I55" s="287"/>
    </row>
    <row r="56" spans="9:9" x14ac:dyDescent="0.2">
      <c r="I56" s="287"/>
    </row>
    <row r="57" spans="9:9" x14ac:dyDescent="0.2">
      <c r="I57" s="287"/>
    </row>
    <row r="58" spans="9:9" x14ac:dyDescent="0.2">
      <c r="I58" s="280"/>
    </row>
    <row r="59" spans="9:9" x14ac:dyDescent="0.2">
      <c r="I59" s="287"/>
    </row>
    <row r="60" spans="9:9" x14ac:dyDescent="0.2">
      <c r="I60" s="287"/>
    </row>
    <row r="61" spans="9:9" x14ac:dyDescent="0.2">
      <c r="I61" s="287"/>
    </row>
    <row r="62" spans="9:9" x14ac:dyDescent="0.2">
      <c r="I62" s="287"/>
    </row>
    <row r="63" spans="9:9" x14ac:dyDescent="0.2">
      <c r="I63" s="287"/>
    </row>
    <row r="64" spans="9:9" x14ac:dyDescent="0.2">
      <c r="I64" s="287"/>
    </row>
    <row r="65" spans="9:9" x14ac:dyDescent="0.2">
      <c r="I65" s="287"/>
    </row>
    <row r="66" spans="9:9" x14ac:dyDescent="0.2">
      <c r="I66" s="287"/>
    </row>
    <row r="67" spans="9:9" x14ac:dyDescent="0.2">
      <c r="I67" s="287"/>
    </row>
    <row r="68" spans="9:9" x14ac:dyDescent="0.2">
      <c r="I68" s="287"/>
    </row>
    <row r="69" spans="9:9" x14ac:dyDescent="0.2">
      <c r="I69" s="287"/>
    </row>
    <row r="70" spans="9:9" x14ac:dyDescent="0.2">
      <c r="I70" s="287"/>
    </row>
    <row r="71" spans="9:9" x14ac:dyDescent="0.2">
      <c r="I71" s="280"/>
    </row>
    <row r="72" spans="9:9" x14ac:dyDescent="0.2">
      <c r="I72" s="280"/>
    </row>
    <row r="73" spans="9:9" x14ac:dyDescent="0.2">
      <c r="I73" s="287"/>
    </row>
    <row r="74" spans="9:9" x14ac:dyDescent="0.2">
      <c r="I74" s="287"/>
    </row>
    <row r="75" spans="9:9" x14ac:dyDescent="0.2">
      <c r="I75" s="291"/>
    </row>
    <row r="76" spans="9:9" x14ac:dyDescent="0.2">
      <c r="I76" s="291"/>
    </row>
    <row r="77" spans="9:9" x14ac:dyDescent="0.2">
      <c r="I77" s="291"/>
    </row>
    <row r="78" spans="9:9" x14ac:dyDescent="0.2">
      <c r="I78" s="287"/>
    </row>
    <row r="79" spans="9:9" x14ac:dyDescent="0.2">
      <c r="I79" s="280"/>
    </row>
    <row r="80" spans="9:9" x14ac:dyDescent="0.2">
      <c r="I80" s="280"/>
    </row>
    <row r="81" spans="9:9" x14ac:dyDescent="0.2">
      <c r="I81" s="287"/>
    </row>
    <row r="83" spans="9:9" x14ac:dyDescent="0.2">
      <c r="I83" s="280"/>
    </row>
    <row r="84" spans="9:9" x14ac:dyDescent="0.2">
      <c r="I84" s="306"/>
    </row>
    <row r="85" spans="9:9" x14ac:dyDescent="0.2">
      <c r="I85" s="291"/>
    </row>
    <row r="86" spans="9:9" x14ac:dyDescent="0.2">
      <c r="I86" s="280"/>
    </row>
    <row r="87" spans="9:9" x14ac:dyDescent="0.2">
      <c r="I87" s="280"/>
    </row>
    <row r="88" spans="9:9" x14ac:dyDescent="0.2">
      <c r="I88" s="280"/>
    </row>
    <row r="89" spans="9:9" x14ac:dyDescent="0.2">
      <c r="I89" s="280"/>
    </row>
    <row r="90" spans="9:9" x14ac:dyDescent="0.2">
      <c r="I90" s="280"/>
    </row>
    <row r="91" spans="9:9" x14ac:dyDescent="0.2">
      <c r="I91" s="280"/>
    </row>
    <row r="92" spans="9:9" x14ac:dyDescent="0.2">
      <c r="I92" s="312"/>
    </row>
    <row r="93" spans="9:9" x14ac:dyDescent="0.2">
      <c r="I93" s="312"/>
    </row>
    <row r="94" spans="9:9" x14ac:dyDescent="0.2">
      <c r="I94" s="818"/>
    </row>
    <row r="95" spans="9:9" x14ac:dyDescent="0.2">
      <c r="I95" s="818"/>
    </row>
    <row r="105" spans="9:9" x14ac:dyDescent="0.2">
      <c r="I105" s="306"/>
    </row>
    <row r="106" spans="9:9" x14ac:dyDescent="0.2">
      <c r="I106" s="306"/>
    </row>
    <row r="107" spans="9:9" x14ac:dyDescent="0.2">
      <c r="I107" s="306"/>
    </row>
    <row r="117" spans="9:9" x14ac:dyDescent="0.2">
      <c r="I117" s="306"/>
    </row>
    <row r="127" spans="9:9" x14ac:dyDescent="0.2">
      <c r="I127" s="306"/>
    </row>
    <row r="128" spans="9:9" x14ac:dyDescent="0.2">
      <c r="I128" s="306"/>
    </row>
    <row r="129" spans="9:9" x14ac:dyDescent="0.2">
      <c r="I129" s="306"/>
    </row>
    <row r="131" spans="9:9" x14ac:dyDescent="0.2">
      <c r="I131" s="306"/>
    </row>
  </sheetData>
  <mergeCells count="9">
    <mergeCell ref="A37:B37"/>
    <mergeCell ref="A2:H2"/>
    <mergeCell ref="I2:I5"/>
    <mergeCell ref="A3:H3"/>
    <mergeCell ref="A4:H4"/>
    <mergeCell ref="A5:H5"/>
    <mergeCell ref="A7:B9"/>
    <mergeCell ref="C7:G7"/>
    <mergeCell ref="H7:H8"/>
  </mergeCells>
  <printOptions horizontalCentered="1"/>
  <pageMargins left="0.15748031496062992" right="0.15748031496062992" top="0.27559055118110237" bottom="0.51181102362204722" header="0.31496062992125984" footer="0.31496062992125984"/>
  <pageSetup scale="85" fitToHeight="0" orientation="landscape" r:id="rId1"/>
  <headerFooter>
    <oddFooter>&amp;C“Bajo protesta de decir verdad declaramos que los Estados Financieros y sus notas, son razonablemente correctos y son responsabilidad del emisor”</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2"/>
  <sheetViews>
    <sheetView view="pageBreakPreview" zoomScale="60" zoomScaleNormal="100" workbookViewId="0">
      <selection activeCell="A48" sqref="A48:XFD48"/>
    </sheetView>
  </sheetViews>
  <sheetFormatPr baseColWidth="10" defaultColWidth="11.42578125" defaultRowHeight="12.75" x14ac:dyDescent="0.2"/>
  <cols>
    <col min="1" max="1" width="6.28515625" style="537" bestFit="1" customWidth="1"/>
    <col min="2" max="2" width="66.28515625" style="537" bestFit="1" customWidth="1"/>
    <col min="3" max="3" width="13.7109375" style="538" customWidth="1"/>
    <col min="4" max="4" width="15" style="538" customWidth="1"/>
    <col min="5" max="5" width="16.85546875" style="538" customWidth="1"/>
    <col min="6" max="6" width="14.85546875" style="538" customWidth="1"/>
    <col min="7" max="8" width="13.7109375" style="538" customWidth="1"/>
    <col min="9" max="9" width="3.5703125" style="307" bestFit="1" customWidth="1"/>
    <col min="10" max="16384" width="11.42578125" style="540"/>
  </cols>
  <sheetData>
    <row r="1" spans="1:9" x14ac:dyDescent="0.2">
      <c r="H1" s="539"/>
      <c r="I1" s="615"/>
    </row>
    <row r="2" spans="1:9" ht="15.75" customHeight="1" x14ac:dyDescent="0.25">
      <c r="A2" s="1198" t="s">
        <v>782</v>
      </c>
      <c r="B2" s="1198"/>
      <c r="C2" s="1198"/>
      <c r="D2" s="1198"/>
      <c r="E2" s="1198"/>
      <c r="F2" s="1198"/>
      <c r="G2" s="1198"/>
      <c r="H2" s="1198"/>
      <c r="I2" s="1185">
        <v>9.4</v>
      </c>
    </row>
    <row r="3" spans="1:9" ht="15.75" customHeight="1" x14ac:dyDescent="0.25">
      <c r="A3" s="1199" t="s">
        <v>239</v>
      </c>
      <c r="B3" s="1199"/>
      <c r="C3" s="1199"/>
      <c r="D3" s="1199"/>
      <c r="E3" s="1199"/>
      <c r="F3" s="1199"/>
      <c r="G3" s="1199"/>
      <c r="H3" s="1199"/>
      <c r="I3" s="1185"/>
    </row>
    <row r="4" spans="1:9" ht="15.75" customHeight="1" x14ac:dyDescent="0.25">
      <c r="A4" s="1199" t="s">
        <v>309</v>
      </c>
      <c r="B4" s="1199"/>
      <c r="C4" s="1199"/>
      <c r="D4" s="1199"/>
      <c r="E4" s="1199"/>
      <c r="F4" s="1199"/>
      <c r="G4" s="1199"/>
      <c r="H4" s="1199"/>
      <c r="I4" s="1185"/>
    </row>
    <row r="5" spans="1:9" ht="15.75" customHeight="1" x14ac:dyDescent="0.25">
      <c r="A5" s="1199" t="s">
        <v>8659</v>
      </c>
      <c r="B5" s="1199"/>
      <c r="C5" s="1199"/>
      <c r="D5" s="1199"/>
      <c r="E5" s="1199"/>
      <c r="F5" s="1199"/>
      <c r="G5" s="1199"/>
      <c r="H5" s="1199"/>
      <c r="I5" s="1185"/>
    </row>
    <row r="6" spans="1:9" ht="15.75" customHeight="1" x14ac:dyDescent="0.25">
      <c r="A6" s="822"/>
      <c r="B6" s="822"/>
      <c r="C6" s="822"/>
      <c r="D6" s="822"/>
      <c r="E6" s="822"/>
      <c r="F6" s="822"/>
      <c r="G6" s="822"/>
      <c r="H6" s="822"/>
      <c r="I6" s="616"/>
    </row>
    <row r="7" spans="1:9" ht="15.75" customHeight="1" x14ac:dyDescent="0.25">
      <c r="A7" s="822"/>
      <c r="B7" s="822"/>
      <c r="C7" s="822"/>
      <c r="D7" s="822"/>
      <c r="E7" s="822"/>
      <c r="F7" s="822"/>
      <c r="G7" s="822"/>
      <c r="H7" s="822"/>
      <c r="I7" s="616"/>
    </row>
    <row r="8" spans="1:9" ht="15.75" customHeight="1" x14ac:dyDescent="0.25">
      <c r="A8" s="822"/>
      <c r="B8" s="822"/>
      <c r="C8" s="822"/>
      <c r="D8" s="822"/>
      <c r="E8" s="822"/>
      <c r="F8" s="822"/>
      <c r="G8" s="822"/>
      <c r="H8" s="822"/>
      <c r="I8" s="616"/>
    </row>
    <row r="9" spans="1:9" ht="13.5" thickBot="1" x14ac:dyDescent="0.25">
      <c r="A9" s="541"/>
      <c r="G9" s="542"/>
      <c r="H9" s="539"/>
      <c r="I9" s="295"/>
    </row>
    <row r="10" spans="1:9" s="544" customFormat="1" x14ac:dyDescent="0.2">
      <c r="A10" s="1200" t="s">
        <v>201</v>
      </c>
      <c r="B10" s="1201"/>
      <c r="C10" s="1206" t="s">
        <v>241</v>
      </c>
      <c r="D10" s="1207"/>
      <c r="E10" s="1207"/>
      <c r="F10" s="1207"/>
      <c r="G10" s="1208"/>
      <c r="H10" s="1209" t="s">
        <v>242</v>
      </c>
      <c r="I10" s="291"/>
    </row>
    <row r="11" spans="1:9" ht="26.25" thickBot="1" x14ac:dyDescent="0.25">
      <c r="A11" s="1202"/>
      <c r="B11" s="1203"/>
      <c r="C11" s="823" t="s">
        <v>243</v>
      </c>
      <c r="D11" s="823" t="s">
        <v>244</v>
      </c>
      <c r="E11" s="823" t="s">
        <v>245</v>
      </c>
      <c r="F11" s="823" t="s">
        <v>220</v>
      </c>
      <c r="G11" s="823" t="s">
        <v>246</v>
      </c>
      <c r="H11" s="1210"/>
      <c r="I11" s="280"/>
    </row>
    <row r="12" spans="1:9" ht="15" customHeight="1" thickBot="1" x14ac:dyDescent="0.25">
      <c r="A12" s="1204"/>
      <c r="B12" s="1205"/>
      <c r="C12" s="545">
        <v>1</v>
      </c>
      <c r="D12" s="545">
        <v>2</v>
      </c>
      <c r="E12" s="545" t="s">
        <v>247</v>
      </c>
      <c r="F12" s="545">
        <v>4</v>
      </c>
      <c r="G12" s="545">
        <v>5</v>
      </c>
      <c r="H12" s="545" t="s">
        <v>248</v>
      </c>
      <c r="I12" s="280"/>
    </row>
    <row r="13" spans="1:9" s="547" customFormat="1" ht="15" customHeight="1" x14ac:dyDescent="0.2">
      <c r="A13" s="553">
        <v>1</v>
      </c>
      <c r="B13" s="209" t="s">
        <v>310</v>
      </c>
      <c r="C13" s="554">
        <f t="shared" ref="C13:H13" si="0">SUM(C14:C21)</f>
        <v>319271498.33999997</v>
      </c>
      <c r="D13" s="554">
        <f t="shared" si="0"/>
        <v>120701392.98999998</v>
      </c>
      <c r="E13" s="554">
        <f t="shared" si="0"/>
        <v>439972891.33000004</v>
      </c>
      <c r="F13" s="554">
        <f t="shared" si="0"/>
        <v>439147732.5</v>
      </c>
      <c r="G13" s="554">
        <f t="shared" si="0"/>
        <v>425143846.44</v>
      </c>
      <c r="H13" s="554">
        <f t="shared" si="0"/>
        <v>825158.83000001311</v>
      </c>
      <c r="I13" s="280"/>
    </row>
    <row r="14" spans="1:9" s="547" customFormat="1" x14ac:dyDescent="0.2">
      <c r="A14" s="555" t="s">
        <v>311</v>
      </c>
      <c r="B14" s="533" t="s">
        <v>312</v>
      </c>
      <c r="C14" s="271">
        <v>17594690.530000001</v>
      </c>
      <c r="D14" s="271">
        <v>6426917.0600000005</v>
      </c>
      <c r="E14" s="271">
        <f t="shared" ref="E14:E21" si="1">C14+D14</f>
        <v>24021607.590000004</v>
      </c>
      <c r="F14" s="271">
        <v>24021607.579999998</v>
      </c>
      <c r="G14" s="271">
        <v>23905838.66</v>
      </c>
      <c r="H14" s="271">
        <f t="shared" ref="H14:H21" si="2">E14-F14</f>
        <v>1.000000536441803E-2</v>
      </c>
      <c r="I14" s="280"/>
    </row>
    <row r="15" spans="1:9" s="547" customFormat="1" x14ac:dyDescent="0.2">
      <c r="A15" s="555" t="s">
        <v>313</v>
      </c>
      <c r="B15" s="533" t="s">
        <v>314</v>
      </c>
      <c r="C15" s="271">
        <v>1740000</v>
      </c>
      <c r="D15" s="271">
        <v>0</v>
      </c>
      <c r="E15" s="271">
        <f t="shared" si="1"/>
        <v>1740000</v>
      </c>
      <c r="F15" s="271">
        <v>1740000</v>
      </c>
      <c r="G15" s="271">
        <v>1740000</v>
      </c>
      <c r="H15" s="271">
        <f t="shared" si="2"/>
        <v>0</v>
      </c>
      <c r="I15" s="280"/>
    </row>
    <row r="16" spans="1:9" s="547" customFormat="1" x14ac:dyDescent="0.2">
      <c r="A16" s="555" t="s">
        <v>315</v>
      </c>
      <c r="B16" s="533" t="s">
        <v>316</v>
      </c>
      <c r="C16" s="271">
        <v>72268448.379999995</v>
      </c>
      <c r="D16" s="271">
        <v>-5349496.3599999994</v>
      </c>
      <c r="E16" s="271">
        <f t="shared" si="1"/>
        <v>66918952.019999996</v>
      </c>
      <c r="F16" s="271">
        <v>66838322.109999999</v>
      </c>
      <c r="G16" s="271">
        <v>65041217.950000003</v>
      </c>
      <c r="H16" s="271">
        <f t="shared" si="2"/>
        <v>80629.909999996424</v>
      </c>
      <c r="I16" s="280"/>
    </row>
    <row r="17" spans="1:10" s="547" customFormat="1" hidden="1" x14ac:dyDescent="0.2">
      <c r="A17" s="555" t="s">
        <v>317</v>
      </c>
      <c r="B17" s="533" t="s">
        <v>318</v>
      </c>
      <c r="C17" s="271">
        <v>0</v>
      </c>
      <c r="D17" s="271"/>
      <c r="E17" s="271">
        <f t="shared" si="1"/>
        <v>0</v>
      </c>
      <c r="F17" s="271"/>
      <c r="G17" s="271"/>
      <c r="H17" s="271">
        <f t="shared" si="2"/>
        <v>0</v>
      </c>
      <c r="I17" s="280"/>
    </row>
    <row r="18" spans="1:10" s="547" customFormat="1" x14ac:dyDescent="0.2">
      <c r="A18" s="555" t="s">
        <v>319</v>
      </c>
      <c r="B18" s="533" t="s">
        <v>320</v>
      </c>
      <c r="C18" s="271">
        <v>46347345.109999999</v>
      </c>
      <c r="D18" s="271">
        <v>54061103.029999986</v>
      </c>
      <c r="E18" s="271">
        <f t="shared" si="1"/>
        <v>100408448.13999999</v>
      </c>
      <c r="F18" s="271">
        <f>82090514.32+17665353</f>
        <v>99755867.319999993</v>
      </c>
      <c r="G18" s="271">
        <f>80850559.83+17665353</f>
        <v>98515912.829999998</v>
      </c>
      <c r="H18" s="271">
        <f t="shared" si="2"/>
        <v>652580.81999999285</v>
      </c>
      <c r="I18" s="280"/>
    </row>
    <row r="19" spans="1:10" s="547" customFormat="1" hidden="1" x14ac:dyDescent="0.2">
      <c r="A19" s="555" t="s">
        <v>321</v>
      </c>
      <c r="B19" s="533" t="s">
        <v>322</v>
      </c>
      <c r="C19" s="271">
        <v>0</v>
      </c>
      <c r="D19" s="271"/>
      <c r="E19" s="271">
        <f t="shared" si="1"/>
        <v>0</v>
      </c>
      <c r="F19" s="271"/>
      <c r="G19" s="271"/>
      <c r="H19" s="271">
        <f t="shared" si="2"/>
        <v>0</v>
      </c>
      <c r="I19" s="280"/>
    </row>
    <row r="20" spans="1:10" s="547" customFormat="1" x14ac:dyDescent="0.2">
      <c r="A20" s="555" t="s">
        <v>323</v>
      </c>
      <c r="B20" s="533" t="s">
        <v>324</v>
      </c>
      <c r="C20" s="271">
        <v>55006849.68</v>
      </c>
      <c r="D20" s="271">
        <v>5458839.5399999991</v>
      </c>
      <c r="E20" s="271">
        <f t="shared" si="1"/>
        <v>60465689.219999999</v>
      </c>
      <c r="F20" s="271">
        <v>60425726.890000001</v>
      </c>
      <c r="G20" s="271">
        <v>59928328.409999996</v>
      </c>
      <c r="H20" s="271">
        <f t="shared" si="2"/>
        <v>39962.329999998212</v>
      </c>
      <c r="I20" s="280"/>
    </row>
    <row r="21" spans="1:10" s="547" customFormat="1" x14ac:dyDescent="0.2">
      <c r="A21" s="555" t="s">
        <v>325</v>
      </c>
      <c r="B21" s="533" t="s">
        <v>273</v>
      </c>
      <c r="C21" s="271">
        <v>126314164.64</v>
      </c>
      <c r="D21" s="271">
        <v>60104029.719999999</v>
      </c>
      <c r="E21" s="271">
        <f t="shared" si="1"/>
        <v>186418194.36000001</v>
      </c>
      <c r="F21" s="271">
        <v>186366208.59999999</v>
      </c>
      <c r="G21" s="271">
        <v>176012548.59</v>
      </c>
      <c r="H21" s="271">
        <f t="shared" si="2"/>
        <v>51985.760000020266</v>
      </c>
      <c r="I21" s="280"/>
    </row>
    <row r="22" spans="1:10" s="547" customFormat="1" x14ac:dyDescent="0.2">
      <c r="A22" s="553">
        <v>2</v>
      </c>
      <c r="B22" s="209" t="s">
        <v>326</v>
      </c>
      <c r="C22" s="272">
        <f t="shared" ref="C22:H22" si="3">SUM(C23:C29)</f>
        <v>501888988.48000002</v>
      </c>
      <c r="D22" s="272">
        <f t="shared" si="3"/>
        <v>299059457.70000005</v>
      </c>
      <c r="E22" s="272">
        <f t="shared" si="3"/>
        <v>800948446.18000007</v>
      </c>
      <c r="F22" s="272">
        <f t="shared" si="3"/>
        <v>756529433.14999998</v>
      </c>
      <c r="G22" s="272">
        <f t="shared" si="3"/>
        <v>733039406.04999995</v>
      </c>
      <c r="H22" s="272">
        <f t="shared" si="3"/>
        <v>44419013.030000106</v>
      </c>
      <c r="I22" s="280"/>
    </row>
    <row r="23" spans="1:10" s="547" customFormat="1" x14ac:dyDescent="0.2">
      <c r="A23" s="555" t="s">
        <v>327</v>
      </c>
      <c r="B23" s="533" t="s">
        <v>328</v>
      </c>
      <c r="C23" s="271">
        <v>125930638.95</v>
      </c>
      <c r="D23" s="271">
        <v>11268259.550000012</v>
      </c>
      <c r="E23" s="271">
        <f t="shared" ref="E23:E28" si="4">C23+D23</f>
        <v>137198898.5</v>
      </c>
      <c r="F23" s="271">
        <v>137161057.44</v>
      </c>
      <c r="G23" s="271">
        <v>133221493.31999999</v>
      </c>
      <c r="H23" s="271">
        <f t="shared" ref="H23:H29" si="5">E23-F23</f>
        <v>37841.060000002384</v>
      </c>
      <c r="I23" s="280"/>
    </row>
    <row r="24" spans="1:10" s="547" customFormat="1" x14ac:dyDescent="0.2">
      <c r="A24" s="555" t="s">
        <v>329</v>
      </c>
      <c r="B24" s="533" t="s">
        <v>330</v>
      </c>
      <c r="C24" s="271">
        <v>301472154.41000003</v>
      </c>
      <c r="D24" s="271">
        <v>248586399.70000005</v>
      </c>
      <c r="E24" s="271">
        <f t="shared" si="4"/>
        <v>550058554.11000013</v>
      </c>
      <c r="F24" s="271">
        <f>504669954.92+1020510</f>
        <v>505690464.92000002</v>
      </c>
      <c r="G24" s="271">
        <f>486227533.45+1020510</f>
        <v>487248043.44999999</v>
      </c>
      <c r="H24" s="271">
        <f t="shared" si="5"/>
        <v>44368089.190000117</v>
      </c>
      <c r="I24" s="280"/>
    </row>
    <row r="25" spans="1:10" s="547" customFormat="1" hidden="1" x14ac:dyDescent="0.2">
      <c r="A25" s="555" t="s">
        <v>331</v>
      </c>
      <c r="B25" s="533" t="s">
        <v>332</v>
      </c>
      <c r="C25" s="271">
        <v>0</v>
      </c>
      <c r="D25" s="271"/>
      <c r="E25" s="271">
        <f t="shared" si="4"/>
        <v>0</v>
      </c>
      <c r="F25" s="271"/>
      <c r="G25" s="271"/>
      <c r="H25" s="271">
        <f t="shared" si="5"/>
        <v>0</v>
      </c>
      <c r="I25" s="291"/>
    </row>
    <row r="26" spans="1:10" s="547" customFormat="1" x14ac:dyDescent="0.2">
      <c r="A26" s="555" t="s">
        <v>333</v>
      </c>
      <c r="B26" s="533" t="s">
        <v>334</v>
      </c>
      <c r="C26" s="271">
        <v>11651804.619999999</v>
      </c>
      <c r="D26" s="271">
        <f>4885430.11-0.14</f>
        <v>4885429.9700000007</v>
      </c>
      <c r="E26" s="271">
        <f t="shared" si="4"/>
        <v>16537234.59</v>
      </c>
      <c r="F26" s="271">
        <v>16526928.119999999</v>
      </c>
      <c r="G26" s="271">
        <v>15833718.48</v>
      </c>
      <c r="H26" s="271">
        <f t="shared" si="5"/>
        <v>10306.470000000671</v>
      </c>
      <c r="I26" s="280"/>
      <c r="J26" s="620"/>
    </row>
    <row r="27" spans="1:10" s="547" customFormat="1" x14ac:dyDescent="0.2">
      <c r="A27" s="555" t="s">
        <v>335</v>
      </c>
      <c r="B27" s="533" t="s">
        <v>336</v>
      </c>
      <c r="C27" s="271">
        <v>2905029.05</v>
      </c>
      <c r="D27" s="271">
        <f>9376644.72+0.14</f>
        <v>9376644.8600000013</v>
      </c>
      <c r="E27" s="271">
        <f t="shared" si="4"/>
        <v>12281673.91</v>
      </c>
      <c r="F27" s="271">
        <v>12281673.91</v>
      </c>
      <c r="G27" s="271">
        <v>12258596.5</v>
      </c>
      <c r="H27" s="271">
        <f t="shared" si="5"/>
        <v>0</v>
      </c>
      <c r="I27" s="280"/>
    </row>
    <row r="28" spans="1:10" s="547" customFormat="1" x14ac:dyDescent="0.2">
      <c r="A28" s="555" t="s">
        <v>337</v>
      </c>
      <c r="B28" s="533" t="s">
        <v>338</v>
      </c>
      <c r="C28" s="271">
        <v>59929361.450000003</v>
      </c>
      <c r="D28" s="271">
        <v>24942723.619999997</v>
      </c>
      <c r="E28" s="271">
        <f t="shared" si="4"/>
        <v>84872085.069999993</v>
      </c>
      <c r="F28" s="271">
        <v>84869308.760000005</v>
      </c>
      <c r="G28" s="271">
        <v>84477554.299999997</v>
      </c>
      <c r="H28" s="271">
        <f t="shared" si="5"/>
        <v>2776.309999987483</v>
      </c>
      <c r="I28" s="291"/>
    </row>
    <row r="29" spans="1:10" s="547" customFormat="1" hidden="1" x14ac:dyDescent="0.2">
      <c r="A29" s="555" t="s">
        <v>339</v>
      </c>
      <c r="B29" s="533" t="s">
        <v>340</v>
      </c>
      <c r="C29" s="271">
        <v>0</v>
      </c>
      <c r="D29" s="271">
        <v>0</v>
      </c>
      <c r="E29" s="271">
        <v>0</v>
      </c>
      <c r="F29" s="271">
        <v>0</v>
      </c>
      <c r="G29" s="271">
        <v>0</v>
      </c>
      <c r="H29" s="271">
        <f t="shared" si="5"/>
        <v>0</v>
      </c>
      <c r="I29" s="280"/>
    </row>
    <row r="30" spans="1:10" s="547" customFormat="1" x14ac:dyDescent="0.2">
      <c r="A30" s="553">
        <v>3</v>
      </c>
      <c r="B30" s="209" t="s">
        <v>341</v>
      </c>
      <c r="C30" s="272">
        <f t="shared" ref="C30:H30" si="6">SUM(C31:C39)</f>
        <v>7203896.1500000004</v>
      </c>
      <c r="D30" s="272">
        <f t="shared" si="6"/>
        <v>2297174.850000001</v>
      </c>
      <c r="E30" s="272">
        <f t="shared" si="6"/>
        <v>9501071.0000000019</v>
      </c>
      <c r="F30" s="272">
        <f t="shared" si="6"/>
        <v>9494687</v>
      </c>
      <c r="G30" s="272">
        <f t="shared" si="6"/>
        <v>9332009.7200000007</v>
      </c>
      <c r="H30" s="272">
        <f t="shared" si="6"/>
        <v>6384.0000000009313</v>
      </c>
      <c r="I30" s="280"/>
    </row>
    <row r="31" spans="1:10" s="547" customFormat="1" x14ac:dyDescent="0.2">
      <c r="A31" s="555" t="s">
        <v>342</v>
      </c>
      <c r="B31" s="533" t="s">
        <v>343</v>
      </c>
      <c r="C31" s="271">
        <v>1841704.87</v>
      </c>
      <c r="D31" s="271">
        <v>1425174.57</v>
      </c>
      <c r="E31" s="271">
        <f t="shared" ref="E31:E37" si="7">C31+D31</f>
        <v>3266879.4400000004</v>
      </c>
      <c r="F31" s="271">
        <v>3266879.44</v>
      </c>
      <c r="G31" s="271">
        <v>3225737.75</v>
      </c>
      <c r="H31" s="271">
        <f t="shared" ref="H31:H37" si="8">E31-F31</f>
        <v>0</v>
      </c>
      <c r="I31" s="280"/>
    </row>
    <row r="32" spans="1:10" s="547" customFormat="1" x14ac:dyDescent="0.2">
      <c r="A32" s="555" t="s">
        <v>344</v>
      </c>
      <c r="B32" s="533" t="s">
        <v>345</v>
      </c>
      <c r="C32" s="271">
        <v>4732288.04</v>
      </c>
      <c r="D32" s="271">
        <v>1011652.9700000007</v>
      </c>
      <c r="E32" s="271">
        <f t="shared" si="7"/>
        <v>5743941.0100000007</v>
      </c>
      <c r="F32" s="271">
        <v>5737557.0099999998</v>
      </c>
      <c r="G32" s="271">
        <v>5616021.4199999999</v>
      </c>
      <c r="H32" s="271">
        <f t="shared" si="8"/>
        <v>6384.0000000009313</v>
      </c>
      <c r="I32" s="280"/>
    </row>
    <row r="33" spans="1:9" s="547" customFormat="1" hidden="1" x14ac:dyDescent="0.2">
      <c r="A33" s="555" t="s">
        <v>346</v>
      </c>
      <c r="B33" s="533" t="s">
        <v>347</v>
      </c>
      <c r="C33" s="271">
        <v>0</v>
      </c>
      <c r="D33" s="271"/>
      <c r="E33" s="271">
        <f t="shared" si="7"/>
        <v>0</v>
      </c>
      <c r="F33" s="271">
        <v>0</v>
      </c>
      <c r="G33" s="271">
        <v>0</v>
      </c>
      <c r="H33" s="271">
        <f t="shared" si="8"/>
        <v>0</v>
      </c>
      <c r="I33" s="280"/>
    </row>
    <row r="34" spans="1:9" s="547" customFormat="1" hidden="1" x14ac:dyDescent="0.2">
      <c r="A34" s="555" t="s">
        <v>348</v>
      </c>
      <c r="B34" s="533" t="s">
        <v>349</v>
      </c>
      <c r="C34" s="271">
        <v>0</v>
      </c>
      <c r="D34" s="271"/>
      <c r="E34" s="271">
        <f t="shared" si="7"/>
        <v>0</v>
      </c>
      <c r="F34" s="271">
        <v>0</v>
      </c>
      <c r="G34" s="271">
        <v>0</v>
      </c>
      <c r="H34" s="271">
        <f t="shared" si="8"/>
        <v>0</v>
      </c>
      <c r="I34" s="291"/>
    </row>
    <row r="35" spans="1:9" s="547" customFormat="1" hidden="1" x14ac:dyDescent="0.2">
      <c r="A35" s="555" t="s">
        <v>350</v>
      </c>
      <c r="B35" s="533" t="s">
        <v>351</v>
      </c>
      <c r="C35" s="271">
        <v>0</v>
      </c>
      <c r="D35" s="271"/>
      <c r="E35" s="271">
        <f t="shared" si="7"/>
        <v>0</v>
      </c>
      <c r="F35" s="271">
        <v>0</v>
      </c>
      <c r="G35" s="271">
        <v>0</v>
      </c>
      <c r="H35" s="271">
        <f t="shared" si="8"/>
        <v>0</v>
      </c>
      <c r="I35" s="295"/>
    </row>
    <row r="36" spans="1:9" s="547" customFormat="1" hidden="1" x14ac:dyDescent="0.2">
      <c r="A36" s="555" t="s">
        <v>352</v>
      </c>
      <c r="B36" s="533" t="s">
        <v>353</v>
      </c>
      <c r="C36" s="271">
        <v>0</v>
      </c>
      <c r="D36" s="271"/>
      <c r="E36" s="271">
        <f t="shared" si="7"/>
        <v>0</v>
      </c>
      <c r="F36" s="271">
        <v>0</v>
      </c>
      <c r="G36" s="271">
        <v>0</v>
      </c>
      <c r="H36" s="271">
        <f t="shared" si="8"/>
        <v>0</v>
      </c>
      <c r="I36" s="291"/>
    </row>
    <row r="37" spans="1:9" s="547" customFormat="1" x14ac:dyDescent="0.2">
      <c r="A37" s="555" t="s">
        <v>354</v>
      </c>
      <c r="B37" s="533" t="s">
        <v>355</v>
      </c>
      <c r="C37" s="271">
        <v>629903.24</v>
      </c>
      <c r="D37" s="271">
        <v>-139652.69</v>
      </c>
      <c r="E37" s="271">
        <f t="shared" si="7"/>
        <v>490250.55</v>
      </c>
      <c r="F37" s="271">
        <v>490250.55</v>
      </c>
      <c r="G37" s="271">
        <v>490250.55</v>
      </c>
      <c r="H37" s="815">
        <f t="shared" si="8"/>
        <v>0</v>
      </c>
      <c r="I37" s="280"/>
    </row>
    <row r="38" spans="1:9" s="547" customFormat="1" hidden="1" x14ac:dyDescent="0.2">
      <c r="A38" s="555" t="s">
        <v>356</v>
      </c>
      <c r="B38" s="533" t="s">
        <v>357</v>
      </c>
      <c r="C38" s="271">
        <v>0</v>
      </c>
      <c r="D38" s="271">
        <f>E38-C38</f>
        <v>0</v>
      </c>
      <c r="E38" s="271">
        <v>0</v>
      </c>
      <c r="F38" s="271">
        <v>0</v>
      </c>
      <c r="G38" s="271">
        <v>0</v>
      </c>
      <c r="H38" s="271">
        <v>0</v>
      </c>
      <c r="I38" s="280"/>
    </row>
    <row r="39" spans="1:9" s="547" customFormat="1" hidden="1" x14ac:dyDescent="0.2">
      <c r="A39" s="555" t="s">
        <v>358</v>
      </c>
      <c r="B39" s="533" t="s">
        <v>359</v>
      </c>
      <c r="C39" s="271">
        <v>0</v>
      </c>
      <c r="D39" s="271">
        <f>E39-C39</f>
        <v>0</v>
      </c>
      <c r="E39" s="271">
        <v>0</v>
      </c>
      <c r="F39" s="271">
        <v>0</v>
      </c>
      <c r="G39" s="271">
        <v>0</v>
      </c>
      <c r="H39" s="271">
        <v>0</v>
      </c>
      <c r="I39" s="280"/>
    </row>
    <row r="40" spans="1:9" s="547" customFormat="1" x14ac:dyDescent="0.2">
      <c r="A40" s="553">
        <v>4</v>
      </c>
      <c r="B40" s="209" t="s">
        <v>1204</v>
      </c>
      <c r="C40" s="272">
        <f t="shared" ref="C40:H40" si="9">SUM(C41:C44)</f>
        <v>16716932.029999999</v>
      </c>
      <c r="D40" s="272">
        <f t="shared" si="9"/>
        <v>14139772.120000005</v>
      </c>
      <c r="E40" s="272">
        <f t="shared" si="9"/>
        <v>30856704.150000006</v>
      </c>
      <c r="F40" s="272">
        <f t="shared" si="9"/>
        <v>30856704.149999999</v>
      </c>
      <c r="G40" s="272">
        <f t="shared" si="9"/>
        <v>30856704.149999999</v>
      </c>
      <c r="H40" s="272">
        <f t="shared" si="9"/>
        <v>0</v>
      </c>
      <c r="I40" s="280"/>
    </row>
    <row r="41" spans="1:9" s="547" customFormat="1" x14ac:dyDescent="0.2">
      <c r="A41" s="555" t="s">
        <v>360</v>
      </c>
      <c r="B41" s="533" t="s">
        <v>361</v>
      </c>
      <c r="C41" s="271">
        <v>16716932.029999999</v>
      </c>
      <c r="D41" s="271">
        <v>14139772.120000005</v>
      </c>
      <c r="E41" s="271">
        <f>C41+D41</f>
        <v>30856704.150000006</v>
      </c>
      <c r="F41" s="271">
        <v>30856704.149999999</v>
      </c>
      <c r="G41" s="271">
        <v>30856704.149999999</v>
      </c>
      <c r="H41" s="271">
        <f>E41-F41</f>
        <v>0</v>
      </c>
      <c r="I41" s="295"/>
    </row>
    <row r="42" spans="1:9" s="547" customFormat="1" ht="25.5" hidden="1" x14ac:dyDescent="0.2">
      <c r="A42" s="555" t="s">
        <v>362</v>
      </c>
      <c r="B42" s="556" t="s">
        <v>363</v>
      </c>
      <c r="C42" s="271">
        <v>0</v>
      </c>
      <c r="D42" s="271">
        <v>0</v>
      </c>
      <c r="E42" s="271">
        <v>0</v>
      </c>
      <c r="F42" s="271">
        <v>0</v>
      </c>
      <c r="G42" s="271">
        <v>0</v>
      </c>
      <c r="H42" s="271">
        <v>0</v>
      </c>
      <c r="I42" s="291"/>
    </row>
    <row r="43" spans="1:9" s="547" customFormat="1" ht="15" hidden="1" customHeight="1" x14ac:dyDescent="0.2">
      <c r="A43" s="555" t="s">
        <v>364</v>
      </c>
      <c r="B43" s="533" t="s">
        <v>365</v>
      </c>
      <c r="C43" s="271">
        <v>0</v>
      </c>
      <c r="D43" s="271">
        <v>0</v>
      </c>
      <c r="E43" s="271">
        <v>0</v>
      </c>
      <c r="F43" s="271">
        <v>0</v>
      </c>
      <c r="G43" s="271">
        <v>0</v>
      </c>
      <c r="H43" s="271">
        <v>0</v>
      </c>
      <c r="I43" s="280"/>
    </row>
    <row r="44" spans="1:9" s="547" customFormat="1" ht="15" hidden="1" customHeight="1" x14ac:dyDescent="0.2">
      <c r="A44" s="555" t="s">
        <v>366</v>
      </c>
      <c r="B44" s="533" t="s">
        <v>367</v>
      </c>
      <c r="C44" s="271">
        <v>0</v>
      </c>
      <c r="D44" s="271">
        <v>0</v>
      </c>
      <c r="E44" s="271">
        <v>0</v>
      </c>
      <c r="F44" s="271">
        <v>0</v>
      </c>
      <c r="G44" s="271">
        <v>0</v>
      </c>
      <c r="H44" s="271">
        <v>0</v>
      </c>
      <c r="I44" s="280"/>
    </row>
    <row r="45" spans="1:9" s="547" customFormat="1" ht="15" customHeight="1" thickBot="1" x14ac:dyDescent="0.25">
      <c r="A45" s="1211" t="s">
        <v>300</v>
      </c>
      <c r="B45" s="1212"/>
      <c r="C45" s="273">
        <f t="shared" ref="C45:H45" si="10">C13+C22+C30+C40</f>
        <v>845081314.99999988</v>
      </c>
      <c r="D45" s="273">
        <f t="shared" si="10"/>
        <v>436197797.66000009</v>
      </c>
      <c r="E45" s="273">
        <f t="shared" si="10"/>
        <v>1281279112.6600003</v>
      </c>
      <c r="F45" s="273">
        <f t="shared" si="10"/>
        <v>1236028556.8000002</v>
      </c>
      <c r="G45" s="273">
        <f t="shared" si="10"/>
        <v>1198371966.3600001</v>
      </c>
      <c r="H45" s="273">
        <f t="shared" si="10"/>
        <v>45250555.860000119</v>
      </c>
      <c r="I45" s="291"/>
    </row>
    <row r="46" spans="1:9" x14ac:dyDescent="0.2">
      <c r="I46" s="291"/>
    </row>
    <row r="47" spans="1:9" x14ac:dyDescent="0.2">
      <c r="I47" s="291"/>
    </row>
    <row r="48" spans="1:9" x14ac:dyDescent="0.2">
      <c r="I48" s="291"/>
    </row>
    <row r="49" spans="1:9" x14ac:dyDescent="0.2">
      <c r="I49" s="291"/>
    </row>
    <row r="50" spans="1:9" x14ac:dyDescent="0.2">
      <c r="I50" s="291"/>
    </row>
    <row r="51" spans="1:9" s="19" customFormat="1" ht="8.25" customHeight="1" x14ac:dyDescent="0.2">
      <c r="A51" s="21"/>
      <c r="B51" s="21"/>
      <c r="C51" s="22"/>
      <c r="D51" s="855"/>
      <c r="E51" s="22"/>
      <c r="F51" s="22"/>
      <c r="G51" s="22"/>
      <c r="H51" s="22"/>
      <c r="I51" s="291"/>
    </row>
    <row r="52" spans="1:9" s="19" customFormat="1" x14ac:dyDescent="0.2">
      <c r="A52" s="21"/>
      <c r="B52" s="21"/>
      <c r="C52" s="22"/>
      <c r="D52" s="22"/>
      <c r="E52" s="22"/>
      <c r="F52" s="22"/>
      <c r="G52" s="22"/>
      <c r="H52" s="22"/>
      <c r="I52" s="287"/>
    </row>
    <row r="53" spans="1:9" s="19" customFormat="1" x14ac:dyDescent="0.2">
      <c r="A53" s="21"/>
      <c r="B53" s="21"/>
      <c r="C53" s="22"/>
      <c r="D53" s="22"/>
      <c r="E53" s="22"/>
      <c r="F53" s="22"/>
      <c r="G53" s="22"/>
      <c r="H53" s="22"/>
      <c r="I53" s="280"/>
    </row>
    <row r="54" spans="1:9" s="19" customFormat="1" x14ac:dyDescent="0.2">
      <c r="A54" s="21"/>
      <c r="B54" s="21"/>
      <c r="C54" s="22"/>
      <c r="D54" s="22"/>
      <c r="E54" s="22"/>
      <c r="F54" s="22"/>
      <c r="G54" s="22"/>
      <c r="H54" s="22"/>
      <c r="I54" s="280"/>
    </row>
    <row r="55" spans="1:9" s="19" customFormat="1" x14ac:dyDescent="0.2">
      <c r="A55" s="21"/>
      <c r="B55" s="21"/>
      <c r="C55" s="22"/>
      <c r="D55" s="22"/>
      <c r="E55" s="22"/>
      <c r="F55" s="22"/>
      <c r="G55" s="22"/>
      <c r="H55" s="22"/>
      <c r="I55" s="287"/>
    </row>
    <row r="56" spans="1:9" s="19" customFormat="1" ht="14.25" customHeight="1" x14ac:dyDescent="0.2">
      <c r="A56" s="21"/>
      <c r="B56" s="21"/>
      <c r="C56" s="22"/>
      <c r="D56" s="22"/>
      <c r="E56" s="22"/>
      <c r="F56" s="22"/>
      <c r="G56" s="22"/>
      <c r="H56" s="22"/>
      <c r="I56" s="307"/>
    </row>
    <row r="57" spans="1:9" x14ac:dyDescent="0.2">
      <c r="I57" s="287"/>
    </row>
    <row r="58" spans="1:9" x14ac:dyDescent="0.2">
      <c r="I58" s="287"/>
    </row>
    <row r="59" spans="1:9" x14ac:dyDescent="0.2">
      <c r="I59" s="287"/>
    </row>
    <row r="60" spans="1:9" x14ac:dyDescent="0.2">
      <c r="I60" s="287"/>
    </row>
    <row r="61" spans="1:9" x14ac:dyDescent="0.2">
      <c r="I61" s="287"/>
    </row>
    <row r="62" spans="1:9" x14ac:dyDescent="0.2">
      <c r="I62" s="287"/>
    </row>
    <row r="63" spans="1:9" x14ac:dyDescent="0.2">
      <c r="I63" s="280"/>
    </row>
    <row r="64" spans="1:9" x14ac:dyDescent="0.2">
      <c r="I64" s="280"/>
    </row>
    <row r="65" spans="9:9" x14ac:dyDescent="0.2">
      <c r="I65" s="280"/>
    </row>
    <row r="66" spans="9:9" x14ac:dyDescent="0.2">
      <c r="I66" s="287"/>
    </row>
    <row r="67" spans="9:9" x14ac:dyDescent="0.2">
      <c r="I67" s="287"/>
    </row>
    <row r="68" spans="9:9" x14ac:dyDescent="0.2">
      <c r="I68" s="287"/>
    </row>
    <row r="69" spans="9:9" x14ac:dyDescent="0.2">
      <c r="I69" s="280"/>
    </row>
    <row r="70" spans="9:9" x14ac:dyDescent="0.2">
      <c r="I70" s="287"/>
    </row>
    <row r="71" spans="9:9" x14ac:dyDescent="0.2">
      <c r="I71" s="287"/>
    </row>
    <row r="72" spans="9:9" x14ac:dyDescent="0.2">
      <c r="I72" s="287"/>
    </row>
    <row r="73" spans="9:9" x14ac:dyDescent="0.2">
      <c r="I73" s="287"/>
    </row>
    <row r="74" spans="9:9" x14ac:dyDescent="0.2">
      <c r="I74" s="287"/>
    </row>
    <row r="75" spans="9:9" x14ac:dyDescent="0.2">
      <c r="I75" s="287"/>
    </row>
    <row r="76" spans="9:9" x14ac:dyDescent="0.2">
      <c r="I76" s="287"/>
    </row>
    <row r="77" spans="9:9" x14ac:dyDescent="0.2">
      <c r="I77" s="287"/>
    </row>
    <row r="78" spans="9:9" x14ac:dyDescent="0.2">
      <c r="I78" s="287"/>
    </row>
    <row r="79" spans="9:9" x14ac:dyDescent="0.2">
      <c r="I79" s="287"/>
    </row>
    <row r="80" spans="9:9" x14ac:dyDescent="0.2">
      <c r="I80" s="287"/>
    </row>
    <row r="81" spans="9:9" x14ac:dyDescent="0.2">
      <c r="I81" s="287"/>
    </row>
    <row r="82" spans="9:9" x14ac:dyDescent="0.2">
      <c r="I82" s="280"/>
    </row>
    <row r="83" spans="9:9" x14ac:dyDescent="0.2">
      <c r="I83" s="280"/>
    </row>
    <row r="84" spans="9:9" x14ac:dyDescent="0.2">
      <c r="I84" s="287"/>
    </row>
    <row r="85" spans="9:9" x14ac:dyDescent="0.2">
      <c r="I85" s="287"/>
    </row>
    <row r="86" spans="9:9" x14ac:dyDescent="0.2">
      <c r="I86" s="291"/>
    </row>
    <row r="87" spans="9:9" x14ac:dyDescent="0.2">
      <c r="I87" s="291"/>
    </row>
    <row r="88" spans="9:9" x14ac:dyDescent="0.2">
      <c r="I88" s="291"/>
    </row>
    <row r="89" spans="9:9" x14ac:dyDescent="0.2">
      <c r="I89" s="287"/>
    </row>
    <row r="90" spans="9:9" x14ac:dyDescent="0.2">
      <c r="I90" s="280"/>
    </row>
    <row r="91" spans="9:9" x14ac:dyDescent="0.2">
      <c r="I91" s="280"/>
    </row>
    <row r="92" spans="9:9" x14ac:dyDescent="0.2">
      <c r="I92" s="287"/>
    </row>
    <row r="94" spans="9:9" x14ac:dyDescent="0.2">
      <c r="I94" s="280"/>
    </row>
    <row r="95" spans="9:9" x14ac:dyDescent="0.2">
      <c r="I95" s="306"/>
    </row>
    <row r="96" spans="9:9" x14ac:dyDescent="0.2">
      <c r="I96" s="291"/>
    </row>
    <row r="97" spans="9:9" x14ac:dyDescent="0.2">
      <c r="I97" s="280"/>
    </row>
    <row r="98" spans="9:9" x14ac:dyDescent="0.2">
      <c r="I98" s="280"/>
    </row>
    <row r="99" spans="9:9" x14ac:dyDescent="0.2">
      <c r="I99" s="280"/>
    </row>
    <row r="100" spans="9:9" x14ac:dyDescent="0.2">
      <c r="I100" s="280"/>
    </row>
    <row r="101" spans="9:9" x14ac:dyDescent="0.2">
      <c r="I101" s="280"/>
    </row>
    <row r="102" spans="9:9" x14ac:dyDescent="0.2">
      <c r="I102" s="280"/>
    </row>
    <row r="103" spans="9:9" x14ac:dyDescent="0.2">
      <c r="I103" s="312"/>
    </row>
    <row r="104" spans="9:9" x14ac:dyDescent="0.2">
      <c r="I104" s="312"/>
    </row>
    <row r="105" spans="9:9" x14ac:dyDescent="0.2">
      <c r="I105" s="818"/>
    </row>
    <row r="106" spans="9:9" x14ac:dyDescent="0.2">
      <c r="I106" s="818"/>
    </row>
    <row r="116" spans="9:9" x14ac:dyDescent="0.2">
      <c r="I116" s="306"/>
    </row>
    <row r="117" spans="9:9" x14ac:dyDescent="0.2">
      <c r="I117" s="306"/>
    </row>
    <row r="118" spans="9:9" x14ac:dyDescent="0.2">
      <c r="I118" s="306"/>
    </row>
    <row r="128" spans="9:9" x14ac:dyDescent="0.2">
      <c r="I128" s="306"/>
    </row>
    <row r="138" spans="9:9" x14ac:dyDescent="0.2">
      <c r="I138" s="306"/>
    </row>
    <row r="139" spans="9:9" x14ac:dyDescent="0.2">
      <c r="I139" s="306"/>
    </row>
    <row r="140" spans="9:9" x14ac:dyDescent="0.2">
      <c r="I140" s="306"/>
    </row>
    <row r="142" spans="9:9" x14ac:dyDescent="0.2">
      <c r="I142" s="306"/>
    </row>
  </sheetData>
  <mergeCells count="9">
    <mergeCell ref="A45:B45"/>
    <mergeCell ref="A2:H2"/>
    <mergeCell ref="I2:I5"/>
    <mergeCell ref="A3:H3"/>
    <mergeCell ref="A4:H4"/>
    <mergeCell ref="A5:H5"/>
    <mergeCell ref="A10:B12"/>
    <mergeCell ref="C10:G10"/>
    <mergeCell ref="H10:H11"/>
  </mergeCells>
  <printOptions horizontalCentered="1"/>
  <pageMargins left="0.15748031496062992" right="0.15748031496062992" top="0.27559055118110237" bottom="0.51181102362204722" header="0.31496062992125984" footer="0.31496062992125984"/>
  <pageSetup scale="82" fitToHeight="0" orientation="landscape" r:id="rId1"/>
  <headerFooter>
    <oddFooter>&amp;C“Bajo protesta de decir verdad declaramos que los Estados Financieros y sus notas, son razonablemente correctos y son responsabilidad del emisor”</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26"/>
  <sheetViews>
    <sheetView view="pageBreakPreview" zoomScale="60" zoomScaleNormal="100" workbookViewId="0"/>
  </sheetViews>
  <sheetFormatPr baseColWidth="10" defaultColWidth="11.42578125" defaultRowHeight="12.75" x14ac:dyDescent="0.2"/>
  <cols>
    <col min="1" max="1" width="6.28515625" style="537" bestFit="1" customWidth="1"/>
    <col min="2" max="2" width="66.28515625" style="537" bestFit="1" customWidth="1"/>
    <col min="3" max="3" width="13.7109375" style="538" customWidth="1"/>
    <col min="4" max="4" width="15" style="538" customWidth="1"/>
    <col min="5" max="5" width="16.85546875" style="538" customWidth="1"/>
    <col min="6" max="6" width="14.85546875" style="538" customWidth="1"/>
    <col min="7" max="8" width="13.7109375" style="538" customWidth="1"/>
    <col min="9" max="9" width="3.5703125" style="307" bestFit="1" customWidth="1"/>
    <col min="10" max="10" width="13.42578125" style="540" bestFit="1" customWidth="1"/>
    <col min="11" max="16384" width="11.42578125" style="540"/>
  </cols>
  <sheetData>
    <row r="1" spans="1:9" x14ac:dyDescent="0.2">
      <c r="H1" s="539"/>
      <c r="I1" s="615"/>
    </row>
    <row r="2" spans="1:9" ht="15.75" customHeight="1" x14ac:dyDescent="0.25">
      <c r="A2" s="1198" t="s">
        <v>782</v>
      </c>
      <c r="B2" s="1198"/>
      <c r="C2" s="1198"/>
      <c r="D2" s="1198"/>
      <c r="E2" s="1198"/>
      <c r="F2" s="1198"/>
      <c r="G2" s="1198"/>
      <c r="H2" s="1198"/>
      <c r="I2" s="1185">
        <v>9.5</v>
      </c>
    </row>
    <row r="3" spans="1:9" ht="15.75" customHeight="1" x14ac:dyDescent="0.25">
      <c r="A3" s="1199" t="s">
        <v>239</v>
      </c>
      <c r="B3" s="1199"/>
      <c r="C3" s="1199"/>
      <c r="D3" s="1199"/>
      <c r="E3" s="1199"/>
      <c r="F3" s="1199"/>
      <c r="G3" s="1199"/>
      <c r="H3" s="1199"/>
      <c r="I3" s="1185"/>
    </row>
    <row r="4" spans="1:9" ht="15.75" customHeight="1" x14ac:dyDescent="0.25">
      <c r="A4" s="1199" t="s">
        <v>2443</v>
      </c>
      <c r="B4" s="1199"/>
      <c r="C4" s="1199"/>
      <c r="D4" s="1199"/>
      <c r="E4" s="1199"/>
      <c r="F4" s="1199"/>
      <c r="G4" s="1199"/>
      <c r="H4" s="1199"/>
      <c r="I4" s="1185"/>
    </row>
    <row r="5" spans="1:9" ht="15.75" customHeight="1" x14ac:dyDescent="0.25">
      <c r="A5" s="1199" t="s">
        <v>8659</v>
      </c>
      <c r="B5" s="1199"/>
      <c r="C5" s="1199"/>
      <c r="D5" s="1199"/>
      <c r="E5" s="1199"/>
      <c r="F5" s="1199"/>
      <c r="G5" s="1199"/>
      <c r="H5" s="1199"/>
      <c r="I5" s="1185"/>
    </row>
    <row r="6" spans="1:9" ht="15.75" customHeight="1" x14ac:dyDescent="0.25">
      <c r="A6" s="822"/>
      <c r="B6" s="822"/>
      <c r="C6" s="822"/>
      <c r="D6" s="822"/>
      <c r="E6" s="822"/>
      <c r="F6" s="822"/>
      <c r="G6" s="822"/>
      <c r="H6" s="822"/>
      <c r="I6" s="616"/>
    </row>
    <row r="7" spans="1:9" ht="15.75" customHeight="1" x14ac:dyDescent="0.25">
      <c r="A7" s="822"/>
      <c r="B7" s="822"/>
      <c r="C7" s="822"/>
      <c r="D7" s="822"/>
      <c r="E7" s="822"/>
      <c r="F7" s="822"/>
      <c r="G7" s="822"/>
      <c r="H7" s="822"/>
      <c r="I7" s="616"/>
    </row>
    <row r="8" spans="1:9" ht="15.75" customHeight="1" x14ac:dyDescent="0.25">
      <c r="A8" s="822"/>
      <c r="B8" s="822"/>
      <c r="C8" s="822"/>
      <c r="D8" s="822"/>
      <c r="E8" s="822"/>
      <c r="F8" s="822"/>
      <c r="G8" s="822"/>
      <c r="H8" s="822"/>
      <c r="I8" s="616"/>
    </row>
    <row r="9" spans="1:9" ht="15.75" customHeight="1" x14ac:dyDescent="0.25">
      <c r="A9" s="822"/>
      <c r="B9" s="822"/>
      <c r="C9" s="822"/>
      <c r="D9" s="822"/>
      <c r="E9" s="822"/>
      <c r="F9" s="822"/>
      <c r="G9" s="822"/>
      <c r="H9" s="822"/>
      <c r="I9" s="616"/>
    </row>
    <row r="10" spans="1:9" ht="13.5" thickBot="1" x14ac:dyDescent="0.25">
      <c r="A10" s="541"/>
      <c r="G10" s="542"/>
      <c r="H10" s="539"/>
      <c r="I10" s="295"/>
    </row>
    <row r="11" spans="1:9" s="544" customFormat="1" x14ac:dyDescent="0.2">
      <c r="A11" s="1200" t="s">
        <v>201</v>
      </c>
      <c r="B11" s="1201"/>
      <c r="C11" s="1206" t="s">
        <v>241</v>
      </c>
      <c r="D11" s="1207"/>
      <c r="E11" s="1207"/>
      <c r="F11" s="1207"/>
      <c r="G11" s="1208"/>
      <c r="H11" s="1209" t="s">
        <v>242</v>
      </c>
      <c r="I11" s="291"/>
    </row>
    <row r="12" spans="1:9" ht="26.25" thickBot="1" x14ac:dyDescent="0.25">
      <c r="A12" s="1202"/>
      <c r="B12" s="1203"/>
      <c r="C12" s="823" t="s">
        <v>243</v>
      </c>
      <c r="D12" s="823" t="s">
        <v>244</v>
      </c>
      <c r="E12" s="823" t="s">
        <v>245</v>
      </c>
      <c r="F12" s="823" t="s">
        <v>220</v>
      </c>
      <c r="G12" s="823" t="s">
        <v>246</v>
      </c>
      <c r="H12" s="1210"/>
      <c r="I12" s="280"/>
    </row>
    <row r="13" spans="1:9" ht="15" customHeight="1" thickBot="1" x14ac:dyDescent="0.25">
      <c r="A13" s="1204"/>
      <c r="B13" s="1205"/>
      <c r="C13" s="545">
        <v>1</v>
      </c>
      <c r="D13" s="545">
        <v>2</v>
      </c>
      <c r="E13" s="545" t="s">
        <v>247</v>
      </c>
      <c r="F13" s="545">
        <v>4</v>
      </c>
      <c r="G13" s="545">
        <v>5</v>
      </c>
      <c r="H13" s="545" t="s">
        <v>248</v>
      </c>
      <c r="I13" s="280"/>
    </row>
    <row r="14" spans="1:9" s="547" customFormat="1" ht="15" customHeight="1" x14ac:dyDescent="0.2">
      <c r="A14" s="869">
        <v>1</v>
      </c>
      <c r="B14" s="868" t="s">
        <v>2444</v>
      </c>
      <c r="C14" s="867">
        <f t="shared" ref="C14:H14" si="0">SUM(C15:C18)</f>
        <v>828364382.97000003</v>
      </c>
      <c r="D14" s="867">
        <f t="shared" si="0"/>
        <v>424415742.56999981</v>
      </c>
      <c r="E14" s="867">
        <f t="shared" si="0"/>
        <v>1252780125.5399997</v>
      </c>
      <c r="F14" s="867">
        <f t="shared" si="0"/>
        <v>1207529569.6800001</v>
      </c>
      <c r="G14" s="867">
        <f t="shared" si="0"/>
        <v>1169872979.24</v>
      </c>
      <c r="H14" s="866">
        <f t="shared" si="0"/>
        <v>45250555.859999761</v>
      </c>
      <c r="I14" s="280"/>
    </row>
    <row r="15" spans="1:9" s="547" customFormat="1" x14ac:dyDescent="0.2">
      <c r="A15" s="555" t="s">
        <v>311</v>
      </c>
      <c r="B15" s="533" t="s">
        <v>2445</v>
      </c>
      <c r="C15" s="271">
        <v>67542134.909999996</v>
      </c>
      <c r="D15" s="271">
        <v>-21215882.559999999</v>
      </c>
      <c r="E15" s="271">
        <f>C15+D15</f>
        <v>46326252.349999994</v>
      </c>
      <c r="F15" s="271">
        <v>46326224.009999998</v>
      </c>
      <c r="G15" s="271">
        <v>46326224.009999998</v>
      </c>
      <c r="H15" s="861">
        <f>E15-F15</f>
        <v>28.339999996125698</v>
      </c>
      <c r="I15" s="280"/>
    </row>
    <row r="16" spans="1:9" s="547" customFormat="1" x14ac:dyDescent="0.2">
      <c r="A16" s="555" t="s">
        <v>313</v>
      </c>
      <c r="B16" s="533" t="s">
        <v>2446</v>
      </c>
      <c r="C16" s="271">
        <v>691367777.95000005</v>
      </c>
      <c r="D16" s="271">
        <v>475987711.19999981</v>
      </c>
      <c r="E16" s="271">
        <f>C16+D16</f>
        <v>1167355489.1499999</v>
      </c>
      <c r="F16" s="271">
        <f>1103419098.65+17665353+1020510</f>
        <v>1122104961.6500001</v>
      </c>
      <c r="G16" s="271">
        <f>1065762508.21+17665353+1020510</f>
        <v>1084448371.21</v>
      </c>
      <c r="H16" s="861">
        <f>E16-F16</f>
        <v>45250527.499999762</v>
      </c>
      <c r="I16" s="280"/>
    </row>
    <row r="17" spans="1:10" s="547" customFormat="1" x14ac:dyDescent="0.2">
      <c r="A17" s="555">
        <v>1.3</v>
      </c>
      <c r="B17" s="533" t="s">
        <v>2447</v>
      </c>
      <c r="C17" s="271">
        <v>0</v>
      </c>
      <c r="D17" s="271">
        <v>0</v>
      </c>
      <c r="E17" s="271">
        <f>C17+D17</f>
        <v>0</v>
      </c>
      <c r="F17" s="271">
        <v>0</v>
      </c>
      <c r="G17" s="271">
        <v>0</v>
      </c>
      <c r="H17" s="861">
        <f>E17-F17</f>
        <v>0</v>
      </c>
      <c r="I17" s="280"/>
    </row>
    <row r="18" spans="1:10" s="547" customFormat="1" x14ac:dyDescent="0.2">
      <c r="A18" s="555" t="s">
        <v>319</v>
      </c>
      <c r="B18" s="533" t="s">
        <v>2448</v>
      </c>
      <c r="C18" s="271">
        <v>69454470.109999999</v>
      </c>
      <c r="D18" s="271">
        <v>-30356086.069999993</v>
      </c>
      <c r="E18" s="271">
        <f>C18+D18</f>
        <v>39098384.040000007</v>
      </c>
      <c r="F18" s="271">
        <v>39098384.020000003</v>
      </c>
      <c r="G18" s="271">
        <v>39098384.020000003</v>
      </c>
      <c r="H18" s="861">
        <f>E18-F18</f>
        <v>2.0000003278255463E-2</v>
      </c>
      <c r="I18" s="280"/>
    </row>
    <row r="19" spans="1:10" s="863" customFormat="1" hidden="1" x14ac:dyDescent="0.2">
      <c r="A19" s="810">
        <v>2</v>
      </c>
      <c r="B19" s="811" t="s">
        <v>7585</v>
      </c>
      <c r="C19" s="812">
        <f t="shared" ref="C19:H19" si="1">SUM(C20:C20)</f>
        <v>0</v>
      </c>
      <c r="D19" s="812">
        <f t="shared" si="1"/>
        <v>0</v>
      </c>
      <c r="E19" s="812">
        <f t="shared" si="1"/>
        <v>0</v>
      </c>
      <c r="F19" s="812">
        <f t="shared" si="1"/>
        <v>0</v>
      </c>
      <c r="G19" s="812">
        <f t="shared" si="1"/>
        <v>0</v>
      </c>
      <c r="H19" s="865">
        <f t="shared" si="1"/>
        <v>0</v>
      </c>
      <c r="I19" s="280"/>
    </row>
    <row r="20" spans="1:10" s="863" customFormat="1" hidden="1" x14ac:dyDescent="0.2">
      <c r="A20" s="813">
        <v>2.1</v>
      </c>
      <c r="B20" s="814" t="s">
        <v>7585</v>
      </c>
      <c r="C20" s="815">
        <v>0</v>
      </c>
      <c r="D20" s="815">
        <v>0</v>
      </c>
      <c r="E20" s="815">
        <v>0</v>
      </c>
      <c r="F20" s="815">
        <v>0</v>
      </c>
      <c r="G20" s="815">
        <v>0</v>
      </c>
      <c r="H20" s="864">
        <v>0</v>
      </c>
      <c r="I20" s="280"/>
    </row>
    <row r="21" spans="1:10" s="547" customFormat="1" x14ac:dyDescent="0.2">
      <c r="A21" s="553">
        <v>3</v>
      </c>
      <c r="B21" s="209" t="s">
        <v>2449</v>
      </c>
      <c r="C21" s="272">
        <f t="shared" ref="C21:H21" si="2">SUM(C22:C22)</f>
        <v>6716932.0300000003</v>
      </c>
      <c r="D21" s="272">
        <f t="shared" si="2"/>
        <v>-754209.11</v>
      </c>
      <c r="E21" s="272">
        <f t="shared" si="2"/>
        <v>5962722.9199999999</v>
      </c>
      <c r="F21" s="272">
        <f t="shared" si="2"/>
        <v>5962722.9199999999</v>
      </c>
      <c r="G21" s="272">
        <f t="shared" si="2"/>
        <v>5962722.9199999999</v>
      </c>
      <c r="H21" s="862">
        <f t="shared" si="2"/>
        <v>0</v>
      </c>
      <c r="I21" s="280"/>
    </row>
    <row r="22" spans="1:10" s="547" customFormat="1" x14ac:dyDescent="0.2">
      <c r="A22" s="555">
        <v>3.1</v>
      </c>
      <c r="B22" s="533" t="s">
        <v>2449</v>
      </c>
      <c r="C22" s="271">
        <v>6716932.0300000003</v>
      </c>
      <c r="D22" s="271">
        <v>-754209.11</v>
      </c>
      <c r="E22" s="271">
        <f>C22+D22</f>
        <v>5962722.9199999999</v>
      </c>
      <c r="F22" s="271">
        <v>5962722.9199999999</v>
      </c>
      <c r="G22" s="271">
        <v>5962722.9199999999</v>
      </c>
      <c r="H22" s="861">
        <f>E22-F22</f>
        <v>0</v>
      </c>
      <c r="I22" s="280"/>
    </row>
    <row r="23" spans="1:10" s="547" customFormat="1" x14ac:dyDescent="0.2">
      <c r="A23" s="553">
        <v>4</v>
      </c>
      <c r="B23" s="209" t="s">
        <v>367</v>
      </c>
      <c r="C23" s="272">
        <f t="shared" ref="C23:H23" si="3">SUM(C24:C24)</f>
        <v>10000000</v>
      </c>
      <c r="D23" s="272">
        <f t="shared" si="3"/>
        <v>12536264.200000003</v>
      </c>
      <c r="E23" s="272">
        <f t="shared" si="3"/>
        <v>22536264.200000003</v>
      </c>
      <c r="F23" s="272">
        <f t="shared" si="3"/>
        <v>22536264.199999999</v>
      </c>
      <c r="G23" s="272">
        <f t="shared" si="3"/>
        <v>22536264.199999999</v>
      </c>
      <c r="H23" s="862">
        <f t="shared" si="3"/>
        <v>0</v>
      </c>
      <c r="I23" s="280"/>
    </row>
    <row r="24" spans="1:10" s="547" customFormat="1" x14ac:dyDescent="0.2">
      <c r="A24" s="555" t="s">
        <v>360</v>
      </c>
      <c r="B24" s="533" t="s">
        <v>367</v>
      </c>
      <c r="C24" s="271">
        <v>10000000</v>
      </c>
      <c r="D24" s="271">
        <v>12536264.200000003</v>
      </c>
      <c r="E24" s="271">
        <f>C24+D24</f>
        <v>22536264.200000003</v>
      </c>
      <c r="F24" s="271">
        <v>22536264.199999999</v>
      </c>
      <c r="G24" s="271">
        <v>22536264.199999999</v>
      </c>
      <c r="H24" s="861">
        <f>E24-F24</f>
        <v>0</v>
      </c>
      <c r="I24" s="295"/>
    </row>
    <row r="25" spans="1:10" s="547" customFormat="1" ht="15" customHeight="1" thickBot="1" x14ac:dyDescent="0.25">
      <c r="A25" s="1211" t="s">
        <v>300</v>
      </c>
      <c r="B25" s="1212"/>
      <c r="C25" s="273">
        <f t="shared" ref="C25:H25" si="4">C14+C21+C23+C19</f>
        <v>845081315</v>
      </c>
      <c r="D25" s="273">
        <f t="shared" si="4"/>
        <v>436197797.65999979</v>
      </c>
      <c r="E25" s="273">
        <f t="shared" si="4"/>
        <v>1281279112.6599998</v>
      </c>
      <c r="F25" s="273">
        <f t="shared" si="4"/>
        <v>1236028556.8000002</v>
      </c>
      <c r="G25" s="273">
        <f t="shared" si="4"/>
        <v>1198371966.3600001</v>
      </c>
      <c r="H25" s="860">
        <f t="shared" si="4"/>
        <v>45250555.859999761</v>
      </c>
      <c r="I25" s="291"/>
      <c r="J25" s="620"/>
    </row>
    <row r="26" spans="1:10" x14ac:dyDescent="0.2">
      <c r="I26" s="291"/>
    </row>
    <row r="27" spans="1:10" s="856" customFormat="1" x14ac:dyDescent="0.2">
      <c r="A27" s="857"/>
      <c r="B27" s="857"/>
      <c r="C27" s="858"/>
      <c r="D27" s="858"/>
      <c r="E27" s="858"/>
      <c r="F27" s="859"/>
      <c r="G27" s="859"/>
      <c r="H27" s="858"/>
      <c r="I27" s="291"/>
    </row>
    <row r="28" spans="1:10" s="856" customFormat="1" x14ac:dyDescent="0.2">
      <c r="A28" s="857"/>
      <c r="B28" s="857"/>
      <c r="C28" s="538"/>
      <c r="D28" s="538"/>
      <c r="E28" s="538"/>
      <c r="F28" s="538"/>
      <c r="G28" s="538"/>
      <c r="H28" s="538"/>
      <c r="I28" s="291"/>
    </row>
    <row r="29" spans="1:10" s="856" customFormat="1" x14ac:dyDescent="0.2">
      <c r="A29" s="857"/>
      <c r="B29" s="857"/>
      <c r="C29" s="538"/>
      <c r="D29" s="538"/>
      <c r="E29" s="538"/>
      <c r="F29" s="538"/>
      <c r="G29" s="538"/>
      <c r="H29" s="538"/>
      <c r="I29" s="291"/>
    </row>
    <row r="30" spans="1:10" s="856" customFormat="1" x14ac:dyDescent="0.2">
      <c r="A30" s="857"/>
      <c r="B30" s="857"/>
      <c r="C30" s="538"/>
      <c r="D30" s="538"/>
      <c r="E30" s="538"/>
      <c r="F30" s="538"/>
      <c r="G30" s="538"/>
      <c r="H30" s="538"/>
      <c r="I30" s="291"/>
    </row>
    <row r="31" spans="1:10" x14ac:dyDescent="0.2">
      <c r="I31" s="291"/>
    </row>
    <row r="32" spans="1:10" s="19" customFormat="1" ht="8.25" customHeight="1" x14ac:dyDescent="0.2">
      <c r="A32" s="21"/>
      <c r="B32" s="21"/>
      <c r="C32" s="22"/>
      <c r="D32" s="855"/>
      <c r="E32" s="22"/>
      <c r="F32" s="22"/>
      <c r="G32" s="22"/>
      <c r="H32" s="22"/>
      <c r="I32" s="291"/>
    </row>
    <row r="33" spans="1:9" s="19" customFormat="1" x14ac:dyDescent="0.2">
      <c r="A33" s="21"/>
      <c r="B33" s="21"/>
      <c r="C33" s="22"/>
      <c r="D33" s="22"/>
      <c r="E33" s="22"/>
      <c r="F33" s="22"/>
      <c r="G33" s="22"/>
      <c r="H33" s="22"/>
      <c r="I33" s="287"/>
    </row>
    <row r="34" spans="1:9" s="19" customFormat="1" x14ac:dyDescent="0.2">
      <c r="A34" s="21"/>
      <c r="B34" s="21"/>
      <c r="C34" s="22"/>
      <c r="D34" s="22"/>
      <c r="E34" s="22"/>
      <c r="F34" s="22"/>
      <c r="G34" s="22"/>
      <c r="H34" s="22"/>
      <c r="I34" s="280"/>
    </row>
    <row r="35" spans="1:9" s="19" customFormat="1" x14ac:dyDescent="0.2">
      <c r="A35" s="21"/>
      <c r="B35" s="21"/>
      <c r="C35" s="22"/>
      <c r="D35" s="22"/>
      <c r="E35" s="22"/>
      <c r="F35" s="22"/>
      <c r="G35" s="22"/>
      <c r="H35" s="22"/>
      <c r="I35" s="280"/>
    </row>
    <row r="36" spans="1:9" s="19" customFormat="1" x14ac:dyDescent="0.2">
      <c r="A36" s="21"/>
      <c r="B36" s="21"/>
      <c r="C36" s="22"/>
      <c r="D36" s="22"/>
      <c r="E36" s="22"/>
      <c r="F36" s="22"/>
      <c r="G36" s="22"/>
      <c r="H36" s="22"/>
      <c r="I36" s="287"/>
    </row>
    <row r="37" spans="1:9" s="19" customFormat="1" ht="14.25" customHeight="1" x14ac:dyDescent="0.2">
      <c r="A37" s="21"/>
      <c r="B37" s="21"/>
      <c r="C37" s="22"/>
      <c r="D37" s="22"/>
      <c r="E37" s="22"/>
      <c r="F37" s="22"/>
      <c r="G37" s="22"/>
      <c r="H37" s="22"/>
      <c r="I37" s="307"/>
    </row>
    <row r="38" spans="1:9" x14ac:dyDescent="0.2">
      <c r="I38" s="291"/>
    </row>
    <row r="39" spans="1:9" x14ac:dyDescent="0.2">
      <c r="I39" s="291"/>
    </row>
    <row r="40" spans="1:9" x14ac:dyDescent="0.2">
      <c r="I40" s="291"/>
    </row>
    <row r="41" spans="1:9" x14ac:dyDescent="0.2">
      <c r="I41" s="291"/>
    </row>
    <row r="42" spans="1:9" x14ac:dyDescent="0.2">
      <c r="I42" s="287"/>
    </row>
    <row r="43" spans="1:9" x14ac:dyDescent="0.2">
      <c r="I43" s="287"/>
    </row>
    <row r="44" spans="1:9" x14ac:dyDescent="0.2">
      <c r="I44" s="287"/>
    </row>
    <row r="45" spans="1:9" x14ac:dyDescent="0.2">
      <c r="I45" s="287"/>
    </row>
    <row r="46" spans="1:9" x14ac:dyDescent="0.2">
      <c r="I46" s="287"/>
    </row>
    <row r="47" spans="1:9" x14ac:dyDescent="0.2">
      <c r="I47" s="280"/>
    </row>
    <row r="48" spans="1:9" x14ac:dyDescent="0.2">
      <c r="I48" s="280"/>
    </row>
    <row r="49" spans="9:9" x14ac:dyDescent="0.2">
      <c r="I49" s="280"/>
    </row>
    <row r="50" spans="9:9" x14ac:dyDescent="0.2">
      <c r="I50" s="287"/>
    </row>
    <row r="51" spans="9:9" x14ac:dyDescent="0.2">
      <c r="I51" s="287"/>
    </row>
    <row r="52" spans="9:9" x14ac:dyDescent="0.2">
      <c r="I52" s="287"/>
    </row>
    <row r="53" spans="9:9" x14ac:dyDescent="0.2">
      <c r="I53" s="280"/>
    </row>
    <row r="54" spans="9:9" x14ac:dyDescent="0.2">
      <c r="I54" s="287"/>
    </row>
    <row r="55" spans="9:9" x14ac:dyDescent="0.2">
      <c r="I55" s="287"/>
    </row>
    <row r="56" spans="9:9" x14ac:dyDescent="0.2">
      <c r="I56" s="287"/>
    </row>
    <row r="57" spans="9:9" x14ac:dyDescent="0.2">
      <c r="I57" s="287"/>
    </row>
    <row r="58" spans="9:9" x14ac:dyDescent="0.2">
      <c r="I58" s="287"/>
    </row>
    <row r="59" spans="9:9" x14ac:dyDescent="0.2">
      <c r="I59" s="287"/>
    </row>
    <row r="60" spans="9:9" x14ac:dyDescent="0.2">
      <c r="I60" s="287"/>
    </row>
    <row r="61" spans="9:9" x14ac:dyDescent="0.2">
      <c r="I61" s="287"/>
    </row>
    <row r="62" spans="9:9" x14ac:dyDescent="0.2">
      <c r="I62" s="287"/>
    </row>
    <row r="63" spans="9:9" x14ac:dyDescent="0.2">
      <c r="I63" s="287"/>
    </row>
    <row r="64" spans="9:9" x14ac:dyDescent="0.2">
      <c r="I64" s="287"/>
    </row>
    <row r="65" spans="9:9" x14ac:dyDescent="0.2">
      <c r="I65" s="287"/>
    </row>
    <row r="66" spans="9:9" x14ac:dyDescent="0.2">
      <c r="I66" s="280"/>
    </row>
    <row r="67" spans="9:9" x14ac:dyDescent="0.2">
      <c r="I67" s="280"/>
    </row>
    <row r="68" spans="9:9" x14ac:dyDescent="0.2">
      <c r="I68" s="287"/>
    </row>
    <row r="69" spans="9:9" x14ac:dyDescent="0.2">
      <c r="I69" s="287"/>
    </row>
    <row r="70" spans="9:9" x14ac:dyDescent="0.2">
      <c r="I70" s="291"/>
    </row>
    <row r="71" spans="9:9" x14ac:dyDescent="0.2">
      <c r="I71" s="291"/>
    </row>
    <row r="72" spans="9:9" x14ac:dyDescent="0.2">
      <c r="I72" s="291"/>
    </row>
    <row r="73" spans="9:9" x14ac:dyDescent="0.2">
      <c r="I73" s="287"/>
    </row>
    <row r="74" spans="9:9" x14ac:dyDescent="0.2">
      <c r="I74" s="280"/>
    </row>
    <row r="75" spans="9:9" x14ac:dyDescent="0.2">
      <c r="I75" s="280"/>
    </row>
    <row r="76" spans="9:9" x14ac:dyDescent="0.2">
      <c r="I76" s="287"/>
    </row>
    <row r="78" spans="9:9" x14ac:dyDescent="0.2">
      <c r="I78" s="280"/>
    </row>
    <row r="79" spans="9:9" x14ac:dyDescent="0.2">
      <c r="I79" s="306"/>
    </row>
    <row r="80" spans="9:9" x14ac:dyDescent="0.2">
      <c r="I80" s="291"/>
    </row>
    <row r="81" spans="9:9" x14ac:dyDescent="0.2">
      <c r="I81" s="280"/>
    </row>
    <row r="82" spans="9:9" x14ac:dyDescent="0.2">
      <c r="I82" s="280"/>
    </row>
    <row r="83" spans="9:9" x14ac:dyDescent="0.2">
      <c r="I83" s="280"/>
    </row>
    <row r="84" spans="9:9" x14ac:dyDescent="0.2">
      <c r="I84" s="280"/>
    </row>
    <row r="85" spans="9:9" x14ac:dyDescent="0.2">
      <c r="I85" s="280"/>
    </row>
    <row r="86" spans="9:9" x14ac:dyDescent="0.2">
      <c r="I86" s="280"/>
    </row>
    <row r="87" spans="9:9" x14ac:dyDescent="0.2">
      <c r="I87" s="312"/>
    </row>
    <row r="88" spans="9:9" x14ac:dyDescent="0.2">
      <c r="I88" s="312"/>
    </row>
    <row r="89" spans="9:9" x14ac:dyDescent="0.2">
      <c r="I89" s="818"/>
    </row>
    <row r="90" spans="9:9" x14ac:dyDescent="0.2">
      <c r="I90" s="818"/>
    </row>
    <row r="100" spans="9:9" x14ac:dyDescent="0.2">
      <c r="I100" s="306"/>
    </row>
    <row r="101" spans="9:9" x14ac:dyDescent="0.2">
      <c r="I101" s="306"/>
    </row>
    <row r="102" spans="9:9" x14ac:dyDescent="0.2">
      <c r="I102" s="306"/>
    </row>
    <row r="112" spans="9:9" x14ac:dyDescent="0.2">
      <c r="I112" s="306"/>
    </row>
    <row r="122" spans="9:9" x14ac:dyDescent="0.2">
      <c r="I122" s="306"/>
    </row>
    <row r="123" spans="9:9" x14ac:dyDescent="0.2">
      <c r="I123" s="306"/>
    </row>
    <row r="124" spans="9:9" x14ac:dyDescent="0.2">
      <c r="I124" s="306"/>
    </row>
    <row r="126" spans="9:9" x14ac:dyDescent="0.2">
      <c r="I126" s="306"/>
    </row>
  </sheetData>
  <mergeCells count="9">
    <mergeCell ref="A25:B25"/>
    <mergeCell ref="A2:H2"/>
    <mergeCell ref="I2:I5"/>
    <mergeCell ref="A3:H3"/>
    <mergeCell ref="A4:H4"/>
    <mergeCell ref="A5:H5"/>
    <mergeCell ref="A11:B13"/>
    <mergeCell ref="C11:G11"/>
    <mergeCell ref="H11:H12"/>
  </mergeCells>
  <printOptions horizontalCentered="1"/>
  <pageMargins left="0.15748031496062992" right="0.15748031496062992" top="0.27559055118110237" bottom="0.51181102362204722" header="0.31496062992125984" footer="0.31496062992125984"/>
  <pageSetup scale="82" fitToHeight="0" orientation="landscape" r:id="rId1"/>
  <headerFooter>
    <oddFooter>&amp;C“Bajo protesta de decir verdad declaramos que los Estados Financieros y sus notas, son razonablemente correctos y son responsabilidad del emisor”</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86"/>
  <sheetViews>
    <sheetView view="pageBreakPreview" topLeftCell="A800" zoomScale="60" zoomScaleNormal="100" workbookViewId="0">
      <selection activeCell="B46" sqref="B46"/>
    </sheetView>
  </sheetViews>
  <sheetFormatPr baseColWidth="10" defaultColWidth="11.42578125" defaultRowHeight="12.75" customHeight="1" x14ac:dyDescent="0.2"/>
  <cols>
    <col min="1" max="1" width="6.28515625" style="557" bestFit="1" customWidth="1"/>
    <col min="2" max="2" width="76.7109375" style="306" bestFit="1" customWidth="1"/>
    <col min="3" max="3" width="16" style="306" customWidth="1"/>
    <col min="4" max="4" width="14.42578125" style="306" customWidth="1"/>
    <col min="5" max="5" width="11.42578125" style="306"/>
    <col min="6" max="6" width="11.85546875" style="306" customWidth="1"/>
    <col min="7" max="7" width="12.140625" style="306" customWidth="1"/>
    <col min="8" max="8" width="15.5703125" style="306" bestFit="1" customWidth="1"/>
    <col min="9" max="16384" width="11.42578125" style="306"/>
  </cols>
  <sheetData>
    <row r="1" spans="1:8" ht="12.75" customHeight="1" x14ac:dyDescent="0.2">
      <c r="H1" s="317"/>
    </row>
    <row r="2" spans="1:8" ht="12.75" customHeight="1" x14ac:dyDescent="0.2">
      <c r="A2" s="1141" t="s">
        <v>732</v>
      </c>
      <c r="B2" s="1141"/>
      <c r="C2" s="1141"/>
      <c r="D2" s="391"/>
      <c r="E2" s="391"/>
      <c r="F2" s="391"/>
      <c r="G2" s="391"/>
      <c r="H2" s="375"/>
    </row>
    <row r="3" spans="1:8" ht="12.75" customHeight="1" x14ac:dyDescent="0.2">
      <c r="A3" s="1141" t="s">
        <v>382</v>
      </c>
      <c r="B3" s="1141"/>
      <c r="C3" s="1141"/>
      <c r="D3" s="392"/>
      <c r="E3" s="392"/>
      <c r="F3" s="392"/>
      <c r="G3" s="392"/>
      <c r="H3" s="375"/>
    </row>
    <row r="4" spans="1:8" ht="12.75" customHeight="1" x14ac:dyDescent="0.2">
      <c r="A4" s="1141" t="s">
        <v>8600</v>
      </c>
      <c r="B4" s="1141"/>
      <c r="C4" s="1141"/>
      <c r="D4" s="391"/>
      <c r="E4" s="391"/>
      <c r="F4" s="391"/>
      <c r="G4" s="391"/>
      <c r="H4" s="391"/>
    </row>
    <row r="5" spans="1:8" ht="6.75" customHeight="1" x14ac:dyDescent="0.25">
      <c r="A5" s="558"/>
      <c r="B5" s="393"/>
      <c r="C5" s="393"/>
      <c r="D5" s="393"/>
      <c r="E5" s="393"/>
      <c r="F5" s="393"/>
      <c r="G5" s="393"/>
      <c r="H5" s="393"/>
    </row>
    <row r="6" spans="1:8" ht="6.75" customHeight="1" x14ac:dyDescent="0.25">
      <c r="A6" s="558"/>
      <c r="B6" s="393"/>
      <c r="C6" s="393"/>
      <c r="D6" s="393"/>
      <c r="E6" s="393"/>
      <c r="F6" s="393"/>
      <c r="G6" s="393"/>
      <c r="H6" s="393"/>
    </row>
    <row r="7" spans="1:8" ht="6.75" customHeight="1" x14ac:dyDescent="0.25">
      <c r="A7" s="558"/>
      <c r="B7" s="393"/>
      <c r="C7" s="393"/>
      <c r="D7" s="393"/>
      <c r="E7" s="393"/>
      <c r="F7" s="393"/>
      <c r="G7" s="393"/>
      <c r="H7" s="393"/>
    </row>
    <row r="8" spans="1:8" ht="12.75" customHeight="1" x14ac:dyDescent="0.2">
      <c r="C8" s="317"/>
    </row>
    <row r="9" spans="1:8" s="281" customFormat="1" ht="9.75" customHeight="1" x14ac:dyDescent="0.2">
      <c r="A9" s="1145" t="s">
        <v>383</v>
      </c>
      <c r="B9" s="1160" t="s">
        <v>384</v>
      </c>
      <c r="C9" s="1160" t="s">
        <v>385</v>
      </c>
      <c r="D9" s="1144"/>
      <c r="E9" s="1144"/>
      <c r="F9" s="1144"/>
      <c r="G9" s="1144"/>
      <c r="H9" s="1144"/>
    </row>
    <row r="10" spans="1:8" s="281" customFormat="1" ht="9.75" customHeight="1" x14ac:dyDescent="0.2">
      <c r="A10" s="1145"/>
      <c r="B10" s="1161"/>
      <c r="C10" s="1161"/>
      <c r="D10" s="1144"/>
      <c r="E10" s="1144"/>
      <c r="F10" s="1144"/>
      <c r="G10" s="1144"/>
      <c r="H10" s="1144"/>
    </row>
    <row r="11" spans="1:8" s="281" customFormat="1" ht="9.75" customHeight="1" x14ac:dyDescent="0.2">
      <c r="A11" s="1145"/>
      <c r="B11" s="1161"/>
      <c r="C11" s="1161"/>
      <c r="D11" s="1144"/>
      <c r="E11" s="1144"/>
      <c r="F11" s="1144"/>
      <c r="G11" s="1144"/>
      <c r="H11" s="1144"/>
    </row>
    <row r="12" spans="1:8" s="397" customFormat="1" ht="14.25" customHeight="1" x14ac:dyDescent="0.25">
      <c r="A12" s="559"/>
      <c r="B12" s="571" t="s">
        <v>784</v>
      </c>
      <c r="C12" s="571">
        <f>C14+C320</f>
        <v>752869784.87000024</v>
      </c>
      <c r="D12" s="396"/>
      <c r="E12" s="396"/>
      <c r="F12" s="396"/>
      <c r="G12" s="396"/>
      <c r="H12" s="396"/>
    </row>
    <row r="13" spans="1:8" s="397" customFormat="1" ht="14.25" customHeight="1" x14ac:dyDescent="0.25">
      <c r="A13" s="579"/>
      <c r="B13" s="580"/>
      <c r="C13" s="580"/>
      <c r="D13" s="396"/>
      <c r="E13" s="396"/>
      <c r="F13" s="396"/>
      <c r="G13" s="396"/>
      <c r="H13" s="396"/>
    </row>
    <row r="14" spans="1:8" s="397" customFormat="1" ht="14.25" customHeight="1" x14ac:dyDescent="0.25">
      <c r="A14" s="564"/>
      <c r="B14" s="560" t="s">
        <v>2377</v>
      </c>
      <c r="C14" s="560">
        <f>SUM(C15:C318)</f>
        <v>191710269.24000001</v>
      </c>
      <c r="D14" s="396"/>
      <c r="E14" s="396"/>
      <c r="F14" s="396"/>
      <c r="G14" s="396"/>
      <c r="H14" s="396"/>
    </row>
    <row r="15" spans="1:8" s="397" customFormat="1" ht="14.25" customHeight="1" x14ac:dyDescent="0.25">
      <c r="A15" s="564">
        <v>11</v>
      </c>
      <c r="B15" s="570" t="s">
        <v>1286</v>
      </c>
      <c r="C15" s="570">
        <v>3415.5</v>
      </c>
      <c r="D15" s="396"/>
      <c r="E15" s="396"/>
      <c r="F15" s="396"/>
      <c r="G15" s="396"/>
      <c r="H15" s="396"/>
    </row>
    <row r="16" spans="1:8" s="397" customFormat="1" ht="14.25" customHeight="1" x14ac:dyDescent="0.25">
      <c r="A16" s="564">
        <v>12</v>
      </c>
      <c r="B16" s="570" t="s">
        <v>2379</v>
      </c>
      <c r="C16" s="570">
        <v>25000</v>
      </c>
      <c r="D16" s="396"/>
      <c r="E16" s="396"/>
      <c r="F16" s="396"/>
      <c r="G16" s="396"/>
      <c r="H16" s="396"/>
    </row>
    <row r="17" spans="1:8" s="397" customFormat="1" ht="14.25" customHeight="1" x14ac:dyDescent="0.25">
      <c r="A17" s="564">
        <v>13</v>
      </c>
      <c r="B17" s="570" t="s">
        <v>2010</v>
      </c>
      <c r="C17" s="570">
        <v>25000</v>
      </c>
      <c r="D17" s="396"/>
      <c r="E17" s="396"/>
      <c r="F17" s="396"/>
      <c r="G17" s="396"/>
      <c r="H17" s="396"/>
    </row>
    <row r="18" spans="1:8" s="397" customFormat="1" ht="14.25" customHeight="1" x14ac:dyDescent="0.25">
      <c r="A18" s="564">
        <v>14</v>
      </c>
      <c r="B18" s="570" t="s">
        <v>2383</v>
      </c>
      <c r="C18" s="570">
        <v>25000</v>
      </c>
      <c r="D18" s="396"/>
      <c r="E18" s="396"/>
      <c r="F18" s="396"/>
      <c r="G18" s="396"/>
      <c r="H18" s="396"/>
    </row>
    <row r="19" spans="1:8" s="397" customFormat="1" ht="14.25" customHeight="1" x14ac:dyDescent="0.25">
      <c r="A19" s="564">
        <v>15</v>
      </c>
      <c r="B19" s="570" t="s">
        <v>1287</v>
      </c>
      <c r="C19" s="570">
        <v>52520</v>
      </c>
      <c r="D19" s="396"/>
      <c r="E19" s="396"/>
      <c r="F19" s="396"/>
      <c r="G19" s="396"/>
      <c r="H19" s="396"/>
    </row>
    <row r="20" spans="1:8" s="397" customFormat="1" ht="14.25" customHeight="1" x14ac:dyDescent="0.25">
      <c r="A20" s="564">
        <v>16</v>
      </c>
      <c r="B20" s="570" t="s">
        <v>1288</v>
      </c>
      <c r="C20" s="570">
        <v>51480</v>
      </c>
      <c r="D20" s="396"/>
      <c r="E20" s="396"/>
      <c r="F20" s="396"/>
      <c r="G20" s="396"/>
      <c r="H20" s="396"/>
    </row>
    <row r="21" spans="1:8" s="397" customFormat="1" ht="14.25" customHeight="1" x14ac:dyDescent="0.25">
      <c r="A21" s="564">
        <v>17</v>
      </c>
      <c r="B21" s="570" t="s">
        <v>1289</v>
      </c>
      <c r="C21" s="570">
        <v>1433280</v>
      </c>
      <c r="D21" s="396"/>
      <c r="E21" s="396"/>
      <c r="F21" s="396"/>
      <c r="G21" s="396"/>
      <c r="H21" s="396"/>
    </row>
    <row r="22" spans="1:8" s="397" customFormat="1" ht="14.25" customHeight="1" x14ac:dyDescent="0.25">
      <c r="A22" s="564">
        <v>20</v>
      </c>
      <c r="B22" s="570" t="s">
        <v>1290</v>
      </c>
      <c r="C22" s="570">
        <v>177320</v>
      </c>
      <c r="D22" s="396"/>
      <c r="E22" s="396"/>
      <c r="F22" s="396"/>
      <c r="G22" s="396"/>
      <c r="H22" s="396"/>
    </row>
    <row r="23" spans="1:8" s="397" customFormat="1" ht="14.25" customHeight="1" x14ac:dyDescent="0.25">
      <c r="A23" s="564">
        <v>29</v>
      </c>
      <c r="B23" s="570" t="s">
        <v>1291</v>
      </c>
      <c r="C23" s="570">
        <v>1105790.3999999999</v>
      </c>
      <c r="D23" s="396"/>
      <c r="E23" s="396"/>
      <c r="F23" s="396"/>
      <c r="G23" s="396"/>
      <c r="H23" s="396"/>
    </row>
    <row r="24" spans="1:8" s="397" customFormat="1" ht="14.25" customHeight="1" x14ac:dyDescent="0.25">
      <c r="A24" s="564">
        <v>31</v>
      </c>
      <c r="B24" s="570" t="s">
        <v>1292</v>
      </c>
      <c r="C24" s="570">
        <v>336960</v>
      </c>
      <c r="D24" s="396"/>
      <c r="E24" s="396"/>
      <c r="F24" s="396"/>
      <c r="G24" s="396"/>
      <c r="H24" s="396"/>
    </row>
    <row r="25" spans="1:8" s="397" customFormat="1" ht="14.25" customHeight="1" x14ac:dyDescent="0.25">
      <c r="A25" s="564">
        <v>33</v>
      </c>
      <c r="B25" s="570" t="s">
        <v>1293</v>
      </c>
      <c r="C25" s="570">
        <v>1012677.12</v>
      </c>
      <c r="D25" s="396"/>
      <c r="E25" s="396"/>
      <c r="F25" s="396"/>
      <c r="G25" s="396"/>
      <c r="H25" s="396"/>
    </row>
    <row r="26" spans="1:8" s="397" customFormat="1" ht="14.25" customHeight="1" x14ac:dyDescent="0.25">
      <c r="A26" s="564">
        <v>35</v>
      </c>
      <c r="B26" s="570" t="s">
        <v>1294</v>
      </c>
      <c r="C26" s="570">
        <v>1046400.73</v>
      </c>
      <c r="D26" s="396"/>
      <c r="E26" s="396"/>
      <c r="F26" s="396"/>
      <c r="G26" s="396"/>
      <c r="H26" s="396"/>
    </row>
    <row r="27" spans="1:8" s="397" customFormat="1" ht="14.25" customHeight="1" x14ac:dyDescent="0.25">
      <c r="A27" s="564">
        <v>36</v>
      </c>
      <c r="B27" s="570" t="s">
        <v>1295</v>
      </c>
      <c r="C27" s="570">
        <v>326008.8</v>
      </c>
      <c r="D27" s="396"/>
      <c r="E27" s="396"/>
      <c r="F27" s="396"/>
      <c r="G27" s="396"/>
      <c r="H27" s="396"/>
    </row>
    <row r="28" spans="1:8" s="397" customFormat="1" ht="14.25" customHeight="1" x14ac:dyDescent="0.25">
      <c r="A28" s="564">
        <v>39</v>
      </c>
      <c r="B28" s="570" t="s">
        <v>1296</v>
      </c>
      <c r="C28" s="570">
        <v>73500</v>
      </c>
      <c r="D28" s="396"/>
      <c r="E28" s="396"/>
      <c r="F28" s="396"/>
      <c r="G28" s="396"/>
      <c r="H28" s="396"/>
    </row>
    <row r="29" spans="1:8" s="397" customFormat="1" ht="14.25" customHeight="1" x14ac:dyDescent="0.25">
      <c r="A29" s="564">
        <v>48</v>
      </c>
      <c r="B29" s="570" t="s">
        <v>1297</v>
      </c>
      <c r="C29" s="570">
        <v>580420.30000000005</v>
      </c>
      <c r="D29" s="396"/>
      <c r="E29" s="396"/>
      <c r="F29" s="396"/>
      <c r="G29" s="396"/>
      <c r="H29" s="396"/>
    </row>
    <row r="30" spans="1:8" s="397" customFormat="1" ht="14.25" customHeight="1" x14ac:dyDescent="0.25">
      <c r="A30" s="564">
        <v>49</v>
      </c>
      <c r="B30" s="570" t="s">
        <v>1298</v>
      </c>
      <c r="C30" s="570">
        <v>2755564.43</v>
      </c>
      <c r="D30" s="396"/>
      <c r="E30" s="396"/>
      <c r="F30" s="396"/>
      <c r="G30" s="396"/>
      <c r="H30" s="396"/>
    </row>
    <row r="31" spans="1:8" s="397" customFormat="1" ht="14.25" customHeight="1" x14ac:dyDescent="0.25">
      <c r="A31" s="564">
        <v>50</v>
      </c>
      <c r="B31" s="570" t="s">
        <v>1299</v>
      </c>
      <c r="C31" s="570">
        <v>5338387.8600000003</v>
      </c>
      <c r="D31" s="396"/>
      <c r="E31" s="396"/>
      <c r="F31" s="396"/>
      <c r="G31" s="396"/>
      <c r="H31" s="396"/>
    </row>
    <row r="32" spans="1:8" s="397" customFormat="1" ht="14.25" customHeight="1" x14ac:dyDescent="0.25">
      <c r="A32" s="564">
        <v>52</v>
      </c>
      <c r="B32" s="570" t="s">
        <v>1300</v>
      </c>
      <c r="C32" s="570">
        <v>219673.13</v>
      </c>
      <c r="D32" s="396"/>
      <c r="E32" s="396"/>
      <c r="F32" s="396"/>
      <c r="G32" s="396"/>
      <c r="H32" s="396"/>
    </row>
    <row r="33" spans="1:8" s="397" customFormat="1" ht="14.25" customHeight="1" x14ac:dyDescent="0.25">
      <c r="A33" s="564">
        <v>65</v>
      </c>
      <c r="B33" s="570" t="s">
        <v>1301</v>
      </c>
      <c r="C33" s="570">
        <v>1553375</v>
      </c>
      <c r="D33" s="396"/>
      <c r="E33" s="396"/>
      <c r="F33" s="396"/>
      <c r="G33" s="396"/>
      <c r="H33" s="396"/>
    </row>
    <row r="34" spans="1:8" s="397" customFormat="1" ht="14.25" customHeight="1" x14ac:dyDescent="0.25">
      <c r="A34" s="564">
        <v>66</v>
      </c>
      <c r="B34" s="570" t="s">
        <v>1302</v>
      </c>
      <c r="C34" s="570">
        <v>8600</v>
      </c>
      <c r="D34" s="396"/>
      <c r="E34" s="396"/>
      <c r="F34" s="396"/>
      <c r="G34" s="396"/>
      <c r="H34" s="396"/>
    </row>
    <row r="35" spans="1:8" s="397" customFormat="1" ht="14.25" customHeight="1" x14ac:dyDescent="0.25">
      <c r="A35" s="564">
        <v>70</v>
      </c>
      <c r="B35" s="570" t="s">
        <v>1303</v>
      </c>
      <c r="C35" s="570">
        <v>401925</v>
      </c>
      <c r="D35" s="396"/>
      <c r="E35" s="396"/>
      <c r="F35" s="396"/>
      <c r="G35" s="396"/>
      <c r="H35" s="396"/>
    </row>
    <row r="36" spans="1:8" s="397" customFormat="1" ht="14.25" customHeight="1" x14ac:dyDescent="0.25">
      <c r="A36" s="564">
        <v>71</v>
      </c>
      <c r="B36" s="570" t="s">
        <v>1304</v>
      </c>
      <c r="C36" s="570">
        <v>301875</v>
      </c>
      <c r="D36" s="396"/>
      <c r="E36" s="396"/>
      <c r="F36" s="396"/>
      <c r="G36" s="396"/>
      <c r="H36" s="396"/>
    </row>
    <row r="37" spans="1:8" s="397" customFormat="1" ht="14.25" customHeight="1" x14ac:dyDescent="0.25">
      <c r="A37" s="564">
        <v>72</v>
      </c>
      <c r="B37" s="570" t="s">
        <v>1305</v>
      </c>
      <c r="C37" s="570">
        <v>717600</v>
      </c>
      <c r="D37" s="396"/>
      <c r="E37" s="396"/>
      <c r="F37" s="396"/>
      <c r="G37" s="396"/>
      <c r="H37" s="396"/>
    </row>
    <row r="38" spans="1:8" s="397" customFormat="1" ht="14.25" customHeight="1" x14ac:dyDescent="0.25">
      <c r="A38" s="564">
        <v>81</v>
      </c>
      <c r="B38" s="570" t="s">
        <v>1306</v>
      </c>
      <c r="C38" s="570">
        <v>36800</v>
      </c>
      <c r="D38" s="396"/>
      <c r="E38" s="396"/>
      <c r="F38" s="396"/>
      <c r="G38" s="396"/>
      <c r="H38" s="396"/>
    </row>
    <row r="39" spans="1:8" s="397" customFormat="1" ht="14.25" customHeight="1" x14ac:dyDescent="0.25">
      <c r="A39" s="564">
        <v>84</v>
      </c>
      <c r="B39" s="570" t="s">
        <v>1307</v>
      </c>
      <c r="C39" s="570">
        <v>205798.25</v>
      </c>
      <c r="D39" s="396"/>
      <c r="E39" s="396"/>
      <c r="F39" s="396"/>
      <c r="G39" s="396"/>
      <c r="H39" s="396"/>
    </row>
    <row r="40" spans="1:8" s="397" customFormat="1" ht="14.25" customHeight="1" x14ac:dyDescent="0.25">
      <c r="A40" s="564">
        <v>85</v>
      </c>
      <c r="B40" s="570" t="s">
        <v>1308</v>
      </c>
      <c r="C40" s="570">
        <v>274476.26</v>
      </c>
      <c r="D40" s="396"/>
      <c r="E40" s="396"/>
      <c r="F40" s="396"/>
      <c r="G40" s="396"/>
      <c r="H40" s="396"/>
    </row>
    <row r="41" spans="1:8" s="397" customFormat="1" ht="14.25" customHeight="1" x14ac:dyDescent="0.25">
      <c r="A41" s="564">
        <v>86</v>
      </c>
      <c r="B41" s="570" t="s">
        <v>1309</v>
      </c>
      <c r="C41" s="570">
        <v>488306.55</v>
      </c>
      <c r="D41" s="396"/>
      <c r="E41" s="396"/>
      <c r="F41" s="396"/>
      <c r="G41" s="396"/>
      <c r="H41" s="396"/>
    </row>
    <row r="42" spans="1:8" s="397" customFormat="1" ht="14.25" customHeight="1" x14ac:dyDescent="0.25">
      <c r="A42" s="564">
        <v>87</v>
      </c>
      <c r="B42" s="570" t="s">
        <v>1310</v>
      </c>
      <c r="C42" s="570">
        <v>347740.67</v>
      </c>
      <c r="D42" s="396"/>
      <c r="E42" s="396"/>
      <c r="F42" s="396"/>
      <c r="G42" s="396"/>
      <c r="H42" s="396"/>
    </row>
    <row r="43" spans="1:8" s="397" customFormat="1" ht="14.25" customHeight="1" x14ac:dyDescent="0.25">
      <c r="A43" s="564">
        <v>88</v>
      </c>
      <c r="B43" s="570" t="s">
        <v>1311</v>
      </c>
      <c r="C43" s="570">
        <v>498480.14</v>
      </c>
      <c r="D43" s="396"/>
      <c r="E43" s="396"/>
      <c r="F43" s="396"/>
      <c r="G43" s="396"/>
      <c r="H43" s="396"/>
    </row>
    <row r="44" spans="1:8" s="397" customFormat="1" ht="14.25" customHeight="1" x14ac:dyDescent="0.25">
      <c r="A44" s="564">
        <v>89</v>
      </c>
      <c r="B44" s="570" t="s">
        <v>1312</v>
      </c>
      <c r="C44" s="570">
        <v>441377.47</v>
      </c>
      <c r="D44" s="396"/>
      <c r="E44" s="396"/>
      <c r="F44" s="396"/>
      <c r="G44" s="396"/>
      <c r="H44" s="396"/>
    </row>
    <row r="45" spans="1:8" s="397" customFormat="1" ht="14.25" customHeight="1" x14ac:dyDescent="0.25">
      <c r="A45" s="564">
        <v>90</v>
      </c>
      <c r="B45" s="570" t="s">
        <v>1313</v>
      </c>
      <c r="C45" s="570">
        <v>525157.84</v>
      </c>
      <c r="D45" s="396"/>
      <c r="E45" s="396"/>
      <c r="F45" s="396"/>
      <c r="G45" s="396"/>
      <c r="H45" s="396"/>
    </row>
    <row r="46" spans="1:8" s="397" customFormat="1" ht="14.25" customHeight="1" x14ac:dyDescent="0.25">
      <c r="A46" s="564">
        <v>91</v>
      </c>
      <c r="B46" s="570" t="s">
        <v>1314</v>
      </c>
      <c r="C46" s="570">
        <v>612476.18999999994</v>
      </c>
      <c r="D46" s="396"/>
      <c r="E46" s="396"/>
      <c r="F46" s="396"/>
      <c r="G46" s="396"/>
      <c r="H46" s="396"/>
    </row>
    <row r="47" spans="1:8" s="397" customFormat="1" ht="14.25" customHeight="1" x14ac:dyDescent="0.25">
      <c r="A47" s="564">
        <v>92</v>
      </c>
      <c r="B47" s="570" t="s">
        <v>1315</v>
      </c>
      <c r="C47" s="570">
        <v>821805.75</v>
      </c>
      <c r="D47" s="396"/>
      <c r="E47" s="396"/>
      <c r="F47" s="396"/>
      <c r="G47" s="396"/>
      <c r="H47" s="396"/>
    </row>
    <row r="48" spans="1:8" s="397" customFormat="1" ht="14.25" customHeight="1" x14ac:dyDescent="0.25">
      <c r="A48" s="564">
        <v>93</v>
      </c>
      <c r="B48" s="570" t="s">
        <v>1316</v>
      </c>
      <c r="C48" s="570">
        <v>3141125.3</v>
      </c>
      <c r="D48" s="396"/>
      <c r="E48" s="396"/>
      <c r="F48" s="396"/>
      <c r="G48" s="396"/>
      <c r="H48" s="396"/>
    </row>
    <row r="49" spans="1:8" s="397" customFormat="1" ht="14.25" customHeight="1" x14ac:dyDescent="0.25">
      <c r="A49" s="564">
        <v>96</v>
      </c>
      <c r="B49" s="570" t="s">
        <v>1317</v>
      </c>
      <c r="C49" s="570">
        <v>63063</v>
      </c>
      <c r="D49" s="396"/>
      <c r="E49" s="396"/>
      <c r="F49" s="396"/>
      <c r="G49" s="396"/>
      <c r="H49" s="396"/>
    </row>
    <row r="50" spans="1:8" s="397" customFormat="1" ht="14.25" customHeight="1" x14ac:dyDescent="0.25">
      <c r="A50" s="564">
        <v>97</v>
      </c>
      <c r="B50" s="570" t="s">
        <v>1318</v>
      </c>
      <c r="C50" s="570">
        <v>29390</v>
      </c>
      <c r="D50" s="396"/>
      <c r="E50" s="396"/>
      <c r="F50" s="396"/>
      <c r="G50" s="396"/>
      <c r="H50" s="396"/>
    </row>
    <row r="51" spans="1:8" s="397" customFormat="1" ht="14.25" customHeight="1" x14ac:dyDescent="0.25">
      <c r="A51" s="564">
        <v>98</v>
      </c>
      <c r="B51" s="570" t="s">
        <v>1319</v>
      </c>
      <c r="C51" s="570">
        <v>289516.5</v>
      </c>
      <c r="D51" s="396"/>
      <c r="E51" s="396"/>
      <c r="F51" s="396"/>
      <c r="G51" s="396"/>
      <c r="H51" s="396"/>
    </row>
    <row r="52" spans="1:8" s="397" customFormat="1" ht="14.25" customHeight="1" x14ac:dyDescent="0.25">
      <c r="A52" s="564">
        <v>99</v>
      </c>
      <c r="B52" s="570" t="s">
        <v>1320</v>
      </c>
      <c r="C52" s="570">
        <v>554957.48</v>
      </c>
      <c r="D52" s="396"/>
      <c r="E52" s="396"/>
      <c r="F52" s="396"/>
      <c r="G52" s="396"/>
      <c r="H52" s="396"/>
    </row>
    <row r="53" spans="1:8" s="397" customFormat="1" ht="14.25" customHeight="1" x14ac:dyDescent="0.25">
      <c r="A53" s="564">
        <v>100</v>
      </c>
      <c r="B53" s="570" t="s">
        <v>1321</v>
      </c>
      <c r="C53" s="570">
        <v>89600</v>
      </c>
      <c r="D53" s="396"/>
      <c r="E53" s="396"/>
      <c r="F53" s="396"/>
      <c r="G53" s="396"/>
      <c r="H53" s="396"/>
    </row>
    <row r="54" spans="1:8" s="397" customFormat="1" ht="14.25" customHeight="1" x14ac:dyDescent="0.25">
      <c r="A54" s="564">
        <v>101</v>
      </c>
      <c r="B54" s="570" t="s">
        <v>1322</v>
      </c>
      <c r="C54" s="570">
        <v>1337956.3799999999</v>
      </c>
      <c r="D54" s="396"/>
      <c r="E54" s="396"/>
      <c r="F54" s="396"/>
      <c r="G54" s="396"/>
      <c r="H54" s="396"/>
    </row>
    <row r="55" spans="1:8" s="397" customFormat="1" ht="14.25" customHeight="1" x14ac:dyDescent="0.25">
      <c r="A55" s="564">
        <v>102</v>
      </c>
      <c r="B55" s="570" t="s">
        <v>1323</v>
      </c>
      <c r="C55" s="570">
        <v>115920</v>
      </c>
      <c r="D55" s="396"/>
      <c r="E55" s="396"/>
      <c r="F55" s="396"/>
      <c r="G55" s="396"/>
      <c r="H55" s="396"/>
    </row>
    <row r="56" spans="1:8" s="397" customFormat="1" ht="14.25" customHeight="1" x14ac:dyDescent="0.25">
      <c r="A56" s="564">
        <v>105</v>
      </c>
      <c r="B56" s="570" t="s">
        <v>1324</v>
      </c>
      <c r="C56" s="570">
        <v>672000</v>
      </c>
      <c r="D56" s="396"/>
      <c r="E56" s="396"/>
      <c r="F56" s="396"/>
      <c r="G56" s="396"/>
      <c r="H56" s="396"/>
    </row>
    <row r="57" spans="1:8" s="397" customFormat="1" ht="14.25" customHeight="1" x14ac:dyDescent="0.25">
      <c r="A57" s="564">
        <v>106</v>
      </c>
      <c r="B57" s="570" t="s">
        <v>1325</v>
      </c>
      <c r="C57" s="570">
        <v>448000</v>
      </c>
      <c r="D57" s="396"/>
      <c r="E57" s="396"/>
      <c r="F57" s="396"/>
      <c r="G57" s="396"/>
      <c r="H57" s="396"/>
    </row>
    <row r="58" spans="1:8" s="397" customFormat="1" ht="14.25" customHeight="1" x14ac:dyDescent="0.25">
      <c r="A58" s="564">
        <v>111</v>
      </c>
      <c r="B58" s="570" t="s">
        <v>1326</v>
      </c>
      <c r="C58" s="570">
        <v>126000</v>
      </c>
      <c r="D58" s="396"/>
      <c r="E58" s="396"/>
      <c r="F58" s="396"/>
      <c r="G58" s="396"/>
      <c r="H58" s="396"/>
    </row>
    <row r="59" spans="1:8" s="397" customFormat="1" ht="14.25" customHeight="1" x14ac:dyDescent="0.25">
      <c r="A59" s="564">
        <v>112</v>
      </c>
      <c r="B59" s="570" t="s">
        <v>1327</v>
      </c>
      <c r="C59" s="570">
        <v>99792</v>
      </c>
      <c r="D59" s="396"/>
      <c r="E59" s="396"/>
      <c r="F59" s="396"/>
      <c r="G59" s="396"/>
      <c r="H59" s="396"/>
    </row>
    <row r="60" spans="1:8" s="397" customFormat="1" ht="14.25" customHeight="1" x14ac:dyDescent="0.25">
      <c r="A60" s="564">
        <v>113</v>
      </c>
      <c r="B60" s="570" t="s">
        <v>1328</v>
      </c>
      <c r="C60" s="570">
        <v>154350</v>
      </c>
      <c r="D60" s="396"/>
      <c r="E60" s="396"/>
      <c r="F60" s="396"/>
      <c r="G60" s="396"/>
      <c r="H60" s="396"/>
    </row>
    <row r="61" spans="1:8" s="397" customFormat="1" ht="14.25" customHeight="1" x14ac:dyDescent="0.25">
      <c r="A61" s="564">
        <v>119</v>
      </c>
      <c r="B61" s="570" t="s">
        <v>1329</v>
      </c>
      <c r="C61" s="570">
        <v>114978.15</v>
      </c>
      <c r="D61" s="396"/>
      <c r="E61" s="396"/>
      <c r="F61" s="396"/>
      <c r="G61" s="396"/>
      <c r="H61" s="396"/>
    </row>
    <row r="62" spans="1:8" s="397" customFormat="1" ht="14.25" customHeight="1" x14ac:dyDescent="0.25">
      <c r="A62" s="564">
        <v>120</v>
      </c>
      <c r="B62" s="570" t="s">
        <v>1330</v>
      </c>
      <c r="C62" s="570">
        <v>194502</v>
      </c>
      <c r="D62" s="396"/>
      <c r="E62" s="396"/>
      <c r="F62" s="396"/>
      <c r="G62" s="396"/>
      <c r="H62" s="396"/>
    </row>
    <row r="63" spans="1:8" s="397" customFormat="1" ht="14.25" customHeight="1" x14ac:dyDescent="0.25">
      <c r="A63" s="564">
        <v>121</v>
      </c>
      <c r="B63" s="570" t="s">
        <v>1331</v>
      </c>
      <c r="C63" s="570">
        <v>314344.8</v>
      </c>
      <c r="D63" s="396"/>
      <c r="E63" s="396"/>
      <c r="F63" s="396"/>
      <c r="G63" s="396"/>
      <c r="H63" s="396"/>
    </row>
    <row r="64" spans="1:8" s="397" customFormat="1" ht="14.25" customHeight="1" x14ac:dyDescent="0.25">
      <c r="A64" s="564">
        <v>122</v>
      </c>
      <c r="B64" s="570" t="s">
        <v>1332</v>
      </c>
      <c r="C64" s="570">
        <v>222934.69</v>
      </c>
      <c r="D64" s="396"/>
      <c r="E64" s="396"/>
      <c r="F64" s="396"/>
      <c r="G64" s="396"/>
      <c r="H64" s="396"/>
    </row>
    <row r="65" spans="1:8" s="397" customFormat="1" ht="14.25" customHeight="1" x14ac:dyDescent="0.25">
      <c r="A65" s="564">
        <v>123</v>
      </c>
      <c r="B65" s="570" t="s">
        <v>1333</v>
      </c>
      <c r="C65" s="570">
        <v>807450</v>
      </c>
      <c r="D65" s="396"/>
      <c r="E65" s="396"/>
      <c r="F65" s="396"/>
      <c r="G65" s="396"/>
      <c r="H65" s="396"/>
    </row>
    <row r="66" spans="1:8" s="397" customFormat="1" ht="14.25" customHeight="1" x14ac:dyDescent="0.25">
      <c r="A66" s="564">
        <v>128</v>
      </c>
      <c r="B66" s="570" t="s">
        <v>1334</v>
      </c>
      <c r="C66" s="570">
        <v>368243.75</v>
      </c>
      <c r="D66" s="396"/>
      <c r="E66" s="396"/>
      <c r="F66" s="396"/>
      <c r="G66" s="396"/>
      <c r="H66" s="396"/>
    </row>
    <row r="67" spans="1:8" s="397" customFormat="1" ht="14.25" customHeight="1" x14ac:dyDescent="0.25">
      <c r="A67" s="564">
        <v>129</v>
      </c>
      <c r="B67" s="570" t="s">
        <v>1335</v>
      </c>
      <c r="C67" s="570">
        <v>3108969.5</v>
      </c>
      <c r="D67" s="396"/>
      <c r="E67" s="396"/>
      <c r="F67" s="396"/>
      <c r="G67" s="396"/>
      <c r="H67" s="396"/>
    </row>
    <row r="68" spans="1:8" s="397" customFormat="1" ht="14.25" customHeight="1" x14ac:dyDescent="0.25">
      <c r="A68" s="564">
        <v>130</v>
      </c>
      <c r="B68" s="570" t="s">
        <v>1336</v>
      </c>
      <c r="C68" s="570">
        <v>290823.76</v>
      </c>
      <c r="D68" s="396"/>
      <c r="E68" s="396"/>
      <c r="F68" s="396"/>
      <c r="G68" s="396"/>
      <c r="H68" s="396"/>
    </row>
    <row r="69" spans="1:8" s="397" customFormat="1" ht="14.25" customHeight="1" x14ac:dyDescent="0.25">
      <c r="A69" s="564">
        <v>133</v>
      </c>
      <c r="B69" s="570" t="s">
        <v>1337</v>
      </c>
      <c r="C69" s="570">
        <v>167212.67000000001</v>
      </c>
      <c r="D69" s="396"/>
      <c r="E69" s="396"/>
      <c r="F69" s="396"/>
      <c r="G69" s="396"/>
      <c r="H69" s="396"/>
    </row>
    <row r="70" spans="1:8" s="397" customFormat="1" ht="14.25" customHeight="1" x14ac:dyDescent="0.25">
      <c r="A70" s="564">
        <v>134</v>
      </c>
      <c r="B70" s="570" t="s">
        <v>1338</v>
      </c>
      <c r="C70" s="570">
        <v>3074253.75</v>
      </c>
      <c r="D70" s="396"/>
      <c r="E70" s="396"/>
      <c r="F70" s="396"/>
      <c r="G70" s="396"/>
      <c r="H70" s="396"/>
    </row>
    <row r="71" spans="1:8" s="397" customFormat="1" ht="14.25" customHeight="1" x14ac:dyDescent="0.25">
      <c r="A71" s="564">
        <v>140</v>
      </c>
      <c r="B71" s="570" t="s">
        <v>2009</v>
      </c>
      <c r="C71" s="570">
        <v>752062.5</v>
      </c>
      <c r="D71" s="396"/>
      <c r="E71" s="396"/>
      <c r="F71" s="396"/>
      <c r="G71" s="396"/>
      <c r="H71" s="396"/>
    </row>
    <row r="72" spans="1:8" s="397" customFormat="1" ht="14.25" customHeight="1" x14ac:dyDescent="0.25">
      <c r="A72" s="564">
        <v>145</v>
      </c>
      <c r="B72" s="570" t="s">
        <v>1339</v>
      </c>
      <c r="C72" s="570">
        <v>607427.4</v>
      </c>
      <c r="D72" s="396"/>
      <c r="E72" s="396"/>
      <c r="F72" s="396"/>
      <c r="G72" s="396"/>
      <c r="H72" s="396"/>
    </row>
    <row r="73" spans="1:8" s="397" customFormat="1" ht="14.25" customHeight="1" x14ac:dyDescent="0.25">
      <c r="A73" s="564">
        <v>146</v>
      </c>
      <c r="B73" s="570" t="s">
        <v>1340</v>
      </c>
      <c r="C73" s="570">
        <v>822180</v>
      </c>
      <c r="D73" s="396"/>
      <c r="E73" s="396"/>
      <c r="F73" s="396"/>
      <c r="G73" s="396"/>
      <c r="H73" s="396"/>
    </row>
    <row r="74" spans="1:8" s="397" customFormat="1" ht="14.25" customHeight="1" x14ac:dyDescent="0.25">
      <c r="A74" s="564">
        <v>147</v>
      </c>
      <c r="B74" s="570" t="s">
        <v>1341</v>
      </c>
      <c r="C74" s="570">
        <v>338100</v>
      </c>
      <c r="D74" s="396"/>
      <c r="E74" s="396"/>
      <c r="F74" s="396"/>
      <c r="G74" s="396"/>
      <c r="H74" s="396"/>
    </row>
    <row r="75" spans="1:8" s="397" customFormat="1" ht="14.25" customHeight="1" x14ac:dyDescent="0.25">
      <c r="A75" s="564">
        <v>148</v>
      </c>
      <c r="B75" s="570" t="s">
        <v>1342</v>
      </c>
      <c r="C75" s="570">
        <v>826654.06</v>
      </c>
      <c r="D75" s="396"/>
      <c r="E75" s="396"/>
      <c r="F75" s="396"/>
      <c r="G75" s="396"/>
      <c r="H75" s="396"/>
    </row>
    <row r="76" spans="1:8" s="397" customFormat="1" ht="14.25" customHeight="1" x14ac:dyDescent="0.25">
      <c r="A76" s="564">
        <v>155</v>
      </c>
      <c r="B76" s="570" t="s">
        <v>1343</v>
      </c>
      <c r="C76" s="570">
        <v>49000</v>
      </c>
      <c r="D76" s="396"/>
      <c r="E76" s="396"/>
      <c r="F76" s="396"/>
      <c r="G76" s="396"/>
      <c r="H76" s="396"/>
    </row>
    <row r="77" spans="1:8" s="397" customFormat="1" ht="14.25" customHeight="1" x14ac:dyDescent="0.25">
      <c r="A77" s="564">
        <v>168</v>
      </c>
      <c r="B77" s="570" t="s">
        <v>1344</v>
      </c>
      <c r="C77" s="570">
        <v>104765.29</v>
      </c>
      <c r="D77" s="396"/>
      <c r="E77" s="396"/>
      <c r="F77" s="396"/>
      <c r="G77" s="396"/>
      <c r="H77" s="396"/>
    </row>
    <row r="78" spans="1:8" s="397" customFormat="1" ht="14.25" customHeight="1" x14ac:dyDescent="0.25">
      <c r="A78" s="564">
        <v>169</v>
      </c>
      <c r="B78" s="570" t="s">
        <v>1345</v>
      </c>
      <c r="C78" s="570">
        <v>47522.8</v>
      </c>
      <c r="D78" s="396"/>
      <c r="E78" s="396"/>
      <c r="F78" s="396"/>
      <c r="G78" s="396"/>
      <c r="H78" s="396"/>
    </row>
    <row r="79" spans="1:8" s="397" customFormat="1" ht="14.25" customHeight="1" x14ac:dyDescent="0.25">
      <c r="A79" s="564">
        <v>170</v>
      </c>
      <c r="B79" s="570" t="s">
        <v>1346</v>
      </c>
      <c r="C79" s="570">
        <v>296300.82</v>
      </c>
      <c r="D79" s="396"/>
      <c r="E79" s="396"/>
      <c r="F79" s="396"/>
      <c r="G79" s="396"/>
      <c r="H79" s="396"/>
    </row>
    <row r="80" spans="1:8" s="397" customFormat="1" ht="14.25" customHeight="1" x14ac:dyDescent="0.25">
      <c r="A80" s="564">
        <v>187</v>
      </c>
      <c r="B80" s="570" t="s">
        <v>1347</v>
      </c>
      <c r="C80" s="570">
        <v>1369185.95</v>
      </c>
      <c r="D80" s="396"/>
      <c r="E80" s="396"/>
      <c r="F80" s="396"/>
      <c r="G80" s="396"/>
      <c r="H80" s="396"/>
    </row>
    <row r="81" spans="1:8" s="397" customFormat="1" ht="14.25" customHeight="1" x14ac:dyDescent="0.25">
      <c r="A81" s="564">
        <v>190</v>
      </c>
      <c r="B81" s="570" t="s">
        <v>1348</v>
      </c>
      <c r="C81" s="570">
        <v>109193</v>
      </c>
      <c r="D81" s="396"/>
      <c r="E81" s="396"/>
      <c r="F81" s="396"/>
      <c r="G81" s="396"/>
      <c r="H81" s="396"/>
    </row>
    <row r="82" spans="1:8" s="397" customFormat="1" ht="14.25" customHeight="1" x14ac:dyDescent="0.25">
      <c r="A82" s="564">
        <v>191</v>
      </c>
      <c r="B82" s="570" t="s">
        <v>1349</v>
      </c>
      <c r="C82" s="570">
        <v>49000</v>
      </c>
      <c r="D82" s="396"/>
      <c r="E82" s="396"/>
      <c r="F82" s="396"/>
      <c r="G82" s="396"/>
      <c r="H82" s="396"/>
    </row>
    <row r="83" spans="1:8" s="397" customFormat="1" ht="14.25" customHeight="1" x14ac:dyDescent="0.25">
      <c r="A83" s="564">
        <v>206</v>
      </c>
      <c r="B83" s="570" t="s">
        <v>1350</v>
      </c>
      <c r="C83" s="570">
        <v>1642013.75</v>
      </c>
      <c r="D83" s="396"/>
      <c r="E83" s="396"/>
      <c r="F83" s="396"/>
      <c r="G83" s="396"/>
      <c r="H83" s="396"/>
    </row>
    <row r="84" spans="1:8" s="397" customFormat="1" ht="14.25" customHeight="1" x14ac:dyDescent="0.25">
      <c r="A84" s="564">
        <v>210</v>
      </c>
      <c r="B84" s="570" t="s">
        <v>1351</v>
      </c>
      <c r="C84" s="570">
        <v>119900</v>
      </c>
      <c r="D84" s="396"/>
      <c r="E84" s="396"/>
      <c r="F84" s="396"/>
      <c r="G84" s="396"/>
      <c r="H84" s="396"/>
    </row>
    <row r="85" spans="1:8" s="397" customFormat="1" ht="14.25" customHeight="1" x14ac:dyDescent="0.25">
      <c r="A85" s="564">
        <v>211</v>
      </c>
      <c r="B85" s="570" t="s">
        <v>1352</v>
      </c>
      <c r="C85" s="570">
        <v>227314.97</v>
      </c>
      <c r="D85" s="396"/>
      <c r="E85" s="396"/>
      <c r="F85" s="396"/>
      <c r="G85" s="396"/>
      <c r="H85" s="396"/>
    </row>
    <row r="86" spans="1:8" s="397" customFormat="1" ht="14.25" customHeight="1" x14ac:dyDescent="0.25">
      <c r="A86" s="564">
        <v>212</v>
      </c>
      <c r="B86" s="570" t="s">
        <v>1353</v>
      </c>
      <c r="C86" s="570">
        <v>385731.49</v>
      </c>
      <c r="D86" s="396"/>
      <c r="E86" s="396"/>
      <c r="F86" s="396"/>
      <c r="G86" s="396"/>
      <c r="H86" s="396"/>
    </row>
    <row r="87" spans="1:8" s="397" customFormat="1" ht="14.25" customHeight="1" x14ac:dyDescent="0.25">
      <c r="A87" s="564">
        <v>213</v>
      </c>
      <c r="B87" s="570" t="s">
        <v>1354</v>
      </c>
      <c r="C87" s="570">
        <v>336716.17</v>
      </c>
      <c r="D87" s="396"/>
      <c r="E87" s="396"/>
      <c r="F87" s="396"/>
      <c r="G87" s="396"/>
      <c r="H87" s="396"/>
    </row>
    <row r="88" spans="1:8" s="397" customFormat="1" ht="14.25" customHeight="1" x14ac:dyDescent="0.25">
      <c r="A88" s="564">
        <v>214</v>
      </c>
      <c r="B88" s="570" t="s">
        <v>1355</v>
      </c>
      <c r="C88" s="570">
        <v>288295.92</v>
      </c>
      <c r="D88" s="396"/>
      <c r="E88" s="396"/>
      <c r="F88" s="396"/>
      <c r="G88" s="396"/>
      <c r="H88" s="396"/>
    </row>
    <row r="89" spans="1:8" s="397" customFormat="1" ht="14.25" customHeight="1" x14ac:dyDescent="0.25">
      <c r="A89" s="564">
        <v>231</v>
      </c>
      <c r="B89" s="570" t="s">
        <v>1356</v>
      </c>
      <c r="C89" s="570">
        <v>389412</v>
      </c>
      <c r="D89" s="396"/>
      <c r="E89" s="396"/>
      <c r="F89" s="396"/>
      <c r="G89" s="396"/>
      <c r="H89" s="396"/>
    </row>
    <row r="90" spans="1:8" s="397" customFormat="1" ht="14.25" customHeight="1" x14ac:dyDescent="0.25">
      <c r="A90" s="564">
        <v>233</v>
      </c>
      <c r="B90" s="570" t="s">
        <v>1357</v>
      </c>
      <c r="C90" s="570">
        <v>514869.6</v>
      </c>
      <c r="D90" s="396"/>
      <c r="E90" s="396"/>
      <c r="F90" s="396"/>
      <c r="G90" s="396"/>
      <c r="H90" s="396"/>
    </row>
    <row r="91" spans="1:8" s="397" customFormat="1" ht="14.25" customHeight="1" x14ac:dyDescent="0.25">
      <c r="A91" s="564">
        <v>235</v>
      </c>
      <c r="B91" s="570" t="s">
        <v>1358</v>
      </c>
      <c r="C91" s="570">
        <v>1454134.6</v>
      </c>
      <c r="D91" s="396"/>
      <c r="E91" s="396"/>
      <c r="F91" s="396"/>
      <c r="G91" s="396"/>
      <c r="H91" s="396"/>
    </row>
    <row r="92" spans="1:8" s="397" customFormat="1" ht="14.25" customHeight="1" x14ac:dyDescent="0.25">
      <c r="A92" s="564">
        <v>242</v>
      </c>
      <c r="B92" s="570" t="s">
        <v>1359</v>
      </c>
      <c r="C92" s="570">
        <v>247604.18</v>
      </c>
      <c r="D92" s="396"/>
      <c r="E92" s="396"/>
      <c r="F92" s="396"/>
      <c r="G92" s="396"/>
      <c r="H92" s="396"/>
    </row>
    <row r="93" spans="1:8" s="397" customFormat="1" ht="14.25" customHeight="1" x14ac:dyDescent="0.25">
      <c r="A93" s="564">
        <v>243</v>
      </c>
      <c r="B93" s="570" t="s">
        <v>1360</v>
      </c>
      <c r="C93" s="570">
        <v>762492.5</v>
      </c>
      <c r="D93" s="396"/>
      <c r="E93" s="396"/>
      <c r="F93" s="396"/>
      <c r="G93" s="396"/>
      <c r="H93" s="396"/>
    </row>
    <row r="94" spans="1:8" s="397" customFormat="1" ht="14.25" customHeight="1" x14ac:dyDescent="0.25">
      <c r="A94" s="564">
        <v>245</v>
      </c>
      <c r="B94" s="570" t="s">
        <v>1361</v>
      </c>
      <c r="C94" s="570">
        <v>217848</v>
      </c>
      <c r="D94" s="396"/>
      <c r="E94" s="396"/>
      <c r="F94" s="396"/>
      <c r="G94" s="396"/>
      <c r="H94" s="396"/>
    </row>
    <row r="95" spans="1:8" s="397" customFormat="1" ht="14.25" customHeight="1" x14ac:dyDescent="0.25">
      <c r="A95" s="564">
        <v>246</v>
      </c>
      <c r="B95" s="570" t="s">
        <v>1362</v>
      </c>
      <c r="C95" s="570">
        <v>245122.5</v>
      </c>
      <c r="D95" s="396"/>
      <c r="E95" s="396"/>
      <c r="F95" s="396"/>
      <c r="G95" s="396"/>
      <c r="H95" s="396"/>
    </row>
    <row r="96" spans="1:8" s="397" customFormat="1" ht="14.25" customHeight="1" x14ac:dyDescent="0.25">
      <c r="A96" s="564">
        <v>247</v>
      </c>
      <c r="B96" s="570" t="s">
        <v>1363</v>
      </c>
      <c r="C96" s="570">
        <v>300546.40000000002</v>
      </c>
      <c r="D96" s="396"/>
      <c r="E96" s="396"/>
      <c r="F96" s="396"/>
      <c r="G96" s="396"/>
      <c r="H96" s="396"/>
    </row>
    <row r="97" spans="1:8" s="397" customFormat="1" ht="14.25" customHeight="1" x14ac:dyDescent="0.25">
      <c r="A97" s="564">
        <v>248</v>
      </c>
      <c r="B97" s="570" t="s">
        <v>1364</v>
      </c>
      <c r="C97" s="570">
        <v>1420535.95</v>
      </c>
      <c r="D97" s="396"/>
      <c r="E97" s="396"/>
      <c r="F97" s="396"/>
      <c r="G97" s="396"/>
      <c r="H97" s="396"/>
    </row>
    <row r="98" spans="1:8" s="397" customFormat="1" ht="14.25" customHeight="1" x14ac:dyDescent="0.25">
      <c r="A98" s="564">
        <v>256</v>
      </c>
      <c r="B98" s="570" t="s">
        <v>1365</v>
      </c>
      <c r="C98" s="570">
        <v>222006.39999999999</v>
      </c>
      <c r="D98" s="396"/>
      <c r="E98" s="396"/>
      <c r="F98" s="396"/>
      <c r="G98" s="396"/>
      <c r="H98" s="396"/>
    </row>
    <row r="99" spans="1:8" s="397" customFormat="1" ht="14.25" customHeight="1" x14ac:dyDescent="0.25">
      <c r="A99" s="564">
        <v>257</v>
      </c>
      <c r="B99" s="570" t="s">
        <v>1366</v>
      </c>
      <c r="C99" s="570">
        <v>222006.39999999999</v>
      </c>
      <c r="D99" s="396"/>
      <c r="E99" s="396"/>
      <c r="F99" s="396"/>
      <c r="G99" s="396"/>
      <c r="H99" s="396"/>
    </row>
    <row r="100" spans="1:8" s="397" customFormat="1" ht="14.25" customHeight="1" x14ac:dyDescent="0.25">
      <c r="A100" s="564">
        <v>258</v>
      </c>
      <c r="B100" s="570" t="s">
        <v>1367</v>
      </c>
      <c r="C100" s="570">
        <v>222006.39999999999</v>
      </c>
      <c r="D100" s="396"/>
      <c r="E100" s="396"/>
      <c r="F100" s="396"/>
      <c r="G100" s="396"/>
      <c r="H100" s="396"/>
    </row>
    <row r="101" spans="1:8" s="397" customFormat="1" ht="14.25" customHeight="1" x14ac:dyDescent="0.25">
      <c r="A101" s="564">
        <v>259</v>
      </c>
      <c r="B101" s="570" t="s">
        <v>1368</v>
      </c>
      <c r="C101" s="570">
        <v>222006.39999999999</v>
      </c>
      <c r="D101" s="396"/>
      <c r="E101" s="396"/>
      <c r="F101" s="396"/>
      <c r="G101" s="396"/>
      <c r="H101" s="396"/>
    </row>
    <row r="102" spans="1:8" s="397" customFormat="1" ht="14.25" customHeight="1" x14ac:dyDescent="0.25">
      <c r="A102" s="564">
        <v>260</v>
      </c>
      <c r="B102" s="570" t="s">
        <v>1369</v>
      </c>
      <c r="C102" s="570">
        <v>222006.39999999999</v>
      </c>
      <c r="D102" s="396"/>
      <c r="E102" s="396"/>
      <c r="F102" s="396"/>
      <c r="G102" s="396"/>
      <c r="H102" s="396"/>
    </row>
    <row r="103" spans="1:8" s="397" customFormat="1" ht="14.25" customHeight="1" x14ac:dyDescent="0.25">
      <c r="A103" s="564">
        <v>261</v>
      </c>
      <c r="B103" s="570" t="s">
        <v>1370</v>
      </c>
      <c r="C103" s="570">
        <v>222006.39999999999</v>
      </c>
      <c r="D103" s="396"/>
      <c r="E103" s="396"/>
      <c r="F103" s="396"/>
      <c r="G103" s="396"/>
      <c r="H103" s="396"/>
    </row>
    <row r="104" spans="1:8" s="397" customFormat="1" ht="14.25" customHeight="1" x14ac:dyDescent="0.25">
      <c r="A104" s="564">
        <v>262</v>
      </c>
      <c r="B104" s="570" t="s">
        <v>1371</v>
      </c>
      <c r="C104" s="570">
        <v>222006.39999999999</v>
      </c>
      <c r="D104" s="396"/>
      <c r="E104" s="396"/>
      <c r="F104" s="396"/>
      <c r="G104" s="396"/>
      <c r="H104" s="396"/>
    </row>
    <row r="105" spans="1:8" s="397" customFormat="1" ht="14.25" customHeight="1" x14ac:dyDescent="0.25">
      <c r="A105" s="564">
        <v>266</v>
      </c>
      <c r="B105" s="570" t="s">
        <v>1372</v>
      </c>
      <c r="C105" s="570">
        <v>58362.5</v>
      </c>
      <c r="D105" s="396"/>
      <c r="E105" s="396"/>
      <c r="F105" s="396"/>
      <c r="G105" s="396"/>
      <c r="H105" s="396"/>
    </row>
    <row r="106" spans="1:8" s="397" customFormat="1" ht="14.25" customHeight="1" x14ac:dyDescent="0.25">
      <c r="A106" s="564">
        <v>267</v>
      </c>
      <c r="B106" s="570" t="s">
        <v>1373</v>
      </c>
      <c r="C106" s="570">
        <v>398768.13</v>
      </c>
      <c r="D106" s="396"/>
      <c r="E106" s="396"/>
      <c r="F106" s="396"/>
      <c r="G106" s="396"/>
      <c r="H106" s="396"/>
    </row>
    <row r="107" spans="1:8" s="397" customFormat="1" ht="14.25" customHeight="1" x14ac:dyDescent="0.25">
      <c r="A107" s="564">
        <v>273</v>
      </c>
      <c r="B107" s="570" t="s">
        <v>1374</v>
      </c>
      <c r="C107" s="570">
        <v>109563.72</v>
      </c>
      <c r="D107" s="396"/>
      <c r="E107" s="396"/>
      <c r="F107" s="396"/>
      <c r="G107" s="396"/>
      <c r="H107" s="396"/>
    </row>
    <row r="108" spans="1:8" s="397" customFormat="1" ht="14.25" customHeight="1" x14ac:dyDescent="0.25">
      <c r="A108" s="564">
        <v>275</v>
      </c>
      <c r="B108" s="570" t="s">
        <v>1375</v>
      </c>
      <c r="C108" s="570">
        <v>238867.20000000001</v>
      </c>
      <c r="D108" s="396"/>
      <c r="E108" s="396"/>
      <c r="F108" s="396"/>
      <c r="G108" s="396"/>
      <c r="H108" s="396"/>
    </row>
    <row r="109" spans="1:8" s="397" customFormat="1" ht="14.25" customHeight="1" x14ac:dyDescent="0.25">
      <c r="A109" s="564">
        <v>282</v>
      </c>
      <c r="B109" s="570" t="s">
        <v>1376</v>
      </c>
      <c r="C109" s="570">
        <v>102718</v>
      </c>
      <c r="D109" s="396"/>
      <c r="E109" s="396"/>
      <c r="F109" s="396"/>
      <c r="G109" s="396"/>
      <c r="H109" s="396"/>
    </row>
    <row r="110" spans="1:8" s="397" customFormat="1" ht="14.25" customHeight="1" x14ac:dyDescent="0.25">
      <c r="A110" s="564">
        <v>283</v>
      </c>
      <c r="B110" s="570" t="s">
        <v>1377</v>
      </c>
      <c r="C110" s="570">
        <v>31050</v>
      </c>
      <c r="D110" s="396"/>
      <c r="E110" s="396"/>
      <c r="F110" s="396"/>
      <c r="G110" s="396"/>
      <c r="H110" s="396"/>
    </row>
    <row r="111" spans="1:8" s="397" customFormat="1" ht="14.25" customHeight="1" x14ac:dyDescent="0.25">
      <c r="A111" s="564">
        <v>284</v>
      </c>
      <c r="B111" s="570" t="s">
        <v>1378</v>
      </c>
      <c r="C111" s="570">
        <v>118335</v>
      </c>
      <c r="D111" s="396"/>
      <c r="E111" s="396"/>
      <c r="F111" s="396"/>
      <c r="G111" s="396"/>
      <c r="H111" s="396"/>
    </row>
    <row r="112" spans="1:8" s="397" customFormat="1" ht="14.25" customHeight="1" x14ac:dyDescent="0.25">
      <c r="A112" s="564">
        <v>285</v>
      </c>
      <c r="B112" s="570" t="s">
        <v>1379</v>
      </c>
      <c r="C112" s="570">
        <v>487500</v>
      </c>
      <c r="D112" s="396"/>
      <c r="E112" s="396"/>
      <c r="F112" s="396"/>
      <c r="G112" s="396"/>
      <c r="H112" s="396"/>
    </row>
    <row r="113" spans="1:8" s="397" customFormat="1" ht="14.25" customHeight="1" x14ac:dyDescent="0.25">
      <c r="A113" s="564">
        <v>286</v>
      </c>
      <c r="B113" s="570" t="s">
        <v>1380</v>
      </c>
      <c r="C113" s="570">
        <v>357500</v>
      </c>
      <c r="D113" s="396"/>
      <c r="E113" s="396"/>
      <c r="F113" s="396"/>
      <c r="G113" s="396"/>
      <c r="H113" s="396"/>
    </row>
    <row r="114" spans="1:8" s="397" customFormat="1" ht="14.25" customHeight="1" x14ac:dyDescent="0.25">
      <c r="A114" s="564">
        <v>288</v>
      </c>
      <c r="B114" s="570" t="s">
        <v>1381</v>
      </c>
      <c r="C114" s="570">
        <v>335375</v>
      </c>
      <c r="D114" s="396"/>
      <c r="E114" s="396"/>
      <c r="F114" s="396"/>
      <c r="G114" s="396"/>
      <c r="H114" s="396"/>
    </row>
    <row r="115" spans="1:8" s="397" customFormat="1" ht="14.25" customHeight="1" x14ac:dyDescent="0.25">
      <c r="A115" s="564">
        <v>294</v>
      </c>
      <c r="B115" s="570" t="s">
        <v>1382</v>
      </c>
      <c r="C115" s="570">
        <v>517440</v>
      </c>
      <c r="D115" s="396"/>
      <c r="E115" s="396"/>
      <c r="F115" s="396"/>
      <c r="G115" s="396"/>
      <c r="H115" s="396"/>
    </row>
    <row r="116" spans="1:8" s="397" customFormat="1" ht="14.25" customHeight="1" x14ac:dyDescent="0.25">
      <c r="A116" s="564">
        <v>307</v>
      </c>
      <c r="B116" s="570" t="s">
        <v>1384</v>
      </c>
      <c r="C116" s="570">
        <v>1296000</v>
      </c>
      <c r="D116" s="396"/>
      <c r="E116" s="396"/>
      <c r="F116" s="396"/>
      <c r="G116" s="396"/>
      <c r="H116" s="396"/>
    </row>
    <row r="117" spans="1:8" s="397" customFormat="1" ht="14.25" customHeight="1" x14ac:dyDescent="0.25">
      <c r="A117" s="564">
        <v>308</v>
      </c>
      <c r="B117" s="570" t="s">
        <v>1385</v>
      </c>
      <c r="C117" s="570">
        <v>335340</v>
      </c>
      <c r="D117" s="396"/>
      <c r="E117" s="396"/>
      <c r="F117" s="396"/>
      <c r="G117" s="396"/>
      <c r="H117" s="396"/>
    </row>
    <row r="118" spans="1:8" s="397" customFormat="1" ht="14.25" customHeight="1" x14ac:dyDescent="0.25">
      <c r="A118" s="564">
        <v>309</v>
      </c>
      <c r="B118" s="570" t="s">
        <v>1386</v>
      </c>
      <c r="C118" s="570">
        <v>614013.75</v>
      </c>
      <c r="D118" s="396"/>
      <c r="E118" s="396"/>
      <c r="F118" s="396"/>
      <c r="G118" s="396"/>
      <c r="H118" s="396"/>
    </row>
    <row r="119" spans="1:8" s="397" customFormat="1" ht="14.25" customHeight="1" x14ac:dyDescent="0.25">
      <c r="A119" s="564">
        <v>310</v>
      </c>
      <c r="B119" s="570" t="s">
        <v>1387</v>
      </c>
      <c r="C119" s="570">
        <v>539005</v>
      </c>
      <c r="D119" s="396"/>
      <c r="E119" s="396"/>
      <c r="F119" s="396"/>
      <c r="G119" s="396"/>
      <c r="H119" s="396"/>
    </row>
    <row r="120" spans="1:8" s="397" customFormat="1" ht="14.25" customHeight="1" x14ac:dyDescent="0.25">
      <c r="A120" s="564">
        <v>311</v>
      </c>
      <c r="B120" s="570" t="s">
        <v>1388</v>
      </c>
      <c r="C120" s="570">
        <v>579600</v>
      </c>
      <c r="D120" s="396"/>
      <c r="E120" s="396"/>
      <c r="F120" s="396"/>
      <c r="G120" s="396"/>
      <c r="H120" s="396"/>
    </row>
    <row r="121" spans="1:8" s="397" customFormat="1" ht="14.25" customHeight="1" x14ac:dyDescent="0.25">
      <c r="A121" s="564">
        <v>312</v>
      </c>
      <c r="B121" s="570" t="s">
        <v>1389</v>
      </c>
      <c r="C121" s="570">
        <v>1020418</v>
      </c>
      <c r="D121" s="396"/>
      <c r="E121" s="396"/>
      <c r="F121" s="396"/>
      <c r="G121" s="396"/>
      <c r="H121" s="396"/>
    </row>
    <row r="122" spans="1:8" s="397" customFormat="1" ht="14.25" customHeight="1" x14ac:dyDescent="0.25">
      <c r="A122" s="564">
        <v>317</v>
      </c>
      <c r="B122" s="570" t="s">
        <v>1390</v>
      </c>
      <c r="C122" s="570">
        <v>1329097.1200000001</v>
      </c>
      <c r="D122" s="396"/>
      <c r="E122" s="396"/>
      <c r="F122" s="396"/>
      <c r="G122" s="396"/>
      <c r="H122" s="396"/>
    </row>
    <row r="123" spans="1:8" s="397" customFormat="1" ht="14.25" customHeight="1" x14ac:dyDescent="0.25">
      <c r="A123" s="564">
        <v>318</v>
      </c>
      <c r="B123" s="570" t="s">
        <v>1391</v>
      </c>
      <c r="C123" s="570">
        <v>674768.25</v>
      </c>
      <c r="D123" s="396"/>
      <c r="E123" s="396"/>
      <c r="F123" s="396"/>
      <c r="G123" s="396"/>
      <c r="H123" s="396"/>
    </row>
    <row r="124" spans="1:8" s="397" customFormat="1" ht="14.25" customHeight="1" x14ac:dyDescent="0.25">
      <c r="A124" s="564">
        <v>319</v>
      </c>
      <c r="B124" s="570" t="s">
        <v>1392</v>
      </c>
      <c r="C124" s="570">
        <v>162457.75</v>
      </c>
      <c r="D124" s="396"/>
      <c r="E124" s="396"/>
      <c r="F124" s="396"/>
      <c r="G124" s="396"/>
      <c r="H124" s="396"/>
    </row>
    <row r="125" spans="1:8" s="397" customFormat="1" ht="14.25" customHeight="1" x14ac:dyDescent="0.25">
      <c r="A125" s="564">
        <v>320</v>
      </c>
      <c r="B125" s="570" t="s">
        <v>1393</v>
      </c>
      <c r="C125" s="570">
        <v>1705424.63</v>
      </c>
      <c r="D125" s="396"/>
      <c r="E125" s="396"/>
      <c r="F125" s="396"/>
      <c r="G125" s="396"/>
      <c r="H125" s="396"/>
    </row>
    <row r="126" spans="1:8" s="397" customFormat="1" ht="14.25" customHeight="1" x14ac:dyDescent="0.25">
      <c r="A126" s="564">
        <v>323</v>
      </c>
      <c r="B126" s="570" t="s">
        <v>1394</v>
      </c>
      <c r="C126" s="570">
        <v>3048150</v>
      </c>
      <c r="D126" s="396"/>
      <c r="E126" s="396"/>
      <c r="F126" s="396"/>
      <c r="G126" s="396"/>
      <c r="H126" s="396"/>
    </row>
    <row r="127" spans="1:8" s="397" customFormat="1" ht="14.25" customHeight="1" x14ac:dyDescent="0.25">
      <c r="A127" s="564">
        <v>330</v>
      </c>
      <c r="B127" s="570" t="s">
        <v>1395</v>
      </c>
      <c r="C127" s="570">
        <v>256685.52</v>
      </c>
      <c r="D127" s="396"/>
      <c r="E127" s="396"/>
      <c r="F127" s="396"/>
      <c r="G127" s="396"/>
      <c r="H127" s="396"/>
    </row>
    <row r="128" spans="1:8" s="397" customFormat="1" ht="14.25" customHeight="1" x14ac:dyDescent="0.25">
      <c r="A128" s="564">
        <v>334</v>
      </c>
      <c r="B128" s="570" t="s">
        <v>1396</v>
      </c>
      <c r="C128" s="570">
        <v>571389</v>
      </c>
      <c r="D128" s="396"/>
      <c r="E128" s="396"/>
      <c r="F128" s="396"/>
      <c r="G128" s="396"/>
      <c r="H128" s="396"/>
    </row>
    <row r="129" spans="1:8" s="397" customFormat="1" ht="14.25" customHeight="1" x14ac:dyDescent="0.25">
      <c r="A129" s="564">
        <v>335</v>
      </c>
      <c r="B129" s="570" t="s">
        <v>1397</v>
      </c>
      <c r="C129" s="570">
        <v>455393.75</v>
      </c>
      <c r="D129" s="396"/>
      <c r="E129" s="396"/>
      <c r="F129" s="396"/>
      <c r="G129" s="396"/>
      <c r="H129" s="396"/>
    </row>
    <row r="130" spans="1:8" s="397" customFormat="1" ht="14.25" customHeight="1" x14ac:dyDescent="0.25">
      <c r="A130" s="564">
        <v>336</v>
      </c>
      <c r="B130" s="570" t="s">
        <v>1398</v>
      </c>
      <c r="C130" s="570">
        <v>348600</v>
      </c>
      <c r="D130" s="396"/>
      <c r="E130" s="396"/>
      <c r="F130" s="396"/>
      <c r="G130" s="396"/>
      <c r="H130" s="396"/>
    </row>
    <row r="131" spans="1:8" s="397" customFormat="1" ht="14.25" customHeight="1" x14ac:dyDescent="0.25">
      <c r="A131" s="564">
        <v>337</v>
      </c>
      <c r="B131" s="570" t="s">
        <v>1399</v>
      </c>
      <c r="C131" s="570">
        <v>102316.5</v>
      </c>
      <c r="D131" s="396"/>
      <c r="E131" s="396"/>
      <c r="F131" s="396"/>
      <c r="G131" s="396"/>
      <c r="H131" s="396"/>
    </row>
    <row r="132" spans="1:8" s="397" customFormat="1" ht="14.25" customHeight="1" x14ac:dyDescent="0.25">
      <c r="A132" s="564">
        <v>338</v>
      </c>
      <c r="B132" s="570" t="s">
        <v>1400</v>
      </c>
      <c r="C132" s="570">
        <v>105300</v>
      </c>
      <c r="D132" s="396"/>
      <c r="E132" s="396"/>
      <c r="F132" s="396"/>
      <c r="G132" s="396"/>
      <c r="H132" s="396"/>
    </row>
    <row r="133" spans="1:8" s="397" customFormat="1" ht="14.25" customHeight="1" x14ac:dyDescent="0.25">
      <c r="A133" s="564">
        <v>339</v>
      </c>
      <c r="B133" s="570" t="s">
        <v>1401</v>
      </c>
      <c r="C133" s="570">
        <v>232452.06</v>
      </c>
      <c r="D133" s="396"/>
      <c r="E133" s="396"/>
      <c r="F133" s="396"/>
      <c r="G133" s="396"/>
      <c r="H133" s="396"/>
    </row>
    <row r="134" spans="1:8" s="397" customFormat="1" ht="14.25" customHeight="1" x14ac:dyDescent="0.25">
      <c r="A134" s="564">
        <v>342</v>
      </c>
      <c r="B134" s="570" t="s">
        <v>1402</v>
      </c>
      <c r="C134" s="570">
        <v>543418.19999999995</v>
      </c>
      <c r="D134" s="396"/>
      <c r="E134" s="396"/>
      <c r="F134" s="396"/>
      <c r="G134" s="396"/>
      <c r="H134" s="396"/>
    </row>
    <row r="135" spans="1:8" s="397" customFormat="1" ht="14.25" customHeight="1" x14ac:dyDescent="0.25">
      <c r="A135" s="564">
        <v>343</v>
      </c>
      <c r="B135" s="570" t="s">
        <v>1403</v>
      </c>
      <c r="C135" s="570">
        <v>129187.5</v>
      </c>
      <c r="D135" s="396"/>
      <c r="E135" s="396"/>
      <c r="F135" s="396"/>
      <c r="G135" s="396"/>
      <c r="H135" s="396"/>
    </row>
    <row r="136" spans="1:8" s="397" customFormat="1" ht="14.25" customHeight="1" x14ac:dyDescent="0.25">
      <c r="A136" s="564">
        <v>344</v>
      </c>
      <c r="B136" s="570" t="s">
        <v>1404</v>
      </c>
      <c r="C136" s="570">
        <v>232544</v>
      </c>
      <c r="D136" s="396"/>
      <c r="E136" s="396"/>
      <c r="F136" s="396"/>
      <c r="G136" s="396"/>
      <c r="H136" s="396"/>
    </row>
    <row r="137" spans="1:8" s="397" customFormat="1" ht="14.25" customHeight="1" x14ac:dyDescent="0.25">
      <c r="A137" s="564">
        <v>345</v>
      </c>
      <c r="B137" s="570" t="s">
        <v>1405</v>
      </c>
      <c r="C137" s="570">
        <v>130812.5</v>
      </c>
      <c r="D137" s="396"/>
      <c r="E137" s="396"/>
      <c r="F137" s="396"/>
      <c r="G137" s="396"/>
      <c r="H137" s="396"/>
    </row>
    <row r="138" spans="1:8" s="397" customFormat="1" ht="14.25" customHeight="1" x14ac:dyDescent="0.25">
      <c r="A138" s="564">
        <v>346</v>
      </c>
      <c r="B138" s="570" t="s">
        <v>1406</v>
      </c>
      <c r="C138" s="570">
        <v>721477.25</v>
      </c>
      <c r="D138" s="396"/>
      <c r="E138" s="396"/>
      <c r="F138" s="396"/>
      <c r="G138" s="396"/>
      <c r="H138" s="396"/>
    </row>
    <row r="139" spans="1:8" s="397" customFormat="1" ht="14.25" customHeight="1" x14ac:dyDescent="0.25">
      <c r="A139" s="564">
        <v>347</v>
      </c>
      <c r="B139" s="570" t="s">
        <v>1407</v>
      </c>
      <c r="C139" s="570">
        <v>1142358.8799999999</v>
      </c>
      <c r="D139" s="396"/>
      <c r="E139" s="396"/>
      <c r="F139" s="396"/>
      <c r="G139" s="396"/>
      <c r="H139" s="396"/>
    </row>
    <row r="140" spans="1:8" s="397" customFormat="1" ht="14.25" customHeight="1" x14ac:dyDescent="0.25">
      <c r="A140" s="564">
        <v>351</v>
      </c>
      <c r="B140" s="570" t="s">
        <v>1408</v>
      </c>
      <c r="C140" s="570">
        <v>235884.6</v>
      </c>
      <c r="D140" s="396"/>
      <c r="E140" s="396"/>
      <c r="F140" s="396"/>
      <c r="G140" s="396"/>
      <c r="H140" s="396"/>
    </row>
    <row r="141" spans="1:8" s="397" customFormat="1" ht="14.25" customHeight="1" x14ac:dyDescent="0.25">
      <c r="A141" s="564">
        <v>352</v>
      </c>
      <c r="B141" s="570" t="s">
        <v>1409</v>
      </c>
      <c r="C141" s="570">
        <v>132281.42000000001</v>
      </c>
      <c r="D141" s="396"/>
      <c r="E141" s="396"/>
      <c r="F141" s="396"/>
      <c r="G141" s="396"/>
      <c r="H141" s="396"/>
    </row>
    <row r="142" spans="1:8" s="397" customFormat="1" ht="14.25" customHeight="1" x14ac:dyDescent="0.25">
      <c r="A142" s="564">
        <v>362</v>
      </c>
      <c r="B142" s="570" t="s">
        <v>2007</v>
      </c>
      <c r="C142" s="570">
        <v>211071</v>
      </c>
      <c r="D142" s="396"/>
      <c r="E142" s="396"/>
      <c r="F142" s="396"/>
      <c r="G142" s="396"/>
      <c r="H142" s="396"/>
    </row>
    <row r="143" spans="1:8" s="397" customFormat="1" ht="14.25" customHeight="1" x14ac:dyDescent="0.25">
      <c r="A143" s="564">
        <v>363</v>
      </c>
      <c r="B143" s="570" t="s">
        <v>2006</v>
      </c>
      <c r="C143" s="570">
        <v>1024650</v>
      </c>
      <c r="D143" s="396"/>
      <c r="E143" s="396"/>
      <c r="F143" s="396"/>
      <c r="G143" s="396"/>
      <c r="H143" s="396"/>
    </row>
    <row r="144" spans="1:8" s="397" customFormat="1" ht="14.25" customHeight="1" x14ac:dyDescent="0.25">
      <c r="A144" s="564">
        <v>364</v>
      </c>
      <c r="B144" s="570" t="s">
        <v>2008</v>
      </c>
      <c r="C144" s="570">
        <v>732008.06</v>
      </c>
      <c r="D144" s="396"/>
      <c r="E144" s="396"/>
      <c r="F144" s="396"/>
      <c r="G144" s="396"/>
      <c r="H144" s="396"/>
    </row>
    <row r="145" spans="1:8" s="397" customFormat="1" ht="14.25" customHeight="1" x14ac:dyDescent="0.25">
      <c r="A145" s="564">
        <v>365</v>
      </c>
      <c r="B145" s="570" t="s">
        <v>2380</v>
      </c>
      <c r="C145" s="570">
        <v>154287.72</v>
      </c>
      <c r="D145" s="396"/>
      <c r="E145" s="396"/>
      <c r="F145" s="396"/>
      <c r="G145" s="396"/>
      <c r="H145" s="396"/>
    </row>
    <row r="146" spans="1:8" s="397" customFormat="1" ht="14.25" customHeight="1" x14ac:dyDescent="0.25">
      <c r="A146" s="564">
        <v>367</v>
      </c>
      <c r="B146" s="570" t="s">
        <v>1410</v>
      </c>
      <c r="C146" s="570">
        <v>1698048</v>
      </c>
      <c r="D146" s="396"/>
      <c r="E146" s="396"/>
      <c r="F146" s="396"/>
      <c r="G146" s="396"/>
      <c r="H146" s="396"/>
    </row>
    <row r="147" spans="1:8" s="397" customFormat="1" ht="14.25" customHeight="1" x14ac:dyDescent="0.25">
      <c r="A147" s="564">
        <v>368</v>
      </c>
      <c r="B147" s="570" t="s">
        <v>1411</v>
      </c>
      <c r="C147" s="570">
        <v>1867852.8</v>
      </c>
      <c r="D147" s="396"/>
      <c r="E147" s="396"/>
      <c r="F147" s="396"/>
      <c r="G147" s="396"/>
      <c r="H147" s="396"/>
    </row>
    <row r="148" spans="1:8" s="397" customFormat="1" ht="14.25" customHeight="1" x14ac:dyDescent="0.25">
      <c r="A148" s="564">
        <v>369</v>
      </c>
      <c r="B148" s="570" t="s">
        <v>1412</v>
      </c>
      <c r="C148" s="570">
        <v>2963976</v>
      </c>
      <c r="D148" s="396"/>
      <c r="E148" s="396"/>
      <c r="F148" s="396"/>
      <c r="G148" s="396"/>
      <c r="H148" s="396"/>
    </row>
    <row r="149" spans="1:8" s="397" customFormat="1" ht="14.25" customHeight="1" x14ac:dyDescent="0.25">
      <c r="A149" s="564">
        <v>376</v>
      </c>
      <c r="B149" s="570" t="s">
        <v>1413</v>
      </c>
      <c r="C149" s="570">
        <v>1284856.3200000001</v>
      </c>
      <c r="D149" s="396"/>
      <c r="E149" s="396"/>
      <c r="F149" s="396"/>
      <c r="G149" s="396"/>
      <c r="H149" s="396"/>
    </row>
    <row r="150" spans="1:8" s="397" customFormat="1" ht="14.25" customHeight="1" x14ac:dyDescent="0.25">
      <c r="A150" s="564">
        <v>379</v>
      </c>
      <c r="B150" s="570" t="s">
        <v>1414</v>
      </c>
      <c r="C150" s="570">
        <v>2295753.2000000002</v>
      </c>
      <c r="D150" s="396"/>
      <c r="E150" s="396"/>
      <c r="F150" s="396"/>
      <c r="G150" s="396"/>
      <c r="H150" s="396"/>
    </row>
    <row r="151" spans="1:8" s="397" customFormat="1" ht="14.25" customHeight="1" x14ac:dyDescent="0.25">
      <c r="A151" s="564">
        <v>384</v>
      </c>
      <c r="B151" s="570" t="s">
        <v>1415</v>
      </c>
      <c r="C151" s="570">
        <v>52000</v>
      </c>
      <c r="D151" s="396"/>
      <c r="E151" s="396"/>
      <c r="F151" s="396"/>
      <c r="G151" s="396"/>
      <c r="H151" s="396"/>
    </row>
    <row r="152" spans="1:8" s="397" customFormat="1" ht="14.25" customHeight="1" x14ac:dyDescent="0.25">
      <c r="A152" s="564">
        <v>385</v>
      </c>
      <c r="B152" s="570" t="s">
        <v>1416</v>
      </c>
      <c r="C152" s="570">
        <v>602966</v>
      </c>
      <c r="D152" s="396"/>
      <c r="E152" s="396"/>
      <c r="F152" s="396"/>
      <c r="G152" s="396"/>
      <c r="H152" s="396"/>
    </row>
    <row r="153" spans="1:8" s="397" customFormat="1" ht="14.25" customHeight="1" x14ac:dyDescent="0.25">
      <c r="A153" s="564">
        <v>386</v>
      </c>
      <c r="B153" s="570" t="s">
        <v>1417</v>
      </c>
      <c r="C153" s="570">
        <v>323481.59000000003</v>
      </c>
      <c r="D153" s="396"/>
      <c r="E153" s="396"/>
      <c r="F153" s="396"/>
      <c r="G153" s="396"/>
      <c r="H153" s="396"/>
    </row>
    <row r="154" spans="1:8" s="397" customFormat="1" ht="14.25" customHeight="1" x14ac:dyDescent="0.25">
      <c r="A154" s="564">
        <v>409</v>
      </c>
      <c r="B154" s="570" t="s">
        <v>1418</v>
      </c>
      <c r="C154" s="570">
        <v>40302.9</v>
      </c>
      <c r="D154" s="396"/>
      <c r="E154" s="396"/>
      <c r="F154" s="396"/>
      <c r="G154" s="396"/>
      <c r="H154" s="396"/>
    </row>
    <row r="155" spans="1:8" s="397" customFormat="1" ht="14.25" customHeight="1" x14ac:dyDescent="0.25">
      <c r="A155" s="564">
        <v>413</v>
      </c>
      <c r="B155" s="570" t="s">
        <v>1419</v>
      </c>
      <c r="C155" s="570">
        <v>579600</v>
      </c>
      <c r="D155" s="396"/>
      <c r="E155" s="396"/>
      <c r="F155" s="396"/>
      <c r="G155" s="396"/>
      <c r="H155" s="396"/>
    </row>
    <row r="156" spans="1:8" s="397" customFormat="1" ht="14.25" customHeight="1" x14ac:dyDescent="0.25">
      <c r="A156" s="564">
        <v>415</v>
      </c>
      <c r="B156" s="570" t="s">
        <v>1420</v>
      </c>
      <c r="C156" s="570">
        <v>183580</v>
      </c>
      <c r="D156" s="396"/>
      <c r="E156" s="396"/>
      <c r="F156" s="396"/>
      <c r="G156" s="396"/>
      <c r="H156" s="396"/>
    </row>
    <row r="157" spans="1:8" s="397" customFormat="1" ht="14.25" customHeight="1" x14ac:dyDescent="0.25">
      <c r="A157" s="564">
        <v>416</v>
      </c>
      <c r="B157" s="570" t="s">
        <v>1421</v>
      </c>
      <c r="C157" s="570">
        <v>449054.55</v>
      </c>
      <c r="D157" s="396"/>
      <c r="E157" s="396"/>
      <c r="F157" s="396"/>
      <c r="G157" s="396"/>
      <c r="H157" s="396"/>
    </row>
    <row r="158" spans="1:8" s="397" customFormat="1" ht="14.25" customHeight="1" x14ac:dyDescent="0.25">
      <c r="A158" s="564">
        <v>418</v>
      </c>
      <c r="B158" s="570" t="s">
        <v>1422</v>
      </c>
      <c r="C158" s="570">
        <v>830520.6</v>
      </c>
      <c r="D158" s="396"/>
      <c r="E158" s="396"/>
      <c r="F158" s="396"/>
      <c r="G158" s="396"/>
      <c r="H158" s="396"/>
    </row>
    <row r="159" spans="1:8" s="397" customFormat="1" ht="14.25" customHeight="1" x14ac:dyDescent="0.25">
      <c r="A159" s="564">
        <v>419</v>
      </c>
      <c r="B159" s="570" t="s">
        <v>1423</v>
      </c>
      <c r="C159" s="570">
        <v>801345</v>
      </c>
      <c r="D159" s="396"/>
      <c r="E159" s="396"/>
      <c r="F159" s="396"/>
      <c r="G159" s="396"/>
      <c r="H159" s="396"/>
    </row>
    <row r="160" spans="1:8" s="397" customFormat="1" ht="14.25" customHeight="1" x14ac:dyDescent="0.25">
      <c r="A160" s="564">
        <v>425</v>
      </c>
      <c r="B160" s="570" t="s">
        <v>1424</v>
      </c>
      <c r="C160" s="570">
        <v>604800</v>
      </c>
      <c r="D160" s="396"/>
      <c r="E160" s="396"/>
      <c r="F160" s="396"/>
      <c r="G160" s="396"/>
      <c r="H160" s="396"/>
    </row>
    <row r="161" spans="1:8" s="397" customFormat="1" ht="14.25" customHeight="1" x14ac:dyDescent="0.25">
      <c r="A161" s="564">
        <v>426</v>
      </c>
      <c r="B161" s="570" t="s">
        <v>1425</v>
      </c>
      <c r="C161" s="570">
        <v>544320</v>
      </c>
      <c r="D161" s="396"/>
      <c r="E161" s="396"/>
      <c r="F161" s="396"/>
      <c r="G161" s="396"/>
      <c r="H161" s="396"/>
    </row>
    <row r="162" spans="1:8" s="397" customFormat="1" ht="14.25" customHeight="1" x14ac:dyDescent="0.25">
      <c r="A162" s="564">
        <v>431</v>
      </c>
      <c r="B162" s="570" t="s">
        <v>1426</v>
      </c>
      <c r="C162" s="570">
        <v>647879.57999999996</v>
      </c>
      <c r="D162" s="396"/>
      <c r="E162" s="396"/>
      <c r="F162" s="396"/>
      <c r="G162" s="396"/>
      <c r="H162" s="396"/>
    </row>
    <row r="163" spans="1:8" s="397" customFormat="1" ht="14.25" customHeight="1" x14ac:dyDescent="0.25">
      <c r="A163" s="564">
        <v>432</v>
      </c>
      <c r="B163" s="570" t="s">
        <v>1427</v>
      </c>
      <c r="C163" s="570">
        <v>626514</v>
      </c>
      <c r="D163" s="396"/>
      <c r="E163" s="396"/>
      <c r="F163" s="396"/>
      <c r="G163" s="396"/>
      <c r="H163" s="396"/>
    </row>
    <row r="164" spans="1:8" s="397" customFormat="1" ht="14.25" customHeight="1" x14ac:dyDescent="0.25">
      <c r="A164" s="564">
        <v>433</v>
      </c>
      <c r="B164" s="570" t="s">
        <v>1428</v>
      </c>
      <c r="C164" s="570">
        <v>382570.56</v>
      </c>
      <c r="D164" s="396"/>
      <c r="E164" s="396"/>
      <c r="F164" s="396"/>
      <c r="G164" s="396"/>
      <c r="H164" s="396"/>
    </row>
    <row r="165" spans="1:8" s="397" customFormat="1" ht="14.25" customHeight="1" x14ac:dyDescent="0.25">
      <c r="A165" s="564">
        <v>434</v>
      </c>
      <c r="B165" s="570" t="s">
        <v>1429</v>
      </c>
      <c r="C165" s="570">
        <v>312742.5</v>
      </c>
      <c r="D165" s="396"/>
      <c r="E165" s="396"/>
      <c r="F165" s="396"/>
      <c r="G165" s="396"/>
      <c r="H165" s="396"/>
    </row>
    <row r="166" spans="1:8" s="397" customFormat="1" ht="14.25" customHeight="1" x14ac:dyDescent="0.25">
      <c r="A166" s="564">
        <v>435</v>
      </c>
      <c r="B166" s="570" t="s">
        <v>1430</v>
      </c>
      <c r="C166" s="570">
        <v>72208.5</v>
      </c>
      <c r="D166" s="396"/>
      <c r="E166" s="396"/>
      <c r="F166" s="396"/>
      <c r="G166" s="396"/>
      <c r="H166" s="396"/>
    </row>
    <row r="167" spans="1:8" s="397" customFormat="1" ht="14.25" customHeight="1" x14ac:dyDescent="0.25">
      <c r="A167" s="564">
        <v>436</v>
      </c>
      <c r="B167" s="570" t="s">
        <v>1431</v>
      </c>
      <c r="C167" s="570">
        <v>67620</v>
      </c>
      <c r="D167" s="396"/>
      <c r="E167" s="396"/>
      <c r="F167" s="396"/>
      <c r="G167" s="396"/>
      <c r="H167" s="396"/>
    </row>
    <row r="168" spans="1:8" s="397" customFormat="1" ht="14.25" customHeight="1" x14ac:dyDescent="0.25">
      <c r="A168" s="564">
        <v>438</v>
      </c>
      <c r="B168" s="570" t="s">
        <v>1432</v>
      </c>
      <c r="C168" s="570">
        <v>872033.5</v>
      </c>
      <c r="D168" s="396"/>
      <c r="E168" s="396"/>
      <c r="F168" s="396"/>
      <c r="G168" s="396"/>
      <c r="H168" s="396"/>
    </row>
    <row r="169" spans="1:8" s="397" customFormat="1" ht="14.25" customHeight="1" x14ac:dyDescent="0.25">
      <c r="A169" s="564">
        <v>439</v>
      </c>
      <c r="B169" s="570" t="s">
        <v>1433</v>
      </c>
      <c r="C169" s="570">
        <v>576491.37</v>
      </c>
      <c r="D169" s="396"/>
      <c r="E169" s="396"/>
      <c r="F169" s="396"/>
      <c r="G169" s="396"/>
      <c r="H169" s="396"/>
    </row>
    <row r="170" spans="1:8" s="397" customFormat="1" ht="14.25" customHeight="1" x14ac:dyDescent="0.25">
      <c r="A170" s="564">
        <v>440</v>
      </c>
      <c r="B170" s="570" t="s">
        <v>1434</v>
      </c>
      <c r="C170" s="570">
        <v>753480</v>
      </c>
      <c r="D170" s="396"/>
      <c r="E170" s="396"/>
      <c r="F170" s="396"/>
      <c r="G170" s="396"/>
      <c r="H170" s="396"/>
    </row>
    <row r="171" spans="1:8" s="397" customFormat="1" ht="14.25" customHeight="1" x14ac:dyDescent="0.25">
      <c r="A171" s="564">
        <v>441</v>
      </c>
      <c r="B171" s="570" t="s">
        <v>1435</v>
      </c>
      <c r="C171" s="570">
        <v>2351673.09</v>
      </c>
      <c r="D171" s="396"/>
      <c r="E171" s="396"/>
      <c r="F171" s="396"/>
      <c r="G171" s="396"/>
      <c r="H171" s="396"/>
    </row>
    <row r="172" spans="1:8" s="397" customFormat="1" ht="14.25" customHeight="1" x14ac:dyDescent="0.25">
      <c r="A172" s="564">
        <v>445</v>
      </c>
      <c r="B172" s="570" t="s">
        <v>1436</v>
      </c>
      <c r="C172" s="570">
        <v>3715509.53</v>
      </c>
      <c r="D172" s="396"/>
      <c r="E172" s="396"/>
      <c r="F172" s="396"/>
      <c r="G172" s="396"/>
      <c r="H172" s="396"/>
    </row>
    <row r="173" spans="1:8" s="397" customFormat="1" ht="14.25" customHeight="1" x14ac:dyDescent="0.25">
      <c r="A173" s="564">
        <v>446</v>
      </c>
      <c r="B173" s="570" t="s">
        <v>1437</v>
      </c>
      <c r="C173" s="570">
        <v>144344.54999999999</v>
      </c>
      <c r="D173" s="396"/>
      <c r="E173" s="396"/>
      <c r="F173" s="396"/>
      <c r="G173" s="396"/>
      <c r="H173" s="396"/>
    </row>
    <row r="174" spans="1:8" s="397" customFormat="1" ht="14.25" customHeight="1" x14ac:dyDescent="0.25">
      <c r="A174" s="564">
        <v>447</v>
      </c>
      <c r="B174" s="570" t="s">
        <v>1438</v>
      </c>
      <c r="C174" s="570">
        <v>94479</v>
      </c>
      <c r="D174" s="396"/>
      <c r="E174" s="396"/>
      <c r="F174" s="396"/>
      <c r="G174" s="396"/>
      <c r="H174" s="396"/>
    </row>
    <row r="175" spans="1:8" s="397" customFormat="1" ht="14.25" customHeight="1" x14ac:dyDescent="0.25">
      <c r="A175" s="564">
        <v>452</v>
      </c>
      <c r="B175" s="570" t="s">
        <v>1439</v>
      </c>
      <c r="C175" s="570">
        <v>355507.25</v>
      </c>
      <c r="D175" s="396"/>
      <c r="E175" s="396"/>
      <c r="F175" s="396"/>
      <c r="G175" s="396"/>
      <c r="H175" s="396"/>
    </row>
    <row r="176" spans="1:8" s="397" customFormat="1" ht="14.25" customHeight="1" x14ac:dyDescent="0.25">
      <c r="A176" s="564">
        <v>453</v>
      </c>
      <c r="B176" s="570" t="s">
        <v>1440</v>
      </c>
      <c r="C176" s="570">
        <v>542066.06999999995</v>
      </c>
      <c r="D176" s="396"/>
      <c r="E176" s="396"/>
      <c r="F176" s="396"/>
      <c r="G176" s="396"/>
      <c r="H176" s="396"/>
    </row>
    <row r="177" spans="1:8" s="397" customFormat="1" ht="14.25" customHeight="1" x14ac:dyDescent="0.25">
      <c r="A177" s="564">
        <v>456</v>
      </c>
      <c r="B177" s="570" t="s">
        <v>1441</v>
      </c>
      <c r="C177" s="570">
        <v>667354.38</v>
      </c>
      <c r="D177" s="396"/>
      <c r="E177" s="396"/>
      <c r="F177" s="396"/>
      <c r="G177" s="396"/>
      <c r="H177" s="396"/>
    </row>
    <row r="178" spans="1:8" s="397" customFormat="1" ht="14.25" customHeight="1" x14ac:dyDescent="0.25">
      <c r="A178" s="564">
        <v>457</v>
      </c>
      <c r="B178" s="570" t="s">
        <v>1442</v>
      </c>
      <c r="C178" s="570">
        <v>293233.5</v>
      </c>
      <c r="D178" s="396"/>
      <c r="E178" s="396"/>
      <c r="F178" s="396"/>
      <c r="G178" s="396"/>
      <c r="H178" s="396"/>
    </row>
    <row r="179" spans="1:8" s="397" customFormat="1" ht="14.25" customHeight="1" x14ac:dyDescent="0.25">
      <c r="A179" s="564">
        <v>458</v>
      </c>
      <c r="B179" s="570" t="s">
        <v>1443</v>
      </c>
      <c r="C179" s="570">
        <v>1477216</v>
      </c>
      <c r="D179" s="396"/>
      <c r="E179" s="396"/>
      <c r="F179" s="396"/>
      <c r="G179" s="396"/>
      <c r="H179" s="396"/>
    </row>
    <row r="180" spans="1:8" s="397" customFormat="1" ht="14.25" customHeight="1" x14ac:dyDescent="0.25">
      <c r="A180" s="564">
        <v>459</v>
      </c>
      <c r="B180" s="570" t="s">
        <v>1444</v>
      </c>
      <c r="C180" s="570">
        <v>2571692.5</v>
      </c>
      <c r="D180" s="396"/>
      <c r="E180" s="396"/>
      <c r="F180" s="396"/>
      <c r="G180" s="396"/>
      <c r="H180" s="396"/>
    </row>
    <row r="181" spans="1:8" s="397" customFormat="1" ht="14.25" customHeight="1" x14ac:dyDescent="0.25">
      <c r="A181" s="564">
        <v>460</v>
      </c>
      <c r="B181" s="570" t="s">
        <v>1445</v>
      </c>
      <c r="C181" s="570">
        <v>1606748</v>
      </c>
      <c r="D181" s="396"/>
      <c r="E181" s="396"/>
      <c r="F181" s="396"/>
      <c r="G181" s="396"/>
      <c r="H181" s="396"/>
    </row>
    <row r="182" spans="1:8" s="397" customFormat="1" ht="14.25" customHeight="1" x14ac:dyDescent="0.25">
      <c r="A182" s="564">
        <v>461</v>
      </c>
      <c r="B182" s="570" t="s">
        <v>1446</v>
      </c>
      <c r="C182" s="570">
        <v>967356</v>
      </c>
      <c r="D182" s="396"/>
      <c r="E182" s="396"/>
      <c r="F182" s="396"/>
      <c r="G182" s="396"/>
      <c r="H182" s="396"/>
    </row>
    <row r="183" spans="1:8" s="397" customFormat="1" ht="14.25" customHeight="1" x14ac:dyDescent="0.25">
      <c r="A183" s="564">
        <v>463</v>
      </c>
      <c r="B183" s="570" t="s">
        <v>1447</v>
      </c>
      <c r="C183" s="570">
        <v>1908022.5</v>
      </c>
      <c r="D183" s="396"/>
      <c r="E183" s="396"/>
      <c r="F183" s="396"/>
      <c r="G183" s="396"/>
      <c r="H183" s="396"/>
    </row>
    <row r="184" spans="1:8" s="397" customFormat="1" ht="14.25" customHeight="1" x14ac:dyDescent="0.25">
      <c r="A184" s="564">
        <v>465</v>
      </c>
      <c r="B184" s="570" t="s">
        <v>1448</v>
      </c>
      <c r="C184" s="570">
        <v>11743110</v>
      </c>
      <c r="D184" s="396"/>
      <c r="E184" s="396"/>
      <c r="F184" s="396"/>
      <c r="G184" s="396"/>
      <c r="H184" s="396"/>
    </row>
    <row r="185" spans="1:8" s="397" customFormat="1" ht="14.25" customHeight="1" x14ac:dyDescent="0.25">
      <c r="A185" s="564">
        <v>466</v>
      </c>
      <c r="B185" s="570" t="s">
        <v>1449</v>
      </c>
      <c r="C185" s="570">
        <v>3471690</v>
      </c>
      <c r="D185" s="396"/>
      <c r="E185" s="396"/>
      <c r="F185" s="396"/>
      <c r="G185" s="396"/>
      <c r="H185" s="396"/>
    </row>
    <row r="186" spans="1:8" s="397" customFormat="1" ht="14.25" customHeight="1" x14ac:dyDescent="0.25">
      <c r="A186" s="564">
        <v>467</v>
      </c>
      <c r="B186" s="570" t="s">
        <v>1450</v>
      </c>
      <c r="C186" s="570">
        <v>624960</v>
      </c>
      <c r="D186" s="396"/>
      <c r="E186" s="396"/>
      <c r="F186" s="396"/>
      <c r="G186" s="396"/>
      <c r="H186" s="396"/>
    </row>
    <row r="187" spans="1:8" s="397" customFormat="1" ht="14.25" customHeight="1" x14ac:dyDescent="0.25">
      <c r="A187" s="564">
        <v>471</v>
      </c>
      <c r="B187" s="570" t="s">
        <v>1451</v>
      </c>
      <c r="C187" s="570">
        <v>1317694.5</v>
      </c>
      <c r="D187" s="396"/>
      <c r="E187" s="396"/>
      <c r="F187" s="396"/>
      <c r="G187" s="396"/>
      <c r="H187" s="396"/>
    </row>
    <row r="188" spans="1:8" s="397" customFormat="1" ht="14.25" customHeight="1" x14ac:dyDescent="0.25">
      <c r="A188" s="564">
        <v>472</v>
      </c>
      <c r="B188" s="570" t="s">
        <v>1452</v>
      </c>
      <c r="C188" s="570">
        <v>596221.52</v>
      </c>
      <c r="D188" s="396"/>
      <c r="E188" s="396"/>
      <c r="F188" s="396"/>
      <c r="G188" s="396"/>
      <c r="H188" s="396"/>
    </row>
    <row r="189" spans="1:8" s="397" customFormat="1" ht="14.25" customHeight="1" x14ac:dyDescent="0.25">
      <c r="A189" s="564">
        <v>473</v>
      </c>
      <c r="B189" s="570" t="s">
        <v>1453</v>
      </c>
      <c r="C189" s="570">
        <v>1036582.75</v>
      </c>
      <c r="D189" s="396"/>
      <c r="E189" s="396"/>
      <c r="F189" s="396"/>
      <c r="G189" s="396"/>
      <c r="H189" s="396"/>
    </row>
    <row r="190" spans="1:8" s="397" customFormat="1" ht="14.25" customHeight="1" x14ac:dyDescent="0.25">
      <c r="A190" s="564">
        <v>476</v>
      </c>
      <c r="B190" s="570" t="s">
        <v>1454</v>
      </c>
      <c r="C190" s="570">
        <v>382420.5</v>
      </c>
      <c r="D190" s="396"/>
      <c r="E190" s="396"/>
      <c r="F190" s="396"/>
      <c r="G190" s="396"/>
      <c r="H190" s="396"/>
    </row>
    <row r="191" spans="1:8" s="397" customFormat="1" ht="14.25" customHeight="1" x14ac:dyDescent="0.25">
      <c r="A191" s="564">
        <v>477</v>
      </c>
      <c r="B191" s="570" t="s">
        <v>1455</v>
      </c>
      <c r="C191" s="570">
        <v>146004</v>
      </c>
      <c r="D191" s="396"/>
      <c r="E191" s="396"/>
      <c r="F191" s="396"/>
      <c r="G191" s="396"/>
      <c r="H191" s="396"/>
    </row>
    <row r="192" spans="1:8" s="397" customFormat="1" ht="14.25" customHeight="1" x14ac:dyDescent="0.25">
      <c r="A192" s="564">
        <v>478</v>
      </c>
      <c r="B192" s="570" t="s">
        <v>1456</v>
      </c>
      <c r="C192" s="570">
        <v>154732.5</v>
      </c>
      <c r="D192" s="396"/>
      <c r="E192" s="396"/>
      <c r="F192" s="396"/>
      <c r="G192" s="396"/>
      <c r="H192" s="396"/>
    </row>
    <row r="193" spans="1:8" s="397" customFormat="1" ht="14.25" customHeight="1" x14ac:dyDescent="0.25">
      <c r="A193" s="564">
        <v>479</v>
      </c>
      <c r="B193" s="570" t="s">
        <v>1457</v>
      </c>
      <c r="C193" s="570">
        <v>196650</v>
      </c>
      <c r="D193" s="396"/>
      <c r="E193" s="396"/>
      <c r="F193" s="396"/>
      <c r="G193" s="396"/>
      <c r="H193" s="396"/>
    </row>
    <row r="194" spans="1:8" s="397" customFormat="1" ht="14.25" customHeight="1" x14ac:dyDescent="0.25">
      <c r="A194" s="564">
        <v>480</v>
      </c>
      <c r="B194" s="570" t="s">
        <v>1458</v>
      </c>
      <c r="C194" s="570">
        <v>189536.1</v>
      </c>
      <c r="D194" s="396"/>
      <c r="E194" s="396"/>
      <c r="F194" s="396"/>
      <c r="G194" s="396"/>
      <c r="H194" s="396"/>
    </row>
    <row r="195" spans="1:8" s="397" customFormat="1" ht="14.25" customHeight="1" x14ac:dyDescent="0.25">
      <c r="A195" s="564">
        <v>481</v>
      </c>
      <c r="B195" s="570" t="s">
        <v>1459</v>
      </c>
      <c r="C195" s="570">
        <v>965758.5</v>
      </c>
      <c r="D195" s="396"/>
      <c r="E195" s="396"/>
      <c r="F195" s="396"/>
      <c r="G195" s="396"/>
      <c r="H195" s="396"/>
    </row>
    <row r="196" spans="1:8" s="397" customFormat="1" ht="14.25" customHeight="1" x14ac:dyDescent="0.25">
      <c r="A196" s="564">
        <v>484</v>
      </c>
      <c r="B196" s="570" t="s">
        <v>1460</v>
      </c>
      <c r="C196" s="570">
        <v>3663900</v>
      </c>
      <c r="D196" s="396"/>
      <c r="E196" s="396"/>
      <c r="F196" s="396"/>
      <c r="G196" s="396"/>
      <c r="H196" s="396"/>
    </row>
    <row r="197" spans="1:8" s="397" customFormat="1" ht="14.25" customHeight="1" x14ac:dyDescent="0.25">
      <c r="A197" s="564">
        <v>485</v>
      </c>
      <c r="B197" s="570" t="s">
        <v>1461</v>
      </c>
      <c r="C197" s="570">
        <v>106432.16</v>
      </c>
      <c r="D197" s="396"/>
      <c r="E197" s="396"/>
      <c r="F197" s="396"/>
      <c r="G197" s="396"/>
      <c r="H197" s="396"/>
    </row>
    <row r="198" spans="1:8" s="397" customFormat="1" ht="14.25" customHeight="1" x14ac:dyDescent="0.25">
      <c r="A198" s="564">
        <v>486</v>
      </c>
      <c r="B198" s="570" t="s">
        <v>1462</v>
      </c>
      <c r="C198" s="570">
        <v>106376.61</v>
      </c>
      <c r="D198" s="396"/>
      <c r="E198" s="396"/>
      <c r="F198" s="396"/>
      <c r="G198" s="396"/>
      <c r="H198" s="396"/>
    </row>
    <row r="199" spans="1:8" s="397" customFormat="1" ht="14.25" customHeight="1" x14ac:dyDescent="0.25">
      <c r="A199" s="564">
        <v>487</v>
      </c>
      <c r="B199" s="570" t="s">
        <v>1463</v>
      </c>
      <c r="C199" s="570">
        <v>23936.1</v>
      </c>
      <c r="D199" s="396"/>
      <c r="E199" s="396"/>
      <c r="F199" s="396"/>
      <c r="G199" s="396"/>
      <c r="H199" s="396"/>
    </row>
    <row r="200" spans="1:8" s="397" customFormat="1" ht="14.25" customHeight="1" x14ac:dyDescent="0.25">
      <c r="A200" s="564">
        <v>488</v>
      </c>
      <c r="B200" s="570" t="s">
        <v>1464</v>
      </c>
      <c r="C200" s="570">
        <v>43890.9</v>
      </c>
      <c r="D200" s="396"/>
      <c r="E200" s="396"/>
      <c r="F200" s="396"/>
      <c r="G200" s="396"/>
      <c r="H200" s="396"/>
    </row>
    <row r="201" spans="1:8" s="397" customFormat="1" ht="14.25" customHeight="1" x14ac:dyDescent="0.25">
      <c r="A201" s="564">
        <v>497</v>
      </c>
      <c r="B201" s="570" t="s">
        <v>1465</v>
      </c>
      <c r="C201" s="570">
        <v>183813.7</v>
      </c>
      <c r="D201" s="396"/>
      <c r="E201" s="396"/>
      <c r="F201" s="396"/>
      <c r="G201" s="396"/>
      <c r="H201" s="396"/>
    </row>
    <row r="202" spans="1:8" s="397" customFormat="1" ht="14.25" customHeight="1" x14ac:dyDescent="0.25">
      <c r="A202" s="564">
        <v>498</v>
      </c>
      <c r="B202" s="570" t="s">
        <v>1466</v>
      </c>
      <c r="C202" s="570">
        <v>129560.2</v>
      </c>
      <c r="D202" s="396"/>
      <c r="E202" s="396"/>
      <c r="F202" s="396"/>
      <c r="G202" s="396"/>
      <c r="H202" s="396"/>
    </row>
    <row r="203" spans="1:8" s="397" customFormat="1" ht="14.25" customHeight="1" x14ac:dyDescent="0.25">
      <c r="A203" s="564">
        <v>499</v>
      </c>
      <c r="B203" s="570" t="s">
        <v>1467</v>
      </c>
      <c r="C203" s="570">
        <v>59211.25</v>
      </c>
      <c r="D203" s="396"/>
      <c r="E203" s="396"/>
      <c r="F203" s="396"/>
      <c r="G203" s="396"/>
      <c r="H203" s="396"/>
    </row>
    <row r="204" spans="1:8" s="397" customFormat="1" ht="14.25" customHeight="1" x14ac:dyDescent="0.25">
      <c r="A204" s="564">
        <v>500</v>
      </c>
      <c r="B204" s="570" t="s">
        <v>1468</v>
      </c>
      <c r="C204" s="570">
        <v>108435.6</v>
      </c>
      <c r="D204" s="396"/>
      <c r="E204" s="396"/>
      <c r="F204" s="396"/>
      <c r="G204" s="396"/>
      <c r="H204" s="396"/>
    </row>
    <row r="205" spans="1:8" s="397" customFormat="1" ht="14.25" customHeight="1" x14ac:dyDescent="0.25">
      <c r="A205" s="564">
        <v>502</v>
      </c>
      <c r="B205" s="570" t="s">
        <v>1469</v>
      </c>
      <c r="C205" s="570">
        <v>505499.75</v>
      </c>
      <c r="D205" s="396"/>
      <c r="E205" s="396"/>
      <c r="F205" s="396"/>
      <c r="G205" s="396"/>
      <c r="H205" s="396"/>
    </row>
    <row r="206" spans="1:8" s="397" customFormat="1" ht="14.25" customHeight="1" x14ac:dyDescent="0.25">
      <c r="A206" s="564">
        <v>503</v>
      </c>
      <c r="B206" s="570" t="s">
        <v>1470</v>
      </c>
      <c r="C206" s="570">
        <v>869400</v>
      </c>
      <c r="D206" s="396"/>
      <c r="E206" s="396"/>
      <c r="F206" s="396"/>
      <c r="G206" s="396"/>
      <c r="H206" s="396"/>
    </row>
    <row r="207" spans="1:8" s="397" customFormat="1" ht="14.25" customHeight="1" x14ac:dyDescent="0.25">
      <c r="A207" s="564">
        <v>505</v>
      </c>
      <c r="B207" s="570" t="s">
        <v>1471</v>
      </c>
      <c r="C207" s="570">
        <v>508375</v>
      </c>
      <c r="D207" s="396"/>
      <c r="E207" s="396"/>
      <c r="F207" s="396"/>
      <c r="G207" s="396"/>
      <c r="H207" s="396"/>
    </row>
    <row r="208" spans="1:8" s="397" customFormat="1" ht="14.25" customHeight="1" x14ac:dyDescent="0.25">
      <c r="A208" s="564">
        <v>506</v>
      </c>
      <c r="B208" s="570" t="s">
        <v>1472</v>
      </c>
      <c r="C208" s="570">
        <v>123200</v>
      </c>
      <c r="D208" s="396"/>
      <c r="E208" s="396"/>
      <c r="F208" s="396"/>
      <c r="G208" s="396"/>
      <c r="H208" s="396"/>
    </row>
    <row r="209" spans="1:8" s="397" customFormat="1" ht="14.25" customHeight="1" x14ac:dyDescent="0.25">
      <c r="A209" s="564">
        <v>510</v>
      </c>
      <c r="B209" s="570" t="s">
        <v>1473</v>
      </c>
      <c r="C209" s="570">
        <v>695687.85</v>
      </c>
      <c r="D209" s="396"/>
      <c r="E209" s="396"/>
      <c r="F209" s="396"/>
      <c r="G209" s="396"/>
      <c r="H209" s="396"/>
    </row>
    <row r="210" spans="1:8" s="397" customFormat="1" ht="14.25" customHeight="1" x14ac:dyDescent="0.25">
      <c r="A210" s="564">
        <v>511</v>
      </c>
      <c r="B210" s="570" t="s">
        <v>1474</v>
      </c>
      <c r="C210" s="570">
        <v>291127.5</v>
      </c>
      <c r="D210" s="396"/>
      <c r="E210" s="396"/>
      <c r="F210" s="396"/>
      <c r="G210" s="396"/>
      <c r="H210" s="396"/>
    </row>
    <row r="211" spans="1:8" s="397" customFormat="1" ht="14.25" customHeight="1" x14ac:dyDescent="0.25">
      <c r="A211" s="564">
        <v>516</v>
      </c>
      <c r="B211" s="570" t="s">
        <v>1475</v>
      </c>
      <c r="C211" s="570">
        <v>392175.02</v>
      </c>
      <c r="D211" s="396"/>
      <c r="E211" s="396"/>
      <c r="F211" s="396"/>
      <c r="G211" s="396"/>
      <c r="H211" s="396"/>
    </row>
    <row r="212" spans="1:8" s="397" customFormat="1" ht="14.25" customHeight="1" x14ac:dyDescent="0.25">
      <c r="A212" s="564">
        <v>517</v>
      </c>
      <c r="B212" s="570" t="s">
        <v>1476</v>
      </c>
      <c r="C212" s="570">
        <v>237825.01</v>
      </c>
      <c r="D212" s="396"/>
      <c r="E212" s="396"/>
      <c r="F212" s="396"/>
      <c r="G212" s="396"/>
      <c r="H212" s="396"/>
    </row>
    <row r="213" spans="1:8" s="397" customFormat="1" ht="14.25" customHeight="1" x14ac:dyDescent="0.25">
      <c r="A213" s="564">
        <v>518</v>
      </c>
      <c r="B213" s="570" t="s">
        <v>1477</v>
      </c>
      <c r="C213" s="570">
        <v>511875</v>
      </c>
      <c r="D213" s="396"/>
      <c r="E213" s="396"/>
      <c r="F213" s="396"/>
      <c r="G213" s="396"/>
      <c r="H213" s="396"/>
    </row>
    <row r="214" spans="1:8" s="397" customFormat="1" ht="14.25" customHeight="1" x14ac:dyDescent="0.25">
      <c r="A214" s="564">
        <v>519</v>
      </c>
      <c r="B214" s="570" t="s">
        <v>1478</v>
      </c>
      <c r="C214" s="570">
        <v>548482.5</v>
      </c>
      <c r="D214" s="396"/>
      <c r="E214" s="396"/>
      <c r="F214" s="396"/>
      <c r="G214" s="396"/>
      <c r="H214" s="396"/>
    </row>
    <row r="215" spans="1:8" s="397" customFormat="1" ht="14.25" customHeight="1" x14ac:dyDescent="0.25">
      <c r="A215" s="564">
        <v>524</v>
      </c>
      <c r="B215" s="570" t="s">
        <v>1479</v>
      </c>
      <c r="C215" s="570">
        <v>1551925</v>
      </c>
      <c r="D215" s="396"/>
      <c r="E215" s="396"/>
      <c r="F215" s="396"/>
      <c r="G215" s="396"/>
      <c r="H215" s="396"/>
    </row>
    <row r="216" spans="1:8" s="397" customFormat="1" ht="14.25" customHeight="1" x14ac:dyDescent="0.25">
      <c r="A216" s="564">
        <v>526</v>
      </c>
      <c r="B216" s="570" t="s">
        <v>1480</v>
      </c>
      <c r="C216" s="570">
        <v>662767.5</v>
      </c>
      <c r="D216" s="396"/>
      <c r="E216" s="396"/>
      <c r="F216" s="396"/>
      <c r="G216" s="396"/>
      <c r="H216" s="396"/>
    </row>
    <row r="217" spans="1:8" s="397" customFormat="1" ht="14.25" customHeight="1" x14ac:dyDescent="0.25">
      <c r="A217" s="564">
        <v>529</v>
      </c>
      <c r="B217" s="570" t="s">
        <v>1481</v>
      </c>
      <c r="C217" s="570">
        <v>24000</v>
      </c>
      <c r="D217" s="396"/>
      <c r="E217" s="396"/>
      <c r="F217" s="396"/>
      <c r="G217" s="396"/>
      <c r="H217" s="396"/>
    </row>
    <row r="218" spans="1:8" s="397" customFormat="1" ht="14.25" customHeight="1" x14ac:dyDescent="0.25">
      <c r="A218" s="564">
        <v>530</v>
      </c>
      <c r="B218" s="570" t="s">
        <v>1482</v>
      </c>
      <c r="C218" s="570">
        <v>24000</v>
      </c>
      <c r="D218" s="396"/>
      <c r="E218" s="396"/>
      <c r="F218" s="396"/>
      <c r="G218" s="396"/>
      <c r="H218" s="396"/>
    </row>
    <row r="219" spans="1:8" s="397" customFormat="1" ht="14.25" customHeight="1" x14ac:dyDescent="0.25">
      <c r="A219" s="564">
        <v>532</v>
      </c>
      <c r="B219" s="570" t="s">
        <v>1483</v>
      </c>
      <c r="C219" s="570">
        <v>1121557.3999999999</v>
      </c>
      <c r="D219" s="396"/>
      <c r="E219" s="396"/>
      <c r="F219" s="396"/>
      <c r="G219" s="396"/>
      <c r="H219" s="396"/>
    </row>
    <row r="220" spans="1:8" s="397" customFormat="1" ht="14.25" customHeight="1" x14ac:dyDescent="0.25">
      <c r="A220" s="564">
        <v>538</v>
      </c>
      <c r="B220" s="570" t="s">
        <v>1484</v>
      </c>
      <c r="C220" s="570">
        <v>761288.56</v>
      </c>
      <c r="D220" s="396"/>
      <c r="E220" s="396"/>
      <c r="F220" s="396"/>
      <c r="G220" s="396"/>
      <c r="H220" s="396"/>
    </row>
    <row r="221" spans="1:8" s="397" customFormat="1" ht="14.25" customHeight="1" x14ac:dyDescent="0.25">
      <c r="A221" s="564">
        <v>542</v>
      </c>
      <c r="B221" s="570" t="s">
        <v>1485</v>
      </c>
      <c r="C221" s="570">
        <v>432000</v>
      </c>
      <c r="D221" s="396"/>
      <c r="E221" s="396"/>
      <c r="F221" s="396"/>
      <c r="G221" s="396"/>
      <c r="H221" s="396"/>
    </row>
    <row r="222" spans="1:8" s="397" customFormat="1" ht="14.25" customHeight="1" x14ac:dyDescent="0.25">
      <c r="A222" s="564">
        <v>543</v>
      </c>
      <c r="B222" s="570" t="s">
        <v>1486</v>
      </c>
      <c r="C222" s="570">
        <v>198720</v>
      </c>
      <c r="D222" s="396"/>
      <c r="E222" s="396"/>
      <c r="F222" s="396"/>
      <c r="G222" s="396"/>
      <c r="H222" s="396"/>
    </row>
    <row r="223" spans="1:8" s="397" customFormat="1" ht="14.25" customHeight="1" x14ac:dyDescent="0.25">
      <c r="A223" s="564">
        <v>544</v>
      </c>
      <c r="B223" s="570" t="s">
        <v>1487</v>
      </c>
      <c r="C223" s="570">
        <v>155520</v>
      </c>
      <c r="D223" s="396"/>
      <c r="E223" s="396"/>
      <c r="F223" s="396"/>
      <c r="G223" s="396"/>
      <c r="H223" s="396"/>
    </row>
    <row r="224" spans="1:8" s="397" customFormat="1" ht="14.25" customHeight="1" x14ac:dyDescent="0.25">
      <c r="A224" s="564">
        <v>545</v>
      </c>
      <c r="B224" s="570" t="s">
        <v>1488</v>
      </c>
      <c r="C224" s="570">
        <v>496800</v>
      </c>
      <c r="D224" s="396"/>
      <c r="E224" s="396"/>
      <c r="F224" s="396"/>
      <c r="G224" s="396"/>
      <c r="H224" s="396"/>
    </row>
    <row r="225" spans="1:8" s="397" customFormat="1" ht="14.25" customHeight="1" x14ac:dyDescent="0.25">
      <c r="A225" s="564">
        <v>546</v>
      </c>
      <c r="B225" s="570" t="s">
        <v>1489</v>
      </c>
      <c r="C225" s="570">
        <v>100800</v>
      </c>
      <c r="D225" s="396"/>
      <c r="E225" s="396"/>
      <c r="F225" s="396"/>
      <c r="G225" s="396"/>
      <c r="H225" s="396"/>
    </row>
    <row r="226" spans="1:8" s="397" customFormat="1" ht="14.25" customHeight="1" x14ac:dyDescent="0.25">
      <c r="A226" s="564">
        <v>547</v>
      </c>
      <c r="B226" s="570" t="s">
        <v>1490</v>
      </c>
      <c r="C226" s="570">
        <v>1898327.27</v>
      </c>
      <c r="D226" s="396"/>
      <c r="E226" s="396"/>
      <c r="F226" s="396"/>
      <c r="G226" s="396"/>
      <c r="H226" s="396"/>
    </row>
    <row r="227" spans="1:8" s="397" customFormat="1" ht="14.25" customHeight="1" x14ac:dyDescent="0.25">
      <c r="A227" s="564">
        <v>548</v>
      </c>
      <c r="B227" s="570" t="s">
        <v>1491</v>
      </c>
      <c r="C227" s="570">
        <v>182549.86</v>
      </c>
      <c r="D227" s="396"/>
      <c r="E227" s="396"/>
      <c r="F227" s="396"/>
      <c r="G227" s="396"/>
      <c r="H227" s="396"/>
    </row>
    <row r="228" spans="1:8" s="397" customFormat="1" ht="14.25" customHeight="1" x14ac:dyDescent="0.25">
      <c r="A228" s="564">
        <v>555</v>
      </c>
      <c r="B228" s="570" t="s">
        <v>1492</v>
      </c>
      <c r="C228" s="570">
        <v>64079.75</v>
      </c>
      <c r="D228" s="396"/>
      <c r="E228" s="396"/>
      <c r="F228" s="396"/>
      <c r="G228" s="396"/>
      <c r="H228" s="396"/>
    </row>
    <row r="229" spans="1:8" s="397" customFormat="1" ht="14.25" customHeight="1" x14ac:dyDescent="0.25">
      <c r="A229" s="564">
        <v>556</v>
      </c>
      <c r="B229" s="570" t="s">
        <v>1493</v>
      </c>
      <c r="C229" s="570">
        <v>103671.12</v>
      </c>
      <c r="D229" s="396"/>
      <c r="E229" s="396"/>
      <c r="F229" s="396"/>
      <c r="G229" s="396"/>
      <c r="H229" s="396"/>
    </row>
    <row r="230" spans="1:8" s="397" customFormat="1" ht="14.25" customHeight="1" x14ac:dyDescent="0.25">
      <c r="A230" s="564">
        <v>557</v>
      </c>
      <c r="B230" s="570" t="s">
        <v>1494</v>
      </c>
      <c r="C230" s="570">
        <v>101513.07</v>
      </c>
      <c r="D230" s="396"/>
      <c r="E230" s="396"/>
      <c r="F230" s="396"/>
      <c r="G230" s="396"/>
      <c r="H230" s="396"/>
    </row>
    <row r="231" spans="1:8" s="397" customFormat="1" ht="14.25" customHeight="1" x14ac:dyDescent="0.25">
      <c r="A231" s="564">
        <v>558</v>
      </c>
      <c r="B231" s="570" t="s">
        <v>1495</v>
      </c>
      <c r="C231" s="570">
        <v>414599.2</v>
      </c>
      <c r="D231" s="396"/>
      <c r="E231" s="396"/>
      <c r="F231" s="396"/>
      <c r="G231" s="396"/>
      <c r="H231" s="396"/>
    </row>
    <row r="232" spans="1:8" s="397" customFormat="1" ht="14.25" customHeight="1" x14ac:dyDescent="0.25">
      <c r="A232" s="564">
        <v>559</v>
      </c>
      <c r="B232" s="570" t="s">
        <v>1496</v>
      </c>
      <c r="C232" s="570">
        <v>878440.91</v>
      </c>
      <c r="D232" s="396"/>
      <c r="E232" s="396"/>
      <c r="F232" s="396"/>
      <c r="G232" s="396"/>
      <c r="H232" s="396"/>
    </row>
    <row r="233" spans="1:8" s="397" customFormat="1" ht="14.25" customHeight="1" x14ac:dyDescent="0.25">
      <c r="A233" s="564">
        <v>560</v>
      </c>
      <c r="B233" s="570" t="s">
        <v>1497</v>
      </c>
      <c r="C233" s="570">
        <v>218933.33</v>
      </c>
      <c r="D233" s="396"/>
      <c r="E233" s="396"/>
      <c r="F233" s="396"/>
      <c r="G233" s="396"/>
      <c r="H233" s="396"/>
    </row>
    <row r="234" spans="1:8" s="397" customFormat="1" ht="14.25" customHeight="1" x14ac:dyDescent="0.25">
      <c r="A234" s="564">
        <v>564</v>
      </c>
      <c r="B234" s="570" t="s">
        <v>1498</v>
      </c>
      <c r="C234" s="570">
        <v>257386.8</v>
      </c>
      <c r="D234" s="396"/>
      <c r="E234" s="396"/>
      <c r="F234" s="396"/>
      <c r="G234" s="396"/>
      <c r="H234" s="396"/>
    </row>
    <row r="235" spans="1:8" s="397" customFormat="1" ht="14.25" customHeight="1" x14ac:dyDescent="0.25">
      <c r="A235" s="564">
        <v>565</v>
      </c>
      <c r="B235" s="570" t="s">
        <v>1499</v>
      </c>
      <c r="C235" s="570">
        <v>69246</v>
      </c>
      <c r="D235" s="396"/>
      <c r="E235" s="396"/>
      <c r="F235" s="396"/>
      <c r="G235" s="396"/>
      <c r="H235" s="396"/>
    </row>
    <row r="236" spans="1:8" s="397" customFormat="1" ht="14.25" customHeight="1" x14ac:dyDescent="0.25">
      <c r="A236" s="564">
        <v>566</v>
      </c>
      <c r="B236" s="570" t="s">
        <v>1500</v>
      </c>
      <c r="C236" s="570">
        <v>35642.400000000001</v>
      </c>
      <c r="D236" s="396"/>
      <c r="E236" s="396"/>
      <c r="F236" s="396"/>
      <c r="G236" s="396"/>
      <c r="H236" s="396"/>
    </row>
    <row r="237" spans="1:8" s="397" customFormat="1" ht="14.25" customHeight="1" x14ac:dyDescent="0.25">
      <c r="A237" s="564">
        <v>567</v>
      </c>
      <c r="B237" s="570" t="s">
        <v>1501</v>
      </c>
      <c r="C237" s="570">
        <v>346857.42</v>
      </c>
      <c r="D237" s="396"/>
      <c r="E237" s="396"/>
      <c r="F237" s="396"/>
      <c r="G237" s="396"/>
      <c r="H237" s="396"/>
    </row>
    <row r="238" spans="1:8" s="397" customFormat="1" ht="14.25" customHeight="1" x14ac:dyDescent="0.25">
      <c r="A238" s="564">
        <v>575</v>
      </c>
      <c r="B238" s="570" t="s">
        <v>1502</v>
      </c>
      <c r="C238" s="570">
        <v>86860.35</v>
      </c>
      <c r="D238" s="396"/>
      <c r="E238" s="396"/>
      <c r="F238" s="396"/>
      <c r="G238" s="396"/>
      <c r="H238" s="396"/>
    </row>
    <row r="239" spans="1:8" s="397" customFormat="1" ht="14.25" customHeight="1" x14ac:dyDescent="0.25">
      <c r="A239" s="564">
        <v>604</v>
      </c>
      <c r="B239" s="570" t="s">
        <v>1503</v>
      </c>
      <c r="C239" s="570">
        <v>339704.81</v>
      </c>
      <c r="D239" s="396"/>
      <c r="E239" s="396"/>
      <c r="F239" s="396"/>
      <c r="G239" s="396"/>
      <c r="H239" s="396"/>
    </row>
    <row r="240" spans="1:8" s="397" customFormat="1" ht="14.25" customHeight="1" x14ac:dyDescent="0.25">
      <c r="A240" s="564">
        <v>605</v>
      </c>
      <c r="B240" s="570" t="s">
        <v>1504</v>
      </c>
      <c r="C240" s="570">
        <v>154910.18</v>
      </c>
      <c r="D240" s="396"/>
      <c r="E240" s="396"/>
      <c r="F240" s="396"/>
      <c r="G240" s="396"/>
      <c r="H240" s="396"/>
    </row>
    <row r="241" spans="1:8" s="397" customFormat="1" ht="14.25" customHeight="1" x14ac:dyDescent="0.25">
      <c r="A241" s="564">
        <v>612</v>
      </c>
      <c r="B241" s="570" t="s">
        <v>1505</v>
      </c>
      <c r="C241" s="570">
        <v>244386</v>
      </c>
      <c r="D241" s="396"/>
      <c r="E241" s="396"/>
      <c r="F241" s="396"/>
      <c r="G241" s="396"/>
      <c r="H241" s="396"/>
    </row>
    <row r="242" spans="1:8" s="397" customFormat="1" ht="14.25" customHeight="1" x14ac:dyDescent="0.25">
      <c r="A242" s="564">
        <v>629</v>
      </c>
      <c r="B242" s="570" t="s">
        <v>1506</v>
      </c>
      <c r="C242" s="570">
        <v>147638.39999999999</v>
      </c>
      <c r="D242" s="396"/>
      <c r="E242" s="396"/>
      <c r="F242" s="396"/>
      <c r="G242" s="396"/>
      <c r="H242" s="396"/>
    </row>
    <row r="243" spans="1:8" s="397" customFormat="1" ht="14.25" customHeight="1" x14ac:dyDescent="0.25">
      <c r="A243" s="564">
        <v>645</v>
      </c>
      <c r="B243" s="570" t="s">
        <v>1507</v>
      </c>
      <c r="C243" s="570">
        <v>64800</v>
      </c>
      <c r="D243" s="396"/>
      <c r="E243" s="396"/>
      <c r="F243" s="396"/>
      <c r="G243" s="396"/>
      <c r="H243" s="396"/>
    </row>
    <row r="244" spans="1:8" s="397" customFormat="1" ht="14.25" customHeight="1" x14ac:dyDescent="0.25">
      <c r="A244" s="564">
        <v>647</v>
      </c>
      <c r="B244" s="570" t="s">
        <v>1508</v>
      </c>
      <c r="C244" s="570">
        <v>175230.68</v>
      </c>
      <c r="D244" s="396"/>
      <c r="E244" s="396"/>
      <c r="F244" s="396"/>
      <c r="G244" s="396"/>
      <c r="H244" s="396"/>
    </row>
    <row r="245" spans="1:8" s="397" customFormat="1" ht="14.25" customHeight="1" x14ac:dyDescent="0.25">
      <c r="A245" s="564">
        <v>648</v>
      </c>
      <c r="B245" s="570" t="s">
        <v>1509</v>
      </c>
      <c r="C245" s="570">
        <v>54399.38</v>
      </c>
      <c r="D245" s="396"/>
      <c r="E245" s="396"/>
      <c r="F245" s="396"/>
      <c r="G245" s="396"/>
      <c r="H245" s="396"/>
    </row>
    <row r="246" spans="1:8" s="397" customFormat="1" ht="14.25" customHeight="1" x14ac:dyDescent="0.25">
      <c r="A246" s="564">
        <v>649</v>
      </c>
      <c r="B246" s="570" t="s">
        <v>1510</v>
      </c>
      <c r="C246" s="570">
        <v>35625.15</v>
      </c>
      <c r="D246" s="396"/>
      <c r="E246" s="396"/>
      <c r="F246" s="396"/>
      <c r="G246" s="396"/>
      <c r="H246" s="396"/>
    </row>
    <row r="247" spans="1:8" s="397" customFormat="1" ht="14.25" customHeight="1" x14ac:dyDescent="0.25">
      <c r="A247" s="564">
        <v>650</v>
      </c>
      <c r="B247" s="570" t="s">
        <v>1511</v>
      </c>
      <c r="C247" s="570">
        <v>216693.75</v>
      </c>
      <c r="D247" s="396"/>
      <c r="E247" s="396"/>
      <c r="F247" s="396"/>
      <c r="G247" s="396"/>
      <c r="H247" s="396"/>
    </row>
    <row r="248" spans="1:8" s="397" customFormat="1" ht="14.25" customHeight="1" x14ac:dyDescent="0.25">
      <c r="A248" s="564">
        <v>652</v>
      </c>
      <c r="B248" s="570" t="s">
        <v>1512</v>
      </c>
      <c r="C248" s="570">
        <v>826977.63</v>
      </c>
      <c r="D248" s="396"/>
      <c r="E248" s="396"/>
      <c r="F248" s="396"/>
      <c r="G248" s="396"/>
      <c r="H248" s="396"/>
    </row>
    <row r="249" spans="1:8" s="397" customFormat="1" ht="14.25" customHeight="1" x14ac:dyDescent="0.25">
      <c r="A249" s="564">
        <v>653</v>
      </c>
      <c r="B249" s="570" t="s">
        <v>1513</v>
      </c>
      <c r="C249" s="570">
        <v>33957</v>
      </c>
      <c r="D249" s="396"/>
      <c r="E249" s="396"/>
      <c r="F249" s="396"/>
      <c r="G249" s="396"/>
      <c r="H249" s="396"/>
    </row>
    <row r="250" spans="1:8" s="397" customFormat="1" ht="14.25" customHeight="1" x14ac:dyDescent="0.25">
      <c r="A250" s="564">
        <v>654</v>
      </c>
      <c r="B250" s="570" t="s">
        <v>1514</v>
      </c>
      <c r="C250" s="570">
        <v>295040.07</v>
      </c>
      <c r="D250" s="396"/>
      <c r="E250" s="396"/>
      <c r="F250" s="396"/>
      <c r="G250" s="396"/>
      <c r="H250" s="396"/>
    </row>
    <row r="251" spans="1:8" s="397" customFormat="1" ht="14.25" customHeight="1" x14ac:dyDescent="0.25">
      <c r="A251" s="564">
        <v>655</v>
      </c>
      <c r="B251" s="570" t="s">
        <v>1515</v>
      </c>
      <c r="C251" s="570">
        <v>310766.63</v>
      </c>
      <c r="D251" s="396"/>
      <c r="E251" s="396"/>
      <c r="F251" s="396"/>
      <c r="G251" s="396"/>
      <c r="H251" s="396"/>
    </row>
    <row r="252" spans="1:8" s="397" customFormat="1" ht="14.25" customHeight="1" x14ac:dyDescent="0.25">
      <c r="A252" s="564">
        <v>656</v>
      </c>
      <c r="B252" s="570" t="s">
        <v>1516</v>
      </c>
      <c r="C252" s="570">
        <v>378045</v>
      </c>
      <c r="D252" s="396"/>
      <c r="E252" s="396"/>
      <c r="F252" s="396"/>
      <c r="G252" s="396"/>
      <c r="H252" s="396"/>
    </row>
    <row r="253" spans="1:8" s="397" customFormat="1" ht="14.25" customHeight="1" x14ac:dyDescent="0.25">
      <c r="A253" s="564">
        <v>657</v>
      </c>
      <c r="B253" s="570" t="s">
        <v>1517</v>
      </c>
      <c r="C253" s="570">
        <v>294009.34999999998</v>
      </c>
      <c r="D253" s="396"/>
      <c r="E253" s="396"/>
      <c r="F253" s="396"/>
      <c r="G253" s="396"/>
      <c r="H253" s="396"/>
    </row>
    <row r="254" spans="1:8" s="397" customFormat="1" ht="14.25" customHeight="1" x14ac:dyDescent="0.25">
      <c r="A254" s="564">
        <v>658</v>
      </c>
      <c r="B254" s="570" t="s">
        <v>1518</v>
      </c>
      <c r="C254" s="570">
        <v>269636.65000000002</v>
      </c>
      <c r="D254" s="396"/>
      <c r="E254" s="396"/>
      <c r="F254" s="396"/>
      <c r="G254" s="396"/>
      <c r="H254" s="396"/>
    </row>
    <row r="255" spans="1:8" s="397" customFormat="1" ht="14.25" customHeight="1" x14ac:dyDescent="0.25">
      <c r="A255" s="564">
        <v>659</v>
      </c>
      <c r="B255" s="570" t="s">
        <v>1519</v>
      </c>
      <c r="C255" s="570">
        <v>186059.25</v>
      </c>
      <c r="D255" s="396"/>
      <c r="E255" s="396"/>
      <c r="F255" s="396"/>
      <c r="G255" s="396"/>
      <c r="H255" s="396"/>
    </row>
    <row r="256" spans="1:8" s="397" customFormat="1" ht="14.25" customHeight="1" x14ac:dyDescent="0.25">
      <c r="A256" s="564">
        <v>660</v>
      </c>
      <c r="B256" s="570" t="s">
        <v>1520</v>
      </c>
      <c r="C256" s="570">
        <v>48429</v>
      </c>
      <c r="D256" s="396"/>
      <c r="E256" s="396"/>
      <c r="F256" s="396"/>
      <c r="G256" s="396"/>
      <c r="H256" s="396"/>
    </row>
    <row r="257" spans="1:8" s="397" customFormat="1" ht="14.25" customHeight="1" x14ac:dyDescent="0.25">
      <c r="A257" s="564">
        <v>661</v>
      </c>
      <c r="B257" s="570" t="s">
        <v>1521</v>
      </c>
      <c r="C257" s="570">
        <v>158919.07999999999</v>
      </c>
      <c r="D257" s="396"/>
      <c r="E257" s="396"/>
      <c r="F257" s="396"/>
      <c r="G257" s="396"/>
      <c r="H257" s="396"/>
    </row>
    <row r="258" spans="1:8" s="397" customFormat="1" ht="14.25" customHeight="1" x14ac:dyDescent="0.25">
      <c r="A258" s="564">
        <v>662</v>
      </c>
      <c r="B258" s="570" t="s">
        <v>1522</v>
      </c>
      <c r="C258" s="570">
        <v>117620</v>
      </c>
      <c r="D258" s="396"/>
      <c r="E258" s="396"/>
      <c r="F258" s="396"/>
      <c r="G258" s="396"/>
      <c r="H258" s="396"/>
    </row>
    <row r="259" spans="1:8" s="397" customFormat="1" ht="14.25" customHeight="1" x14ac:dyDescent="0.25">
      <c r="A259" s="564">
        <v>663</v>
      </c>
      <c r="B259" s="570" t="s">
        <v>1523</v>
      </c>
      <c r="C259" s="570">
        <v>146474.03</v>
      </c>
      <c r="D259" s="396"/>
      <c r="E259" s="396"/>
      <c r="F259" s="396"/>
      <c r="G259" s="396"/>
      <c r="H259" s="396"/>
    </row>
    <row r="260" spans="1:8" s="397" customFormat="1" ht="14.25" customHeight="1" x14ac:dyDescent="0.25">
      <c r="A260" s="564">
        <v>668</v>
      </c>
      <c r="B260" s="570" t="s">
        <v>2005</v>
      </c>
      <c r="C260" s="570">
        <v>179932.81</v>
      </c>
      <c r="D260" s="396"/>
      <c r="E260" s="396"/>
      <c r="F260" s="396"/>
      <c r="G260" s="396"/>
      <c r="H260" s="396"/>
    </row>
    <row r="261" spans="1:8" s="397" customFormat="1" ht="14.25" customHeight="1" x14ac:dyDescent="0.25">
      <c r="A261" s="564">
        <v>669</v>
      </c>
      <c r="B261" s="570" t="s">
        <v>1524</v>
      </c>
      <c r="C261" s="570">
        <v>48609.120000000003</v>
      </c>
      <c r="D261" s="396"/>
      <c r="E261" s="396"/>
      <c r="F261" s="396"/>
      <c r="G261" s="396"/>
      <c r="H261" s="396"/>
    </row>
    <row r="262" spans="1:8" s="397" customFormat="1" ht="14.25" customHeight="1" x14ac:dyDescent="0.25">
      <c r="A262" s="564">
        <v>674</v>
      </c>
      <c r="B262" s="570" t="s">
        <v>1525</v>
      </c>
      <c r="C262" s="570">
        <v>224640</v>
      </c>
      <c r="D262" s="396"/>
      <c r="E262" s="396"/>
      <c r="F262" s="396"/>
      <c r="G262" s="396"/>
      <c r="H262" s="396"/>
    </row>
    <row r="263" spans="1:8" s="397" customFormat="1" ht="14.25" customHeight="1" x14ac:dyDescent="0.25">
      <c r="A263" s="564">
        <v>675</v>
      </c>
      <c r="B263" s="570" t="s">
        <v>1526</v>
      </c>
      <c r="C263" s="570">
        <v>54600</v>
      </c>
      <c r="D263" s="396"/>
      <c r="E263" s="396"/>
      <c r="F263" s="396"/>
      <c r="G263" s="396"/>
      <c r="H263" s="396"/>
    </row>
    <row r="264" spans="1:8" s="397" customFormat="1" ht="14.25" customHeight="1" x14ac:dyDescent="0.25">
      <c r="A264" s="564">
        <v>676</v>
      </c>
      <c r="B264" s="570" t="s">
        <v>1527</v>
      </c>
      <c r="C264" s="570">
        <v>414745.5</v>
      </c>
      <c r="D264" s="396"/>
      <c r="E264" s="396"/>
      <c r="F264" s="396"/>
      <c r="G264" s="396"/>
      <c r="H264" s="396"/>
    </row>
    <row r="265" spans="1:8" s="397" customFormat="1" ht="14.25" customHeight="1" x14ac:dyDescent="0.25">
      <c r="A265" s="564">
        <v>681</v>
      </c>
      <c r="B265" s="570" t="s">
        <v>1528</v>
      </c>
      <c r="C265" s="570">
        <v>1209416</v>
      </c>
      <c r="D265" s="396"/>
      <c r="E265" s="396"/>
      <c r="F265" s="396"/>
      <c r="G265" s="396"/>
      <c r="H265" s="396"/>
    </row>
    <row r="266" spans="1:8" s="397" customFormat="1" ht="14.25" customHeight="1" x14ac:dyDescent="0.25">
      <c r="A266" s="564">
        <v>682</v>
      </c>
      <c r="B266" s="570" t="s">
        <v>1529</v>
      </c>
      <c r="C266" s="570">
        <v>145000</v>
      </c>
      <c r="D266" s="396"/>
      <c r="E266" s="396"/>
      <c r="F266" s="396"/>
      <c r="G266" s="396"/>
      <c r="H266" s="396"/>
    </row>
    <row r="267" spans="1:8" s="397" customFormat="1" ht="14.25" customHeight="1" x14ac:dyDescent="0.25">
      <c r="A267" s="564">
        <v>683</v>
      </c>
      <c r="B267" s="570" t="s">
        <v>1530</v>
      </c>
      <c r="C267" s="570">
        <v>689729.09</v>
      </c>
      <c r="D267" s="396"/>
      <c r="E267" s="396"/>
      <c r="F267" s="396"/>
      <c r="G267" s="396"/>
      <c r="H267" s="396"/>
    </row>
    <row r="268" spans="1:8" s="397" customFormat="1" ht="14.25" customHeight="1" x14ac:dyDescent="0.25">
      <c r="A268" s="564">
        <v>684</v>
      </c>
      <c r="B268" s="570" t="s">
        <v>1531</v>
      </c>
      <c r="C268" s="570">
        <v>5624027.5</v>
      </c>
      <c r="D268" s="396"/>
      <c r="E268" s="396"/>
      <c r="F268" s="396"/>
      <c r="G268" s="396"/>
      <c r="H268" s="396"/>
    </row>
    <row r="269" spans="1:8" s="397" customFormat="1" ht="14.25" customHeight="1" x14ac:dyDescent="0.25">
      <c r="A269" s="564">
        <v>685</v>
      </c>
      <c r="B269" s="570" t="s">
        <v>1532</v>
      </c>
      <c r="C269" s="570">
        <v>319711.84999999998</v>
      </c>
      <c r="D269" s="396"/>
      <c r="E269" s="396"/>
      <c r="F269" s="396"/>
      <c r="G269" s="396"/>
      <c r="H269" s="396"/>
    </row>
    <row r="270" spans="1:8" s="397" customFormat="1" ht="14.25" customHeight="1" x14ac:dyDescent="0.25">
      <c r="A270" s="564">
        <v>686</v>
      </c>
      <c r="B270" s="570" t="s">
        <v>1533</v>
      </c>
      <c r="C270" s="570">
        <v>104990.39999999999</v>
      </c>
      <c r="D270" s="396"/>
      <c r="E270" s="396"/>
      <c r="F270" s="396"/>
      <c r="G270" s="396"/>
      <c r="H270" s="396"/>
    </row>
    <row r="271" spans="1:8" s="397" customFormat="1" ht="14.25" customHeight="1" x14ac:dyDescent="0.25">
      <c r="A271" s="564">
        <v>688</v>
      </c>
      <c r="B271" s="570" t="s">
        <v>1534</v>
      </c>
      <c r="C271" s="570">
        <v>126000</v>
      </c>
      <c r="D271" s="396"/>
      <c r="E271" s="396"/>
      <c r="F271" s="396"/>
      <c r="G271" s="396"/>
      <c r="H271" s="396"/>
    </row>
    <row r="272" spans="1:8" s="397" customFormat="1" ht="14.25" customHeight="1" x14ac:dyDescent="0.25">
      <c r="A272" s="564">
        <v>690</v>
      </c>
      <c r="B272" s="570" t="s">
        <v>1535</v>
      </c>
      <c r="C272" s="570">
        <v>134503.43</v>
      </c>
      <c r="D272" s="396"/>
      <c r="E272" s="396"/>
      <c r="F272" s="396"/>
      <c r="G272" s="396"/>
      <c r="H272" s="396"/>
    </row>
    <row r="273" spans="1:8" s="397" customFormat="1" ht="14.25" customHeight="1" x14ac:dyDescent="0.25">
      <c r="A273" s="564">
        <v>693</v>
      </c>
      <c r="B273" s="570" t="s">
        <v>1536</v>
      </c>
      <c r="C273" s="570">
        <v>252571.5</v>
      </c>
      <c r="D273" s="396"/>
      <c r="E273" s="396"/>
      <c r="F273" s="396"/>
      <c r="G273" s="396"/>
      <c r="H273" s="396"/>
    </row>
    <row r="274" spans="1:8" s="397" customFormat="1" ht="14.25" customHeight="1" x14ac:dyDescent="0.25">
      <c r="A274" s="564">
        <v>694</v>
      </c>
      <c r="B274" s="570" t="s">
        <v>1537</v>
      </c>
      <c r="C274" s="570">
        <v>271286.40000000002</v>
      </c>
      <c r="D274" s="396"/>
      <c r="E274" s="396"/>
      <c r="F274" s="396"/>
      <c r="G274" s="396"/>
      <c r="H274" s="396"/>
    </row>
    <row r="275" spans="1:8" s="397" customFormat="1" ht="14.25" customHeight="1" x14ac:dyDescent="0.25">
      <c r="A275" s="564">
        <v>695</v>
      </c>
      <c r="B275" s="570" t="s">
        <v>1538</v>
      </c>
      <c r="C275" s="570">
        <v>1195639.2</v>
      </c>
      <c r="D275" s="396"/>
      <c r="E275" s="396"/>
      <c r="F275" s="396"/>
      <c r="G275" s="396"/>
      <c r="H275" s="396"/>
    </row>
    <row r="276" spans="1:8" s="397" customFormat="1" ht="14.25" customHeight="1" x14ac:dyDescent="0.25">
      <c r="A276" s="564">
        <v>698</v>
      </c>
      <c r="B276" s="570" t="s">
        <v>1539</v>
      </c>
      <c r="C276" s="570">
        <v>819684.56</v>
      </c>
      <c r="D276" s="396"/>
      <c r="E276" s="396"/>
      <c r="F276" s="396"/>
      <c r="G276" s="396"/>
      <c r="H276" s="396"/>
    </row>
    <row r="277" spans="1:8" s="397" customFormat="1" ht="14.25" customHeight="1" x14ac:dyDescent="0.25">
      <c r="A277" s="564">
        <v>699</v>
      </c>
      <c r="B277" s="570" t="s">
        <v>1540</v>
      </c>
      <c r="C277" s="570">
        <v>180576</v>
      </c>
      <c r="D277" s="396"/>
      <c r="E277" s="396"/>
      <c r="F277" s="396"/>
      <c r="G277" s="396"/>
      <c r="H277" s="396"/>
    </row>
    <row r="278" spans="1:8" s="397" customFormat="1" ht="14.25" customHeight="1" x14ac:dyDescent="0.25">
      <c r="A278" s="564">
        <v>702</v>
      </c>
      <c r="B278" s="570" t="s">
        <v>1541</v>
      </c>
      <c r="C278" s="570">
        <v>290426.18</v>
      </c>
      <c r="D278" s="396"/>
      <c r="E278" s="396"/>
      <c r="F278" s="396"/>
      <c r="G278" s="396"/>
      <c r="H278" s="396"/>
    </row>
    <row r="279" spans="1:8" s="397" customFormat="1" ht="14.25" customHeight="1" x14ac:dyDescent="0.25">
      <c r="A279" s="564">
        <v>703</v>
      </c>
      <c r="B279" s="570" t="s">
        <v>1542</v>
      </c>
      <c r="C279" s="570">
        <v>2118241.13</v>
      </c>
      <c r="D279" s="396"/>
      <c r="E279" s="396"/>
      <c r="F279" s="396"/>
      <c r="G279" s="396"/>
      <c r="H279" s="396"/>
    </row>
    <row r="280" spans="1:8" s="397" customFormat="1" ht="14.25" customHeight="1" x14ac:dyDescent="0.25">
      <c r="A280" s="564">
        <v>704</v>
      </c>
      <c r="B280" s="570" t="s">
        <v>1543</v>
      </c>
      <c r="C280" s="570">
        <v>156914.54999999999</v>
      </c>
      <c r="D280" s="396"/>
      <c r="E280" s="396"/>
      <c r="F280" s="396"/>
      <c r="G280" s="396"/>
      <c r="H280" s="396"/>
    </row>
    <row r="281" spans="1:8" s="397" customFormat="1" ht="14.25" customHeight="1" x14ac:dyDescent="0.25">
      <c r="A281" s="564">
        <v>705</v>
      </c>
      <c r="B281" s="570" t="s">
        <v>1544</v>
      </c>
      <c r="C281" s="570">
        <v>217955.48</v>
      </c>
      <c r="D281" s="396"/>
      <c r="E281" s="396"/>
      <c r="F281" s="396"/>
      <c r="G281" s="396"/>
      <c r="H281" s="396"/>
    </row>
    <row r="282" spans="1:8" s="397" customFormat="1" ht="14.25" customHeight="1" x14ac:dyDescent="0.25">
      <c r="A282" s="564">
        <v>709</v>
      </c>
      <c r="B282" s="570" t="s">
        <v>1545</v>
      </c>
      <c r="C282" s="570">
        <v>912633.48</v>
      </c>
      <c r="D282" s="396"/>
      <c r="E282" s="396"/>
      <c r="F282" s="396"/>
      <c r="G282" s="396"/>
      <c r="H282" s="396"/>
    </row>
    <row r="283" spans="1:8" s="397" customFormat="1" ht="14.25" customHeight="1" x14ac:dyDescent="0.25">
      <c r="A283" s="564">
        <v>713</v>
      </c>
      <c r="B283" s="570" t="s">
        <v>1546</v>
      </c>
      <c r="C283" s="570">
        <v>2358023.06</v>
      </c>
      <c r="D283" s="396"/>
      <c r="E283" s="396"/>
      <c r="F283" s="396"/>
      <c r="G283" s="396"/>
      <c r="H283" s="396"/>
    </row>
    <row r="284" spans="1:8" s="397" customFormat="1" ht="14.25" customHeight="1" x14ac:dyDescent="0.25">
      <c r="A284" s="564">
        <v>714</v>
      </c>
      <c r="B284" s="570" t="s">
        <v>1547</v>
      </c>
      <c r="C284" s="570">
        <v>2995946.19</v>
      </c>
      <c r="D284" s="396"/>
      <c r="E284" s="396"/>
      <c r="F284" s="396"/>
      <c r="G284" s="396"/>
      <c r="H284" s="396"/>
    </row>
    <row r="285" spans="1:8" s="397" customFormat="1" ht="14.25" customHeight="1" x14ac:dyDescent="0.25">
      <c r="A285" s="564">
        <v>715</v>
      </c>
      <c r="B285" s="570" t="s">
        <v>1548</v>
      </c>
      <c r="C285" s="570">
        <v>2376621</v>
      </c>
      <c r="D285" s="396"/>
      <c r="E285" s="396"/>
      <c r="F285" s="396"/>
      <c r="G285" s="396"/>
      <c r="H285" s="396"/>
    </row>
    <row r="286" spans="1:8" s="397" customFormat="1" ht="14.25" customHeight="1" x14ac:dyDescent="0.25">
      <c r="A286" s="564">
        <v>716</v>
      </c>
      <c r="B286" s="570" t="s">
        <v>1549</v>
      </c>
      <c r="C286" s="570">
        <v>316089</v>
      </c>
      <c r="D286" s="396"/>
      <c r="E286" s="396"/>
      <c r="F286" s="396"/>
      <c r="G286" s="396"/>
      <c r="H286" s="396"/>
    </row>
    <row r="287" spans="1:8" s="397" customFormat="1" ht="14.25" customHeight="1" x14ac:dyDescent="0.25">
      <c r="A287" s="564">
        <v>718</v>
      </c>
      <c r="B287" s="570" t="s">
        <v>1550</v>
      </c>
      <c r="C287" s="570">
        <v>86220</v>
      </c>
      <c r="D287" s="396"/>
      <c r="E287" s="396"/>
      <c r="F287" s="396"/>
      <c r="G287" s="396"/>
      <c r="H287" s="396"/>
    </row>
    <row r="288" spans="1:8" s="397" customFormat="1" ht="14.25" customHeight="1" x14ac:dyDescent="0.25">
      <c r="A288" s="564">
        <v>719</v>
      </c>
      <c r="B288" s="570" t="s">
        <v>1551</v>
      </c>
      <c r="C288" s="570">
        <v>175939.65</v>
      </c>
      <c r="D288" s="396"/>
      <c r="E288" s="396"/>
      <c r="F288" s="396"/>
      <c r="G288" s="396"/>
      <c r="H288" s="396"/>
    </row>
    <row r="289" spans="1:8" s="397" customFormat="1" ht="14.25" customHeight="1" x14ac:dyDescent="0.25">
      <c r="A289" s="564">
        <v>720</v>
      </c>
      <c r="B289" s="570" t="s">
        <v>1552</v>
      </c>
      <c r="C289" s="570">
        <v>2351911.5</v>
      </c>
      <c r="D289" s="396"/>
      <c r="E289" s="396"/>
      <c r="F289" s="396"/>
      <c r="G289" s="396"/>
      <c r="H289" s="396"/>
    </row>
    <row r="290" spans="1:8" s="397" customFormat="1" ht="14.25" customHeight="1" x14ac:dyDescent="0.25">
      <c r="A290" s="564">
        <v>721</v>
      </c>
      <c r="B290" s="570" t="s">
        <v>1553</v>
      </c>
      <c r="C290" s="570">
        <v>159432</v>
      </c>
      <c r="D290" s="396"/>
      <c r="E290" s="396"/>
      <c r="F290" s="396"/>
      <c r="G290" s="396"/>
      <c r="H290" s="396"/>
    </row>
    <row r="291" spans="1:8" s="397" customFormat="1" ht="14.25" customHeight="1" x14ac:dyDescent="0.25">
      <c r="A291" s="564">
        <v>729</v>
      </c>
      <c r="B291" s="570" t="s">
        <v>1554</v>
      </c>
      <c r="C291" s="570">
        <v>1899562.5</v>
      </c>
      <c r="D291" s="396"/>
      <c r="E291" s="396"/>
      <c r="F291" s="396"/>
      <c r="G291" s="396"/>
      <c r="H291" s="396"/>
    </row>
    <row r="292" spans="1:8" s="397" customFormat="1" ht="14.25" customHeight="1" x14ac:dyDescent="0.25">
      <c r="A292" s="564">
        <v>730</v>
      </c>
      <c r="B292" s="570" t="s">
        <v>1555</v>
      </c>
      <c r="C292" s="570">
        <v>575</v>
      </c>
      <c r="D292" s="396"/>
      <c r="E292" s="396"/>
      <c r="F292" s="396"/>
      <c r="G292" s="396"/>
      <c r="H292" s="396"/>
    </row>
    <row r="293" spans="1:8" s="397" customFormat="1" ht="14.25" customHeight="1" x14ac:dyDescent="0.25">
      <c r="A293" s="564">
        <v>733</v>
      </c>
      <c r="B293" s="570" t="s">
        <v>1556</v>
      </c>
      <c r="C293" s="570">
        <v>45387.56</v>
      </c>
      <c r="D293" s="396"/>
      <c r="E293" s="396"/>
      <c r="F293" s="396"/>
      <c r="G293" s="396"/>
      <c r="H293" s="396"/>
    </row>
    <row r="294" spans="1:8" s="397" customFormat="1" ht="14.25" customHeight="1" x14ac:dyDescent="0.25">
      <c r="A294" s="564">
        <v>734</v>
      </c>
      <c r="B294" s="570" t="s">
        <v>1557</v>
      </c>
      <c r="C294" s="570">
        <v>161124.28</v>
      </c>
      <c r="D294" s="396"/>
      <c r="E294" s="396"/>
      <c r="F294" s="396"/>
      <c r="G294" s="396"/>
      <c r="H294" s="396"/>
    </row>
    <row r="295" spans="1:8" s="397" customFormat="1" ht="14.25" customHeight="1" x14ac:dyDescent="0.25">
      <c r="A295" s="564">
        <v>736</v>
      </c>
      <c r="B295" s="570" t="s">
        <v>1558</v>
      </c>
      <c r="C295" s="570">
        <v>153597.6</v>
      </c>
      <c r="D295" s="396"/>
      <c r="E295" s="396"/>
      <c r="F295" s="396"/>
      <c r="G295" s="396"/>
      <c r="H295" s="396"/>
    </row>
    <row r="296" spans="1:8" s="397" customFormat="1" ht="14.25" customHeight="1" x14ac:dyDescent="0.25">
      <c r="A296" s="564">
        <v>738</v>
      </c>
      <c r="B296" s="570" t="s">
        <v>1559</v>
      </c>
      <c r="C296" s="570">
        <v>85905.75</v>
      </c>
      <c r="D296" s="396"/>
      <c r="E296" s="396"/>
      <c r="F296" s="396"/>
      <c r="G296" s="396"/>
      <c r="H296" s="396"/>
    </row>
    <row r="297" spans="1:8" s="397" customFormat="1" ht="14.25" customHeight="1" x14ac:dyDescent="0.25">
      <c r="A297" s="564">
        <v>753</v>
      </c>
      <c r="B297" s="570" t="s">
        <v>1560</v>
      </c>
      <c r="C297" s="570">
        <v>477746.56</v>
      </c>
      <c r="D297" s="396"/>
      <c r="E297" s="396"/>
      <c r="F297" s="396"/>
      <c r="G297" s="396"/>
      <c r="H297" s="396"/>
    </row>
    <row r="298" spans="1:8" s="397" customFormat="1" ht="14.25" customHeight="1" x14ac:dyDescent="0.25">
      <c r="A298" s="564">
        <v>757</v>
      </c>
      <c r="B298" s="570" t="s">
        <v>1561</v>
      </c>
      <c r="C298" s="570">
        <v>676671.88</v>
      </c>
      <c r="D298" s="396"/>
      <c r="E298" s="396"/>
      <c r="F298" s="396"/>
      <c r="G298" s="396"/>
      <c r="H298" s="396"/>
    </row>
    <row r="299" spans="1:8" s="397" customFormat="1" ht="14.25" customHeight="1" x14ac:dyDescent="0.25">
      <c r="A299" s="564">
        <v>758</v>
      </c>
      <c r="B299" s="570" t="s">
        <v>1562</v>
      </c>
      <c r="C299" s="570">
        <v>693653.13</v>
      </c>
      <c r="D299" s="396"/>
      <c r="E299" s="396"/>
      <c r="F299" s="396"/>
      <c r="G299" s="396"/>
      <c r="H299" s="396"/>
    </row>
    <row r="300" spans="1:8" s="397" customFormat="1" ht="14.25" customHeight="1" x14ac:dyDescent="0.25">
      <c r="A300" s="564">
        <v>759</v>
      </c>
      <c r="B300" s="570" t="s">
        <v>1563</v>
      </c>
      <c r="C300" s="570">
        <v>227700</v>
      </c>
      <c r="D300" s="396"/>
      <c r="E300" s="396"/>
      <c r="F300" s="396"/>
      <c r="G300" s="396"/>
      <c r="H300" s="396"/>
    </row>
    <row r="301" spans="1:8" s="397" customFormat="1" ht="14.25" customHeight="1" x14ac:dyDescent="0.25">
      <c r="A301" s="564">
        <v>765</v>
      </c>
      <c r="B301" s="570" t="s">
        <v>1564</v>
      </c>
      <c r="C301" s="570">
        <v>448666.64</v>
      </c>
      <c r="D301" s="396"/>
      <c r="E301" s="396"/>
      <c r="F301" s="396"/>
      <c r="G301" s="396"/>
      <c r="H301" s="396"/>
    </row>
    <row r="302" spans="1:8" s="397" customFormat="1" ht="14.25" customHeight="1" x14ac:dyDescent="0.25">
      <c r="A302" s="564">
        <v>766</v>
      </c>
      <c r="B302" s="570" t="s">
        <v>1565</v>
      </c>
      <c r="C302" s="570">
        <v>293250</v>
      </c>
      <c r="D302" s="396"/>
      <c r="E302" s="396"/>
      <c r="F302" s="396"/>
      <c r="G302" s="396"/>
      <c r="H302" s="396"/>
    </row>
    <row r="303" spans="1:8" s="397" customFormat="1" ht="14.25" customHeight="1" x14ac:dyDescent="0.25">
      <c r="A303" s="564">
        <v>767</v>
      </c>
      <c r="B303" s="570" t="s">
        <v>1566</v>
      </c>
      <c r="C303" s="570">
        <v>318750</v>
      </c>
      <c r="D303" s="396"/>
      <c r="E303" s="396"/>
      <c r="F303" s="396"/>
      <c r="G303" s="396"/>
      <c r="H303" s="396"/>
    </row>
    <row r="304" spans="1:8" s="397" customFormat="1" ht="14.25" customHeight="1" x14ac:dyDescent="0.25">
      <c r="A304" s="564">
        <v>768</v>
      </c>
      <c r="B304" s="570" t="s">
        <v>1567</v>
      </c>
      <c r="C304" s="570">
        <v>303600</v>
      </c>
      <c r="D304" s="396"/>
      <c r="E304" s="396"/>
      <c r="F304" s="396"/>
      <c r="G304" s="396"/>
      <c r="H304" s="396"/>
    </row>
    <row r="305" spans="1:8" s="397" customFormat="1" ht="14.25" customHeight="1" x14ac:dyDescent="0.25">
      <c r="A305" s="564">
        <v>769</v>
      </c>
      <c r="B305" s="570" t="s">
        <v>1568</v>
      </c>
      <c r="C305" s="570">
        <v>476100</v>
      </c>
      <c r="D305" s="396"/>
      <c r="E305" s="396"/>
      <c r="F305" s="396"/>
      <c r="G305" s="396"/>
      <c r="H305" s="396"/>
    </row>
    <row r="306" spans="1:8" s="397" customFormat="1" ht="14.25" customHeight="1" x14ac:dyDescent="0.25">
      <c r="A306" s="564">
        <v>770</v>
      </c>
      <c r="B306" s="570" t="s">
        <v>1569</v>
      </c>
      <c r="C306" s="570">
        <v>303600</v>
      </c>
      <c r="D306" s="396"/>
      <c r="E306" s="396"/>
      <c r="F306" s="396"/>
      <c r="G306" s="396"/>
      <c r="H306" s="396"/>
    </row>
    <row r="307" spans="1:8" s="397" customFormat="1" ht="14.25" customHeight="1" x14ac:dyDescent="0.25">
      <c r="A307" s="564">
        <v>771</v>
      </c>
      <c r="B307" s="570" t="s">
        <v>1570</v>
      </c>
      <c r="C307" s="570">
        <v>303600</v>
      </c>
      <c r="D307" s="396"/>
      <c r="E307" s="396"/>
      <c r="F307" s="396"/>
      <c r="G307" s="396"/>
      <c r="H307" s="396"/>
    </row>
    <row r="308" spans="1:8" s="397" customFormat="1" ht="14.25" customHeight="1" x14ac:dyDescent="0.25">
      <c r="A308" s="564">
        <v>772</v>
      </c>
      <c r="B308" s="570" t="s">
        <v>1571</v>
      </c>
      <c r="C308" s="570">
        <v>303600</v>
      </c>
      <c r="D308" s="396"/>
      <c r="E308" s="396"/>
      <c r="F308" s="396"/>
      <c r="G308" s="396"/>
      <c r="H308" s="396"/>
    </row>
    <row r="309" spans="1:8" s="397" customFormat="1" ht="14.25" customHeight="1" x14ac:dyDescent="0.25">
      <c r="A309" s="564">
        <v>773</v>
      </c>
      <c r="B309" s="570" t="s">
        <v>1572</v>
      </c>
      <c r="C309" s="570">
        <v>303600</v>
      </c>
      <c r="D309" s="396"/>
      <c r="E309" s="396"/>
      <c r="F309" s="396"/>
      <c r="G309" s="396"/>
      <c r="H309" s="396"/>
    </row>
    <row r="310" spans="1:8" s="397" customFormat="1" ht="14.25" customHeight="1" x14ac:dyDescent="0.25">
      <c r="A310" s="564">
        <v>774</v>
      </c>
      <c r="B310" s="570" t="s">
        <v>1573</v>
      </c>
      <c r="C310" s="570">
        <v>303600</v>
      </c>
      <c r="D310" s="396"/>
      <c r="E310" s="396"/>
      <c r="F310" s="396"/>
      <c r="G310" s="396"/>
      <c r="H310" s="396"/>
    </row>
    <row r="311" spans="1:8" s="397" customFormat="1" ht="14.25" customHeight="1" x14ac:dyDescent="0.25">
      <c r="A311" s="564">
        <v>775</v>
      </c>
      <c r="B311" s="570" t="s">
        <v>1574</v>
      </c>
      <c r="C311" s="570">
        <v>303600</v>
      </c>
      <c r="D311" s="396"/>
      <c r="E311" s="396"/>
      <c r="F311" s="396"/>
      <c r="G311" s="396"/>
      <c r="H311" s="396"/>
    </row>
    <row r="312" spans="1:8" s="397" customFormat="1" ht="14.25" customHeight="1" x14ac:dyDescent="0.25">
      <c r="A312" s="564">
        <v>776</v>
      </c>
      <c r="B312" s="570" t="s">
        <v>1575</v>
      </c>
      <c r="C312" s="570">
        <v>303600</v>
      </c>
      <c r="D312" s="396"/>
      <c r="E312" s="396"/>
      <c r="F312" s="396"/>
      <c r="G312" s="396"/>
      <c r="H312" s="396"/>
    </row>
    <row r="313" spans="1:8" s="397" customFormat="1" ht="14.25" customHeight="1" x14ac:dyDescent="0.25">
      <c r="A313" s="564">
        <v>777</v>
      </c>
      <c r="B313" s="570" t="s">
        <v>1576</v>
      </c>
      <c r="C313" s="570">
        <v>406500</v>
      </c>
      <c r="D313" s="396"/>
      <c r="E313" s="396"/>
      <c r="F313" s="396"/>
      <c r="G313" s="396"/>
      <c r="H313" s="396"/>
    </row>
    <row r="314" spans="1:8" s="397" customFormat="1" ht="14.25" customHeight="1" x14ac:dyDescent="0.25">
      <c r="A314" s="564">
        <v>778</v>
      </c>
      <c r="B314" s="570" t="s">
        <v>1577</v>
      </c>
      <c r="C314" s="570">
        <v>366450</v>
      </c>
      <c r="D314" s="396"/>
      <c r="E314" s="396"/>
      <c r="F314" s="396"/>
      <c r="G314" s="396"/>
      <c r="H314" s="396"/>
    </row>
    <row r="315" spans="1:8" s="397" customFormat="1" ht="14.25" customHeight="1" x14ac:dyDescent="0.25">
      <c r="A315" s="564">
        <v>779</v>
      </c>
      <c r="B315" s="570" t="s">
        <v>1578</v>
      </c>
      <c r="C315" s="570">
        <v>348300</v>
      </c>
      <c r="D315" s="396"/>
      <c r="E315" s="396"/>
      <c r="F315" s="396"/>
      <c r="G315" s="396"/>
      <c r="H315" s="396"/>
    </row>
    <row r="316" spans="1:8" s="397" customFormat="1" ht="14.25" customHeight="1" x14ac:dyDescent="0.25">
      <c r="A316" s="564">
        <v>786</v>
      </c>
      <c r="B316" s="570" t="s">
        <v>1579</v>
      </c>
      <c r="C316" s="570">
        <v>137507.85</v>
      </c>
      <c r="D316" s="396"/>
      <c r="E316" s="396"/>
      <c r="F316" s="396"/>
      <c r="G316" s="396"/>
      <c r="H316" s="396"/>
    </row>
    <row r="317" spans="1:8" s="397" customFormat="1" ht="14.25" customHeight="1" x14ac:dyDescent="0.25">
      <c r="A317" s="564">
        <v>787</v>
      </c>
      <c r="B317" s="570" t="s">
        <v>1580</v>
      </c>
      <c r="C317" s="570">
        <v>37218.6</v>
      </c>
      <c r="D317" s="396"/>
      <c r="E317" s="396"/>
      <c r="F317" s="396"/>
      <c r="G317" s="396"/>
      <c r="H317" s="396"/>
    </row>
    <row r="318" spans="1:8" s="397" customFormat="1" ht="14.25" customHeight="1" x14ac:dyDescent="0.25">
      <c r="A318" s="564">
        <v>788</v>
      </c>
      <c r="B318" s="570" t="s">
        <v>1581</v>
      </c>
      <c r="C318" s="570">
        <v>154790.69</v>
      </c>
      <c r="D318" s="396"/>
      <c r="E318" s="396"/>
      <c r="F318" s="396"/>
      <c r="G318" s="396"/>
      <c r="H318" s="396"/>
    </row>
    <row r="319" spans="1:8" s="397" customFormat="1" ht="14.25" customHeight="1" x14ac:dyDescent="0.25">
      <c r="A319" s="564"/>
      <c r="B319" s="570"/>
      <c r="C319" s="570"/>
      <c r="D319" s="396"/>
      <c r="E319" s="396"/>
      <c r="F319" s="396"/>
      <c r="G319" s="396"/>
      <c r="H319" s="396"/>
    </row>
    <row r="320" spans="1:8" s="397" customFormat="1" ht="14.25" customHeight="1" x14ac:dyDescent="0.25">
      <c r="A320" s="564"/>
      <c r="B320" s="560" t="s">
        <v>2378</v>
      </c>
      <c r="C320" s="560">
        <f>SUM(C321:C762)</f>
        <v>561159515.63000023</v>
      </c>
      <c r="D320" s="396"/>
      <c r="E320" s="396"/>
      <c r="F320" s="396"/>
      <c r="G320" s="396"/>
      <c r="H320" s="396"/>
    </row>
    <row r="321" spans="1:8" s="397" customFormat="1" ht="14.25" customHeight="1" x14ac:dyDescent="0.25">
      <c r="A321" s="564">
        <v>103</v>
      </c>
      <c r="B321" s="570" t="s">
        <v>1589</v>
      </c>
      <c r="C321" s="570">
        <v>251300</v>
      </c>
      <c r="D321" s="396"/>
      <c r="E321" s="396"/>
      <c r="F321" s="396"/>
      <c r="G321" s="396"/>
      <c r="H321" s="396"/>
    </row>
    <row r="322" spans="1:8" s="397" customFormat="1" ht="14.25" customHeight="1" x14ac:dyDescent="0.25">
      <c r="A322" s="564">
        <v>6</v>
      </c>
      <c r="B322" s="570" t="s">
        <v>1621</v>
      </c>
      <c r="C322" s="570">
        <v>4408196</v>
      </c>
      <c r="D322" s="396"/>
      <c r="E322" s="396"/>
      <c r="F322" s="396"/>
      <c r="G322" s="396"/>
      <c r="H322" s="396"/>
    </row>
    <row r="323" spans="1:8" s="397" customFormat="1" ht="14.25" customHeight="1" x14ac:dyDescent="0.25">
      <c r="A323" s="564">
        <v>1</v>
      </c>
      <c r="B323" s="570" t="s">
        <v>1622</v>
      </c>
      <c r="C323" s="570">
        <v>9757280</v>
      </c>
      <c r="D323" s="396"/>
      <c r="E323" s="396"/>
      <c r="F323" s="396"/>
      <c r="G323" s="396"/>
      <c r="H323" s="396"/>
    </row>
    <row r="324" spans="1:8" s="397" customFormat="1" ht="14.25" customHeight="1" x14ac:dyDescent="0.25">
      <c r="A324" s="564">
        <v>2</v>
      </c>
      <c r="B324" s="570" t="s">
        <v>1623</v>
      </c>
      <c r="C324" s="570">
        <v>552240</v>
      </c>
      <c r="D324" s="396"/>
      <c r="E324" s="396"/>
      <c r="F324" s="396"/>
      <c r="G324" s="396"/>
      <c r="H324" s="396"/>
    </row>
    <row r="325" spans="1:8" s="397" customFormat="1" ht="14.25" customHeight="1" x14ac:dyDescent="0.25">
      <c r="A325" s="564">
        <v>4</v>
      </c>
      <c r="B325" s="570" t="s">
        <v>1624</v>
      </c>
      <c r="C325" s="570">
        <v>1016288</v>
      </c>
      <c r="D325" s="396"/>
      <c r="E325" s="396"/>
      <c r="F325" s="396"/>
      <c r="G325" s="396"/>
      <c r="H325" s="396"/>
    </row>
    <row r="326" spans="1:8" s="397" customFormat="1" ht="14.25" customHeight="1" x14ac:dyDescent="0.25">
      <c r="A326" s="564">
        <v>5</v>
      </c>
      <c r="B326" s="570" t="s">
        <v>1625</v>
      </c>
      <c r="C326" s="570">
        <v>4999020</v>
      </c>
      <c r="D326" s="396"/>
      <c r="E326" s="396"/>
      <c r="F326" s="396"/>
      <c r="G326" s="396"/>
      <c r="H326" s="396"/>
    </row>
    <row r="327" spans="1:8" s="397" customFormat="1" ht="14.25" customHeight="1" x14ac:dyDescent="0.25">
      <c r="A327" s="564">
        <v>7</v>
      </c>
      <c r="B327" s="570" t="s">
        <v>1626</v>
      </c>
      <c r="C327" s="570">
        <v>475800</v>
      </c>
      <c r="D327" s="396"/>
      <c r="E327" s="396"/>
      <c r="F327" s="396"/>
      <c r="G327" s="396"/>
      <c r="H327" s="396"/>
    </row>
    <row r="328" spans="1:8" s="397" customFormat="1" ht="14.25" customHeight="1" x14ac:dyDescent="0.25">
      <c r="A328" s="564">
        <v>8</v>
      </c>
      <c r="B328" s="570" t="s">
        <v>1627</v>
      </c>
      <c r="C328" s="570">
        <v>9456751.8800000008</v>
      </c>
      <c r="D328" s="396"/>
      <c r="E328" s="396"/>
      <c r="F328" s="396"/>
      <c r="G328" s="396"/>
      <c r="H328" s="396"/>
    </row>
    <row r="329" spans="1:8" s="397" customFormat="1" ht="14.25" customHeight="1" x14ac:dyDescent="0.25">
      <c r="A329" s="564">
        <v>9</v>
      </c>
      <c r="B329" s="570" t="s">
        <v>1628</v>
      </c>
      <c r="C329" s="570">
        <v>4826757</v>
      </c>
      <c r="D329" s="396"/>
      <c r="E329" s="396"/>
      <c r="F329" s="396"/>
      <c r="G329" s="396"/>
      <c r="H329" s="396"/>
    </row>
    <row r="330" spans="1:8" s="397" customFormat="1" ht="14.25" customHeight="1" x14ac:dyDescent="0.25">
      <c r="A330" s="564">
        <v>10</v>
      </c>
      <c r="B330" s="570" t="s">
        <v>1629</v>
      </c>
      <c r="C330" s="570">
        <v>12144000</v>
      </c>
      <c r="D330" s="396"/>
      <c r="E330" s="396"/>
      <c r="F330" s="396"/>
      <c r="G330" s="396"/>
      <c r="H330" s="396"/>
    </row>
    <row r="331" spans="1:8" s="397" customFormat="1" ht="14.25" customHeight="1" x14ac:dyDescent="0.25">
      <c r="A331" s="564">
        <v>19</v>
      </c>
      <c r="B331" s="570" t="s">
        <v>1630</v>
      </c>
      <c r="C331" s="570">
        <v>4266600</v>
      </c>
      <c r="D331" s="396"/>
      <c r="E331" s="396"/>
      <c r="F331" s="396"/>
      <c r="G331" s="396"/>
      <c r="H331" s="396"/>
    </row>
    <row r="332" spans="1:8" s="397" customFormat="1" ht="14.25" customHeight="1" x14ac:dyDescent="0.25">
      <c r="A332" s="564">
        <v>21</v>
      </c>
      <c r="B332" s="570" t="s">
        <v>1631</v>
      </c>
      <c r="C332" s="570">
        <v>206960</v>
      </c>
      <c r="D332" s="396"/>
      <c r="E332" s="396"/>
      <c r="F332" s="396"/>
      <c r="G332" s="396"/>
      <c r="H332" s="396"/>
    </row>
    <row r="333" spans="1:8" s="397" customFormat="1" ht="14.25" customHeight="1" x14ac:dyDescent="0.25">
      <c r="A333" s="564">
        <v>22</v>
      </c>
      <c r="B333" s="570" t="s">
        <v>1632</v>
      </c>
      <c r="C333" s="570">
        <v>1820160</v>
      </c>
      <c r="D333" s="396"/>
      <c r="E333" s="396"/>
      <c r="F333" s="396"/>
      <c r="G333" s="396"/>
      <c r="H333" s="396"/>
    </row>
    <row r="334" spans="1:8" s="397" customFormat="1" ht="14.25" customHeight="1" x14ac:dyDescent="0.25">
      <c r="A334" s="564">
        <v>23</v>
      </c>
      <c r="B334" s="570" t="s">
        <v>1633</v>
      </c>
      <c r="C334" s="570">
        <v>1750320</v>
      </c>
      <c r="D334" s="396"/>
      <c r="E334" s="396"/>
      <c r="F334" s="396"/>
      <c r="G334" s="396"/>
      <c r="H334" s="396"/>
    </row>
    <row r="335" spans="1:8" s="397" customFormat="1" ht="14.25" customHeight="1" x14ac:dyDescent="0.25">
      <c r="A335" s="564">
        <v>24</v>
      </c>
      <c r="B335" s="570" t="s">
        <v>1634</v>
      </c>
      <c r="C335" s="570">
        <v>1848960</v>
      </c>
      <c r="D335" s="396"/>
      <c r="E335" s="396"/>
      <c r="F335" s="396"/>
      <c r="G335" s="396"/>
      <c r="H335" s="396"/>
    </row>
    <row r="336" spans="1:8" s="397" customFormat="1" ht="14.25" customHeight="1" x14ac:dyDescent="0.25">
      <c r="A336" s="564">
        <v>25</v>
      </c>
      <c r="B336" s="570" t="s">
        <v>1635</v>
      </c>
      <c r="C336" s="570">
        <v>1730880</v>
      </c>
      <c r="D336" s="396"/>
      <c r="E336" s="396"/>
      <c r="F336" s="396"/>
      <c r="G336" s="396"/>
      <c r="H336" s="396"/>
    </row>
    <row r="337" spans="1:8" s="397" customFormat="1" ht="14.25" customHeight="1" x14ac:dyDescent="0.25">
      <c r="A337" s="564">
        <v>26</v>
      </c>
      <c r="B337" s="570" t="s">
        <v>1636</v>
      </c>
      <c r="C337" s="570">
        <v>918912</v>
      </c>
      <c r="D337" s="396"/>
      <c r="E337" s="396"/>
      <c r="F337" s="396"/>
      <c r="G337" s="396"/>
      <c r="H337" s="396"/>
    </row>
    <row r="338" spans="1:8" s="397" customFormat="1" ht="14.25" customHeight="1" x14ac:dyDescent="0.25">
      <c r="A338" s="564">
        <v>27</v>
      </c>
      <c r="B338" s="570" t="s">
        <v>1637</v>
      </c>
      <c r="C338" s="570">
        <v>996864</v>
      </c>
      <c r="D338" s="396"/>
      <c r="E338" s="396"/>
      <c r="F338" s="396"/>
      <c r="G338" s="396"/>
      <c r="H338" s="396"/>
    </row>
    <row r="339" spans="1:8" s="397" customFormat="1" ht="14.25" customHeight="1" x14ac:dyDescent="0.25">
      <c r="A339" s="564">
        <v>28</v>
      </c>
      <c r="B339" s="570" t="s">
        <v>1638</v>
      </c>
      <c r="C339" s="570">
        <v>237276</v>
      </c>
      <c r="D339" s="396"/>
      <c r="E339" s="396"/>
      <c r="F339" s="396"/>
      <c r="G339" s="396"/>
      <c r="H339" s="396"/>
    </row>
    <row r="340" spans="1:8" s="397" customFormat="1" ht="14.25" customHeight="1" x14ac:dyDescent="0.25">
      <c r="A340" s="564">
        <v>30</v>
      </c>
      <c r="B340" s="570" t="s">
        <v>2381</v>
      </c>
      <c r="C340" s="570">
        <v>69069</v>
      </c>
      <c r="D340" s="396"/>
      <c r="E340" s="396"/>
      <c r="F340" s="396"/>
      <c r="G340" s="396"/>
      <c r="H340" s="396"/>
    </row>
    <row r="341" spans="1:8" s="397" customFormat="1" ht="14.25" customHeight="1" x14ac:dyDescent="0.25">
      <c r="A341" s="564">
        <v>32</v>
      </c>
      <c r="B341" s="570" t="s">
        <v>1639</v>
      </c>
      <c r="C341" s="570">
        <v>278665.92</v>
      </c>
      <c r="D341" s="396"/>
      <c r="E341" s="396"/>
      <c r="F341" s="396"/>
      <c r="G341" s="396"/>
      <c r="H341" s="396"/>
    </row>
    <row r="342" spans="1:8" s="397" customFormat="1" ht="14.25" customHeight="1" x14ac:dyDescent="0.25">
      <c r="A342" s="564">
        <v>34</v>
      </c>
      <c r="B342" s="570" t="s">
        <v>1640</v>
      </c>
      <c r="C342" s="570">
        <v>370916</v>
      </c>
      <c r="D342" s="396"/>
      <c r="E342" s="396"/>
      <c r="F342" s="396"/>
      <c r="G342" s="396"/>
      <c r="H342" s="396"/>
    </row>
    <row r="343" spans="1:8" s="397" customFormat="1" ht="14.25" customHeight="1" x14ac:dyDescent="0.25">
      <c r="A343" s="564">
        <v>37</v>
      </c>
      <c r="B343" s="570" t="s">
        <v>1641</v>
      </c>
      <c r="C343" s="570">
        <v>1153900.8</v>
      </c>
      <c r="D343" s="396"/>
      <c r="E343" s="396"/>
      <c r="F343" s="396"/>
      <c r="G343" s="396"/>
      <c r="H343" s="396"/>
    </row>
    <row r="344" spans="1:8" s="397" customFormat="1" ht="14.25" customHeight="1" x14ac:dyDescent="0.25">
      <c r="A344" s="564">
        <v>40</v>
      </c>
      <c r="B344" s="570" t="s">
        <v>1642</v>
      </c>
      <c r="C344" s="570">
        <v>485056</v>
      </c>
      <c r="D344" s="396"/>
      <c r="E344" s="396"/>
      <c r="F344" s="396"/>
      <c r="G344" s="396"/>
      <c r="H344" s="396"/>
    </row>
    <row r="345" spans="1:8" s="397" customFormat="1" ht="14.25" customHeight="1" x14ac:dyDescent="0.25">
      <c r="A345" s="564">
        <v>41</v>
      </c>
      <c r="B345" s="570" t="s">
        <v>1643</v>
      </c>
      <c r="C345" s="570">
        <v>392000</v>
      </c>
      <c r="D345" s="396"/>
      <c r="E345" s="396"/>
      <c r="F345" s="396"/>
      <c r="G345" s="396"/>
      <c r="H345" s="396"/>
    </row>
    <row r="346" spans="1:8" s="397" customFormat="1" ht="14.25" customHeight="1" x14ac:dyDescent="0.25">
      <c r="A346" s="564">
        <v>42</v>
      </c>
      <c r="B346" s="570" t="s">
        <v>1644</v>
      </c>
      <c r="C346" s="570">
        <v>269500</v>
      </c>
      <c r="D346" s="396"/>
      <c r="E346" s="396"/>
      <c r="F346" s="396"/>
      <c r="G346" s="396"/>
      <c r="H346" s="396"/>
    </row>
    <row r="347" spans="1:8" s="397" customFormat="1" ht="14.25" customHeight="1" x14ac:dyDescent="0.25">
      <c r="A347" s="564">
        <v>43</v>
      </c>
      <c r="B347" s="570" t="s">
        <v>1645</v>
      </c>
      <c r="C347" s="570">
        <v>588000</v>
      </c>
      <c r="D347" s="396"/>
      <c r="E347" s="396"/>
      <c r="F347" s="396"/>
      <c r="G347" s="396"/>
      <c r="H347" s="396"/>
    </row>
    <row r="348" spans="1:8" s="397" customFormat="1" ht="14.25" customHeight="1" x14ac:dyDescent="0.25">
      <c r="A348" s="564">
        <v>44</v>
      </c>
      <c r="B348" s="570" t="s">
        <v>1646</v>
      </c>
      <c r="C348" s="570">
        <v>761250</v>
      </c>
      <c r="D348" s="396"/>
      <c r="E348" s="396"/>
      <c r="F348" s="396"/>
      <c r="G348" s="396"/>
      <c r="H348" s="396"/>
    </row>
    <row r="349" spans="1:8" s="397" customFormat="1" ht="14.25" customHeight="1" x14ac:dyDescent="0.25">
      <c r="A349" s="564">
        <v>45</v>
      </c>
      <c r="B349" s="570" t="s">
        <v>1647</v>
      </c>
      <c r="C349" s="570">
        <v>1811250</v>
      </c>
      <c r="D349" s="396"/>
      <c r="E349" s="396"/>
      <c r="F349" s="396"/>
      <c r="G349" s="396"/>
      <c r="H349" s="396"/>
    </row>
    <row r="350" spans="1:8" s="397" customFormat="1" ht="14.25" customHeight="1" x14ac:dyDescent="0.25">
      <c r="A350" s="564">
        <v>46</v>
      </c>
      <c r="B350" s="570" t="s">
        <v>1648</v>
      </c>
      <c r="C350" s="570">
        <v>87500</v>
      </c>
      <c r="D350" s="396"/>
      <c r="E350" s="396"/>
      <c r="F350" s="396"/>
      <c r="G350" s="396"/>
      <c r="H350" s="396"/>
    </row>
    <row r="351" spans="1:8" s="397" customFormat="1" ht="14.25" customHeight="1" x14ac:dyDescent="0.25">
      <c r="A351" s="564">
        <v>47</v>
      </c>
      <c r="B351" s="570" t="s">
        <v>1649</v>
      </c>
      <c r="C351" s="570">
        <v>598500</v>
      </c>
      <c r="D351" s="396"/>
      <c r="E351" s="396"/>
      <c r="F351" s="396"/>
      <c r="G351" s="396"/>
      <c r="H351" s="396"/>
    </row>
    <row r="352" spans="1:8" s="397" customFormat="1" ht="14.25" customHeight="1" x14ac:dyDescent="0.25">
      <c r="A352" s="564">
        <v>53</v>
      </c>
      <c r="B352" s="570" t="s">
        <v>1650</v>
      </c>
      <c r="C352" s="570">
        <v>93600</v>
      </c>
      <c r="D352" s="396"/>
      <c r="E352" s="396"/>
      <c r="F352" s="396"/>
      <c r="G352" s="396"/>
      <c r="H352" s="396"/>
    </row>
    <row r="353" spans="1:8" s="397" customFormat="1" ht="14.25" customHeight="1" x14ac:dyDescent="0.25">
      <c r="A353" s="564">
        <v>54</v>
      </c>
      <c r="B353" s="570" t="s">
        <v>1651</v>
      </c>
      <c r="C353" s="570">
        <v>1967000</v>
      </c>
      <c r="D353" s="396"/>
      <c r="E353" s="396"/>
      <c r="F353" s="396"/>
      <c r="G353" s="396"/>
      <c r="H353" s="396"/>
    </row>
    <row r="354" spans="1:8" s="397" customFormat="1" ht="14.25" customHeight="1" x14ac:dyDescent="0.25">
      <c r="A354" s="564">
        <v>61</v>
      </c>
      <c r="B354" s="570" t="s">
        <v>1652</v>
      </c>
      <c r="C354" s="570">
        <v>11050525</v>
      </c>
      <c r="D354" s="396"/>
      <c r="E354" s="396"/>
      <c r="F354" s="396"/>
      <c r="G354" s="396"/>
      <c r="H354" s="396"/>
    </row>
    <row r="355" spans="1:8" s="397" customFormat="1" ht="14.25" customHeight="1" x14ac:dyDescent="0.25">
      <c r="A355" s="564">
        <v>64</v>
      </c>
      <c r="B355" s="570" t="s">
        <v>1653</v>
      </c>
      <c r="C355" s="570">
        <v>81120</v>
      </c>
      <c r="D355" s="396"/>
      <c r="E355" s="396"/>
      <c r="F355" s="396"/>
      <c r="G355" s="396"/>
      <c r="H355" s="396"/>
    </row>
    <row r="356" spans="1:8" s="397" customFormat="1" ht="14.25" customHeight="1" x14ac:dyDescent="0.25">
      <c r="A356" s="564">
        <v>69</v>
      </c>
      <c r="B356" s="570" t="s">
        <v>1654</v>
      </c>
      <c r="C356" s="570">
        <v>153467</v>
      </c>
      <c r="D356" s="396"/>
      <c r="E356" s="396"/>
      <c r="F356" s="396"/>
      <c r="G356" s="396"/>
      <c r="H356" s="396"/>
    </row>
    <row r="357" spans="1:8" s="397" customFormat="1" ht="14.25" customHeight="1" x14ac:dyDescent="0.25">
      <c r="A357" s="564">
        <v>79</v>
      </c>
      <c r="B357" s="570" t="s">
        <v>1655</v>
      </c>
      <c r="C357" s="570">
        <v>1263045</v>
      </c>
      <c r="D357" s="396"/>
      <c r="E357" s="396"/>
      <c r="F357" s="396"/>
      <c r="G357" s="396"/>
      <c r="H357" s="396"/>
    </row>
    <row r="358" spans="1:8" s="397" customFormat="1" ht="14.25" customHeight="1" x14ac:dyDescent="0.25">
      <c r="A358" s="564">
        <v>80</v>
      </c>
      <c r="B358" s="570" t="s">
        <v>1656</v>
      </c>
      <c r="C358" s="570">
        <v>645549.63</v>
      </c>
      <c r="D358" s="396"/>
      <c r="E358" s="396"/>
      <c r="F358" s="396"/>
      <c r="G358" s="396"/>
      <c r="H358" s="396"/>
    </row>
    <row r="359" spans="1:8" s="397" customFormat="1" ht="14.25" customHeight="1" x14ac:dyDescent="0.25">
      <c r="A359" s="564">
        <v>82</v>
      </c>
      <c r="B359" s="570" t="s">
        <v>1657</v>
      </c>
      <c r="C359" s="570">
        <v>64630</v>
      </c>
      <c r="D359" s="396"/>
      <c r="E359" s="396"/>
      <c r="F359" s="396"/>
      <c r="G359" s="396"/>
      <c r="H359" s="396"/>
    </row>
    <row r="360" spans="1:8" s="397" customFormat="1" ht="14.25" customHeight="1" x14ac:dyDescent="0.25">
      <c r="A360" s="564">
        <v>83</v>
      </c>
      <c r="B360" s="570" t="s">
        <v>1658</v>
      </c>
      <c r="C360" s="570">
        <v>167076</v>
      </c>
      <c r="D360" s="396"/>
      <c r="E360" s="396"/>
      <c r="F360" s="396"/>
      <c r="G360" s="396"/>
      <c r="H360" s="396"/>
    </row>
    <row r="361" spans="1:8" s="397" customFormat="1" ht="14.25" customHeight="1" x14ac:dyDescent="0.25">
      <c r="A361" s="564">
        <v>94</v>
      </c>
      <c r="B361" s="570" t="s">
        <v>1659</v>
      </c>
      <c r="C361" s="570">
        <v>239464.95999999999</v>
      </c>
      <c r="D361" s="396"/>
      <c r="E361" s="396"/>
      <c r="F361" s="396"/>
      <c r="G361" s="396"/>
      <c r="H361" s="396"/>
    </row>
    <row r="362" spans="1:8" s="397" customFormat="1" ht="14.25" customHeight="1" x14ac:dyDescent="0.25">
      <c r="A362" s="564">
        <v>95</v>
      </c>
      <c r="B362" s="570" t="s">
        <v>1660</v>
      </c>
      <c r="C362" s="570">
        <v>462120.73</v>
      </c>
      <c r="D362" s="396"/>
      <c r="E362" s="396"/>
      <c r="F362" s="396"/>
      <c r="G362" s="396"/>
      <c r="H362" s="396"/>
    </row>
    <row r="363" spans="1:8" s="397" customFormat="1" ht="14.25" customHeight="1" x14ac:dyDescent="0.25">
      <c r="A363" s="564">
        <v>107</v>
      </c>
      <c r="B363" s="570" t="s">
        <v>1662</v>
      </c>
      <c r="C363" s="570">
        <v>804300</v>
      </c>
      <c r="D363" s="396"/>
      <c r="E363" s="396"/>
      <c r="F363" s="396"/>
      <c r="G363" s="396"/>
      <c r="H363" s="396"/>
    </row>
    <row r="364" spans="1:8" s="397" customFormat="1" ht="14.25" customHeight="1" x14ac:dyDescent="0.25">
      <c r="A364" s="564">
        <v>108</v>
      </c>
      <c r="B364" s="570" t="s">
        <v>1663</v>
      </c>
      <c r="C364" s="570">
        <v>265335</v>
      </c>
      <c r="D364" s="396"/>
      <c r="E364" s="396"/>
      <c r="F364" s="396"/>
      <c r="G364" s="396"/>
      <c r="H364" s="396"/>
    </row>
    <row r="365" spans="1:8" s="397" customFormat="1" ht="14.25" customHeight="1" x14ac:dyDescent="0.25">
      <c r="A365" s="564">
        <v>109</v>
      </c>
      <c r="B365" s="570" t="s">
        <v>1664</v>
      </c>
      <c r="C365" s="570">
        <v>156800</v>
      </c>
      <c r="D365" s="396"/>
      <c r="E365" s="396"/>
      <c r="F365" s="396"/>
      <c r="G365" s="396"/>
      <c r="H365" s="396"/>
    </row>
    <row r="366" spans="1:8" s="397" customFormat="1" ht="14.25" customHeight="1" x14ac:dyDescent="0.25">
      <c r="A366" s="564">
        <v>110</v>
      </c>
      <c r="B366" s="570" t="s">
        <v>1665</v>
      </c>
      <c r="C366" s="570">
        <v>669375</v>
      </c>
      <c r="D366" s="396"/>
      <c r="E366" s="396"/>
      <c r="F366" s="396"/>
      <c r="G366" s="396"/>
      <c r="H366" s="396"/>
    </row>
    <row r="367" spans="1:8" s="397" customFormat="1" ht="14.25" customHeight="1" x14ac:dyDescent="0.25">
      <c r="A367" s="564">
        <v>114</v>
      </c>
      <c r="B367" s="570" t="s">
        <v>1666</v>
      </c>
      <c r="C367" s="570">
        <v>343350</v>
      </c>
      <c r="D367" s="396"/>
      <c r="E367" s="396"/>
      <c r="F367" s="396"/>
      <c r="G367" s="396"/>
      <c r="H367" s="396"/>
    </row>
    <row r="368" spans="1:8" s="397" customFormat="1" ht="14.25" customHeight="1" x14ac:dyDescent="0.25">
      <c r="A368" s="564">
        <v>115</v>
      </c>
      <c r="B368" s="570" t="s">
        <v>1667</v>
      </c>
      <c r="C368" s="570">
        <v>149940</v>
      </c>
      <c r="D368" s="396"/>
      <c r="E368" s="396"/>
      <c r="F368" s="396"/>
      <c r="G368" s="396"/>
      <c r="H368" s="396"/>
    </row>
    <row r="369" spans="1:8" s="397" customFormat="1" ht="14.25" customHeight="1" x14ac:dyDescent="0.25">
      <c r="A369" s="564">
        <v>116</v>
      </c>
      <c r="B369" s="570" t="s">
        <v>1668</v>
      </c>
      <c r="C369" s="570">
        <v>134757</v>
      </c>
      <c r="D369" s="396"/>
      <c r="E369" s="396"/>
      <c r="F369" s="396"/>
      <c r="G369" s="396"/>
      <c r="H369" s="396"/>
    </row>
    <row r="370" spans="1:8" s="397" customFormat="1" ht="14.25" customHeight="1" x14ac:dyDescent="0.25">
      <c r="A370" s="564">
        <v>117</v>
      </c>
      <c r="B370" s="570" t="s">
        <v>1669</v>
      </c>
      <c r="C370" s="570">
        <v>534888.9</v>
      </c>
      <c r="D370" s="396"/>
      <c r="E370" s="396"/>
      <c r="F370" s="396"/>
      <c r="G370" s="396"/>
      <c r="H370" s="396"/>
    </row>
    <row r="371" spans="1:8" s="397" customFormat="1" ht="14.25" customHeight="1" x14ac:dyDescent="0.25">
      <c r="A371" s="564">
        <v>118</v>
      </c>
      <c r="B371" s="570" t="s">
        <v>1670</v>
      </c>
      <c r="C371" s="570">
        <v>201600</v>
      </c>
      <c r="D371" s="396"/>
      <c r="E371" s="396"/>
      <c r="F371" s="396"/>
      <c r="G371" s="396"/>
      <c r="H371" s="396"/>
    </row>
    <row r="372" spans="1:8" s="397" customFormat="1" ht="14.25" customHeight="1" x14ac:dyDescent="0.25">
      <c r="A372" s="564">
        <v>124</v>
      </c>
      <c r="B372" s="570" t="s">
        <v>1671</v>
      </c>
      <c r="C372" s="570">
        <v>501471.52</v>
      </c>
      <c r="D372" s="396"/>
      <c r="E372" s="396"/>
      <c r="F372" s="396"/>
      <c r="G372" s="396"/>
      <c r="H372" s="396"/>
    </row>
    <row r="373" spans="1:8" s="397" customFormat="1" ht="14.25" customHeight="1" x14ac:dyDescent="0.25">
      <c r="A373" s="564">
        <v>126</v>
      </c>
      <c r="B373" s="570" t="s">
        <v>1672</v>
      </c>
      <c r="C373" s="570">
        <v>402018.75</v>
      </c>
      <c r="D373" s="396"/>
      <c r="E373" s="396"/>
      <c r="F373" s="396"/>
      <c r="G373" s="396"/>
      <c r="H373" s="396"/>
    </row>
    <row r="374" spans="1:8" s="397" customFormat="1" ht="14.25" customHeight="1" x14ac:dyDescent="0.25">
      <c r="A374" s="564">
        <v>127</v>
      </c>
      <c r="B374" s="570" t="s">
        <v>1673</v>
      </c>
      <c r="C374" s="570">
        <v>384300</v>
      </c>
      <c r="D374" s="396"/>
      <c r="E374" s="396"/>
      <c r="F374" s="396"/>
      <c r="G374" s="396"/>
      <c r="H374" s="396"/>
    </row>
    <row r="375" spans="1:8" s="397" customFormat="1" ht="14.25" customHeight="1" x14ac:dyDescent="0.25">
      <c r="A375" s="564">
        <v>135</v>
      </c>
      <c r="B375" s="570" t="s">
        <v>1674</v>
      </c>
      <c r="C375" s="570">
        <v>543750</v>
      </c>
      <c r="D375" s="396"/>
      <c r="E375" s="396"/>
      <c r="F375" s="396"/>
      <c r="G375" s="396"/>
      <c r="H375" s="396"/>
    </row>
    <row r="376" spans="1:8" s="397" customFormat="1" ht="14.25" customHeight="1" x14ac:dyDescent="0.25">
      <c r="A376" s="564">
        <v>136</v>
      </c>
      <c r="B376" s="570" t="s">
        <v>1675</v>
      </c>
      <c r="C376" s="570">
        <v>353224.87</v>
      </c>
      <c r="D376" s="396"/>
      <c r="E376" s="396"/>
      <c r="F376" s="396"/>
      <c r="G376" s="396"/>
      <c r="H376" s="396"/>
    </row>
    <row r="377" spans="1:8" s="397" customFormat="1" ht="14.25" customHeight="1" x14ac:dyDescent="0.25">
      <c r="A377" s="564">
        <v>137</v>
      </c>
      <c r="B377" s="570" t="s">
        <v>1676</v>
      </c>
      <c r="C377" s="570">
        <v>199552.5</v>
      </c>
      <c r="D377" s="396"/>
      <c r="E377" s="396"/>
      <c r="F377" s="396"/>
      <c r="G377" s="396"/>
      <c r="H377" s="396"/>
    </row>
    <row r="378" spans="1:8" s="397" customFormat="1" ht="14.25" customHeight="1" x14ac:dyDescent="0.25">
      <c r="A378" s="564">
        <v>138</v>
      </c>
      <c r="B378" s="570" t="s">
        <v>1677</v>
      </c>
      <c r="C378" s="570">
        <v>563062.5</v>
      </c>
      <c r="D378" s="396"/>
      <c r="E378" s="396"/>
      <c r="F378" s="396"/>
      <c r="G378" s="396"/>
      <c r="H378" s="396"/>
    </row>
    <row r="379" spans="1:8" s="397" customFormat="1" ht="14.25" customHeight="1" x14ac:dyDescent="0.25">
      <c r="A379" s="564">
        <v>139</v>
      </c>
      <c r="B379" s="570" t="s">
        <v>1678</v>
      </c>
      <c r="C379" s="570">
        <v>420997.52</v>
      </c>
      <c r="D379" s="396"/>
      <c r="E379" s="396"/>
      <c r="F379" s="396"/>
      <c r="G379" s="396"/>
      <c r="H379" s="396"/>
    </row>
    <row r="380" spans="1:8" s="397" customFormat="1" ht="14.25" customHeight="1" x14ac:dyDescent="0.25">
      <c r="A380" s="564">
        <v>141</v>
      </c>
      <c r="B380" s="570" t="s">
        <v>1679</v>
      </c>
      <c r="C380" s="570">
        <v>27681.61</v>
      </c>
      <c r="D380" s="396"/>
      <c r="E380" s="396"/>
      <c r="F380" s="396"/>
      <c r="G380" s="396"/>
      <c r="H380" s="396"/>
    </row>
    <row r="381" spans="1:8" s="397" customFormat="1" ht="14.25" customHeight="1" x14ac:dyDescent="0.25">
      <c r="A381" s="564">
        <v>142</v>
      </c>
      <c r="B381" s="570" t="s">
        <v>1680</v>
      </c>
      <c r="C381" s="570">
        <v>49910</v>
      </c>
      <c r="D381" s="396"/>
      <c r="E381" s="396"/>
      <c r="F381" s="396"/>
      <c r="G381" s="396"/>
      <c r="H381" s="396"/>
    </row>
    <row r="382" spans="1:8" s="397" customFormat="1" ht="14.25" customHeight="1" x14ac:dyDescent="0.25">
      <c r="A382" s="564">
        <v>143</v>
      </c>
      <c r="B382" s="570" t="s">
        <v>1681</v>
      </c>
      <c r="C382" s="570">
        <v>78880</v>
      </c>
      <c r="D382" s="396"/>
      <c r="E382" s="396"/>
      <c r="F382" s="396"/>
      <c r="G382" s="396"/>
      <c r="H382" s="396"/>
    </row>
    <row r="383" spans="1:8" s="397" customFormat="1" ht="14.25" customHeight="1" x14ac:dyDescent="0.25">
      <c r="A383" s="564">
        <v>144</v>
      </c>
      <c r="B383" s="570" t="s">
        <v>1682</v>
      </c>
      <c r="C383" s="570">
        <v>101920</v>
      </c>
      <c r="D383" s="396"/>
      <c r="E383" s="396"/>
      <c r="F383" s="396"/>
      <c r="G383" s="396"/>
      <c r="H383" s="396"/>
    </row>
    <row r="384" spans="1:8" s="397" customFormat="1" ht="14.25" customHeight="1" x14ac:dyDescent="0.25">
      <c r="A384" s="564">
        <v>149</v>
      </c>
      <c r="B384" s="570" t="s">
        <v>1683</v>
      </c>
      <c r="C384" s="570">
        <v>391541.33</v>
      </c>
      <c r="D384" s="396"/>
      <c r="E384" s="396"/>
      <c r="F384" s="396"/>
      <c r="G384" s="396"/>
      <c r="H384" s="396"/>
    </row>
    <row r="385" spans="1:8" s="397" customFormat="1" ht="14.25" customHeight="1" x14ac:dyDescent="0.25">
      <c r="A385" s="564">
        <v>150</v>
      </c>
      <c r="B385" s="570" t="s">
        <v>1684</v>
      </c>
      <c r="C385" s="570">
        <v>84807.07</v>
      </c>
      <c r="D385" s="396"/>
      <c r="E385" s="396"/>
      <c r="F385" s="396"/>
      <c r="G385" s="396"/>
      <c r="H385" s="396"/>
    </row>
    <row r="386" spans="1:8" s="397" customFormat="1" ht="14.25" customHeight="1" x14ac:dyDescent="0.25">
      <c r="A386" s="564">
        <v>151</v>
      </c>
      <c r="B386" s="570" t="s">
        <v>1685</v>
      </c>
      <c r="C386" s="570">
        <v>83904</v>
      </c>
      <c r="D386" s="396"/>
      <c r="E386" s="396"/>
      <c r="F386" s="396"/>
      <c r="G386" s="396"/>
      <c r="H386" s="396"/>
    </row>
    <row r="387" spans="1:8" s="397" customFormat="1" ht="14.25" customHeight="1" x14ac:dyDescent="0.25">
      <c r="A387" s="564">
        <v>152</v>
      </c>
      <c r="B387" s="570" t="s">
        <v>1686</v>
      </c>
      <c r="C387" s="570">
        <v>526302.15</v>
      </c>
      <c r="D387" s="396"/>
      <c r="E387" s="396"/>
      <c r="F387" s="396"/>
      <c r="G387" s="396"/>
      <c r="H387" s="396"/>
    </row>
    <row r="388" spans="1:8" s="397" customFormat="1" ht="14.25" customHeight="1" x14ac:dyDescent="0.25">
      <c r="A388" s="564">
        <v>153</v>
      </c>
      <c r="B388" s="570" t="s">
        <v>1687</v>
      </c>
      <c r="C388" s="570">
        <v>605968.84</v>
      </c>
      <c r="D388" s="396"/>
      <c r="E388" s="396"/>
      <c r="F388" s="396"/>
      <c r="G388" s="396"/>
      <c r="H388" s="396"/>
    </row>
    <row r="389" spans="1:8" s="397" customFormat="1" ht="14.25" customHeight="1" x14ac:dyDescent="0.25">
      <c r="A389" s="564">
        <v>154</v>
      </c>
      <c r="B389" s="570" t="s">
        <v>1688</v>
      </c>
      <c r="C389" s="570">
        <v>1058495.6499999999</v>
      </c>
      <c r="D389" s="396"/>
      <c r="E389" s="396"/>
      <c r="F389" s="396"/>
      <c r="G389" s="396"/>
      <c r="H389" s="396"/>
    </row>
    <row r="390" spans="1:8" s="397" customFormat="1" ht="14.25" customHeight="1" x14ac:dyDescent="0.25">
      <c r="A390" s="564">
        <v>156</v>
      </c>
      <c r="B390" s="570" t="s">
        <v>1689</v>
      </c>
      <c r="C390" s="570">
        <v>850500</v>
      </c>
      <c r="D390" s="396"/>
      <c r="E390" s="396"/>
      <c r="F390" s="396"/>
      <c r="G390" s="396"/>
      <c r="H390" s="396"/>
    </row>
    <row r="391" spans="1:8" s="397" customFormat="1" ht="14.25" customHeight="1" x14ac:dyDescent="0.25">
      <c r="A391" s="564">
        <v>157</v>
      </c>
      <c r="B391" s="570" t="s">
        <v>1690</v>
      </c>
      <c r="C391" s="570">
        <v>3237780</v>
      </c>
      <c r="D391" s="396"/>
      <c r="E391" s="396"/>
      <c r="F391" s="396"/>
      <c r="G391" s="396"/>
      <c r="H391" s="396"/>
    </row>
    <row r="392" spans="1:8" s="397" customFormat="1" ht="14.25" customHeight="1" x14ac:dyDescent="0.25">
      <c r="A392" s="564">
        <v>158</v>
      </c>
      <c r="B392" s="570" t="s">
        <v>1691</v>
      </c>
      <c r="C392" s="570">
        <v>325850</v>
      </c>
      <c r="D392" s="396"/>
      <c r="E392" s="396"/>
      <c r="F392" s="396"/>
      <c r="G392" s="396"/>
      <c r="H392" s="396"/>
    </row>
    <row r="393" spans="1:8" s="397" customFormat="1" ht="14.25" customHeight="1" x14ac:dyDescent="0.25">
      <c r="A393" s="564">
        <v>159</v>
      </c>
      <c r="B393" s="570" t="s">
        <v>1692</v>
      </c>
      <c r="C393" s="570">
        <v>638637.09</v>
      </c>
      <c r="D393" s="396"/>
      <c r="E393" s="396"/>
      <c r="F393" s="396"/>
      <c r="G393" s="396"/>
      <c r="H393" s="396"/>
    </row>
    <row r="394" spans="1:8" s="397" customFormat="1" ht="14.25" customHeight="1" x14ac:dyDescent="0.25">
      <c r="A394" s="564">
        <v>160</v>
      </c>
      <c r="B394" s="570" t="s">
        <v>1693</v>
      </c>
      <c r="C394" s="570">
        <v>395675</v>
      </c>
      <c r="D394" s="396"/>
      <c r="E394" s="396"/>
      <c r="F394" s="396"/>
      <c r="G394" s="396"/>
      <c r="H394" s="396"/>
    </row>
    <row r="395" spans="1:8" s="397" customFormat="1" ht="14.25" customHeight="1" x14ac:dyDescent="0.25">
      <c r="A395" s="564">
        <v>161</v>
      </c>
      <c r="B395" s="570" t="s">
        <v>1694</v>
      </c>
      <c r="C395" s="570">
        <v>60030</v>
      </c>
      <c r="D395" s="396"/>
      <c r="E395" s="396"/>
      <c r="F395" s="396"/>
      <c r="G395" s="396"/>
      <c r="H395" s="396"/>
    </row>
    <row r="396" spans="1:8" s="397" customFormat="1" ht="14.25" customHeight="1" x14ac:dyDescent="0.25">
      <c r="A396" s="564">
        <v>171</v>
      </c>
      <c r="B396" s="570" t="s">
        <v>1695</v>
      </c>
      <c r="C396" s="570">
        <v>311087.34999999998</v>
      </c>
      <c r="D396" s="396"/>
      <c r="E396" s="396"/>
      <c r="F396" s="396"/>
      <c r="G396" s="396"/>
      <c r="H396" s="396"/>
    </row>
    <row r="397" spans="1:8" s="397" customFormat="1" ht="14.25" customHeight="1" x14ac:dyDescent="0.25">
      <c r="A397" s="564">
        <v>172</v>
      </c>
      <c r="B397" s="570" t="s">
        <v>1696</v>
      </c>
      <c r="C397" s="570">
        <v>648350</v>
      </c>
      <c r="D397" s="396"/>
      <c r="E397" s="396"/>
      <c r="F397" s="396"/>
      <c r="G397" s="396"/>
      <c r="H397" s="396"/>
    </row>
    <row r="398" spans="1:8" s="397" customFormat="1" ht="14.25" customHeight="1" x14ac:dyDescent="0.25">
      <c r="A398" s="564">
        <v>173</v>
      </c>
      <c r="B398" s="570" t="s">
        <v>1697</v>
      </c>
      <c r="C398" s="570">
        <v>23276</v>
      </c>
      <c r="D398" s="396"/>
      <c r="E398" s="396"/>
      <c r="F398" s="396"/>
      <c r="G398" s="396"/>
      <c r="H398" s="396"/>
    </row>
    <row r="399" spans="1:8" s="397" customFormat="1" ht="14.25" customHeight="1" x14ac:dyDescent="0.25">
      <c r="A399" s="564">
        <v>174</v>
      </c>
      <c r="B399" s="570" t="s">
        <v>1698</v>
      </c>
      <c r="C399" s="570">
        <v>139406.84</v>
      </c>
      <c r="D399" s="396"/>
      <c r="E399" s="396"/>
      <c r="F399" s="396"/>
      <c r="G399" s="396"/>
      <c r="H399" s="396"/>
    </row>
    <row r="400" spans="1:8" s="397" customFormat="1" ht="14.25" customHeight="1" x14ac:dyDescent="0.25">
      <c r="A400" s="564">
        <v>175</v>
      </c>
      <c r="B400" s="570" t="s">
        <v>1699</v>
      </c>
      <c r="C400" s="570">
        <v>21490.63</v>
      </c>
      <c r="D400" s="396"/>
      <c r="E400" s="396"/>
      <c r="F400" s="396"/>
      <c r="G400" s="396"/>
      <c r="H400" s="396"/>
    </row>
    <row r="401" spans="1:8" s="397" customFormat="1" ht="14.25" customHeight="1" x14ac:dyDescent="0.25">
      <c r="A401" s="564">
        <v>176</v>
      </c>
      <c r="B401" s="570" t="s">
        <v>1700</v>
      </c>
      <c r="C401" s="570">
        <v>21677.4</v>
      </c>
      <c r="D401" s="396"/>
      <c r="E401" s="396"/>
      <c r="F401" s="396"/>
      <c r="G401" s="396"/>
      <c r="H401" s="396"/>
    </row>
    <row r="402" spans="1:8" s="397" customFormat="1" ht="14.25" customHeight="1" x14ac:dyDescent="0.25">
      <c r="A402" s="564">
        <v>177</v>
      </c>
      <c r="B402" s="570" t="s">
        <v>1701</v>
      </c>
      <c r="C402" s="570">
        <v>40468.5</v>
      </c>
      <c r="D402" s="396"/>
      <c r="E402" s="396"/>
      <c r="F402" s="396"/>
      <c r="G402" s="396"/>
      <c r="H402" s="396"/>
    </row>
    <row r="403" spans="1:8" s="397" customFormat="1" ht="14.25" customHeight="1" x14ac:dyDescent="0.25">
      <c r="A403" s="564">
        <v>178</v>
      </c>
      <c r="B403" s="570" t="s">
        <v>1702</v>
      </c>
      <c r="C403" s="570">
        <v>196032.59</v>
      </c>
      <c r="D403" s="396"/>
      <c r="E403" s="396"/>
      <c r="F403" s="396"/>
      <c r="G403" s="396"/>
      <c r="H403" s="396"/>
    </row>
    <row r="404" spans="1:8" s="397" customFormat="1" ht="14.25" customHeight="1" x14ac:dyDescent="0.25">
      <c r="A404" s="564">
        <v>179</v>
      </c>
      <c r="B404" s="570" t="s">
        <v>1703</v>
      </c>
      <c r="C404" s="570">
        <v>127594</v>
      </c>
      <c r="D404" s="396"/>
      <c r="E404" s="396"/>
      <c r="F404" s="396"/>
      <c r="G404" s="396"/>
      <c r="H404" s="396"/>
    </row>
    <row r="405" spans="1:8" s="397" customFormat="1" ht="14.25" customHeight="1" x14ac:dyDescent="0.25">
      <c r="A405" s="564">
        <v>180</v>
      </c>
      <c r="B405" s="570" t="s">
        <v>1704</v>
      </c>
      <c r="C405" s="570">
        <v>40468.5</v>
      </c>
      <c r="D405" s="396"/>
      <c r="E405" s="396"/>
      <c r="F405" s="396"/>
      <c r="G405" s="396"/>
      <c r="H405" s="396"/>
    </row>
    <row r="406" spans="1:8" s="397" customFormat="1" ht="14.25" customHeight="1" x14ac:dyDescent="0.25">
      <c r="A406" s="564">
        <v>181</v>
      </c>
      <c r="B406" s="570" t="s">
        <v>1705</v>
      </c>
      <c r="C406" s="570">
        <v>56206.25</v>
      </c>
      <c r="D406" s="396"/>
      <c r="E406" s="396"/>
      <c r="F406" s="396"/>
      <c r="G406" s="396"/>
      <c r="H406" s="396"/>
    </row>
    <row r="407" spans="1:8" s="397" customFormat="1" ht="14.25" customHeight="1" x14ac:dyDescent="0.25">
      <c r="A407" s="564">
        <v>182</v>
      </c>
      <c r="B407" s="570" t="s">
        <v>1706</v>
      </c>
      <c r="C407" s="570">
        <v>15870</v>
      </c>
      <c r="D407" s="396"/>
      <c r="E407" s="396"/>
      <c r="F407" s="396"/>
      <c r="G407" s="396"/>
      <c r="H407" s="396"/>
    </row>
    <row r="408" spans="1:8" s="397" customFormat="1" ht="14.25" customHeight="1" x14ac:dyDescent="0.25">
      <c r="A408" s="564">
        <v>183</v>
      </c>
      <c r="B408" s="570" t="s">
        <v>1707</v>
      </c>
      <c r="C408" s="570">
        <v>17457</v>
      </c>
      <c r="D408" s="396"/>
      <c r="E408" s="396"/>
      <c r="F408" s="396"/>
      <c r="G408" s="396"/>
      <c r="H408" s="396"/>
    </row>
    <row r="409" spans="1:8" s="397" customFormat="1" ht="14.25" customHeight="1" x14ac:dyDescent="0.25">
      <c r="A409" s="564">
        <v>184</v>
      </c>
      <c r="B409" s="570" t="s">
        <v>1708</v>
      </c>
      <c r="C409" s="570">
        <v>236368.13</v>
      </c>
      <c r="D409" s="396"/>
      <c r="E409" s="396"/>
      <c r="F409" s="396"/>
      <c r="G409" s="396"/>
      <c r="H409" s="396"/>
    </row>
    <row r="410" spans="1:8" s="397" customFormat="1" ht="14.25" customHeight="1" x14ac:dyDescent="0.25">
      <c r="A410" s="564">
        <v>185</v>
      </c>
      <c r="B410" s="570" t="s">
        <v>1709</v>
      </c>
      <c r="C410" s="570">
        <v>616980</v>
      </c>
      <c r="D410" s="396"/>
      <c r="E410" s="396"/>
      <c r="F410" s="396"/>
      <c r="G410" s="396"/>
      <c r="H410" s="396"/>
    </row>
    <row r="411" spans="1:8" s="397" customFormat="1" ht="14.25" customHeight="1" x14ac:dyDescent="0.25">
      <c r="A411" s="564">
        <v>186</v>
      </c>
      <c r="B411" s="570" t="s">
        <v>1710</v>
      </c>
      <c r="C411" s="570">
        <v>727818</v>
      </c>
      <c r="D411" s="396"/>
      <c r="E411" s="396"/>
      <c r="F411" s="396"/>
      <c r="G411" s="396"/>
      <c r="H411" s="396"/>
    </row>
    <row r="412" spans="1:8" s="397" customFormat="1" ht="14.25" customHeight="1" x14ac:dyDescent="0.25">
      <c r="A412" s="564">
        <v>188</v>
      </c>
      <c r="B412" s="570" t="s">
        <v>1711</v>
      </c>
      <c r="C412" s="570">
        <v>957600</v>
      </c>
      <c r="D412" s="396"/>
      <c r="E412" s="396"/>
      <c r="F412" s="396"/>
      <c r="G412" s="396"/>
      <c r="H412" s="396"/>
    </row>
    <row r="413" spans="1:8" s="397" customFormat="1" ht="14.25" customHeight="1" x14ac:dyDescent="0.25">
      <c r="A413" s="564">
        <v>189</v>
      </c>
      <c r="B413" s="570" t="s">
        <v>1712</v>
      </c>
      <c r="C413" s="570">
        <v>288922.53999999998</v>
      </c>
      <c r="D413" s="396"/>
      <c r="E413" s="396"/>
      <c r="F413" s="396"/>
      <c r="G413" s="396"/>
      <c r="H413" s="396"/>
    </row>
    <row r="414" spans="1:8" s="397" customFormat="1" ht="14.25" customHeight="1" x14ac:dyDescent="0.25">
      <c r="A414" s="564">
        <v>192</v>
      </c>
      <c r="B414" s="570" t="s">
        <v>1713</v>
      </c>
      <c r="C414" s="570">
        <v>169206.39999999999</v>
      </c>
      <c r="D414" s="396"/>
      <c r="E414" s="396"/>
      <c r="F414" s="396"/>
      <c r="G414" s="396"/>
      <c r="H414" s="396"/>
    </row>
    <row r="415" spans="1:8" s="397" customFormat="1" ht="14.25" customHeight="1" x14ac:dyDescent="0.25">
      <c r="A415" s="564">
        <v>193</v>
      </c>
      <c r="B415" s="570" t="s">
        <v>1714</v>
      </c>
      <c r="C415" s="570">
        <v>39.159999999999997</v>
      </c>
      <c r="D415" s="396"/>
      <c r="E415" s="396"/>
      <c r="F415" s="396"/>
      <c r="G415" s="396"/>
      <c r="H415" s="396"/>
    </row>
    <row r="416" spans="1:8" s="397" customFormat="1" ht="14.25" customHeight="1" x14ac:dyDescent="0.25">
      <c r="A416" s="564">
        <v>194</v>
      </c>
      <c r="B416" s="570" t="s">
        <v>1715</v>
      </c>
      <c r="C416" s="570">
        <v>125650</v>
      </c>
      <c r="D416" s="396"/>
      <c r="E416" s="396"/>
      <c r="F416" s="396"/>
      <c r="G416" s="396"/>
      <c r="H416" s="396"/>
    </row>
    <row r="417" spans="1:8" s="397" customFormat="1" ht="14.25" customHeight="1" x14ac:dyDescent="0.25">
      <c r="A417" s="564">
        <v>195</v>
      </c>
      <c r="B417" s="570" t="s">
        <v>1716</v>
      </c>
      <c r="C417" s="570">
        <v>274120</v>
      </c>
      <c r="D417" s="396"/>
      <c r="E417" s="396"/>
      <c r="F417" s="396"/>
      <c r="G417" s="396"/>
      <c r="H417" s="396"/>
    </row>
    <row r="418" spans="1:8" s="397" customFormat="1" ht="14.25" customHeight="1" x14ac:dyDescent="0.25">
      <c r="A418" s="564">
        <v>196</v>
      </c>
      <c r="B418" s="570" t="s">
        <v>1717</v>
      </c>
      <c r="C418" s="570">
        <v>274680</v>
      </c>
      <c r="D418" s="396"/>
      <c r="E418" s="396"/>
      <c r="F418" s="396"/>
      <c r="G418" s="396"/>
      <c r="H418" s="396"/>
    </row>
    <row r="419" spans="1:8" s="397" customFormat="1" ht="14.25" customHeight="1" x14ac:dyDescent="0.25">
      <c r="A419" s="564">
        <v>197</v>
      </c>
      <c r="B419" s="570" t="s">
        <v>1718</v>
      </c>
      <c r="C419" s="570">
        <v>226485</v>
      </c>
      <c r="D419" s="396"/>
      <c r="E419" s="396"/>
      <c r="F419" s="396"/>
      <c r="G419" s="396"/>
      <c r="H419" s="396"/>
    </row>
    <row r="420" spans="1:8" s="397" customFormat="1" ht="14.25" customHeight="1" x14ac:dyDescent="0.25">
      <c r="A420" s="564">
        <v>198</v>
      </c>
      <c r="B420" s="570" t="s">
        <v>1719</v>
      </c>
      <c r="C420" s="570">
        <v>234045</v>
      </c>
      <c r="D420" s="396"/>
      <c r="E420" s="396"/>
      <c r="F420" s="396"/>
      <c r="G420" s="396"/>
      <c r="H420" s="396"/>
    </row>
    <row r="421" spans="1:8" s="397" customFormat="1" ht="14.25" customHeight="1" x14ac:dyDescent="0.25">
      <c r="A421" s="564">
        <v>199</v>
      </c>
      <c r="B421" s="570" t="s">
        <v>1720</v>
      </c>
      <c r="C421" s="570">
        <v>245245</v>
      </c>
      <c r="D421" s="396"/>
      <c r="E421" s="396"/>
      <c r="F421" s="396"/>
      <c r="G421" s="396"/>
      <c r="H421" s="396"/>
    </row>
    <row r="422" spans="1:8" s="397" customFormat="1" ht="14.25" customHeight="1" x14ac:dyDescent="0.25">
      <c r="A422" s="564">
        <v>200</v>
      </c>
      <c r="B422" s="570" t="s">
        <v>1721</v>
      </c>
      <c r="C422" s="570">
        <v>25788.75</v>
      </c>
      <c r="D422" s="396"/>
      <c r="E422" s="396"/>
      <c r="F422" s="396"/>
      <c r="G422" s="396"/>
      <c r="H422" s="396"/>
    </row>
    <row r="423" spans="1:8" s="397" customFormat="1" ht="14.25" customHeight="1" x14ac:dyDescent="0.25">
      <c r="A423" s="564">
        <v>201</v>
      </c>
      <c r="B423" s="570" t="s">
        <v>1722</v>
      </c>
      <c r="C423" s="570">
        <v>90358.2</v>
      </c>
      <c r="D423" s="396"/>
      <c r="E423" s="396"/>
      <c r="F423" s="396"/>
      <c r="G423" s="396"/>
      <c r="H423" s="396"/>
    </row>
    <row r="424" spans="1:8" s="397" customFormat="1" ht="14.25" customHeight="1" x14ac:dyDescent="0.25">
      <c r="A424" s="564">
        <v>202</v>
      </c>
      <c r="B424" s="570" t="s">
        <v>1723</v>
      </c>
      <c r="C424" s="570">
        <v>88800</v>
      </c>
      <c r="D424" s="396"/>
      <c r="E424" s="396"/>
      <c r="F424" s="396"/>
      <c r="G424" s="396"/>
      <c r="H424" s="396"/>
    </row>
    <row r="425" spans="1:8" s="397" customFormat="1" ht="14.25" customHeight="1" x14ac:dyDescent="0.25">
      <c r="A425" s="564">
        <v>203</v>
      </c>
      <c r="B425" s="570" t="s">
        <v>1724</v>
      </c>
      <c r="C425" s="570">
        <v>36800</v>
      </c>
      <c r="D425" s="396"/>
      <c r="E425" s="396"/>
      <c r="F425" s="396"/>
      <c r="G425" s="396"/>
      <c r="H425" s="396"/>
    </row>
    <row r="426" spans="1:8" s="397" customFormat="1" ht="14.25" customHeight="1" x14ac:dyDescent="0.25">
      <c r="A426" s="564">
        <v>204</v>
      </c>
      <c r="B426" s="570" t="s">
        <v>1725</v>
      </c>
      <c r="C426" s="570">
        <v>217788.73</v>
      </c>
      <c r="D426" s="396"/>
      <c r="E426" s="396"/>
      <c r="F426" s="396"/>
      <c r="G426" s="396"/>
      <c r="H426" s="396"/>
    </row>
    <row r="427" spans="1:8" s="397" customFormat="1" ht="14.25" customHeight="1" x14ac:dyDescent="0.25">
      <c r="A427" s="564">
        <v>205</v>
      </c>
      <c r="B427" s="570" t="s">
        <v>1726</v>
      </c>
      <c r="C427" s="570">
        <v>296371.46000000002</v>
      </c>
      <c r="D427" s="396"/>
      <c r="E427" s="396"/>
      <c r="F427" s="396"/>
      <c r="G427" s="396"/>
      <c r="H427" s="396"/>
    </row>
    <row r="428" spans="1:8" s="397" customFormat="1" ht="14.25" customHeight="1" x14ac:dyDescent="0.25">
      <c r="A428" s="564">
        <v>207</v>
      </c>
      <c r="B428" s="570" t="s">
        <v>1727</v>
      </c>
      <c r="C428" s="570">
        <v>48948.37</v>
      </c>
      <c r="D428" s="396"/>
      <c r="E428" s="396"/>
      <c r="F428" s="396"/>
      <c r="G428" s="396"/>
      <c r="H428" s="396"/>
    </row>
    <row r="429" spans="1:8" s="397" customFormat="1" ht="14.25" customHeight="1" x14ac:dyDescent="0.25">
      <c r="A429" s="564">
        <v>208</v>
      </c>
      <c r="B429" s="570" t="s">
        <v>1728</v>
      </c>
      <c r="C429" s="570">
        <v>414141</v>
      </c>
      <c r="D429" s="396"/>
      <c r="E429" s="396"/>
      <c r="F429" s="396"/>
      <c r="G429" s="396"/>
      <c r="H429" s="396"/>
    </row>
    <row r="430" spans="1:8" s="397" customFormat="1" ht="14.25" customHeight="1" x14ac:dyDescent="0.25">
      <c r="A430" s="564">
        <v>209</v>
      </c>
      <c r="B430" s="570" t="s">
        <v>1729</v>
      </c>
      <c r="C430" s="570">
        <v>1809307.65</v>
      </c>
      <c r="D430" s="396"/>
      <c r="E430" s="396"/>
      <c r="F430" s="396"/>
      <c r="G430" s="396"/>
      <c r="H430" s="396"/>
    </row>
    <row r="431" spans="1:8" s="397" customFormat="1" ht="14.25" customHeight="1" x14ac:dyDescent="0.25">
      <c r="A431" s="564">
        <v>215</v>
      </c>
      <c r="B431" s="570" t="s">
        <v>1730</v>
      </c>
      <c r="C431" s="570">
        <v>75594.33</v>
      </c>
      <c r="D431" s="396"/>
      <c r="E431" s="396"/>
      <c r="F431" s="396"/>
      <c r="G431" s="396"/>
      <c r="H431" s="396"/>
    </row>
    <row r="432" spans="1:8" s="397" customFormat="1" ht="14.25" customHeight="1" x14ac:dyDescent="0.25">
      <c r="A432" s="564">
        <v>216</v>
      </c>
      <c r="B432" s="570" t="s">
        <v>1731</v>
      </c>
      <c r="C432" s="570">
        <v>88997.58</v>
      </c>
      <c r="D432" s="396"/>
      <c r="E432" s="396"/>
      <c r="F432" s="396"/>
      <c r="G432" s="396"/>
      <c r="H432" s="396"/>
    </row>
    <row r="433" spans="1:8" s="397" customFormat="1" ht="14.25" customHeight="1" x14ac:dyDescent="0.25">
      <c r="A433" s="564">
        <v>217</v>
      </c>
      <c r="B433" s="570" t="s">
        <v>1732</v>
      </c>
      <c r="C433" s="570">
        <v>31564.7</v>
      </c>
      <c r="D433" s="396"/>
      <c r="E433" s="396"/>
      <c r="F433" s="396"/>
      <c r="G433" s="396"/>
      <c r="H433" s="396"/>
    </row>
    <row r="434" spans="1:8" s="397" customFormat="1" ht="14.25" customHeight="1" x14ac:dyDescent="0.25">
      <c r="A434" s="564">
        <v>218</v>
      </c>
      <c r="B434" s="570" t="s">
        <v>1733</v>
      </c>
      <c r="C434" s="570">
        <v>79701.7</v>
      </c>
      <c r="D434" s="396"/>
      <c r="E434" s="396"/>
      <c r="F434" s="396"/>
      <c r="G434" s="396"/>
      <c r="H434" s="396"/>
    </row>
    <row r="435" spans="1:8" s="397" customFormat="1" ht="14.25" customHeight="1" x14ac:dyDescent="0.25">
      <c r="A435" s="564">
        <v>219</v>
      </c>
      <c r="B435" s="570" t="s">
        <v>1734</v>
      </c>
      <c r="C435" s="570">
        <v>75594.33</v>
      </c>
      <c r="D435" s="396"/>
      <c r="E435" s="396"/>
      <c r="F435" s="396"/>
      <c r="G435" s="396"/>
      <c r="H435" s="396"/>
    </row>
    <row r="436" spans="1:8" s="397" customFormat="1" ht="14.25" customHeight="1" x14ac:dyDescent="0.25">
      <c r="A436" s="564">
        <v>220</v>
      </c>
      <c r="B436" s="570" t="s">
        <v>1735</v>
      </c>
      <c r="C436" s="570">
        <v>75132.2</v>
      </c>
      <c r="D436" s="396"/>
      <c r="E436" s="396"/>
      <c r="F436" s="396"/>
      <c r="G436" s="396"/>
      <c r="H436" s="396"/>
    </row>
    <row r="437" spans="1:8" s="397" customFormat="1" ht="14.25" customHeight="1" x14ac:dyDescent="0.25">
      <c r="A437" s="564">
        <v>221</v>
      </c>
      <c r="B437" s="570" t="s">
        <v>1736</v>
      </c>
      <c r="C437" s="570">
        <v>70810.600000000006</v>
      </c>
      <c r="D437" s="396"/>
      <c r="E437" s="396"/>
      <c r="F437" s="396"/>
      <c r="G437" s="396"/>
      <c r="H437" s="396"/>
    </row>
    <row r="438" spans="1:8" s="397" customFormat="1" ht="14.25" customHeight="1" x14ac:dyDescent="0.25">
      <c r="A438" s="564">
        <v>222</v>
      </c>
      <c r="B438" s="570" t="s">
        <v>1737</v>
      </c>
      <c r="C438" s="570">
        <v>67246.02</v>
      </c>
      <c r="D438" s="396"/>
      <c r="E438" s="396"/>
      <c r="F438" s="396"/>
      <c r="G438" s="396"/>
      <c r="H438" s="396"/>
    </row>
    <row r="439" spans="1:8" s="397" customFormat="1" ht="14.25" customHeight="1" x14ac:dyDescent="0.25">
      <c r="A439" s="564">
        <v>223</v>
      </c>
      <c r="B439" s="570" t="s">
        <v>1738</v>
      </c>
      <c r="C439" s="570">
        <v>77296.7</v>
      </c>
      <c r="D439" s="396"/>
      <c r="E439" s="396"/>
      <c r="F439" s="396"/>
      <c r="G439" s="396"/>
      <c r="H439" s="396"/>
    </row>
    <row r="440" spans="1:8" s="397" customFormat="1" ht="14.25" customHeight="1" x14ac:dyDescent="0.25">
      <c r="A440" s="564">
        <v>224</v>
      </c>
      <c r="B440" s="570" t="s">
        <v>1739</v>
      </c>
      <c r="C440" s="570">
        <v>77917.56</v>
      </c>
      <c r="D440" s="396"/>
      <c r="E440" s="396"/>
      <c r="F440" s="396"/>
      <c r="G440" s="396"/>
      <c r="H440" s="396"/>
    </row>
    <row r="441" spans="1:8" s="397" customFormat="1" ht="14.25" customHeight="1" x14ac:dyDescent="0.25">
      <c r="A441" s="564">
        <v>225</v>
      </c>
      <c r="B441" s="570" t="s">
        <v>1740</v>
      </c>
      <c r="C441" s="570">
        <v>66433.31</v>
      </c>
      <c r="D441" s="396"/>
      <c r="E441" s="396"/>
      <c r="F441" s="396"/>
      <c r="G441" s="396"/>
      <c r="H441" s="396"/>
    </row>
    <row r="442" spans="1:8" s="397" customFormat="1" ht="14.25" customHeight="1" x14ac:dyDescent="0.25">
      <c r="A442" s="564">
        <v>226</v>
      </c>
      <c r="B442" s="570" t="s">
        <v>1741</v>
      </c>
      <c r="C442" s="570">
        <v>81317.3</v>
      </c>
      <c r="D442" s="396"/>
      <c r="E442" s="396"/>
      <c r="F442" s="396"/>
      <c r="G442" s="396"/>
      <c r="H442" s="396"/>
    </row>
    <row r="443" spans="1:8" s="397" customFormat="1" ht="14.25" customHeight="1" x14ac:dyDescent="0.25">
      <c r="A443" s="564">
        <v>227</v>
      </c>
      <c r="B443" s="570" t="s">
        <v>1742</v>
      </c>
      <c r="C443" s="570">
        <v>88997.58</v>
      </c>
      <c r="D443" s="396"/>
      <c r="E443" s="396"/>
      <c r="F443" s="396"/>
      <c r="G443" s="396"/>
      <c r="H443" s="396"/>
    </row>
    <row r="444" spans="1:8" s="397" customFormat="1" ht="14.25" customHeight="1" x14ac:dyDescent="0.25">
      <c r="A444" s="564">
        <v>228</v>
      </c>
      <c r="B444" s="570" t="s">
        <v>1743</v>
      </c>
      <c r="C444" s="570">
        <v>111863.95</v>
      </c>
      <c r="D444" s="396"/>
      <c r="E444" s="396"/>
      <c r="F444" s="396"/>
      <c r="G444" s="396"/>
      <c r="H444" s="396"/>
    </row>
    <row r="445" spans="1:8" s="397" customFormat="1" ht="14.25" customHeight="1" x14ac:dyDescent="0.25">
      <c r="A445" s="564">
        <v>229</v>
      </c>
      <c r="B445" s="570" t="s">
        <v>1744</v>
      </c>
      <c r="C445" s="570">
        <v>121300.8</v>
      </c>
      <c r="D445" s="396"/>
      <c r="E445" s="396"/>
      <c r="F445" s="396"/>
      <c r="G445" s="396"/>
      <c r="H445" s="396"/>
    </row>
    <row r="446" spans="1:8" s="397" customFormat="1" ht="14.25" customHeight="1" x14ac:dyDescent="0.25">
      <c r="A446" s="564">
        <v>230</v>
      </c>
      <c r="B446" s="570" t="s">
        <v>1745</v>
      </c>
      <c r="C446" s="570">
        <v>82972.5</v>
      </c>
      <c r="D446" s="396"/>
      <c r="E446" s="396"/>
      <c r="F446" s="396"/>
      <c r="G446" s="396"/>
      <c r="H446" s="396"/>
    </row>
    <row r="447" spans="1:8" s="397" customFormat="1" ht="14.25" customHeight="1" x14ac:dyDescent="0.25">
      <c r="A447" s="564">
        <v>232</v>
      </c>
      <c r="B447" s="570" t="s">
        <v>1746</v>
      </c>
      <c r="C447" s="570">
        <v>337713.45</v>
      </c>
      <c r="D447" s="396"/>
      <c r="E447" s="396"/>
      <c r="F447" s="396"/>
      <c r="G447" s="396"/>
      <c r="H447" s="396"/>
    </row>
    <row r="448" spans="1:8" s="397" customFormat="1" ht="14.25" customHeight="1" x14ac:dyDescent="0.25">
      <c r="A448" s="564">
        <v>234</v>
      </c>
      <c r="B448" s="570" t="s">
        <v>1747</v>
      </c>
      <c r="C448" s="570">
        <v>788771.26</v>
      </c>
      <c r="D448" s="396"/>
      <c r="E448" s="396"/>
      <c r="F448" s="396"/>
      <c r="G448" s="396"/>
      <c r="H448" s="396"/>
    </row>
    <row r="449" spans="1:8" s="397" customFormat="1" ht="14.25" customHeight="1" x14ac:dyDescent="0.25">
      <c r="A449" s="564">
        <v>236</v>
      </c>
      <c r="B449" s="570" t="s">
        <v>1748</v>
      </c>
      <c r="C449" s="570">
        <v>296803.58</v>
      </c>
      <c r="D449" s="396"/>
      <c r="E449" s="396"/>
      <c r="F449" s="396"/>
      <c r="G449" s="396"/>
      <c r="H449" s="396"/>
    </row>
    <row r="450" spans="1:8" s="397" customFormat="1" ht="14.25" customHeight="1" x14ac:dyDescent="0.25">
      <c r="A450" s="564">
        <v>237</v>
      </c>
      <c r="B450" s="570" t="s">
        <v>1749</v>
      </c>
      <c r="C450" s="570">
        <v>995170.54</v>
      </c>
      <c r="D450" s="396"/>
      <c r="E450" s="396"/>
      <c r="F450" s="396"/>
      <c r="G450" s="396"/>
      <c r="H450" s="396"/>
    </row>
    <row r="451" spans="1:8" s="397" customFormat="1" ht="14.25" customHeight="1" x14ac:dyDescent="0.25">
      <c r="A451" s="564">
        <v>238</v>
      </c>
      <c r="B451" s="570" t="s">
        <v>1750</v>
      </c>
      <c r="C451" s="570">
        <v>511293.52</v>
      </c>
      <c r="D451" s="396"/>
      <c r="E451" s="396"/>
      <c r="F451" s="396"/>
      <c r="G451" s="396"/>
      <c r="H451" s="396"/>
    </row>
    <row r="452" spans="1:8" s="397" customFormat="1" ht="14.25" customHeight="1" x14ac:dyDescent="0.25">
      <c r="A452" s="564">
        <v>239</v>
      </c>
      <c r="B452" s="570" t="s">
        <v>1751</v>
      </c>
      <c r="C452" s="570">
        <v>731249.5</v>
      </c>
      <c r="D452" s="396"/>
      <c r="E452" s="396"/>
      <c r="F452" s="396"/>
      <c r="G452" s="396"/>
      <c r="H452" s="396"/>
    </row>
    <row r="453" spans="1:8" s="397" customFormat="1" ht="14.25" customHeight="1" x14ac:dyDescent="0.25">
      <c r="A453" s="564">
        <v>240</v>
      </c>
      <c r="B453" s="570" t="s">
        <v>1752</v>
      </c>
      <c r="C453" s="570">
        <v>271244354</v>
      </c>
      <c r="D453" s="396"/>
      <c r="E453" s="396"/>
      <c r="F453" s="396"/>
      <c r="G453" s="396"/>
      <c r="H453" s="396"/>
    </row>
    <row r="454" spans="1:8" s="397" customFormat="1" ht="14.25" customHeight="1" x14ac:dyDescent="0.25">
      <c r="A454" s="564">
        <v>241</v>
      </c>
      <c r="B454" s="570" t="s">
        <v>1753</v>
      </c>
      <c r="C454" s="570">
        <v>185310</v>
      </c>
      <c r="D454" s="396"/>
      <c r="E454" s="396"/>
      <c r="F454" s="396"/>
      <c r="G454" s="396"/>
      <c r="H454" s="396"/>
    </row>
    <row r="455" spans="1:8" s="397" customFormat="1" ht="14.25" customHeight="1" x14ac:dyDescent="0.25">
      <c r="A455" s="564">
        <v>244</v>
      </c>
      <c r="B455" s="570" t="s">
        <v>1754</v>
      </c>
      <c r="C455" s="570">
        <v>101574</v>
      </c>
      <c r="D455" s="396"/>
      <c r="E455" s="396"/>
      <c r="F455" s="396"/>
      <c r="G455" s="396"/>
      <c r="H455" s="396"/>
    </row>
    <row r="456" spans="1:8" s="397" customFormat="1" ht="14.25" customHeight="1" x14ac:dyDescent="0.25">
      <c r="A456" s="564">
        <v>249</v>
      </c>
      <c r="B456" s="570" t="s">
        <v>1755</v>
      </c>
      <c r="C456" s="570">
        <v>190368.13</v>
      </c>
      <c r="D456" s="396"/>
      <c r="E456" s="396"/>
      <c r="F456" s="396"/>
      <c r="G456" s="396"/>
      <c r="H456" s="396"/>
    </row>
    <row r="457" spans="1:8" s="397" customFormat="1" ht="14.25" customHeight="1" x14ac:dyDescent="0.25">
      <c r="A457" s="564">
        <v>250</v>
      </c>
      <c r="B457" s="570" t="s">
        <v>1756</v>
      </c>
      <c r="C457" s="570">
        <v>43086.9</v>
      </c>
      <c r="D457" s="396"/>
      <c r="E457" s="396"/>
      <c r="F457" s="396"/>
      <c r="G457" s="396"/>
      <c r="H457" s="396"/>
    </row>
    <row r="458" spans="1:8" s="397" customFormat="1" ht="14.25" customHeight="1" x14ac:dyDescent="0.25">
      <c r="A458" s="564">
        <v>251</v>
      </c>
      <c r="B458" s="570" t="s">
        <v>1757</v>
      </c>
      <c r="C458" s="570">
        <v>1030463.25</v>
      </c>
      <c r="D458" s="396"/>
      <c r="E458" s="396"/>
      <c r="F458" s="396"/>
      <c r="G458" s="396"/>
      <c r="H458" s="396"/>
    </row>
    <row r="459" spans="1:8" s="397" customFormat="1" ht="14.25" customHeight="1" x14ac:dyDescent="0.25">
      <c r="A459" s="564">
        <v>252</v>
      </c>
      <c r="B459" s="570" t="s">
        <v>1758</v>
      </c>
      <c r="C459" s="570">
        <v>186223.87</v>
      </c>
      <c r="D459" s="396"/>
      <c r="E459" s="396"/>
      <c r="F459" s="396"/>
      <c r="G459" s="396"/>
      <c r="H459" s="396"/>
    </row>
    <row r="460" spans="1:8" s="397" customFormat="1" ht="14.25" customHeight="1" x14ac:dyDescent="0.25">
      <c r="A460" s="564">
        <v>253</v>
      </c>
      <c r="B460" s="570" t="s">
        <v>1759</v>
      </c>
      <c r="C460" s="570">
        <v>636640.62</v>
      </c>
      <c r="D460" s="396"/>
      <c r="E460" s="396"/>
      <c r="F460" s="396"/>
      <c r="G460" s="396"/>
      <c r="H460" s="396"/>
    </row>
    <row r="461" spans="1:8" s="397" customFormat="1" ht="14.25" customHeight="1" x14ac:dyDescent="0.25">
      <c r="A461" s="564">
        <v>254</v>
      </c>
      <c r="B461" s="570" t="s">
        <v>1760</v>
      </c>
      <c r="C461" s="570">
        <v>197317</v>
      </c>
      <c r="D461" s="396"/>
      <c r="E461" s="396"/>
      <c r="F461" s="396"/>
      <c r="G461" s="396"/>
      <c r="H461" s="396"/>
    </row>
    <row r="462" spans="1:8" s="397" customFormat="1" ht="14.25" customHeight="1" x14ac:dyDescent="0.25">
      <c r="A462" s="564">
        <v>263</v>
      </c>
      <c r="B462" s="570" t="s">
        <v>1761</v>
      </c>
      <c r="C462" s="570">
        <v>696779.01</v>
      </c>
      <c r="D462" s="396"/>
      <c r="E462" s="396"/>
      <c r="F462" s="396"/>
      <c r="G462" s="396"/>
      <c r="H462" s="396"/>
    </row>
    <row r="463" spans="1:8" s="397" customFormat="1" ht="14.25" customHeight="1" x14ac:dyDescent="0.25">
      <c r="A463" s="564">
        <v>264</v>
      </c>
      <c r="B463" s="570" t="s">
        <v>1762</v>
      </c>
      <c r="C463" s="570">
        <v>1081337.5</v>
      </c>
      <c r="D463" s="396"/>
      <c r="E463" s="396"/>
      <c r="F463" s="396"/>
      <c r="G463" s="396"/>
      <c r="H463" s="396"/>
    </row>
    <row r="464" spans="1:8" s="397" customFormat="1" ht="14.25" customHeight="1" x14ac:dyDescent="0.25">
      <c r="A464" s="564">
        <v>265</v>
      </c>
      <c r="B464" s="570" t="s">
        <v>1763</v>
      </c>
      <c r="C464" s="570">
        <v>825930</v>
      </c>
      <c r="D464" s="396"/>
      <c r="E464" s="396"/>
      <c r="F464" s="396"/>
      <c r="G464" s="396"/>
      <c r="H464" s="396"/>
    </row>
    <row r="465" spans="1:8" s="397" customFormat="1" ht="14.25" customHeight="1" x14ac:dyDescent="0.25">
      <c r="A465" s="564">
        <v>268</v>
      </c>
      <c r="B465" s="570" t="s">
        <v>1764</v>
      </c>
      <c r="C465" s="570">
        <v>81200</v>
      </c>
      <c r="D465" s="396"/>
      <c r="E465" s="396"/>
      <c r="F465" s="396"/>
      <c r="G465" s="396"/>
      <c r="H465" s="396"/>
    </row>
    <row r="466" spans="1:8" s="397" customFormat="1" ht="14.25" customHeight="1" x14ac:dyDescent="0.25">
      <c r="A466" s="564">
        <v>269</v>
      </c>
      <c r="B466" s="570" t="s">
        <v>1765</v>
      </c>
      <c r="C466" s="570">
        <v>1096680</v>
      </c>
      <c r="D466" s="396"/>
      <c r="E466" s="396"/>
      <c r="F466" s="396"/>
      <c r="G466" s="396"/>
      <c r="H466" s="396"/>
    </row>
    <row r="467" spans="1:8" s="397" customFormat="1" ht="14.25" customHeight="1" x14ac:dyDescent="0.25">
      <c r="A467" s="564">
        <v>270</v>
      </c>
      <c r="B467" s="570" t="s">
        <v>1766</v>
      </c>
      <c r="C467" s="570">
        <v>53070</v>
      </c>
      <c r="D467" s="396"/>
      <c r="E467" s="396"/>
      <c r="F467" s="396"/>
      <c r="G467" s="396"/>
      <c r="H467" s="396"/>
    </row>
    <row r="468" spans="1:8" s="397" customFormat="1" ht="14.25" customHeight="1" x14ac:dyDescent="0.25">
      <c r="A468" s="564">
        <v>271</v>
      </c>
      <c r="B468" s="570" t="s">
        <v>1767</v>
      </c>
      <c r="C468" s="570">
        <v>506732.1</v>
      </c>
      <c r="D468" s="396"/>
      <c r="E468" s="396"/>
      <c r="F468" s="396"/>
      <c r="G468" s="396"/>
      <c r="H468" s="396"/>
    </row>
    <row r="469" spans="1:8" s="397" customFormat="1" ht="14.25" customHeight="1" x14ac:dyDescent="0.25">
      <c r="A469" s="564">
        <v>272</v>
      </c>
      <c r="B469" s="570" t="s">
        <v>1768</v>
      </c>
      <c r="C469" s="570">
        <v>275444.40000000002</v>
      </c>
      <c r="D469" s="396"/>
      <c r="E469" s="396"/>
      <c r="F469" s="396"/>
      <c r="G469" s="396"/>
      <c r="H469" s="396"/>
    </row>
    <row r="470" spans="1:8" s="397" customFormat="1" ht="14.25" customHeight="1" x14ac:dyDescent="0.25">
      <c r="A470" s="564">
        <v>274</v>
      </c>
      <c r="B470" s="570" t="s">
        <v>1769</v>
      </c>
      <c r="C470" s="570">
        <v>166439.5</v>
      </c>
      <c r="D470" s="396"/>
      <c r="E470" s="396"/>
      <c r="F470" s="396"/>
      <c r="G470" s="396"/>
      <c r="H470" s="396"/>
    </row>
    <row r="471" spans="1:8" s="397" customFormat="1" ht="14.25" customHeight="1" x14ac:dyDescent="0.25">
      <c r="A471" s="564">
        <v>276</v>
      </c>
      <c r="B471" s="570" t="s">
        <v>1770</v>
      </c>
      <c r="C471" s="570">
        <v>71775</v>
      </c>
      <c r="D471" s="396"/>
      <c r="E471" s="396"/>
      <c r="F471" s="396"/>
      <c r="G471" s="396"/>
      <c r="H471" s="396"/>
    </row>
    <row r="472" spans="1:8" s="397" customFormat="1" ht="14.25" customHeight="1" x14ac:dyDescent="0.25">
      <c r="A472" s="564">
        <v>277</v>
      </c>
      <c r="B472" s="570" t="s">
        <v>1771</v>
      </c>
      <c r="C472" s="570">
        <v>80962</v>
      </c>
      <c r="D472" s="396"/>
      <c r="E472" s="396"/>
      <c r="F472" s="396"/>
      <c r="G472" s="396"/>
      <c r="H472" s="396"/>
    </row>
    <row r="473" spans="1:8" s="397" customFormat="1" ht="14.25" customHeight="1" x14ac:dyDescent="0.25">
      <c r="A473" s="564">
        <v>278</v>
      </c>
      <c r="B473" s="570" t="s">
        <v>1772</v>
      </c>
      <c r="C473" s="570">
        <v>173040.5</v>
      </c>
      <c r="D473" s="396"/>
      <c r="E473" s="396"/>
      <c r="F473" s="396"/>
      <c r="G473" s="396"/>
      <c r="H473" s="396"/>
    </row>
    <row r="474" spans="1:8" s="397" customFormat="1" ht="14.25" customHeight="1" x14ac:dyDescent="0.25">
      <c r="A474" s="564">
        <v>279</v>
      </c>
      <c r="B474" s="570" t="s">
        <v>1773</v>
      </c>
      <c r="C474" s="570">
        <v>790006.05</v>
      </c>
      <c r="D474" s="396"/>
      <c r="E474" s="396"/>
      <c r="F474" s="396"/>
      <c r="G474" s="396"/>
      <c r="H474" s="396"/>
    </row>
    <row r="475" spans="1:8" s="397" customFormat="1" ht="14.25" customHeight="1" x14ac:dyDescent="0.25">
      <c r="A475" s="564">
        <v>287</v>
      </c>
      <c r="B475" s="570" t="s">
        <v>1774</v>
      </c>
      <c r="C475" s="570">
        <v>842000</v>
      </c>
      <c r="D475" s="396"/>
      <c r="E475" s="396"/>
      <c r="F475" s="396"/>
      <c r="G475" s="396"/>
      <c r="H475" s="396"/>
    </row>
    <row r="476" spans="1:8" s="397" customFormat="1" ht="14.25" customHeight="1" x14ac:dyDescent="0.25">
      <c r="A476" s="564">
        <v>289</v>
      </c>
      <c r="B476" s="570" t="s">
        <v>1775</v>
      </c>
      <c r="C476" s="570">
        <v>899925</v>
      </c>
      <c r="D476" s="396"/>
      <c r="E476" s="396"/>
      <c r="F476" s="396"/>
      <c r="G476" s="396"/>
      <c r="H476" s="396"/>
    </row>
    <row r="477" spans="1:8" s="397" customFormat="1" ht="14.25" customHeight="1" x14ac:dyDescent="0.25">
      <c r="A477" s="564">
        <v>290</v>
      </c>
      <c r="B477" s="570" t="s">
        <v>1776</v>
      </c>
      <c r="C477" s="570">
        <v>268281.25</v>
      </c>
      <c r="D477" s="396"/>
      <c r="E477" s="396"/>
      <c r="F477" s="396"/>
      <c r="G477" s="396"/>
      <c r="H477" s="396"/>
    </row>
    <row r="478" spans="1:8" s="397" customFormat="1" ht="14.25" customHeight="1" x14ac:dyDescent="0.25">
      <c r="A478" s="564">
        <v>291</v>
      </c>
      <c r="B478" s="570" t="s">
        <v>1777</v>
      </c>
      <c r="C478" s="570">
        <v>522265.49</v>
      </c>
      <c r="D478" s="396"/>
      <c r="E478" s="396"/>
      <c r="F478" s="396"/>
      <c r="G478" s="396"/>
      <c r="H478" s="396"/>
    </row>
    <row r="479" spans="1:8" s="397" customFormat="1" ht="14.25" customHeight="1" x14ac:dyDescent="0.25">
      <c r="A479" s="564">
        <v>292</v>
      </c>
      <c r="B479" s="570" t="s">
        <v>1778</v>
      </c>
      <c r="C479" s="570">
        <v>1303834.95</v>
      </c>
      <c r="D479" s="396"/>
      <c r="E479" s="396"/>
      <c r="F479" s="396"/>
      <c r="G479" s="396"/>
      <c r="H479" s="396"/>
    </row>
    <row r="480" spans="1:8" s="397" customFormat="1" ht="14.25" customHeight="1" x14ac:dyDescent="0.25">
      <c r="A480" s="564">
        <v>293</v>
      </c>
      <c r="B480" s="570" t="s">
        <v>1779</v>
      </c>
      <c r="C480" s="570">
        <v>401544</v>
      </c>
      <c r="D480" s="396"/>
      <c r="E480" s="396"/>
      <c r="F480" s="396"/>
      <c r="G480" s="396"/>
      <c r="H480" s="396"/>
    </row>
    <row r="481" spans="1:8" s="397" customFormat="1" ht="14.25" customHeight="1" x14ac:dyDescent="0.25">
      <c r="A481" s="564">
        <v>295</v>
      </c>
      <c r="B481" s="570" t="s">
        <v>1780</v>
      </c>
      <c r="C481" s="570">
        <v>658560</v>
      </c>
      <c r="D481" s="396"/>
      <c r="E481" s="396"/>
      <c r="F481" s="396"/>
      <c r="G481" s="396"/>
      <c r="H481" s="396"/>
    </row>
    <row r="482" spans="1:8" s="397" customFormat="1" ht="14.25" customHeight="1" x14ac:dyDescent="0.25">
      <c r="A482" s="564">
        <v>298</v>
      </c>
      <c r="B482" s="570" t="s">
        <v>1781</v>
      </c>
      <c r="C482" s="570">
        <v>131040</v>
      </c>
      <c r="D482" s="396"/>
      <c r="E482" s="396"/>
      <c r="F482" s="396"/>
      <c r="G482" s="396"/>
      <c r="H482" s="396"/>
    </row>
    <row r="483" spans="1:8" s="397" customFormat="1" ht="14.25" customHeight="1" x14ac:dyDescent="0.25">
      <c r="A483" s="564">
        <v>299</v>
      </c>
      <c r="B483" s="570" t="s">
        <v>1782</v>
      </c>
      <c r="C483" s="570">
        <v>441605.53</v>
      </c>
      <c r="D483" s="396"/>
      <c r="E483" s="396"/>
      <c r="F483" s="396"/>
      <c r="G483" s="396"/>
      <c r="H483" s="396"/>
    </row>
    <row r="484" spans="1:8" s="397" customFormat="1" ht="14.25" customHeight="1" x14ac:dyDescent="0.25">
      <c r="A484" s="564">
        <v>300</v>
      </c>
      <c r="B484" s="570" t="s">
        <v>1783</v>
      </c>
      <c r="C484" s="570">
        <v>200907</v>
      </c>
      <c r="D484" s="396"/>
      <c r="E484" s="396"/>
      <c r="F484" s="396"/>
      <c r="G484" s="396"/>
      <c r="H484" s="396"/>
    </row>
    <row r="485" spans="1:8" s="397" customFormat="1" ht="14.25" customHeight="1" x14ac:dyDescent="0.25">
      <c r="A485" s="564">
        <v>301</v>
      </c>
      <c r="B485" s="570" t="s">
        <v>1784</v>
      </c>
      <c r="C485" s="570">
        <v>229600</v>
      </c>
      <c r="D485" s="396"/>
      <c r="E485" s="396"/>
      <c r="F485" s="396"/>
      <c r="G485" s="396"/>
      <c r="H485" s="396"/>
    </row>
    <row r="486" spans="1:8" s="397" customFormat="1" ht="14.25" customHeight="1" x14ac:dyDescent="0.25">
      <c r="A486" s="564">
        <v>302</v>
      </c>
      <c r="B486" s="570" t="s">
        <v>1785</v>
      </c>
      <c r="C486" s="570">
        <v>426238.75</v>
      </c>
      <c r="D486" s="396"/>
      <c r="E486" s="396"/>
      <c r="F486" s="396"/>
      <c r="G486" s="396"/>
      <c r="H486" s="396"/>
    </row>
    <row r="487" spans="1:8" s="397" customFormat="1" ht="14.25" customHeight="1" x14ac:dyDescent="0.25">
      <c r="A487" s="564">
        <v>303</v>
      </c>
      <c r="B487" s="570" t="s">
        <v>1786</v>
      </c>
      <c r="C487" s="570">
        <v>552951</v>
      </c>
      <c r="D487" s="396"/>
      <c r="E487" s="396"/>
      <c r="F487" s="396"/>
      <c r="G487" s="396"/>
      <c r="H487" s="396"/>
    </row>
    <row r="488" spans="1:8" s="397" customFormat="1" ht="14.25" customHeight="1" x14ac:dyDescent="0.25">
      <c r="A488" s="564">
        <v>304</v>
      </c>
      <c r="B488" s="570" t="s">
        <v>1787</v>
      </c>
      <c r="C488" s="570">
        <v>258950.3</v>
      </c>
      <c r="D488" s="396"/>
      <c r="E488" s="396"/>
      <c r="F488" s="396"/>
      <c r="G488" s="396"/>
      <c r="H488" s="396"/>
    </row>
    <row r="489" spans="1:8" s="397" customFormat="1" ht="14.25" customHeight="1" x14ac:dyDescent="0.25">
      <c r="A489" s="564">
        <v>305</v>
      </c>
      <c r="B489" s="570" t="s">
        <v>1788</v>
      </c>
      <c r="C489" s="570">
        <v>21067942.5</v>
      </c>
      <c r="D489" s="396"/>
      <c r="E489" s="396"/>
      <c r="F489" s="396"/>
      <c r="G489" s="396"/>
      <c r="H489" s="396"/>
    </row>
    <row r="490" spans="1:8" s="397" customFormat="1" ht="14.25" customHeight="1" x14ac:dyDescent="0.25">
      <c r="A490" s="564">
        <v>314</v>
      </c>
      <c r="B490" s="570" t="s">
        <v>1789</v>
      </c>
      <c r="C490" s="570">
        <v>776470.8</v>
      </c>
      <c r="D490" s="396"/>
      <c r="E490" s="396"/>
      <c r="F490" s="396"/>
      <c r="G490" s="396"/>
      <c r="H490" s="396"/>
    </row>
    <row r="491" spans="1:8" s="397" customFormat="1" ht="14.25" customHeight="1" x14ac:dyDescent="0.25">
      <c r="A491" s="564">
        <v>315</v>
      </c>
      <c r="B491" s="570" t="s">
        <v>1790</v>
      </c>
      <c r="C491" s="570">
        <v>988546.56000000006</v>
      </c>
      <c r="D491" s="396"/>
      <c r="E491" s="396"/>
      <c r="F491" s="396"/>
      <c r="G491" s="396"/>
      <c r="H491" s="396"/>
    </row>
    <row r="492" spans="1:8" s="397" customFormat="1" ht="14.25" customHeight="1" x14ac:dyDescent="0.25">
      <c r="A492" s="564">
        <v>316</v>
      </c>
      <c r="B492" s="570" t="s">
        <v>1791</v>
      </c>
      <c r="C492" s="570">
        <v>985530</v>
      </c>
      <c r="D492" s="396"/>
      <c r="E492" s="396"/>
      <c r="F492" s="396"/>
      <c r="G492" s="396"/>
      <c r="H492" s="396"/>
    </row>
    <row r="493" spans="1:8" s="397" customFormat="1" ht="14.25" customHeight="1" x14ac:dyDescent="0.25">
      <c r="A493" s="564">
        <v>321</v>
      </c>
      <c r="B493" s="570" t="s">
        <v>1792</v>
      </c>
      <c r="C493" s="570">
        <v>251380.8</v>
      </c>
      <c r="D493" s="396"/>
      <c r="E493" s="396"/>
      <c r="F493" s="396"/>
      <c r="G493" s="396"/>
      <c r="H493" s="396"/>
    </row>
    <row r="494" spans="1:8" s="397" customFormat="1" ht="14.25" customHeight="1" x14ac:dyDescent="0.25">
      <c r="A494" s="564">
        <v>322</v>
      </c>
      <c r="B494" s="570" t="s">
        <v>1793</v>
      </c>
      <c r="C494" s="570">
        <v>94392</v>
      </c>
      <c r="D494" s="396"/>
      <c r="E494" s="396"/>
      <c r="F494" s="396"/>
      <c r="G494" s="396"/>
      <c r="H494" s="396"/>
    </row>
    <row r="495" spans="1:8" s="397" customFormat="1" ht="14.25" customHeight="1" x14ac:dyDescent="0.25">
      <c r="A495" s="564">
        <v>324</v>
      </c>
      <c r="B495" s="570" t="s">
        <v>1794</v>
      </c>
      <c r="C495" s="570">
        <v>736470</v>
      </c>
      <c r="D495" s="396"/>
      <c r="E495" s="396"/>
      <c r="F495" s="396"/>
      <c r="G495" s="396"/>
      <c r="H495" s="396"/>
    </row>
    <row r="496" spans="1:8" s="397" customFormat="1" ht="14.25" customHeight="1" x14ac:dyDescent="0.25">
      <c r="A496" s="564">
        <v>325</v>
      </c>
      <c r="B496" s="570" t="s">
        <v>1795</v>
      </c>
      <c r="C496" s="570">
        <v>1247548.75</v>
      </c>
      <c r="D496" s="396"/>
      <c r="E496" s="396"/>
      <c r="F496" s="396"/>
      <c r="G496" s="396"/>
      <c r="H496" s="396"/>
    </row>
    <row r="497" spans="1:8" s="397" customFormat="1" ht="14.25" customHeight="1" x14ac:dyDescent="0.25">
      <c r="A497" s="564">
        <v>326</v>
      </c>
      <c r="B497" s="570" t="s">
        <v>1796</v>
      </c>
      <c r="C497" s="570">
        <v>672000</v>
      </c>
      <c r="D497" s="396"/>
      <c r="E497" s="396"/>
      <c r="F497" s="396"/>
      <c r="G497" s="396"/>
      <c r="H497" s="396"/>
    </row>
    <row r="498" spans="1:8" s="397" customFormat="1" ht="14.25" customHeight="1" x14ac:dyDescent="0.25">
      <c r="A498" s="564">
        <v>327</v>
      </c>
      <c r="B498" s="570" t="s">
        <v>1797</v>
      </c>
      <c r="C498" s="570">
        <v>1549509.5</v>
      </c>
      <c r="D498" s="396"/>
      <c r="E498" s="396"/>
      <c r="F498" s="396"/>
      <c r="G498" s="396"/>
      <c r="H498" s="396"/>
    </row>
    <row r="499" spans="1:8" s="397" customFormat="1" ht="14.25" customHeight="1" x14ac:dyDescent="0.25">
      <c r="A499" s="564">
        <v>328</v>
      </c>
      <c r="B499" s="570" t="s">
        <v>1798</v>
      </c>
      <c r="C499" s="570">
        <v>533911.42000000004</v>
      </c>
      <c r="D499" s="396"/>
      <c r="E499" s="396"/>
      <c r="F499" s="396"/>
      <c r="G499" s="396"/>
      <c r="H499" s="396"/>
    </row>
    <row r="500" spans="1:8" s="397" customFormat="1" ht="14.25" customHeight="1" x14ac:dyDescent="0.25">
      <c r="A500" s="564">
        <v>329</v>
      </c>
      <c r="B500" s="570" t="s">
        <v>1799</v>
      </c>
      <c r="C500" s="570">
        <v>307643.40000000002</v>
      </c>
      <c r="D500" s="396"/>
      <c r="E500" s="396"/>
      <c r="F500" s="396"/>
      <c r="G500" s="396"/>
      <c r="H500" s="396"/>
    </row>
    <row r="501" spans="1:8" s="397" customFormat="1" ht="14.25" customHeight="1" x14ac:dyDescent="0.25">
      <c r="A501" s="564">
        <v>331</v>
      </c>
      <c r="B501" s="570" t="s">
        <v>1800</v>
      </c>
      <c r="C501" s="570">
        <v>196399.5</v>
      </c>
      <c r="D501" s="396"/>
      <c r="E501" s="396"/>
      <c r="F501" s="396"/>
      <c r="G501" s="396"/>
      <c r="H501" s="396"/>
    </row>
    <row r="502" spans="1:8" s="397" customFormat="1" ht="14.25" customHeight="1" x14ac:dyDescent="0.25">
      <c r="A502" s="564">
        <v>332</v>
      </c>
      <c r="B502" s="570" t="s">
        <v>1801</v>
      </c>
      <c r="C502" s="570">
        <v>957654.31</v>
      </c>
      <c r="D502" s="396"/>
      <c r="E502" s="396"/>
      <c r="F502" s="396"/>
      <c r="G502" s="396"/>
      <c r="H502" s="396"/>
    </row>
    <row r="503" spans="1:8" s="397" customFormat="1" ht="14.25" customHeight="1" x14ac:dyDescent="0.25">
      <c r="A503" s="564">
        <v>340</v>
      </c>
      <c r="B503" s="570" t="s">
        <v>1802</v>
      </c>
      <c r="C503" s="570">
        <v>2964073</v>
      </c>
      <c r="D503" s="396"/>
      <c r="E503" s="396"/>
      <c r="F503" s="396"/>
      <c r="G503" s="396"/>
      <c r="H503" s="396"/>
    </row>
    <row r="504" spans="1:8" s="397" customFormat="1" ht="14.25" customHeight="1" x14ac:dyDescent="0.25">
      <c r="A504" s="564">
        <v>341</v>
      </c>
      <c r="B504" s="570" t="s">
        <v>1803</v>
      </c>
      <c r="C504" s="570">
        <v>348600</v>
      </c>
      <c r="D504" s="396"/>
      <c r="E504" s="396"/>
      <c r="F504" s="396"/>
      <c r="G504" s="396"/>
      <c r="H504" s="396"/>
    </row>
    <row r="505" spans="1:8" s="397" customFormat="1" ht="14.25" customHeight="1" x14ac:dyDescent="0.25">
      <c r="A505" s="564">
        <v>348</v>
      </c>
      <c r="B505" s="570" t="s">
        <v>1804</v>
      </c>
      <c r="C505" s="570">
        <v>112094.5</v>
      </c>
      <c r="D505" s="396"/>
      <c r="E505" s="396"/>
      <c r="F505" s="396"/>
      <c r="G505" s="396"/>
      <c r="H505" s="396"/>
    </row>
    <row r="506" spans="1:8" s="397" customFormat="1" ht="14.25" customHeight="1" x14ac:dyDescent="0.25">
      <c r="A506" s="564">
        <v>349</v>
      </c>
      <c r="B506" s="570" t="s">
        <v>1805</v>
      </c>
      <c r="C506" s="570">
        <v>487350</v>
      </c>
      <c r="D506" s="396"/>
      <c r="E506" s="396"/>
      <c r="F506" s="396"/>
      <c r="G506" s="396"/>
      <c r="H506" s="396"/>
    </row>
    <row r="507" spans="1:8" s="397" customFormat="1" ht="14.25" customHeight="1" x14ac:dyDescent="0.25">
      <c r="A507" s="564">
        <v>350</v>
      </c>
      <c r="B507" s="570" t="s">
        <v>1806</v>
      </c>
      <c r="C507" s="570">
        <v>46330</v>
      </c>
      <c r="D507" s="396"/>
      <c r="E507" s="396"/>
      <c r="F507" s="396"/>
      <c r="G507" s="396"/>
      <c r="H507" s="396"/>
    </row>
    <row r="508" spans="1:8" s="397" customFormat="1" ht="14.25" customHeight="1" x14ac:dyDescent="0.25">
      <c r="A508" s="564">
        <v>353</v>
      </c>
      <c r="B508" s="570" t="s">
        <v>1807</v>
      </c>
      <c r="C508" s="570">
        <v>752543.97</v>
      </c>
      <c r="D508" s="396"/>
      <c r="E508" s="396"/>
      <c r="F508" s="396"/>
      <c r="G508" s="396"/>
      <c r="H508" s="396"/>
    </row>
    <row r="509" spans="1:8" s="397" customFormat="1" ht="14.25" customHeight="1" x14ac:dyDescent="0.25">
      <c r="A509" s="564">
        <v>354</v>
      </c>
      <c r="B509" s="570" t="s">
        <v>1808</v>
      </c>
      <c r="C509" s="570">
        <v>1098628.1299999999</v>
      </c>
      <c r="D509" s="396"/>
      <c r="E509" s="396"/>
      <c r="F509" s="396"/>
      <c r="G509" s="396"/>
      <c r="H509" s="396"/>
    </row>
    <row r="510" spans="1:8" s="397" customFormat="1" ht="14.25" customHeight="1" x14ac:dyDescent="0.25">
      <c r="A510" s="564">
        <v>355</v>
      </c>
      <c r="B510" s="570" t="s">
        <v>1809</v>
      </c>
      <c r="C510" s="570">
        <v>6218964.0499999998</v>
      </c>
      <c r="D510" s="396"/>
      <c r="E510" s="396"/>
      <c r="F510" s="396"/>
      <c r="G510" s="396"/>
      <c r="H510" s="396"/>
    </row>
    <row r="511" spans="1:8" s="397" customFormat="1" ht="14.25" customHeight="1" x14ac:dyDescent="0.25">
      <c r="A511" s="564">
        <v>356</v>
      </c>
      <c r="B511" s="570" t="s">
        <v>1810</v>
      </c>
      <c r="C511" s="570">
        <v>230772.15</v>
      </c>
      <c r="D511" s="396"/>
      <c r="E511" s="396"/>
      <c r="F511" s="396"/>
      <c r="G511" s="396"/>
      <c r="H511" s="396"/>
    </row>
    <row r="512" spans="1:8" s="397" customFormat="1" ht="14.25" customHeight="1" x14ac:dyDescent="0.25">
      <c r="A512" s="564">
        <v>357</v>
      </c>
      <c r="B512" s="570" t="s">
        <v>1811</v>
      </c>
      <c r="C512" s="570">
        <v>146185.20000000001</v>
      </c>
      <c r="D512" s="396"/>
      <c r="E512" s="396"/>
      <c r="F512" s="396"/>
      <c r="G512" s="396"/>
      <c r="H512" s="396"/>
    </row>
    <row r="513" spans="1:8" s="397" customFormat="1" ht="14.25" customHeight="1" x14ac:dyDescent="0.25">
      <c r="A513" s="564">
        <v>358</v>
      </c>
      <c r="B513" s="570" t="s">
        <v>1812</v>
      </c>
      <c r="C513" s="570">
        <v>431184.6</v>
      </c>
      <c r="D513" s="396"/>
      <c r="E513" s="396"/>
      <c r="F513" s="396"/>
      <c r="G513" s="396"/>
      <c r="H513" s="396"/>
    </row>
    <row r="514" spans="1:8" s="397" customFormat="1" ht="14.25" customHeight="1" x14ac:dyDescent="0.25">
      <c r="A514" s="564">
        <v>359</v>
      </c>
      <c r="B514" s="570" t="s">
        <v>1813</v>
      </c>
      <c r="C514" s="570">
        <v>86112</v>
      </c>
      <c r="D514" s="396"/>
      <c r="E514" s="396"/>
      <c r="F514" s="396"/>
      <c r="G514" s="396"/>
      <c r="H514" s="396"/>
    </row>
    <row r="515" spans="1:8" s="397" customFormat="1" ht="14.25" customHeight="1" x14ac:dyDescent="0.25">
      <c r="A515" s="564">
        <v>360</v>
      </c>
      <c r="B515" s="570" t="s">
        <v>2003</v>
      </c>
      <c r="C515" s="570">
        <v>917799.19</v>
      </c>
      <c r="D515" s="396"/>
      <c r="E515" s="396"/>
      <c r="F515" s="396"/>
      <c r="G515" s="396"/>
      <c r="H515" s="396"/>
    </row>
    <row r="516" spans="1:8" s="397" customFormat="1" ht="14.25" customHeight="1" x14ac:dyDescent="0.25">
      <c r="A516" s="564">
        <v>361</v>
      </c>
      <c r="B516" s="570" t="s">
        <v>2004</v>
      </c>
      <c r="C516" s="570">
        <v>164709.44</v>
      </c>
      <c r="D516" s="396"/>
      <c r="E516" s="396"/>
      <c r="F516" s="396"/>
      <c r="G516" s="396"/>
      <c r="H516" s="396"/>
    </row>
    <row r="517" spans="1:8" s="397" customFormat="1" ht="14.25" customHeight="1" x14ac:dyDescent="0.25">
      <c r="A517" s="564">
        <v>370</v>
      </c>
      <c r="B517" s="570" t="s">
        <v>1814</v>
      </c>
      <c r="C517" s="570">
        <v>61061.3</v>
      </c>
      <c r="D517" s="396"/>
      <c r="E517" s="396"/>
      <c r="F517" s="396"/>
      <c r="G517" s="396"/>
      <c r="H517" s="396"/>
    </row>
    <row r="518" spans="1:8" s="397" customFormat="1" ht="14.25" customHeight="1" x14ac:dyDescent="0.25">
      <c r="A518" s="564">
        <v>371</v>
      </c>
      <c r="B518" s="570" t="s">
        <v>1815</v>
      </c>
      <c r="C518" s="570">
        <v>49056.5</v>
      </c>
      <c r="D518" s="396"/>
      <c r="E518" s="396"/>
      <c r="F518" s="396"/>
      <c r="G518" s="396"/>
      <c r="H518" s="396"/>
    </row>
    <row r="519" spans="1:8" s="397" customFormat="1" ht="14.25" customHeight="1" x14ac:dyDescent="0.25">
      <c r="A519" s="564">
        <v>372</v>
      </c>
      <c r="B519" s="570" t="s">
        <v>1816</v>
      </c>
      <c r="C519" s="570">
        <v>57072</v>
      </c>
      <c r="D519" s="396"/>
      <c r="E519" s="396"/>
      <c r="F519" s="396"/>
      <c r="G519" s="396"/>
      <c r="H519" s="396"/>
    </row>
    <row r="520" spans="1:8" s="397" customFormat="1" ht="14.25" customHeight="1" x14ac:dyDescent="0.25">
      <c r="A520" s="564">
        <v>373</v>
      </c>
      <c r="B520" s="570" t="s">
        <v>1817</v>
      </c>
      <c r="C520" s="570">
        <v>42098.8</v>
      </c>
      <c r="D520" s="396"/>
      <c r="E520" s="396"/>
      <c r="F520" s="396"/>
      <c r="G520" s="396"/>
      <c r="H520" s="396"/>
    </row>
    <row r="521" spans="1:8" s="397" customFormat="1" ht="14.25" customHeight="1" x14ac:dyDescent="0.25">
      <c r="A521" s="564">
        <v>374</v>
      </c>
      <c r="B521" s="570" t="s">
        <v>1818</v>
      </c>
      <c r="C521" s="570">
        <v>63295.8</v>
      </c>
      <c r="D521" s="396"/>
      <c r="E521" s="396"/>
      <c r="F521" s="396"/>
      <c r="G521" s="396"/>
      <c r="H521" s="396"/>
    </row>
    <row r="522" spans="1:8" s="397" customFormat="1" ht="14.25" customHeight="1" x14ac:dyDescent="0.25">
      <c r="A522" s="564">
        <v>375</v>
      </c>
      <c r="B522" s="570" t="s">
        <v>1819</v>
      </c>
      <c r="C522" s="570">
        <v>124246.39999999999</v>
      </c>
      <c r="D522" s="396"/>
      <c r="E522" s="396"/>
      <c r="F522" s="396"/>
      <c r="G522" s="396"/>
      <c r="H522" s="396"/>
    </row>
    <row r="523" spans="1:8" s="397" customFormat="1" ht="14.25" customHeight="1" x14ac:dyDescent="0.25">
      <c r="A523" s="564">
        <v>377</v>
      </c>
      <c r="B523" s="570" t="s">
        <v>1820</v>
      </c>
      <c r="C523" s="570">
        <v>126798</v>
      </c>
      <c r="D523" s="396"/>
      <c r="E523" s="396"/>
      <c r="F523" s="396"/>
      <c r="G523" s="396"/>
      <c r="H523" s="396"/>
    </row>
    <row r="524" spans="1:8" s="397" customFormat="1" ht="14.25" customHeight="1" x14ac:dyDescent="0.25">
      <c r="A524" s="564">
        <v>378</v>
      </c>
      <c r="B524" s="570" t="s">
        <v>1821</v>
      </c>
      <c r="C524" s="570">
        <v>165730.95000000001</v>
      </c>
      <c r="D524" s="396"/>
      <c r="E524" s="396"/>
      <c r="F524" s="396"/>
      <c r="G524" s="396"/>
      <c r="H524" s="396"/>
    </row>
    <row r="525" spans="1:8" s="397" customFormat="1" ht="14.25" customHeight="1" x14ac:dyDescent="0.25">
      <c r="A525" s="564">
        <v>380</v>
      </c>
      <c r="B525" s="570" t="s">
        <v>1822</v>
      </c>
      <c r="C525" s="570">
        <v>554827</v>
      </c>
      <c r="D525" s="396"/>
      <c r="E525" s="396"/>
      <c r="F525" s="396"/>
      <c r="G525" s="396"/>
      <c r="H525" s="396"/>
    </row>
    <row r="526" spans="1:8" s="397" customFormat="1" ht="14.25" customHeight="1" x14ac:dyDescent="0.25">
      <c r="A526" s="564">
        <v>381</v>
      </c>
      <c r="B526" s="570" t="s">
        <v>1823</v>
      </c>
      <c r="C526" s="570">
        <v>425048</v>
      </c>
      <c r="D526" s="396"/>
      <c r="E526" s="396"/>
      <c r="F526" s="396"/>
      <c r="G526" s="396"/>
      <c r="H526" s="396"/>
    </row>
    <row r="527" spans="1:8" s="397" customFormat="1" ht="14.25" customHeight="1" x14ac:dyDescent="0.25">
      <c r="A527" s="564">
        <v>382</v>
      </c>
      <c r="B527" s="570" t="s">
        <v>1824</v>
      </c>
      <c r="C527" s="570">
        <v>715811.25</v>
      </c>
      <c r="D527" s="396"/>
      <c r="E527" s="396"/>
      <c r="F527" s="396"/>
      <c r="G527" s="396"/>
      <c r="H527" s="396"/>
    </row>
    <row r="528" spans="1:8" s="397" customFormat="1" ht="14.25" customHeight="1" x14ac:dyDescent="0.25">
      <c r="A528" s="564">
        <v>383</v>
      </c>
      <c r="B528" s="570" t="s">
        <v>1825</v>
      </c>
      <c r="C528" s="570">
        <v>717235.84</v>
      </c>
      <c r="D528" s="396"/>
      <c r="E528" s="396"/>
      <c r="F528" s="396"/>
      <c r="G528" s="396"/>
      <c r="H528" s="396"/>
    </row>
    <row r="529" spans="1:8" s="397" customFormat="1" ht="14.25" customHeight="1" x14ac:dyDescent="0.25">
      <c r="A529" s="564">
        <v>387</v>
      </c>
      <c r="B529" s="570" t="s">
        <v>1826</v>
      </c>
      <c r="C529" s="570">
        <v>472153.35</v>
      </c>
      <c r="D529" s="396"/>
      <c r="E529" s="396"/>
      <c r="F529" s="396"/>
      <c r="G529" s="396"/>
      <c r="H529" s="396"/>
    </row>
    <row r="530" spans="1:8" s="397" customFormat="1" ht="14.25" customHeight="1" x14ac:dyDescent="0.25">
      <c r="A530" s="564">
        <v>388</v>
      </c>
      <c r="B530" s="570" t="s">
        <v>1827</v>
      </c>
      <c r="C530" s="570">
        <v>192937.8</v>
      </c>
      <c r="D530" s="396"/>
      <c r="E530" s="396"/>
      <c r="F530" s="396"/>
      <c r="G530" s="396"/>
      <c r="H530" s="396"/>
    </row>
    <row r="531" spans="1:8" s="397" customFormat="1" ht="14.25" customHeight="1" x14ac:dyDescent="0.25">
      <c r="A531" s="564">
        <v>389</v>
      </c>
      <c r="B531" s="570" t="s">
        <v>1828</v>
      </c>
      <c r="C531" s="570">
        <v>665560.07999999996</v>
      </c>
      <c r="D531" s="396"/>
      <c r="E531" s="396"/>
      <c r="F531" s="396"/>
      <c r="G531" s="396"/>
      <c r="H531" s="396"/>
    </row>
    <row r="532" spans="1:8" s="397" customFormat="1" ht="14.25" customHeight="1" x14ac:dyDescent="0.25">
      <c r="A532" s="564">
        <v>390</v>
      </c>
      <c r="B532" s="570" t="s">
        <v>1829</v>
      </c>
      <c r="C532" s="570">
        <v>616592.79</v>
      </c>
      <c r="D532" s="396"/>
      <c r="E532" s="396"/>
      <c r="F532" s="396"/>
      <c r="G532" s="396"/>
      <c r="H532" s="396"/>
    </row>
    <row r="533" spans="1:8" s="397" customFormat="1" ht="14.25" customHeight="1" x14ac:dyDescent="0.25">
      <c r="A533" s="564">
        <v>391</v>
      </c>
      <c r="B533" s="570" t="s">
        <v>1830</v>
      </c>
      <c r="C533" s="570">
        <v>57500</v>
      </c>
      <c r="D533" s="396"/>
      <c r="E533" s="396"/>
      <c r="F533" s="396"/>
      <c r="G533" s="396"/>
      <c r="H533" s="396"/>
    </row>
    <row r="534" spans="1:8" s="397" customFormat="1" ht="14.25" customHeight="1" x14ac:dyDescent="0.25">
      <c r="A534" s="564">
        <v>392</v>
      </c>
      <c r="B534" s="570" t="s">
        <v>1831</v>
      </c>
      <c r="C534" s="570">
        <v>59800</v>
      </c>
      <c r="D534" s="396"/>
      <c r="E534" s="396"/>
      <c r="F534" s="396"/>
      <c r="G534" s="396"/>
      <c r="H534" s="396"/>
    </row>
    <row r="535" spans="1:8" s="397" customFormat="1" ht="14.25" customHeight="1" x14ac:dyDescent="0.25">
      <c r="A535" s="564">
        <v>393</v>
      </c>
      <c r="B535" s="570" t="s">
        <v>1832</v>
      </c>
      <c r="C535" s="570">
        <v>59800</v>
      </c>
      <c r="D535" s="396"/>
      <c r="E535" s="396"/>
      <c r="F535" s="396"/>
      <c r="G535" s="396"/>
      <c r="H535" s="396"/>
    </row>
    <row r="536" spans="1:8" s="397" customFormat="1" ht="14.25" customHeight="1" x14ac:dyDescent="0.25">
      <c r="A536" s="564">
        <v>394</v>
      </c>
      <c r="B536" s="570" t="s">
        <v>1833</v>
      </c>
      <c r="C536" s="570">
        <v>59800</v>
      </c>
      <c r="D536" s="396"/>
      <c r="E536" s="396"/>
      <c r="F536" s="396"/>
      <c r="G536" s="396"/>
      <c r="H536" s="396"/>
    </row>
    <row r="537" spans="1:8" s="397" customFormat="1" ht="14.25" customHeight="1" x14ac:dyDescent="0.25">
      <c r="A537" s="564">
        <v>395</v>
      </c>
      <c r="B537" s="570" t="s">
        <v>1834</v>
      </c>
      <c r="C537" s="570">
        <v>59800</v>
      </c>
      <c r="D537" s="396"/>
      <c r="E537" s="396"/>
      <c r="F537" s="396"/>
      <c r="G537" s="396"/>
      <c r="H537" s="396"/>
    </row>
    <row r="538" spans="1:8" s="397" customFormat="1" ht="14.25" customHeight="1" x14ac:dyDescent="0.25">
      <c r="A538" s="564">
        <v>397</v>
      </c>
      <c r="B538" s="570" t="s">
        <v>1835</v>
      </c>
      <c r="C538" s="570">
        <v>59800</v>
      </c>
      <c r="D538" s="396"/>
      <c r="E538" s="396"/>
      <c r="F538" s="396"/>
      <c r="G538" s="396"/>
      <c r="H538" s="396"/>
    </row>
    <row r="539" spans="1:8" s="397" customFormat="1" ht="14.25" customHeight="1" x14ac:dyDescent="0.25">
      <c r="A539" s="564">
        <v>398</v>
      </c>
      <c r="B539" s="570" t="s">
        <v>1836</v>
      </c>
      <c r="C539" s="570">
        <v>59800</v>
      </c>
      <c r="D539" s="396"/>
      <c r="E539" s="396"/>
      <c r="F539" s="396"/>
      <c r="G539" s="396"/>
      <c r="H539" s="396"/>
    </row>
    <row r="540" spans="1:8" s="397" customFormat="1" ht="14.25" customHeight="1" x14ac:dyDescent="0.25">
      <c r="A540" s="564">
        <v>399</v>
      </c>
      <c r="B540" s="570" t="s">
        <v>1837</v>
      </c>
      <c r="C540" s="570">
        <v>59800</v>
      </c>
      <c r="D540" s="396"/>
      <c r="E540" s="396"/>
      <c r="F540" s="396"/>
      <c r="G540" s="396"/>
      <c r="H540" s="396"/>
    </row>
    <row r="541" spans="1:8" s="397" customFormat="1" ht="14.25" customHeight="1" x14ac:dyDescent="0.25">
      <c r="A541" s="564">
        <v>400</v>
      </c>
      <c r="B541" s="570" t="s">
        <v>1838</v>
      </c>
      <c r="C541" s="570">
        <v>59800</v>
      </c>
      <c r="D541" s="396"/>
      <c r="E541" s="396"/>
      <c r="F541" s="396"/>
      <c r="G541" s="396"/>
      <c r="H541" s="396"/>
    </row>
    <row r="542" spans="1:8" s="397" customFormat="1" ht="14.25" customHeight="1" x14ac:dyDescent="0.25">
      <c r="A542" s="564">
        <v>401</v>
      </c>
      <c r="B542" s="570" t="s">
        <v>1839</v>
      </c>
      <c r="C542" s="570">
        <v>59800</v>
      </c>
      <c r="D542" s="396"/>
      <c r="E542" s="396"/>
      <c r="F542" s="396"/>
      <c r="G542" s="396"/>
      <c r="H542" s="396"/>
    </row>
    <row r="543" spans="1:8" s="397" customFormat="1" ht="14.25" customHeight="1" x14ac:dyDescent="0.25">
      <c r="A543" s="564">
        <v>402</v>
      </c>
      <c r="B543" s="570" t="s">
        <v>1840</v>
      </c>
      <c r="C543" s="570">
        <v>59800</v>
      </c>
      <c r="D543" s="396"/>
      <c r="E543" s="396"/>
      <c r="F543" s="396"/>
      <c r="G543" s="396"/>
      <c r="H543" s="396"/>
    </row>
    <row r="544" spans="1:8" s="397" customFormat="1" ht="14.25" customHeight="1" x14ac:dyDescent="0.25">
      <c r="A544" s="564">
        <v>403</v>
      </c>
      <c r="B544" s="570" t="s">
        <v>1841</v>
      </c>
      <c r="C544" s="570">
        <v>59800</v>
      </c>
      <c r="D544" s="396"/>
      <c r="E544" s="396"/>
      <c r="F544" s="396"/>
      <c r="G544" s="396"/>
      <c r="H544" s="396"/>
    </row>
    <row r="545" spans="1:8" s="397" customFormat="1" ht="14.25" customHeight="1" x14ac:dyDescent="0.25">
      <c r="A545" s="564">
        <v>405</v>
      </c>
      <c r="B545" s="570" t="s">
        <v>1842</v>
      </c>
      <c r="C545" s="570">
        <v>59800</v>
      </c>
      <c r="D545" s="396"/>
      <c r="E545" s="396"/>
      <c r="F545" s="396"/>
      <c r="G545" s="396"/>
      <c r="H545" s="396"/>
    </row>
    <row r="546" spans="1:8" s="397" customFormat="1" ht="14.25" customHeight="1" x14ac:dyDescent="0.25">
      <c r="A546" s="564">
        <v>406</v>
      </c>
      <c r="B546" s="570" t="s">
        <v>1843</v>
      </c>
      <c r="C546" s="570">
        <v>59800</v>
      </c>
      <c r="D546" s="396"/>
      <c r="E546" s="396"/>
      <c r="F546" s="396"/>
      <c r="G546" s="396"/>
      <c r="H546" s="396"/>
    </row>
    <row r="547" spans="1:8" s="397" customFormat="1" ht="14.25" customHeight="1" x14ac:dyDescent="0.25">
      <c r="A547" s="564">
        <v>407</v>
      </c>
      <c r="B547" s="570" t="s">
        <v>1844</v>
      </c>
      <c r="C547" s="570">
        <v>59800</v>
      </c>
      <c r="D547" s="396"/>
      <c r="E547" s="396"/>
      <c r="F547" s="396"/>
      <c r="G547" s="396"/>
      <c r="H547" s="396"/>
    </row>
    <row r="548" spans="1:8" s="397" customFormat="1" ht="14.25" customHeight="1" x14ac:dyDescent="0.25">
      <c r="A548" s="564">
        <v>408</v>
      </c>
      <c r="B548" s="570" t="s">
        <v>1845</v>
      </c>
      <c r="C548" s="570">
        <v>59800</v>
      </c>
      <c r="D548" s="396"/>
      <c r="E548" s="396"/>
      <c r="F548" s="396"/>
      <c r="G548" s="396"/>
      <c r="H548" s="396"/>
    </row>
    <row r="549" spans="1:8" s="397" customFormat="1" ht="14.25" customHeight="1" x14ac:dyDescent="0.25">
      <c r="A549" s="564">
        <v>410</v>
      </c>
      <c r="B549" s="570" t="s">
        <v>1846</v>
      </c>
      <c r="C549" s="570">
        <v>196957.43</v>
      </c>
      <c r="D549" s="396"/>
      <c r="E549" s="396"/>
      <c r="F549" s="396"/>
      <c r="G549" s="396"/>
      <c r="H549" s="396"/>
    </row>
    <row r="550" spans="1:8" s="397" customFormat="1" ht="14.25" customHeight="1" x14ac:dyDescent="0.25">
      <c r="A550" s="564">
        <v>414</v>
      </c>
      <c r="B550" s="570" t="s">
        <v>1847</v>
      </c>
      <c r="C550" s="570">
        <v>3383100</v>
      </c>
      <c r="D550" s="396"/>
      <c r="E550" s="396"/>
      <c r="F550" s="396"/>
      <c r="G550" s="396"/>
      <c r="H550" s="396"/>
    </row>
    <row r="551" spans="1:8" s="397" customFormat="1" ht="14.25" customHeight="1" x14ac:dyDescent="0.25">
      <c r="A551" s="564">
        <v>417</v>
      </c>
      <c r="B551" s="570" t="s">
        <v>1848</v>
      </c>
      <c r="C551" s="570">
        <v>621150</v>
      </c>
      <c r="D551" s="396"/>
      <c r="E551" s="396"/>
      <c r="F551" s="396"/>
      <c r="G551" s="396"/>
      <c r="H551" s="396"/>
    </row>
    <row r="552" spans="1:8" s="397" customFormat="1" ht="14.25" customHeight="1" x14ac:dyDescent="0.25">
      <c r="A552" s="564">
        <v>420</v>
      </c>
      <c r="B552" s="570" t="s">
        <v>1849</v>
      </c>
      <c r="C552" s="570">
        <v>57912.5</v>
      </c>
      <c r="D552" s="396"/>
      <c r="E552" s="396"/>
      <c r="F552" s="396"/>
      <c r="G552" s="396"/>
      <c r="H552" s="396"/>
    </row>
    <row r="553" spans="1:8" s="397" customFormat="1" ht="14.25" customHeight="1" x14ac:dyDescent="0.25">
      <c r="A553" s="564">
        <v>421</v>
      </c>
      <c r="B553" s="570" t="s">
        <v>1850</v>
      </c>
      <c r="C553" s="570">
        <v>1727576</v>
      </c>
      <c r="D553" s="396"/>
      <c r="E553" s="396"/>
      <c r="F553" s="396"/>
      <c r="G553" s="396"/>
      <c r="H553" s="396"/>
    </row>
    <row r="554" spans="1:8" s="397" customFormat="1" ht="14.25" customHeight="1" x14ac:dyDescent="0.25">
      <c r="A554" s="564">
        <v>422</v>
      </c>
      <c r="B554" s="570" t="s">
        <v>1851</v>
      </c>
      <c r="C554" s="570">
        <v>10948</v>
      </c>
      <c r="D554" s="396"/>
      <c r="E554" s="396"/>
      <c r="F554" s="396"/>
      <c r="G554" s="396"/>
      <c r="H554" s="396"/>
    </row>
    <row r="555" spans="1:8" s="397" customFormat="1" ht="14.25" customHeight="1" x14ac:dyDescent="0.25">
      <c r="A555" s="564">
        <v>423</v>
      </c>
      <c r="B555" s="570" t="s">
        <v>1852</v>
      </c>
      <c r="C555" s="570">
        <v>145894.39999999999</v>
      </c>
      <c r="D555" s="396"/>
      <c r="E555" s="396"/>
      <c r="F555" s="396"/>
      <c r="G555" s="396"/>
      <c r="H555" s="396"/>
    </row>
    <row r="556" spans="1:8" s="397" customFormat="1" ht="14.25" customHeight="1" x14ac:dyDescent="0.25">
      <c r="A556" s="564">
        <v>424</v>
      </c>
      <c r="B556" s="570" t="s">
        <v>1853</v>
      </c>
      <c r="C556" s="570">
        <v>1899348.17</v>
      </c>
      <c r="D556" s="396"/>
      <c r="E556" s="396"/>
      <c r="F556" s="396"/>
      <c r="G556" s="396"/>
      <c r="H556" s="396"/>
    </row>
    <row r="557" spans="1:8" s="397" customFormat="1" ht="14.25" customHeight="1" x14ac:dyDescent="0.25">
      <c r="A557" s="564">
        <v>427</v>
      </c>
      <c r="B557" s="570" t="s">
        <v>1854</v>
      </c>
      <c r="C557" s="570">
        <v>43920</v>
      </c>
      <c r="D557" s="396"/>
      <c r="E557" s="396"/>
      <c r="F557" s="396"/>
      <c r="G557" s="396"/>
      <c r="H557" s="396"/>
    </row>
    <row r="558" spans="1:8" s="397" customFormat="1" ht="14.25" customHeight="1" x14ac:dyDescent="0.25">
      <c r="A558" s="564">
        <v>428</v>
      </c>
      <c r="B558" s="570" t="s">
        <v>1855</v>
      </c>
      <c r="C558" s="570">
        <v>169050</v>
      </c>
      <c r="D558" s="396"/>
      <c r="E558" s="396"/>
      <c r="F558" s="396"/>
      <c r="G558" s="396"/>
      <c r="H558" s="396"/>
    </row>
    <row r="559" spans="1:8" s="397" customFormat="1" ht="14.25" customHeight="1" x14ac:dyDescent="0.25">
      <c r="A559" s="564">
        <v>429</v>
      </c>
      <c r="B559" s="570" t="s">
        <v>1856</v>
      </c>
      <c r="C559" s="570">
        <v>602490</v>
      </c>
      <c r="D559" s="396"/>
      <c r="E559" s="396"/>
      <c r="F559" s="396"/>
      <c r="G559" s="396"/>
      <c r="H559" s="396"/>
    </row>
    <row r="560" spans="1:8" s="397" customFormat="1" ht="14.25" customHeight="1" x14ac:dyDescent="0.25">
      <c r="A560" s="564">
        <v>430</v>
      </c>
      <c r="B560" s="570" t="s">
        <v>1857</v>
      </c>
      <c r="C560" s="570">
        <v>687540</v>
      </c>
      <c r="D560" s="396"/>
      <c r="E560" s="396"/>
      <c r="F560" s="396"/>
      <c r="G560" s="396"/>
      <c r="H560" s="396"/>
    </row>
    <row r="561" spans="1:8" s="397" customFormat="1" ht="14.25" customHeight="1" x14ac:dyDescent="0.25">
      <c r="A561" s="564">
        <v>437</v>
      </c>
      <c r="B561" s="570" t="s">
        <v>1858</v>
      </c>
      <c r="C561" s="570">
        <v>2076325</v>
      </c>
      <c r="D561" s="396"/>
      <c r="E561" s="396"/>
      <c r="F561" s="396"/>
      <c r="G561" s="396"/>
      <c r="H561" s="396"/>
    </row>
    <row r="562" spans="1:8" s="397" customFormat="1" ht="14.25" customHeight="1" x14ac:dyDescent="0.25">
      <c r="A562" s="564">
        <v>442</v>
      </c>
      <c r="B562" s="570" t="s">
        <v>1859</v>
      </c>
      <c r="C562" s="570">
        <v>279872.28999999998</v>
      </c>
      <c r="D562" s="396"/>
      <c r="E562" s="396"/>
      <c r="F562" s="396"/>
      <c r="G562" s="396"/>
      <c r="H562" s="396"/>
    </row>
    <row r="563" spans="1:8" s="397" customFormat="1" ht="14.25" customHeight="1" x14ac:dyDescent="0.25">
      <c r="A563" s="564">
        <v>443</v>
      </c>
      <c r="B563" s="570" t="s">
        <v>1860</v>
      </c>
      <c r="C563" s="570">
        <v>257806.07999999999</v>
      </c>
      <c r="D563" s="396"/>
      <c r="E563" s="396"/>
      <c r="F563" s="396"/>
      <c r="G563" s="396"/>
      <c r="H563" s="396"/>
    </row>
    <row r="564" spans="1:8" s="397" customFormat="1" ht="14.25" customHeight="1" x14ac:dyDescent="0.25">
      <c r="A564" s="564">
        <v>444</v>
      </c>
      <c r="B564" s="570" t="s">
        <v>1861</v>
      </c>
      <c r="C564" s="570">
        <v>102465</v>
      </c>
      <c r="D564" s="396"/>
      <c r="E564" s="396"/>
      <c r="F564" s="396"/>
      <c r="G564" s="396"/>
      <c r="H564" s="396"/>
    </row>
    <row r="565" spans="1:8" s="397" customFormat="1" ht="14.25" customHeight="1" x14ac:dyDescent="0.25">
      <c r="A565" s="564">
        <v>448</v>
      </c>
      <c r="B565" s="570" t="s">
        <v>1862</v>
      </c>
      <c r="C565" s="570">
        <v>444150</v>
      </c>
      <c r="D565" s="396"/>
      <c r="E565" s="396"/>
      <c r="F565" s="396"/>
      <c r="G565" s="396"/>
      <c r="H565" s="396"/>
    </row>
    <row r="566" spans="1:8" s="397" customFormat="1" ht="14.25" customHeight="1" x14ac:dyDescent="0.25">
      <c r="A566" s="564">
        <v>449</v>
      </c>
      <c r="B566" s="570" t="s">
        <v>1863</v>
      </c>
      <c r="C566" s="570">
        <v>317250</v>
      </c>
      <c r="D566" s="396"/>
      <c r="E566" s="396"/>
      <c r="F566" s="396"/>
      <c r="G566" s="396"/>
      <c r="H566" s="396"/>
    </row>
    <row r="567" spans="1:8" s="397" customFormat="1" ht="14.25" customHeight="1" x14ac:dyDescent="0.25">
      <c r="A567" s="564">
        <v>450</v>
      </c>
      <c r="B567" s="570" t="s">
        <v>1864</v>
      </c>
      <c r="C567" s="570">
        <v>406260</v>
      </c>
      <c r="D567" s="396"/>
      <c r="E567" s="396"/>
      <c r="F567" s="396"/>
      <c r="G567" s="396"/>
      <c r="H567" s="396"/>
    </row>
    <row r="568" spans="1:8" s="397" customFormat="1" ht="14.25" customHeight="1" x14ac:dyDescent="0.25">
      <c r="A568" s="564">
        <v>451</v>
      </c>
      <c r="B568" s="570" t="s">
        <v>1865</v>
      </c>
      <c r="C568" s="570">
        <v>217350</v>
      </c>
      <c r="D568" s="396"/>
      <c r="E568" s="396"/>
      <c r="F568" s="396"/>
      <c r="G568" s="396"/>
      <c r="H568" s="396"/>
    </row>
    <row r="569" spans="1:8" s="397" customFormat="1" ht="14.25" customHeight="1" x14ac:dyDescent="0.25">
      <c r="A569" s="564">
        <v>454</v>
      </c>
      <c r="B569" s="570" t="s">
        <v>1866</v>
      </c>
      <c r="C569" s="570">
        <v>1541135.05</v>
      </c>
      <c r="D569" s="396"/>
      <c r="E569" s="396"/>
      <c r="F569" s="396"/>
      <c r="G569" s="396"/>
      <c r="H569" s="396"/>
    </row>
    <row r="570" spans="1:8" s="397" customFormat="1" ht="14.25" customHeight="1" x14ac:dyDescent="0.25">
      <c r="A570" s="564">
        <v>455</v>
      </c>
      <c r="B570" s="570" t="s">
        <v>1867</v>
      </c>
      <c r="C570" s="570">
        <v>947793.21</v>
      </c>
      <c r="D570" s="396"/>
      <c r="E570" s="396"/>
      <c r="F570" s="396"/>
      <c r="G570" s="396"/>
      <c r="H570" s="396"/>
    </row>
    <row r="571" spans="1:8" s="397" customFormat="1" ht="14.25" customHeight="1" x14ac:dyDescent="0.25">
      <c r="A571" s="564">
        <v>462</v>
      </c>
      <c r="B571" s="570" t="s">
        <v>1868</v>
      </c>
      <c r="C571" s="570">
        <v>435183</v>
      </c>
      <c r="D571" s="396"/>
      <c r="E571" s="396"/>
      <c r="F571" s="396"/>
      <c r="G571" s="396"/>
      <c r="H571" s="396"/>
    </row>
    <row r="572" spans="1:8" s="397" customFormat="1" ht="14.25" customHeight="1" x14ac:dyDescent="0.25">
      <c r="A572" s="564">
        <v>464</v>
      </c>
      <c r="B572" s="570" t="s">
        <v>1869</v>
      </c>
      <c r="C572" s="570">
        <v>1800000</v>
      </c>
      <c r="D572" s="396"/>
      <c r="E572" s="396"/>
      <c r="F572" s="396"/>
      <c r="G572" s="396"/>
      <c r="H572" s="396"/>
    </row>
    <row r="573" spans="1:8" s="397" customFormat="1" ht="14.25" customHeight="1" x14ac:dyDescent="0.25">
      <c r="A573" s="564">
        <v>468</v>
      </c>
      <c r="B573" s="570" t="s">
        <v>1870</v>
      </c>
      <c r="C573" s="570">
        <v>679980.58</v>
      </c>
      <c r="D573" s="396"/>
      <c r="E573" s="396"/>
      <c r="F573" s="396"/>
      <c r="G573" s="396"/>
      <c r="H573" s="396"/>
    </row>
    <row r="574" spans="1:8" s="397" customFormat="1" ht="14.25" customHeight="1" x14ac:dyDescent="0.25">
      <c r="A574" s="564">
        <v>469</v>
      </c>
      <c r="B574" s="570" t="s">
        <v>1871</v>
      </c>
      <c r="C574" s="570">
        <v>1995551.93</v>
      </c>
      <c r="D574" s="396"/>
      <c r="E574" s="396"/>
      <c r="F574" s="396"/>
      <c r="G574" s="396"/>
      <c r="H574" s="396"/>
    </row>
    <row r="575" spans="1:8" s="397" customFormat="1" ht="14.25" customHeight="1" x14ac:dyDescent="0.25">
      <c r="A575" s="564">
        <v>470</v>
      </c>
      <c r="B575" s="570" t="s">
        <v>1872</v>
      </c>
      <c r="C575" s="570">
        <v>379922.4</v>
      </c>
      <c r="D575" s="396"/>
      <c r="E575" s="396"/>
      <c r="F575" s="396"/>
      <c r="G575" s="396"/>
      <c r="H575" s="396"/>
    </row>
    <row r="576" spans="1:8" s="397" customFormat="1" ht="14.25" customHeight="1" x14ac:dyDescent="0.25">
      <c r="A576" s="564">
        <v>474</v>
      </c>
      <c r="B576" s="570" t="s">
        <v>1873</v>
      </c>
      <c r="C576" s="570">
        <v>313388.99</v>
      </c>
      <c r="D576" s="396"/>
      <c r="E576" s="396"/>
      <c r="F576" s="396"/>
      <c r="G576" s="396"/>
      <c r="H576" s="396"/>
    </row>
    <row r="577" spans="1:8" s="397" customFormat="1" ht="14.25" customHeight="1" x14ac:dyDescent="0.25">
      <c r="A577" s="564">
        <v>475</v>
      </c>
      <c r="B577" s="570" t="s">
        <v>1874</v>
      </c>
      <c r="C577" s="570">
        <v>213060</v>
      </c>
      <c r="D577" s="396"/>
      <c r="E577" s="396"/>
      <c r="F577" s="396"/>
      <c r="G577" s="396"/>
      <c r="H577" s="396"/>
    </row>
    <row r="578" spans="1:8" s="397" customFormat="1" ht="14.25" customHeight="1" x14ac:dyDescent="0.25">
      <c r="A578" s="564">
        <v>482</v>
      </c>
      <c r="B578" s="570" t="s">
        <v>1875</v>
      </c>
      <c r="C578" s="570">
        <v>1392206.4</v>
      </c>
      <c r="D578" s="396"/>
      <c r="E578" s="396"/>
      <c r="F578" s="396"/>
      <c r="G578" s="396"/>
      <c r="H578" s="396"/>
    </row>
    <row r="579" spans="1:8" s="397" customFormat="1" ht="14.25" customHeight="1" x14ac:dyDescent="0.25">
      <c r="A579" s="564">
        <v>483</v>
      </c>
      <c r="B579" s="570" t="s">
        <v>1876</v>
      </c>
      <c r="C579" s="570">
        <v>992160</v>
      </c>
      <c r="D579" s="396"/>
      <c r="E579" s="396"/>
      <c r="F579" s="396"/>
      <c r="G579" s="396"/>
      <c r="H579" s="396"/>
    </row>
    <row r="580" spans="1:8" s="397" customFormat="1" ht="14.25" customHeight="1" x14ac:dyDescent="0.25">
      <c r="A580" s="564">
        <v>490</v>
      </c>
      <c r="B580" s="570" t="s">
        <v>1877</v>
      </c>
      <c r="C580" s="570">
        <v>413253.75</v>
      </c>
      <c r="D580" s="396"/>
      <c r="E580" s="396"/>
      <c r="F580" s="396"/>
      <c r="G580" s="396"/>
      <c r="H580" s="396"/>
    </row>
    <row r="581" spans="1:8" s="397" customFormat="1" ht="14.25" customHeight="1" x14ac:dyDescent="0.25">
      <c r="A581" s="564">
        <v>491</v>
      </c>
      <c r="B581" s="570" t="s">
        <v>1878</v>
      </c>
      <c r="C581" s="570">
        <v>1465115.75</v>
      </c>
      <c r="D581" s="396"/>
      <c r="E581" s="396"/>
      <c r="F581" s="396"/>
      <c r="G581" s="396"/>
      <c r="H581" s="396"/>
    </row>
    <row r="582" spans="1:8" s="397" customFormat="1" ht="14.25" customHeight="1" x14ac:dyDescent="0.25">
      <c r="A582" s="564">
        <v>492</v>
      </c>
      <c r="B582" s="570" t="s">
        <v>1879</v>
      </c>
      <c r="C582" s="570">
        <v>125429.22</v>
      </c>
      <c r="D582" s="396"/>
      <c r="E582" s="396"/>
      <c r="F582" s="396"/>
      <c r="G582" s="396"/>
      <c r="H582" s="396"/>
    </row>
    <row r="583" spans="1:8" s="397" customFormat="1" ht="14.25" customHeight="1" x14ac:dyDescent="0.25">
      <c r="A583" s="564">
        <v>493</v>
      </c>
      <c r="B583" s="570" t="s">
        <v>1880</v>
      </c>
      <c r="C583" s="570">
        <v>356400.87</v>
      </c>
      <c r="D583" s="396"/>
      <c r="E583" s="396"/>
      <c r="F583" s="396"/>
      <c r="G583" s="396"/>
      <c r="H583" s="396"/>
    </row>
    <row r="584" spans="1:8" s="397" customFormat="1" ht="14.25" customHeight="1" x14ac:dyDescent="0.25">
      <c r="A584" s="564">
        <v>504</v>
      </c>
      <c r="B584" s="570" t="s">
        <v>1881</v>
      </c>
      <c r="C584" s="570">
        <v>469787.5</v>
      </c>
      <c r="D584" s="396"/>
      <c r="E584" s="396"/>
      <c r="F584" s="396"/>
      <c r="G584" s="396"/>
      <c r="H584" s="396"/>
    </row>
    <row r="585" spans="1:8" s="397" customFormat="1" ht="14.25" customHeight="1" x14ac:dyDescent="0.25">
      <c r="A585" s="564">
        <v>507</v>
      </c>
      <c r="B585" s="570" t="s">
        <v>1882</v>
      </c>
      <c r="C585" s="570">
        <v>1547000</v>
      </c>
      <c r="D585" s="396"/>
      <c r="E585" s="396"/>
      <c r="F585" s="396"/>
      <c r="G585" s="396"/>
      <c r="H585" s="396"/>
    </row>
    <row r="586" spans="1:8" s="397" customFormat="1" ht="14.25" customHeight="1" x14ac:dyDescent="0.25">
      <c r="A586" s="564">
        <v>508</v>
      </c>
      <c r="B586" s="570" t="s">
        <v>1883</v>
      </c>
      <c r="C586" s="570">
        <v>445446.75</v>
      </c>
      <c r="D586" s="396"/>
      <c r="E586" s="396"/>
      <c r="F586" s="396"/>
      <c r="G586" s="396"/>
      <c r="H586" s="396"/>
    </row>
    <row r="587" spans="1:8" s="397" customFormat="1" ht="14.25" customHeight="1" x14ac:dyDescent="0.25">
      <c r="A587" s="564">
        <v>513</v>
      </c>
      <c r="B587" s="570" t="s">
        <v>1884</v>
      </c>
      <c r="C587" s="570">
        <v>444500</v>
      </c>
      <c r="D587" s="396"/>
      <c r="E587" s="396"/>
      <c r="F587" s="396"/>
      <c r="G587" s="396"/>
      <c r="H587" s="396"/>
    </row>
    <row r="588" spans="1:8" s="397" customFormat="1" ht="14.25" customHeight="1" x14ac:dyDescent="0.25">
      <c r="A588" s="564">
        <v>514</v>
      </c>
      <c r="B588" s="570" t="s">
        <v>1885</v>
      </c>
      <c r="C588" s="570">
        <v>199920</v>
      </c>
      <c r="D588" s="396"/>
      <c r="E588" s="396"/>
      <c r="F588" s="396"/>
      <c r="G588" s="396"/>
      <c r="H588" s="396"/>
    </row>
    <row r="589" spans="1:8" s="397" customFormat="1" ht="14.25" customHeight="1" x14ac:dyDescent="0.25">
      <c r="A589" s="564">
        <v>515</v>
      </c>
      <c r="B589" s="570" t="s">
        <v>1886</v>
      </c>
      <c r="C589" s="570">
        <v>348243</v>
      </c>
      <c r="D589" s="396"/>
      <c r="E589" s="396"/>
      <c r="F589" s="396"/>
      <c r="G589" s="396"/>
      <c r="H589" s="396"/>
    </row>
    <row r="590" spans="1:8" s="397" customFormat="1" ht="14.25" customHeight="1" x14ac:dyDescent="0.25">
      <c r="A590" s="564">
        <v>521</v>
      </c>
      <c r="B590" s="570" t="s">
        <v>1887</v>
      </c>
      <c r="C590" s="570">
        <v>463478.75</v>
      </c>
      <c r="D590" s="396"/>
      <c r="E590" s="396"/>
      <c r="F590" s="396"/>
      <c r="G590" s="396"/>
      <c r="H590" s="396"/>
    </row>
    <row r="591" spans="1:8" s="397" customFormat="1" ht="14.25" customHeight="1" x14ac:dyDescent="0.25">
      <c r="A591" s="564">
        <v>523</v>
      </c>
      <c r="B591" s="570" t="s">
        <v>1888</v>
      </c>
      <c r="C591" s="570">
        <v>257412</v>
      </c>
      <c r="D591" s="396"/>
      <c r="E591" s="396"/>
      <c r="F591" s="396"/>
      <c r="G591" s="396"/>
      <c r="H591" s="396"/>
    </row>
    <row r="592" spans="1:8" s="397" customFormat="1" ht="14.25" customHeight="1" x14ac:dyDescent="0.25">
      <c r="A592" s="564">
        <v>527</v>
      </c>
      <c r="B592" s="570" t="s">
        <v>1889</v>
      </c>
      <c r="C592" s="570">
        <v>252700</v>
      </c>
      <c r="D592" s="396"/>
      <c r="E592" s="396"/>
      <c r="F592" s="396"/>
      <c r="G592" s="396"/>
      <c r="H592" s="396"/>
    </row>
    <row r="593" spans="1:8" s="397" customFormat="1" ht="14.25" customHeight="1" x14ac:dyDescent="0.25">
      <c r="A593" s="564">
        <v>531</v>
      </c>
      <c r="B593" s="570" t="s">
        <v>1890</v>
      </c>
      <c r="C593" s="570">
        <v>253701.79</v>
      </c>
      <c r="D593" s="396"/>
      <c r="E593" s="396"/>
      <c r="F593" s="396"/>
      <c r="G593" s="396"/>
      <c r="H593" s="396"/>
    </row>
    <row r="594" spans="1:8" s="397" customFormat="1" ht="14.25" customHeight="1" x14ac:dyDescent="0.25">
      <c r="A594" s="564">
        <v>533</v>
      </c>
      <c r="B594" s="570" t="s">
        <v>1891</v>
      </c>
      <c r="C594" s="570">
        <v>63427</v>
      </c>
      <c r="D594" s="396"/>
      <c r="E594" s="396"/>
      <c r="F594" s="396"/>
      <c r="G594" s="396"/>
      <c r="H594" s="396"/>
    </row>
    <row r="595" spans="1:8" s="397" customFormat="1" ht="14.25" customHeight="1" x14ac:dyDescent="0.25">
      <c r="A595" s="564">
        <v>534</v>
      </c>
      <c r="B595" s="570" t="s">
        <v>1892</v>
      </c>
      <c r="C595" s="570">
        <v>546796.24</v>
      </c>
      <c r="D595" s="396"/>
      <c r="E595" s="396"/>
      <c r="F595" s="396"/>
      <c r="G595" s="396"/>
      <c r="H595" s="396"/>
    </row>
    <row r="596" spans="1:8" s="397" customFormat="1" ht="14.25" customHeight="1" x14ac:dyDescent="0.25">
      <c r="A596" s="564">
        <v>535</v>
      </c>
      <c r="B596" s="570" t="s">
        <v>1893</v>
      </c>
      <c r="C596" s="570">
        <v>144643.69</v>
      </c>
      <c r="D596" s="396"/>
      <c r="E596" s="396"/>
      <c r="F596" s="396"/>
      <c r="G596" s="396"/>
      <c r="H596" s="396"/>
    </row>
    <row r="597" spans="1:8" s="397" customFormat="1" ht="14.25" customHeight="1" x14ac:dyDescent="0.25">
      <c r="A597" s="564">
        <v>536</v>
      </c>
      <c r="B597" s="570" t="s">
        <v>1894</v>
      </c>
      <c r="C597" s="570">
        <v>346122</v>
      </c>
      <c r="D597" s="396"/>
      <c r="E597" s="396"/>
      <c r="F597" s="396"/>
      <c r="G597" s="396"/>
      <c r="H597" s="396"/>
    </row>
    <row r="598" spans="1:8" s="397" customFormat="1" ht="14.25" customHeight="1" x14ac:dyDescent="0.25">
      <c r="A598" s="564">
        <v>537</v>
      </c>
      <c r="B598" s="570" t="s">
        <v>1895</v>
      </c>
      <c r="C598" s="570">
        <v>270455.84999999998</v>
      </c>
      <c r="D598" s="396"/>
      <c r="E598" s="396"/>
      <c r="F598" s="396"/>
      <c r="G598" s="396"/>
      <c r="H598" s="396"/>
    </row>
    <row r="599" spans="1:8" s="397" customFormat="1" ht="14.25" customHeight="1" x14ac:dyDescent="0.25">
      <c r="A599" s="564">
        <v>539</v>
      </c>
      <c r="B599" s="570" t="s">
        <v>1896</v>
      </c>
      <c r="C599" s="570">
        <v>576576</v>
      </c>
      <c r="D599" s="396"/>
      <c r="E599" s="396"/>
      <c r="F599" s="396"/>
      <c r="G599" s="396"/>
      <c r="H599" s="396"/>
    </row>
    <row r="600" spans="1:8" s="397" customFormat="1" ht="14.25" customHeight="1" x14ac:dyDescent="0.25">
      <c r="A600" s="564">
        <v>540</v>
      </c>
      <c r="B600" s="570" t="s">
        <v>1897</v>
      </c>
      <c r="C600" s="570">
        <v>376740</v>
      </c>
      <c r="D600" s="396"/>
      <c r="E600" s="396"/>
      <c r="F600" s="396"/>
      <c r="G600" s="396"/>
      <c r="H600" s="396"/>
    </row>
    <row r="601" spans="1:8" s="397" customFormat="1" ht="14.25" customHeight="1" x14ac:dyDescent="0.25">
      <c r="A601" s="564">
        <v>541</v>
      </c>
      <c r="B601" s="570" t="s">
        <v>1898</v>
      </c>
      <c r="C601" s="570">
        <v>106977.60000000001</v>
      </c>
      <c r="D601" s="396"/>
      <c r="E601" s="396"/>
      <c r="F601" s="396"/>
      <c r="G601" s="396"/>
      <c r="H601" s="396"/>
    </row>
    <row r="602" spans="1:8" s="397" customFormat="1" ht="14.25" customHeight="1" x14ac:dyDescent="0.25">
      <c r="A602" s="564">
        <v>549</v>
      </c>
      <c r="B602" s="570" t="s">
        <v>1899</v>
      </c>
      <c r="C602" s="570">
        <v>638477</v>
      </c>
      <c r="D602" s="396"/>
      <c r="E602" s="396"/>
      <c r="F602" s="396"/>
      <c r="G602" s="396"/>
      <c r="H602" s="396"/>
    </row>
    <row r="603" spans="1:8" s="397" customFormat="1" ht="14.25" customHeight="1" x14ac:dyDescent="0.25">
      <c r="A603" s="564">
        <v>550</v>
      </c>
      <c r="B603" s="570" t="s">
        <v>1900</v>
      </c>
      <c r="C603" s="570">
        <v>1100761.58</v>
      </c>
      <c r="D603" s="396"/>
      <c r="E603" s="396"/>
      <c r="F603" s="396"/>
      <c r="G603" s="396"/>
      <c r="H603" s="396"/>
    </row>
    <row r="604" spans="1:8" s="397" customFormat="1" ht="14.25" customHeight="1" x14ac:dyDescent="0.25">
      <c r="A604" s="564">
        <v>551</v>
      </c>
      <c r="B604" s="570" t="s">
        <v>1901</v>
      </c>
      <c r="C604" s="570">
        <v>727650</v>
      </c>
      <c r="D604" s="396"/>
      <c r="E604" s="396"/>
      <c r="F604" s="396"/>
      <c r="G604" s="396"/>
      <c r="H604" s="396"/>
    </row>
    <row r="605" spans="1:8" s="397" customFormat="1" ht="14.25" customHeight="1" x14ac:dyDescent="0.25">
      <c r="A605" s="564">
        <v>552</v>
      </c>
      <c r="B605" s="570" t="s">
        <v>1902</v>
      </c>
      <c r="C605" s="570">
        <v>499616.1</v>
      </c>
      <c r="D605" s="396"/>
      <c r="E605" s="396"/>
      <c r="F605" s="396"/>
      <c r="G605" s="396"/>
      <c r="H605" s="396"/>
    </row>
    <row r="606" spans="1:8" s="397" customFormat="1" ht="14.25" customHeight="1" x14ac:dyDescent="0.25">
      <c r="A606" s="564">
        <v>553</v>
      </c>
      <c r="B606" s="570" t="s">
        <v>1903</v>
      </c>
      <c r="C606" s="570">
        <v>830692.13</v>
      </c>
      <c r="D606" s="396"/>
      <c r="E606" s="396"/>
      <c r="F606" s="396"/>
      <c r="G606" s="396"/>
      <c r="H606" s="396"/>
    </row>
    <row r="607" spans="1:8" s="397" customFormat="1" ht="14.25" customHeight="1" x14ac:dyDescent="0.25">
      <c r="A607" s="564">
        <v>554</v>
      </c>
      <c r="B607" s="570" t="s">
        <v>1904</v>
      </c>
      <c r="C607" s="570">
        <v>603552.38</v>
      </c>
      <c r="D607" s="396"/>
      <c r="E607" s="396"/>
      <c r="F607" s="396"/>
      <c r="G607" s="396"/>
      <c r="H607" s="396"/>
    </row>
    <row r="608" spans="1:8" s="397" customFormat="1" ht="14.25" customHeight="1" x14ac:dyDescent="0.25">
      <c r="A608" s="564">
        <v>561</v>
      </c>
      <c r="B608" s="570" t="s">
        <v>1905</v>
      </c>
      <c r="C608" s="570">
        <v>712368.75</v>
      </c>
      <c r="D608" s="396"/>
      <c r="E608" s="396"/>
      <c r="F608" s="396"/>
      <c r="G608" s="396"/>
      <c r="H608" s="396"/>
    </row>
    <row r="609" spans="1:8" s="397" customFormat="1" ht="14.25" customHeight="1" x14ac:dyDescent="0.25">
      <c r="A609" s="564">
        <v>562</v>
      </c>
      <c r="B609" s="570" t="s">
        <v>1906</v>
      </c>
      <c r="C609" s="570">
        <v>76545</v>
      </c>
      <c r="D609" s="396"/>
      <c r="E609" s="396"/>
      <c r="F609" s="396"/>
      <c r="G609" s="396"/>
      <c r="H609" s="396"/>
    </row>
    <row r="610" spans="1:8" s="397" customFormat="1" ht="14.25" customHeight="1" x14ac:dyDescent="0.25">
      <c r="A610" s="564">
        <v>563</v>
      </c>
      <c r="B610" s="570" t="s">
        <v>1907</v>
      </c>
      <c r="C610" s="570">
        <v>354900</v>
      </c>
      <c r="D610" s="396"/>
      <c r="E610" s="396"/>
      <c r="F610" s="396"/>
      <c r="G610" s="396"/>
      <c r="H610" s="396"/>
    </row>
    <row r="611" spans="1:8" s="397" customFormat="1" ht="14.25" customHeight="1" x14ac:dyDescent="0.25">
      <c r="A611" s="564">
        <v>568</v>
      </c>
      <c r="B611" s="570" t="s">
        <v>1908</v>
      </c>
      <c r="C611" s="570">
        <v>148175.5</v>
      </c>
      <c r="D611" s="396"/>
      <c r="E611" s="396"/>
      <c r="F611" s="396"/>
      <c r="G611" s="396"/>
      <c r="H611" s="396"/>
    </row>
    <row r="612" spans="1:8" s="397" customFormat="1" ht="14.25" customHeight="1" x14ac:dyDescent="0.25">
      <c r="A612" s="564">
        <v>569</v>
      </c>
      <c r="B612" s="570" t="s">
        <v>1909</v>
      </c>
      <c r="C612" s="570">
        <v>86745.67</v>
      </c>
      <c r="D612" s="396"/>
      <c r="E612" s="396"/>
      <c r="F612" s="396"/>
      <c r="G612" s="396"/>
      <c r="H612" s="396"/>
    </row>
    <row r="613" spans="1:8" s="397" customFormat="1" ht="14.25" customHeight="1" x14ac:dyDescent="0.25">
      <c r="A613" s="564">
        <v>570</v>
      </c>
      <c r="B613" s="570" t="s">
        <v>1910</v>
      </c>
      <c r="C613" s="570">
        <v>1793643.75</v>
      </c>
      <c r="D613" s="396"/>
      <c r="E613" s="396"/>
      <c r="F613" s="396"/>
      <c r="G613" s="396"/>
      <c r="H613" s="396"/>
    </row>
    <row r="614" spans="1:8" s="397" customFormat="1" ht="14.25" customHeight="1" x14ac:dyDescent="0.25">
      <c r="A614" s="564">
        <v>571</v>
      </c>
      <c r="B614" s="570" t="s">
        <v>1911</v>
      </c>
      <c r="C614" s="570">
        <v>152618.4</v>
      </c>
      <c r="D614" s="396"/>
      <c r="E614" s="396"/>
      <c r="F614" s="396"/>
      <c r="G614" s="396"/>
      <c r="H614" s="396"/>
    </row>
    <row r="615" spans="1:8" s="397" customFormat="1" ht="14.25" customHeight="1" x14ac:dyDescent="0.25">
      <c r="A615" s="564">
        <v>572</v>
      </c>
      <c r="B615" s="570" t="s">
        <v>1912</v>
      </c>
      <c r="C615" s="570">
        <v>172872</v>
      </c>
      <c r="D615" s="396"/>
      <c r="E615" s="396"/>
      <c r="F615" s="396"/>
      <c r="G615" s="396"/>
      <c r="H615" s="396"/>
    </row>
    <row r="616" spans="1:8" s="397" customFormat="1" ht="14.25" customHeight="1" x14ac:dyDescent="0.25">
      <c r="A616" s="564">
        <v>573</v>
      </c>
      <c r="B616" s="570" t="s">
        <v>1913</v>
      </c>
      <c r="C616" s="570">
        <v>320112</v>
      </c>
      <c r="D616" s="396"/>
      <c r="E616" s="396"/>
      <c r="F616" s="396"/>
      <c r="G616" s="396"/>
      <c r="H616" s="396"/>
    </row>
    <row r="617" spans="1:8" s="397" customFormat="1" ht="14.25" customHeight="1" x14ac:dyDescent="0.25">
      <c r="A617" s="564">
        <v>574</v>
      </c>
      <c r="B617" s="570" t="s">
        <v>1914</v>
      </c>
      <c r="C617" s="570">
        <v>172872</v>
      </c>
      <c r="D617" s="396"/>
      <c r="E617" s="396"/>
      <c r="F617" s="396"/>
      <c r="G617" s="396"/>
      <c r="H617" s="396"/>
    </row>
    <row r="618" spans="1:8" s="397" customFormat="1" ht="14.25" customHeight="1" x14ac:dyDescent="0.25">
      <c r="A618" s="564">
        <v>576</v>
      </c>
      <c r="B618" s="570" t="s">
        <v>1915</v>
      </c>
      <c r="C618" s="570">
        <v>32309.48</v>
      </c>
      <c r="D618" s="396"/>
      <c r="E618" s="396"/>
      <c r="F618" s="396"/>
      <c r="G618" s="396"/>
      <c r="H618" s="396"/>
    </row>
    <row r="619" spans="1:8" s="397" customFormat="1" ht="14.25" customHeight="1" x14ac:dyDescent="0.25">
      <c r="A619" s="564">
        <v>577</v>
      </c>
      <c r="B619" s="570" t="s">
        <v>1916</v>
      </c>
      <c r="C619" s="570">
        <v>197404.09</v>
      </c>
      <c r="D619" s="396"/>
      <c r="E619" s="396"/>
      <c r="F619" s="396"/>
      <c r="G619" s="396"/>
      <c r="H619" s="396"/>
    </row>
    <row r="620" spans="1:8" s="397" customFormat="1" ht="14.25" customHeight="1" x14ac:dyDescent="0.25">
      <c r="A620" s="564">
        <v>578</v>
      </c>
      <c r="B620" s="570" t="s">
        <v>1917</v>
      </c>
      <c r="C620" s="570">
        <v>254861.43</v>
      </c>
      <c r="D620" s="396"/>
      <c r="E620" s="396"/>
      <c r="F620" s="396"/>
      <c r="G620" s="396"/>
      <c r="H620" s="396"/>
    </row>
    <row r="621" spans="1:8" s="397" customFormat="1" ht="14.25" customHeight="1" x14ac:dyDescent="0.25">
      <c r="A621" s="564">
        <v>579</v>
      </c>
      <c r="B621" s="570" t="s">
        <v>1918</v>
      </c>
      <c r="C621" s="570">
        <v>288655.84999999998</v>
      </c>
      <c r="D621" s="396"/>
      <c r="E621" s="396"/>
      <c r="F621" s="396"/>
      <c r="G621" s="396"/>
      <c r="H621" s="396"/>
    </row>
    <row r="622" spans="1:8" s="397" customFormat="1" ht="14.25" customHeight="1" x14ac:dyDescent="0.25">
      <c r="A622" s="564">
        <v>580</v>
      </c>
      <c r="B622" s="570" t="s">
        <v>1919</v>
      </c>
      <c r="C622" s="570">
        <v>43518.13</v>
      </c>
      <c r="D622" s="396"/>
      <c r="E622" s="396"/>
      <c r="F622" s="396"/>
      <c r="G622" s="396"/>
      <c r="H622" s="396"/>
    </row>
    <row r="623" spans="1:8" s="397" customFormat="1" ht="14.25" customHeight="1" x14ac:dyDescent="0.25">
      <c r="A623" s="564">
        <v>581</v>
      </c>
      <c r="B623" s="570" t="s">
        <v>1920</v>
      </c>
      <c r="C623" s="570">
        <v>87873.63</v>
      </c>
      <c r="D623" s="396"/>
      <c r="E623" s="396"/>
      <c r="F623" s="396"/>
      <c r="G623" s="396"/>
      <c r="H623" s="396"/>
    </row>
    <row r="624" spans="1:8" s="397" customFormat="1" ht="14.25" customHeight="1" x14ac:dyDescent="0.25">
      <c r="A624" s="564">
        <v>582</v>
      </c>
      <c r="B624" s="570" t="s">
        <v>1921</v>
      </c>
      <c r="C624" s="570">
        <v>46008.5</v>
      </c>
      <c r="D624" s="396"/>
      <c r="E624" s="396"/>
      <c r="F624" s="396"/>
      <c r="G624" s="396"/>
      <c r="H624" s="396"/>
    </row>
    <row r="625" spans="1:8" s="397" customFormat="1" ht="14.25" customHeight="1" x14ac:dyDescent="0.25">
      <c r="A625" s="564">
        <v>583</v>
      </c>
      <c r="B625" s="570" t="s">
        <v>1922</v>
      </c>
      <c r="C625" s="570">
        <v>32769.71</v>
      </c>
      <c r="D625" s="396"/>
      <c r="E625" s="396"/>
      <c r="F625" s="396"/>
      <c r="G625" s="396"/>
      <c r="H625" s="396"/>
    </row>
    <row r="626" spans="1:8" s="397" customFormat="1" ht="14.25" customHeight="1" x14ac:dyDescent="0.25">
      <c r="A626" s="564">
        <v>584</v>
      </c>
      <c r="B626" s="570" t="s">
        <v>1923</v>
      </c>
      <c r="C626" s="570">
        <v>111903.75</v>
      </c>
      <c r="D626" s="396"/>
      <c r="E626" s="396"/>
      <c r="F626" s="396"/>
      <c r="G626" s="396"/>
      <c r="H626" s="396"/>
    </row>
    <row r="627" spans="1:8" s="397" customFormat="1" ht="14.25" customHeight="1" x14ac:dyDescent="0.25">
      <c r="A627" s="564">
        <v>585</v>
      </c>
      <c r="B627" s="570" t="s">
        <v>1924</v>
      </c>
      <c r="C627" s="570">
        <v>172534.05</v>
      </c>
      <c r="D627" s="396"/>
      <c r="E627" s="396"/>
      <c r="F627" s="396"/>
      <c r="G627" s="396"/>
      <c r="H627" s="396"/>
    </row>
    <row r="628" spans="1:8" s="397" customFormat="1" ht="14.25" customHeight="1" x14ac:dyDescent="0.25">
      <c r="A628" s="564">
        <v>586</v>
      </c>
      <c r="B628" s="570" t="s">
        <v>1925</v>
      </c>
      <c r="C628" s="570">
        <v>46008.5</v>
      </c>
      <c r="D628" s="396"/>
      <c r="E628" s="396"/>
      <c r="F628" s="396"/>
      <c r="G628" s="396"/>
      <c r="H628" s="396"/>
    </row>
    <row r="629" spans="1:8" s="397" customFormat="1" ht="14.25" customHeight="1" x14ac:dyDescent="0.25">
      <c r="A629" s="564">
        <v>587</v>
      </c>
      <c r="B629" s="570" t="s">
        <v>1926</v>
      </c>
      <c r="C629" s="570">
        <v>62168.75</v>
      </c>
      <c r="D629" s="396"/>
      <c r="E629" s="396"/>
      <c r="F629" s="396"/>
      <c r="G629" s="396"/>
      <c r="H629" s="396"/>
    </row>
    <row r="630" spans="1:8" s="397" customFormat="1" ht="14.25" customHeight="1" x14ac:dyDescent="0.25">
      <c r="A630" s="564">
        <v>588</v>
      </c>
      <c r="B630" s="570" t="s">
        <v>1927</v>
      </c>
      <c r="C630" s="570">
        <v>209429.66</v>
      </c>
      <c r="D630" s="396"/>
      <c r="E630" s="396"/>
      <c r="F630" s="396"/>
      <c r="G630" s="396"/>
      <c r="H630" s="396"/>
    </row>
    <row r="631" spans="1:8" s="397" customFormat="1" ht="14.25" customHeight="1" x14ac:dyDescent="0.25">
      <c r="A631" s="564">
        <v>589</v>
      </c>
      <c r="B631" s="570" t="s">
        <v>1928</v>
      </c>
      <c r="C631" s="570">
        <v>172534.05</v>
      </c>
      <c r="D631" s="396"/>
      <c r="E631" s="396"/>
      <c r="F631" s="396"/>
      <c r="G631" s="396"/>
      <c r="H631" s="396"/>
    </row>
    <row r="632" spans="1:8" s="397" customFormat="1" ht="14.25" customHeight="1" x14ac:dyDescent="0.25">
      <c r="A632" s="564">
        <v>590</v>
      </c>
      <c r="B632" s="570" t="s">
        <v>1929</v>
      </c>
      <c r="C632" s="570">
        <v>108173.63</v>
      </c>
      <c r="D632" s="396"/>
      <c r="E632" s="396"/>
      <c r="F632" s="396"/>
      <c r="G632" s="396"/>
      <c r="H632" s="396"/>
    </row>
    <row r="633" spans="1:8" s="397" customFormat="1" ht="14.25" customHeight="1" x14ac:dyDescent="0.25">
      <c r="A633" s="564">
        <v>591</v>
      </c>
      <c r="B633" s="570" t="s">
        <v>1930</v>
      </c>
      <c r="C633" s="570">
        <v>129654.07</v>
      </c>
      <c r="D633" s="396"/>
      <c r="E633" s="396"/>
      <c r="F633" s="396"/>
      <c r="G633" s="396"/>
      <c r="H633" s="396"/>
    </row>
    <row r="634" spans="1:8" s="397" customFormat="1" ht="14.25" customHeight="1" x14ac:dyDescent="0.25">
      <c r="A634" s="564">
        <v>592</v>
      </c>
      <c r="B634" s="570" t="s">
        <v>1931</v>
      </c>
      <c r="C634" s="570">
        <v>8391.8799999999992</v>
      </c>
      <c r="D634" s="396"/>
      <c r="E634" s="396"/>
      <c r="F634" s="396"/>
      <c r="G634" s="396"/>
      <c r="H634" s="396"/>
    </row>
    <row r="635" spans="1:8" s="397" customFormat="1" ht="14.25" customHeight="1" x14ac:dyDescent="0.25">
      <c r="A635" s="564">
        <v>593</v>
      </c>
      <c r="B635" s="570" t="s">
        <v>1932</v>
      </c>
      <c r="C635" s="570">
        <v>9947</v>
      </c>
      <c r="D635" s="396"/>
      <c r="E635" s="396"/>
      <c r="F635" s="396"/>
      <c r="G635" s="396"/>
      <c r="H635" s="396"/>
    </row>
    <row r="636" spans="1:8" s="397" customFormat="1" ht="14.25" customHeight="1" x14ac:dyDescent="0.25">
      <c r="A636" s="564">
        <v>594</v>
      </c>
      <c r="B636" s="570" t="s">
        <v>1933</v>
      </c>
      <c r="C636" s="570">
        <v>62756</v>
      </c>
      <c r="D636" s="396"/>
      <c r="E636" s="396"/>
      <c r="F636" s="396"/>
      <c r="G636" s="396"/>
      <c r="H636" s="396"/>
    </row>
    <row r="637" spans="1:8" s="397" customFormat="1" ht="14.25" customHeight="1" x14ac:dyDescent="0.25">
      <c r="A637" s="564">
        <v>595</v>
      </c>
      <c r="B637" s="570" t="s">
        <v>1934</v>
      </c>
      <c r="C637" s="570">
        <v>82789.2</v>
      </c>
      <c r="D637" s="396"/>
      <c r="E637" s="396"/>
      <c r="F637" s="396"/>
      <c r="G637" s="396"/>
      <c r="H637" s="396"/>
    </row>
    <row r="638" spans="1:8" s="397" customFormat="1" ht="14.25" customHeight="1" x14ac:dyDescent="0.25">
      <c r="A638" s="564">
        <v>596</v>
      </c>
      <c r="B638" s="570" t="s">
        <v>1935</v>
      </c>
      <c r="C638" s="570">
        <v>27874.799999999999</v>
      </c>
      <c r="D638" s="396"/>
      <c r="E638" s="396"/>
      <c r="F638" s="396"/>
      <c r="G638" s="396"/>
      <c r="H638" s="396"/>
    </row>
    <row r="639" spans="1:8" s="397" customFormat="1" ht="14.25" customHeight="1" x14ac:dyDescent="0.25">
      <c r="A639" s="564">
        <v>597</v>
      </c>
      <c r="B639" s="570" t="s">
        <v>1936</v>
      </c>
      <c r="C639" s="570">
        <v>257450.4</v>
      </c>
      <c r="D639" s="396"/>
      <c r="E639" s="396"/>
      <c r="F639" s="396"/>
      <c r="G639" s="396"/>
      <c r="H639" s="396"/>
    </row>
    <row r="640" spans="1:8" s="397" customFormat="1" ht="14.25" customHeight="1" x14ac:dyDescent="0.25">
      <c r="A640" s="564">
        <v>598</v>
      </c>
      <c r="B640" s="570" t="s">
        <v>1937</v>
      </c>
      <c r="C640" s="570">
        <v>897557.08</v>
      </c>
      <c r="D640" s="396"/>
      <c r="E640" s="396"/>
      <c r="F640" s="396"/>
      <c r="G640" s="396"/>
      <c r="H640" s="396"/>
    </row>
    <row r="641" spans="1:8" s="397" customFormat="1" ht="14.25" customHeight="1" x14ac:dyDescent="0.25">
      <c r="A641" s="564">
        <v>599</v>
      </c>
      <c r="B641" s="570" t="s">
        <v>1938</v>
      </c>
      <c r="C641" s="570">
        <v>546339.14</v>
      </c>
      <c r="D641" s="396"/>
      <c r="E641" s="396"/>
      <c r="F641" s="396"/>
      <c r="G641" s="396"/>
      <c r="H641" s="396"/>
    </row>
    <row r="642" spans="1:8" s="397" customFormat="1" ht="14.25" customHeight="1" x14ac:dyDescent="0.25">
      <c r="A642" s="564">
        <v>601</v>
      </c>
      <c r="B642" s="570" t="s">
        <v>1939</v>
      </c>
      <c r="C642" s="570">
        <v>312750</v>
      </c>
      <c r="D642" s="396"/>
      <c r="E642" s="396"/>
      <c r="F642" s="396"/>
      <c r="G642" s="396"/>
      <c r="H642" s="396"/>
    </row>
    <row r="643" spans="1:8" s="397" customFormat="1" ht="14.25" customHeight="1" x14ac:dyDescent="0.25">
      <c r="A643" s="564">
        <v>602</v>
      </c>
      <c r="B643" s="570" t="s">
        <v>1940</v>
      </c>
      <c r="C643" s="570">
        <v>403346.25</v>
      </c>
      <c r="D643" s="396"/>
      <c r="E643" s="396"/>
      <c r="F643" s="396"/>
      <c r="G643" s="396"/>
      <c r="H643" s="396"/>
    </row>
    <row r="644" spans="1:8" s="397" customFormat="1" ht="14.25" customHeight="1" x14ac:dyDescent="0.25">
      <c r="A644" s="564">
        <v>603</v>
      </c>
      <c r="B644" s="570" t="s">
        <v>1941</v>
      </c>
      <c r="C644" s="570">
        <v>330579</v>
      </c>
      <c r="D644" s="396"/>
      <c r="E644" s="396"/>
      <c r="F644" s="396"/>
      <c r="G644" s="396"/>
      <c r="H644" s="396"/>
    </row>
    <row r="645" spans="1:8" s="397" customFormat="1" ht="14.25" customHeight="1" x14ac:dyDescent="0.25">
      <c r="A645" s="564">
        <v>606</v>
      </c>
      <c r="B645" s="570" t="s">
        <v>1942</v>
      </c>
      <c r="C645" s="570">
        <v>239203.12</v>
      </c>
      <c r="D645" s="396"/>
      <c r="E645" s="396"/>
      <c r="F645" s="396"/>
      <c r="G645" s="396"/>
      <c r="H645" s="396"/>
    </row>
    <row r="646" spans="1:8" s="397" customFormat="1" ht="14.25" customHeight="1" x14ac:dyDescent="0.25">
      <c r="A646" s="564">
        <v>607</v>
      </c>
      <c r="B646" s="570" t="s">
        <v>1943</v>
      </c>
      <c r="C646" s="570">
        <v>947346.79</v>
      </c>
      <c r="D646" s="396"/>
      <c r="E646" s="396"/>
      <c r="F646" s="396"/>
      <c r="G646" s="396"/>
      <c r="H646" s="396"/>
    </row>
    <row r="647" spans="1:8" s="397" customFormat="1" ht="14.25" customHeight="1" x14ac:dyDescent="0.25">
      <c r="A647" s="564">
        <v>608</v>
      </c>
      <c r="B647" s="570" t="s">
        <v>1944</v>
      </c>
      <c r="C647" s="570">
        <v>378463.74</v>
      </c>
      <c r="D647" s="396"/>
      <c r="E647" s="396"/>
      <c r="F647" s="396"/>
      <c r="G647" s="396"/>
      <c r="H647" s="396"/>
    </row>
    <row r="648" spans="1:8" s="397" customFormat="1" ht="14.25" customHeight="1" x14ac:dyDescent="0.25">
      <c r="A648" s="564">
        <v>609</v>
      </c>
      <c r="B648" s="570" t="s">
        <v>1945</v>
      </c>
      <c r="C648" s="570">
        <v>100061.5</v>
      </c>
      <c r="D648" s="396"/>
      <c r="E648" s="396"/>
      <c r="F648" s="396"/>
      <c r="G648" s="396"/>
      <c r="H648" s="396"/>
    </row>
    <row r="649" spans="1:8" s="397" customFormat="1" ht="14.25" customHeight="1" x14ac:dyDescent="0.25">
      <c r="A649" s="564">
        <v>610</v>
      </c>
      <c r="B649" s="570" t="s">
        <v>1946</v>
      </c>
      <c r="C649" s="570">
        <v>392392</v>
      </c>
      <c r="D649" s="396"/>
      <c r="E649" s="396"/>
      <c r="F649" s="396"/>
      <c r="G649" s="396"/>
      <c r="H649" s="396"/>
    </row>
    <row r="650" spans="1:8" s="397" customFormat="1" ht="14.25" customHeight="1" x14ac:dyDescent="0.25">
      <c r="A650" s="564">
        <v>611</v>
      </c>
      <c r="B650" s="570" t="s">
        <v>1947</v>
      </c>
      <c r="C650" s="570">
        <v>586162.5</v>
      </c>
      <c r="D650" s="396"/>
      <c r="E650" s="396"/>
      <c r="F650" s="396"/>
      <c r="G650" s="396"/>
      <c r="H650" s="396"/>
    </row>
    <row r="651" spans="1:8" s="397" customFormat="1" ht="14.25" customHeight="1" x14ac:dyDescent="0.25">
      <c r="A651" s="564">
        <v>613</v>
      </c>
      <c r="B651" s="570" t="s">
        <v>1948</v>
      </c>
      <c r="C651" s="570">
        <v>242606.25</v>
      </c>
      <c r="D651" s="396"/>
      <c r="E651" s="396"/>
      <c r="F651" s="396"/>
      <c r="G651" s="396"/>
      <c r="H651" s="396"/>
    </row>
    <row r="652" spans="1:8" s="397" customFormat="1" ht="14.25" customHeight="1" x14ac:dyDescent="0.25">
      <c r="A652" s="564">
        <v>614</v>
      </c>
      <c r="B652" s="570" t="s">
        <v>1949</v>
      </c>
      <c r="C652" s="570">
        <v>111780</v>
      </c>
      <c r="D652" s="396"/>
      <c r="E652" s="396"/>
      <c r="F652" s="396"/>
      <c r="G652" s="396"/>
      <c r="H652" s="396"/>
    </row>
    <row r="653" spans="1:8" s="397" customFormat="1" ht="14.25" customHeight="1" x14ac:dyDescent="0.25">
      <c r="A653" s="564">
        <v>615</v>
      </c>
      <c r="B653" s="570" t="s">
        <v>1950</v>
      </c>
      <c r="C653" s="570">
        <v>373780.76</v>
      </c>
      <c r="D653" s="396"/>
      <c r="E653" s="396"/>
      <c r="F653" s="396"/>
      <c r="G653" s="396"/>
      <c r="H653" s="396"/>
    </row>
    <row r="654" spans="1:8" s="397" customFormat="1" ht="14.25" customHeight="1" x14ac:dyDescent="0.25">
      <c r="A654" s="564">
        <v>616</v>
      </c>
      <c r="B654" s="570" t="s">
        <v>1951</v>
      </c>
      <c r="C654" s="570">
        <v>508950</v>
      </c>
      <c r="D654" s="396"/>
      <c r="E654" s="396"/>
      <c r="F654" s="396"/>
      <c r="G654" s="396"/>
      <c r="H654" s="396"/>
    </row>
    <row r="655" spans="1:8" s="397" customFormat="1" ht="14.25" customHeight="1" x14ac:dyDescent="0.25">
      <c r="A655" s="564">
        <v>617</v>
      </c>
      <c r="B655" s="570" t="s">
        <v>1952</v>
      </c>
      <c r="C655" s="570">
        <v>343125</v>
      </c>
      <c r="D655" s="396"/>
      <c r="E655" s="396"/>
      <c r="F655" s="396"/>
      <c r="G655" s="396"/>
      <c r="H655" s="396"/>
    </row>
    <row r="656" spans="1:8" s="397" customFormat="1" ht="14.25" customHeight="1" x14ac:dyDescent="0.25">
      <c r="A656" s="564">
        <v>618</v>
      </c>
      <c r="B656" s="570" t="s">
        <v>1953</v>
      </c>
      <c r="C656" s="570">
        <v>718611.75</v>
      </c>
      <c r="D656" s="396"/>
      <c r="E656" s="396"/>
      <c r="F656" s="396"/>
      <c r="G656" s="396"/>
      <c r="H656" s="396"/>
    </row>
    <row r="657" spans="1:8" s="397" customFormat="1" ht="14.25" customHeight="1" x14ac:dyDescent="0.25">
      <c r="A657" s="564">
        <v>619</v>
      </c>
      <c r="B657" s="570" t="s">
        <v>1954</v>
      </c>
      <c r="C657" s="570">
        <v>346558.62</v>
      </c>
      <c r="D657" s="396"/>
      <c r="E657" s="396"/>
      <c r="F657" s="396"/>
      <c r="G657" s="396"/>
      <c r="H657" s="396"/>
    </row>
    <row r="658" spans="1:8" s="397" customFormat="1" ht="14.25" customHeight="1" x14ac:dyDescent="0.25">
      <c r="A658" s="564">
        <v>620</v>
      </c>
      <c r="B658" s="570" t="s">
        <v>1955</v>
      </c>
      <c r="C658" s="570">
        <v>44160</v>
      </c>
      <c r="D658" s="396"/>
      <c r="E658" s="396"/>
      <c r="F658" s="396"/>
      <c r="G658" s="396"/>
      <c r="H658" s="396"/>
    </row>
    <row r="659" spans="1:8" s="397" customFormat="1" ht="14.25" customHeight="1" x14ac:dyDescent="0.25">
      <c r="A659" s="564">
        <v>621</v>
      </c>
      <c r="B659" s="570" t="s">
        <v>1956</v>
      </c>
      <c r="C659" s="570">
        <v>667821.56999999995</v>
      </c>
      <c r="D659" s="396"/>
      <c r="E659" s="396"/>
      <c r="F659" s="396"/>
      <c r="G659" s="396"/>
      <c r="H659" s="396"/>
    </row>
    <row r="660" spans="1:8" s="397" customFormat="1" ht="14.25" customHeight="1" x14ac:dyDescent="0.25">
      <c r="A660" s="564">
        <v>622</v>
      </c>
      <c r="B660" s="570" t="s">
        <v>1957</v>
      </c>
      <c r="C660" s="570">
        <v>802291.82</v>
      </c>
      <c r="D660" s="396"/>
      <c r="E660" s="396"/>
      <c r="F660" s="396"/>
      <c r="G660" s="396"/>
      <c r="H660" s="396"/>
    </row>
    <row r="661" spans="1:8" s="397" customFormat="1" ht="14.25" customHeight="1" x14ac:dyDescent="0.25">
      <c r="A661" s="564">
        <v>623</v>
      </c>
      <c r="B661" s="570" t="s">
        <v>1958</v>
      </c>
      <c r="C661" s="570">
        <v>489035.35</v>
      </c>
      <c r="D661" s="396"/>
      <c r="E661" s="396"/>
      <c r="F661" s="396"/>
      <c r="G661" s="396"/>
      <c r="H661" s="396"/>
    </row>
    <row r="662" spans="1:8" s="397" customFormat="1" ht="14.25" customHeight="1" x14ac:dyDescent="0.25">
      <c r="A662" s="564">
        <v>624</v>
      </c>
      <c r="B662" s="570" t="s">
        <v>1959</v>
      </c>
      <c r="C662" s="570">
        <v>608178.72</v>
      </c>
      <c r="D662" s="396"/>
      <c r="E662" s="396"/>
      <c r="F662" s="396"/>
      <c r="G662" s="396"/>
      <c r="H662" s="396"/>
    </row>
    <row r="663" spans="1:8" s="397" customFormat="1" ht="14.25" customHeight="1" x14ac:dyDescent="0.25">
      <c r="A663" s="564">
        <v>625</v>
      </c>
      <c r="B663" s="570" t="s">
        <v>1960</v>
      </c>
      <c r="C663" s="570">
        <v>17558.77</v>
      </c>
      <c r="D663" s="396"/>
      <c r="E663" s="396"/>
      <c r="F663" s="396"/>
      <c r="G663" s="396"/>
      <c r="H663" s="396"/>
    </row>
    <row r="664" spans="1:8" s="397" customFormat="1" ht="14.25" customHeight="1" x14ac:dyDescent="0.25">
      <c r="A664" s="564">
        <v>626</v>
      </c>
      <c r="B664" s="570" t="s">
        <v>1961</v>
      </c>
      <c r="C664" s="570">
        <v>490658.69</v>
      </c>
      <c r="D664" s="396"/>
      <c r="E664" s="396"/>
      <c r="F664" s="396"/>
      <c r="G664" s="396"/>
      <c r="H664" s="396"/>
    </row>
    <row r="665" spans="1:8" s="397" customFormat="1" ht="14.25" customHeight="1" x14ac:dyDescent="0.25">
      <c r="A665" s="564">
        <v>627</v>
      </c>
      <c r="B665" s="570" t="s">
        <v>1962</v>
      </c>
      <c r="C665" s="570">
        <v>112746.38</v>
      </c>
      <c r="D665" s="396"/>
      <c r="E665" s="396"/>
      <c r="F665" s="396"/>
      <c r="G665" s="396"/>
      <c r="H665" s="396"/>
    </row>
    <row r="666" spans="1:8" s="397" customFormat="1" ht="14.25" customHeight="1" x14ac:dyDescent="0.25">
      <c r="A666" s="564">
        <v>628</v>
      </c>
      <c r="B666" s="570" t="s">
        <v>1963</v>
      </c>
      <c r="C666" s="570">
        <v>85260</v>
      </c>
      <c r="D666" s="396"/>
      <c r="E666" s="396"/>
      <c r="F666" s="396"/>
      <c r="G666" s="396"/>
      <c r="H666" s="396"/>
    </row>
    <row r="667" spans="1:8" s="397" customFormat="1" ht="14.25" customHeight="1" x14ac:dyDescent="0.25">
      <c r="A667" s="564">
        <v>630</v>
      </c>
      <c r="B667" s="570" t="s">
        <v>1964</v>
      </c>
      <c r="C667" s="570">
        <v>104763.31</v>
      </c>
      <c r="D667" s="396"/>
      <c r="E667" s="396"/>
      <c r="F667" s="396"/>
      <c r="G667" s="396"/>
      <c r="H667" s="396"/>
    </row>
    <row r="668" spans="1:8" s="397" customFormat="1" ht="14.25" customHeight="1" x14ac:dyDescent="0.25">
      <c r="A668" s="564">
        <v>631</v>
      </c>
      <c r="B668" s="570" t="s">
        <v>1965</v>
      </c>
      <c r="C668" s="570">
        <v>183920.88</v>
      </c>
      <c r="D668" s="396"/>
      <c r="E668" s="396"/>
      <c r="F668" s="396"/>
      <c r="G668" s="396"/>
      <c r="H668" s="396"/>
    </row>
    <row r="669" spans="1:8" s="397" customFormat="1" ht="14.25" customHeight="1" x14ac:dyDescent="0.25">
      <c r="A669" s="564">
        <v>632</v>
      </c>
      <c r="B669" s="570" t="s">
        <v>1966</v>
      </c>
      <c r="C669" s="570">
        <v>137733.75</v>
      </c>
      <c r="D669" s="396"/>
      <c r="E669" s="396"/>
      <c r="F669" s="396"/>
      <c r="G669" s="396"/>
      <c r="H669" s="396"/>
    </row>
    <row r="670" spans="1:8" s="397" customFormat="1" ht="14.25" customHeight="1" x14ac:dyDescent="0.25">
      <c r="A670" s="564">
        <v>633</v>
      </c>
      <c r="B670" s="570" t="s">
        <v>1967</v>
      </c>
      <c r="C670" s="570">
        <v>173151.01</v>
      </c>
      <c r="D670" s="396"/>
      <c r="E670" s="396"/>
      <c r="F670" s="396"/>
      <c r="G670" s="396"/>
      <c r="H670" s="396"/>
    </row>
    <row r="671" spans="1:8" s="397" customFormat="1" ht="14.25" customHeight="1" x14ac:dyDescent="0.25">
      <c r="A671" s="564">
        <v>635</v>
      </c>
      <c r="B671" s="570" t="s">
        <v>1968</v>
      </c>
      <c r="C671" s="570">
        <v>284310</v>
      </c>
      <c r="D671" s="396"/>
      <c r="E671" s="396"/>
      <c r="F671" s="396"/>
      <c r="G671" s="396"/>
      <c r="H671" s="396"/>
    </row>
    <row r="672" spans="1:8" s="397" customFormat="1" ht="14.25" customHeight="1" x14ac:dyDescent="0.25">
      <c r="A672" s="564">
        <v>636</v>
      </c>
      <c r="B672" s="570" t="s">
        <v>1969</v>
      </c>
      <c r="C672" s="570">
        <v>284310</v>
      </c>
      <c r="D672" s="396"/>
      <c r="E672" s="396"/>
      <c r="F672" s="396"/>
      <c r="G672" s="396"/>
      <c r="H672" s="396"/>
    </row>
    <row r="673" spans="1:8" s="397" customFormat="1" ht="14.25" customHeight="1" x14ac:dyDescent="0.25">
      <c r="A673" s="564">
        <v>637</v>
      </c>
      <c r="B673" s="570" t="s">
        <v>1970</v>
      </c>
      <c r="C673" s="570">
        <v>134665.92000000001</v>
      </c>
      <c r="D673" s="396"/>
      <c r="E673" s="396"/>
      <c r="F673" s="396"/>
      <c r="G673" s="396"/>
      <c r="H673" s="396"/>
    </row>
    <row r="674" spans="1:8" s="397" customFormat="1" ht="14.25" customHeight="1" x14ac:dyDescent="0.25">
      <c r="A674" s="564">
        <v>638</v>
      </c>
      <c r="B674" s="570" t="s">
        <v>1971</v>
      </c>
      <c r="C674" s="570">
        <v>172068.75</v>
      </c>
      <c r="D674" s="396"/>
      <c r="E674" s="396"/>
      <c r="F674" s="396"/>
      <c r="G674" s="396"/>
      <c r="H674" s="396"/>
    </row>
    <row r="675" spans="1:8" s="397" customFormat="1" ht="14.25" customHeight="1" x14ac:dyDescent="0.25">
      <c r="A675" s="564">
        <v>639</v>
      </c>
      <c r="B675" s="570" t="s">
        <v>1972</v>
      </c>
      <c r="C675" s="570">
        <v>877837.5</v>
      </c>
      <c r="D675" s="396"/>
      <c r="E675" s="396"/>
      <c r="F675" s="396"/>
      <c r="G675" s="396"/>
      <c r="H675" s="396"/>
    </row>
    <row r="676" spans="1:8" s="397" customFormat="1" ht="14.25" customHeight="1" x14ac:dyDescent="0.25">
      <c r="A676" s="564">
        <v>640</v>
      </c>
      <c r="B676" s="570" t="s">
        <v>1973</v>
      </c>
      <c r="C676" s="570">
        <v>276075</v>
      </c>
      <c r="D676" s="396"/>
      <c r="E676" s="396"/>
      <c r="F676" s="396"/>
      <c r="G676" s="396"/>
      <c r="H676" s="396"/>
    </row>
    <row r="677" spans="1:8" s="397" customFormat="1" ht="14.25" customHeight="1" x14ac:dyDescent="0.25">
      <c r="A677" s="564">
        <v>641</v>
      </c>
      <c r="B677" s="570" t="s">
        <v>1974</v>
      </c>
      <c r="C677" s="570">
        <v>433497.48</v>
      </c>
      <c r="D677" s="396"/>
      <c r="E677" s="396"/>
      <c r="F677" s="396"/>
      <c r="G677" s="396"/>
      <c r="H677" s="396"/>
    </row>
    <row r="678" spans="1:8" s="397" customFormat="1" ht="14.25" customHeight="1" x14ac:dyDescent="0.25">
      <c r="A678" s="564">
        <v>642</v>
      </c>
      <c r="B678" s="570" t="s">
        <v>1975</v>
      </c>
      <c r="C678" s="570">
        <v>173549.99</v>
      </c>
      <c r="D678" s="396"/>
      <c r="E678" s="396"/>
      <c r="F678" s="396"/>
      <c r="G678" s="396"/>
      <c r="H678" s="396"/>
    </row>
    <row r="679" spans="1:8" s="397" customFormat="1" ht="14.25" customHeight="1" x14ac:dyDescent="0.25">
      <c r="A679" s="564">
        <v>643</v>
      </c>
      <c r="B679" s="570" t="s">
        <v>1976</v>
      </c>
      <c r="C679" s="570">
        <v>112868.1</v>
      </c>
      <c r="D679" s="396"/>
      <c r="E679" s="396"/>
      <c r="F679" s="396"/>
      <c r="G679" s="396"/>
      <c r="H679" s="396"/>
    </row>
    <row r="680" spans="1:8" s="397" customFormat="1" ht="14.25" customHeight="1" x14ac:dyDescent="0.25">
      <c r="A680" s="564">
        <v>644</v>
      </c>
      <c r="B680" s="570" t="s">
        <v>1977</v>
      </c>
      <c r="C680" s="570">
        <v>167220</v>
      </c>
      <c r="D680" s="396"/>
      <c r="E680" s="396"/>
      <c r="F680" s="396"/>
      <c r="G680" s="396"/>
      <c r="H680" s="396"/>
    </row>
    <row r="681" spans="1:8" s="397" customFormat="1" ht="14.25" customHeight="1" x14ac:dyDescent="0.25">
      <c r="A681" s="564">
        <v>646</v>
      </c>
      <c r="B681" s="570" t="s">
        <v>1978</v>
      </c>
      <c r="C681" s="570">
        <v>512325</v>
      </c>
      <c r="D681" s="396"/>
      <c r="E681" s="396"/>
      <c r="F681" s="396"/>
      <c r="G681" s="396"/>
      <c r="H681" s="396"/>
    </row>
    <row r="682" spans="1:8" s="397" customFormat="1" ht="14.25" customHeight="1" x14ac:dyDescent="0.25">
      <c r="A682" s="564">
        <v>651</v>
      </c>
      <c r="B682" s="570" t="s">
        <v>1979</v>
      </c>
      <c r="C682" s="570">
        <v>52000.47</v>
      </c>
      <c r="D682" s="396"/>
      <c r="E682" s="396"/>
      <c r="F682" s="396"/>
      <c r="G682" s="396"/>
      <c r="H682" s="396"/>
    </row>
    <row r="683" spans="1:8" s="397" customFormat="1" ht="14.25" customHeight="1" x14ac:dyDescent="0.25">
      <c r="A683" s="564">
        <v>664</v>
      </c>
      <c r="B683" s="570" t="s">
        <v>1980</v>
      </c>
      <c r="C683" s="570">
        <v>714996.25</v>
      </c>
      <c r="D683" s="396"/>
      <c r="E683" s="396"/>
      <c r="F683" s="396"/>
      <c r="G683" s="396"/>
      <c r="H683" s="396"/>
    </row>
    <row r="684" spans="1:8" s="397" customFormat="1" ht="14.25" customHeight="1" x14ac:dyDescent="0.25">
      <c r="A684" s="564">
        <v>665</v>
      </c>
      <c r="B684" s="570" t="s">
        <v>1981</v>
      </c>
      <c r="C684" s="570">
        <v>207144</v>
      </c>
      <c r="D684" s="396"/>
      <c r="E684" s="396"/>
      <c r="F684" s="396"/>
      <c r="G684" s="396"/>
      <c r="H684" s="396"/>
    </row>
    <row r="685" spans="1:8" s="397" customFormat="1" ht="14.25" customHeight="1" x14ac:dyDescent="0.25">
      <c r="A685" s="564">
        <v>666</v>
      </c>
      <c r="B685" s="570" t="s">
        <v>1982</v>
      </c>
      <c r="C685" s="570">
        <v>48240</v>
      </c>
      <c r="D685" s="396"/>
      <c r="E685" s="396"/>
      <c r="F685" s="396"/>
      <c r="G685" s="396"/>
      <c r="H685" s="396"/>
    </row>
    <row r="686" spans="1:8" s="397" customFormat="1" ht="14.25" customHeight="1" x14ac:dyDescent="0.25">
      <c r="A686" s="564">
        <v>667</v>
      </c>
      <c r="B686" s="570" t="s">
        <v>1983</v>
      </c>
      <c r="C686" s="570">
        <v>16812.18</v>
      </c>
      <c r="D686" s="396"/>
      <c r="E686" s="396"/>
      <c r="F686" s="396"/>
      <c r="G686" s="396"/>
      <c r="H686" s="396"/>
    </row>
    <row r="687" spans="1:8" s="397" customFormat="1" ht="14.25" customHeight="1" x14ac:dyDescent="0.25">
      <c r="A687" s="564">
        <v>670</v>
      </c>
      <c r="B687" s="570" t="s">
        <v>1984</v>
      </c>
      <c r="C687" s="570">
        <v>514800</v>
      </c>
      <c r="D687" s="396"/>
      <c r="E687" s="396"/>
      <c r="F687" s="396"/>
      <c r="G687" s="396"/>
      <c r="H687" s="396"/>
    </row>
    <row r="688" spans="1:8" s="397" customFormat="1" ht="14.25" customHeight="1" x14ac:dyDescent="0.25">
      <c r="A688" s="564">
        <v>671</v>
      </c>
      <c r="B688" s="570" t="s">
        <v>1985</v>
      </c>
      <c r="C688" s="570">
        <v>1104037.5</v>
      </c>
      <c r="D688" s="396"/>
      <c r="E688" s="396"/>
      <c r="F688" s="396"/>
      <c r="G688" s="396"/>
      <c r="H688" s="396"/>
    </row>
    <row r="689" spans="1:8" s="397" customFormat="1" ht="14.25" customHeight="1" x14ac:dyDescent="0.25">
      <c r="A689" s="564">
        <v>672</v>
      </c>
      <c r="B689" s="570" t="s">
        <v>1986</v>
      </c>
      <c r="C689" s="570">
        <v>129489.15</v>
      </c>
      <c r="D689" s="396"/>
      <c r="E689" s="396"/>
      <c r="F689" s="396"/>
      <c r="G689" s="396"/>
      <c r="H689" s="396"/>
    </row>
    <row r="690" spans="1:8" s="397" customFormat="1" ht="14.25" customHeight="1" x14ac:dyDescent="0.25">
      <c r="A690" s="564">
        <v>673</v>
      </c>
      <c r="B690" s="570" t="s">
        <v>1987</v>
      </c>
      <c r="C690" s="570">
        <v>187462.8</v>
      </c>
      <c r="D690" s="396"/>
      <c r="E690" s="396"/>
      <c r="F690" s="396"/>
      <c r="G690" s="396"/>
      <c r="H690" s="396"/>
    </row>
    <row r="691" spans="1:8" s="397" customFormat="1" ht="14.25" customHeight="1" x14ac:dyDescent="0.25">
      <c r="A691" s="564">
        <v>677</v>
      </c>
      <c r="B691" s="570" t="s">
        <v>1988</v>
      </c>
      <c r="C691" s="570">
        <v>294296.05</v>
      </c>
      <c r="D691" s="396"/>
      <c r="E691" s="396"/>
      <c r="F691" s="396"/>
      <c r="G691" s="396"/>
      <c r="H691" s="396"/>
    </row>
    <row r="692" spans="1:8" s="397" customFormat="1" ht="14.25" customHeight="1" x14ac:dyDescent="0.25">
      <c r="A692" s="564">
        <v>678</v>
      </c>
      <c r="B692" s="570" t="s">
        <v>1989</v>
      </c>
      <c r="C692" s="570">
        <v>54000</v>
      </c>
      <c r="D692" s="396"/>
      <c r="E692" s="396"/>
      <c r="F692" s="396"/>
      <c r="G692" s="396"/>
      <c r="H692" s="396"/>
    </row>
    <row r="693" spans="1:8" s="397" customFormat="1" ht="14.25" customHeight="1" x14ac:dyDescent="0.25">
      <c r="A693" s="564">
        <v>679</v>
      </c>
      <c r="B693" s="570" t="s">
        <v>1990</v>
      </c>
      <c r="C693" s="570">
        <v>60000</v>
      </c>
      <c r="D693" s="396"/>
      <c r="E693" s="396"/>
      <c r="F693" s="396"/>
      <c r="G693" s="396"/>
      <c r="H693" s="396"/>
    </row>
    <row r="694" spans="1:8" s="397" customFormat="1" ht="14.25" customHeight="1" x14ac:dyDescent="0.25">
      <c r="A694" s="564">
        <v>680</v>
      </c>
      <c r="B694" s="570" t="s">
        <v>1991</v>
      </c>
      <c r="C694" s="570">
        <v>60000</v>
      </c>
      <c r="D694" s="396"/>
      <c r="E694" s="396"/>
      <c r="F694" s="396"/>
      <c r="G694" s="396"/>
      <c r="H694" s="396"/>
    </row>
    <row r="695" spans="1:8" s="397" customFormat="1" ht="14.25" customHeight="1" x14ac:dyDescent="0.25">
      <c r="A695" s="564">
        <v>687</v>
      </c>
      <c r="B695" s="570" t="s">
        <v>1992</v>
      </c>
      <c r="C695" s="570">
        <v>98612.5</v>
      </c>
      <c r="D695" s="396"/>
      <c r="E695" s="396"/>
      <c r="F695" s="396"/>
      <c r="G695" s="396"/>
      <c r="H695" s="396"/>
    </row>
    <row r="696" spans="1:8" s="397" customFormat="1" ht="14.25" customHeight="1" x14ac:dyDescent="0.25">
      <c r="A696" s="564">
        <v>689</v>
      </c>
      <c r="B696" s="570" t="s">
        <v>1993</v>
      </c>
      <c r="C696" s="570">
        <v>46440.45</v>
      </c>
      <c r="D696" s="396"/>
      <c r="E696" s="396"/>
      <c r="F696" s="396"/>
      <c r="G696" s="396"/>
      <c r="H696" s="396"/>
    </row>
    <row r="697" spans="1:8" s="397" customFormat="1" ht="14.25" customHeight="1" x14ac:dyDescent="0.25">
      <c r="A697" s="564">
        <v>691</v>
      </c>
      <c r="B697" s="570" t="s">
        <v>1994</v>
      </c>
      <c r="C697" s="570">
        <v>256921.87</v>
      </c>
      <c r="D697" s="396"/>
      <c r="E697" s="396"/>
      <c r="F697" s="396"/>
      <c r="G697" s="396"/>
      <c r="H697" s="396"/>
    </row>
    <row r="698" spans="1:8" s="397" customFormat="1" ht="14.25" customHeight="1" x14ac:dyDescent="0.25">
      <c r="A698" s="564">
        <v>692</v>
      </c>
      <c r="B698" s="570" t="s">
        <v>1995</v>
      </c>
      <c r="C698" s="570">
        <v>973153.13</v>
      </c>
      <c r="D698" s="396"/>
      <c r="E698" s="396"/>
      <c r="F698" s="396"/>
      <c r="G698" s="396"/>
      <c r="H698" s="396"/>
    </row>
    <row r="699" spans="1:8" s="397" customFormat="1" ht="14.25" customHeight="1" x14ac:dyDescent="0.25">
      <c r="A699" s="564">
        <v>696</v>
      </c>
      <c r="B699" s="570" t="s">
        <v>1996</v>
      </c>
      <c r="C699" s="570">
        <v>85310.55</v>
      </c>
      <c r="D699" s="396"/>
      <c r="E699" s="396"/>
      <c r="F699" s="396"/>
      <c r="G699" s="396"/>
      <c r="H699" s="396"/>
    </row>
    <row r="700" spans="1:8" s="397" customFormat="1" ht="14.25" customHeight="1" x14ac:dyDescent="0.25">
      <c r="A700" s="564">
        <v>697</v>
      </c>
      <c r="B700" s="570" t="s">
        <v>1997</v>
      </c>
      <c r="C700" s="570">
        <v>86240.7</v>
      </c>
      <c r="D700" s="396"/>
      <c r="E700" s="396"/>
      <c r="F700" s="396"/>
      <c r="G700" s="396"/>
      <c r="H700" s="396"/>
    </row>
    <row r="701" spans="1:8" s="397" customFormat="1" ht="14.25" customHeight="1" x14ac:dyDescent="0.25">
      <c r="A701" s="564">
        <v>700</v>
      </c>
      <c r="B701" s="570" t="s">
        <v>1998</v>
      </c>
      <c r="C701" s="570">
        <v>618970.94999999995</v>
      </c>
      <c r="D701" s="396"/>
      <c r="E701" s="396"/>
      <c r="F701" s="396"/>
      <c r="G701" s="396"/>
      <c r="H701" s="396"/>
    </row>
    <row r="702" spans="1:8" s="397" customFormat="1" ht="14.25" customHeight="1" x14ac:dyDescent="0.25">
      <c r="A702" s="564">
        <v>701</v>
      </c>
      <c r="B702" s="570" t="s">
        <v>1999</v>
      </c>
      <c r="C702" s="570">
        <v>60345</v>
      </c>
      <c r="D702" s="396"/>
      <c r="E702" s="396"/>
      <c r="F702" s="396"/>
      <c r="G702" s="396"/>
      <c r="H702" s="396"/>
    </row>
    <row r="703" spans="1:8" s="397" customFormat="1" ht="14.25" customHeight="1" x14ac:dyDescent="0.25">
      <c r="A703" s="564">
        <v>706</v>
      </c>
      <c r="B703" s="570" t="s">
        <v>2000</v>
      </c>
      <c r="C703" s="570">
        <v>135047.25</v>
      </c>
      <c r="D703" s="396"/>
      <c r="E703" s="396"/>
      <c r="F703" s="396"/>
      <c r="G703" s="396"/>
      <c r="H703" s="396"/>
    </row>
    <row r="704" spans="1:8" s="397" customFormat="1" ht="14.25" customHeight="1" x14ac:dyDescent="0.25">
      <c r="A704" s="564">
        <v>707</v>
      </c>
      <c r="B704" s="570" t="s">
        <v>2001</v>
      </c>
      <c r="C704" s="570">
        <v>135047.25</v>
      </c>
      <c r="D704" s="396"/>
      <c r="E704" s="396"/>
      <c r="F704" s="396"/>
      <c r="G704" s="396"/>
      <c r="H704" s="396"/>
    </row>
    <row r="705" spans="1:8" s="397" customFormat="1" ht="14.25" customHeight="1" x14ac:dyDescent="0.25">
      <c r="A705" s="564">
        <v>708</v>
      </c>
      <c r="B705" s="570" t="s">
        <v>2002</v>
      </c>
      <c r="C705" s="570">
        <v>135152.54999999999</v>
      </c>
      <c r="D705" s="396"/>
      <c r="E705" s="396"/>
      <c r="F705" s="396"/>
      <c r="G705" s="396"/>
      <c r="H705" s="396"/>
    </row>
    <row r="706" spans="1:8" s="397" customFormat="1" ht="14.25" customHeight="1" x14ac:dyDescent="0.25">
      <c r="A706" s="564">
        <v>710</v>
      </c>
      <c r="B706" s="570" t="s">
        <v>2012</v>
      </c>
      <c r="C706" s="570">
        <v>259827.75</v>
      </c>
      <c r="D706" s="396"/>
      <c r="E706" s="396"/>
      <c r="F706" s="396"/>
      <c r="G706" s="396"/>
      <c r="H706" s="396"/>
    </row>
    <row r="707" spans="1:8" s="397" customFormat="1" ht="14.25" customHeight="1" x14ac:dyDescent="0.25">
      <c r="A707" s="564">
        <v>711</v>
      </c>
      <c r="B707" s="570" t="s">
        <v>2013</v>
      </c>
      <c r="C707" s="570">
        <v>159915.6</v>
      </c>
      <c r="D707" s="396"/>
      <c r="E707" s="396"/>
      <c r="F707" s="396"/>
      <c r="G707" s="396"/>
      <c r="H707" s="396"/>
    </row>
    <row r="708" spans="1:8" s="397" customFormat="1" ht="14.25" customHeight="1" x14ac:dyDescent="0.25">
      <c r="A708" s="564">
        <v>712</v>
      </c>
      <c r="B708" s="570" t="s">
        <v>2014</v>
      </c>
      <c r="C708" s="570">
        <v>190084.05</v>
      </c>
      <c r="D708" s="396"/>
      <c r="E708" s="396"/>
      <c r="F708" s="396"/>
      <c r="G708" s="396"/>
      <c r="H708" s="396"/>
    </row>
    <row r="709" spans="1:8" s="397" customFormat="1" ht="14.25" customHeight="1" x14ac:dyDescent="0.25">
      <c r="A709" s="564">
        <v>717</v>
      </c>
      <c r="B709" s="570" t="s">
        <v>2015</v>
      </c>
      <c r="C709" s="570">
        <v>506250</v>
      </c>
      <c r="D709" s="396"/>
      <c r="E709" s="396"/>
      <c r="F709" s="396"/>
      <c r="G709" s="396"/>
      <c r="H709" s="396"/>
    </row>
    <row r="710" spans="1:8" s="397" customFormat="1" ht="14.25" customHeight="1" x14ac:dyDescent="0.25">
      <c r="A710" s="564">
        <v>722</v>
      </c>
      <c r="B710" s="570" t="s">
        <v>2016</v>
      </c>
      <c r="C710" s="570">
        <v>102465</v>
      </c>
      <c r="D710" s="396"/>
      <c r="E710" s="396"/>
      <c r="F710" s="396"/>
      <c r="G710" s="396"/>
      <c r="H710" s="396"/>
    </row>
    <row r="711" spans="1:8" s="397" customFormat="1" ht="14.25" customHeight="1" x14ac:dyDescent="0.25">
      <c r="A711" s="564">
        <v>723</v>
      </c>
      <c r="B711" s="570" t="s">
        <v>2017</v>
      </c>
      <c r="C711" s="570">
        <v>102465</v>
      </c>
      <c r="D711" s="396"/>
      <c r="E711" s="396"/>
      <c r="F711" s="396"/>
      <c r="G711" s="396"/>
      <c r="H711" s="396"/>
    </row>
    <row r="712" spans="1:8" s="397" customFormat="1" ht="14.25" customHeight="1" x14ac:dyDescent="0.25">
      <c r="A712" s="564">
        <v>724</v>
      </c>
      <c r="B712" s="570" t="s">
        <v>2018</v>
      </c>
      <c r="C712" s="570">
        <v>234000</v>
      </c>
      <c r="D712" s="396"/>
      <c r="E712" s="396"/>
      <c r="F712" s="396"/>
      <c r="G712" s="396"/>
      <c r="H712" s="396"/>
    </row>
    <row r="713" spans="1:8" s="397" customFormat="1" ht="14.25" customHeight="1" x14ac:dyDescent="0.25">
      <c r="A713" s="564">
        <v>725</v>
      </c>
      <c r="B713" s="570" t="s">
        <v>2019</v>
      </c>
      <c r="C713" s="570">
        <v>243000</v>
      </c>
      <c r="D713" s="396"/>
      <c r="E713" s="396"/>
      <c r="F713" s="396"/>
      <c r="G713" s="396"/>
      <c r="H713" s="396"/>
    </row>
    <row r="714" spans="1:8" s="397" customFormat="1" ht="14.25" customHeight="1" x14ac:dyDescent="0.25">
      <c r="A714" s="564">
        <v>726</v>
      </c>
      <c r="B714" s="570" t="s">
        <v>2020</v>
      </c>
      <c r="C714" s="570">
        <v>352742</v>
      </c>
      <c r="D714" s="396"/>
      <c r="E714" s="396"/>
      <c r="F714" s="396"/>
      <c r="G714" s="396"/>
      <c r="H714" s="396"/>
    </row>
    <row r="715" spans="1:8" s="397" customFormat="1" ht="14.25" customHeight="1" x14ac:dyDescent="0.25">
      <c r="A715" s="564">
        <v>727</v>
      </c>
      <c r="B715" s="570" t="s">
        <v>2021</v>
      </c>
      <c r="C715" s="570">
        <v>234000</v>
      </c>
      <c r="D715" s="396"/>
      <c r="E715" s="396"/>
      <c r="F715" s="396"/>
      <c r="G715" s="396"/>
      <c r="H715" s="396"/>
    </row>
    <row r="716" spans="1:8" s="397" customFormat="1" ht="14.25" customHeight="1" x14ac:dyDescent="0.25">
      <c r="A716" s="564">
        <v>728</v>
      </c>
      <c r="B716" s="570" t="s">
        <v>2022</v>
      </c>
      <c r="C716" s="570">
        <v>234000</v>
      </c>
      <c r="D716" s="396"/>
      <c r="E716" s="396"/>
      <c r="F716" s="396"/>
      <c r="G716" s="396"/>
      <c r="H716" s="396"/>
    </row>
    <row r="717" spans="1:8" s="397" customFormat="1" ht="14.25" customHeight="1" x14ac:dyDescent="0.25">
      <c r="A717" s="564">
        <v>731</v>
      </c>
      <c r="B717" s="570" t="s">
        <v>2023</v>
      </c>
      <c r="C717" s="570">
        <v>149314.13</v>
      </c>
      <c r="D717" s="396"/>
      <c r="E717" s="396"/>
      <c r="F717" s="396"/>
      <c r="G717" s="396"/>
      <c r="H717" s="396"/>
    </row>
    <row r="718" spans="1:8" s="397" customFormat="1" ht="14.25" customHeight="1" x14ac:dyDescent="0.25">
      <c r="A718" s="564">
        <v>732</v>
      </c>
      <c r="B718" s="570" t="s">
        <v>2024</v>
      </c>
      <c r="C718" s="570">
        <v>47523.839999999997</v>
      </c>
      <c r="D718" s="396"/>
      <c r="E718" s="396"/>
      <c r="F718" s="396"/>
      <c r="G718" s="396"/>
      <c r="H718" s="396"/>
    </row>
    <row r="719" spans="1:8" s="397" customFormat="1" ht="14.25" customHeight="1" x14ac:dyDescent="0.25">
      <c r="A719" s="564">
        <v>735</v>
      </c>
      <c r="B719" s="570" t="s">
        <v>2025</v>
      </c>
      <c r="C719" s="570">
        <v>100000</v>
      </c>
      <c r="D719" s="396"/>
      <c r="E719" s="396"/>
      <c r="F719" s="396"/>
      <c r="G719" s="396"/>
      <c r="H719" s="396"/>
    </row>
    <row r="720" spans="1:8" s="397" customFormat="1" ht="14.25" customHeight="1" x14ac:dyDescent="0.25">
      <c r="A720" s="564">
        <v>737</v>
      </c>
      <c r="B720" s="570" t="s">
        <v>2026</v>
      </c>
      <c r="C720" s="570">
        <v>70400</v>
      </c>
      <c r="D720" s="396"/>
      <c r="E720" s="396"/>
      <c r="F720" s="396"/>
      <c r="G720" s="396"/>
      <c r="H720" s="396"/>
    </row>
    <row r="721" spans="1:8" s="397" customFormat="1" ht="14.25" customHeight="1" x14ac:dyDescent="0.25">
      <c r="A721" s="564">
        <v>739</v>
      </c>
      <c r="B721" s="570" t="s">
        <v>2027</v>
      </c>
      <c r="C721" s="570">
        <v>30257.5</v>
      </c>
      <c r="D721" s="396"/>
      <c r="E721" s="396"/>
      <c r="F721" s="396"/>
      <c r="G721" s="396"/>
      <c r="H721" s="396"/>
    </row>
    <row r="722" spans="1:8" s="397" customFormat="1" ht="14.25" customHeight="1" x14ac:dyDescent="0.25">
      <c r="A722" s="564">
        <v>740</v>
      </c>
      <c r="B722" s="570" t="s">
        <v>2028</v>
      </c>
      <c r="C722" s="570">
        <v>89200.65</v>
      </c>
      <c r="D722" s="396"/>
      <c r="E722" s="396"/>
      <c r="F722" s="396"/>
      <c r="G722" s="396"/>
      <c r="H722" s="396"/>
    </row>
    <row r="723" spans="1:8" s="397" customFormat="1" ht="14.25" customHeight="1" x14ac:dyDescent="0.25">
      <c r="A723" s="564">
        <v>741</v>
      </c>
      <c r="B723" s="570" t="s">
        <v>2029</v>
      </c>
      <c r="C723" s="570">
        <v>24218.43</v>
      </c>
      <c r="D723" s="396"/>
      <c r="E723" s="396"/>
      <c r="F723" s="396"/>
      <c r="G723" s="396"/>
      <c r="H723" s="396"/>
    </row>
    <row r="724" spans="1:8" s="397" customFormat="1" ht="14.25" customHeight="1" x14ac:dyDescent="0.25">
      <c r="A724" s="564">
        <v>742</v>
      </c>
      <c r="B724" s="570" t="s">
        <v>2030</v>
      </c>
      <c r="C724" s="570">
        <v>125496</v>
      </c>
      <c r="D724" s="396"/>
      <c r="E724" s="396"/>
      <c r="F724" s="396"/>
      <c r="G724" s="396"/>
      <c r="H724" s="396"/>
    </row>
    <row r="725" spans="1:8" s="397" customFormat="1" ht="14.25" customHeight="1" x14ac:dyDescent="0.25">
      <c r="A725" s="564">
        <v>743</v>
      </c>
      <c r="B725" s="570" t="s">
        <v>2031</v>
      </c>
      <c r="C725" s="570">
        <v>465864.02</v>
      </c>
      <c r="D725" s="396"/>
      <c r="E725" s="396"/>
      <c r="F725" s="396"/>
      <c r="G725" s="396"/>
      <c r="H725" s="396"/>
    </row>
    <row r="726" spans="1:8" s="397" customFormat="1" ht="14.25" customHeight="1" x14ac:dyDescent="0.25">
      <c r="A726" s="564">
        <v>744</v>
      </c>
      <c r="B726" s="570" t="s">
        <v>2032</v>
      </c>
      <c r="C726" s="570">
        <v>299009.76</v>
      </c>
      <c r="D726" s="396"/>
      <c r="E726" s="396"/>
      <c r="F726" s="396"/>
      <c r="G726" s="396"/>
      <c r="H726" s="396"/>
    </row>
    <row r="727" spans="1:8" s="397" customFormat="1" ht="14.25" customHeight="1" x14ac:dyDescent="0.25">
      <c r="A727" s="564">
        <v>745</v>
      </c>
      <c r="B727" s="570" t="s">
        <v>2033</v>
      </c>
      <c r="C727" s="570">
        <v>34111.870000000003</v>
      </c>
      <c r="D727" s="396"/>
      <c r="E727" s="396"/>
      <c r="F727" s="396"/>
      <c r="G727" s="396"/>
      <c r="H727" s="396"/>
    </row>
    <row r="728" spans="1:8" s="397" customFormat="1" ht="14.25" customHeight="1" x14ac:dyDescent="0.25">
      <c r="A728" s="564">
        <v>746</v>
      </c>
      <c r="B728" s="570" t="s">
        <v>2034</v>
      </c>
      <c r="C728" s="570">
        <v>40310.370000000003</v>
      </c>
      <c r="D728" s="396"/>
      <c r="E728" s="396"/>
      <c r="F728" s="396"/>
      <c r="G728" s="396"/>
      <c r="H728" s="396"/>
    </row>
    <row r="729" spans="1:8" s="397" customFormat="1" ht="14.25" customHeight="1" x14ac:dyDescent="0.25">
      <c r="A729" s="564">
        <v>747</v>
      </c>
      <c r="B729" s="570" t="s">
        <v>2035</v>
      </c>
      <c r="C729" s="570">
        <v>152684.35</v>
      </c>
      <c r="D729" s="396"/>
      <c r="E729" s="396"/>
      <c r="F729" s="396"/>
      <c r="G729" s="396"/>
      <c r="H729" s="396"/>
    </row>
    <row r="730" spans="1:8" s="397" customFormat="1" ht="14.25" customHeight="1" x14ac:dyDescent="0.25">
      <c r="A730" s="564">
        <v>748</v>
      </c>
      <c r="B730" s="570" t="s">
        <v>2036</v>
      </c>
      <c r="C730" s="570">
        <v>103197.5</v>
      </c>
      <c r="D730" s="396"/>
      <c r="E730" s="396"/>
      <c r="F730" s="396"/>
      <c r="G730" s="396"/>
      <c r="H730" s="396"/>
    </row>
    <row r="731" spans="1:8" s="397" customFormat="1" ht="14.25" customHeight="1" x14ac:dyDescent="0.25">
      <c r="A731" s="564">
        <v>749</v>
      </c>
      <c r="B731" s="570" t="s">
        <v>2037</v>
      </c>
      <c r="C731" s="570">
        <v>53943.05</v>
      </c>
      <c r="D731" s="396"/>
      <c r="E731" s="396"/>
      <c r="F731" s="396"/>
      <c r="G731" s="396"/>
      <c r="H731" s="396"/>
    </row>
    <row r="732" spans="1:8" s="397" customFormat="1" ht="14.25" customHeight="1" x14ac:dyDescent="0.25">
      <c r="A732" s="564">
        <v>750</v>
      </c>
      <c r="B732" s="570" t="s">
        <v>2038</v>
      </c>
      <c r="C732" s="570">
        <v>99638.87</v>
      </c>
      <c r="D732" s="396"/>
      <c r="E732" s="396"/>
      <c r="F732" s="396"/>
      <c r="G732" s="396"/>
      <c r="H732" s="396"/>
    </row>
    <row r="733" spans="1:8" s="397" customFormat="1" ht="14.25" customHeight="1" x14ac:dyDescent="0.25">
      <c r="A733" s="564">
        <v>751</v>
      </c>
      <c r="B733" s="570" t="s">
        <v>2039</v>
      </c>
      <c r="C733" s="570">
        <v>91238</v>
      </c>
      <c r="D733" s="396"/>
      <c r="E733" s="396"/>
      <c r="F733" s="396"/>
      <c r="G733" s="396"/>
      <c r="H733" s="396"/>
    </row>
    <row r="734" spans="1:8" s="397" customFormat="1" ht="14.25" customHeight="1" x14ac:dyDescent="0.25">
      <c r="A734" s="564">
        <v>752</v>
      </c>
      <c r="B734" s="570" t="s">
        <v>2040</v>
      </c>
      <c r="C734" s="570">
        <v>191075.62</v>
      </c>
      <c r="D734" s="396"/>
      <c r="E734" s="396"/>
      <c r="F734" s="396"/>
      <c r="G734" s="396"/>
      <c r="H734" s="396"/>
    </row>
    <row r="735" spans="1:8" s="397" customFormat="1" ht="14.25" customHeight="1" x14ac:dyDescent="0.25">
      <c r="A735" s="564">
        <v>754</v>
      </c>
      <c r="B735" s="570" t="s">
        <v>2041</v>
      </c>
      <c r="C735" s="570">
        <v>260347.23</v>
      </c>
      <c r="D735" s="396"/>
      <c r="E735" s="396"/>
      <c r="F735" s="396"/>
      <c r="G735" s="396"/>
      <c r="H735" s="396"/>
    </row>
    <row r="736" spans="1:8" s="397" customFormat="1" ht="14.25" customHeight="1" x14ac:dyDescent="0.25">
      <c r="A736" s="564">
        <v>755</v>
      </c>
      <c r="B736" s="570" t="s">
        <v>2042</v>
      </c>
      <c r="C736" s="570">
        <v>173493.31</v>
      </c>
      <c r="D736" s="396"/>
      <c r="E736" s="396"/>
      <c r="F736" s="396"/>
      <c r="G736" s="396"/>
      <c r="H736" s="396"/>
    </row>
    <row r="737" spans="1:8" s="397" customFormat="1" ht="14.25" customHeight="1" x14ac:dyDescent="0.25">
      <c r="A737" s="564">
        <v>756</v>
      </c>
      <c r="B737" s="570" t="s">
        <v>2043</v>
      </c>
      <c r="C737" s="570">
        <v>516515.98</v>
      </c>
      <c r="D737" s="396"/>
      <c r="E737" s="396"/>
      <c r="F737" s="396"/>
      <c r="G737" s="396"/>
      <c r="H737" s="396"/>
    </row>
    <row r="738" spans="1:8" s="397" customFormat="1" ht="14.25" customHeight="1" x14ac:dyDescent="0.25">
      <c r="A738" s="564">
        <v>760</v>
      </c>
      <c r="B738" s="570" t="s">
        <v>2044</v>
      </c>
      <c r="C738" s="570">
        <v>242024.64</v>
      </c>
      <c r="D738" s="396"/>
      <c r="E738" s="396"/>
      <c r="F738" s="396"/>
      <c r="G738" s="396"/>
      <c r="H738" s="396"/>
    </row>
    <row r="739" spans="1:8" s="397" customFormat="1" ht="14.25" customHeight="1" x14ac:dyDescent="0.25">
      <c r="A739" s="564">
        <v>761</v>
      </c>
      <c r="B739" s="570" t="s">
        <v>2045</v>
      </c>
      <c r="C739" s="570">
        <v>63250</v>
      </c>
      <c r="D739" s="396"/>
      <c r="E739" s="396"/>
      <c r="F739" s="396"/>
      <c r="G739" s="396"/>
      <c r="H739" s="396"/>
    </row>
    <row r="740" spans="1:8" s="397" customFormat="1" ht="14.25" customHeight="1" x14ac:dyDescent="0.25">
      <c r="A740" s="564">
        <v>762</v>
      </c>
      <c r="B740" s="570" t="s">
        <v>2046</v>
      </c>
      <c r="C740" s="570">
        <v>7547501.25</v>
      </c>
      <c r="D740" s="396"/>
      <c r="E740" s="396"/>
      <c r="F740" s="396"/>
      <c r="G740" s="396"/>
      <c r="H740" s="396"/>
    </row>
    <row r="741" spans="1:8" s="397" customFormat="1" ht="14.25" customHeight="1" x14ac:dyDescent="0.25">
      <c r="A741" s="564">
        <v>763</v>
      </c>
      <c r="B741" s="570" t="s">
        <v>2047</v>
      </c>
      <c r="C741" s="570">
        <v>5774169.4500000002</v>
      </c>
      <c r="D741" s="396"/>
      <c r="E741" s="396"/>
      <c r="F741" s="396"/>
      <c r="G741" s="396"/>
      <c r="H741" s="396"/>
    </row>
    <row r="742" spans="1:8" s="397" customFormat="1" ht="14.25" customHeight="1" x14ac:dyDescent="0.25">
      <c r="A742" s="564">
        <v>764</v>
      </c>
      <c r="B742" s="570" t="s">
        <v>2048</v>
      </c>
      <c r="C742" s="570">
        <v>6900018.1799999997</v>
      </c>
      <c r="D742" s="396"/>
      <c r="E742" s="396"/>
      <c r="F742" s="396"/>
      <c r="G742" s="396"/>
      <c r="H742" s="396"/>
    </row>
    <row r="743" spans="1:8" s="397" customFormat="1" ht="14.25" customHeight="1" x14ac:dyDescent="0.25">
      <c r="A743" s="564">
        <v>780</v>
      </c>
      <c r="B743" s="570" t="s">
        <v>2049</v>
      </c>
      <c r="C743" s="570">
        <v>303600</v>
      </c>
      <c r="D743" s="396"/>
      <c r="E743" s="396"/>
      <c r="F743" s="396"/>
      <c r="G743" s="396"/>
      <c r="H743" s="396"/>
    </row>
    <row r="744" spans="1:8" s="397" customFormat="1" ht="14.25" customHeight="1" x14ac:dyDescent="0.25">
      <c r="A744" s="564">
        <v>781</v>
      </c>
      <c r="B744" s="570" t="s">
        <v>2050</v>
      </c>
      <c r="C744" s="570">
        <v>33560.629999999997</v>
      </c>
      <c r="D744" s="396"/>
      <c r="E744" s="396"/>
      <c r="F744" s="396"/>
      <c r="G744" s="396"/>
      <c r="H744" s="396"/>
    </row>
    <row r="745" spans="1:8" s="397" customFormat="1" ht="14.25" customHeight="1" x14ac:dyDescent="0.25">
      <c r="A745" s="564">
        <v>782</v>
      </c>
      <c r="B745" s="570" t="s">
        <v>2051</v>
      </c>
      <c r="C745" s="570">
        <v>35205.629999999997</v>
      </c>
      <c r="D745" s="396"/>
      <c r="E745" s="396"/>
      <c r="F745" s="396"/>
      <c r="G745" s="396"/>
      <c r="H745" s="396"/>
    </row>
    <row r="746" spans="1:8" s="397" customFormat="1" ht="14.25" customHeight="1" x14ac:dyDescent="0.25">
      <c r="A746" s="564">
        <v>783</v>
      </c>
      <c r="B746" s="570" t="s">
        <v>2052</v>
      </c>
      <c r="C746" s="570">
        <v>585568.59</v>
      </c>
      <c r="D746" s="396"/>
      <c r="E746" s="396"/>
      <c r="F746" s="396"/>
      <c r="G746" s="396"/>
      <c r="H746" s="396"/>
    </row>
    <row r="747" spans="1:8" s="397" customFormat="1" ht="14.25" customHeight="1" x14ac:dyDescent="0.25">
      <c r="A747" s="564">
        <v>784</v>
      </c>
      <c r="B747" s="570" t="s">
        <v>2053</v>
      </c>
      <c r="C747" s="570">
        <v>668328.56999999995</v>
      </c>
      <c r="D747" s="396"/>
      <c r="E747" s="396"/>
      <c r="F747" s="396"/>
      <c r="G747" s="396"/>
      <c r="H747" s="396"/>
    </row>
    <row r="748" spans="1:8" s="397" customFormat="1" ht="14.25" customHeight="1" x14ac:dyDescent="0.25">
      <c r="A748" s="564">
        <v>785</v>
      </c>
      <c r="B748" s="570" t="s">
        <v>2054</v>
      </c>
      <c r="C748" s="570">
        <v>386850</v>
      </c>
      <c r="D748" s="396"/>
      <c r="E748" s="396"/>
      <c r="F748" s="396"/>
      <c r="G748" s="396"/>
      <c r="H748" s="396"/>
    </row>
    <row r="749" spans="1:8" s="397" customFormat="1" ht="14.25" customHeight="1" x14ac:dyDescent="0.25">
      <c r="A749" s="564">
        <v>789</v>
      </c>
      <c r="B749" s="570" t="s">
        <v>2055</v>
      </c>
      <c r="C749" s="570">
        <v>39240</v>
      </c>
      <c r="D749" s="396"/>
      <c r="E749" s="396"/>
      <c r="F749" s="396"/>
      <c r="G749" s="396"/>
      <c r="H749" s="396"/>
    </row>
    <row r="750" spans="1:8" s="397" customFormat="1" ht="14.25" customHeight="1" x14ac:dyDescent="0.25">
      <c r="A750" s="564">
        <v>790</v>
      </c>
      <c r="B750" s="570" t="s">
        <v>2056</v>
      </c>
      <c r="C750" s="570">
        <v>910200</v>
      </c>
      <c r="D750" s="396"/>
      <c r="E750" s="396"/>
      <c r="F750" s="396"/>
      <c r="G750" s="396"/>
      <c r="H750" s="396"/>
    </row>
    <row r="751" spans="1:8" s="397" customFormat="1" ht="14.25" customHeight="1" x14ac:dyDescent="0.25">
      <c r="A751" s="564">
        <v>791</v>
      </c>
      <c r="B751" s="570" t="s">
        <v>2057</v>
      </c>
      <c r="C751" s="570">
        <v>2409000</v>
      </c>
      <c r="D751" s="396"/>
      <c r="E751" s="396"/>
      <c r="F751" s="396"/>
      <c r="G751" s="396"/>
      <c r="H751" s="396"/>
    </row>
    <row r="752" spans="1:8" s="397" customFormat="1" ht="14.25" customHeight="1" x14ac:dyDescent="0.25">
      <c r="A752" s="564">
        <v>792</v>
      </c>
      <c r="B752" s="570" t="s">
        <v>2058</v>
      </c>
      <c r="C752" s="570">
        <v>158880</v>
      </c>
      <c r="D752" s="396"/>
      <c r="E752" s="396"/>
      <c r="F752" s="396"/>
      <c r="G752" s="396"/>
      <c r="H752" s="396"/>
    </row>
    <row r="753" spans="1:8" s="397" customFormat="1" ht="14.25" customHeight="1" x14ac:dyDescent="0.25">
      <c r="A753" s="564">
        <v>793</v>
      </c>
      <c r="B753" s="570" t="s">
        <v>2059</v>
      </c>
      <c r="C753" s="570">
        <v>205080</v>
      </c>
      <c r="D753" s="396"/>
      <c r="E753" s="396"/>
      <c r="F753" s="396"/>
      <c r="G753" s="396"/>
      <c r="H753" s="396"/>
    </row>
    <row r="754" spans="1:8" s="397" customFormat="1" ht="14.25" customHeight="1" x14ac:dyDescent="0.25">
      <c r="A754" s="564">
        <v>794</v>
      </c>
      <c r="B754" s="570" t="s">
        <v>2060</v>
      </c>
      <c r="C754" s="570">
        <v>11875000</v>
      </c>
      <c r="D754" s="396"/>
      <c r="E754" s="396"/>
      <c r="F754" s="396"/>
      <c r="G754" s="396"/>
      <c r="H754" s="396"/>
    </row>
    <row r="755" spans="1:8" s="397" customFormat="1" ht="14.25" customHeight="1" x14ac:dyDescent="0.25">
      <c r="A755" s="564">
        <v>795</v>
      </c>
      <c r="B755" s="570" t="s">
        <v>2061</v>
      </c>
      <c r="C755" s="570">
        <v>76440</v>
      </c>
      <c r="D755" s="396"/>
      <c r="E755" s="396"/>
      <c r="F755" s="396"/>
      <c r="G755" s="396"/>
      <c r="H755" s="396"/>
    </row>
    <row r="756" spans="1:8" s="397" customFormat="1" ht="14.25" customHeight="1" x14ac:dyDescent="0.25">
      <c r="A756" s="564">
        <v>796</v>
      </c>
      <c r="B756" s="570" t="s">
        <v>2062</v>
      </c>
      <c r="C756" s="570">
        <v>12096</v>
      </c>
      <c r="D756" s="396"/>
      <c r="E756" s="396"/>
      <c r="F756" s="396"/>
      <c r="G756" s="396"/>
      <c r="H756" s="396"/>
    </row>
    <row r="757" spans="1:8" s="397" customFormat="1" ht="14.25" customHeight="1" x14ac:dyDescent="0.25">
      <c r="A757" s="564">
        <v>797</v>
      </c>
      <c r="B757" s="570" t="s">
        <v>2063</v>
      </c>
      <c r="C757" s="570">
        <v>52320</v>
      </c>
      <c r="D757" s="396"/>
      <c r="E757" s="396"/>
      <c r="F757" s="396"/>
      <c r="G757" s="396"/>
      <c r="H757" s="396"/>
    </row>
    <row r="758" spans="1:8" s="397" customFormat="1" ht="14.25" customHeight="1" x14ac:dyDescent="0.25">
      <c r="A758" s="564">
        <v>798</v>
      </c>
      <c r="B758" s="570" t="s">
        <v>2064</v>
      </c>
      <c r="C758" s="570">
        <v>1440</v>
      </c>
      <c r="D758" s="396"/>
      <c r="E758" s="396"/>
      <c r="F758" s="396"/>
      <c r="G758" s="396"/>
      <c r="H758" s="396"/>
    </row>
    <row r="759" spans="1:8" s="401" customFormat="1" x14ac:dyDescent="0.25">
      <c r="A759" s="561">
        <v>799</v>
      </c>
      <c r="B759" s="562" t="s">
        <v>2065</v>
      </c>
      <c r="C759" s="563">
        <v>30084</v>
      </c>
      <c r="D759" s="400"/>
      <c r="E759" s="400"/>
      <c r="F759" s="400"/>
      <c r="G759" s="400"/>
      <c r="H759" s="396"/>
    </row>
    <row r="760" spans="1:8" s="401" customFormat="1" x14ac:dyDescent="0.25">
      <c r="A760" s="564">
        <v>800</v>
      </c>
      <c r="B760" s="570" t="s">
        <v>2066</v>
      </c>
      <c r="C760" s="403">
        <v>134896.29999999999</v>
      </c>
      <c r="D760" s="400"/>
      <c r="E760" s="400"/>
      <c r="F760" s="400"/>
      <c r="G760" s="400"/>
      <c r="H760" s="396"/>
    </row>
    <row r="761" spans="1:8" s="401" customFormat="1" x14ac:dyDescent="0.25">
      <c r="A761" s="564">
        <v>801</v>
      </c>
      <c r="B761" s="562" t="s">
        <v>2067</v>
      </c>
      <c r="C761" s="403">
        <v>39360</v>
      </c>
      <c r="D761" s="400"/>
      <c r="E761" s="400"/>
      <c r="F761" s="400"/>
      <c r="G761" s="400"/>
      <c r="H761" s="396"/>
    </row>
    <row r="762" spans="1:8" s="401" customFormat="1" x14ac:dyDescent="0.25">
      <c r="A762" s="564"/>
      <c r="B762" s="562"/>
      <c r="C762" s="403"/>
      <c r="D762" s="400"/>
      <c r="E762" s="400"/>
      <c r="F762" s="400"/>
      <c r="G762" s="400"/>
      <c r="H762" s="396"/>
    </row>
    <row r="763" spans="1:8" s="401" customFormat="1" x14ac:dyDescent="0.25">
      <c r="A763" s="564"/>
      <c r="B763" s="580" t="s">
        <v>2382</v>
      </c>
      <c r="C763" s="580">
        <f>C765+C784</f>
        <v>190994376.74000001</v>
      </c>
      <c r="D763" s="400"/>
      <c r="E763" s="400"/>
      <c r="F763" s="400"/>
      <c r="G763" s="400"/>
      <c r="H763" s="396"/>
    </row>
    <row r="764" spans="1:8" s="401" customFormat="1" x14ac:dyDescent="0.25">
      <c r="A764" s="564"/>
      <c r="B764" s="580"/>
      <c r="C764" s="580"/>
      <c r="D764" s="400"/>
      <c r="E764" s="400"/>
      <c r="F764" s="400"/>
      <c r="G764" s="400"/>
      <c r="H764" s="396"/>
    </row>
    <row r="765" spans="1:8" s="401" customFormat="1" x14ac:dyDescent="0.25">
      <c r="A765" s="564"/>
      <c r="B765" s="560" t="s">
        <v>2377</v>
      </c>
      <c r="C765" s="560">
        <f>SUM(C766:C782)</f>
        <v>38378756.469999999</v>
      </c>
      <c r="D765" s="400"/>
      <c r="E765" s="400"/>
      <c r="F765" s="400"/>
      <c r="G765" s="400"/>
      <c r="H765" s="396"/>
    </row>
    <row r="766" spans="1:8" s="401" customFormat="1" x14ac:dyDescent="0.25">
      <c r="A766" s="564">
        <v>57</v>
      </c>
      <c r="B766" s="562" t="s">
        <v>1271</v>
      </c>
      <c r="C766" s="403">
        <v>571.12</v>
      </c>
      <c r="D766" s="400"/>
      <c r="E766" s="400"/>
      <c r="F766" s="400"/>
      <c r="G766" s="400"/>
      <c r="H766" s="396"/>
    </row>
    <row r="767" spans="1:8" s="401" customFormat="1" x14ac:dyDescent="0.25">
      <c r="A767" s="564">
        <v>600</v>
      </c>
      <c r="B767" s="562" t="s">
        <v>1272</v>
      </c>
      <c r="C767" s="403">
        <v>45000</v>
      </c>
      <c r="D767" s="400"/>
      <c r="E767" s="400"/>
      <c r="F767" s="400"/>
      <c r="G767" s="400"/>
      <c r="H767" s="396"/>
    </row>
    <row r="768" spans="1:8" s="401" customFormat="1" x14ac:dyDescent="0.25">
      <c r="A768" s="564">
        <v>296</v>
      </c>
      <c r="B768" s="562" t="s">
        <v>1273</v>
      </c>
      <c r="C768" s="403">
        <v>500682</v>
      </c>
      <c r="D768" s="400"/>
      <c r="E768" s="400"/>
      <c r="F768" s="400"/>
      <c r="G768" s="400"/>
      <c r="H768" s="396"/>
    </row>
    <row r="769" spans="1:8" s="401" customFormat="1" x14ac:dyDescent="0.25">
      <c r="A769" s="564">
        <v>67</v>
      </c>
      <c r="B769" s="562" t="s">
        <v>1274</v>
      </c>
      <c r="C769" s="403">
        <v>3016775</v>
      </c>
      <c r="D769" s="400"/>
      <c r="E769" s="400"/>
      <c r="F769" s="400"/>
      <c r="G769" s="400"/>
      <c r="H769" s="396"/>
    </row>
    <row r="770" spans="1:8" s="401" customFormat="1" x14ac:dyDescent="0.25">
      <c r="A770" s="564">
        <v>132</v>
      </c>
      <c r="B770" s="562" t="s">
        <v>1275</v>
      </c>
      <c r="C770" s="403">
        <v>680233.2</v>
      </c>
      <c r="D770" s="400"/>
      <c r="E770" s="400"/>
      <c r="F770" s="400"/>
      <c r="G770" s="400"/>
      <c r="H770" s="396"/>
    </row>
    <row r="771" spans="1:8" s="401" customFormat="1" x14ac:dyDescent="0.25">
      <c r="A771" s="564">
        <v>125</v>
      </c>
      <c r="B771" s="562" t="s">
        <v>1276</v>
      </c>
      <c r="C771" s="403">
        <v>526470</v>
      </c>
      <c r="D771" s="400"/>
      <c r="E771" s="400"/>
      <c r="F771" s="400"/>
      <c r="G771" s="400"/>
      <c r="H771" s="396"/>
    </row>
    <row r="772" spans="1:8" s="401" customFormat="1" x14ac:dyDescent="0.25">
      <c r="A772" s="564">
        <v>366</v>
      </c>
      <c r="B772" s="562" t="s">
        <v>2011</v>
      </c>
      <c r="C772" s="403">
        <v>3179161.97</v>
      </c>
      <c r="D772" s="400"/>
      <c r="E772" s="400"/>
      <c r="F772" s="400"/>
      <c r="G772" s="400"/>
      <c r="H772" s="396"/>
    </row>
    <row r="773" spans="1:8" s="401" customFormat="1" x14ac:dyDescent="0.25">
      <c r="A773" s="564">
        <v>501</v>
      </c>
      <c r="B773" s="562" t="s">
        <v>1277</v>
      </c>
      <c r="C773" s="403">
        <v>391832.35</v>
      </c>
      <c r="D773" s="400"/>
      <c r="E773" s="400"/>
      <c r="F773" s="400"/>
      <c r="G773" s="400"/>
      <c r="H773" s="396"/>
    </row>
    <row r="774" spans="1:8" s="401" customFormat="1" x14ac:dyDescent="0.25">
      <c r="A774" s="564">
        <v>306</v>
      </c>
      <c r="B774" s="562" t="s">
        <v>1278</v>
      </c>
      <c r="C774" s="403">
        <v>395712</v>
      </c>
      <c r="D774" s="400"/>
      <c r="E774" s="400"/>
      <c r="F774" s="400"/>
      <c r="G774" s="400"/>
      <c r="H774" s="396"/>
    </row>
    <row r="775" spans="1:8" s="401" customFormat="1" x14ac:dyDescent="0.25">
      <c r="A775" s="564">
        <v>512</v>
      </c>
      <c r="B775" s="562" t="s">
        <v>1279</v>
      </c>
      <c r="C775" s="403">
        <v>1400750</v>
      </c>
      <c r="D775" s="400"/>
      <c r="E775" s="400"/>
      <c r="F775" s="400"/>
      <c r="G775" s="400"/>
      <c r="H775" s="396"/>
    </row>
    <row r="776" spans="1:8" s="401" customFormat="1" x14ac:dyDescent="0.25">
      <c r="A776" s="564">
        <v>56</v>
      </c>
      <c r="B776" s="562" t="s">
        <v>1280</v>
      </c>
      <c r="C776" s="403">
        <v>2502780</v>
      </c>
      <c r="D776" s="400"/>
      <c r="E776" s="400"/>
      <c r="F776" s="400"/>
      <c r="G776" s="400"/>
      <c r="H776" s="396"/>
    </row>
    <row r="777" spans="1:8" s="401" customFormat="1" x14ac:dyDescent="0.25">
      <c r="A777" s="564">
        <v>55</v>
      </c>
      <c r="B777" s="562" t="s">
        <v>1281</v>
      </c>
      <c r="C777" s="403">
        <v>3261140</v>
      </c>
      <c r="D777" s="400"/>
      <c r="E777" s="400"/>
      <c r="F777" s="400"/>
      <c r="G777" s="400"/>
      <c r="H777" s="396"/>
    </row>
    <row r="778" spans="1:8" s="401" customFormat="1" x14ac:dyDescent="0.25">
      <c r="A778" s="564">
        <v>313</v>
      </c>
      <c r="B778" s="562" t="s">
        <v>1282</v>
      </c>
      <c r="C778" s="403">
        <v>4819699</v>
      </c>
      <c r="D778" s="400"/>
      <c r="E778" s="400"/>
      <c r="F778" s="400"/>
      <c r="G778" s="400"/>
      <c r="H778" s="396"/>
    </row>
    <row r="779" spans="1:8" s="401" customFormat="1" x14ac:dyDescent="0.25">
      <c r="A779" s="564">
        <v>281</v>
      </c>
      <c r="B779" s="562" t="s">
        <v>1283</v>
      </c>
      <c r="C779" s="403">
        <v>7446728</v>
      </c>
      <c r="D779" s="400"/>
      <c r="E779" s="400"/>
      <c r="F779" s="400"/>
      <c r="G779" s="400"/>
      <c r="H779" s="396"/>
    </row>
    <row r="780" spans="1:8" s="401" customFormat="1" x14ac:dyDescent="0.25">
      <c r="A780" s="564">
        <v>131</v>
      </c>
      <c r="B780" s="562" t="s">
        <v>1284</v>
      </c>
      <c r="C780" s="403">
        <v>2827593.92</v>
      </c>
      <c r="D780" s="400"/>
      <c r="E780" s="400"/>
      <c r="F780" s="400"/>
      <c r="G780" s="400"/>
      <c r="H780" s="396"/>
    </row>
    <row r="781" spans="1:8" s="401" customFormat="1" x14ac:dyDescent="0.25">
      <c r="A781" s="564">
        <v>495</v>
      </c>
      <c r="B781" s="562" t="s">
        <v>1285</v>
      </c>
      <c r="C781" s="403">
        <v>7243179.9100000001</v>
      </c>
      <c r="D781" s="400"/>
      <c r="E781" s="400"/>
      <c r="F781" s="400"/>
      <c r="G781" s="400"/>
      <c r="H781" s="396"/>
    </row>
    <row r="782" spans="1:8" s="401" customFormat="1" x14ac:dyDescent="0.25">
      <c r="A782" s="564">
        <v>297</v>
      </c>
      <c r="B782" s="562" t="s">
        <v>1383</v>
      </c>
      <c r="C782" s="403">
        <v>140448</v>
      </c>
      <c r="D782" s="400"/>
      <c r="E782" s="400"/>
      <c r="F782" s="400"/>
      <c r="G782" s="400"/>
      <c r="H782" s="396"/>
    </row>
    <row r="783" spans="1:8" s="401" customFormat="1" x14ac:dyDescent="0.25">
      <c r="A783" s="564"/>
      <c r="B783" s="562"/>
      <c r="C783" s="403"/>
      <c r="D783" s="400"/>
      <c r="E783" s="400"/>
      <c r="F783" s="400"/>
      <c r="G783" s="400"/>
      <c r="H783" s="396"/>
    </row>
    <row r="784" spans="1:8" s="401" customFormat="1" x14ac:dyDescent="0.25">
      <c r="A784" s="564"/>
      <c r="B784" s="560" t="s">
        <v>2378</v>
      </c>
      <c r="C784" s="560">
        <f>SUM(C785:C823)</f>
        <v>152615620.27000001</v>
      </c>
      <c r="D784" s="400"/>
      <c r="E784" s="400"/>
      <c r="F784" s="400"/>
      <c r="G784" s="400"/>
      <c r="H784" s="396"/>
    </row>
    <row r="785" spans="1:8" s="401" customFormat="1" x14ac:dyDescent="0.25">
      <c r="A785" s="564">
        <v>77</v>
      </c>
      <c r="B785" s="562" t="s">
        <v>1582</v>
      </c>
      <c r="C785" s="403">
        <v>30.44</v>
      </c>
      <c r="D785" s="400"/>
      <c r="E785" s="400"/>
      <c r="F785" s="400"/>
      <c r="G785" s="400"/>
      <c r="H785" s="396"/>
    </row>
    <row r="786" spans="1:8" s="401" customFormat="1" x14ac:dyDescent="0.25">
      <c r="A786" s="564">
        <v>76</v>
      </c>
      <c r="B786" s="562" t="s">
        <v>1583</v>
      </c>
      <c r="C786" s="403">
        <v>22.16</v>
      </c>
      <c r="D786" s="400"/>
      <c r="E786" s="400"/>
      <c r="F786" s="400"/>
      <c r="G786" s="400"/>
      <c r="H786" s="396"/>
    </row>
    <row r="787" spans="1:8" s="401" customFormat="1" x14ac:dyDescent="0.25">
      <c r="A787" s="564">
        <v>78</v>
      </c>
      <c r="B787" s="562" t="s">
        <v>1584</v>
      </c>
      <c r="C787" s="403">
        <v>78.94</v>
      </c>
      <c r="D787" s="400"/>
      <c r="E787" s="400"/>
      <c r="F787" s="400"/>
      <c r="G787" s="400"/>
      <c r="H787" s="396"/>
    </row>
    <row r="788" spans="1:8" s="401" customFormat="1" x14ac:dyDescent="0.25">
      <c r="A788" s="564">
        <v>74</v>
      </c>
      <c r="B788" s="562" t="s">
        <v>1585</v>
      </c>
      <c r="C788" s="403">
        <v>67.02</v>
      </c>
      <c r="D788" s="400"/>
      <c r="E788" s="400"/>
      <c r="F788" s="400"/>
      <c r="G788" s="400"/>
      <c r="H788" s="396"/>
    </row>
    <row r="789" spans="1:8" s="401" customFormat="1" x14ac:dyDescent="0.25">
      <c r="A789" s="564">
        <v>73</v>
      </c>
      <c r="B789" s="562" t="s">
        <v>1586</v>
      </c>
      <c r="C789" s="403">
        <v>116.16</v>
      </c>
      <c r="D789" s="400"/>
      <c r="E789" s="400"/>
      <c r="F789" s="400"/>
      <c r="G789" s="400"/>
      <c r="H789" s="396"/>
    </row>
    <row r="790" spans="1:8" s="401" customFormat="1" x14ac:dyDescent="0.25">
      <c r="A790" s="564">
        <v>75</v>
      </c>
      <c r="B790" s="562" t="s">
        <v>1587</v>
      </c>
      <c r="C790" s="403">
        <v>176.55</v>
      </c>
      <c r="D790" s="400"/>
      <c r="E790" s="400"/>
      <c r="F790" s="400"/>
      <c r="G790" s="400"/>
      <c r="H790" s="396"/>
    </row>
    <row r="791" spans="1:8" s="401" customFormat="1" x14ac:dyDescent="0.25">
      <c r="A791" s="564">
        <v>255</v>
      </c>
      <c r="B791" s="562" t="s">
        <v>1588</v>
      </c>
      <c r="C791" s="403">
        <v>393676</v>
      </c>
      <c r="D791" s="400"/>
      <c r="E791" s="400"/>
      <c r="F791" s="400"/>
      <c r="G791" s="400"/>
      <c r="H791" s="396"/>
    </row>
    <row r="792" spans="1:8" s="401" customFormat="1" x14ac:dyDescent="0.25">
      <c r="A792" s="564">
        <v>68</v>
      </c>
      <c r="B792" s="562" t="s">
        <v>1590</v>
      </c>
      <c r="C792" s="403">
        <v>879398.40000000002</v>
      </c>
      <c r="D792" s="400"/>
      <c r="E792" s="400"/>
      <c r="F792" s="400"/>
      <c r="G792" s="400"/>
      <c r="H792" s="396"/>
    </row>
    <row r="793" spans="1:8" s="401" customFormat="1" x14ac:dyDescent="0.25">
      <c r="A793" s="564">
        <v>525</v>
      </c>
      <c r="B793" s="562" t="s">
        <v>1591</v>
      </c>
      <c r="C793" s="403">
        <v>271336.15000000002</v>
      </c>
      <c r="D793" s="400"/>
      <c r="E793" s="400"/>
      <c r="F793" s="400"/>
      <c r="G793" s="400"/>
      <c r="H793" s="396"/>
    </row>
    <row r="794" spans="1:8" s="401" customFormat="1" x14ac:dyDescent="0.25">
      <c r="A794" s="564">
        <v>18</v>
      </c>
      <c r="B794" s="562" t="s">
        <v>1592</v>
      </c>
      <c r="C794" s="403">
        <v>370400</v>
      </c>
      <c r="D794" s="400"/>
      <c r="E794" s="400"/>
      <c r="F794" s="400"/>
      <c r="G794" s="400"/>
      <c r="H794" s="396"/>
    </row>
    <row r="795" spans="1:8" s="401" customFormat="1" x14ac:dyDescent="0.25">
      <c r="A795" s="564">
        <v>38</v>
      </c>
      <c r="B795" s="562" t="s">
        <v>1593</v>
      </c>
      <c r="C795" s="403">
        <v>1990731.94</v>
      </c>
      <c r="D795" s="400"/>
      <c r="E795" s="400"/>
      <c r="F795" s="400"/>
      <c r="G795" s="400"/>
      <c r="H795" s="396"/>
    </row>
    <row r="796" spans="1:8" s="401" customFormat="1" x14ac:dyDescent="0.25">
      <c r="A796" s="564">
        <v>63</v>
      </c>
      <c r="B796" s="562" t="s">
        <v>1594</v>
      </c>
      <c r="C796" s="403">
        <v>640500</v>
      </c>
      <c r="D796" s="400"/>
      <c r="E796" s="400"/>
      <c r="F796" s="400"/>
      <c r="G796" s="400"/>
      <c r="H796" s="396"/>
    </row>
    <row r="797" spans="1:8" s="401" customFormat="1" x14ac:dyDescent="0.25">
      <c r="A797" s="564">
        <v>528</v>
      </c>
      <c r="B797" s="562" t="s">
        <v>1595</v>
      </c>
      <c r="C797" s="403">
        <v>798241.85</v>
      </c>
      <c r="D797" s="400"/>
      <c r="E797" s="400"/>
      <c r="F797" s="400"/>
      <c r="G797" s="400"/>
      <c r="H797" s="396"/>
    </row>
    <row r="798" spans="1:8" s="401" customFormat="1" x14ac:dyDescent="0.25">
      <c r="A798" s="564">
        <v>489</v>
      </c>
      <c r="B798" s="562" t="s">
        <v>1596</v>
      </c>
      <c r="C798" s="403">
        <v>951011.75</v>
      </c>
      <c r="D798" s="400"/>
      <c r="E798" s="400"/>
      <c r="F798" s="400"/>
      <c r="G798" s="400"/>
      <c r="H798" s="396"/>
    </row>
    <row r="799" spans="1:8" s="401" customFormat="1" x14ac:dyDescent="0.25">
      <c r="A799" s="564">
        <v>164</v>
      </c>
      <c r="B799" s="562" t="s">
        <v>1597</v>
      </c>
      <c r="C799" s="403">
        <v>1016360.35</v>
      </c>
      <c r="D799" s="400"/>
      <c r="E799" s="400"/>
      <c r="F799" s="400"/>
      <c r="G799" s="400"/>
      <c r="H799" s="396"/>
    </row>
    <row r="800" spans="1:8" s="401" customFormat="1" x14ac:dyDescent="0.25">
      <c r="A800" s="564">
        <v>166</v>
      </c>
      <c r="B800" s="562" t="s">
        <v>1598</v>
      </c>
      <c r="C800" s="403">
        <v>1183098.5</v>
      </c>
      <c r="D800" s="400"/>
      <c r="E800" s="400"/>
      <c r="F800" s="400"/>
      <c r="G800" s="400"/>
      <c r="H800" s="396"/>
    </row>
    <row r="801" spans="1:8" s="401" customFormat="1" x14ac:dyDescent="0.25">
      <c r="A801" s="564">
        <v>58</v>
      </c>
      <c r="B801" s="562" t="s">
        <v>1599</v>
      </c>
      <c r="C801" s="403">
        <v>4075360</v>
      </c>
      <c r="D801" s="400"/>
      <c r="E801" s="400"/>
      <c r="F801" s="400"/>
      <c r="G801" s="400"/>
      <c r="H801" s="396"/>
    </row>
    <row r="802" spans="1:8" s="401" customFormat="1" x14ac:dyDescent="0.25">
      <c r="A802" s="564">
        <v>404</v>
      </c>
      <c r="B802" s="562" t="s">
        <v>1600</v>
      </c>
      <c r="C802" s="403">
        <v>1949374</v>
      </c>
      <c r="D802" s="400"/>
      <c r="E802" s="400"/>
      <c r="F802" s="400"/>
      <c r="G802" s="400"/>
      <c r="H802" s="396"/>
    </row>
    <row r="803" spans="1:8" s="401" customFormat="1" x14ac:dyDescent="0.25">
      <c r="A803" s="564">
        <v>411</v>
      </c>
      <c r="B803" s="562" t="s">
        <v>1601</v>
      </c>
      <c r="C803" s="403">
        <v>7035202.2599999998</v>
      </c>
      <c r="D803" s="400"/>
      <c r="E803" s="400"/>
      <c r="F803" s="400"/>
      <c r="G803" s="400"/>
      <c r="H803" s="396"/>
    </row>
    <row r="804" spans="1:8" s="401" customFormat="1" x14ac:dyDescent="0.25">
      <c r="A804" s="564">
        <v>522</v>
      </c>
      <c r="B804" s="562" t="s">
        <v>1602</v>
      </c>
      <c r="C804" s="403">
        <v>1723206.85</v>
      </c>
      <c r="D804" s="400"/>
      <c r="E804" s="400"/>
      <c r="F804" s="400"/>
      <c r="G804" s="400"/>
      <c r="H804" s="396"/>
    </row>
    <row r="805" spans="1:8" s="401" customFormat="1" x14ac:dyDescent="0.25">
      <c r="A805" s="564">
        <v>163</v>
      </c>
      <c r="B805" s="562" t="s">
        <v>1603</v>
      </c>
      <c r="C805" s="403">
        <v>1984259.3</v>
      </c>
      <c r="D805" s="400"/>
      <c r="E805" s="400"/>
      <c r="F805" s="400"/>
      <c r="G805" s="400"/>
      <c r="H805" s="396"/>
    </row>
    <row r="806" spans="1:8" s="401" customFormat="1" x14ac:dyDescent="0.25">
      <c r="A806" s="564">
        <v>167</v>
      </c>
      <c r="B806" s="562" t="s">
        <v>1604</v>
      </c>
      <c r="C806" s="403">
        <v>2349477.2999999998</v>
      </c>
      <c r="D806" s="400"/>
      <c r="E806" s="400"/>
      <c r="F806" s="400"/>
      <c r="G806" s="400"/>
      <c r="H806" s="396"/>
    </row>
    <row r="807" spans="1:8" s="401" customFormat="1" x14ac:dyDescent="0.25">
      <c r="A807" s="564">
        <v>509</v>
      </c>
      <c r="B807" s="562" t="s">
        <v>1605</v>
      </c>
      <c r="C807" s="403">
        <v>2649732.5</v>
      </c>
      <c r="D807" s="400"/>
      <c r="E807" s="400"/>
      <c r="F807" s="400"/>
      <c r="G807" s="400"/>
      <c r="H807" s="396"/>
    </row>
    <row r="808" spans="1:8" s="401" customFormat="1" x14ac:dyDescent="0.25">
      <c r="A808" s="564">
        <v>396</v>
      </c>
      <c r="B808" s="562" t="s">
        <v>1606</v>
      </c>
      <c r="C808" s="403">
        <v>2024130</v>
      </c>
      <c r="D808" s="400"/>
      <c r="E808" s="400"/>
      <c r="F808" s="400"/>
      <c r="G808" s="400"/>
      <c r="H808" s="396"/>
    </row>
    <row r="809" spans="1:8" s="401" customFormat="1" x14ac:dyDescent="0.25">
      <c r="A809" s="564">
        <v>634</v>
      </c>
      <c r="B809" s="562" t="s">
        <v>1607</v>
      </c>
      <c r="C809" s="403">
        <v>2507062.9900000002</v>
      </c>
      <c r="D809" s="400"/>
      <c r="E809" s="400"/>
      <c r="F809" s="400"/>
      <c r="G809" s="400"/>
      <c r="H809" s="396"/>
    </row>
    <row r="810" spans="1:8" s="401" customFormat="1" x14ac:dyDescent="0.25">
      <c r="A810" s="564">
        <v>162</v>
      </c>
      <c r="B810" s="562" t="s">
        <v>1608</v>
      </c>
      <c r="C810" s="403">
        <v>3814091.25</v>
      </c>
      <c r="D810" s="400"/>
      <c r="E810" s="400"/>
      <c r="F810" s="400"/>
      <c r="G810" s="400"/>
      <c r="H810" s="396"/>
    </row>
    <row r="811" spans="1:8" s="401" customFormat="1" x14ac:dyDescent="0.25">
      <c r="A811" s="564">
        <v>280</v>
      </c>
      <c r="B811" s="562" t="s">
        <v>1609</v>
      </c>
      <c r="C811" s="403">
        <v>3363668.83</v>
      </c>
      <c r="D811" s="400"/>
      <c r="E811" s="400"/>
      <c r="F811" s="400"/>
      <c r="G811" s="400"/>
      <c r="H811" s="396"/>
    </row>
    <row r="812" spans="1:8" s="401" customFormat="1" x14ac:dyDescent="0.25">
      <c r="A812" s="564">
        <v>496</v>
      </c>
      <c r="B812" s="562" t="s">
        <v>1610</v>
      </c>
      <c r="C812" s="403">
        <v>2969176.63</v>
      </c>
      <c r="D812" s="400"/>
      <c r="E812" s="400"/>
      <c r="F812" s="400"/>
      <c r="G812" s="400"/>
      <c r="H812" s="396"/>
    </row>
    <row r="813" spans="1:8" s="401" customFormat="1" x14ac:dyDescent="0.25">
      <c r="A813" s="564">
        <v>333</v>
      </c>
      <c r="B813" s="562" t="s">
        <v>1611</v>
      </c>
      <c r="C813" s="403">
        <v>3573594.46</v>
      </c>
      <c r="D813" s="400"/>
      <c r="E813" s="400"/>
      <c r="F813" s="400"/>
      <c r="G813" s="400"/>
      <c r="H813" s="396"/>
    </row>
    <row r="814" spans="1:8" s="401" customFormat="1" x14ac:dyDescent="0.25">
      <c r="A814" s="564">
        <v>60</v>
      </c>
      <c r="B814" s="562" t="s">
        <v>1612</v>
      </c>
      <c r="C814" s="403">
        <v>4366700</v>
      </c>
      <c r="D814" s="400"/>
      <c r="E814" s="400"/>
      <c r="F814" s="400"/>
      <c r="G814" s="400"/>
      <c r="H814" s="396"/>
    </row>
    <row r="815" spans="1:8" s="401" customFormat="1" x14ac:dyDescent="0.25">
      <c r="A815" s="564">
        <v>51</v>
      </c>
      <c r="B815" s="562" t="s">
        <v>1613</v>
      </c>
      <c r="C815" s="403">
        <v>8573716.8000000007</v>
      </c>
      <c r="D815" s="400"/>
      <c r="E815" s="400"/>
      <c r="F815" s="400"/>
      <c r="G815" s="400"/>
      <c r="H815" s="396"/>
    </row>
    <row r="816" spans="1:8" s="401" customFormat="1" x14ac:dyDescent="0.25">
      <c r="A816" s="564">
        <v>3</v>
      </c>
      <c r="B816" s="562" t="s">
        <v>1614</v>
      </c>
      <c r="C816" s="403">
        <v>7106455</v>
      </c>
      <c r="D816" s="400"/>
      <c r="E816" s="400"/>
      <c r="F816" s="400"/>
      <c r="G816" s="400"/>
      <c r="H816" s="396"/>
    </row>
    <row r="817" spans="1:8" s="401" customFormat="1" x14ac:dyDescent="0.25">
      <c r="A817" s="564">
        <v>520</v>
      </c>
      <c r="B817" s="562" t="s">
        <v>1615</v>
      </c>
      <c r="C817" s="403">
        <v>6273258.96</v>
      </c>
      <c r="D817" s="400"/>
      <c r="E817" s="400"/>
      <c r="F817" s="400"/>
      <c r="G817" s="400"/>
      <c r="H817" s="396"/>
    </row>
    <row r="818" spans="1:8" s="401" customFormat="1" x14ac:dyDescent="0.25">
      <c r="A818" s="564">
        <v>412</v>
      </c>
      <c r="B818" s="562" t="s">
        <v>1616</v>
      </c>
      <c r="C818" s="403">
        <v>10780872.68</v>
      </c>
      <c r="D818" s="400"/>
      <c r="E818" s="400"/>
      <c r="F818" s="400"/>
      <c r="G818" s="400"/>
      <c r="H818" s="396"/>
    </row>
    <row r="819" spans="1:8" s="401" customFormat="1" x14ac:dyDescent="0.25">
      <c r="A819" s="564">
        <v>165</v>
      </c>
      <c r="B819" s="562" t="s">
        <v>1617</v>
      </c>
      <c r="C819" s="403">
        <v>12674999.25</v>
      </c>
      <c r="D819" s="400"/>
      <c r="E819" s="400"/>
      <c r="F819" s="400"/>
      <c r="G819" s="400"/>
      <c r="H819" s="396"/>
    </row>
    <row r="820" spans="1:8" s="401" customFormat="1" x14ac:dyDescent="0.25">
      <c r="A820" s="564">
        <v>59</v>
      </c>
      <c r="B820" s="562" t="s">
        <v>1618</v>
      </c>
      <c r="C820" s="403">
        <v>14248290</v>
      </c>
      <c r="D820" s="400"/>
      <c r="E820" s="400"/>
      <c r="F820" s="400"/>
      <c r="G820" s="400"/>
      <c r="H820" s="396"/>
    </row>
    <row r="821" spans="1:8" s="401" customFormat="1" x14ac:dyDescent="0.25">
      <c r="A821" s="564">
        <v>494</v>
      </c>
      <c r="B821" s="562" t="s">
        <v>1619</v>
      </c>
      <c r="C821" s="403">
        <v>15032500</v>
      </c>
      <c r="D821" s="400"/>
      <c r="E821" s="400"/>
      <c r="F821" s="400"/>
      <c r="G821" s="400"/>
      <c r="H821" s="396"/>
    </row>
    <row r="822" spans="1:8" s="401" customFormat="1" x14ac:dyDescent="0.25">
      <c r="A822" s="564">
        <v>62</v>
      </c>
      <c r="B822" s="562" t="s">
        <v>1620</v>
      </c>
      <c r="C822" s="403">
        <v>24709245</v>
      </c>
      <c r="D822" s="400"/>
      <c r="E822" s="400"/>
      <c r="F822" s="400"/>
      <c r="G822" s="400"/>
      <c r="H822" s="396"/>
    </row>
    <row r="823" spans="1:8" s="401" customFormat="1" x14ac:dyDescent="0.25">
      <c r="A823" s="870">
        <v>104</v>
      </c>
      <c r="B823" s="871" t="s">
        <v>1661</v>
      </c>
      <c r="C823" s="872">
        <v>336000</v>
      </c>
      <c r="D823" s="400"/>
      <c r="E823" s="400"/>
      <c r="F823" s="400"/>
      <c r="G823" s="400"/>
      <c r="H823" s="396"/>
    </row>
    <row r="824" spans="1:8" ht="12.75" customHeight="1" x14ac:dyDescent="0.2">
      <c r="A824" s="568"/>
      <c r="B824" s="307"/>
      <c r="C824" s="307"/>
    </row>
    <row r="825" spans="1:8" ht="12.75" customHeight="1" x14ac:dyDescent="0.2">
      <c r="A825" s="568"/>
      <c r="B825" s="307"/>
      <c r="C825" s="307"/>
    </row>
    <row r="826" spans="1:8" ht="12.75" customHeight="1" x14ac:dyDescent="0.2">
      <c r="A826" s="568"/>
      <c r="B826" s="307"/>
      <c r="C826" s="307"/>
    </row>
    <row r="827" spans="1:8" ht="12.75" customHeight="1" x14ac:dyDescent="0.2">
      <c r="A827" s="568"/>
      <c r="B827" s="307"/>
      <c r="C827" s="307"/>
    </row>
    <row r="828" spans="1:8" ht="12.75" customHeight="1" x14ac:dyDescent="0.2">
      <c r="A828" s="568"/>
      <c r="B828" s="307"/>
      <c r="C828" s="307"/>
    </row>
    <row r="829" spans="1:8" ht="12.75" customHeight="1" x14ac:dyDescent="0.2">
      <c r="A829" s="568"/>
      <c r="B829" s="307"/>
      <c r="C829" s="307"/>
    </row>
    <row r="830" spans="1:8" ht="12.75" customHeight="1" x14ac:dyDescent="0.2">
      <c r="A830" s="568"/>
      <c r="B830" s="307"/>
      <c r="C830" s="307"/>
    </row>
    <row r="831" spans="1:8" ht="12.75" customHeight="1" x14ac:dyDescent="0.2">
      <c r="A831" s="569"/>
    </row>
    <row r="832" spans="1:8" ht="12.75" customHeight="1" x14ac:dyDescent="0.2">
      <c r="A832" s="569"/>
    </row>
    <row r="833" spans="1:1" ht="12.75" customHeight="1" x14ac:dyDescent="0.2">
      <c r="A833" s="569"/>
    </row>
    <row r="834" spans="1:1" ht="12.75" customHeight="1" x14ac:dyDescent="0.2">
      <c r="A834" s="569"/>
    </row>
    <row r="835" spans="1:1" ht="12.75" customHeight="1" x14ac:dyDescent="0.2">
      <c r="A835" s="569"/>
    </row>
    <row r="836" spans="1:1" ht="12.75" customHeight="1" x14ac:dyDescent="0.2">
      <c r="A836" s="569"/>
    </row>
    <row r="837" spans="1:1" ht="12.75" customHeight="1" x14ac:dyDescent="0.2">
      <c r="A837" s="569"/>
    </row>
    <row r="838" spans="1:1" ht="12.75" customHeight="1" x14ac:dyDescent="0.2">
      <c r="A838" s="569"/>
    </row>
    <row r="839" spans="1:1" ht="12.75" customHeight="1" x14ac:dyDescent="0.2">
      <c r="A839" s="569"/>
    </row>
    <row r="840" spans="1:1" ht="12.75" customHeight="1" x14ac:dyDescent="0.2">
      <c r="A840" s="569"/>
    </row>
    <row r="841" spans="1:1" ht="12.75" customHeight="1" x14ac:dyDescent="0.2">
      <c r="A841" s="569"/>
    </row>
    <row r="842" spans="1:1" ht="12.75" customHeight="1" x14ac:dyDescent="0.2">
      <c r="A842" s="569"/>
    </row>
    <row r="843" spans="1:1" ht="12.75" customHeight="1" x14ac:dyDescent="0.2">
      <c r="A843" s="569"/>
    </row>
    <row r="844" spans="1:1" ht="12.75" customHeight="1" x14ac:dyDescent="0.2">
      <c r="A844" s="569"/>
    </row>
    <row r="845" spans="1:1" ht="12.75" customHeight="1" x14ac:dyDescent="0.2">
      <c r="A845" s="569"/>
    </row>
    <row r="846" spans="1:1" ht="12.75" customHeight="1" x14ac:dyDescent="0.2">
      <c r="A846" s="569"/>
    </row>
    <row r="847" spans="1:1" ht="12.75" customHeight="1" x14ac:dyDescent="0.2">
      <c r="A847" s="569"/>
    </row>
    <row r="848" spans="1:1" ht="12.75" customHeight="1" x14ac:dyDescent="0.2">
      <c r="A848" s="569"/>
    </row>
    <row r="849" spans="1:1" ht="12.75" customHeight="1" x14ac:dyDescent="0.2">
      <c r="A849" s="569"/>
    </row>
    <row r="850" spans="1:1" ht="12.75" customHeight="1" x14ac:dyDescent="0.2">
      <c r="A850" s="569"/>
    </row>
    <row r="851" spans="1:1" ht="12.75" customHeight="1" x14ac:dyDescent="0.2">
      <c r="A851" s="569"/>
    </row>
    <row r="852" spans="1:1" ht="12.75" customHeight="1" x14ac:dyDescent="0.2">
      <c r="A852" s="569"/>
    </row>
    <row r="853" spans="1:1" ht="12.75" customHeight="1" x14ac:dyDescent="0.2">
      <c r="A853" s="569"/>
    </row>
    <row r="854" spans="1:1" ht="12.75" customHeight="1" x14ac:dyDescent="0.2">
      <c r="A854" s="569"/>
    </row>
    <row r="855" spans="1:1" ht="12.75" customHeight="1" x14ac:dyDescent="0.2">
      <c r="A855" s="569"/>
    </row>
    <row r="856" spans="1:1" ht="12.75" customHeight="1" x14ac:dyDescent="0.2">
      <c r="A856" s="569"/>
    </row>
    <row r="857" spans="1:1" ht="12.75" customHeight="1" x14ac:dyDescent="0.2">
      <c r="A857" s="569"/>
    </row>
    <row r="858" spans="1:1" ht="12.75" customHeight="1" x14ac:dyDescent="0.2">
      <c r="A858" s="569"/>
    </row>
    <row r="859" spans="1:1" ht="12.75" customHeight="1" x14ac:dyDescent="0.2">
      <c r="A859" s="569"/>
    </row>
    <row r="860" spans="1:1" ht="12.75" customHeight="1" x14ac:dyDescent="0.2">
      <c r="A860" s="569"/>
    </row>
    <row r="861" spans="1:1" ht="12.75" customHeight="1" x14ac:dyDescent="0.2">
      <c r="A861" s="569"/>
    </row>
    <row r="862" spans="1:1" ht="12.75" customHeight="1" x14ac:dyDescent="0.2">
      <c r="A862" s="569"/>
    </row>
    <row r="863" spans="1:1" ht="12.75" customHeight="1" x14ac:dyDescent="0.2">
      <c r="A863" s="569"/>
    </row>
    <row r="864" spans="1:1" ht="12.75" customHeight="1" x14ac:dyDescent="0.2">
      <c r="A864" s="569"/>
    </row>
    <row r="865" spans="1:1" ht="12.75" customHeight="1" x14ac:dyDescent="0.2">
      <c r="A865" s="569"/>
    </row>
    <row r="866" spans="1:1" ht="12.75" customHeight="1" x14ac:dyDescent="0.2">
      <c r="A866" s="569"/>
    </row>
    <row r="867" spans="1:1" ht="12.75" customHeight="1" x14ac:dyDescent="0.2">
      <c r="A867" s="569"/>
    </row>
    <row r="868" spans="1:1" ht="12.75" customHeight="1" x14ac:dyDescent="0.2">
      <c r="A868" s="569"/>
    </row>
    <row r="869" spans="1:1" ht="12.75" customHeight="1" x14ac:dyDescent="0.2">
      <c r="A869" s="569"/>
    </row>
    <row r="870" spans="1:1" ht="12.75" customHeight="1" x14ac:dyDescent="0.2">
      <c r="A870" s="569"/>
    </row>
    <row r="871" spans="1:1" ht="12.75" customHeight="1" x14ac:dyDescent="0.2">
      <c r="A871" s="569"/>
    </row>
    <row r="872" spans="1:1" ht="12.75" customHeight="1" x14ac:dyDescent="0.2">
      <c r="A872" s="569"/>
    </row>
    <row r="873" spans="1:1" ht="12.75" customHeight="1" x14ac:dyDescent="0.2">
      <c r="A873" s="569"/>
    </row>
    <row r="874" spans="1:1" ht="12.75" customHeight="1" x14ac:dyDescent="0.2">
      <c r="A874" s="569"/>
    </row>
    <row r="875" spans="1:1" ht="12.75" customHeight="1" x14ac:dyDescent="0.2">
      <c r="A875" s="569"/>
    </row>
    <row r="876" spans="1:1" ht="12.75" customHeight="1" x14ac:dyDescent="0.2">
      <c r="A876" s="569"/>
    </row>
    <row r="877" spans="1:1" ht="12.75" customHeight="1" x14ac:dyDescent="0.2">
      <c r="A877" s="569"/>
    </row>
    <row r="878" spans="1:1" ht="12.75" customHeight="1" x14ac:dyDescent="0.2">
      <c r="A878" s="569"/>
    </row>
    <row r="879" spans="1:1" ht="12.75" customHeight="1" x14ac:dyDescent="0.2">
      <c r="A879" s="569"/>
    </row>
    <row r="880" spans="1:1" ht="12.75" customHeight="1" x14ac:dyDescent="0.2">
      <c r="A880" s="569"/>
    </row>
    <row r="881" spans="1:1" ht="12.75" customHeight="1" x14ac:dyDescent="0.2">
      <c r="A881" s="569"/>
    </row>
    <row r="882" spans="1:1" ht="12.75" customHeight="1" x14ac:dyDescent="0.2">
      <c r="A882" s="569"/>
    </row>
    <row r="883" spans="1:1" ht="12.75" customHeight="1" x14ac:dyDescent="0.2">
      <c r="A883" s="569"/>
    </row>
    <row r="884" spans="1:1" ht="12.75" customHeight="1" x14ac:dyDescent="0.2">
      <c r="A884" s="569"/>
    </row>
    <row r="885" spans="1:1" ht="12.75" customHeight="1" x14ac:dyDescent="0.2">
      <c r="A885" s="569"/>
    </row>
    <row r="886" spans="1:1" ht="12.75" customHeight="1" x14ac:dyDescent="0.2">
      <c r="A886" s="569"/>
    </row>
  </sheetData>
  <mergeCells count="11">
    <mergeCell ref="A2:C2"/>
    <mergeCell ref="A3:C3"/>
    <mergeCell ref="A4:C4"/>
    <mergeCell ref="A9:A11"/>
    <mergeCell ref="B9:B11"/>
    <mergeCell ref="C9:C11"/>
    <mergeCell ref="D9:D11"/>
    <mergeCell ref="E9:E11"/>
    <mergeCell ref="F9:F11"/>
    <mergeCell ref="G9:G11"/>
    <mergeCell ref="H9:H11"/>
  </mergeCells>
  <printOptions horizontalCentered="1"/>
  <pageMargins left="0.27559055118110237" right="0.19685039370078741" top="0.39370078740157483" bottom="0.39370078740157483" header="0.31496062992125984" footer="0.31496062992125984"/>
  <pageSetup fitToHeight="0" orientation="portrait" r:id="rId1"/>
  <headerFooter>
    <oddHeader>&amp;R&amp;"Arial,Normal"&amp;8A1</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294"/>
  <sheetViews>
    <sheetView tabSelected="1" view="pageBreakPreview" topLeftCell="A6149" zoomScaleNormal="100" zoomScaleSheetLayoutView="100" workbookViewId="0">
      <selection activeCell="E6165" sqref="E6165"/>
    </sheetView>
  </sheetViews>
  <sheetFormatPr baseColWidth="10" defaultColWidth="11.42578125" defaultRowHeight="12.75" customHeight="1" x14ac:dyDescent="0.2"/>
  <cols>
    <col min="1" max="1" width="20.7109375" style="557" customWidth="1"/>
    <col min="2" max="2" width="54.5703125" style="306" customWidth="1"/>
    <col min="3" max="3" width="17.42578125" style="497" customWidth="1"/>
    <col min="4" max="4" width="14.42578125" style="306" customWidth="1"/>
    <col min="5" max="5" width="11.42578125" style="306"/>
    <col min="6" max="6" width="42.42578125" style="306" customWidth="1"/>
    <col min="7" max="7" width="12.140625" style="306" customWidth="1"/>
    <col min="8" max="8" width="15.5703125" style="306" bestFit="1" customWidth="1"/>
    <col min="9" max="16384" width="11.42578125" style="306"/>
  </cols>
  <sheetData>
    <row r="1" spans="1:8" ht="12.75" customHeight="1" x14ac:dyDescent="0.2">
      <c r="H1" s="317"/>
    </row>
    <row r="2" spans="1:8" ht="12.75" customHeight="1" x14ac:dyDescent="0.2">
      <c r="A2" s="1141" t="s">
        <v>732</v>
      </c>
      <c r="B2" s="1141"/>
      <c r="C2" s="1141"/>
      <c r="D2" s="391"/>
      <c r="E2" s="391"/>
      <c r="F2" s="391"/>
      <c r="G2" s="391"/>
      <c r="H2" s="375"/>
    </row>
    <row r="3" spans="1:8" ht="12.75" customHeight="1" x14ac:dyDescent="0.2">
      <c r="A3" s="1213" t="s">
        <v>386</v>
      </c>
      <c r="B3" s="1213"/>
      <c r="C3" s="1213"/>
      <c r="D3" s="392"/>
      <c r="E3" s="392"/>
      <c r="F3" s="392"/>
      <c r="G3" s="392"/>
      <c r="H3" s="375"/>
    </row>
    <row r="4" spans="1:8" ht="12.75" customHeight="1" x14ac:dyDescent="0.2">
      <c r="A4" s="1141" t="s">
        <v>8600</v>
      </c>
      <c r="B4" s="1141"/>
      <c r="C4" s="1141"/>
      <c r="D4" s="391"/>
      <c r="E4" s="391"/>
      <c r="F4" s="391"/>
      <c r="G4" s="391"/>
      <c r="H4" s="391"/>
    </row>
    <row r="5" spans="1:8" ht="6.75" customHeight="1" x14ac:dyDescent="0.25">
      <c r="A5" s="558"/>
      <c r="B5" s="393"/>
      <c r="C5" s="572"/>
      <c r="D5" s="393"/>
      <c r="E5" s="393"/>
      <c r="F5" s="393"/>
      <c r="G5" s="393"/>
      <c r="H5" s="393"/>
    </row>
    <row r="6" spans="1:8" ht="12.75" customHeight="1" x14ac:dyDescent="0.2">
      <c r="C6" s="573"/>
    </row>
    <row r="7" spans="1:8" s="281" customFormat="1" ht="9.75" customHeight="1" x14ac:dyDescent="0.2">
      <c r="A7" s="1145" t="s">
        <v>383</v>
      </c>
      <c r="B7" s="1160" t="s">
        <v>384</v>
      </c>
      <c r="C7" s="1214" t="s">
        <v>385</v>
      </c>
      <c r="D7" s="1144"/>
      <c r="E7" s="1144"/>
      <c r="F7" s="1144"/>
      <c r="G7" s="1144"/>
      <c r="H7" s="1144"/>
    </row>
    <row r="8" spans="1:8" s="281" customFormat="1" ht="9.75" customHeight="1" x14ac:dyDescent="0.2">
      <c r="A8" s="1145"/>
      <c r="B8" s="1161"/>
      <c r="C8" s="1215"/>
      <c r="D8" s="1144"/>
      <c r="E8" s="1144"/>
      <c r="F8" s="1144"/>
      <c r="G8" s="1144"/>
      <c r="H8" s="1144"/>
    </row>
    <row r="9" spans="1:8" s="281" customFormat="1" ht="9.75" customHeight="1" x14ac:dyDescent="0.2">
      <c r="A9" s="1145"/>
      <c r="B9" s="1161"/>
      <c r="C9" s="1215"/>
      <c r="D9" s="1144"/>
      <c r="E9" s="1144"/>
      <c r="F9" s="1144"/>
      <c r="G9" s="1144"/>
      <c r="H9" s="1144"/>
    </row>
    <row r="10" spans="1:8" s="397" customFormat="1" ht="14.25" customHeight="1" x14ac:dyDescent="0.25">
      <c r="A10" s="574">
        <v>3159</v>
      </c>
      <c r="B10" s="575" t="s">
        <v>785</v>
      </c>
      <c r="C10" s="575">
        <v>1</v>
      </c>
      <c r="D10" s="396"/>
      <c r="E10" s="396"/>
      <c r="F10" s="396"/>
      <c r="G10" s="396"/>
      <c r="H10" s="396"/>
    </row>
    <row r="11" spans="1:8" s="401" customFormat="1" ht="14.25" customHeight="1" x14ac:dyDescent="0.25">
      <c r="A11" s="564">
        <v>4944</v>
      </c>
      <c r="B11" s="562" t="s">
        <v>786</v>
      </c>
      <c r="C11" s="403">
        <v>2700</v>
      </c>
      <c r="D11" s="400"/>
      <c r="E11" s="400"/>
      <c r="F11" s="400"/>
      <c r="G11" s="400"/>
      <c r="H11" s="396"/>
    </row>
    <row r="12" spans="1:8" s="401" customFormat="1" ht="14.25" customHeight="1" x14ac:dyDescent="0.25">
      <c r="A12" s="564">
        <v>4876</v>
      </c>
      <c r="B12" s="562" t="s">
        <v>785</v>
      </c>
      <c r="C12" s="403">
        <v>1350</v>
      </c>
      <c r="D12" s="400"/>
      <c r="E12" s="400"/>
      <c r="F12" s="400"/>
      <c r="G12" s="400"/>
      <c r="H12" s="396"/>
    </row>
    <row r="13" spans="1:8" s="401" customFormat="1" ht="14.25" customHeight="1" x14ac:dyDescent="0.25">
      <c r="A13" s="564">
        <v>4880</v>
      </c>
      <c r="B13" s="562" t="s">
        <v>785</v>
      </c>
      <c r="C13" s="403">
        <v>1350</v>
      </c>
      <c r="D13" s="400"/>
      <c r="E13" s="400"/>
      <c r="F13" s="400"/>
      <c r="G13" s="400"/>
      <c r="H13" s="396"/>
    </row>
    <row r="14" spans="1:8" s="401" customFormat="1" ht="14.25" customHeight="1" x14ac:dyDescent="0.25">
      <c r="A14" s="564">
        <v>4882</v>
      </c>
      <c r="B14" s="562" t="s">
        <v>785</v>
      </c>
      <c r="C14" s="403">
        <v>1350</v>
      </c>
      <c r="D14" s="400"/>
      <c r="E14" s="400"/>
      <c r="F14" s="400"/>
      <c r="G14" s="400"/>
      <c r="H14" s="396"/>
    </row>
    <row r="15" spans="1:8" s="401" customFormat="1" ht="14.25" customHeight="1" x14ac:dyDescent="0.25">
      <c r="A15" s="564">
        <v>4883</v>
      </c>
      <c r="B15" s="562" t="s">
        <v>785</v>
      </c>
      <c r="C15" s="403">
        <v>1350</v>
      </c>
      <c r="D15" s="400"/>
      <c r="E15" s="400"/>
      <c r="F15" s="400"/>
      <c r="G15" s="400"/>
      <c r="H15" s="396"/>
    </row>
    <row r="16" spans="1:8" s="401" customFormat="1" ht="14.25" customHeight="1" x14ac:dyDescent="0.25">
      <c r="A16" s="564">
        <v>4884</v>
      </c>
      <c r="B16" s="562" t="s">
        <v>785</v>
      </c>
      <c r="C16" s="403">
        <v>1350</v>
      </c>
      <c r="D16" s="400"/>
      <c r="E16" s="400"/>
      <c r="F16" s="400"/>
      <c r="G16" s="400"/>
      <c r="H16" s="396"/>
    </row>
    <row r="17" spans="1:8" s="401" customFormat="1" ht="14.25" customHeight="1" x14ac:dyDescent="0.25">
      <c r="A17" s="564">
        <v>4885</v>
      </c>
      <c r="B17" s="562" t="s">
        <v>785</v>
      </c>
      <c r="C17" s="403">
        <v>1350</v>
      </c>
      <c r="D17" s="400"/>
      <c r="E17" s="400"/>
      <c r="F17" s="400"/>
      <c r="G17" s="400"/>
      <c r="H17" s="396"/>
    </row>
    <row r="18" spans="1:8" s="401" customFormat="1" ht="14.25" customHeight="1" x14ac:dyDescent="0.25">
      <c r="A18" s="564">
        <v>4887</v>
      </c>
      <c r="B18" s="562" t="s">
        <v>785</v>
      </c>
      <c r="C18" s="403">
        <v>1350</v>
      </c>
      <c r="D18" s="400"/>
      <c r="E18" s="400"/>
      <c r="F18" s="400"/>
      <c r="G18" s="400"/>
      <c r="H18" s="396"/>
    </row>
    <row r="19" spans="1:8" s="401" customFormat="1" ht="14.25" customHeight="1" x14ac:dyDescent="0.25">
      <c r="A19" s="564">
        <v>4889</v>
      </c>
      <c r="B19" s="562" t="s">
        <v>785</v>
      </c>
      <c r="C19" s="403">
        <v>1350</v>
      </c>
      <c r="D19" s="400"/>
      <c r="E19" s="400"/>
      <c r="F19" s="400"/>
      <c r="G19" s="400"/>
      <c r="H19" s="396"/>
    </row>
    <row r="20" spans="1:8" s="401" customFormat="1" ht="14.25" customHeight="1" x14ac:dyDescent="0.25">
      <c r="A20" s="564">
        <v>4890</v>
      </c>
      <c r="B20" s="562" t="s">
        <v>785</v>
      </c>
      <c r="C20" s="403">
        <v>1350</v>
      </c>
      <c r="D20" s="400"/>
      <c r="E20" s="400"/>
      <c r="F20" s="400"/>
      <c r="G20" s="400"/>
      <c r="H20" s="396"/>
    </row>
    <row r="21" spans="1:8" s="401" customFormat="1" ht="14.25" customHeight="1" x14ac:dyDescent="0.25">
      <c r="A21" s="564">
        <v>4897</v>
      </c>
      <c r="B21" s="562" t="s">
        <v>785</v>
      </c>
      <c r="C21" s="403">
        <v>1350</v>
      </c>
      <c r="D21" s="400"/>
      <c r="E21" s="400"/>
      <c r="F21" s="400"/>
      <c r="G21" s="400"/>
      <c r="H21" s="396"/>
    </row>
    <row r="22" spans="1:8" s="401" customFormat="1" ht="14.25" customHeight="1" x14ac:dyDescent="0.25">
      <c r="A22" s="564">
        <v>4898</v>
      </c>
      <c r="B22" s="562" t="s">
        <v>785</v>
      </c>
      <c r="C22" s="403">
        <v>1350</v>
      </c>
      <c r="D22" s="400"/>
      <c r="E22" s="400"/>
      <c r="F22" s="400"/>
      <c r="G22" s="400"/>
      <c r="H22" s="396"/>
    </row>
    <row r="23" spans="1:8" s="401" customFormat="1" ht="14.25" customHeight="1" x14ac:dyDescent="0.25">
      <c r="A23" s="564">
        <v>4907</v>
      </c>
      <c r="B23" s="562" t="s">
        <v>785</v>
      </c>
      <c r="C23" s="403">
        <v>1350</v>
      </c>
      <c r="D23" s="400"/>
      <c r="E23" s="400"/>
      <c r="F23" s="400"/>
      <c r="G23" s="400"/>
      <c r="H23" s="396"/>
    </row>
    <row r="24" spans="1:8" s="401" customFormat="1" ht="14.25" customHeight="1" x14ac:dyDescent="0.25">
      <c r="A24" s="564">
        <v>4909</v>
      </c>
      <c r="B24" s="562" t="s">
        <v>785</v>
      </c>
      <c r="C24" s="403">
        <v>1350</v>
      </c>
      <c r="D24" s="400"/>
      <c r="E24" s="400"/>
      <c r="F24" s="400"/>
      <c r="G24" s="400"/>
      <c r="H24" s="396"/>
    </row>
    <row r="25" spans="1:8" s="401" customFormat="1" ht="14.25" customHeight="1" x14ac:dyDescent="0.25">
      <c r="A25" s="564">
        <v>4931</v>
      </c>
      <c r="B25" s="562" t="s">
        <v>785</v>
      </c>
      <c r="C25" s="403">
        <v>1350</v>
      </c>
      <c r="D25" s="400"/>
      <c r="E25" s="400"/>
      <c r="F25" s="400"/>
      <c r="G25" s="400"/>
      <c r="H25" s="396"/>
    </row>
    <row r="26" spans="1:8" s="401" customFormat="1" ht="14.25" customHeight="1" x14ac:dyDescent="0.25">
      <c r="A26" s="564">
        <v>4936</v>
      </c>
      <c r="B26" s="562" t="s">
        <v>785</v>
      </c>
      <c r="C26" s="403">
        <v>1350</v>
      </c>
      <c r="D26" s="400"/>
      <c r="E26" s="400"/>
      <c r="F26" s="400"/>
      <c r="G26" s="400"/>
      <c r="H26" s="396"/>
    </row>
    <row r="27" spans="1:8" s="401" customFormat="1" ht="14.25" customHeight="1" x14ac:dyDescent="0.25">
      <c r="A27" s="564">
        <v>4875</v>
      </c>
      <c r="B27" s="562" t="s">
        <v>785</v>
      </c>
      <c r="C27" s="403">
        <v>1350</v>
      </c>
      <c r="D27" s="400"/>
      <c r="E27" s="400"/>
      <c r="F27" s="400"/>
      <c r="G27" s="400"/>
      <c r="H27" s="396"/>
    </row>
    <row r="28" spans="1:8" s="401" customFormat="1" ht="14.25" customHeight="1" x14ac:dyDescent="0.25">
      <c r="A28" s="564">
        <v>4877</v>
      </c>
      <c r="B28" s="562" t="s">
        <v>785</v>
      </c>
      <c r="C28" s="403">
        <v>1350</v>
      </c>
      <c r="D28" s="400"/>
      <c r="E28" s="400"/>
      <c r="F28" s="400"/>
      <c r="G28" s="400"/>
      <c r="H28" s="396"/>
    </row>
    <row r="29" spans="1:8" s="401" customFormat="1" ht="14.25" customHeight="1" x14ac:dyDescent="0.25">
      <c r="A29" s="564">
        <v>4878</v>
      </c>
      <c r="B29" s="562" t="s">
        <v>785</v>
      </c>
      <c r="C29" s="403">
        <v>1350</v>
      </c>
      <c r="D29" s="400"/>
      <c r="E29" s="400"/>
      <c r="F29" s="400"/>
      <c r="G29" s="400"/>
      <c r="H29" s="396"/>
    </row>
    <row r="30" spans="1:8" s="401" customFormat="1" ht="14.25" customHeight="1" x14ac:dyDescent="0.25">
      <c r="A30" s="564">
        <v>4879</v>
      </c>
      <c r="B30" s="562" t="s">
        <v>785</v>
      </c>
      <c r="C30" s="403">
        <v>1350</v>
      </c>
      <c r="D30" s="400"/>
      <c r="E30" s="400"/>
      <c r="F30" s="400"/>
      <c r="G30" s="400"/>
      <c r="H30" s="396"/>
    </row>
    <row r="31" spans="1:8" s="401" customFormat="1" ht="14.25" customHeight="1" x14ac:dyDescent="0.25">
      <c r="A31" s="564">
        <v>4881</v>
      </c>
      <c r="B31" s="562" t="s">
        <v>785</v>
      </c>
      <c r="C31" s="403">
        <v>1350</v>
      </c>
      <c r="D31" s="400"/>
      <c r="E31" s="400"/>
      <c r="F31" s="400"/>
      <c r="G31" s="400"/>
      <c r="H31" s="396"/>
    </row>
    <row r="32" spans="1:8" s="401" customFormat="1" ht="14.25" customHeight="1" x14ac:dyDescent="0.25">
      <c r="A32" s="564">
        <v>4886</v>
      </c>
      <c r="B32" s="562" t="s">
        <v>785</v>
      </c>
      <c r="C32" s="403">
        <v>1350</v>
      </c>
      <c r="D32" s="400"/>
      <c r="E32" s="400"/>
      <c r="F32" s="400"/>
      <c r="G32" s="400"/>
      <c r="H32" s="396"/>
    </row>
    <row r="33" spans="1:8" s="401" customFormat="1" ht="14.25" customHeight="1" x14ac:dyDescent="0.25">
      <c r="A33" s="564">
        <v>4888</v>
      </c>
      <c r="B33" s="562" t="s">
        <v>785</v>
      </c>
      <c r="C33" s="403">
        <v>1350</v>
      </c>
      <c r="D33" s="400"/>
      <c r="E33" s="400"/>
      <c r="F33" s="400"/>
      <c r="G33" s="400"/>
      <c r="H33" s="396"/>
    </row>
    <row r="34" spans="1:8" s="401" customFormat="1" ht="14.25" customHeight="1" x14ac:dyDescent="0.25">
      <c r="A34" s="564">
        <v>4891</v>
      </c>
      <c r="B34" s="562" t="s">
        <v>785</v>
      </c>
      <c r="C34" s="403">
        <v>1350</v>
      </c>
      <c r="D34" s="400"/>
      <c r="E34" s="400"/>
      <c r="F34" s="400"/>
      <c r="G34" s="400"/>
      <c r="H34" s="396"/>
    </row>
    <row r="35" spans="1:8" s="401" customFormat="1" ht="14.25" customHeight="1" x14ac:dyDescent="0.25">
      <c r="A35" s="564">
        <v>4892</v>
      </c>
      <c r="B35" s="562" t="s">
        <v>785</v>
      </c>
      <c r="C35" s="403">
        <v>1350</v>
      </c>
      <c r="D35" s="400"/>
      <c r="E35" s="400"/>
      <c r="F35" s="400"/>
      <c r="G35" s="400"/>
      <c r="H35" s="396"/>
    </row>
    <row r="36" spans="1:8" s="401" customFormat="1" ht="14.25" customHeight="1" x14ac:dyDescent="0.25">
      <c r="A36" s="564">
        <v>4893</v>
      </c>
      <c r="B36" s="562" t="s">
        <v>785</v>
      </c>
      <c r="C36" s="403">
        <v>1350</v>
      </c>
      <c r="D36" s="400"/>
      <c r="E36" s="400"/>
      <c r="F36" s="400"/>
      <c r="G36" s="400"/>
      <c r="H36" s="396"/>
    </row>
    <row r="37" spans="1:8" s="401" customFormat="1" ht="14.25" customHeight="1" x14ac:dyDescent="0.25">
      <c r="A37" s="564">
        <v>4894</v>
      </c>
      <c r="B37" s="562" t="s">
        <v>785</v>
      </c>
      <c r="C37" s="403">
        <v>1350</v>
      </c>
      <c r="D37" s="400"/>
      <c r="E37" s="400"/>
      <c r="F37" s="400"/>
      <c r="G37" s="400"/>
      <c r="H37" s="396"/>
    </row>
    <row r="38" spans="1:8" s="401" customFormat="1" ht="14.25" customHeight="1" x14ac:dyDescent="0.25">
      <c r="A38" s="564">
        <v>4895</v>
      </c>
      <c r="B38" s="562" t="s">
        <v>785</v>
      </c>
      <c r="C38" s="403">
        <v>1350</v>
      </c>
      <c r="D38" s="400"/>
      <c r="E38" s="400"/>
      <c r="F38" s="400"/>
      <c r="G38" s="400"/>
      <c r="H38" s="396"/>
    </row>
    <row r="39" spans="1:8" s="401" customFormat="1" ht="14.25" customHeight="1" x14ac:dyDescent="0.25">
      <c r="A39" s="564">
        <v>4896</v>
      </c>
      <c r="B39" s="562" t="s">
        <v>785</v>
      </c>
      <c r="C39" s="403">
        <v>1350</v>
      </c>
      <c r="D39" s="400"/>
      <c r="E39" s="400"/>
      <c r="F39" s="400"/>
      <c r="G39" s="400"/>
      <c r="H39" s="396"/>
    </row>
    <row r="40" spans="1:8" s="401" customFormat="1" ht="14.25" customHeight="1" x14ac:dyDescent="0.25">
      <c r="A40" s="564">
        <v>4899</v>
      </c>
      <c r="B40" s="562" t="s">
        <v>785</v>
      </c>
      <c r="C40" s="403">
        <v>1350</v>
      </c>
      <c r="D40" s="400"/>
      <c r="E40" s="400"/>
      <c r="F40" s="400"/>
      <c r="G40" s="400"/>
      <c r="H40" s="396"/>
    </row>
    <row r="41" spans="1:8" s="401" customFormat="1" ht="14.25" customHeight="1" x14ac:dyDescent="0.25">
      <c r="A41" s="564">
        <v>4900</v>
      </c>
      <c r="B41" s="562" t="s">
        <v>785</v>
      </c>
      <c r="C41" s="403">
        <v>1350</v>
      </c>
      <c r="D41" s="400"/>
      <c r="E41" s="400"/>
      <c r="F41" s="400"/>
      <c r="G41" s="400"/>
      <c r="H41" s="396"/>
    </row>
    <row r="42" spans="1:8" s="401" customFormat="1" ht="14.25" customHeight="1" x14ac:dyDescent="0.25">
      <c r="A42" s="564">
        <v>4902</v>
      </c>
      <c r="B42" s="562" t="s">
        <v>785</v>
      </c>
      <c r="C42" s="403">
        <v>1350</v>
      </c>
      <c r="D42" s="400"/>
      <c r="E42" s="400"/>
      <c r="F42" s="400"/>
      <c r="G42" s="400"/>
      <c r="H42" s="396"/>
    </row>
    <row r="43" spans="1:8" s="401" customFormat="1" ht="14.25" customHeight="1" x14ac:dyDescent="0.25">
      <c r="A43" s="564">
        <v>4905</v>
      </c>
      <c r="B43" s="562" t="s">
        <v>785</v>
      </c>
      <c r="C43" s="403">
        <v>1350</v>
      </c>
      <c r="D43" s="400"/>
      <c r="E43" s="400"/>
      <c r="F43" s="400"/>
      <c r="G43" s="400"/>
      <c r="H43" s="396"/>
    </row>
    <row r="44" spans="1:8" s="401" customFormat="1" ht="14.25" customHeight="1" x14ac:dyDescent="0.25">
      <c r="A44" s="564">
        <v>4938</v>
      </c>
      <c r="B44" s="562" t="s">
        <v>785</v>
      </c>
      <c r="C44" s="403">
        <v>1350</v>
      </c>
      <c r="D44" s="400"/>
      <c r="E44" s="400"/>
      <c r="F44" s="400"/>
      <c r="G44" s="400"/>
      <c r="H44" s="396"/>
    </row>
    <row r="45" spans="1:8" s="401" customFormat="1" ht="14.25" customHeight="1" x14ac:dyDescent="0.25">
      <c r="A45" s="564">
        <v>4939</v>
      </c>
      <c r="B45" s="562" t="s">
        <v>785</v>
      </c>
      <c r="C45" s="403">
        <v>1350</v>
      </c>
      <c r="D45" s="400"/>
      <c r="E45" s="400"/>
      <c r="F45" s="400"/>
      <c r="G45" s="400"/>
      <c r="H45" s="396"/>
    </row>
    <row r="46" spans="1:8" s="401" customFormat="1" ht="14.25" customHeight="1" x14ac:dyDescent="0.25">
      <c r="A46" s="564">
        <v>4940</v>
      </c>
      <c r="B46" s="562" t="s">
        <v>785</v>
      </c>
      <c r="C46" s="403">
        <v>1350</v>
      </c>
      <c r="D46" s="400"/>
      <c r="E46" s="400"/>
      <c r="F46" s="400"/>
      <c r="G46" s="400"/>
      <c r="H46" s="396"/>
    </row>
    <row r="47" spans="1:8" s="401" customFormat="1" ht="14.25" customHeight="1" x14ac:dyDescent="0.25">
      <c r="A47" s="564">
        <v>4956</v>
      </c>
      <c r="B47" s="562" t="s">
        <v>787</v>
      </c>
      <c r="C47" s="403">
        <v>3500</v>
      </c>
      <c r="D47" s="400"/>
      <c r="E47" s="400"/>
      <c r="F47" s="400"/>
      <c r="G47" s="400"/>
      <c r="H47" s="396"/>
    </row>
    <row r="48" spans="1:8" s="401" customFormat="1" ht="14.25" customHeight="1" x14ac:dyDescent="0.25">
      <c r="A48" s="564">
        <v>4957</v>
      </c>
      <c r="B48" s="562" t="s">
        <v>788</v>
      </c>
      <c r="C48" s="403">
        <v>1100</v>
      </c>
      <c r="D48" s="400"/>
      <c r="E48" s="400"/>
      <c r="F48" s="400"/>
      <c r="G48" s="400"/>
      <c r="H48" s="396"/>
    </row>
    <row r="49" spans="1:8" s="401" customFormat="1" ht="14.25" customHeight="1" x14ac:dyDescent="0.25">
      <c r="A49" s="564">
        <v>4958</v>
      </c>
      <c r="B49" s="562" t="s">
        <v>788</v>
      </c>
      <c r="C49" s="403">
        <v>1100</v>
      </c>
      <c r="D49" s="400"/>
      <c r="E49" s="400"/>
      <c r="F49" s="400"/>
      <c r="G49" s="400"/>
      <c r="H49" s="396"/>
    </row>
    <row r="50" spans="1:8" s="401" customFormat="1" ht="14.25" customHeight="1" x14ac:dyDescent="0.25">
      <c r="A50" s="564">
        <v>4960</v>
      </c>
      <c r="B50" s="562" t="s">
        <v>788</v>
      </c>
      <c r="C50" s="403">
        <v>1100</v>
      </c>
      <c r="D50" s="400"/>
      <c r="E50" s="400"/>
      <c r="F50" s="400"/>
      <c r="G50" s="400"/>
      <c r="H50" s="396"/>
    </row>
    <row r="51" spans="1:8" s="401" customFormat="1" ht="14.25" customHeight="1" x14ac:dyDescent="0.25">
      <c r="A51" s="564">
        <v>4962</v>
      </c>
      <c r="B51" s="562" t="s">
        <v>788</v>
      </c>
      <c r="C51" s="403">
        <v>1100</v>
      </c>
      <c r="D51" s="400"/>
      <c r="E51" s="400"/>
      <c r="F51" s="400"/>
      <c r="G51" s="400"/>
      <c r="H51" s="396"/>
    </row>
    <row r="52" spans="1:8" s="401" customFormat="1" ht="14.25" customHeight="1" x14ac:dyDescent="0.25">
      <c r="A52" s="564">
        <v>4965</v>
      </c>
      <c r="B52" s="562" t="s">
        <v>789</v>
      </c>
      <c r="C52" s="403">
        <v>700</v>
      </c>
      <c r="D52" s="400"/>
      <c r="E52" s="400"/>
      <c r="F52" s="400"/>
      <c r="G52" s="400"/>
      <c r="H52" s="396"/>
    </row>
    <row r="53" spans="1:8" s="401" customFormat="1" ht="14.25" customHeight="1" x14ac:dyDescent="0.25">
      <c r="A53" s="564">
        <v>4554</v>
      </c>
      <c r="B53" s="562" t="s">
        <v>785</v>
      </c>
      <c r="C53" s="403">
        <v>665.68</v>
      </c>
      <c r="D53" s="400"/>
      <c r="E53" s="400"/>
      <c r="F53" s="400"/>
      <c r="G53" s="400"/>
      <c r="H53" s="396"/>
    </row>
    <row r="54" spans="1:8" s="401" customFormat="1" ht="14.25" customHeight="1" x14ac:dyDescent="0.25">
      <c r="A54" s="564">
        <v>4560</v>
      </c>
      <c r="B54" s="562" t="s">
        <v>785</v>
      </c>
      <c r="C54" s="403">
        <v>665.68</v>
      </c>
      <c r="D54" s="400"/>
      <c r="E54" s="400"/>
      <c r="F54" s="400"/>
      <c r="G54" s="400"/>
      <c r="H54" s="396"/>
    </row>
    <row r="55" spans="1:8" s="401" customFormat="1" ht="14.25" customHeight="1" x14ac:dyDescent="0.25">
      <c r="A55" s="564">
        <v>4748</v>
      </c>
      <c r="B55" s="562" t="s">
        <v>789</v>
      </c>
      <c r="C55" s="403">
        <v>468.64</v>
      </c>
      <c r="D55" s="400"/>
      <c r="E55" s="400"/>
      <c r="F55" s="400"/>
      <c r="G55" s="400"/>
      <c r="H55" s="396"/>
    </row>
    <row r="56" spans="1:8" s="401" customFormat="1" ht="14.25" customHeight="1" x14ac:dyDescent="0.25">
      <c r="A56" s="564">
        <v>4558</v>
      </c>
      <c r="B56" s="562" t="s">
        <v>785</v>
      </c>
      <c r="C56" s="403">
        <v>665.68</v>
      </c>
      <c r="D56" s="400"/>
      <c r="E56" s="400"/>
      <c r="F56" s="400"/>
      <c r="G56" s="400"/>
      <c r="H56" s="396"/>
    </row>
    <row r="57" spans="1:8" s="401" customFormat="1" ht="14.25" customHeight="1" x14ac:dyDescent="0.25">
      <c r="A57" s="564">
        <v>4959</v>
      </c>
      <c r="B57" s="562" t="s">
        <v>785</v>
      </c>
      <c r="C57" s="403">
        <v>1426.64</v>
      </c>
      <c r="D57" s="400"/>
      <c r="E57" s="400"/>
      <c r="F57" s="400"/>
      <c r="G57" s="400"/>
      <c r="H57" s="396"/>
    </row>
    <row r="58" spans="1:8" s="401" customFormat="1" ht="14.25" customHeight="1" x14ac:dyDescent="0.25">
      <c r="A58" s="564">
        <v>4961</v>
      </c>
      <c r="B58" s="562" t="s">
        <v>785</v>
      </c>
      <c r="C58" s="403">
        <v>1426.64</v>
      </c>
      <c r="D58" s="400"/>
      <c r="E58" s="400"/>
      <c r="F58" s="400"/>
      <c r="G58" s="400"/>
      <c r="H58" s="396"/>
    </row>
    <row r="59" spans="1:8" s="401" customFormat="1" ht="14.25" customHeight="1" x14ac:dyDescent="0.25">
      <c r="A59" s="564">
        <v>264</v>
      </c>
      <c r="B59" s="562" t="s">
        <v>790</v>
      </c>
      <c r="C59" s="403">
        <v>2874</v>
      </c>
      <c r="D59" s="400"/>
      <c r="E59" s="400"/>
      <c r="F59" s="400"/>
      <c r="G59" s="400"/>
      <c r="H59" s="396"/>
    </row>
    <row r="60" spans="1:8" s="401" customFormat="1" ht="14.25" customHeight="1" x14ac:dyDescent="0.25">
      <c r="A60" s="564">
        <v>120</v>
      </c>
      <c r="B60" s="562" t="s">
        <v>791</v>
      </c>
      <c r="C60" s="403">
        <v>3873</v>
      </c>
      <c r="D60" s="400"/>
      <c r="E60" s="400"/>
      <c r="F60" s="400"/>
      <c r="G60" s="400"/>
      <c r="H60" s="396"/>
    </row>
    <row r="61" spans="1:8" s="401" customFormat="1" ht="14.25" customHeight="1" x14ac:dyDescent="0.25">
      <c r="A61" s="564">
        <v>179</v>
      </c>
      <c r="B61" s="562" t="s">
        <v>785</v>
      </c>
      <c r="C61" s="403">
        <v>805</v>
      </c>
      <c r="D61" s="400"/>
      <c r="E61" s="400"/>
      <c r="F61" s="400"/>
      <c r="G61" s="400"/>
      <c r="H61" s="396"/>
    </row>
    <row r="62" spans="1:8" s="401" customFormat="1" ht="14.25" customHeight="1" x14ac:dyDescent="0.25">
      <c r="A62" s="564">
        <v>203</v>
      </c>
      <c r="B62" s="562" t="s">
        <v>785</v>
      </c>
      <c r="C62" s="403">
        <v>829</v>
      </c>
      <c r="D62" s="400"/>
      <c r="E62" s="400"/>
      <c r="F62" s="400"/>
      <c r="G62" s="400"/>
      <c r="H62" s="396"/>
    </row>
    <row r="63" spans="1:8" s="401" customFormat="1" ht="14.25" customHeight="1" x14ac:dyDescent="0.25">
      <c r="A63" s="564">
        <v>208</v>
      </c>
      <c r="B63" s="562" t="s">
        <v>785</v>
      </c>
      <c r="C63" s="403">
        <v>829</v>
      </c>
      <c r="D63" s="400"/>
      <c r="E63" s="400"/>
      <c r="F63" s="400"/>
      <c r="G63" s="400"/>
      <c r="H63" s="396"/>
    </row>
    <row r="64" spans="1:8" s="401" customFormat="1" ht="14.25" customHeight="1" x14ac:dyDescent="0.25">
      <c r="A64" s="564">
        <v>215</v>
      </c>
      <c r="B64" s="562" t="s">
        <v>785</v>
      </c>
      <c r="C64" s="403">
        <v>745</v>
      </c>
      <c r="D64" s="400"/>
      <c r="E64" s="400"/>
      <c r="F64" s="400"/>
      <c r="G64" s="400"/>
      <c r="H64" s="396"/>
    </row>
    <row r="65" spans="1:8" s="401" customFormat="1" ht="14.25" customHeight="1" x14ac:dyDescent="0.25">
      <c r="A65" s="564">
        <v>217</v>
      </c>
      <c r="B65" s="562" t="s">
        <v>785</v>
      </c>
      <c r="C65" s="403">
        <v>745</v>
      </c>
      <c r="D65" s="400"/>
      <c r="E65" s="400"/>
      <c r="F65" s="400"/>
      <c r="G65" s="400"/>
      <c r="H65" s="396"/>
    </row>
    <row r="66" spans="1:8" s="401" customFormat="1" ht="14.25" customHeight="1" x14ac:dyDescent="0.25">
      <c r="A66" s="564">
        <v>223</v>
      </c>
      <c r="B66" s="562" t="s">
        <v>785</v>
      </c>
      <c r="C66" s="403">
        <v>745</v>
      </c>
      <c r="D66" s="400"/>
      <c r="E66" s="400"/>
      <c r="F66" s="400"/>
      <c r="G66" s="400"/>
      <c r="H66" s="396"/>
    </row>
    <row r="67" spans="1:8" s="401" customFormat="1" ht="14.25" customHeight="1" x14ac:dyDescent="0.25">
      <c r="A67" s="564">
        <v>226</v>
      </c>
      <c r="B67" s="562" t="s">
        <v>785</v>
      </c>
      <c r="C67" s="403">
        <v>745</v>
      </c>
      <c r="D67" s="400"/>
      <c r="E67" s="400"/>
      <c r="F67" s="400"/>
      <c r="G67" s="400"/>
      <c r="H67" s="396"/>
    </row>
    <row r="68" spans="1:8" s="401" customFormat="1" ht="14.25" customHeight="1" x14ac:dyDescent="0.25">
      <c r="A68" s="564">
        <v>236</v>
      </c>
      <c r="B68" s="562" t="s">
        <v>785</v>
      </c>
      <c r="C68" s="403">
        <v>1702</v>
      </c>
      <c r="D68" s="400"/>
      <c r="E68" s="400"/>
      <c r="F68" s="400"/>
      <c r="G68" s="400"/>
      <c r="H68" s="396"/>
    </row>
    <row r="69" spans="1:8" s="401" customFormat="1" ht="14.25" customHeight="1" x14ac:dyDescent="0.25">
      <c r="A69" s="564">
        <v>241</v>
      </c>
      <c r="B69" s="562" t="s">
        <v>785</v>
      </c>
      <c r="C69" s="403">
        <v>1702</v>
      </c>
      <c r="D69" s="400"/>
      <c r="E69" s="400"/>
      <c r="F69" s="400"/>
      <c r="G69" s="400"/>
      <c r="H69" s="396"/>
    </row>
    <row r="70" spans="1:8" s="401" customFormat="1" ht="14.25" customHeight="1" x14ac:dyDescent="0.25">
      <c r="A70" s="564">
        <v>272</v>
      </c>
      <c r="B70" s="562" t="s">
        <v>785</v>
      </c>
      <c r="C70" s="403">
        <v>1</v>
      </c>
      <c r="D70" s="400"/>
      <c r="E70" s="400"/>
      <c r="F70" s="400"/>
      <c r="G70" s="400"/>
      <c r="H70" s="396"/>
    </row>
    <row r="71" spans="1:8" s="401" customFormat="1" ht="14.25" customHeight="1" x14ac:dyDescent="0.25">
      <c r="A71" s="564">
        <v>304</v>
      </c>
      <c r="B71" s="562" t="s">
        <v>789</v>
      </c>
      <c r="C71" s="403">
        <v>425</v>
      </c>
      <c r="D71" s="400"/>
      <c r="E71" s="400"/>
      <c r="F71" s="400"/>
      <c r="G71" s="400"/>
      <c r="H71" s="396"/>
    </row>
    <row r="72" spans="1:8" s="401" customFormat="1" ht="14.25" customHeight="1" x14ac:dyDescent="0.25">
      <c r="A72" s="564">
        <v>307</v>
      </c>
      <c r="B72" s="562" t="s">
        <v>789</v>
      </c>
      <c r="C72" s="403">
        <v>934.77</v>
      </c>
      <c r="D72" s="400"/>
      <c r="E72" s="400"/>
      <c r="F72" s="400"/>
      <c r="G72" s="400"/>
      <c r="H72" s="396"/>
    </row>
    <row r="73" spans="1:8" s="401" customFormat="1" ht="14.25" customHeight="1" x14ac:dyDescent="0.25">
      <c r="A73" s="564">
        <v>311</v>
      </c>
      <c r="B73" s="562" t="s">
        <v>791</v>
      </c>
      <c r="C73" s="403">
        <v>3488</v>
      </c>
      <c r="D73" s="400"/>
      <c r="E73" s="400"/>
      <c r="F73" s="400"/>
      <c r="G73" s="400"/>
      <c r="H73" s="396"/>
    </row>
    <row r="74" spans="1:8" s="401" customFormat="1" ht="14.25" customHeight="1" x14ac:dyDescent="0.25">
      <c r="A74" s="564">
        <v>313</v>
      </c>
      <c r="B74" s="562" t="s">
        <v>790</v>
      </c>
      <c r="C74" s="403">
        <v>943</v>
      </c>
      <c r="D74" s="400"/>
      <c r="E74" s="400"/>
      <c r="F74" s="400"/>
      <c r="G74" s="400"/>
      <c r="H74" s="396"/>
    </row>
    <row r="75" spans="1:8" s="401" customFormat="1" ht="14.25" customHeight="1" x14ac:dyDescent="0.25">
      <c r="A75" s="564">
        <v>91</v>
      </c>
      <c r="B75" s="562" t="s">
        <v>791</v>
      </c>
      <c r="C75" s="403">
        <v>1092</v>
      </c>
      <c r="D75" s="400"/>
      <c r="E75" s="400"/>
      <c r="F75" s="400"/>
      <c r="G75" s="400"/>
      <c r="H75" s="396"/>
    </row>
    <row r="76" spans="1:8" s="401" customFormat="1" ht="14.25" customHeight="1" x14ac:dyDescent="0.25">
      <c r="A76" s="564">
        <v>95</v>
      </c>
      <c r="B76" s="562" t="s">
        <v>787</v>
      </c>
      <c r="C76" s="403">
        <v>1</v>
      </c>
      <c r="D76" s="400"/>
      <c r="E76" s="400"/>
      <c r="F76" s="400"/>
      <c r="G76" s="400"/>
      <c r="H76" s="396"/>
    </row>
    <row r="77" spans="1:8" s="401" customFormat="1" ht="14.25" customHeight="1" x14ac:dyDescent="0.25">
      <c r="A77" s="564">
        <v>97</v>
      </c>
      <c r="B77" s="562" t="s">
        <v>790</v>
      </c>
      <c r="C77" s="403">
        <v>1579</v>
      </c>
      <c r="D77" s="400"/>
      <c r="E77" s="400"/>
      <c r="F77" s="400"/>
      <c r="G77" s="400"/>
      <c r="H77" s="396"/>
    </row>
    <row r="78" spans="1:8" s="401" customFormat="1" ht="14.25" customHeight="1" x14ac:dyDescent="0.25">
      <c r="A78" s="564">
        <v>100</v>
      </c>
      <c r="B78" s="562" t="s">
        <v>785</v>
      </c>
      <c r="C78" s="403">
        <v>1</v>
      </c>
      <c r="D78" s="400"/>
      <c r="E78" s="400"/>
      <c r="F78" s="400"/>
      <c r="G78" s="400"/>
      <c r="H78" s="396"/>
    </row>
    <row r="79" spans="1:8" s="401" customFormat="1" ht="14.25" customHeight="1" x14ac:dyDescent="0.25">
      <c r="A79" s="564">
        <v>102</v>
      </c>
      <c r="B79" s="562" t="s">
        <v>785</v>
      </c>
      <c r="C79" s="403">
        <v>345</v>
      </c>
      <c r="D79" s="400"/>
      <c r="E79" s="400"/>
      <c r="F79" s="400"/>
      <c r="G79" s="400"/>
      <c r="H79" s="396"/>
    </row>
    <row r="80" spans="1:8" s="401" customFormat="1" ht="14.25" customHeight="1" x14ac:dyDescent="0.25">
      <c r="A80" s="564">
        <v>105</v>
      </c>
      <c r="B80" s="562" t="s">
        <v>792</v>
      </c>
      <c r="C80" s="403">
        <v>918</v>
      </c>
      <c r="D80" s="400"/>
      <c r="E80" s="400"/>
      <c r="F80" s="400"/>
      <c r="G80" s="400"/>
      <c r="H80" s="396"/>
    </row>
    <row r="81" spans="1:8" s="401" customFormat="1" ht="14.25" customHeight="1" x14ac:dyDescent="0.25">
      <c r="A81" s="564">
        <v>122</v>
      </c>
      <c r="B81" s="562" t="s">
        <v>791</v>
      </c>
      <c r="C81" s="403">
        <v>869</v>
      </c>
      <c r="D81" s="400"/>
      <c r="E81" s="400"/>
      <c r="F81" s="400"/>
      <c r="G81" s="400"/>
      <c r="H81" s="396"/>
    </row>
    <row r="82" spans="1:8" s="401" customFormat="1" ht="14.25" customHeight="1" x14ac:dyDescent="0.25">
      <c r="A82" s="564">
        <v>128</v>
      </c>
      <c r="B82" s="562" t="s">
        <v>787</v>
      </c>
      <c r="C82" s="403">
        <v>8057</v>
      </c>
      <c r="D82" s="400"/>
      <c r="E82" s="400"/>
      <c r="F82" s="400"/>
      <c r="G82" s="400"/>
      <c r="H82" s="396"/>
    </row>
    <row r="83" spans="1:8" s="401" customFormat="1" ht="14.25" customHeight="1" x14ac:dyDescent="0.25">
      <c r="A83" s="564">
        <v>137</v>
      </c>
      <c r="B83" s="562" t="s">
        <v>787</v>
      </c>
      <c r="C83" s="403">
        <v>2794</v>
      </c>
      <c r="D83" s="400"/>
      <c r="E83" s="400"/>
      <c r="F83" s="400"/>
      <c r="G83" s="400"/>
      <c r="H83" s="396"/>
    </row>
    <row r="84" spans="1:8" s="401" customFormat="1" ht="14.25" customHeight="1" x14ac:dyDescent="0.25">
      <c r="A84" s="564">
        <v>138</v>
      </c>
      <c r="B84" s="562" t="s">
        <v>787</v>
      </c>
      <c r="C84" s="403">
        <v>2967</v>
      </c>
      <c r="D84" s="400"/>
      <c r="E84" s="400"/>
      <c r="F84" s="400"/>
      <c r="G84" s="400"/>
      <c r="H84" s="396"/>
    </row>
    <row r="85" spans="1:8" s="401" customFormat="1" ht="14.25" customHeight="1" x14ac:dyDescent="0.25">
      <c r="A85" s="564">
        <v>140</v>
      </c>
      <c r="B85" s="562" t="s">
        <v>793</v>
      </c>
      <c r="C85" s="403">
        <v>156</v>
      </c>
      <c r="D85" s="400"/>
      <c r="E85" s="400"/>
      <c r="F85" s="400"/>
      <c r="G85" s="400"/>
      <c r="H85" s="396"/>
    </row>
    <row r="86" spans="1:8" s="401" customFormat="1" ht="14.25" customHeight="1" x14ac:dyDescent="0.25">
      <c r="A86" s="564">
        <v>143</v>
      </c>
      <c r="B86" s="562" t="s">
        <v>785</v>
      </c>
      <c r="C86" s="403">
        <v>1</v>
      </c>
      <c r="D86" s="400"/>
      <c r="E86" s="400"/>
      <c r="F86" s="400"/>
      <c r="G86" s="400"/>
      <c r="H86" s="396"/>
    </row>
    <row r="87" spans="1:8" s="401" customFormat="1" ht="14.25" customHeight="1" x14ac:dyDescent="0.25">
      <c r="A87" s="564">
        <v>184</v>
      </c>
      <c r="B87" s="562" t="s">
        <v>785</v>
      </c>
      <c r="C87" s="403">
        <v>494</v>
      </c>
      <c r="D87" s="400"/>
      <c r="E87" s="400"/>
      <c r="F87" s="400"/>
      <c r="G87" s="400"/>
      <c r="H87" s="396"/>
    </row>
    <row r="88" spans="1:8" s="401" customFormat="1" ht="14.25" customHeight="1" x14ac:dyDescent="0.25">
      <c r="A88" s="564">
        <v>194</v>
      </c>
      <c r="B88" s="562" t="s">
        <v>785</v>
      </c>
      <c r="C88" s="403">
        <v>170</v>
      </c>
      <c r="D88" s="400"/>
      <c r="E88" s="400"/>
      <c r="F88" s="400"/>
      <c r="G88" s="400"/>
      <c r="H88" s="396"/>
    </row>
    <row r="89" spans="1:8" s="401" customFormat="1" ht="14.25" customHeight="1" x14ac:dyDescent="0.25">
      <c r="A89" s="564">
        <v>198</v>
      </c>
      <c r="B89" s="562" t="s">
        <v>785</v>
      </c>
      <c r="C89" s="403">
        <v>610</v>
      </c>
      <c r="D89" s="400"/>
      <c r="E89" s="400"/>
      <c r="F89" s="400"/>
      <c r="G89" s="400"/>
      <c r="H89" s="396"/>
    </row>
    <row r="90" spans="1:8" s="401" customFormat="1" ht="14.25" customHeight="1" x14ac:dyDescent="0.25">
      <c r="A90" s="564">
        <v>301</v>
      </c>
      <c r="B90" s="562" t="s">
        <v>794</v>
      </c>
      <c r="C90" s="403">
        <v>1</v>
      </c>
      <c r="D90" s="400"/>
      <c r="E90" s="400"/>
      <c r="F90" s="400"/>
      <c r="G90" s="400"/>
      <c r="H90" s="396"/>
    </row>
    <row r="91" spans="1:8" s="401" customFormat="1" ht="14.25" customHeight="1" x14ac:dyDescent="0.25">
      <c r="A91" s="564">
        <v>80</v>
      </c>
      <c r="B91" s="562" t="s">
        <v>787</v>
      </c>
      <c r="C91" s="403">
        <v>1</v>
      </c>
      <c r="D91" s="400"/>
      <c r="E91" s="400"/>
      <c r="F91" s="400"/>
      <c r="G91" s="400"/>
      <c r="H91" s="396"/>
    </row>
    <row r="92" spans="1:8" s="401" customFormat="1" ht="14.25" customHeight="1" x14ac:dyDescent="0.25">
      <c r="A92" s="564">
        <v>83</v>
      </c>
      <c r="B92" s="562" t="s">
        <v>785</v>
      </c>
      <c r="C92" s="403">
        <v>1</v>
      </c>
      <c r="D92" s="400"/>
      <c r="E92" s="400"/>
      <c r="F92" s="400"/>
      <c r="G92" s="400"/>
      <c r="H92" s="396"/>
    </row>
    <row r="93" spans="1:8" s="401" customFormat="1" ht="14.25" customHeight="1" x14ac:dyDescent="0.25">
      <c r="A93" s="564">
        <v>88</v>
      </c>
      <c r="B93" s="562" t="s">
        <v>790</v>
      </c>
      <c r="C93" s="403">
        <v>7078</v>
      </c>
      <c r="D93" s="400"/>
      <c r="E93" s="400"/>
      <c r="F93" s="400"/>
      <c r="G93" s="400"/>
      <c r="H93" s="396"/>
    </row>
    <row r="94" spans="1:8" s="401" customFormat="1" ht="14.25" customHeight="1" x14ac:dyDescent="0.25">
      <c r="A94" s="564">
        <v>112</v>
      </c>
      <c r="B94" s="562" t="s">
        <v>791</v>
      </c>
      <c r="C94" s="403">
        <v>1</v>
      </c>
      <c r="D94" s="400"/>
      <c r="E94" s="400"/>
      <c r="F94" s="400"/>
      <c r="G94" s="400"/>
      <c r="H94" s="396"/>
    </row>
    <row r="95" spans="1:8" s="401" customFormat="1" ht="14.25" customHeight="1" x14ac:dyDescent="0.25">
      <c r="A95" s="564">
        <v>116</v>
      </c>
      <c r="B95" s="562" t="s">
        <v>791</v>
      </c>
      <c r="C95" s="403">
        <v>1622</v>
      </c>
      <c r="D95" s="400"/>
      <c r="E95" s="400"/>
      <c r="F95" s="400"/>
      <c r="G95" s="400"/>
      <c r="H95" s="396"/>
    </row>
    <row r="96" spans="1:8" s="401" customFormat="1" ht="14.25" customHeight="1" x14ac:dyDescent="0.25">
      <c r="A96" s="564">
        <v>125</v>
      </c>
      <c r="B96" s="562" t="s">
        <v>791</v>
      </c>
      <c r="C96" s="403">
        <v>1380</v>
      </c>
      <c r="D96" s="400"/>
      <c r="E96" s="400"/>
      <c r="F96" s="400"/>
      <c r="G96" s="400"/>
      <c r="H96" s="396"/>
    </row>
    <row r="97" spans="1:8" s="401" customFormat="1" ht="14.25" customHeight="1" x14ac:dyDescent="0.25">
      <c r="A97" s="564">
        <v>131</v>
      </c>
      <c r="B97" s="562" t="s">
        <v>787</v>
      </c>
      <c r="C97" s="403">
        <v>2794</v>
      </c>
      <c r="D97" s="400"/>
      <c r="E97" s="400"/>
      <c r="F97" s="400"/>
      <c r="G97" s="400"/>
      <c r="H97" s="396"/>
    </row>
    <row r="98" spans="1:8" s="401" customFormat="1" ht="14.25" customHeight="1" x14ac:dyDescent="0.25">
      <c r="A98" s="564">
        <v>135</v>
      </c>
      <c r="B98" s="562" t="s">
        <v>787</v>
      </c>
      <c r="C98" s="403">
        <v>2794</v>
      </c>
      <c r="D98" s="400"/>
      <c r="E98" s="400"/>
      <c r="F98" s="400"/>
      <c r="G98" s="400"/>
      <c r="H98" s="396"/>
    </row>
    <row r="99" spans="1:8" s="401" customFormat="1" ht="14.25" customHeight="1" x14ac:dyDescent="0.25">
      <c r="A99" s="564">
        <v>139</v>
      </c>
      <c r="B99" s="562" t="s">
        <v>787</v>
      </c>
      <c r="C99" s="403">
        <v>1380</v>
      </c>
      <c r="D99" s="400"/>
      <c r="E99" s="400"/>
      <c r="F99" s="400"/>
      <c r="G99" s="400"/>
      <c r="H99" s="396"/>
    </row>
    <row r="100" spans="1:8" s="401" customFormat="1" ht="14.25" customHeight="1" x14ac:dyDescent="0.25">
      <c r="A100" s="564">
        <v>175</v>
      </c>
      <c r="B100" s="562" t="s">
        <v>785</v>
      </c>
      <c r="C100" s="403">
        <v>522</v>
      </c>
      <c r="D100" s="400"/>
      <c r="E100" s="400"/>
      <c r="F100" s="400"/>
      <c r="G100" s="400"/>
      <c r="H100" s="396"/>
    </row>
    <row r="101" spans="1:8" s="401" customFormat="1" ht="14.25" customHeight="1" x14ac:dyDescent="0.25">
      <c r="A101" s="564">
        <v>177</v>
      </c>
      <c r="B101" s="562" t="s">
        <v>785</v>
      </c>
      <c r="C101" s="403">
        <v>522</v>
      </c>
      <c r="D101" s="400"/>
      <c r="E101" s="400"/>
      <c r="F101" s="400"/>
      <c r="G101" s="400"/>
      <c r="H101" s="396"/>
    </row>
    <row r="102" spans="1:8" s="401" customFormat="1" ht="14.25" customHeight="1" x14ac:dyDescent="0.25">
      <c r="A102" s="564">
        <v>178</v>
      </c>
      <c r="B102" s="562" t="s">
        <v>785</v>
      </c>
      <c r="C102" s="403">
        <v>1288</v>
      </c>
      <c r="D102" s="400"/>
      <c r="E102" s="400"/>
      <c r="F102" s="400"/>
      <c r="G102" s="400"/>
      <c r="H102" s="396"/>
    </row>
    <row r="103" spans="1:8" s="401" customFormat="1" ht="14.25" customHeight="1" x14ac:dyDescent="0.25">
      <c r="A103" s="564">
        <v>181</v>
      </c>
      <c r="B103" s="562" t="s">
        <v>785</v>
      </c>
      <c r="C103" s="403">
        <v>1208</v>
      </c>
      <c r="D103" s="400"/>
      <c r="E103" s="400"/>
      <c r="F103" s="400"/>
      <c r="G103" s="400"/>
      <c r="H103" s="396"/>
    </row>
    <row r="104" spans="1:8" s="401" customFormat="1" ht="14.25" customHeight="1" x14ac:dyDescent="0.25">
      <c r="A104" s="564">
        <v>189</v>
      </c>
      <c r="B104" s="562" t="s">
        <v>785</v>
      </c>
      <c r="C104" s="403">
        <v>1138</v>
      </c>
      <c r="D104" s="400"/>
      <c r="E104" s="400"/>
      <c r="F104" s="400"/>
      <c r="G104" s="400"/>
      <c r="H104" s="396"/>
    </row>
    <row r="105" spans="1:8" s="401" customFormat="1" ht="14.25" customHeight="1" x14ac:dyDescent="0.25">
      <c r="A105" s="564">
        <v>276</v>
      </c>
      <c r="B105" s="562" t="s">
        <v>786</v>
      </c>
      <c r="C105" s="403">
        <v>811</v>
      </c>
      <c r="D105" s="400"/>
      <c r="E105" s="400"/>
      <c r="F105" s="400"/>
      <c r="G105" s="400"/>
      <c r="H105" s="396"/>
    </row>
    <row r="106" spans="1:8" s="401" customFormat="1" ht="14.25" customHeight="1" x14ac:dyDescent="0.25">
      <c r="A106" s="564">
        <v>288</v>
      </c>
      <c r="B106" s="562" t="s">
        <v>786</v>
      </c>
      <c r="C106" s="403">
        <v>1</v>
      </c>
      <c r="D106" s="400"/>
      <c r="E106" s="400"/>
      <c r="F106" s="400"/>
      <c r="G106" s="400"/>
      <c r="H106" s="396"/>
    </row>
    <row r="107" spans="1:8" s="401" customFormat="1" ht="14.25" customHeight="1" x14ac:dyDescent="0.25">
      <c r="A107" s="564">
        <v>309</v>
      </c>
      <c r="B107" s="562" t="s">
        <v>791</v>
      </c>
      <c r="C107" s="403">
        <v>1</v>
      </c>
      <c r="D107" s="400"/>
      <c r="E107" s="400"/>
      <c r="F107" s="400"/>
      <c r="G107" s="400"/>
      <c r="H107" s="396"/>
    </row>
    <row r="108" spans="1:8" s="401" customFormat="1" ht="14.25" customHeight="1" x14ac:dyDescent="0.25">
      <c r="A108" s="564">
        <v>494</v>
      </c>
      <c r="B108" s="562" t="s">
        <v>795</v>
      </c>
      <c r="C108" s="403">
        <v>7289</v>
      </c>
      <c r="D108" s="400"/>
      <c r="E108" s="400"/>
      <c r="F108" s="400"/>
      <c r="G108" s="400"/>
      <c r="H108" s="396"/>
    </row>
    <row r="109" spans="1:8" s="401" customFormat="1" ht="14.25" customHeight="1" x14ac:dyDescent="0.25">
      <c r="A109" s="564">
        <v>497</v>
      </c>
      <c r="B109" s="562" t="s">
        <v>790</v>
      </c>
      <c r="C109" s="403">
        <v>3402</v>
      </c>
      <c r="D109" s="400"/>
      <c r="E109" s="400"/>
      <c r="F109" s="400"/>
      <c r="G109" s="400"/>
      <c r="H109" s="396"/>
    </row>
    <row r="110" spans="1:8" s="401" customFormat="1" ht="14.25" customHeight="1" x14ac:dyDescent="0.25">
      <c r="A110" s="564">
        <v>505</v>
      </c>
      <c r="B110" s="562" t="s">
        <v>787</v>
      </c>
      <c r="C110" s="403">
        <v>9699</v>
      </c>
      <c r="D110" s="400"/>
      <c r="E110" s="400"/>
      <c r="F110" s="400"/>
      <c r="G110" s="400"/>
      <c r="H110" s="396"/>
    </row>
    <row r="111" spans="1:8" s="401" customFormat="1" ht="14.25" customHeight="1" x14ac:dyDescent="0.25">
      <c r="A111" s="564">
        <v>506</v>
      </c>
      <c r="B111" s="562" t="s">
        <v>788</v>
      </c>
      <c r="C111" s="403">
        <v>4312</v>
      </c>
      <c r="D111" s="400"/>
      <c r="E111" s="400"/>
      <c r="F111" s="400"/>
      <c r="G111" s="400"/>
      <c r="H111" s="396"/>
    </row>
    <row r="112" spans="1:8" s="401" customFormat="1" ht="14.25" customHeight="1" x14ac:dyDescent="0.25">
      <c r="A112" s="564">
        <v>509</v>
      </c>
      <c r="B112" s="562" t="s">
        <v>790</v>
      </c>
      <c r="C112" s="403">
        <v>1</v>
      </c>
      <c r="D112" s="400"/>
      <c r="E112" s="400"/>
      <c r="F112" s="400"/>
      <c r="G112" s="400"/>
      <c r="H112" s="396"/>
    </row>
    <row r="113" spans="1:8" s="401" customFormat="1" ht="14.25" customHeight="1" x14ac:dyDescent="0.25">
      <c r="A113" s="564">
        <v>510</v>
      </c>
      <c r="B113" s="562" t="s">
        <v>790</v>
      </c>
      <c r="C113" s="403">
        <v>1</v>
      </c>
      <c r="D113" s="400"/>
      <c r="E113" s="400"/>
      <c r="F113" s="400"/>
      <c r="G113" s="400"/>
      <c r="H113" s="396"/>
    </row>
    <row r="114" spans="1:8" s="401" customFormat="1" ht="14.25" customHeight="1" x14ac:dyDescent="0.25">
      <c r="A114" s="564">
        <v>511</v>
      </c>
      <c r="B114" s="562" t="s">
        <v>790</v>
      </c>
      <c r="C114" s="403">
        <v>1</v>
      </c>
      <c r="D114" s="400"/>
      <c r="E114" s="400"/>
      <c r="F114" s="400"/>
      <c r="G114" s="400"/>
      <c r="H114" s="396"/>
    </row>
    <row r="115" spans="1:8" s="401" customFormat="1" ht="14.25" customHeight="1" x14ac:dyDescent="0.25">
      <c r="A115" s="564">
        <v>512</v>
      </c>
      <c r="B115" s="562" t="s">
        <v>785</v>
      </c>
      <c r="C115" s="403">
        <v>1</v>
      </c>
      <c r="D115" s="400"/>
      <c r="E115" s="400"/>
      <c r="F115" s="400"/>
      <c r="G115" s="400"/>
      <c r="H115" s="396"/>
    </row>
    <row r="116" spans="1:8" s="401" customFormat="1" ht="14.25" customHeight="1" x14ac:dyDescent="0.25">
      <c r="A116" s="564">
        <v>515</v>
      </c>
      <c r="B116" s="562" t="s">
        <v>785</v>
      </c>
      <c r="C116" s="403">
        <v>1</v>
      </c>
      <c r="D116" s="400"/>
      <c r="E116" s="400"/>
      <c r="F116" s="400"/>
      <c r="G116" s="400"/>
      <c r="H116" s="396"/>
    </row>
    <row r="117" spans="1:8" s="401" customFormat="1" ht="14.25" customHeight="1" x14ac:dyDescent="0.25">
      <c r="A117" s="564">
        <v>517</v>
      </c>
      <c r="B117" s="562" t="s">
        <v>786</v>
      </c>
      <c r="C117" s="403">
        <v>1863</v>
      </c>
      <c r="D117" s="400"/>
      <c r="E117" s="400"/>
      <c r="F117" s="400"/>
      <c r="G117" s="400"/>
      <c r="H117" s="396"/>
    </row>
    <row r="118" spans="1:8" s="401" customFormat="1" ht="14.25" customHeight="1" x14ac:dyDescent="0.25">
      <c r="A118" s="564">
        <v>519</v>
      </c>
      <c r="B118" s="562" t="s">
        <v>795</v>
      </c>
      <c r="C118" s="403">
        <v>5489</v>
      </c>
      <c r="D118" s="400"/>
      <c r="E118" s="400"/>
      <c r="F118" s="400"/>
      <c r="G118" s="400"/>
      <c r="H118" s="396"/>
    </row>
    <row r="119" spans="1:8" s="401" customFormat="1" ht="14.25" customHeight="1" x14ac:dyDescent="0.25">
      <c r="A119" s="564">
        <v>535</v>
      </c>
      <c r="B119" s="562" t="s">
        <v>791</v>
      </c>
      <c r="C119" s="403">
        <v>1</v>
      </c>
      <c r="D119" s="400"/>
      <c r="E119" s="400"/>
      <c r="F119" s="400"/>
      <c r="G119" s="400"/>
      <c r="H119" s="396"/>
    </row>
    <row r="120" spans="1:8" s="401" customFormat="1" ht="14.25" customHeight="1" x14ac:dyDescent="0.25">
      <c r="A120" s="564">
        <v>538</v>
      </c>
      <c r="B120" s="562" t="s">
        <v>786</v>
      </c>
      <c r="C120" s="403">
        <v>2321</v>
      </c>
      <c r="D120" s="400"/>
      <c r="E120" s="400"/>
      <c r="F120" s="400"/>
      <c r="G120" s="400"/>
      <c r="H120" s="396"/>
    </row>
    <row r="121" spans="1:8" s="401" customFormat="1" ht="14.25" customHeight="1" x14ac:dyDescent="0.25">
      <c r="A121" s="564">
        <v>1217</v>
      </c>
      <c r="B121" s="562" t="s">
        <v>785</v>
      </c>
      <c r="C121" s="403">
        <v>505</v>
      </c>
      <c r="D121" s="400"/>
      <c r="E121" s="400"/>
      <c r="F121" s="400"/>
      <c r="G121" s="400"/>
      <c r="H121" s="396"/>
    </row>
    <row r="122" spans="1:8" s="401" customFormat="1" ht="14.25" customHeight="1" x14ac:dyDescent="0.25">
      <c r="A122" s="564">
        <v>1228</v>
      </c>
      <c r="B122" s="562" t="s">
        <v>789</v>
      </c>
      <c r="C122" s="403">
        <v>368.93</v>
      </c>
      <c r="D122" s="400"/>
      <c r="E122" s="400"/>
      <c r="F122" s="400"/>
      <c r="G122" s="400"/>
      <c r="H122" s="396"/>
    </row>
    <row r="123" spans="1:8" s="401" customFormat="1" ht="14.25" customHeight="1" x14ac:dyDescent="0.25">
      <c r="A123" s="564">
        <v>1231</v>
      </c>
      <c r="B123" s="562" t="s">
        <v>786</v>
      </c>
      <c r="C123" s="403">
        <v>2321</v>
      </c>
      <c r="D123" s="400"/>
      <c r="E123" s="400"/>
      <c r="F123" s="400"/>
      <c r="G123" s="400"/>
      <c r="H123" s="396"/>
    </row>
    <row r="124" spans="1:8" s="401" customFormat="1" ht="14.25" customHeight="1" x14ac:dyDescent="0.25">
      <c r="A124" s="564">
        <v>1234</v>
      </c>
      <c r="B124" s="562" t="s">
        <v>791</v>
      </c>
      <c r="C124" s="403">
        <v>3436</v>
      </c>
      <c r="D124" s="400"/>
      <c r="E124" s="400"/>
      <c r="F124" s="400"/>
      <c r="G124" s="400"/>
      <c r="H124" s="396"/>
    </row>
    <row r="125" spans="1:8" s="401" customFormat="1" ht="14.25" customHeight="1" x14ac:dyDescent="0.25">
      <c r="A125" s="564">
        <v>1239</v>
      </c>
      <c r="B125" s="562" t="s">
        <v>791</v>
      </c>
      <c r="C125" s="403">
        <v>1</v>
      </c>
      <c r="D125" s="400"/>
      <c r="E125" s="400"/>
      <c r="F125" s="400"/>
      <c r="G125" s="400"/>
      <c r="H125" s="396"/>
    </row>
    <row r="126" spans="1:8" s="401" customFormat="1" ht="14.25" customHeight="1" x14ac:dyDescent="0.25">
      <c r="A126" s="564">
        <v>1242</v>
      </c>
      <c r="B126" s="562" t="s">
        <v>796</v>
      </c>
      <c r="C126" s="403">
        <v>7173</v>
      </c>
      <c r="D126" s="400"/>
      <c r="E126" s="400"/>
      <c r="F126" s="400"/>
      <c r="G126" s="400"/>
      <c r="H126" s="396"/>
    </row>
    <row r="127" spans="1:8" s="401" customFormat="1" ht="14.25" customHeight="1" x14ac:dyDescent="0.25">
      <c r="A127" s="564">
        <v>1245</v>
      </c>
      <c r="B127" s="562" t="s">
        <v>796</v>
      </c>
      <c r="C127" s="403">
        <v>7173</v>
      </c>
      <c r="D127" s="400"/>
      <c r="E127" s="400"/>
      <c r="F127" s="400"/>
      <c r="G127" s="400"/>
      <c r="H127" s="396"/>
    </row>
    <row r="128" spans="1:8" s="401" customFormat="1" ht="14.25" customHeight="1" x14ac:dyDescent="0.25">
      <c r="A128" s="564">
        <v>1250</v>
      </c>
      <c r="B128" s="562" t="s">
        <v>796</v>
      </c>
      <c r="C128" s="403">
        <v>7173</v>
      </c>
      <c r="D128" s="400"/>
      <c r="E128" s="400"/>
      <c r="F128" s="400"/>
      <c r="G128" s="400"/>
      <c r="H128" s="396"/>
    </row>
    <row r="129" spans="1:8" s="401" customFormat="1" ht="14.25" customHeight="1" x14ac:dyDescent="0.25">
      <c r="A129" s="564">
        <v>1254</v>
      </c>
      <c r="B129" s="562" t="s">
        <v>796</v>
      </c>
      <c r="C129" s="403">
        <v>7173</v>
      </c>
      <c r="D129" s="400"/>
      <c r="E129" s="400"/>
      <c r="F129" s="400"/>
      <c r="G129" s="400"/>
      <c r="H129" s="396"/>
    </row>
    <row r="130" spans="1:8" s="401" customFormat="1" ht="14.25" customHeight="1" x14ac:dyDescent="0.25">
      <c r="A130" s="564">
        <v>1256</v>
      </c>
      <c r="B130" s="562" t="s">
        <v>796</v>
      </c>
      <c r="C130" s="403">
        <v>7173</v>
      </c>
      <c r="D130" s="400"/>
      <c r="E130" s="400"/>
      <c r="F130" s="400"/>
      <c r="G130" s="400"/>
      <c r="H130" s="396"/>
    </row>
    <row r="131" spans="1:8" s="401" customFormat="1" ht="14.25" customHeight="1" x14ac:dyDescent="0.25">
      <c r="A131" s="564">
        <v>1258</v>
      </c>
      <c r="B131" s="562" t="s">
        <v>796</v>
      </c>
      <c r="C131" s="403">
        <v>7173</v>
      </c>
      <c r="D131" s="400"/>
      <c r="E131" s="400"/>
      <c r="F131" s="400"/>
      <c r="G131" s="400"/>
      <c r="H131" s="396"/>
    </row>
    <row r="132" spans="1:8" s="401" customFormat="1" ht="14.25" customHeight="1" x14ac:dyDescent="0.25">
      <c r="A132" s="564">
        <v>1261</v>
      </c>
      <c r="B132" s="562" t="s">
        <v>796</v>
      </c>
      <c r="C132" s="403">
        <v>7173</v>
      </c>
      <c r="D132" s="400"/>
      <c r="E132" s="400"/>
      <c r="F132" s="400"/>
      <c r="G132" s="400"/>
      <c r="H132" s="396"/>
    </row>
    <row r="133" spans="1:8" s="401" customFormat="1" ht="14.25" customHeight="1" x14ac:dyDescent="0.25">
      <c r="A133" s="564">
        <v>1263</v>
      </c>
      <c r="B133" s="562" t="s">
        <v>796</v>
      </c>
      <c r="C133" s="403">
        <v>7173</v>
      </c>
      <c r="D133" s="400"/>
      <c r="E133" s="400"/>
      <c r="F133" s="400"/>
      <c r="G133" s="400"/>
      <c r="H133" s="396"/>
    </row>
    <row r="134" spans="1:8" s="401" customFormat="1" ht="14.25" customHeight="1" x14ac:dyDescent="0.25">
      <c r="A134" s="564">
        <v>1265</v>
      </c>
      <c r="B134" s="562" t="s">
        <v>787</v>
      </c>
      <c r="C134" s="403">
        <v>4201</v>
      </c>
      <c r="D134" s="400"/>
      <c r="E134" s="400"/>
      <c r="F134" s="400"/>
      <c r="G134" s="400"/>
      <c r="H134" s="396"/>
    </row>
    <row r="135" spans="1:8" s="401" customFormat="1" ht="14.25" customHeight="1" x14ac:dyDescent="0.25">
      <c r="A135" s="564">
        <v>1268</v>
      </c>
      <c r="B135" s="562" t="s">
        <v>797</v>
      </c>
      <c r="C135" s="403">
        <v>512</v>
      </c>
      <c r="D135" s="400"/>
      <c r="E135" s="400"/>
      <c r="F135" s="400"/>
      <c r="G135" s="400"/>
      <c r="H135" s="396"/>
    </row>
    <row r="136" spans="1:8" s="401" customFormat="1" ht="14.25" customHeight="1" x14ac:dyDescent="0.25">
      <c r="A136" s="564">
        <v>1270</v>
      </c>
      <c r="B136" s="562" t="s">
        <v>797</v>
      </c>
      <c r="C136" s="403">
        <v>512</v>
      </c>
      <c r="D136" s="400"/>
      <c r="E136" s="400"/>
      <c r="F136" s="400"/>
      <c r="G136" s="400"/>
      <c r="H136" s="396"/>
    </row>
    <row r="137" spans="1:8" s="401" customFormat="1" ht="14.25" customHeight="1" x14ac:dyDescent="0.25">
      <c r="A137" s="564">
        <v>1274</v>
      </c>
      <c r="B137" s="562" t="s">
        <v>797</v>
      </c>
      <c r="C137" s="403">
        <v>512</v>
      </c>
      <c r="D137" s="400"/>
      <c r="E137" s="400"/>
      <c r="F137" s="400"/>
      <c r="G137" s="400"/>
      <c r="H137" s="396"/>
    </row>
    <row r="138" spans="1:8" s="401" customFormat="1" ht="14.25" customHeight="1" x14ac:dyDescent="0.25">
      <c r="A138" s="564">
        <v>1288</v>
      </c>
      <c r="B138" s="562" t="s">
        <v>797</v>
      </c>
      <c r="C138" s="403">
        <v>512</v>
      </c>
      <c r="D138" s="400"/>
      <c r="E138" s="400"/>
      <c r="F138" s="400"/>
      <c r="G138" s="400"/>
      <c r="H138" s="396"/>
    </row>
    <row r="139" spans="1:8" s="401" customFormat="1" ht="14.25" customHeight="1" x14ac:dyDescent="0.25">
      <c r="A139" s="564">
        <v>1296</v>
      </c>
      <c r="B139" s="562" t="s">
        <v>797</v>
      </c>
      <c r="C139" s="403">
        <v>512</v>
      </c>
      <c r="D139" s="400"/>
      <c r="E139" s="400"/>
      <c r="F139" s="400"/>
      <c r="G139" s="400"/>
      <c r="H139" s="396"/>
    </row>
    <row r="140" spans="1:8" s="401" customFormat="1" ht="14.25" customHeight="1" x14ac:dyDescent="0.25">
      <c r="A140" s="564">
        <v>1388</v>
      </c>
      <c r="B140" s="562" t="s">
        <v>797</v>
      </c>
      <c r="C140" s="403">
        <v>512</v>
      </c>
      <c r="D140" s="400"/>
      <c r="E140" s="400"/>
      <c r="F140" s="400"/>
      <c r="G140" s="400"/>
      <c r="H140" s="396"/>
    </row>
    <row r="141" spans="1:8" s="401" customFormat="1" ht="14.25" customHeight="1" x14ac:dyDescent="0.25">
      <c r="A141" s="564">
        <v>1392</v>
      </c>
      <c r="B141" s="562" t="s">
        <v>785</v>
      </c>
      <c r="C141" s="403">
        <v>1265</v>
      </c>
      <c r="D141" s="400"/>
      <c r="E141" s="400"/>
      <c r="F141" s="400"/>
      <c r="G141" s="400"/>
      <c r="H141" s="396"/>
    </row>
    <row r="142" spans="1:8" s="401" customFormat="1" ht="14.25" customHeight="1" x14ac:dyDescent="0.25">
      <c r="A142" s="564">
        <v>1397</v>
      </c>
      <c r="B142" s="562" t="s">
        <v>785</v>
      </c>
      <c r="C142" s="403">
        <v>1265</v>
      </c>
      <c r="D142" s="400"/>
      <c r="E142" s="400"/>
      <c r="F142" s="400"/>
      <c r="G142" s="400"/>
      <c r="H142" s="396"/>
    </row>
    <row r="143" spans="1:8" s="401" customFormat="1" ht="14.25" customHeight="1" x14ac:dyDescent="0.25">
      <c r="A143" s="564">
        <v>1400</v>
      </c>
      <c r="B143" s="562" t="s">
        <v>785</v>
      </c>
      <c r="C143" s="403">
        <v>505</v>
      </c>
      <c r="D143" s="400"/>
      <c r="E143" s="400"/>
      <c r="F143" s="400"/>
      <c r="G143" s="400"/>
      <c r="H143" s="396"/>
    </row>
    <row r="144" spans="1:8" s="401" customFormat="1" ht="14.25" customHeight="1" x14ac:dyDescent="0.25">
      <c r="A144" s="564">
        <v>1403</v>
      </c>
      <c r="B144" s="562" t="s">
        <v>785</v>
      </c>
      <c r="C144" s="403">
        <v>505</v>
      </c>
      <c r="D144" s="400"/>
      <c r="E144" s="400"/>
      <c r="F144" s="400"/>
      <c r="G144" s="400"/>
      <c r="H144" s="396"/>
    </row>
    <row r="145" spans="1:8" s="401" customFormat="1" ht="14.25" customHeight="1" x14ac:dyDescent="0.25">
      <c r="A145" s="564">
        <v>1407</v>
      </c>
      <c r="B145" s="562" t="s">
        <v>785</v>
      </c>
      <c r="C145" s="403">
        <v>505</v>
      </c>
      <c r="D145" s="400"/>
      <c r="E145" s="400"/>
      <c r="F145" s="400"/>
      <c r="G145" s="400"/>
      <c r="H145" s="396"/>
    </row>
    <row r="146" spans="1:8" s="401" customFormat="1" ht="14.25" customHeight="1" x14ac:dyDescent="0.25">
      <c r="A146" s="564">
        <v>1412</v>
      </c>
      <c r="B146" s="562" t="s">
        <v>785</v>
      </c>
      <c r="C146" s="403">
        <v>782</v>
      </c>
      <c r="D146" s="400"/>
      <c r="E146" s="400"/>
      <c r="F146" s="400"/>
      <c r="G146" s="400"/>
      <c r="H146" s="396"/>
    </row>
    <row r="147" spans="1:8" s="401" customFormat="1" ht="14.25" customHeight="1" x14ac:dyDescent="0.25">
      <c r="A147" s="564">
        <v>1418</v>
      </c>
      <c r="B147" s="562" t="s">
        <v>798</v>
      </c>
      <c r="C147" s="403">
        <v>5173</v>
      </c>
      <c r="D147" s="400"/>
      <c r="E147" s="400"/>
      <c r="F147" s="400"/>
      <c r="G147" s="400"/>
      <c r="H147" s="396"/>
    </row>
    <row r="148" spans="1:8" s="401" customFormat="1" ht="14.25" customHeight="1" x14ac:dyDescent="0.25">
      <c r="A148" s="564">
        <v>1428</v>
      </c>
      <c r="B148" s="562" t="s">
        <v>798</v>
      </c>
      <c r="C148" s="403">
        <v>2658.14</v>
      </c>
      <c r="D148" s="400"/>
      <c r="E148" s="400"/>
      <c r="F148" s="400"/>
      <c r="G148" s="400"/>
      <c r="H148" s="396"/>
    </row>
    <row r="149" spans="1:8" s="401" customFormat="1" ht="14.25" customHeight="1" x14ac:dyDescent="0.25">
      <c r="A149" s="564">
        <v>1434</v>
      </c>
      <c r="B149" s="562" t="s">
        <v>790</v>
      </c>
      <c r="C149" s="403">
        <v>569</v>
      </c>
      <c r="D149" s="400"/>
      <c r="E149" s="400"/>
      <c r="F149" s="400"/>
      <c r="G149" s="400"/>
      <c r="H149" s="396"/>
    </row>
    <row r="150" spans="1:8" s="401" customFormat="1" ht="14.25" customHeight="1" x14ac:dyDescent="0.25">
      <c r="A150" s="564">
        <v>1439</v>
      </c>
      <c r="B150" s="562" t="s">
        <v>798</v>
      </c>
      <c r="C150" s="403">
        <v>2658.14</v>
      </c>
      <c r="D150" s="400"/>
      <c r="E150" s="400"/>
      <c r="F150" s="400"/>
      <c r="G150" s="400"/>
      <c r="H150" s="396"/>
    </row>
    <row r="151" spans="1:8" s="401" customFormat="1" ht="14.25" customHeight="1" x14ac:dyDescent="0.25">
      <c r="A151" s="564">
        <v>1444</v>
      </c>
      <c r="B151" s="562" t="s">
        <v>787</v>
      </c>
      <c r="C151" s="403">
        <v>4048</v>
      </c>
      <c r="D151" s="400"/>
      <c r="E151" s="400"/>
      <c r="F151" s="400"/>
      <c r="G151" s="400"/>
      <c r="H151" s="396"/>
    </row>
    <row r="152" spans="1:8" s="401" customFormat="1" ht="14.25" customHeight="1" x14ac:dyDescent="0.25">
      <c r="A152" s="564">
        <v>1452</v>
      </c>
      <c r="B152" s="562" t="s">
        <v>798</v>
      </c>
      <c r="C152" s="403">
        <v>1</v>
      </c>
      <c r="D152" s="400"/>
      <c r="E152" s="400"/>
      <c r="F152" s="400"/>
      <c r="G152" s="400"/>
      <c r="H152" s="396"/>
    </row>
    <row r="153" spans="1:8" s="401" customFormat="1" ht="14.25" customHeight="1" x14ac:dyDescent="0.25">
      <c r="A153" s="564">
        <v>1453</v>
      </c>
      <c r="B153" s="562" t="s">
        <v>785</v>
      </c>
      <c r="C153" s="403">
        <v>1</v>
      </c>
      <c r="D153" s="400"/>
      <c r="E153" s="400"/>
      <c r="F153" s="400"/>
      <c r="G153" s="400"/>
      <c r="H153" s="396"/>
    </row>
    <row r="154" spans="1:8" s="401" customFormat="1" ht="14.25" customHeight="1" x14ac:dyDescent="0.25">
      <c r="A154" s="564">
        <v>1465</v>
      </c>
      <c r="B154" s="562" t="s">
        <v>787</v>
      </c>
      <c r="C154" s="403">
        <v>4201</v>
      </c>
      <c r="D154" s="400"/>
      <c r="E154" s="400"/>
      <c r="F154" s="400"/>
      <c r="G154" s="400"/>
      <c r="H154" s="396"/>
    </row>
    <row r="155" spans="1:8" s="401" customFormat="1" ht="14.25" customHeight="1" x14ac:dyDescent="0.25">
      <c r="A155" s="564">
        <v>883</v>
      </c>
      <c r="B155" s="562" t="s">
        <v>785</v>
      </c>
      <c r="C155" s="403">
        <v>589</v>
      </c>
      <c r="D155" s="400"/>
      <c r="E155" s="400"/>
      <c r="F155" s="400"/>
      <c r="G155" s="400"/>
      <c r="H155" s="396"/>
    </row>
    <row r="156" spans="1:8" s="401" customFormat="1" ht="14.25" customHeight="1" x14ac:dyDescent="0.25">
      <c r="A156" s="564">
        <v>884</v>
      </c>
      <c r="B156" s="562" t="s">
        <v>785</v>
      </c>
      <c r="C156" s="403">
        <v>589</v>
      </c>
      <c r="D156" s="400"/>
      <c r="E156" s="400"/>
      <c r="F156" s="400"/>
      <c r="G156" s="400"/>
      <c r="H156" s="396"/>
    </row>
    <row r="157" spans="1:8" s="401" customFormat="1" ht="14.25" customHeight="1" x14ac:dyDescent="0.25">
      <c r="A157" s="564">
        <v>886</v>
      </c>
      <c r="B157" s="562" t="s">
        <v>785</v>
      </c>
      <c r="C157" s="403">
        <v>684.4</v>
      </c>
      <c r="D157" s="400"/>
      <c r="E157" s="400"/>
      <c r="F157" s="400"/>
      <c r="G157" s="400"/>
      <c r="H157" s="396"/>
    </row>
    <row r="158" spans="1:8" s="401" customFormat="1" ht="14.25" customHeight="1" x14ac:dyDescent="0.25">
      <c r="A158" s="564">
        <v>889</v>
      </c>
      <c r="B158" s="562" t="s">
        <v>785</v>
      </c>
      <c r="C158" s="403">
        <v>1</v>
      </c>
      <c r="D158" s="400"/>
      <c r="E158" s="400"/>
      <c r="F158" s="400"/>
      <c r="G158" s="400"/>
      <c r="H158" s="396"/>
    </row>
    <row r="159" spans="1:8" s="401" customFormat="1" ht="14.25" customHeight="1" x14ac:dyDescent="0.25">
      <c r="A159" s="564">
        <v>893</v>
      </c>
      <c r="B159" s="562" t="s">
        <v>785</v>
      </c>
      <c r="C159" s="403">
        <v>870</v>
      </c>
      <c r="D159" s="400"/>
      <c r="E159" s="400"/>
      <c r="F159" s="400"/>
      <c r="G159" s="400"/>
      <c r="H159" s="396"/>
    </row>
    <row r="160" spans="1:8" s="401" customFormat="1" ht="14.25" customHeight="1" x14ac:dyDescent="0.25">
      <c r="A160" s="564">
        <v>1634</v>
      </c>
      <c r="B160" s="562" t="s">
        <v>798</v>
      </c>
      <c r="C160" s="403">
        <v>2638.14</v>
      </c>
      <c r="D160" s="400"/>
      <c r="E160" s="400"/>
      <c r="F160" s="400"/>
      <c r="G160" s="400"/>
      <c r="H160" s="396"/>
    </row>
    <row r="161" spans="1:8" s="401" customFormat="1" ht="14.25" customHeight="1" x14ac:dyDescent="0.25">
      <c r="A161" s="564">
        <v>1638</v>
      </c>
      <c r="B161" s="562" t="s">
        <v>790</v>
      </c>
      <c r="C161" s="403">
        <v>3680</v>
      </c>
      <c r="D161" s="400"/>
      <c r="E161" s="400"/>
      <c r="F161" s="400"/>
      <c r="G161" s="400"/>
      <c r="H161" s="396"/>
    </row>
    <row r="162" spans="1:8" s="401" customFormat="1" ht="14.25" customHeight="1" x14ac:dyDescent="0.25">
      <c r="A162" s="564">
        <v>1640</v>
      </c>
      <c r="B162" s="562" t="s">
        <v>785</v>
      </c>
      <c r="C162" s="403">
        <v>505</v>
      </c>
      <c r="D162" s="400"/>
      <c r="E162" s="400"/>
      <c r="F162" s="400"/>
      <c r="G162" s="400"/>
      <c r="H162" s="396"/>
    </row>
    <row r="163" spans="1:8" s="401" customFormat="1" ht="14.25" customHeight="1" x14ac:dyDescent="0.25">
      <c r="A163" s="564">
        <v>1642</v>
      </c>
      <c r="B163" s="562" t="s">
        <v>785</v>
      </c>
      <c r="C163" s="403">
        <v>505</v>
      </c>
      <c r="D163" s="400"/>
      <c r="E163" s="400"/>
      <c r="F163" s="400"/>
      <c r="G163" s="400"/>
      <c r="H163" s="396"/>
    </row>
    <row r="164" spans="1:8" s="401" customFormat="1" ht="14.25" customHeight="1" x14ac:dyDescent="0.25">
      <c r="A164" s="564">
        <v>1645</v>
      </c>
      <c r="B164" s="562" t="s">
        <v>785</v>
      </c>
      <c r="C164" s="403">
        <v>505</v>
      </c>
      <c r="D164" s="400"/>
      <c r="E164" s="400"/>
      <c r="F164" s="400"/>
      <c r="G164" s="400"/>
      <c r="H164" s="396"/>
    </row>
    <row r="165" spans="1:8" s="401" customFormat="1" ht="14.25" customHeight="1" x14ac:dyDescent="0.25">
      <c r="A165" s="564">
        <v>1652</v>
      </c>
      <c r="B165" s="562" t="s">
        <v>787</v>
      </c>
      <c r="C165" s="403">
        <v>3006</v>
      </c>
      <c r="D165" s="400"/>
      <c r="E165" s="400"/>
      <c r="F165" s="400"/>
      <c r="G165" s="400"/>
      <c r="H165" s="396"/>
    </row>
    <row r="166" spans="1:8" s="401" customFormat="1" ht="14.25" customHeight="1" x14ac:dyDescent="0.25">
      <c r="A166" s="564">
        <v>1655</v>
      </c>
      <c r="B166" s="562" t="s">
        <v>787</v>
      </c>
      <c r="C166" s="403">
        <v>3006</v>
      </c>
      <c r="D166" s="400"/>
      <c r="E166" s="400"/>
      <c r="F166" s="400"/>
      <c r="G166" s="400"/>
      <c r="H166" s="396"/>
    </row>
    <row r="167" spans="1:8" s="401" customFormat="1" ht="14.25" customHeight="1" x14ac:dyDescent="0.25">
      <c r="A167" s="564">
        <v>1658</v>
      </c>
      <c r="B167" s="562" t="s">
        <v>787</v>
      </c>
      <c r="C167" s="403">
        <v>3006</v>
      </c>
      <c r="D167" s="400"/>
      <c r="E167" s="400"/>
      <c r="F167" s="400"/>
      <c r="G167" s="400"/>
      <c r="H167" s="396"/>
    </row>
    <row r="168" spans="1:8" s="401" customFormat="1" ht="14.25" customHeight="1" x14ac:dyDescent="0.25">
      <c r="A168" s="564">
        <v>1662</v>
      </c>
      <c r="B168" s="562" t="s">
        <v>785</v>
      </c>
      <c r="C168" s="403">
        <v>505</v>
      </c>
      <c r="D168" s="400"/>
      <c r="E168" s="400"/>
      <c r="F168" s="400"/>
      <c r="G168" s="400"/>
      <c r="H168" s="396"/>
    </row>
    <row r="169" spans="1:8" s="401" customFormat="1" ht="14.25" customHeight="1" x14ac:dyDescent="0.25">
      <c r="A169" s="564">
        <v>1665</v>
      </c>
      <c r="B169" s="562" t="s">
        <v>791</v>
      </c>
      <c r="C169" s="403">
        <v>3436</v>
      </c>
      <c r="D169" s="400"/>
      <c r="E169" s="400"/>
      <c r="F169" s="400"/>
      <c r="G169" s="400"/>
      <c r="H169" s="396"/>
    </row>
    <row r="170" spans="1:8" s="401" customFormat="1" ht="14.25" customHeight="1" x14ac:dyDescent="0.25">
      <c r="A170" s="564">
        <v>1668</v>
      </c>
      <c r="B170" s="562" t="s">
        <v>791</v>
      </c>
      <c r="C170" s="403">
        <v>3436</v>
      </c>
      <c r="D170" s="400"/>
      <c r="E170" s="400"/>
      <c r="F170" s="400"/>
      <c r="G170" s="400"/>
      <c r="H170" s="396"/>
    </row>
    <row r="171" spans="1:8" s="401" customFormat="1" ht="14.25" customHeight="1" x14ac:dyDescent="0.25">
      <c r="A171" s="564">
        <v>1670</v>
      </c>
      <c r="B171" s="562" t="s">
        <v>791</v>
      </c>
      <c r="C171" s="403">
        <v>3436</v>
      </c>
      <c r="D171" s="400"/>
      <c r="E171" s="400"/>
      <c r="F171" s="400"/>
      <c r="G171" s="400"/>
      <c r="H171" s="396"/>
    </row>
    <row r="172" spans="1:8" s="401" customFormat="1" ht="14.25" customHeight="1" x14ac:dyDescent="0.25">
      <c r="A172" s="564">
        <v>1673</v>
      </c>
      <c r="B172" s="562" t="s">
        <v>787</v>
      </c>
      <c r="C172" s="403">
        <v>4198</v>
      </c>
      <c r="D172" s="400"/>
      <c r="E172" s="400"/>
      <c r="F172" s="400"/>
      <c r="G172" s="400"/>
      <c r="H172" s="396"/>
    </row>
    <row r="173" spans="1:8" s="401" customFormat="1" ht="14.25" customHeight="1" x14ac:dyDescent="0.25">
      <c r="A173" s="564">
        <v>1676</v>
      </c>
      <c r="B173" s="562" t="s">
        <v>787</v>
      </c>
      <c r="C173" s="403">
        <v>3006</v>
      </c>
      <c r="D173" s="400"/>
      <c r="E173" s="400"/>
      <c r="F173" s="400"/>
      <c r="G173" s="400"/>
      <c r="H173" s="396"/>
    </row>
    <row r="174" spans="1:8" s="401" customFormat="1" ht="14.25" customHeight="1" x14ac:dyDescent="0.25">
      <c r="A174" s="564">
        <v>1679</v>
      </c>
      <c r="B174" s="562" t="s">
        <v>787</v>
      </c>
      <c r="C174" s="403">
        <v>3006</v>
      </c>
      <c r="D174" s="400"/>
      <c r="E174" s="400"/>
      <c r="F174" s="400"/>
      <c r="G174" s="400"/>
      <c r="H174" s="396"/>
    </row>
    <row r="175" spans="1:8" s="401" customFormat="1" ht="14.25" customHeight="1" x14ac:dyDescent="0.25">
      <c r="A175" s="564">
        <v>1685</v>
      </c>
      <c r="B175" s="562" t="s">
        <v>785</v>
      </c>
      <c r="C175" s="403">
        <v>870</v>
      </c>
      <c r="D175" s="400"/>
      <c r="E175" s="400"/>
      <c r="F175" s="400"/>
      <c r="G175" s="400"/>
      <c r="H175" s="396"/>
    </row>
    <row r="176" spans="1:8" s="401" customFormat="1" ht="14.25" customHeight="1" x14ac:dyDescent="0.25">
      <c r="A176" s="564">
        <v>1457</v>
      </c>
      <c r="B176" s="562" t="s">
        <v>794</v>
      </c>
      <c r="C176" s="403">
        <v>856.39</v>
      </c>
      <c r="D176" s="400"/>
      <c r="E176" s="400"/>
      <c r="F176" s="400"/>
      <c r="G176" s="400"/>
      <c r="H176" s="396"/>
    </row>
    <row r="177" spans="1:8" s="401" customFormat="1" ht="14.25" customHeight="1" x14ac:dyDescent="0.25">
      <c r="A177" s="564">
        <v>1460</v>
      </c>
      <c r="B177" s="562" t="s">
        <v>799</v>
      </c>
      <c r="C177" s="403">
        <v>2037.4</v>
      </c>
      <c r="D177" s="400"/>
      <c r="E177" s="400"/>
      <c r="F177" s="400"/>
      <c r="G177" s="400"/>
      <c r="H177" s="396"/>
    </row>
    <row r="178" spans="1:8" s="401" customFormat="1" ht="14.25" customHeight="1" x14ac:dyDescent="0.25">
      <c r="A178" s="564">
        <v>1462</v>
      </c>
      <c r="B178" s="562" t="s">
        <v>791</v>
      </c>
      <c r="C178" s="403">
        <v>2415</v>
      </c>
      <c r="D178" s="400"/>
      <c r="E178" s="400"/>
      <c r="F178" s="400"/>
      <c r="G178" s="400"/>
      <c r="H178" s="396"/>
    </row>
    <row r="179" spans="1:8" s="401" customFormat="1" ht="14.25" customHeight="1" x14ac:dyDescent="0.25">
      <c r="A179" s="564">
        <v>1469</v>
      </c>
      <c r="B179" s="562" t="s">
        <v>785</v>
      </c>
      <c r="C179" s="403">
        <v>1018</v>
      </c>
      <c r="D179" s="400"/>
      <c r="E179" s="400"/>
      <c r="F179" s="400"/>
      <c r="G179" s="400"/>
      <c r="H179" s="396"/>
    </row>
    <row r="180" spans="1:8" s="401" customFormat="1" ht="14.25" customHeight="1" x14ac:dyDescent="0.25">
      <c r="A180" s="564">
        <v>1472</v>
      </c>
      <c r="B180" s="562" t="s">
        <v>785</v>
      </c>
      <c r="C180" s="403">
        <v>368</v>
      </c>
      <c r="D180" s="400"/>
      <c r="E180" s="400"/>
      <c r="F180" s="400"/>
      <c r="G180" s="400"/>
      <c r="H180" s="396"/>
    </row>
    <row r="181" spans="1:8" s="401" customFormat="1" ht="14.25" customHeight="1" x14ac:dyDescent="0.25">
      <c r="A181" s="564">
        <v>1477</v>
      </c>
      <c r="B181" s="562" t="s">
        <v>785</v>
      </c>
      <c r="C181" s="403">
        <v>368</v>
      </c>
      <c r="D181" s="400"/>
      <c r="E181" s="400"/>
      <c r="F181" s="400"/>
      <c r="G181" s="400"/>
      <c r="H181" s="396"/>
    </row>
    <row r="182" spans="1:8" s="401" customFormat="1" ht="14.25" customHeight="1" x14ac:dyDescent="0.25">
      <c r="A182" s="564">
        <v>1482</v>
      </c>
      <c r="B182" s="562" t="s">
        <v>791</v>
      </c>
      <c r="C182" s="403">
        <v>3436</v>
      </c>
      <c r="D182" s="400"/>
      <c r="E182" s="400"/>
      <c r="F182" s="400"/>
      <c r="G182" s="400"/>
      <c r="H182" s="396"/>
    </row>
    <row r="183" spans="1:8" s="401" customFormat="1" ht="14.25" customHeight="1" x14ac:dyDescent="0.25">
      <c r="A183" s="564">
        <v>1499</v>
      </c>
      <c r="B183" s="562" t="s">
        <v>791</v>
      </c>
      <c r="C183" s="403">
        <v>2415</v>
      </c>
      <c r="D183" s="400"/>
      <c r="E183" s="400"/>
      <c r="F183" s="400"/>
      <c r="G183" s="400"/>
      <c r="H183" s="396"/>
    </row>
    <row r="184" spans="1:8" s="401" customFormat="1" ht="14.25" customHeight="1" x14ac:dyDescent="0.25">
      <c r="A184" s="564">
        <v>1504</v>
      </c>
      <c r="B184" s="562" t="s">
        <v>786</v>
      </c>
      <c r="C184" s="403">
        <v>1284</v>
      </c>
      <c r="D184" s="400"/>
      <c r="E184" s="400"/>
      <c r="F184" s="400"/>
      <c r="G184" s="400"/>
      <c r="H184" s="396"/>
    </row>
    <row r="185" spans="1:8" s="401" customFormat="1" ht="14.25" customHeight="1" x14ac:dyDescent="0.25">
      <c r="A185" s="564">
        <v>1510</v>
      </c>
      <c r="B185" s="562" t="s">
        <v>791</v>
      </c>
      <c r="C185" s="403">
        <v>1</v>
      </c>
      <c r="D185" s="400"/>
      <c r="E185" s="400"/>
      <c r="F185" s="400"/>
      <c r="G185" s="400"/>
      <c r="H185" s="396"/>
    </row>
    <row r="186" spans="1:8" s="401" customFormat="1" ht="14.25" customHeight="1" x14ac:dyDescent="0.25">
      <c r="A186" s="564">
        <v>1514</v>
      </c>
      <c r="B186" s="562" t="s">
        <v>787</v>
      </c>
      <c r="C186" s="403">
        <v>4201</v>
      </c>
      <c r="D186" s="400"/>
      <c r="E186" s="400"/>
      <c r="F186" s="400"/>
      <c r="G186" s="400"/>
      <c r="H186" s="396"/>
    </row>
    <row r="187" spans="1:8" s="401" customFormat="1" ht="14.25" customHeight="1" x14ac:dyDescent="0.25">
      <c r="A187" s="564">
        <v>1523</v>
      </c>
      <c r="B187" s="562" t="s">
        <v>800</v>
      </c>
      <c r="C187" s="403">
        <v>2278.56</v>
      </c>
      <c r="D187" s="400"/>
      <c r="E187" s="400"/>
      <c r="F187" s="400"/>
      <c r="G187" s="400"/>
      <c r="H187" s="396"/>
    </row>
    <row r="188" spans="1:8" s="401" customFormat="1" ht="14.25" customHeight="1" x14ac:dyDescent="0.25">
      <c r="A188" s="564">
        <v>1525</v>
      </c>
      <c r="B188" s="562" t="s">
        <v>785</v>
      </c>
      <c r="C188" s="403">
        <v>368</v>
      </c>
      <c r="D188" s="400"/>
      <c r="E188" s="400"/>
      <c r="F188" s="400"/>
      <c r="G188" s="400"/>
      <c r="H188" s="396"/>
    </row>
    <row r="189" spans="1:8" s="401" customFormat="1" ht="14.25" customHeight="1" x14ac:dyDescent="0.25">
      <c r="A189" s="564">
        <v>1531</v>
      </c>
      <c r="B189" s="562" t="s">
        <v>789</v>
      </c>
      <c r="C189" s="403">
        <v>629.88</v>
      </c>
      <c r="D189" s="400"/>
      <c r="E189" s="400"/>
      <c r="F189" s="400"/>
      <c r="G189" s="400"/>
      <c r="H189" s="396"/>
    </row>
    <row r="190" spans="1:8" s="401" customFormat="1" ht="14.25" customHeight="1" x14ac:dyDescent="0.25">
      <c r="A190" s="564">
        <v>1570</v>
      </c>
      <c r="B190" s="562" t="s">
        <v>787</v>
      </c>
      <c r="C190" s="403">
        <v>3006</v>
      </c>
      <c r="D190" s="400"/>
      <c r="E190" s="400"/>
      <c r="F190" s="400"/>
      <c r="G190" s="400"/>
      <c r="H190" s="396"/>
    </row>
    <row r="191" spans="1:8" s="401" customFormat="1" ht="14.25" customHeight="1" x14ac:dyDescent="0.25">
      <c r="A191" s="564">
        <v>1575</v>
      </c>
      <c r="B191" s="562" t="s">
        <v>787</v>
      </c>
      <c r="C191" s="403">
        <v>3006</v>
      </c>
      <c r="D191" s="400"/>
      <c r="E191" s="400"/>
      <c r="F191" s="400"/>
      <c r="G191" s="400"/>
      <c r="H191" s="396"/>
    </row>
    <row r="192" spans="1:8" s="401" customFormat="1" ht="14.25" customHeight="1" x14ac:dyDescent="0.25">
      <c r="A192" s="564">
        <v>1577</v>
      </c>
      <c r="B192" s="562" t="s">
        <v>791</v>
      </c>
      <c r="C192" s="403">
        <v>3436</v>
      </c>
      <c r="D192" s="400"/>
      <c r="E192" s="400"/>
      <c r="F192" s="400"/>
      <c r="G192" s="400"/>
      <c r="H192" s="396"/>
    </row>
    <row r="193" spans="1:8" s="401" customFormat="1" ht="14.25" customHeight="1" x14ac:dyDescent="0.25">
      <c r="A193" s="564">
        <v>1579</v>
      </c>
      <c r="B193" s="562" t="s">
        <v>791</v>
      </c>
      <c r="C193" s="403">
        <v>3436</v>
      </c>
      <c r="D193" s="400"/>
      <c r="E193" s="400"/>
      <c r="F193" s="400"/>
      <c r="G193" s="400"/>
      <c r="H193" s="396"/>
    </row>
    <row r="194" spans="1:8" s="401" customFormat="1" ht="14.25" customHeight="1" x14ac:dyDescent="0.25">
      <c r="A194" s="564">
        <v>1582</v>
      </c>
      <c r="B194" s="562" t="s">
        <v>787</v>
      </c>
      <c r="C194" s="403">
        <v>3006</v>
      </c>
      <c r="D194" s="400"/>
      <c r="E194" s="400"/>
      <c r="F194" s="400"/>
      <c r="G194" s="400"/>
      <c r="H194" s="396"/>
    </row>
    <row r="195" spans="1:8" s="401" customFormat="1" ht="14.25" customHeight="1" x14ac:dyDescent="0.25">
      <c r="A195" s="564">
        <v>1588</v>
      </c>
      <c r="B195" s="562" t="s">
        <v>801</v>
      </c>
      <c r="C195" s="403">
        <v>6293</v>
      </c>
      <c r="D195" s="400"/>
      <c r="E195" s="400"/>
      <c r="F195" s="400"/>
      <c r="G195" s="400"/>
      <c r="H195" s="396"/>
    </row>
    <row r="196" spans="1:8" s="401" customFormat="1" ht="14.25" customHeight="1" x14ac:dyDescent="0.25">
      <c r="A196" s="564">
        <v>1591</v>
      </c>
      <c r="B196" s="562" t="s">
        <v>785</v>
      </c>
      <c r="C196" s="403">
        <v>1018</v>
      </c>
      <c r="D196" s="400"/>
      <c r="E196" s="400"/>
      <c r="F196" s="400"/>
      <c r="G196" s="400"/>
      <c r="H196" s="396"/>
    </row>
    <row r="197" spans="1:8" s="401" customFormat="1" ht="14.25" customHeight="1" x14ac:dyDescent="0.25">
      <c r="A197" s="564">
        <v>1593</v>
      </c>
      <c r="B197" s="562" t="s">
        <v>785</v>
      </c>
      <c r="C197" s="403">
        <v>1018</v>
      </c>
      <c r="D197" s="400"/>
      <c r="E197" s="400"/>
      <c r="F197" s="400"/>
      <c r="G197" s="400"/>
      <c r="H197" s="396"/>
    </row>
    <row r="198" spans="1:8" s="401" customFormat="1" ht="14.25" customHeight="1" x14ac:dyDescent="0.25">
      <c r="A198" s="564">
        <v>1603</v>
      </c>
      <c r="B198" s="562" t="s">
        <v>786</v>
      </c>
      <c r="C198" s="403">
        <v>1284</v>
      </c>
      <c r="D198" s="400"/>
      <c r="E198" s="400"/>
      <c r="F198" s="400"/>
      <c r="G198" s="400"/>
      <c r="H198" s="396"/>
    </row>
    <row r="199" spans="1:8" s="401" customFormat="1" ht="14.25" customHeight="1" x14ac:dyDescent="0.25">
      <c r="A199" s="564">
        <v>1605</v>
      </c>
      <c r="B199" s="562" t="s">
        <v>785</v>
      </c>
      <c r="C199" s="403">
        <v>1018</v>
      </c>
      <c r="D199" s="400"/>
      <c r="E199" s="400"/>
      <c r="F199" s="400"/>
      <c r="G199" s="400"/>
      <c r="H199" s="396"/>
    </row>
    <row r="200" spans="1:8" s="401" customFormat="1" ht="14.25" customHeight="1" x14ac:dyDescent="0.25">
      <c r="A200" s="564">
        <v>1607</v>
      </c>
      <c r="B200" s="562" t="s">
        <v>787</v>
      </c>
      <c r="C200" s="403">
        <v>3006</v>
      </c>
      <c r="D200" s="400"/>
      <c r="E200" s="400"/>
      <c r="F200" s="400"/>
      <c r="G200" s="400"/>
      <c r="H200" s="396"/>
    </row>
    <row r="201" spans="1:8" s="401" customFormat="1" ht="14.25" customHeight="1" x14ac:dyDescent="0.25">
      <c r="A201" s="564">
        <v>1610</v>
      </c>
      <c r="B201" s="562" t="s">
        <v>790</v>
      </c>
      <c r="C201" s="403">
        <v>1</v>
      </c>
      <c r="D201" s="400"/>
      <c r="E201" s="400"/>
      <c r="F201" s="400"/>
      <c r="G201" s="400"/>
      <c r="H201" s="396"/>
    </row>
    <row r="202" spans="1:8" s="401" customFormat="1" ht="14.25" customHeight="1" x14ac:dyDescent="0.25">
      <c r="A202" s="564">
        <v>1611</v>
      </c>
      <c r="B202" s="562" t="s">
        <v>791</v>
      </c>
      <c r="C202" s="403">
        <v>1</v>
      </c>
      <c r="D202" s="400"/>
      <c r="E202" s="400"/>
      <c r="F202" s="400"/>
      <c r="G202" s="400"/>
      <c r="H202" s="396"/>
    </row>
    <row r="203" spans="1:8" s="401" customFormat="1" ht="14.25" customHeight="1" x14ac:dyDescent="0.25">
      <c r="A203" s="564">
        <v>1617</v>
      </c>
      <c r="B203" s="562" t="s">
        <v>787</v>
      </c>
      <c r="C203" s="403">
        <v>1</v>
      </c>
      <c r="D203" s="400"/>
      <c r="E203" s="400"/>
      <c r="F203" s="400"/>
      <c r="G203" s="400"/>
      <c r="H203" s="396"/>
    </row>
    <row r="204" spans="1:8" s="401" customFormat="1" ht="14.25" customHeight="1" x14ac:dyDescent="0.25">
      <c r="A204" s="564">
        <v>1620</v>
      </c>
      <c r="B204" s="562" t="s">
        <v>785</v>
      </c>
      <c r="C204" s="403">
        <v>1</v>
      </c>
      <c r="D204" s="400"/>
      <c r="E204" s="400"/>
      <c r="F204" s="400"/>
      <c r="G204" s="400"/>
      <c r="H204" s="396"/>
    </row>
    <row r="205" spans="1:8" s="401" customFormat="1" ht="14.25" customHeight="1" x14ac:dyDescent="0.25">
      <c r="A205" s="564">
        <v>1625</v>
      </c>
      <c r="B205" s="562" t="s">
        <v>785</v>
      </c>
      <c r="C205" s="403">
        <v>1</v>
      </c>
      <c r="D205" s="400"/>
      <c r="E205" s="400"/>
      <c r="F205" s="400"/>
      <c r="G205" s="400"/>
      <c r="H205" s="396"/>
    </row>
    <row r="206" spans="1:8" s="401" customFormat="1" ht="14.25" customHeight="1" x14ac:dyDescent="0.25">
      <c r="A206" s="564">
        <v>1630</v>
      </c>
      <c r="B206" s="562" t="s">
        <v>787</v>
      </c>
      <c r="C206" s="403">
        <v>1</v>
      </c>
      <c r="D206" s="400"/>
      <c r="E206" s="400"/>
      <c r="F206" s="400"/>
      <c r="G206" s="400"/>
      <c r="H206" s="396"/>
    </row>
    <row r="207" spans="1:8" s="401" customFormat="1" ht="14.25" customHeight="1" x14ac:dyDescent="0.25">
      <c r="A207" s="564">
        <v>874</v>
      </c>
      <c r="B207" s="562" t="s">
        <v>787</v>
      </c>
      <c r="C207" s="403">
        <v>3006</v>
      </c>
      <c r="D207" s="400"/>
      <c r="E207" s="400"/>
      <c r="F207" s="400"/>
      <c r="G207" s="400"/>
      <c r="H207" s="396"/>
    </row>
    <row r="208" spans="1:8" s="401" customFormat="1" ht="14.25" customHeight="1" x14ac:dyDescent="0.25">
      <c r="A208" s="564">
        <v>904</v>
      </c>
      <c r="B208" s="562" t="s">
        <v>787</v>
      </c>
      <c r="C208" s="403">
        <v>4201</v>
      </c>
      <c r="D208" s="400"/>
      <c r="E208" s="400"/>
      <c r="F208" s="400"/>
      <c r="G208" s="400"/>
      <c r="H208" s="396"/>
    </row>
    <row r="209" spans="1:8" s="401" customFormat="1" ht="14.25" customHeight="1" x14ac:dyDescent="0.25">
      <c r="A209" s="564">
        <v>907</v>
      </c>
      <c r="B209" s="562" t="s">
        <v>787</v>
      </c>
      <c r="C209" s="403">
        <v>3006</v>
      </c>
      <c r="D209" s="400"/>
      <c r="E209" s="400"/>
      <c r="F209" s="400"/>
      <c r="G209" s="400"/>
      <c r="H209" s="396"/>
    </row>
    <row r="210" spans="1:8" s="401" customFormat="1" ht="14.25" customHeight="1" x14ac:dyDescent="0.25">
      <c r="A210" s="564">
        <v>941</v>
      </c>
      <c r="B210" s="562" t="s">
        <v>785</v>
      </c>
      <c r="C210" s="403">
        <v>505</v>
      </c>
      <c r="D210" s="400"/>
      <c r="E210" s="400"/>
      <c r="F210" s="400"/>
      <c r="G210" s="400"/>
      <c r="H210" s="396"/>
    </row>
    <row r="211" spans="1:8" s="401" customFormat="1" ht="14.25" customHeight="1" x14ac:dyDescent="0.25">
      <c r="A211" s="564">
        <v>945</v>
      </c>
      <c r="B211" s="562" t="s">
        <v>787</v>
      </c>
      <c r="C211" s="403">
        <v>3006</v>
      </c>
      <c r="D211" s="400"/>
      <c r="E211" s="400"/>
      <c r="F211" s="400"/>
      <c r="G211" s="400"/>
      <c r="H211" s="396"/>
    </row>
    <row r="212" spans="1:8" s="401" customFormat="1" ht="14.25" customHeight="1" x14ac:dyDescent="0.25">
      <c r="A212" s="564">
        <v>951</v>
      </c>
      <c r="B212" s="562" t="s">
        <v>785</v>
      </c>
      <c r="C212" s="403">
        <v>1018</v>
      </c>
      <c r="D212" s="400"/>
      <c r="E212" s="400"/>
      <c r="F212" s="400"/>
      <c r="G212" s="400"/>
      <c r="H212" s="396"/>
    </row>
    <row r="213" spans="1:8" s="401" customFormat="1" ht="14.25" customHeight="1" x14ac:dyDescent="0.25">
      <c r="A213" s="564">
        <v>955</v>
      </c>
      <c r="B213" s="562" t="s">
        <v>790</v>
      </c>
      <c r="C213" s="403">
        <v>437</v>
      </c>
      <c r="D213" s="400"/>
      <c r="E213" s="400"/>
      <c r="F213" s="400"/>
      <c r="G213" s="400"/>
      <c r="H213" s="396"/>
    </row>
    <row r="214" spans="1:8" s="401" customFormat="1" ht="14.25" customHeight="1" x14ac:dyDescent="0.25">
      <c r="A214" s="564">
        <v>958</v>
      </c>
      <c r="B214" s="562" t="s">
        <v>785</v>
      </c>
      <c r="C214" s="403">
        <v>1018</v>
      </c>
      <c r="D214" s="400"/>
      <c r="E214" s="400"/>
      <c r="F214" s="400"/>
      <c r="G214" s="400"/>
      <c r="H214" s="396"/>
    </row>
    <row r="215" spans="1:8" s="401" customFormat="1" ht="14.25" customHeight="1" x14ac:dyDescent="0.25">
      <c r="A215" s="564">
        <v>963</v>
      </c>
      <c r="B215" s="562" t="s">
        <v>785</v>
      </c>
      <c r="C215" s="403">
        <v>1018</v>
      </c>
      <c r="D215" s="400"/>
      <c r="E215" s="400"/>
      <c r="F215" s="400"/>
      <c r="G215" s="400"/>
      <c r="H215" s="396"/>
    </row>
    <row r="216" spans="1:8" s="401" customFormat="1" ht="14.25" customHeight="1" x14ac:dyDescent="0.25">
      <c r="A216" s="564">
        <v>971</v>
      </c>
      <c r="B216" s="562" t="s">
        <v>787</v>
      </c>
      <c r="C216" s="403">
        <v>3006</v>
      </c>
      <c r="D216" s="400"/>
      <c r="E216" s="400"/>
      <c r="F216" s="400"/>
      <c r="G216" s="400"/>
      <c r="H216" s="396"/>
    </row>
    <row r="217" spans="1:8" s="401" customFormat="1" ht="14.25" customHeight="1" x14ac:dyDescent="0.25">
      <c r="A217" s="564">
        <v>973</v>
      </c>
      <c r="B217" s="562" t="s">
        <v>787</v>
      </c>
      <c r="C217" s="403">
        <v>3006</v>
      </c>
      <c r="D217" s="400"/>
      <c r="E217" s="400"/>
      <c r="F217" s="400"/>
      <c r="G217" s="400"/>
      <c r="H217" s="396"/>
    </row>
    <row r="218" spans="1:8" s="401" customFormat="1" ht="14.25" customHeight="1" x14ac:dyDescent="0.25">
      <c r="A218" s="564">
        <v>974</v>
      </c>
      <c r="B218" s="562" t="s">
        <v>790</v>
      </c>
      <c r="C218" s="403">
        <v>738</v>
      </c>
      <c r="D218" s="400"/>
      <c r="E218" s="400"/>
      <c r="F218" s="400"/>
      <c r="G218" s="400"/>
      <c r="H218" s="396"/>
    </row>
    <row r="219" spans="1:8" s="401" customFormat="1" ht="14.25" customHeight="1" x14ac:dyDescent="0.25">
      <c r="A219" s="564">
        <v>978</v>
      </c>
      <c r="B219" s="562" t="s">
        <v>785</v>
      </c>
      <c r="C219" s="403">
        <v>1</v>
      </c>
      <c r="D219" s="400"/>
      <c r="E219" s="400"/>
      <c r="F219" s="400"/>
      <c r="G219" s="400"/>
      <c r="H219" s="396"/>
    </row>
    <row r="220" spans="1:8" s="401" customFormat="1" ht="14.25" customHeight="1" x14ac:dyDescent="0.25">
      <c r="A220" s="564">
        <v>981</v>
      </c>
      <c r="B220" s="562" t="s">
        <v>801</v>
      </c>
      <c r="C220" s="403">
        <v>27448</v>
      </c>
      <c r="D220" s="400"/>
      <c r="E220" s="400"/>
      <c r="F220" s="400"/>
      <c r="G220" s="400"/>
      <c r="H220" s="396"/>
    </row>
    <row r="221" spans="1:8" s="401" customFormat="1" ht="14.25" customHeight="1" x14ac:dyDescent="0.25">
      <c r="A221" s="564">
        <v>982</v>
      </c>
      <c r="B221" s="562" t="s">
        <v>791</v>
      </c>
      <c r="C221" s="403">
        <v>3436</v>
      </c>
      <c r="D221" s="400"/>
      <c r="E221" s="400"/>
      <c r="F221" s="400"/>
      <c r="G221" s="400"/>
      <c r="H221" s="396"/>
    </row>
    <row r="222" spans="1:8" s="401" customFormat="1" ht="14.25" customHeight="1" x14ac:dyDescent="0.25">
      <c r="A222" s="564">
        <v>984</v>
      </c>
      <c r="B222" s="562" t="s">
        <v>787</v>
      </c>
      <c r="C222" s="403">
        <v>4600</v>
      </c>
      <c r="D222" s="400"/>
      <c r="E222" s="400"/>
      <c r="F222" s="400"/>
      <c r="G222" s="400"/>
      <c r="H222" s="396"/>
    </row>
    <row r="223" spans="1:8" s="401" customFormat="1" ht="14.25" customHeight="1" x14ac:dyDescent="0.25">
      <c r="A223" s="564">
        <v>989</v>
      </c>
      <c r="B223" s="562" t="s">
        <v>790</v>
      </c>
      <c r="C223" s="403">
        <v>1</v>
      </c>
      <c r="D223" s="400"/>
      <c r="E223" s="400"/>
      <c r="F223" s="400"/>
      <c r="G223" s="400"/>
      <c r="H223" s="396"/>
    </row>
    <row r="224" spans="1:8" s="401" customFormat="1" ht="14.25" customHeight="1" x14ac:dyDescent="0.25">
      <c r="A224" s="564">
        <v>992</v>
      </c>
      <c r="B224" s="562" t="s">
        <v>790</v>
      </c>
      <c r="C224" s="403">
        <v>9538</v>
      </c>
      <c r="D224" s="400"/>
      <c r="E224" s="400"/>
      <c r="F224" s="400"/>
      <c r="G224" s="400"/>
      <c r="H224" s="396"/>
    </row>
    <row r="225" spans="1:8" s="401" customFormat="1" ht="14.25" customHeight="1" x14ac:dyDescent="0.25">
      <c r="A225" s="564">
        <v>995</v>
      </c>
      <c r="B225" s="562" t="s">
        <v>802</v>
      </c>
      <c r="C225" s="403">
        <v>3232</v>
      </c>
      <c r="D225" s="400"/>
      <c r="E225" s="400"/>
      <c r="F225" s="400"/>
      <c r="G225" s="400"/>
      <c r="H225" s="396"/>
    </row>
    <row r="226" spans="1:8" s="401" customFormat="1" ht="14.25" customHeight="1" x14ac:dyDescent="0.25">
      <c r="A226" s="564">
        <v>997</v>
      </c>
      <c r="B226" s="562" t="s">
        <v>790</v>
      </c>
      <c r="C226" s="403">
        <v>1898</v>
      </c>
      <c r="D226" s="400"/>
      <c r="E226" s="400"/>
      <c r="F226" s="400"/>
      <c r="G226" s="400"/>
      <c r="H226" s="396"/>
    </row>
    <row r="227" spans="1:8" s="401" customFormat="1" ht="14.25" customHeight="1" x14ac:dyDescent="0.25">
      <c r="A227" s="564">
        <v>999</v>
      </c>
      <c r="B227" s="562" t="s">
        <v>785</v>
      </c>
      <c r="C227" s="403">
        <v>684.4</v>
      </c>
      <c r="D227" s="400"/>
      <c r="E227" s="400"/>
      <c r="F227" s="400"/>
      <c r="G227" s="400"/>
      <c r="H227" s="396"/>
    </row>
    <row r="228" spans="1:8" s="401" customFormat="1" ht="14.25" customHeight="1" x14ac:dyDescent="0.25">
      <c r="A228" s="564">
        <v>1001</v>
      </c>
      <c r="B228" s="562" t="s">
        <v>785</v>
      </c>
      <c r="C228" s="403">
        <v>1</v>
      </c>
      <c r="D228" s="400"/>
      <c r="E228" s="400"/>
      <c r="F228" s="400"/>
      <c r="G228" s="400"/>
      <c r="H228" s="396"/>
    </row>
    <row r="229" spans="1:8" s="401" customFormat="1" ht="14.25" customHeight="1" x14ac:dyDescent="0.25">
      <c r="A229" s="564">
        <v>1003</v>
      </c>
      <c r="B229" s="562" t="s">
        <v>785</v>
      </c>
      <c r="C229" s="403">
        <v>1</v>
      </c>
      <c r="D229" s="400"/>
      <c r="E229" s="400"/>
      <c r="F229" s="400"/>
      <c r="G229" s="400"/>
      <c r="H229" s="396"/>
    </row>
    <row r="230" spans="1:8" s="401" customFormat="1" ht="14.25" customHeight="1" x14ac:dyDescent="0.25">
      <c r="A230" s="564">
        <v>1005</v>
      </c>
      <c r="B230" s="562" t="s">
        <v>785</v>
      </c>
      <c r="C230" s="403">
        <v>684.4</v>
      </c>
      <c r="D230" s="400"/>
      <c r="E230" s="400"/>
      <c r="F230" s="400"/>
      <c r="G230" s="400"/>
      <c r="H230" s="396"/>
    </row>
    <row r="231" spans="1:8" s="401" customFormat="1" ht="14.25" customHeight="1" x14ac:dyDescent="0.25">
      <c r="A231" s="564">
        <v>1007</v>
      </c>
      <c r="B231" s="562" t="s">
        <v>785</v>
      </c>
      <c r="C231" s="403">
        <v>1</v>
      </c>
      <c r="D231" s="400"/>
      <c r="E231" s="400"/>
      <c r="F231" s="400"/>
      <c r="G231" s="400"/>
      <c r="H231" s="396"/>
    </row>
    <row r="232" spans="1:8" s="401" customFormat="1" ht="14.25" customHeight="1" x14ac:dyDescent="0.25">
      <c r="A232" s="564">
        <v>1009</v>
      </c>
      <c r="B232" s="562" t="s">
        <v>785</v>
      </c>
      <c r="C232" s="403">
        <v>684.4</v>
      </c>
      <c r="D232" s="400"/>
      <c r="E232" s="400"/>
      <c r="F232" s="400"/>
      <c r="G232" s="400"/>
      <c r="H232" s="396"/>
    </row>
    <row r="233" spans="1:8" s="401" customFormat="1" ht="14.25" customHeight="1" x14ac:dyDescent="0.25">
      <c r="A233" s="564">
        <v>1011</v>
      </c>
      <c r="B233" s="562" t="s">
        <v>785</v>
      </c>
      <c r="C233" s="403">
        <v>1</v>
      </c>
      <c r="D233" s="400"/>
      <c r="E233" s="400"/>
      <c r="F233" s="400"/>
      <c r="G233" s="400"/>
      <c r="H233" s="396"/>
    </row>
    <row r="234" spans="1:8" s="401" customFormat="1" ht="14.25" customHeight="1" x14ac:dyDescent="0.25">
      <c r="A234" s="564">
        <v>1013</v>
      </c>
      <c r="B234" s="562" t="s">
        <v>785</v>
      </c>
      <c r="C234" s="403">
        <v>684.4</v>
      </c>
      <c r="D234" s="400"/>
      <c r="E234" s="400"/>
      <c r="F234" s="400"/>
      <c r="G234" s="400"/>
      <c r="H234" s="396"/>
    </row>
    <row r="235" spans="1:8" s="401" customFormat="1" ht="14.25" customHeight="1" x14ac:dyDescent="0.25">
      <c r="A235" s="564">
        <v>1015</v>
      </c>
      <c r="B235" s="562" t="s">
        <v>786</v>
      </c>
      <c r="C235" s="403">
        <v>1</v>
      </c>
      <c r="D235" s="400"/>
      <c r="E235" s="400"/>
      <c r="F235" s="400"/>
      <c r="G235" s="400"/>
      <c r="H235" s="396"/>
    </row>
    <row r="236" spans="1:8" s="401" customFormat="1" ht="14.25" customHeight="1" x14ac:dyDescent="0.25">
      <c r="A236" s="564">
        <v>1146</v>
      </c>
      <c r="B236" s="562" t="s">
        <v>785</v>
      </c>
      <c r="C236" s="403">
        <v>1018</v>
      </c>
      <c r="D236" s="400"/>
      <c r="E236" s="400"/>
      <c r="F236" s="400"/>
      <c r="G236" s="400"/>
      <c r="H236" s="396"/>
    </row>
    <row r="237" spans="1:8" s="401" customFormat="1" ht="14.25" customHeight="1" x14ac:dyDescent="0.25">
      <c r="A237" s="564">
        <v>1149</v>
      </c>
      <c r="B237" s="562" t="s">
        <v>803</v>
      </c>
      <c r="C237" s="403">
        <v>1</v>
      </c>
      <c r="D237" s="400"/>
      <c r="E237" s="400"/>
      <c r="F237" s="400"/>
      <c r="G237" s="400"/>
      <c r="H237" s="396"/>
    </row>
    <row r="238" spans="1:8" s="401" customFormat="1" ht="14.25" customHeight="1" x14ac:dyDescent="0.25">
      <c r="A238" s="564">
        <v>1153</v>
      </c>
      <c r="B238" s="562" t="s">
        <v>804</v>
      </c>
      <c r="C238" s="403">
        <v>1</v>
      </c>
      <c r="D238" s="400"/>
      <c r="E238" s="400"/>
      <c r="F238" s="400"/>
      <c r="G238" s="400"/>
      <c r="H238" s="396"/>
    </row>
    <row r="239" spans="1:8" s="401" customFormat="1" ht="14.25" customHeight="1" x14ac:dyDescent="0.25">
      <c r="A239" s="564">
        <v>1155</v>
      </c>
      <c r="B239" s="562" t="s">
        <v>791</v>
      </c>
      <c r="C239" s="403">
        <v>3436</v>
      </c>
      <c r="D239" s="400"/>
      <c r="E239" s="400"/>
      <c r="F239" s="400"/>
      <c r="G239" s="400"/>
      <c r="H239" s="396"/>
    </row>
    <row r="240" spans="1:8" s="401" customFormat="1" ht="14.25" customHeight="1" x14ac:dyDescent="0.25">
      <c r="A240" s="564">
        <v>1159</v>
      </c>
      <c r="B240" s="562" t="s">
        <v>789</v>
      </c>
      <c r="C240" s="403">
        <v>629.88</v>
      </c>
      <c r="D240" s="400"/>
      <c r="E240" s="400"/>
      <c r="F240" s="400"/>
      <c r="G240" s="400"/>
      <c r="H240" s="396"/>
    </row>
    <row r="241" spans="1:8" s="401" customFormat="1" ht="14.25" customHeight="1" x14ac:dyDescent="0.25">
      <c r="A241" s="564">
        <v>1171</v>
      </c>
      <c r="B241" s="562" t="s">
        <v>791</v>
      </c>
      <c r="C241" s="403">
        <v>3436</v>
      </c>
      <c r="D241" s="400"/>
      <c r="E241" s="400"/>
      <c r="F241" s="400"/>
      <c r="G241" s="400"/>
      <c r="H241" s="396"/>
    </row>
    <row r="242" spans="1:8" s="401" customFormat="1" ht="14.25" customHeight="1" x14ac:dyDescent="0.25">
      <c r="A242" s="564">
        <v>1181</v>
      </c>
      <c r="B242" s="562" t="s">
        <v>791</v>
      </c>
      <c r="C242" s="403">
        <v>3436</v>
      </c>
      <c r="D242" s="400"/>
      <c r="E242" s="400"/>
      <c r="F242" s="400"/>
      <c r="G242" s="400"/>
      <c r="H242" s="396"/>
    </row>
    <row r="243" spans="1:8" s="401" customFormat="1" ht="14.25" customHeight="1" x14ac:dyDescent="0.25">
      <c r="A243" s="564">
        <v>1185</v>
      </c>
      <c r="B243" s="562" t="s">
        <v>791</v>
      </c>
      <c r="C243" s="403">
        <v>3436</v>
      </c>
      <c r="D243" s="400"/>
      <c r="E243" s="400"/>
      <c r="F243" s="400"/>
      <c r="G243" s="400"/>
      <c r="H243" s="396"/>
    </row>
    <row r="244" spans="1:8" s="401" customFormat="1" ht="14.25" customHeight="1" x14ac:dyDescent="0.25">
      <c r="A244" s="564">
        <v>1188</v>
      </c>
      <c r="B244" s="562" t="s">
        <v>791</v>
      </c>
      <c r="C244" s="403">
        <v>2415</v>
      </c>
      <c r="D244" s="400"/>
      <c r="E244" s="400"/>
      <c r="F244" s="400"/>
      <c r="G244" s="400"/>
      <c r="H244" s="396"/>
    </row>
    <row r="245" spans="1:8" s="401" customFormat="1" ht="14.25" customHeight="1" x14ac:dyDescent="0.25">
      <c r="A245" s="564">
        <v>1193</v>
      </c>
      <c r="B245" s="562" t="s">
        <v>801</v>
      </c>
      <c r="C245" s="403">
        <v>6293</v>
      </c>
      <c r="D245" s="400"/>
      <c r="E245" s="400"/>
      <c r="F245" s="400"/>
      <c r="G245" s="400"/>
      <c r="H245" s="396"/>
    </row>
    <row r="246" spans="1:8" s="401" customFormat="1" ht="14.25" customHeight="1" x14ac:dyDescent="0.25">
      <c r="A246" s="564">
        <v>1199</v>
      </c>
      <c r="B246" s="562" t="s">
        <v>791</v>
      </c>
      <c r="C246" s="403">
        <v>3436</v>
      </c>
      <c r="D246" s="400"/>
      <c r="E246" s="400"/>
      <c r="F246" s="400"/>
      <c r="G246" s="400"/>
      <c r="H246" s="396"/>
    </row>
    <row r="247" spans="1:8" s="401" customFormat="1" ht="14.25" customHeight="1" x14ac:dyDescent="0.25">
      <c r="A247" s="564">
        <v>1204</v>
      </c>
      <c r="B247" s="562" t="s">
        <v>785</v>
      </c>
      <c r="C247" s="403">
        <v>1</v>
      </c>
      <c r="D247" s="400"/>
      <c r="E247" s="400"/>
      <c r="F247" s="400"/>
      <c r="G247" s="400"/>
      <c r="H247" s="396"/>
    </row>
    <row r="248" spans="1:8" s="401" customFormat="1" ht="14.25" customHeight="1" x14ac:dyDescent="0.25">
      <c r="A248" s="564">
        <v>1205</v>
      </c>
      <c r="B248" s="562" t="s">
        <v>785</v>
      </c>
      <c r="C248" s="403">
        <v>1</v>
      </c>
      <c r="D248" s="400"/>
      <c r="E248" s="400"/>
      <c r="F248" s="400"/>
      <c r="G248" s="400"/>
      <c r="H248" s="396"/>
    </row>
    <row r="249" spans="1:8" s="401" customFormat="1" ht="14.25" customHeight="1" x14ac:dyDescent="0.25">
      <c r="A249" s="564">
        <v>1211</v>
      </c>
      <c r="B249" s="562" t="s">
        <v>795</v>
      </c>
      <c r="C249" s="403">
        <v>1</v>
      </c>
      <c r="D249" s="400"/>
      <c r="E249" s="400"/>
      <c r="F249" s="400"/>
      <c r="G249" s="400"/>
      <c r="H249" s="396"/>
    </row>
    <row r="250" spans="1:8" s="401" customFormat="1" ht="14.25" customHeight="1" x14ac:dyDescent="0.25">
      <c r="A250" s="564">
        <v>1535</v>
      </c>
      <c r="B250" s="562" t="s">
        <v>787</v>
      </c>
      <c r="C250" s="403">
        <v>1</v>
      </c>
      <c r="D250" s="400"/>
      <c r="E250" s="400"/>
      <c r="F250" s="400"/>
      <c r="G250" s="400"/>
      <c r="H250" s="396"/>
    </row>
    <row r="251" spans="1:8" s="401" customFormat="1" ht="14.25" customHeight="1" x14ac:dyDescent="0.25">
      <c r="A251" s="564">
        <v>1545</v>
      </c>
      <c r="B251" s="562" t="s">
        <v>785</v>
      </c>
      <c r="C251" s="403">
        <v>368</v>
      </c>
      <c r="D251" s="400"/>
      <c r="E251" s="400"/>
      <c r="F251" s="400"/>
      <c r="G251" s="400"/>
      <c r="H251" s="396"/>
    </row>
    <row r="252" spans="1:8" s="401" customFormat="1" ht="14.25" customHeight="1" x14ac:dyDescent="0.25">
      <c r="A252" s="564">
        <v>1549</v>
      </c>
      <c r="B252" s="562" t="s">
        <v>791</v>
      </c>
      <c r="C252" s="403">
        <v>2415</v>
      </c>
      <c r="D252" s="400"/>
      <c r="E252" s="400"/>
      <c r="F252" s="400"/>
      <c r="G252" s="400"/>
      <c r="H252" s="396"/>
    </row>
    <row r="253" spans="1:8" s="401" customFormat="1" ht="14.25" customHeight="1" x14ac:dyDescent="0.25">
      <c r="A253" s="564">
        <v>1550</v>
      </c>
      <c r="B253" s="562" t="s">
        <v>791</v>
      </c>
      <c r="C253" s="403">
        <v>2415</v>
      </c>
      <c r="D253" s="400"/>
      <c r="E253" s="400"/>
      <c r="F253" s="400"/>
      <c r="G253" s="400"/>
      <c r="H253" s="396"/>
    </row>
    <row r="254" spans="1:8" s="401" customFormat="1" ht="14.25" customHeight="1" x14ac:dyDescent="0.25">
      <c r="A254" s="564">
        <v>1552</v>
      </c>
      <c r="B254" s="562" t="s">
        <v>787</v>
      </c>
      <c r="C254" s="403">
        <v>3006</v>
      </c>
      <c r="D254" s="400"/>
      <c r="E254" s="400"/>
      <c r="F254" s="400"/>
      <c r="G254" s="400"/>
      <c r="H254" s="396"/>
    </row>
    <row r="255" spans="1:8" s="401" customFormat="1" ht="14.25" customHeight="1" x14ac:dyDescent="0.25">
      <c r="A255" s="564">
        <v>1554</v>
      </c>
      <c r="B255" s="562" t="s">
        <v>787</v>
      </c>
      <c r="C255" s="403">
        <v>3006</v>
      </c>
      <c r="D255" s="400"/>
      <c r="E255" s="400"/>
      <c r="F255" s="400"/>
      <c r="G255" s="400"/>
      <c r="H255" s="396"/>
    </row>
    <row r="256" spans="1:8" s="401" customFormat="1" ht="14.25" customHeight="1" x14ac:dyDescent="0.25">
      <c r="A256" s="564">
        <v>1557</v>
      </c>
      <c r="B256" s="562" t="s">
        <v>785</v>
      </c>
      <c r="C256" s="403">
        <v>420</v>
      </c>
      <c r="D256" s="400"/>
      <c r="E256" s="400"/>
      <c r="F256" s="400"/>
      <c r="G256" s="400"/>
      <c r="H256" s="396"/>
    </row>
    <row r="257" spans="1:8" s="401" customFormat="1" ht="14.25" customHeight="1" x14ac:dyDescent="0.25">
      <c r="A257" s="564">
        <v>1561</v>
      </c>
      <c r="B257" s="562" t="s">
        <v>785</v>
      </c>
      <c r="C257" s="403">
        <v>420</v>
      </c>
      <c r="D257" s="400"/>
      <c r="E257" s="400"/>
      <c r="F257" s="400"/>
      <c r="G257" s="400"/>
      <c r="H257" s="396"/>
    </row>
    <row r="258" spans="1:8" s="401" customFormat="1" ht="14.25" customHeight="1" x14ac:dyDescent="0.25">
      <c r="A258" s="564">
        <v>1564</v>
      </c>
      <c r="B258" s="562" t="s">
        <v>785</v>
      </c>
      <c r="C258" s="403">
        <v>420</v>
      </c>
      <c r="D258" s="400"/>
      <c r="E258" s="400"/>
      <c r="F258" s="400"/>
      <c r="G258" s="400"/>
      <c r="H258" s="396"/>
    </row>
    <row r="259" spans="1:8" s="401" customFormat="1" ht="14.25" customHeight="1" x14ac:dyDescent="0.25">
      <c r="A259" s="564">
        <v>897</v>
      </c>
      <c r="B259" s="562" t="s">
        <v>787</v>
      </c>
      <c r="C259" s="403">
        <v>3006</v>
      </c>
      <c r="D259" s="400"/>
      <c r="E259" s="400"/>
      <c r="F259" s="400"/>
      <c r="G259" s="400"/>
      <c r="H259" s="396"/>
    </row>
    <row r="260" spans="1:8" s="401" customFormat="1" ht="14.25" customHeight="1" x14ac:dyDescent="0.25">
      <c r="A260" s="564">
        <v>979</v>
      </c>
      <c r="B260" s="562" t="s">
        <v>795</v>
      </c>
      <c r="C260" s="403">
        <v>1</v>
      </c>
      <c r="D260" s="400"/>
      <c r="E260" s="400"/>
      <c r="F260" s="400"/>
      <c r="G260" s="400"/>
      <c r="H260" s="396"/>
    </row>
    <row r="261" spans="1:8" s="401" customFormat="1" ht="14.25" customHeight="1" x14ac:dyDescent="0.25">
      <c r="A261" s="564">
        <v>1708</v>
      </c>
      <c r="B261" s="562" t="s">
        <v>787</v>
      </c>
      <c r="C261" s="403">
        <v>7648</v>
      </c>
      <c r="D261" s="400"/>
      <c r="E261" s="400"/>
      <c r="F261" s="400"/>
      <c r="G261" s="400"/>
      <c r="H261" s="396"/>
    </row>
    <row r="262" spans="1:8" s="401" customFormat="1" ht="14.25" customHeight="1" x14ac:dyDescent="0.25">
      <c r="A262" s="564">
        <v>1710</v>
      </c>
      <c r="B262" s="562" t="s">
        <v>785</v>
      </c>
      <c r="C262" s="403">
        <v>345</v>
      </c>
      <c r="D262" s="400"/>
      <c r="E262" s="400"/>
      <c r="F262" s="400"/>
      <c r="G262" s="400"/>
      <c r="H262" s="396"/>
    </row>
    <row r="263" spans="1:8" s="401" customFormat="1" ht="14.25" customHeight="1" x14ac:dyDescent="0.25">
      <c r="A263" s="564">
        <v>1721</v>
      </c>
      <c r="B263" s="562" t="s">
        <v>785</v>
      </c>
      <c r="C263" s="403">
        <v>420</v>
      </c>
      <c r="D263" s="400"/>
      <c r="E263" s="400"/>
      <c r="F263" s="400"/>
      <c r="G263" s="400"/>
      <c r="H263" s="396"/>
    </row>
    <row r="264" spans="1:8" s="401" customFormat="1" ht="14.25" customHeight="1" x14ac:dyDescent="0.25">
      <c r="A264" s="564">
        <v>2024</v>
      </c>
      <c r="B264" s="562" t="s">
        <v>795</v>
      </c>
      <c r="C264" s="403">
        <v>3154</v>
      </c>
      <c r="D264" s="400"/>
      <c r="E264" s="400"/>
      <c r="F264" s="400"/>
      <c r="G264" s="400"/>
      <c r="H264" s="396"/>
    </row>
    <row r="265" spans="1:8" s="401" customFormat="1" ht="14.25" customHeight="1" x14ac:dyDescent="0.25">
      <c r="A265" s="564">
        <v>2029</v>
      </c>
      <c r="B265" s="562" t="s">
        <v>790</v>
      </c>
      <c r="C265" s="403">
        <v>1</v>
      </c>
      <c r="D265" s="400"/>
      <c r="E265" s="400"/>
      <c r="F265" s="400"/>
      <c r="G265" s="400"/>
      <c r="H265" s="396"/>
    </row>
    <row r="266" spans="1:8" s="401" customFormat="1" ht="14.25" customHeight="1" x14ac:dyDescent="0.25">
      <c r="A266" s="564">
        <v>2033</v>
      </c>
      <c r="B266" s="562" t="s">
        <v>790</v>
      </c>
      <c r="C266" s="403">
        <v>1</v>
      </c>
      <c r="D266" s="400"/>
      <c r="E266" s="400"/>
      <c r="F266" s="400"/>
      <c r="G266" s="400"/>
      <c r="H266" s="396"/>
    </row>
    <row r="267" spans="1:8" s="401" customFormat="1" ht="14.25" customHeight="1" x14ac:dyDescent="0.25">
      <c r="A267" s="564">
        <v>2050</v>
      </c>
      <c r="B267" s="562" t="s">
        <v>785</v>
      </c>
      <c r="C267" s="403">
        <v>331</v>
      </c>
      <c r="D267" s="400"/>
      <c r="E267" s="400"/>
      <c r="F267" s="400"/>
      <c r="G267" s="400"/>
      <c r="H267" s="396"/>
    </row>
    <row r="268" spans="1:8" s="401" customFormat="1" ht="14.25" customHeight="1" x14ac:dyDescent="0.25">
      <c r="A268" s="564">
        <v>2054</v>
      </c>
      <c r="B268" s="562" t="s">
        <v>785</v>
      </c>
      <c r="C268" s="403">
        <v>331</v>
      </c>
      <c r="D268" s="400"/>
      <c r="E268" s="400"/>
      <c r="F268" s="400"/>
      <c r="G268" s="400"/>
      <c r="H268" s="396"/>
    </row>
    <row r="269" spans="1:8" s="401" customFormat="1" ht="14.25" customHeight="1" x14ac:dyDescent="0.25">
      <c r="A269" s="564">
        <v>2063</v>
      </c>
      <c r="B269" s="562" t="s">
        <v>804</v>
      </c>
      <c r="C269" s="403">
        <v>1</v>
      </c>
      <c r="D269" s="400"/>
      <c r="E269" s="400"/>
      <c r="F269" s="400"/>
      <c r="G269" s="400"/>
      <c r="H269" s="396"/>
    </row>
    <row r="270" spans="1:8" s="401" customFormat="1" ht="14.25" customHeight="1" x14ac:dyDescent="0.25">
      <c r="A270" s="564">
        <v>2067</v>
      </c>
      <c r="B270" s="562" t="s">
        <v>787</v>
      </c>
      <c r="C270" s="403">
        <v>17552</v>
      </c>
      <c r="D270" s="400"/>
      <c r="E270" s="400"/>
      <c r="F270" s="400"/>
      <c r="G270" s="400"/>
      <c r="H270" s="396"/>
    </row>
    <row r="271" spans="1:8" s="401" customFormat="1" ht="14.25" customHeight="1" x14ac:dyDescent="0.25">
      <c r="A271" s="564">
        <v>2073</v>
      </c>
      <c r="B271" s="562" t="s">
        <v>804</v>
      </c>
      <c r="C271" s="403">
        <v>1</v>
      </c>
      <c r="D271" s="400"/>
      <c r="E271" s="400"/>
      <c r="F271" s="400"/>
      <c r="G271" s="400"/>
      <c r="H271" s="396"/>
    </row>
    <row r="272" spans="1:8" s="401" customFormat="1" ht="14.25" customHeight="1" x14ac:dyDescent="0.25">
      <c r="A272" s="564">
        <v>2078</v>
      </c>
      <c r="B272" s="562" t="s">
        <v>790</v>
      </c>
      <c r="C272" s="403">
        <v>7659</v>
      </c>
      <c r="D272" s="400"/>
      <c r="E272" s="400"/>
      <c r="F272" s="400"/>
      <c r="G272" s="400"/>
      <c r="H272" s="396"/>
    </row>
    <row r="273" spans="1:8" s="401" customFormat="1" ht="14.25" customHeight="1" x14ac:dyDescent="0.25">
      <c r="A273" s="564">
        <v>2081</v>
      </c>
      <c r="B273" s="562" t="s">
        <v>790</v>
      </c>
      <c r="C273" s="403">
        <v>11169</v>
      </c>
      <c r="D273" s="400"/>
      <c r="E273" s="400"/>
      <c r="F273" s="400"/>
      <c r="G273" s="400"/>
      <c r="H273" s="396"/>
    </row>
    <row r="274" spans="1:8" s="401" customFormat="1" ht="14.25" customHeight="1" x14ac:dyDescent="0.25">
      <c r="A274" s="564">
        <v>2086</v>
      </c>
      <c r="B274" s="562" t="s">
        <v>790</v>
      </c>
      <c r="C274" s="403">
        <v>13190</v>
      </c>
      <c r="D274" s="400"/>
      <c r="E274" s="400"/>
      <c r="F274" s="400"/>
      <c r="G274" s="400"/>
      <c r="H274" s="396"/>
    </row>
    <row r="275" spans="1:8" s="401" customFormat="1" ht="14.25" customHeight="1" x14ac:dyDescent="0.25">
      <c r="A275" s="564">
        <v>2094</v>
      </c>
      <c r="B275" s="562" t="s">
        <v>785</v>
      </c>
      <c r="C275" s="403">
        <v>4468</v>
      </c>
      <c r="D275" s="400"/>
      <c r="E275" s="400"/>
      <c r="F275" s="400"/>
      <c r="G275" s="400"/>
      <c r="H275" s="396"/>
    </row>
    <row r="276" spans="1:8" s="401" customFormat="1" ht="14.25" customHeight="1" x14ac:dyDescent="0.25">
      <c r="A276" s="564">
        <v>2097</v>
      </c>
      <c r="B276" s="562" t="s">
        <v>785</v>
      </c>
      <c r="C276" s="403">
        <v>4468</v>
      </c>
      <c r="D276" s="400"/>
      <c r="E276" s="400"/>
      <c r="F276" s="400"/>
      <c r="G276" s="400"/>
      <c r="H276" s="396"/>
    </row>
    <row r="277" spans="1:8" s="401" customFormat="1" ht="14.25" customHeight="1" x14ac:dyDescent="0.25">
      <c r="A277" s="564">
        <v>2101</v>
      </c>
      <c r="B277" s="562" t="s">
        <v>785</v>
      </c>
      <c r="C277" s="403">
        <v>4468</v>
      </c>
      <c r="D277" s="400"/>
      <c r="E277" s="400"/>
      <c r="F277" s="400"/>
      <c r="G277" s="400"/>
      <c r="H277" s="396"/>
    </row>
    <row r="278" spans="1:8" s="401" customFormat="1" ht="14.25" customHeight="1" x14ac:dyDescent="0.25">
      <c r="A278" s="564">
        <v>2103</v>
      </c>
      <c r="B278" s="562" t="s">
        <v>785</v>
      </c>
      <c r="C278" s="403">
        <v>4468</v>
      </c>
      <c r="D278" s="400"/>
      <c r="E278" s="400"/>
      <c r="F278" s="400"/>
      <c r="G278" s="400"/>
      <c r="H278" s="396"/>
    </row>
    <row r="279" spans="1:8" s="401" customFormat="1" ht="14.25" customHeight="1" x14ac:dyDescent="0.25">
      <c r="A279" s="564">
        <v>2106</v>
      </c>
      <c r="B279" s="562" t="s">
        <v>785</v>
      </c>
      <c r="C279" s="403">
        <v>4468</v>
      </c>
      <c r="D279" s="400"/>
      <c r="E279" s="400"/>
      <c r="F279" s="400"/>
      <c r="G279" s="400"/>
      <c r="H279" s="396"/>
    </row>
    <row r="280" spans="1:8" s="401" customFormat="1" ht="14.25" customHeight="1" x14ac:dyDescent="0.25">
      <c r="A280" s="564">
        <v>2110</v>
      </c>
      <c r="B280" s="562" t="s">
        <v>786</v>
      </c>
      <c r="C280" s="403">
        <v>4025</v>
      </c>
      <c r="D280" s="400"/>
      <c r="E280" s="400"/>
      <c r="F280" s="400"/>
      <c r="G280" s="400"/>
      <c r="H280" s="396"/>
    </row>
    <row r="281" spans="1:8" s="401" customFormat="1" ht="14.25" customHeight="1" x14ac:dyDescent="0.25">
      <c r="A281" s="564">
        <v>2120</v>
      </c>
      <c r="B281" s="562" t="s">
        <v>786</v>
      </c>
      <c r="C281" s="403">
        <v>4025</v>
      </c>
      <c r="D281" s="400"/>
      <c r="E281" s="400"/>
      <c r="F281" s="400"/>
      <c r="G281" s="400"/>
      <c r="H281" s="396"/>
    </row>
    <row r="282" spans="1:8" s="401" customFormat="1" ht="14.25" customHeight="1" x14ac:dyDescent="0.25">
      <c r="A282" s="564">
        <v>2124</v>
      </c>
      <c r="B282" s="562" t="s">
        <v>786</v>
      </c>
      <c r="C282" s="403">
        <v>7765</v>
      </c>
      <c r="D282" s="400"/>
      <c r="E282" s="400"/>
      <c r="F282" s="400"/>
      <c r="G282" s="400"/>
      <c r="H282" s="396"/>
    </row>
    <row r="283" spans="1:8" s="401" customFormat="1" ht="14.25" customHeight="1" x14ac:dyDescent="0.25">
      <c r="A283" s="564">
        <v>2127</v>
      </c>
      <c r="B283" s="562" t="s">
        <v>795</v>
      </c>
      <c r="C283" s="403">
        <v>19876</v>
      </c>
      <c r="D283" s="400"/>
      <c r="E283" s="400"/>
      <c r="F283" s="400"/>
      <c r="G283" s="400"/>
      <c r="H283" s="396"/>
    </row>
    <row r="284" spans="1:8" s="401" customFormat="1" ht="14.25" customHeight="1" x14ac:dyDescent="0.25">
      <c r="A284" s="564">
        <v>2131</v>
      </c>
      <c r="B284" s="562" t="s">
        <v>795</v>
      </c>
      <c r="C284" s="403">
        <v>19876</v>
      </c>
      <c r="D284" s="400"/>
      <c r="E284" s="400"/>
      <c r="F284" s="400"/>
      <c r="G284" s="400"/>
      <c r="H284" s="396"/>
    </row>
    <row r="285" spans="1:8" s="401" customFormat="1" ht="14.25" customHeight="1" x14ac:dyDescent="0.25">
      <c r="A285" s="564">
        <v>2135</v>
      </c>
      <c r="B285" s="562" t="s">
        <v>805</v>
      </c>
      <c r="C285" s="403">
        <v>2979</v>
      </c>
      <c r="D285" s="400"/>
      <c r="E285" s="400"/>
      <c r="F285" s="400"/>
      <c r="G285" s="400"/>
      <c r="H285" s="396"/>
    </row>
    <row r="286" spans="1:8" s="401" customFormat="1" ht="14.25" customHeight="1" x14ac:dyDescent="0.25">
      <c r="A286" s="564">
        <v>2137</v>
      </c>
      <c r="B286" s="562" t="s">
        <v>805</v>
      </c>
      <c r="C286" s="403">
        <v>2979</v>
      </c>
      <c r="D286" s="400"/>
      <c r="E286" s="400"/>
      <c r="F286" s="400"/>
      <c r="G286" s="400"/>
      <c r="H286" s="396"/>
    </row>
    <row r="287" spans="1:8" s="401" customFormat="1" ht="14.25" customHeight="1" x14ac:dyDescent="0.25">
      <c r="A287" s="564">
        <v>2146</v>
      </c>
      <c r="B287" s="562" t="s">
        <v>806</v>
      </c>
      <c r="C287" s="403">
        <v>1</v>
      </c>
      <c r="D287" s="400"/>
      <c r="E287" s="400"/>
      <c r="F287" s="400"/>
      <c r="G287" s="400"/>
      <c r="H287" s="396"/>
    </row>
    <row r="288" spans="1:8" s="401" customFormat="1" ht="14.25" customHeight="1" x14ac:dyDescent="0.25">
      <c r="A288" s="564">
        <v>2154</v>
      </c>
      <c r="B288" s="562" t="s">
        <v>788</v>
      </c>
      <c r="C288" s="403">
        <v>1</v>
      </c>
      <c r="D288" s="400"/>
      <c r="E288" s="400"/>
      <c r="F288" s="400"/>
      <c r="G288" s="400"/>
      <c r="H288" s="396"/>
    </row>
    <row r="289" spans="1:8" s="401" customFormat="1" ht="14.25" customHeight="1" x14ac:dyDescent="0.25">
      <c r="A289" s="564">
        <v>2161</v>
      </c>
      <c r="B289" s="562" t="s">
        <v>788</v>
      </c>
      <c r="C289" s="403">
        <v>1</v>
      </c>
      <c r="D289" s="400"/>
      <c r="E289" s="400"/>
      <c r="F289" s="400"/>
      <c r="G289" s="400"/>
      <c r="H289" s="396"/>
    </row>
    <row r="290" spans="1:8" s="401" customFormat="1" ht="14.25" customHeight="1" x14ac:dyDescent="0.25">
      <c r="A290" s="564">
        <v>2164</v>
      </c>
      <c r="B290" s="562" t="s">
        <v>785</v>
      </c>
      <c r="C290" s="403">
        <v>800</v>
      </c>
      <c r="D290" s="400"/>
      <c r="E290" s="400"/>
      <c r="F290" s="400"/>
      <c r="G290" s="400"/>
      <c r="H290" s="396"/>
    </row>
    <row r="291" spans="1:8" s="401" customFormat="1" ht="14.25" customHeight="1" x14ac:dyDescent="0.25">
      <c r="A291" s="564">
        <v>2167</v>
      </c>
      <c r="B291" s="562" t="s">
        <v>785</v>
      </c>
      <c r="C291" s="403">
        <v>800</v>
      </c>
      <c r="D291" s="400"/>
      <c r="E291" s="400"/>
      <c r="F291" s="400"/>
      <c r="G291" s="400"/>
      <c r="H291" s="396"/>
    </row>
    <row r="292" spans="1:8" s="401" customFormat="1" ht="14.25" customHeight="1" x14ac:dyDescent="0.25">
      <c r="A292" s="564">
        <v>2168</v>
      </c>
      <c r="B292" s="562" t="s">
        <v>786</v>
      </c>
      <c r="C292" s="403">
        <v>1380</v>
      </c>
      <c r="D292" s="400"/>
      <c r="E292" s="400"/>
      <c r="F292" s="400"/>
      <c r="G292" s="400"/>
      <c r="H292" s="396"/>
    </row>
    <row r="293" spans="1:8" s="401" customFormat="1" ht="14.25" customHeight="1" x14ac:dyDescent="0.25">
      <c r="A293" s="564">
        <v>2170</v>
      </c>
      <c r="B293" s="562" t="s">
        <v>786</v>
      </c>
      <c r="C293" s="403">
        <v>1380</v>
      </c>
      <c r="D293" s="400"/>
      <c r="E293" s="400"/>
      <c r="F293" s="400"/>
      <c r="G293" s="400"/>
      <c r="H293" s="396"/>
    </row>
    <row r="294" spans="1:8" s="401" customFormat="1" ht="14.25" customHeight="1" x14ac:dyDescent="0.25">
      <c r="A294" s="564">
        <v>2172</v>
      </c>
      <c r="B294" s="562" t="s">
        <v>786</v>
      </c>
      <c r="C294" s="403">
        <v>1380</v>
      </c>
      <c r="D294" s="400"/>
      <c r="E294" s="400"/>
      <c r="F294" s="400"/>
      <c r="G294" s="400"/>
      <c r="H294" s="396"/>
    </row>
    <row r="295" spans="1:8" s="401" customFormat="1" ht="14.25" customHeight="1" x14ac:dyDescent="0.25">
      <c r="A295" s="564">
        <v>2174</v>
      </c>
      <c r="B295" s="562" t="s">
        <v>795</v>
      </c>
      <c r="C295" s="403">
        <v>4276</v>
      </c>
      <c r="D295" s="400"/>
      <c r="E295" s="400"/>
      <c r="F295" s="400"/>
      <c r="G295" s="400"/>
      <c r="H295" s="396"/>
    </row>
    <row r="296" spans="1:8" s="401" customFormat="1" ht="14.25" customHeight="1" x14ac:dyDescent="0.25">
      <c r="A296" s="564">
        <v>2177</v>
      </c>
      <c r="B296" s="562" t="s">
        <v>795</v>
      </c>
      <c r="C296" s="403">
        <v>4276</v>
      </c>
      <c r="D296" s="400"/>
      <c r="E296" s="400"/>
      <c r="F296" s="400"/>
      <c r="G296" s="400"/>
      <c r="H296" s="396"/>
    </row>
    <row r="297" spans="1:8" s="401" customFormat="1" ht="14.25" customHeight="1" x14ac:dyDescent="0.25">
      <c r="A297" s="564">
        <v>2217</v>
      </c>
      <c r="B297" s="562" t="s">
        <v>791</v>
      </c>
      <c r="C297" s="403">
        <v>3220</v>
      </c>
      <c r="D297" s="400"/>
      <c r="E297" s="400"/>
      <c r="F297" s="400"/>
      <c r="G297" s="400"/>
      <c r="H297" s="396"/>
    </row>
    <row r="298" spans="1:8" s="401" customFormat="1" ht="14.25" customHeight="1" x14ac:dyDescent="0.25">
      <c r="A298" s="564">
        <v>2221</v>
      </c>
      <c r="B298" s="562" t="s">
        <v>791</v>
      </c>
      <c r="C298" s="403">
        <v>3346</v>
      </c>
      <c r="D298" s="400"/>
      <c r="E298" s="400"/>
      <c r="F298" s="400"/>
      <c r="G298" s="400"/>
      <c r="H298" s="396"/>
    </row>
    <row r="299" spans="1:8" s="401" customFormat="1" ht="14.25" customHeight="1" x14ac:dyDescent="0.25">
      <c r="A299" s="564">
        <v>2224</v>
      </c>
      <c r="B299" s="562" t="s">
        <v>791</v>
      </c>
      <c r="C299" s="403">
        <v>3278</v>
      </c>
      <c r="D299" s="400"/>
      <c r="E299" s="400"/>
      <c r="F299" s="400"/>
      <c r="G299" s="400"/>
      <c r="H299" s="396"/>
    </row>
    <row r="300" spans="1:8" s="401" customFormat="1" ht="14.25" customHeight="1" x14ac:dyDescent="0.25">
      <c r="A300" s="564">
        <v>2228</v>
      </c>
      <c r="B300" s="562" t="s">
        <v>806</v>
      </c>
      <c r="C300" s="403">
        <v>1200</v>
      </c>
      <c r="D300" s="400"/>
      <c r="E300" s="400"/>
      <c r="F300" s="400"/>
      <c r="G300" s="400"/>
      <c r="H300" s="396"/>
    </row>
    <row r="301" spans="1:8" s="401" customFormat="1" ht="14.25" customHeight="1" x14ac:dyDescent="0.25">
      <c r="A301" s="564">
        <v>2231</v>
      </c>
      <c r="B301" s="562" t="s">
        <v>787</v>
      </c>
      <c r="C301" s="403">
        <v>1500</v>
      </c>
      <c r="D301" s="400"/>
      <c r="E301" s="400"/>
      <c r="F301" s="400"/>
      <c r="G301" s="400"/>
      <c r="H301" s="396"/>
    </row>
    <row r="302" spans="1:8" s="401" customFormat="1" ht="14.25" customHeight="1" x14ac:dyDescent="0.25">
      <c r="A302" s="564">
        <v>2234</v>
      </c>
      <c r="B302" s="562" t="s">
        <v>787</v>
      </c>
      <c r="C302" s="403">
        <v>3027</v>
      </c>
      <c r="D302" s="400"/>
      <c r="E302" s="400"/>
      <c r="F302" s="400"/>
      <c r="G302" s="400"/>
      <c r="H302" s="396"/>
    </row>
    <row r="303" spans="1:8" s="401" customFormat="1" ht="14.25" customHeight="1" x14ac:dyDescent="0.25">
      <c r="A303" s="564">
        <v>2237</v>
      </c>
      <c r="B303" s="562" t="s">
        <v>787</v>
      </c>
      <c r="C303" s="403">
        <v>1075</v>
      </c>
      <c r="D303" s="400"/>
      <c r="E303" s="400"/>
      <c r="F303" s="400"/>
      <c r="G303" s="400"/>
      <c r="H303" s="396"/>
    </row>
    <row r="304" spans="1:8" s="401" customFormat="1" ht="14.25" customHeight="1" x14ac:dyDescent="0.25">
      <c r="A304" s="564">
        <v>2239</v>
      </c>
      <c r="B304" s="562" t="s">
        <v>787</v>
      </c>
      <c r="C304" s="403">
        <v>9611</v>
      </c>
      <c r="D304" s="400"/>
      <c r="E304" s="400"/>
      <c r="F304" s="400"/>
      <c r="G304" s="400"/>
      <c r="H304" s="396"/>
    </row>
    <row r="305" spans="1:8" s="401" customFormat="1" ht="14.25" customHeight="1" x14ac:dyDescent="0.25">
      <c r="A305" s="564">
        <v>2241</v>
      </c>
      <c r="B305" s="562" t="s">
        <v>787</v>
      </c>
      <c r="C305" s="403">
        <v>1</v>
      </c>
      <c r="D305" s="400"/>
      <c r="E305" s="400"/>
      <c r="F305" s="400"/>
      <c r="G305" s="400"/>
      <c r="H305" s="396"/>
    </row>
    <row r="306" spans="1:8" s="401" customFormat="1" ht="14.25" customHeight="1" x14ac:dyDescent="0.25">
      <c r="A306" s="564">
        <v>2243</v>
      </c>
      <c r="B306" s="562" t="s">
        <v>804</v>
      </c>
      <c r="C306" s="403">
        <v>1261</v>
      </c>
      <c r="D306" s="400"/>
      <c r="E306" s="400"/>
      <c r="F306" s="400"/>
      <c r="G306" s="400"/>
      <c r="H306" s="396"/>
    </row>
    <row r="307" spans="1:8" s="401" customFormat="1" ht="14.25" customHeight="1" x14ac:dyDescent="0.25">
      <c r="A307" s="564">
        <v>2245</v>
      </c>
      <c r="B307" s="562" t="s">
        <v>788</v>
      </c>
      <c r="C307" s="403">
        <v>1261</v>
      </c>
      <c r="D307" s="400"/>
      <c r="E307" s="400"/>
      <c r="F307" s="400"/>
      <c r="G307" s="400"/>
      <c r="H307" s="396"/>
    </row>
    <row r="308" spans="1:8" s="401" customFormat="1" ht="14.25" customHeight="1" x14ac:dyDescent="0.25">
      <c r="A308" s="564">
        <v>2250</v>
      </c>
      <c r="B308" s="562" t="s">
        <v>788</v>
      </c>
      <c r="C308" s="403">
        <v>1700</v>
      </c>
      <c r="D308" s="400"/>
      <c r="E308" s="400"/>
      <c r="F308" s="400"/>
      <c r="G308" s="400"/>
      <c r="H308" s="396"/>
    </row>
    <row r="309" spans="1:8" s="401" customFormat="1" ht="14.25" customHeight="1" x14ac:dyDescent="0.25">
      <c r="A309" s="564">
        <v>2254</v>
      </c>
      <c r="B309" s="562" t="s">
        <v>788</v>
      </c>
      <c r="C309" s="403">
        <v>2210</v>
      </c>
      <c r="D309" s="400"/>
      <c r="E309" s="400"/>
      <c r="F309" s="400"/>
      <c r="G309" s="400"/>
      <c r="H309" s="396"/>
    </row>
    <row r="310" spans="1:8" s="401" customFormat="1" ht="14.25" customHeight="1" x14ac:dyDescent="0.25">
      <c r="A310" s="564">
        <v>2259</v>
      </c>
      <c r="B310" s="562" t="s">
        <v>788</v>
      </c>
      <c r="C310" s="403">
        <v>1892</v>
      </c>
      <c r="D310" s="400"/>
      <c r="E310" s="400"/>
      <c r="F310" s="400"/>
      <c r="G310" s="400"/>
      <c r="H310" s="396"/>
    </row>
    <row r="311" spans="1:8" s="401" customFormat="1" ht="14.25" customHeight="1" x14ac:dyDescent="0.25">
      <c r="A311" s="564">
        <v>2262</v>
      </c>
      <c r="B311" s="562" t="s">
        <v>790</v>
      </c>
      <c r="C311" s="403">
        <v>1</v>
      </c>
      <c r="D311" s="400"/>
      <c r="E311" s="400"/>
      <c r="F311" s="400"/>
      <c r="G311" s="400"/>
      <c r="H311" s="396"/>
    </row>
    <row r="312" spans="1:8" s="401" customFormat="1" ht="14.25" customHeight="1" x14ac:dyDescent="0.25">
      <c r="A312" s="564">
        <v>2272</v>
      </c>
      <c r="B312" s="562" t="s">
        <v>790</v>
      </c>
      <c r="C312" s="403">
        <v>799</v>
      </c>
      <c r="D312" s="400"/>
      <c r="E312" s="400"/>
      <c r="F312" s="400"/>
      <c r="G312" s="400"/>
      <c r="H312" s="396"/>
    </row>
    <row r="313" spans="1:8" s="401" customFormat="1" ht="14.25" customHeight="1" x14ac:dyDescent="0.25">
      <c r="A313" s="564">
        <v>2275</v>
      </c>
      <c r="B313" s="562" t="s">
        <v>790</v>
      </c>
      <c r="C313" s="403">
        <v>799</v>
      </c>
      <c r="D313" s="400"/>
      <c r="E313" s="400"/>
      <c r="F313" s="400"/>
      <c r="G313" s="400"/>
      <c r="H313" s="396"/>
    </row>
    <row r="314" spans="1:8" s="401" customFormat="1" ht="14.25" customHeight="1" x14ac:dyDescent="0.25">
      <c r="A314" s="564">
        <v>2278</v>
      </c>
      <c r="B314" s="562" t="s">
        <v>790</v>
      </c>
      <c r="C314" s="403">
        <v>575</v>
      </c>
      <c r="D314" s="400"/>
      <c r="E314" s="400"/>
      <c r="F314" s="400"/>
      <c r="G314" s="400"/>
      <c r="H314" s="396"/>
    </row>
    <row r="315" spans="1:8" s="401" customFormat="1" ht="14.25" customHeight="1" x14ac:dyDescent="0.25">
      <c r="A315" s="564">
        <v>2280</v>
      </c>
      <c r="B315" s="562" t="s">
        <v>790</v>
      </c>
      <c r="C315" s="403">
        <v>1374</v>
      </c>
      <c r="D315" s="400"/>
      <c r="E315" s="400"/>
      <c r="F315" s="400"/>
      <c r="G315" s="400"/>
      <c r="H315" s="396"/>
    </row>
    <row r="316" spans="1:8" s="401" customFormat="1" ht="14.25" customHeight="1" x14ac:dyDescent="0.25">
      <c r="A316" s="564">
        <v>2281</v>
      </c>
      <c r="B316" s="562" t="s">
        <v>790</v>
      </c>
      <c r="C316" s="403">
        <v>4762</v>
      </c>
      <c r="D316" s="400"/>
      <c r="E316" s="400"/>
      <c r="F316" s="400"/>
      <c r="G316" s="400"/>
      <c r="H316" s="396"/>
    </row>
    <row r="317" spans="1:8" s="401" customFormat="1" ht="14.25" customHeight="1" x14ac:dyDescent="0.25">
      <c r="A317" s="564">
        <v>2284</v>
      </c>
      <c r="B317" s="562" t="s">
        <v>790</v>
      </c>
      <c r="C317" s="403">
        <v>2024</v>
      </c>
      <c r="D317" s="400"/>
      <c r="E317" s="400"/>
      <c r="F317" s="400"/>
      <c r="G317" s="400"/>
      <c r="H317" s="396"/>
    </row>
    <row r="318" spans="1:8" s="401" customFormat="1" ht="14.25" customHeight="1" x14ac:dyDescent="0.25">
      <c r="A318" s="564">
        <v>2286</v>
      </c>
      <c r="B318" s="562" t="s">
        <v>790</v>
      </c>
      <c r="C318" s="403">
        <v>1</v>
      </c>
      <c r="D318" s="400"/>
      <c r="E318" s="400"/>
      <c r="F318" s="400"/>
      <c r="G318" s="400"/>
      <c r="H318" s="396"/>
    </row>
    <row r="319" spans="1:8" s="401" customFormat="1" ht="14.25" customHeight="1" x14ac:dyDescent="0.25">
      <c r="A319" s="564">
        <v>2288</v>
      </c>
      <c r="B319" s="562" t="s">
        <v>790</v>
      </c>
      <c r="C319" s="403">
        <v>1</v>
      </c>
      <c r="D319" s="400"/>
      <c r="E319" s="400"/>
      <c r="F319" s="400"/>
      <c r="G319" s="400"/>
      <c r="H319" s="396"/>
    </row>
    <row r="320" spans="1:8" s="401" customFormat="1" ht="14.25" customHeight="1" x14ac:dyDescent="0.25">
      <c r="A320" s="564">
        <v>2292</v>
      </c>
      <c r="B320" s="562" t="s">
        <v>785</v>
      </c>
      <c r="C320" s="403">
        <v>310</v>
      </c>
      <c r="D320" s="400"/>
      <c r="E320" s="400"/>
      <c r="F320" s="400"/>
      <c r="G320" s="400"/>
      <c r="H320" s="396"/>
    </row>
    <row r="321" spans="1:8" s="401" customFormat="1" ht="14.25" customHeight="1" x14ac:dyDescent="0.25">
      <c r="A321" s="564">
        <v>2293</v>
      </c>
      <c r="B321" s="562" t="s">
        <v>785</v>
      </c>
      <c r="C321" s="403">
        <v>331</v>
      </c>
      <c r="D321" s="400"/>
      <c r="E321" s="400"/>
      <c r="F321" s="400"/>
      <c r="G321" s="400"/>
      <c r="H321" s="396"/>
    </row>
    <row r="322" spans="1:8" s="401" customFormat="1" ht="14.25" customHeight="1" x14ac:dyDescent="0.25">
      <c r="A322" s="564">
        <v>2296</v>
      </c>
      <c r="B322" s="562" t="s">
        <v>785</v>
      </c>
      <c r="C322" s="403">
        <v>331</v>
      </c>
      <c r="D322" s="400"/>
      <c r="E322" s="400"/>
      <c r="F322" s="400"/>
      <c r="G322" s="400"/>
      <c r="H322" s="396"/>
    </row>
    <row r="323" spans="1:8" s="401" customFormat="1" ht="14.25" customHeight="1" x14ac:dyDescent="0.25">
      <c r="A323" s="564">
        <v>2300</v>
      </c>
      <c r="B323" s="562" t="s">
        <v>785</v>
      </c>
      <c r="C323" s="403">
        <v>1</v>
      </c>
      <c r="D323" s="400"/>
      <c r="E323" s="400"/>
      <c r="F323" s="400"/>
      <c r="G323" s="400"/>
      <c r="H323" s="396"/>
    </row>
    <row r="324" spans="1:8" s="401" customFormat="1" ht="14.25" customHeight="1" x14ac:dyDescent="0.25">
      <c r="A324" s="564">
        <v>2303</v>
      </c>
      <c r="B324" s="562" t="s">
        <v>785</v>
      </c>
      <c r="C324" s="403">
        <v>1</v>
      </c>
      <c r="D324" s="400"/>
      <c r="E324" s="400"/>
      <c r="F324" s="400"/>
      <c r="G324" s="400"/>
      <c r="H324" s="396"/>
    </row>
    <row r="325" spans="1:8" s="401" customFormat="1" ht="14.25" customHeight="1" x14ac:dyDescent="0.25">
      <c r="A325" s="564">
        <v>2305</v>
      </c>
      <c r="B325" s="562" t="s">
        <v>785</v>
      </c>
      <c r="C325" s="403">
        <v>1</v>
      </c>
      <c r="D325" s="400"/>
      <c r="E325" s="400"/>
      <c r="F325" s="400"/>
      <c r="G325" s="400"/>
      <c r="H325" s="396"/>
    </row>
    <row r="326" spans="1:8" s="401" customFormat="1" ht="14.25" customHeight="1" x14ac:dyDescent="0.25">
      <c r="A326" s="564">
        <v>2308</v>
      </c>
      <c r="B326" s="562" t="s">
        <v>785</v>
      </c>
      <c r="C326" s="403">
        <v>800</v>
      </c>
      <c r="D326" s="400"/>
      <c r="E326" s="400"/>
      <c r="F326" s="400"/>
      <c r="G326" s="400"/>
      <c r="H326" s="396"/>
    </row>
    <row r="327" spans="1:8" s="401" customFormat="1" ht="14.25" customHeight="1" x14ac:dyDescent="0.25">
      <c r="A327" s="564">
        <v>2310</v>
      </c>
      <c r="B327" s="562" t="s">
        <v>785</v>
      </c>
      <c r="C327" s="403">
        <v>800</v>
      </c>
      <c r="D327" s="400"/>
      <c r="E327" s="400"/>
      <c r="F327" s="400"/>
      <c r="G327" s="400"/>
      <c r="H327" s="396"/>
    </row>
    <row r="328" spans="1:8" s="401" customFormat="1" ht="14.25" customHeight="1" x14ac:dyDescent="0.25">
      <c r="A328" s="564">
        <v>2312</v>
      </c>
      <c r="B328" s="562" t="s">
        <v>785</v>
      </c>
      <c r="C328" s="403">
        <v>1</v>
      </c>
      <c r="D328" s="400"/>
      <c r="E328" s="400"/>
      <c r="F328" s="400"/>
      <c r="G328" s="400"/>
      <c r="H328" s="396"/>
    </row>
    <row r="329" spans="1:8" s="401" customFormat="1" ht="14.25" customHeight="1" x14ac:dyDescent="0.25">
      <c r="A329" s="564">
        <v>2314</v>
      </c>
      <c r="B329" s="562" t="s">
        <v>785</v>
      </c>
      <c r="C329" s="403">
        <v>1</v>
      </c>
      <c r="D329" s="400"/>
      <c r="E329" s="400"/>
      <c r="F329" s="400"/>
      <c r="G329" s="400"/>
      <c r="H329" s="396"/>
    </row>
    <row r="330" spans="1:8" s="401" customFormat="1" ht="14.25" customHeight="1" x14ac:dyDescent="0.25">
      <c r="A330" s="564">
        <v>2318</v>
      </c>
      <c r="B330" s="562" t="s">
        <v>786</v>
      </c>
      <c r="C330" s="403">
        <v>2254</v>
      </c>
      <c r="D330" s="400"/>
      <c r="E330" s="400"/>
      <c r="F330" s="400"/>
      <c r="G330" s="400"/>
      <c r="H330" s="396"/>
    </row>
    <row r="331" spans="1:8" s="401" customFormat="1" ht="14.25" customHeight="1" x14ac:dyDescent="0.25">
      <c r="A331" s="564">
        <v>2322</v>
      </c>
      <c r="B331" s="562" t="s">
        <v>786</v>
      </c>
      <c r="C331" s="403">
        <v>2254</v>
      </c>
      <c r="D331" s="400"/>
      <c r="E331" s="400"/>
      <c r="F331" s="400"/>
      <c r="G331" s="400"/>
      <c r="H331" s="396"/>
    </row>
    <row r="332" spans="1:8" s="401" customFormat="1" ht="14.25" customHeight="1" x14ac:dyDescent="0.25">
      <c r="A332" s="564">
        <v>2324</v>
      </c>
      <c r="B332" s="562" t="s">
        <v>786</v>
      </c>
      <c r="C332" s="403">
        <v>1749</v>
      </c>
      <c r="D332" s="400"/>
      <c r="E332" s="400"/>
      <c r="F332" s="400"/>
      <c r="G332" s="400"/>
      <c r="H332" s="396"/>
    </row>
    <row r="333" spans="1:8" s="401" customFormat="1" ht="14.25" customHeight="1" x14ac:dyDescent="0.25">
      <c r="A333" s="564">
        <v>2326</v>
      </c>
      <c r="B333" s="562" t="s">
        <v>786</v>
      </c>
      <c r="C333" s="403">
        <v>2875</v>
      </c>
      <c r="D333" s="400"/>
      <c r="E333" s="400"/>
      <c r="F333" s="400"/>
      <c r="G333" s="400"/>
      <c r="H333" s="396"/>
    </row>
    <row r="334" spans="1:8" s="401" customFormat="1" ht="14.25" customHeight="1" x14ac:dyDescent="0.25">
      <c r="A334" s="564">
        <v>2328</v>
      </c>
      <c r="B334" s="562" t="s">
        <v>786</v>
      </c>
      <c r="C334" s="403">
        <v>1380</v>
      </c>
      <c r="D334" s="400"/>
      <c r="E334" s="400"/>
      <c r="F334" s="400"/>
      <c r="G334" s="400"/>
      <c r="H334" s="396"/>
    </row>
    <row r="335" spans="1:8" s="401" customFormat="1" ht="14.25" customHeight="1" x14ac:dyDescent="0.25">
      <c r="A335" s="564">
        <v>2331</v>
      </c>
      <c r="B335" s="562" t="s">
        <v>786</v>
      </c>
      <c r="C335" s="403">
        <v>1380</v>
      </c>
      <c r="D335" s="400"/>
      <c r="E335" s="400"/>
      <c r="F335" s="400"/>
      <c r="G335" s="400"/>
      <c r="H335" s="396"/>
    </row>
    <row r="336" spans="1:8" s="401" customFormat="1" ht="14.25" customHeight="1" x14ac:dyDescent="0.25">
      <c r="A336" s="564">
        <v>2333</v>
      </c>
      <c r="B336" s="562" t="s">
        <v>786</v>
      </c>
      <c r="C336" s="403">
        <v>1380</v>
      </c>
      <c r="D336" s="400"/>
      <c r="E336" s="400"/>
      <c r="F336" s="400"/>
      <c r="G336" s="400"/>
      <c r="H336" s="396"/>
    </row>
    <row r="337" spans="1:8" s="401" customFormat="1" ht="14.25" customHeight="1" x14ac:dyDescent="0.25">
      <c r="A337" s="564">
        <v>2338</v>
      </c>
      <c r="B337" s="562" t="s">
        <v>786</v>
      </c>
      <c r="C337" s="403">
        <v>1360</v>
      </c>
      <c r="D337" s="400"/>
      <c r="E337" s="400"/>
      <c r="F337" s="400"/>
      <c r="G337" s="400"/>
      <c r="H337" s="396"/>
    </row>
    <row r="338" spans="1:8" s="401" customFormat="1" ht="14.25" customHeight="1" x14ac:dyDescent="0.25">
      <c r="A338" s="564">
        <v>2340</v>
      </c>
      <c r="B338" s="562" t="s">
        <v>786</v>
      </c>
      <c r="C338" s="403">
        <v>1380</v>
      </c>
      <c r="D338" s="400"/>
      <c r="E338" s="400"/>
      <c r="F338" s="400"/>
      <c r="G338" s="400"/>
      <c r="H338" s="396"/>
    </row>
    <row r="339" spans="1:8" s="401" customFormat="1" ht="14.25" customHeight="1" x14ac:dyDescent="0.25">
      <c r="A339" s="564">
        <v>2342</v>
      </c>
      <c r="B339" s="562" t="s">
        <v>786</v>
      </c>
      <c r="C339" s="403">
        <v>1380</v>
      </c>
      <c r="D339" s="400"/>
      <c r="E339" s="400"/>
      <c r="F339" s="400"/>
      <c r="G339" s="400"/>
      <c r="H339" s="396"/>
    </row>
    <row r="340" spans="1:8" s="401" customFormat="1" ht="14.25" customHeight="1" x14ac:dyDescent="0.25">
      <c r="A340" s="564">
        <v>2343</v>
      </c>
      <c r="B340" s="562" t="s">
        <v>786</v>
      </c>
      <c r="C340" s="403">
        <v>1380</v>
      </c>
      <c r="D340" s="400"/>
      <c r="E340" s="400"/>
      <c r="F340" s="400"/>
      <c r="G340" s="400"/>
      <c r="H340" s="396"/>
    </row>
    <row r="341" spans="1:8" s="401" customFormat="1" ht="14.25" customHeight="1" x14ac:dyDescent="0.25">
      <c r="A341" s="564">
        <v>2344</v>
      </c>
      <c r="B341" s="562" t="s">
        <v>786</v>
      </c>
      <c r="C341" s="403">
        <v>1380</v>
      </c>
      <c r="D341" s="400"/>
      <c r="E341" s="400"/>
      <c r="F341" s="400"/>
      <c r="G341" s="400"/>
      <c r="H341" s="396"/>
    </row>
    <row r="342" spans="1:8" s="401" customFormat="1" ht="14.25" customHeight="1" x14ac:dyDescent="0.25">
      <c r="A342" s="564">
        <v>2347</v>
      </c>
      <c r="B342" s="562" t="s">
        <v>786</v>
      </c>
      <c r="C342" s="403">
        <v>1380</v>
      </c>
      <c r="D342" s="400"/>
      <c r="E342" s="400"/>
      <c r="F342" s="400"/>
      <c r="G342" s="400"/>
      <c r="H342" s="396"/>
    </row>
    <row r="343" spans="1:8" s="401" customFormat="1" ht="14.25" customHeight="1" x14ac:dyDescent="0.25">
      <c r="A343" s="564">
        <v>2350</v>
      </c>
      <c r="B343" s="562" t="s">
        <v>786</v>
      </c>
      <c r="C343" s="403">
        <v>1380</v>
      </c>
      <c r="D343" s="400"/>
      <c r="E343" s="400"/>
      <c r="F343" s="400"/>
      <c r="G343" s="400"/>
      <c r="H343" s="396"/>
    </row>
    <row r="344" spans="1:8" s="401" customFormat="1" ht="14.25" customHeight="1" x14ac:dyDescent="0.25">
      <c r="A344" s="564">
        <v>2354</v>
      </c>
      <c r="B344" s="562" t="s">
        <v>786</v>
      </c>
      <c r="C344" s="403">
        <v>1380</v>
      </c>
      <c r="D344" s="400"/>
      <c r="E344" s="400"/>
      <c r="F344" s="400"/>
      <c r="G344" s="400"/>
      <c r="H344" s="396"/>
    </row>
    <row r="345" spans="1:8" s="401" customFormat="1" ht="14.25" customHeight="1" x14ac:dyDescent="0.25">
      <c r="A345" s="564">
        <v>2355</v>
      </c>
      <c r="B345" s="562" t="s">
        <v>786</v>
      </c>
      <c r="C345" s="403">
        <v>1706</v>
      </c>
      <c r="D345" s="400"/>
      <c r="E345" s="400"/>
      <c r="F345" s="400"/>
      <c r="G345" s="400"/>
      <c r="H345" s="396"/>
    </row>
    <row r="346" spans="1:8" s="401" customFormat="1" ht="14.25" customHeight="1" x14ac:dyDescent="0.25">
      <c r="A346" s="564">
        <v>2357</v>
      </c>
      <c r="B346" s="562" t="s">
        <v>786</v>
      </c>
      <c r="C346" s="403">
        <v>1719</v>
      </c>
      <c r="D346" s="400"/>
      <c r="E346" s="400"/>
      <c r="F346" s="400"/>
      <c r="G346" s="400"/>
      <c r="H346" s="396"/>
    </row>
    <row r="347" spans="1:8" s="401" customFormat="1" ht="14.25" customHeight="1" x14ac:dyDescent="0.25">
      <c r="A347" s="564">
        <v>2375</v>
      </c>
      <c r="B347" s="562" t="s">
        <v>795</v>
      </c>
      <c r="C347" s="403">
        <v>3306</v>
      </c>
      <c r="D347" s="400"/>
      <c r="E347" s="400"/>
      <c r="F347" s="400"/>
      <c r="G347" s="400"/>
      <c r="H347" s="396"/>
    </row>
    <row r="348" spans="1:8" s="401" customFormat="1" ht="14.25" customHeight="1" x14ac:dyDescent="0.25">
      <c r="A348" s="564">
        <v>2381</v>
      </c>
      <c r="B348" s="562" t="s">
        <v>807</v>
      </c>
      <c r="C348" s="403">
        <v>3016</v>
      </c>
      <c r="D348" s="400"/>
      <c r="E348" s="400"/>
      <c r="F348" s="400"/>
      <c r="G348" s="400"/>
      <c r="H348" s="396"/>
    </row>
    <row r="349" spans="1:8" s="401" customFormat="1" ht="14.25" customHeight="1" x14ac:dyDescent="0.25">
      <c r="A349" s="564">
        <v>2389</v>
      </c>
      <c r="B349" s="562" t="s">
        <v>785</v>
      </c>
      <c r="C349" s="403">
        <v>1</v>
      </c>
      <c r="D349" s="400"/>
      <c r="E349" s="400"/>
      <c r="F349" s="400"/>
      <c r="G349" s="400"/>
      <c r="H349" s="396"/>
    </row>
    <row r="350" spans="1:8" s="401" customFormat="1" ht="14.25" customHeight="1" x14ac:dyDescent="0.25">
      <c r="A350" s="564">
        <v>2390</v>
      </c>
      <c r="B350" s="562" t="s">
        <v>785</v>
      </c>
      <c r="C350" s="403">
        <v>1</v>
      </c>
      <c r="D350" s="400"/>
      <c r="E350" s="400"/>
      <c r="F350" s="400"/>
      <c r="G350" s="400"/>
      <c r="H350" s="396"/>
    </row>
    <row r="351" spans="1:8" s="401" customFormat="1" ht="14.25" customHeight="1" x14ac:dyDescent="0.25">
      <c r="A351" s="564">
        <v>2392</v>
      </c>
      <c r="B351" s="562" t="s">
        <v>785</v>
      </c>
      <c r="C351" s="403">
        <v>1</v>
      </c>
      <c r="D351" s="400"/>
      <c r="E351" s="400"/>
      <c r="F351" s="400"/>
      <c r="G351" s="400"/>
      <c r="H351" s="396"/>
    </row>
    <row r="352" spans="1:8" s="401" customFormat="1" ht="14.25" customHeight="1" x14ac:dyDescent="0.25">
      <c r="A352" s="564">
        <v>2394</v>
      </c>
      <c r="B352" s="562" t="s">
        <v>785</v>
      </c>
      <c r="C352" s="403">
        <v>1</v>
      </c>
      <c r="D352" s="400"/>
      <c r="E352" s="400"/>
      <c r="F352" s="400"/>
      <c r="G352" s="400"/>
      <c r="H352" s="396"/>
    </row>
    <row r="353" spans="1:8" s="401" customFormat="1" ht="14.25" customHeight="1" x14ac:dyDescent="0.25">
      <c r="A353" s="564">
        <v>2395</v>
      </c>
      <c r="B353" s="562" t="s">
        <v>785</v>
      </c>
      <c r="C353" s="403">
        <v>1</v>
      </c>
      <c r="D353" s="400"/>
      <c r="E353" s="400"/>
      <c r="F353" s="400"/>
      <c r="G353" s="400"/>
      <c r="H353" s="396"/>
    </row>
    <row r="354" spans="1:8" s="401" customFormat="1" ht="14.25" customHeight="1" x14ac:dyDescent="0.25">
      <c r="A354" s="564">
        <v>2397</v>
      </c>
      <c r="B354" s="562" t="s">
        <v>785</v>
      </c>
      <c r="C354" s="403">
        <v>378</v>
      </c>
      <c r="D354" s="400"/>
      <c r="E354" s="400"/>
      <c r="F354" s="400"/>
      <c r="G354" s="400"/>
      <c r="H354" s="396"/>
    </row>
    <row r="355" spans="1:8" s="401" customFormat="1" ht="14.25" customHeight="1" x14ac:dyDescent="0.25">
      <c r="A355" s="564">
        <v>2398</v>
      </c>
      <c r="B355" s="562" t="s">
        <v>808</v>
      </c>
      <c r="C355" s="403">
        <v>1</v>
      </c>
      <c r="D355" s="400"/>
      <c r="E355" s="400"/>
      <c r="F355" s="400"/>
      <c r="G355" s="400"/>
      <c r="H355" s="396"/>
    </row>
    <row r="356" spans="1:8" s="401" customFormat="1" ht="14.25" customHeight="1" x14ac:dyDescent="0.25">
      <c r="A356" s="564">
        <v>2505</v>
      </c>
      <c r="B356" s="562" t="s">
        <v>791</v>
      </c>
      <c r="C356" s="403">
        <v>1092</v>
      </c>
      <c r="D356" s="400"/>
      <c r="E356" s="400"/>
      <c r="F356" s="400"/>
      <c r="G356" s="400"/>
      <c r="H356" s="396"/>
    </row>
    <row r="357" spans="1:8" s="401" customFormat="1" ht="14.25" customHeight="1" x14ac:dyDescent="0.25">
      <c r="A357" s="564">
        <v>2399</v>
      </c>
      <c r="B357" s="562" t="s">
        <v>785</v>
      </c>
      <c r="C357" s="403">
        <v>1237</v>
      </c>
      <c r="D357" s="400"/>
      <c r="E357" s="400"/>
      <c r="F357" s="400"/>
      <c r="G357" s="400"/>
      <c r="H357" s="396"/>
    </row>
    <row r="358" spans="1:8" s="401" customFormat="1" ht="14.25" customHeight="1" x14ac:dyDescent="0.25">
      <c r="A358" s="564">
        <v>2400</v>
      </c>
      <c r="B358" s="562" t="s">
        <v>794</v>
      </c>
      <c r="C358" s="403">
        <v>1070.48</v>
      </c>
      <c r="D358" s="400"/>
      <c r="E358" s="400"/>
      <c r="F358" s="400"/>
      <c r="G358" s="400"/>
      <c r="H358" s="396"/>
    </row>
    <row r="359" spans="1:8" s="401" customFormat="1" ht="14.25" customHeight="1" x14ac:dyDescent="0.25">
      <c r="A359" s="564">
        <v>2401</v>
      </c>
      <c r="B359" s="562" t="s">
        <v>785</v>
      </c>
      <c r="C359" s="403">
        <v>1</v>
      </c>
      <c r="D359" s="400"/>
      <c r="E359" s="400"/>
      <c r="F359" s="400"/>
      <c r="G359" s="400"/>
      <c r="H359" s="396"/>
    </row>
    <row r="360" spans="1:8" s="401" customFormat="1" ht="14.25" customHeight="1" x14ac:dyDescent="0.25">
      <c r="A360" s="564">
        <v>2405</v>
      </c>
      <c r="B360" s="562" t="s">
        <v>785</v>
      </c>
      <c r="C360" s="403">
        <v>929.62</v>
      </c>
      <c r="D360" s="400"/>
      <c r="E360" s="400"/>
      <c r="F360" s="400"/>
      <c r="G360" s="400"/>
      <c r="H360" s="396"/>
    </row>
    <row r="361" spans="1:8" s="401" customFormat="1" ht="14.25" customHeight="1" x14ac:dyDescent="0.25">
      <c r="A361" s="564">
        <v>2695</v>
      </c>
      <c r="B361" s="562" t="s">
        <v>785</v>
      </c>
      <c r="C361" s="403">
        <v>929.62</v>
      </c>
      <c r="D361" s="400"/>
      <c r="E361" s="400"/>
      <c r="F361" s="400"/>
      <c r="G361" s="400"/>
      <c r="H361" s="396"/>
    </row>
    <row r="362" spans="1:8" s="401" customFormat="1" ht="14.25" customHeight="1" x14ac:dyDescent="0.25">
      <c r="A362" s="564">
        <v>2701</v>
      </c>
      <c r="B362" s="562" t="s">
        <v>785</v>
      </c>
      <c r="C362" s="403">
        <v>929.62</v>
      </c>
      <c r="D362" s="400"/>
      <c r="E362" s="400"/>
      <c r="F362" s="400"/>
      <c r="G362" s="400"/>
      <c r="H362" s="396"/>
    </row>
    <row r="363" spans="1:8" s="401" customFormat="1" ht="14.25" customHeight="1" x14ac:dyDescent="0.25">
      <c r="A363" s="564">
        <v>2712</v>
      </c>
      <c r="B363" s="562" t="s">
        <v>785</v>
      </c>
      <c r="C363" s="403">
        <v>1237</v>
      </c>
      <c r="D363" s="400"/>
      <c r="E363" s="400"/>
      <c r="F363" s="400"/>
      <c r="G363" s="400"/>
      <c r="H363" s="396"/>
    </row>
    <row r="364" spans="1:8" s="401" customFormat="1" ht="14.25" customHeight="1" x14ac:dyDescent="0.25">
      <c r="A364" s="564">
        <v>2720</v>
      </c>
      <c r="B364" s="562" t="s">
        <v>790</v>
      </c>
      <c r="C364" s="403">
        <v>1552</v>
      </c>
      <c r="D364" s="400"/>
      <c r="E364" s="400"/>
      <c r="F364" s="400"/>
      <c r="G364" s="400"/>
      <c r="H364" s="396"/>
    </row>
    <row r="365" spans="1:8" s="401" customFormat="1" ht="14.25" customHeight="1" x14ac:dyDescent="0.25">
      <c r="A365" s="564">
        <v>3305</v>
      </c>
      <c r="B365" s="562" t="s">
        <v>791</v>
      </c>
      <c r="C365" s="403">
        <v>3538</v>
      </c>
      <c r="D365" s="400"/>
      <c r="E365" s="400"/>
      <c r="F365" s="400"/>
      <c r="G365" s="400"/>
      <c r="H365" s="396"/>
    </row>
    <row r="366" spans="1:8" s="401" customFormat="1" ht="14.25" customHeight="1" x14ac:dyDescent="0.25">
      <c r="A366" s="564">
        <v>3312</v>
      </c>
      <c r="B366" s="562" t="s">
        <v>790</v>
      </c>
      <c r="C366" s="403">
        <v>1650</v>
      </c>
      <c r="D366" s="400"/>
      <c r="E366" s="400"/>
      <c r="F366" s="400"/>
      <c r="G366" s="400"/>
      <c r="H366" s="396"/>
    </row>
    <row r="367" spans="1:8" s="401" customFormat="1" ht="14.25" customHeight="1" x14ac:dyDescent="0.25">
      <c r="A367" s="564">
        <v>3314</v>
      </c>
      <c r="B367" s="562" t="s">
        <v>809</v>
      </c>
      <c r="C367" s="403">
        <v>2351</v>
      </c>
      <c r="D367" s="400"/>
      <c r="E367" s="400"/>
      <c r="F367" s="400"/>
      <c r="G367" s="400"/>
      <c r="H367" s="396"/>
    </row>
    <row r="368" spans="1:8" s="401" customFormat="1" ht="14.25" customHeight="1" x14ac:dyDescent="0.25">
      <c r="A368" s="564">
        <v>3317</v>
      </c>
      <c r="B368" s="562" t="s">
        <v>788</v>
      </c>
      <c r="C368" s="403">
        <v>1</v>
      </c>
      <c r="D368" s="400"/>
      <c r="E368" s="400"/>
      <c r="F368" s="400"/>
      <c r="G368" s="400"/>
      <c r="H368" s="396"/>
    </row>
    <row r="369" spans="1:8" s="401" customFormat="1" ht="14.25" customHeight="1" x14ac:dyDescent="0.25">
      <c r="A369" s="564">
        <v>3320</v>
      </c>
      <c r="B369" s="562" t="s">
        <v>786</v>
      </c>
      <c r="C369" s="403">
        <v>1693</v>
      </c>
      <c r="D369" s="400"/>
      <c r="E369" s="400"/>
      <c r="F369" s="400"/>
      <c r="G369" s="400"/>
      <c r="H369" s="396"/>
    </row>
    <row r="370" spans="1:8" s="401" customFormat="1" ht="14.25" customHeight="1" x14ac:dyDescent="0.25">
      <c r="A370" s="564">
        <v>3323</v>
      </c>
      <c r="B370" s="562" t="s">
        <v>810</v>
      </c>
      <c r="C370" s="403">
        <v>3444</v>
      </c>
      <c r="D370" s="400"/>
      <c r="E370" s="400"/>
      <c r="F370" s="400"/>
      <c r="G370" s="400"/>
      <c r="H370" s="396"/>
    </row>
    <row r="371" spans="1:8" s="401" customFormat="1" ht="14.25" customHeight="1" x14ac:dyDescent="0.25">
      <c r="A371" s="564">
        <v>2708</v>
      </c>
      <c r="B371" s="562" t="s">
        <v>790</v>
      </c>
      <c r="C371" s="403">
        <v>1</v>
      </c>
      <c r="D371" s="400"/>
      <c r="E371" s="400"/>
      <c r="F371" s="400"/>
      <c r="G371" s="400"/>
      <c r="H371" s="396"/>
    </row>
    <row r="372" spans="1:8" s="401" customFormat="1" ht="14.25" customHeight="1" x14ac:dyDescent="0.25">
      <c r="A372" s="564">
        <v>4491</v>
      </c>
      <c r="B372" s="562" t="s">
        <v>787</v>
      </c>
      <c r="C372" s="403">
        <v>3782</v>
      </c>
      <c r="D372" s="400"/>
      <c r="E372" s="400"/>
      <c r="F372" s="400"/>
      <c r="G372" s="400"/>
      <c r="H372" s="396"/>
    </row>
    <row r="373" spans="1:8" s="401" customFormat="1" ht="14.25" customHeight="1" x14ac:dyDescent="0.25">
      <c r="A373" s="564">
        <v>2488</v>
      </c>
      <c r="B373" s="562" t="s">
        <v>794</v>
      </c>
      <c r="C373" s="403">
        <v>856.39</v>
      </c>
      <c r="D373" s="400"/>
      <c r="E373" s="400"/>
      <c r="F373" s="400"/>
      <c r="G373" s="400"/>
      <c r="H373" s="396"/>
    </row>
    <row r="374" spans="1:8" s="401" customFormat="1" ht="14.25" customHeight="1" x14ac:dyDescent="0.25">
      <c r="A374" s="564">
        <v>2492</v>
      </c>
      <c r="B374" s="562" t="s">
        <v>811</v>
      </c>
      <c r="C374" s="403">
        <v>1</v>
      </c>
      <c r="D374" s="400"/>
      <c r="E374" s="400"/>
      <c r="F374" s="400"/>
      <c r="G374" s="400"/>
      <c r="H374" s="396"/>
    </row>
    <row r="375" spans="1:8" s="401" customFormat="1" ht="14.25" customHeight="1" x14ac:dyDescent="0.25">
      <c r="A375" s="564">
        <v>2498</v>
      </c>
      <c r="B375" s="562" t="s">
        <v>812</v>
      </c>
      <c r="C375" s="403">
        <v>1</v>
      </c>
      <c r="D375" s="400"/>
      <c r="E375" s="400"/>
      <c r="F375" s="400"/>
      <c r="G375" s="400"/>
      <c r="H375" s="396"/>
    </row>
    <row r="376" spans="1:8" s="401" customFormat="1" ht="14.25" customHeight="1" x14ac:dyDescent="0.25">
      <c r="A376" s="564">
        <v>2502</v>
      </c>
      <c r="B376" s="562" t="s">
        <v>791</v>
      </c>
      <c r="C376" s="403">
        <v>1633</v>
      </c>
      <c r="D376" s="400"/>
      <c r="E376" s="400"/>
      <c r="F376" s="400"/>
      <c r="G376" s="400"/>
      <c r="H376" s="396"/>
    </row>
    <row r="377" spans="1:8" s="401" customFormat="1" ht="14.25" customHeight="1" x14ac:dyDescent="0.25">
      <c r="A377" s="564">
        <v>2509</v>
      </c>
      <c r="B377" s="562" t="s">
        <v>791</v>
      </c>
      <c r="C377" s="403">
        <v>1488</v>
      </c>
      <c r="D377" s="400"/>
      <c r="E377" s="400"/>
      <c r="F377" s="400"/>
      <c r="G377" s="400"/>
      <c r="H377" s="396"/>
    </row>
    <row r="378" spans="1:8" s="401" customFormat="1" ht="14.25" customHeight="1" x14ac:dyDescent="0.25">
      <c r="A378" s="564">
        <v>2511</v>
      </c>
      <c r="B378" s="562" t="s">
        <v>787</v>
      </c>
      <c r="C378" s="403">
        <v>1184</v>
      </c>
      <c r="D378" s="400"/>
      <c r="E378" s="400"/>
      <c r="F378" s="400"/>
      <c r="G378" s="400"/>
      <c r="H378" s="396"/>
    </row>
    <row r="379" spans="1:8" s="401" customFormat="1" ht="14.25" customHeight="1" x14ac:dyDescent="0.25">
      <c r="A379" s="564">
        <v>2513</v>
      </c>
      <c r="B379" s="562" t="s">
        <v>787</v>
      </c>
      <c r="C379" s="403">
        <v>1184</v>
      </c>
      <c r="D379" s="400"/>
      <c r="E379" s="400"/>
      <c r="F379" s="400"/>
      <c r="G379" s="400"/>
      <c r="H379" s="396"/>
    </row>
    <row r="380" spans="1:8" s="401" customFormat="1" ht="14.25" customHeight="1" x14ac:dyDescent="0.25">
      <c r="A380" s="564">
        <v>2516</v>
      </c>
      <c r="B380" s="562" t="s">
        <v>787</v>
      </c>
      <c r="C380" s="403">
        <v>2093</v>
      </c>
      <c r="D380" s="400"/>
      <c r="E380" s="400"/>
      <c r="F380" s="400"/>
      <c r="G380" s="400"/>
      <c r="H380" s="396"/>
    </row>
    <row r="381" spans="1:8" s="401" customFormat="1" ht="14.25" customHeight="1" x14ac:dyDescent="0.25">
      <c r="A381" s="564">
        <v>2519</v>
      </c>
      <c r="B381" s="562" t="s">
        <v>787</v>
      </c>
      <c r="C381" s="403">
        <v>10292</v>
      </c>
      <c r="D381" s="400"/>
      <c r="E381" s="400"/>
      <c r="F381" s="400"/>
      <c r="G381" s="400"/>
      <c r="H381" s="396"/>
    </row>
    <row r="382" spans="1:8" s="401" customFormat="1" ht="14.25" customHeight="1" x14ac:dyDescent="0.25">
      <c r="A382" s="564">
        <v>2521</v>
      </c>
      <c r="B382" s="562" t="s">
        <v>790</v>
      </c>
      <c r="C382" s="403">
        <v>1</v>
      </c>
      <c r="D382" s="400"/>
      <c r="E382" s="400"/>
      <c r="F382" s="400"/>
      <c r="G382" s="400"/>
      <c r="H382" s="396"/>
    </row>
    <row r="383" spans="1:8" s="401" customFormat="1" ht="14.25" customHeight="1" x14ac:dyDescent="0.25">
      <c r="A383" s="564">
        <v>2526</v>
      </c>
      <c r="B383" s="562" t="s">
        <v>785</v>
      </c>
      <c r="C383" s="403">
        <v>543</v>
      </c>
      <c r="D383" s="400"/>
      <c r="E383" s="400"/>
      <c r="F383" s="400"/>
      <c r="G383" s="400"/>
      <c r="H383" s="396"/>
    </row>
    <row r="384" spans="1:8" s="401" customFormat="1" ht="14.25" customHeight="1" x14ac:dyDescent="0.25">
      <c r="A384" s="564">
        <v>2529</v>
      </c>
      <c r="B384" s="562" t="s">
        <v>785</v>
      </c>
      <c r="C384" s="403">
        <v>543</v>
      </c>
      <c r="D384" s="400"/>
      <c r="E384" s="400"/>
      <c r="F384" s="400"/>
      <c r="G384" s="400"/>
      <c r="H384" s="396"/>
    </row>
    <row r="385" spans="1:8" s="401" customFormat="1" ht="14.25" customHeight="1" x14ac:dyDescent="0.25">
      <c r="A385" s="564">
        <v>2530</v>
      </c>
      <c r="B385" s="562" t="s">
        <v>785</v>
      </c>
      <c r="C385" s="403">
        <v>690</v>
      </c>
      <c r="D385" s="400"/>
      <c r="E385" s="400"/>
      <c r="F385" s="400"/>
      <c r="G385" s="400"/>
      <c r="H385" s="396"/>
    </row>
    <row r="386" spans="1:8" s="401" customFormat="1" ht="14.25" customHeight="1" x14ac:dyDescent="0.25">
      <c r="A386" s="564">
        <v>2533</v>
      </c>
      <c r="B386" s="562" t="s">
        <v>785</v>
      </c>
      <c r="C386" s="403">
        <v>908</v>
      </c>
      <c r="D386" s="400"/>
      <c r="E386" s="400"/>
      <c r="F386" s="400"/>
      <c r="G386" s="400"/>
      <c r="H386" s="396"/>
    </row>
    <row r="387" spans="1:8" s="401" customFormat="1" ht="14.25" customHeight="1" x14ac:dyDescent="0.25">
      <c r="A387" s="564">
        <v>2537</v>
      </c>
      <c r="B387" s="562" t="s">
        <v>785</v>
      </c>
      <c r="C387" s="403">
        <v>908</v>
      </c>
      <c r="D387" s="400"/>
      <c r="E387" s="400"/>
      <c r="F387" s="400"/>
      <c r="G387" s="400"/>
      <c r="H387" s="396"/>
    </row>
    <row r="388" spans="1:8" s="401" customFormat="1" ht="14.25" customHeight="1" x14ac:dyDescent="0.25">
      <c r="A388" s="564">
        <v>2540</v>
      </c>
      <c r="B388" s="562" t="s">
        <v>785</v>
      </c>
      <c r="C388" s="403">
        <v>908</v>
      </c>
      <c r="D388" s="400"/>
      <c r="E388" s="400"/>
      <c r="F388" s="400"/>
      <c r="G388" s="400"/>
      <c r="H388" s="396"/>
    </row>
    <row r="389" spans="1:8" s="401" customFormat="1" ht="14.25" customHeight="1" x14ac:dyDescent="0.25">
      <c r="A389" s="564">
        <v>2544</v>
      </c>
      <c r="B389" s="562" t="s">
        <v>785</v>
      </c>
      <c r="C389" s="403">
        <v>529</v>
      </c>
      <c r="D389" s="400"/>
      <c r="E389" s="400"/>
      <c r="F389" s="400"/>
      <c r="G389" s="400"/>
      <c r="H389" s="396"/>
    </row>
    <row r="390" spans="1:8" s="401" customFormat="1" ht="14.25" customHeight="1" x14ac:dyDescent="0.25">
      <c r="A390" s="564">
        <v>2546</v>
      </c>
      <c r="B390" s="562" t="s">
        <v>785</v>
      </c>
      <c r="C390" s="403">
        <v>529</v>
      </c>
      <c r="D390" s="400"/>
      <c r="E390" s="400"/>
      <c r="F390" s="400"/>
      <c r="G390" s="400"/>
      <c r="H390" s="396"/>
    </row>
    <row r="391" spans="1:8" s="401" customFormat="1" ht="14.25" customHeight="1" x14ac:dyDescent="0.25">
      <c r="A391" s="564">
        <v>2551</v>
      </c>
      <c r="B391" s="562" t="s">
        <v>785</v>
      </c>
      <c r="C391" s="403">
        <v>529</v>
      </c>
      <c r="D391" s="400"/>
      <c r="E391" s="400"/>
      <c r="F391" s="400"/>
      <c r="G391" s="400"/>
      <c r="H391" s="396"/>
    </row>
    <row r="392" spans="1:8" s="401" customFormat="1" ht="14.25" customHeight="1" x14ac:dyDescent="0.25">
      <c r="A392" s="564">
        <v>2553</v>
      </c>
      <c r="B392" s="562" t="s">
        <v>785</v>
      </c>
      <c r="C392" s="403">
        <v>529</v>
      </c>
      <c r="D392" s="400"/>
      <c r="E392" s="400"/>
      <c r="F392" s="400"/>
      <c r="G392" s="400"/>
      <c r="H392" s="396"/>
    </row>
    <row r="393" spans="1:8" s="401" customFormat="1" ht="14.25" customHeight="1" x14ac:dyDescent="0.25">
      <c r="A393" s="564">
        <v>2555</v>
      </c>
      <c r="B393" s="562" t="s">
        <v>785</v>
      </c>
      <c r="C393" s="403">
        <v>529</v>
      </c>
      <c r="D393" s="400"/>
      <c r="E393" s="400"/>
      <c r="F393" s="400"/>
      <c r="G393" s="400"/>
      <c r="H393" s="396"/>
    </row>
    <row r="394" spans="1:8" s="401" customFormat="1" ht="14.25" customHeight="1" x14ac:dyDescent="0.25">
      <c r="A394" s="564">
        <v>2558</v>
      </c>
      <c r="B394" s="562" t="s">
        <v>785</v>
      </c>
      <c r="C394" s="403">
        <v>529</v>
      </c>
      <c r="D394" s="400"/>
      <c r="E394" s="400"/>
      <c r="F394" s="400"/>
      <c r="G394" s="400"/>
      <c r="H394" s="396"/>
    </row>
    <row r="395" spans="1:8" s="401" customFormat="1" ht="14.25" customHeight="1" x14ac:dyDescent="0.25">
      <c r="A395" s="564">
        <v>2561</v>
      </c>
      <c r="B395" s="562" t="s">
        <v>786</v>
      </c>
      <c r="C395" s="403">
        <v>1380</v>
      </c>
      <c r="D395" s="400"/>
      <c r="E395" s="400"/>
      <c r="F395" s="400"/>
      <c r="G395" s="400"/>
      <c r="H395" s="396"/>
    </row>
    <row r="396" spans="1:8" s="401" customFormat="1" ht="14.25" customHeight="1" x14ac:dyDescent="0.25">
      <c r="A396" s="564">
        <v>2565</v>
      </c>
      <c r="B396" s="562" t="s">
        <v>792</v>
      </c>
      <c r="C396" s="403">
        <v>250</v>
      </c>
      <c r="D396" s="400"/>
      <c r="E396" s="400"/>
      <c r="F396" s="400"/>
      <c r="G396" s="400"/>
      <c r="H396" s="396"/>
    </row>
    <row r="397" spans="1:8" s="401" customFormat="1" ht="14.25" customHeight="1" x14ac:dyDescent="0.25">
      <c r="A397" s="564">
        <v>2569</v>
      </c>
      <c r="B397" s="562" t="s">
        <v>813</v>
      </c>
      <c r="C397" s="403">
        <v>204</v>
      </c>
      <c r="D397" s="400"/>
      <c r="E397" s="400"/>
      <c r="F397" s="400"/>
      <c r="G397" s="400"/>
      <c r="H397" s="396"/>
    </row>
    <row r="398" spans="1:8" s="401" customFormat="1" ht="14.25" customHeight="1" x14ac:dyDescent="0.25">
      <c r="A398" s="564">
        <v>2572</v>
      </c>
      <c r="B398" s="562" t="s">
        <v>787</v>
      </c>
      <c r="C398" s="403">
        <v>2093</v>
      </c>
      <c r="D398" s="400"/>
      <c r="E398" s="400"/>
      <c r="F398" s="400"/>
      <c r="G398" s="400"/>
      <c r="H398" s="396"/>
    </row>
    <row r="399" spans="1:8" s="401" customFormat="1" ht="14.25" customHeight="1" x14ac:dyDescent="0.25">
      <c r="A399" s="564">
        <v>2402</v>
      </c>
      <c r="B399" s="562" t="s">
        <v>785</v>
      </c>
      <c r="C399" s="403">
        <v>690</v>
      </c>
      <c r="D399" s="400"/>
      <c r="E399" s="400"/>
      <c r="F399" s="400"/>
      <c r="G399" s="400"/>
      <c r="H399" s="396"/>
    </row>
    <row r="400" spans="1:8" s="401" customFormat="1" ht="14.25" customHeight="1" x14ac:dyDescent="0.25">
      <c r="A400" s="564">
        <v>2422</v>
      </c>
      <c r="B400" s="562" t="s">
        <v>785</v>
      </c>
      <c r="C400" s="403">
        <v>929.62</v>
      </c>
      <c r="D400" s="400"/>
      <c r="E400" s="400"/>
      <c r="F400" s="400"/>
      <c r="G400" s="400"/>
      <c r="H400" s="396"/>
    </row>
    <row r="401" spans="1:8" s="401" customFormat="1" ht="14.25" customHeight="1" x14ac:dyDescent="0.25">
      <c r="A401" s="564">
        <v>2426</v>
      </c>
      <c r="B401" s="562" t="s">
        <v>814</v>
      </c>
      <c r="C401" s="403">
        <v>97.21</v>
      </c>
      <c r="D401" s="400"/>
      <c r="E401" s="400"/>
      <c r="F401" s="400"/>
      <c r="G401" s="400"/>
      <c r="H401" s="396"/>
    </row>
    <row r="402" spans="1:8" s="401" customFormat="1" ht="14.25" customHeight="1" x14ac:dyDescent="0.25">
      <c r="A402" s="564">
        <v>2430</v>
      </c>
      <c r="B402" s="562" t="s">
        <v>790</v>
      </c>
      <c r="C402" s="403">
        <v>2399</v>
      </c>
      <c r="D402" s="400"/>
      <c r="E402" s="400"/>
      <c r="F402" s="400"/>
      <c r="G402" s="400"/>
      <c r="H402" s="396"/>
    </row>
    <row r="403" spans="1:8" s="401" customFormat="1" ht="14.25" customHeight="1" x14ac:dyDescent="0.25">
      <c r="A403" s="564">
        <v>2433</v>
      </c>
      <c r="B403" s="562" t="s">
        <v>790</v>
      </c>
      <c r="C403" s="403">
        <v>555</v>
      </c>
      <c r="D403" s="400"/>
      <c r="E403" s="400"/>
      <c r="F403" s="400"/>
      <c r="G403" s="400"/>
      <c r="H403" s="396"/>
    </row>
    <row r="404" spans="1:8" s="401" customFormat="1" ht="14.25" customHeight="1" x14ac:dyDescent="0.25">
      <c r="A404" s="564">
        <v>2436</v>
      </c>
      <c r="B404" s="562" t="s">
        <v>786</v>
      </c>
      <c r="C404" s="403">
        <v>1552</v>
      </c>
      <c r="D404" s="400"/>
      <c r="E404" s="400"/>
      <c r="F404" s="400"/>
      <c r="G404" s="400"/>
      <c r="H404" s="396"/>
    </row>
    <row r="405" spans="1:8" s="401" customFormat="1" ht="14.25" customHeight="1" x14ac:dyDescent="0.25">
      <c r="A405" s="564">
        <v>2440</v>
      </c>
      <c r="B405" s="562" t="s">
        <v>791</v>
      </c>
      <c r="C405" s="403">
        <v>1</v>
      </c>
      <c r="D405" s="400"/>
      <c r="E405" s="400"/>
      <c r="F405" s="400"/>
      <c r="G405" s="400"/>
      <c r="H405" s="396"/>
    </row>
    <row r="406" spans="1:8" s="401" customFormat="1" ht="14.25" customHeight="1" x14ac:dyDescent="0.25">
      <c r="A406" s="564">
        <v>2444</v>
      </c>
      <c r="B406" s="562" t="s">
        <v>791</v>
      </c>
      <c r="C406" s="403">
        <v>869</v>
      </c>
      <c r="D406" s="400"/>
      <c r="E406" s="400"/>
      <c r="F406" s="400"/>
      <c r="G406" s="400"/>
      <c r="H406" s="396"/>
    </row>
    <row r="407" spans="1:8" s="401" customFormat="1" ht="14.25" customHeight="1" x14ac:dyDescent="0.25">
      <c r="A407" s="564">
        <v>2447</v>
      </c>
      <c r="B407" s="562" t="s">
        <v>790</v>
      </c>
      <c r="C407" s="403">
        <v>769</v>
      </c>
      <c r="D407" s="400"/>
      <c r="E407" s="400"/>
      <c r="F407" s="400"/>
      <c r="G407" s="400"/>
      <c r="H407" s="396"/>
    </row>
    <row r="408" spans="1:8" s="401" customFormat="1" ht="14.25" customHeight="1" x14ac:dyDescent="0.25">
      <c r="A408" s="564">
        <v>2451</v>
      </c>
      <c r="B408" s="562" t="s">
        <v>790</v>
      </c>
      <c r="C408" s="403">
        <v>769</v>
      </c>
      <c r="D408" s="400"/>
      <c r="E408" s="400"/>
      <c r="F408" s="400"/>
      <c r="G408" s="400"/>
      <c r="H408" s="396"/>
    </row>
    <row r="409" spans="1:8" s="401" customFormat="1" ht="14.25" customHeight="1" x14ac:dyDescent="0.25">
      <c r="A409" s="564">
        <v>2454</v>
      </c>
      <c r="B409" s="562" t="s">
        <v>790</v>
      </c>
      <c r="C409" s="403">
        <v>769</v>
      </c>
      <c r="D409" s="400"/>
      <c r="E409" s="400"/>
      <c r="F409" s="400"/>
      <c r="G409" s="400"/>
      <c r="H409" s="396"/>
    </row>
    <row r="410" spans="1:8" s="401" customFormat="1" ht="14.25" customHeight="1" x14ac:dyDescent="0.25">
      <c r="A410" s="564">
        <v>2456</v>
      </c>
      <c r="B410" s="562" t="s">
        <v>790</v>
      </c>
      <c r="C410" s="403">
        <v>769</v>
      </c>
      <c r="D410" s="400"/>
      <c r="E410" s="400"/>
      <c r="F410" s="400"/>
      <c r="G410" s="400"/>
      <c r="H410" s="396"/>
    </row>
    <row r="411" spans="1:8" s="401" customFormat="1" ht="14.25" customHeight="1" x14ac:dyDescent="0.25">
      <c r="A411" s="564">
        <v>2459</v>
      </c>
      <c r="B411" s="562" t="s">
        <v>790</v>
      </c>
      <c r="C411" s="403">
        <v>879</v>
      </c>
      <c r="D411" s="400"/>
      <c r="E411" s="400"/>
      <c r="F411" s="400"/>
      <c r="G411" s="400"/>
      <c r="H411" s="396"/>
    </row>
    <row r="412" spans="1:8" s="401" customFormat="1" ht="14.25" customHeight="1" x14ac:dyDescent="0.25">
      <c r="A412" s="564">
        <v>2461</v>
      </c>
      <c r="B412" s="562" t="s">
        <v>785</v>
      </c>
      <c r="C412" s="403">
        <v>594</v>
      </c>
      <c r="D412" s="400"/>
      <c r="E412" s="400"/>
      <c r="F412" s="400"/>
      <c r="G412" s="400"/>
      <c r="H412" s="396"/>
    </row>
    <row r="413" spans="1:8" s="401" customFormat="1" ht="14.25" customHeight="1" x14ac:dyDescent="0.25">
      <c r="A413" s="564">
        <v>2465</v>
      </c>
      <c r="B413" s="562" t="s">
        <v>785</v>
      </c>
      <c r="C413" s="403">
        <v>908</v>
      </c>
      <c r="D413" s="400"/>
      <c r="E413" s="400"/>
      <c r="F413" s="400"/>
      <c r="G413" s="400"/>
      <c r="H413" s="396"/>
    </row>
    <row r="414" spans="1:8" s="401" customFormat="1" ht="14.25" customHeight="1" x14ac:dyDescent="0.25">
      <c r="A414" s="564">
        <v>2468</v>
      </c>
      <c r="B414" s="562" t="s">
        <v>812</v>
      </c>
      <c r="C414" s="403">
        <v>1</v>
      </c>
      <c r="D414" s="400"/>
      <c r="E414" s="400"/>
      <c r="F414" s="400"/>
      <c r="G414" s="400"/>
      <c r="H414" s="396"/>
    </row>
    <row r="415" spans="1:8" s="401" customFormat="1" ht="14.25" customHeight="1" x14ac:dyDescent="0.25">
      <c r="A415" s="564">
        <v>2472</v>
      </c>
      <c r="B415" s="562" t="s">
        <v>790</v>
      </c>
      <c r="C415" s="403">
        <v>1</v>
      </c>
      <c r="D415" s="400"/>
      <c r="E415" s="400"/>
      <c r="F415" s="400"/>
      <c r="G415" s="400"/>
      <c r="H415" s="396"/>
    </row>
    <row r="416" spans="1:8" s="401" customFormat="1" ht="14.25" customHeight="1" x14ac:dyDescent="0.25">
      <c r="A416" s="564">
        <v>2475</v>
      </c>
      <c r="B416" s="562" t="s">
        <v>812</v>
      </c>
      <c r="C416" s="403">
        <v>1</v>
      </c>
      <c r="D416" s="400"/>
      <c r="E416" s="400"/>
      <c r="F416" s="400"/>
      <c r="G416" s="400"/>
      <c r="H416" s="396"/>
    </row>
    <row r="417" spans="1:8" s="401" customFormat="1" ht="14.25" customHeight="1" x14ac:dyDescent="0.25">
      <c r="A417" s="564">
        <v>2479</v>
      </c>
      <c r="B417" s="562" t="s">
        <v>787</v>
      </c>
      <c r="C417" s="403">
        <v>1</v>
      </c>
      <c r="D417" s="400"/>
      <c r="E417" s="400"/>
      <c r="F417" s="400"/>
      <c r="G417" s="400"/>
      <c r="H417" s="396"/>
    </row>
    <row r="418" spans="1:8" s="401" customFormat="1" ht="14.25" customHeight="1" x14ac:dyDescent="0.25">
      <c r="A418" s="564">
        <v>2483</v>
      </c>
      <c r="B418" s="562" t="s">
        <v>790</v>
      </c>
      <c r="C418" s="403">
        <v>1</v>
      </c>
      <c r="D418" s="400"/>
      <c r="E418" s="400"/>
      <c r="F418" s="400"/>
      <c r="G418" s="400"/>
      <c r="H418" s="396"/>
    </row>
    <row r="419" spans="1:8" s="401" customFormat="1" ht="14.25" customHeight="1" x14ac:dyDescent="0.25">
      <c r="A419" s="564">
        <v>2576</v>
      </c>
      <c r="B419" s="562" t="s">
        <v>785</v>
      </c>
      <c r="C419" s="403">
        <v>920</v>
      </c>
      <c r="D419" s="400"/>
      <c r="E419" s="400"/>
      <c r="F419" s="400"/>
      <c r="G419" s="400"/>
      <c r="H419" s="396"/>
    </row>
    <row r="420" spans="1:8" s="401" customFormat="1" ht="14.25" customHeight="1" x14ac:dyDescent="0.25">
      <c r="A420" s="564">
        <v>2583</v>
      </c>
      <c r="B420" s="562" t="s">
        <v>795</v>
      </c>
      <c r="C420" s="403">
        <v>1</v>
      </c>
      <c r="D420" s="400"/>
      <c r="E420" s="400"/>
      <c r="F420" s="400"/>
      <c r="G420" s="400"/>
      <c r="H420" s="396"/>
    </row>
    <row r="421" spans="1:8" s="401" customFormat="1" ht="14.25" customHeight="1" x14ac:dyDescent="0.25">
      <c r="A421" s="564">
        <v>2585</v>
      </c>
      <c r="B421" s="562" t="s">
        <v>787</v>
      </c>
      <c r="C421" s="403">
        <v>3830</v>
      </c>
      <c r="D421" s="400"/>
      <c r="E421" s="400"/>
      <c r="F421" s="400"/>
      <c r="G421" s="400"/>
      <c r="H421" s="396"/>
    </row>
    <row r="422" spans="1:8" s="401" customFormat="1" ht="14.25" customHeight="1" x14ac:dyDescent="0.25">
      <c r="A422" s="564">
        <v>2586</v>
      </c>
      <c r="B422" s="562" t="s">
        <v>786</v>
      </c>
      <c r="C422" s="403">
        <v>2254</v>
      </c>
      <c r="D422" s="400"/>
      <c r="E422" s="400"/>
      <c r="F422" s="400"/>
      <c r="G422" s="400"/>
      <c r="H422" s="396"/>
    </row>
    <row r="423" spans="1:8" s="401" customFormat="1" ht="14.25" customHeight="1" x14ac:dyDescent="0.25">
      <c r="A423" s="564">
        <v>2588</v>
      </c>
      <c r="B423" s="562" t="s">
        <v>786</v>
      </c>
      <c r="C423" s="403">
        <v>2254</v>
      </c>
      <c r="D423" s="400"/>
      <c r="E423" s="400"/>
      <c r="F423" s="400"/>
      <c r="G423" s="400"/>
      <c r="H423" s="396"/>
    </row>
    <row r="424" spans="1:8" s="401" customFormat="1" ht="14.25" customHeight="1" x14ac:dyDescent="0.25">
      <c r="A424" s="564">
        <v>2590</v>
      </c>
      <c r="B424" s="562" t="s">
        <v>794</v>
      </c>
      <c r="C424" s="403">
        <v>375</v>
      </c>
      <c r="D424" s="400"/>
      <c r="E424" s="400"/>
      <c r="F424" s="400"/>
      <c r="G424" s="400"/>
      <c r="H424" s="396"/>
    </row>
    <row r="425" spans="1:8" s="401" customFormat="1" ht="14.25" customHeight="1" x14ac:dyDescent="0.25">
      <c r="A425" s="564">
        <v>2593</v>
      </c>
      <c r="B425" s="562" t="s">
        <v>791</v>
      </c>
      <c r="C425" s="403">
        <v>6210</v>
      </c>
      <c r="D425" s="400"/>
      <c r="E425" s="400"/>
      <c r="F425" s="400"/>
      <c r="G425" s="400"/>
      <c r="H425" s="396"/>
    </row>
    <row r="426" spans="1:8" s="401" customFormat="1" ht="14.25" customHeight="1" x14ac:dyDescent="0.25">
      <c r="A426" s="564">
        <v>2595</v>
      </c>
      <c r="B426" s="562" t="s">
        <v>791</v>
      </c>
      <c r="C426" s="403">
        <v>1764</v>
      </c>
      <c r="D426" s="400"/>
      <c r="E426" s="400"/>
      <c r="F426" s="400"/>
      <c r="G426" s="400"/>
      <c r="H426" s="396"/>
    </row>
    <row r="427" spans="1:8" s="401" customFormat="1" ht="14.25" customHeight="1" x14ac:dyDescent="0.25">
      <c r="A427" s="564">
        <v>2598</v>
      </c>
      <c r="B427" s="562" t="s">
        <v>790</v>
      </c>
      <c r="C427" s="403">
        <v>16445</v>
      </c>
      <c r="D427" s="400"/>
      <c r="E427" s="400"/>
      <c r="F427" s="400"/>
      <c r="G427" s="400"/>
      <c r="H427" s="396"/>
    </row>
    <row r="428" spans="1:8" s="401" customFormat="1" ht="14.25" customHeight="1" x14ac:dyDescent="0.25">
      <c r="A428" s="564">
        <v>2601</v>
      </c>
      <c r="B428" s="562" t="s">
        <v>790</v>
      </c>
      <c r="C428" s="403">
        <v>1</v>
      </c>
      <c r="D428" s="400"/>
      <c r="E428" s="400"/>
      <c r="F428" s="400"/>
      <c r="G428" s="400"/>
      <c r="H428" s="396"/>
    </row>
    <row r="429" spans="1:8" s="401" customFormat="1" ht="14.25" customHeight="1" x14ac:dyDescent="0.25">
      <c r="A429" s="564">
        <v>2604</v>
      </c>
      <c r="B429" s="562" t="s">
        <v>786</v>
      </c>
      <c r="C429" s="403">
        <v>937</v>
      </c>
      <c r="D429" s="400"/>
      <c r="E429" s="400"/>
      <c r="F429" s="400"/>
      <c r="G429" s="400"/>
      <c r="H429" s="396"/>
    </row>
    <row r="430" spans="1:8" s="401" customFormat="1" ht="14.25" customHeight="1" x14ac:dyDescent="0.25">
      <c r="A430" s="564">
        <v>2606</v>
      </c>
      <c r="B430" s="562" t="s">
        <v>786</v>
      </c>
      <c r="C430" s="403">
        <v>1</v>
      </c>
      <c r="D430" s="400"/>
      <c r="E430" s="400"/>
      <c r="F430" s="400"/>
      <c r="G430" s="400"/>
      <c r="H430" s="396"/>
    </row>
    <row r="431" spans="1:8" s="401" customFormat="1" ht="14.25" customHeight="1" x14ac:dyDescent="0.25">
      <c r="A431" s="564">
        <v>2609</v>
      </c>
      <c r="B431" s="562" t="s">
        <v>786</v>
      </c>
      <c r="C431" s="403">
        <v>1</v>
      </c>
      <c r="D431" s="400"/>
      <c r="E431" s="400"/>
      <c r="F431" s="400"/>
      <c r="G431" s="400"/>
      <c r="H431" s="396"/>
    </row>
    <row r="432" spans="1:8" s="401" customFormat="1" ht="14.25" customHeight="1" x14ac:dyDescent="0.25">
      <c r="A432" s="564">
        <v>2610</v>
      </c>
      <c r="B432" s="562" t="s">
        <v>786</v>
      </c>
      <c r="C432" s="403">
        <v>1</v>
      </c>
      <c r="D432" s="400"/>
      <c r="E432" s="400"/>
      <c r="F432" s="400"/>
      <c r="G432" s="400"/>
      <c r="H432" s="396"/>
    </row>
    <row r="433" spans="1:8" s="401" customFormat="1" ht="14.25" customHeight="1" x14ac:dyDescent="0.25">
      <c r="A433" s="564">
        <v>2612</v>
      </c>
      <c r="B433" s="562" t="s">
        <v>786</v>
      </c>
      <c r="C433" s="403">
        <v>1</v>
      </c>
      <c r="D433" s="400"/>
      <c r="E433" s="400"/>
      <c r="F433" s="400"/>
      <c r="G433" s="400"/>
      <c r="H433" s="396"/>
    </row>
    <row r="434" spans="1:8" s="401" customFormat="1" ht="14.25" customHeight="1" x14ac:dyDescent="0.25">
      <c r="A434" s="564">
        <v>2614</v>
      </c>
      <c r="B434" s="562" t="s">
        <v>786</v>
      </c>
      <c r="C434" s="403">
        <v>1</v>
      </c>
      <c r="D434" s="400"/>
      <c r="E434" s="400"/>
      <c r="F434" s="400"/>
      <c r="G434" s="400"/>
      <c r="H434" s="396"/>
    </row>
    <row r="435" spans="1:8" s="401" customFormat="1" ht="14.25" customHeight="1" x14ac:dyDescent="0.25">
      <c r="A435" s="564">
        <v>2618</v>
      </c>
      <c r="B435" s="562" t="s">
        <v>786</v>
      </c>
      <c r="C435" s="403">
        <v>1</v>
      </c>
      <c r="D435" s="400"/>
      <c r="E435" s="400"/>
      <c r="F435" s="400"/>
      <c r="G435" s="400"/>
      <c r="H435" s="396"/>
    </row>
    <row r="436" spans="1:8" s="401" customFormat="1" ht="14.25" customHeight="1" x14ac:dyDescent="0.25">
      <c r="A436" s="564">
        <v>2620</v>
      </c>
      <c r="B436" s="562" t="s">
        <v>786</v>
      </c>
      <c r="C436" s="403">
        <v>1</v>
      </c>
      <c r="D436" s="400"/>
      <c r="E436" s="400"/>
      <c r="F436" s="400"/>
      <c r="G436" s="400"/>
      <c r="H436" s="396"/>
    </row>
    <row r="437" spans="1:8" s="401" customFormat="1" ht="14.25" customHeight="1" x14ac:dyDescent="0.25">
      <c r="A437" s="564">
        <v>2622</v>
      </c>
      <c r="B437" s="562" t="s">
        <v>786</v>
      </c>
      <c r="C437" s="403">
        <v>1</v>
      </c>
      <c r="D437" s="400"/>
      <c r="E437" s="400"/>
      <c r="F437" s="400"/>
      <c r="G437" s="400"/>
      <c r="H437" s="396"/>
    </row>
    <row r="438" spans="1:8" s="401" customFormat="1" ht="14.25" customHeight="1" x14ac:dyDescent="0.25">
      <c r="A438" s="564">
        <v>2625</v>
      </c>
      <c r="B438" s="562" t="s">
        <v>786</v>
      </c>
      <c r="C438" s="403">
        <v>1</v>
      </c>
      <c r="D438" s="400"/>
      <c r="E438" s="400"/>
      <c r="F438" s="400"/>
      <c r="G438" s="400"/>
      <c r="H438" s="396"/>
    </row>
    <row r="439" spans="1:8" s="401" customFormat="1" ht="14.25" customHeight="1" x14ac:dyDescent="0.25">
      <c r="A439" s="564">
        <v>2627</v>
      </c>
      <c r="B439" s="562" t="s">
        <v>786</v>
      </c>
      <c r="C439" s="403">
        <v>1</v>
      </c>
      <c r="D439" s="400"/>
      <c r="E439" s="400"/>
      <c r="F439" s="400"/>
      <c r="G439" s="400"/>
      <c r="H439" s="396"/>
    </row>
    <row r="440" spans="1:8" s="401" customFormat="1" ht="14.25" customHeight="1" x14ac:dyDescent="0.25">
      <c r="A440" s="564">
        <v>2628</v>
      </c>
      <c r="B440" s="562" t="s">
        <v>786</v>
      </c>
      <c r="C440" s="403">
        <v>1</v>
      </c>
      <c r="D440" s="400"/>
      <c r="E440" s="400"/>
      <c r="F440" s="400"/>
      <c r="G440" s="400"/>
      <c r="H440" s="396"/>
    </row>
    <row r="441" spans="1:8" s="401" customFormat="1" ht="14.25" customHeight="1" x14ac:dyDescent="0.25">
      <c r="A441" s="564">
        <v>2630</v>
      </c>
      <c r="B441" s="562" t="s">
        <v>786</v>
      </c>
      <c r="C441" s="403">
        <v>1</v>
      </c>
      <c r="D441" s="400"/>
      <c r="E441" s="400"/>
      <c r="F441" s="400"/>
      <c r="G441" s="400"/>
      <c r="H441" s="396"/>
    </row>
    <row r="442" spans="1:8" s="401" customFormat="1" ht="14.25" customHeight="1" x14ac:dyDescent="0.25">
      <c r="A442" s="564">
        <v>2632</v>
      </c>
      <c r="B442" s="562" t="s">
        <v>786</v>
      </c>
      <c r="C442" s="403">
        <v>937</v>
      </c>
      <c r="D442" s="400"/>
      <c r="E442" s="400"/>
      <c r="F442" s="400"/>
      <c r="G442" s="400"/>
      <c r="H442" s="396"/>
    </row>
    <row r="443" spans="1:8" s="401" customFormat="1" ht="14.25" customHeight="1" x14ac:dyDescent="0.25">
      <c r="A443" s="564">
        <v>2634</v>
      </c>
      <c r="B443" s="562" t="s">
        <v>786</v>
      </c>
      <c r="C443" s="403">
        <v>1</v>
      </c>
      <c r="D443" s="400"/>
      <c r="E443" s="400"/>
      <c r="F443" s="400"/>
      <c r="G443" s="400"/>
      <c r="H443" s="396"/>
    </row>
    <row r="444" spans="1:8" s="401" customFormat="1" ht="14.25" customHeight="1" x14ac:dyDescent="0.25">
      <c r="A444" s="564">
        <v>2639</v>
      </c>
      <c r="B444" s="562" t="s">
        <v>786</v>
      </c>
      <c r="C444" s="403">
        <v>1</v>
      </c>
      <c r="D444" s="400"/>
      <c r="E444" s="400"/>
      <c r="F444" s="400"/>
      <c r="G444" s="400"/>
      <c r="H444" s="396"/>
    </row>
    <row r="445" spans="1:8" s="401" customFormat="1" ht="14.25" customHeight="1" x14ac:dyDescent="0.25">
      <c r="A445" s="564">
        <v>2642</v>
      </c>
      <c r="B445" s="562" t="s">
        <v>786</v>
      </c>
      <c r="C445" s="403">
        <v>1</v>
      </c>
      <c r="D445" s="400"/>
      <c r="E445" s="400"/>
      <c r="F445" s="400"/>
      <c r="G445" s="400"/>
      <c r="H445" s="396"/>
    </row>
    <row r="446" spans="1:8" s="401" customFormat="1" ht="14.25" customHeight="1" x14ac:dyDescent="0.25">
      <c r="A446" s="564">
        <v>2645</v>
      </c>
      <c r="B446" s="562" t="s">
        <v>786</v>
      </c>
      <c r="C446" s="403">
        <v>1</v>
      </c>
      <c r="D446" s="400"/>
      <c r="E446" s="400"/>
      <c r="F446" s="400"/>
      <c r="G446" s="400"/>
      <c r="H446" s="396"/>
    </row>
    <row r="447" spans="1:8" s="401" customFormat="1" ht="14.25" customHeight="1" x14ac:dyDescent="0.25">
      <c r="A447" s="564">
        <v>2647</v>
      </c>
      <c r="B447" s="562" t="s">
        <v>786</v>
      </c>
      <c r="C447" s="403">
        <v>1</v>
      </c>
      <c r="D447" s="400"/>
      <c r="E447" s="400"/>
      <c r="F447" s="400"/>
      <c r="G447" s="400"/>
      <c r="H447" s="396"/>
    </row>
    <row r="448" spans="1:8" s="401" customFormat="1" ht="14.25" customHeight="1" x14ac:dyDescent="0.25">
      <c r="A448" s="564">
        <v>2649</v>
      </c>
      <c r="B448" s="562" t="s">
        <v>786</v>
      </c>
      <c r="C448" s="403">
        <v>1</v>
      </c>
      <c r="D448" s="400"/>
      <c r="E448" s="400"/>
      <c r="F448" s="400"/>
      <c r="G448" s="400"/>
      <c r="H448" s="396"/>
    </row>
    <row r="449" spans="1:8" s="401" customFormat="1" ht="14.25" customHeight="1" x14ac:dyDescent="0.25">
      <c r="A449" s="564">
        <v>2651</v>
      </c>
      <c r="B449" s="562" t="s">
        <v>786</v>
      </c>
      <c r="C449" s="403">
        <v>1</v>
      </c>
      <c r="D449" s="400"/>
      <c r="E449" s="400"/>
      <c r="F449" s="400"/>
      <c r="G449" s="400"/>
      <c r="H449" s="396"/>
    </row>
    <row r="450" spans="1:8" s="401" customFormat="1" ht="14.25" customHeight="1" x14ac:dyDescent="0.25">
      <c r="A450" s="564">
        <v>2654</v>
      </c>
      <c r="B450" s="562" t="s">
        <v>786</v>
      </c>
      <c r="C450" s="403">
        <v>1</v>
      </c>
      <c r="D450" s="400"/>
      <c r="E450" s="400"/>
      <c r="F450" s="400"/>
      <c r="G450" s="400"/>
      <c r="H450" s="396"/>
    </row>
    <row r="451" spans="1:8" s="401" customFormat="1" ht="14.25" customHeight="1" x14ac:dyDescent="0.25">
      <c r="A451" s="564">
        <v>2656</v>
      </c>
      <c r="B451" s="562" t="s">
        <v>786</v>
      </c>
      <c r="C451" s="403">
        <v>1</v>
      </c>
      <c r="D451" s="400"/>
      <c r="E451" s="400"/>
      <c r="F451" s="400"/>
      <c r="G451" s="400"/>
      <c r="H451" s="396"/>
    </row>
    <row r="452" spans="1:8" s="401" customFormat="1" ht="14.25" customHeight="1" x14ac:dyDescent="0.25">
      <c r="A452" s="564">
        <v>2659</v>
      </c>
      <c r="B452" s="562" t="s">
        <v>786</v>
      </c>
      <c r="C452" s="403">
        <v>1</v>
      </c>
      <c r="D452" s="400"/>
      <c r="E452" s="400"/>
      <c r="F452" s="400"/>
      <c r="G452" s="400"/>
      <c r="H452" s="396"/>
    </row>
    <row r="453" spans="1:8" s="401" customFormat="1" ht="14.25" customHeight="1" x14ac:dyDescent="0.25">
      <c r="A453" s="564">
        <v>2662</v>
      </c>
      <c r="B453" s="562" t="s">
        <v>786</v>
      </c>
      <c r="C453" s="403">
        <v>1</v>
      </c>
      <c r="D453" s="400"/>
      <c r="E453" s="400"/>
      <c r="F453" s="400"/>
      <c r="G453" s="400"/>
      <c r="H453" s="396"/>
    </row>
    <row r="454" spans="1:8" s="401" customFormat="1" ht="14.25" customHeight="1" x14ac:dyDescent="0.25">
      <c r="A454" s="564">
        <v>2664</v>
      </c>
      <c r="B454" s="562" t="s">
        <v>786</v>
      </c>
      <c r="C454" s="403">
        <v>1</v>
      </c>
      <c r="D454" s="400"/>
      <c r="E454" s="400"/>
      <c r="F454" s="400"/>
      <c r="G454" s="400"/>
      <c r="H454" s="396"/>
    </row>
    <row r="455" spans="1:8" s="401" customFormat="1" ht="14.25" customHeight="1" x14ac:dyDescent="0.25">
      <c r="A455" s="564">
        <v>2665</v>
      </c>
      <c r="B455" s="562" t="s">
        <v>786</v>
      </c>
      <c r="C455" s="403">
        <v>1</v>
      </c>
      <c r="D455" s="400"/>
      <c r="E455" s="400"/>
      <c r="F455" s="400"/>
      <c r="G455" s="400"/>
      <c r="H455" s="396"/>
    </row>
    <row r="456" spans="1:8" s="401" customFormat="1" ht="14.25" customHeight="1" x14ac:dyDescent="0.25">
      <c r="A456" s="564">
        <v>2667</v>
      </c>
      <c r="B456" s="562" t="s">
        <v>786</v>
      </c>
      <c r="C456" s="403">
        <v>1</v>
      </c>
      <c r="D456" s="400"/>
      <c r="E456" s="400"/>
      <c r="F456" s="400"/>
      <c r="G456" s="400"/>
      <c r="H456" s="396"/>
    </row>
    <row r="457" spans="1:8" s="401" customFormat="1" ht="14.25" customHeight="1" x14ac:dyDescent="0.25">
      <c r="A457" s="564">
        <v>2676</v>
      </c>
      <c r="B457" s="562" t="s">
        <v>795</v>
      </c>
      <c r="C457" s="403">
        <v>3321</v>
      </c>
      <c r="D457" s="400"/>
      <c r="E457" s="400"/>
      <c r="F457" s="400"/>
      <c r="G457" s="400"/>
      <c r="H457" s="396"/>
    </row>
    <row r="458" spans="1:8" s="401" customFormat="1" ht="14.25" customHeight="1" x14ac:dyDescent="0.25">
      <c r="A458" s="564">
        <v>2679</v>
      </c>
      <c r="B458" s="562" t="s">
        <v>785</v>
      </c>
      <c r="C458" s="403">
        <v>1</v>
      </c>
      <c r="D458" s="400"/>
      <c r="E458" s="400"/>
      <c r="F458" s="400"/>
      <c r="G458" s="400"/>
      <c r="H458" s="396"/>
    </row>
    <row r="459" spans="1:8" s="401" customFormat="1" ht="14.25" customHeight="1" x14ac:dyDescent="0.25">
      <c r="A459" s="564">
        <v>2682</v>
      </c>
      <c r="B459" s="562" t="s">
        <v>786</v>
      </c>
      <c r="C459" s="403">
        <v>1</v>
      </c>
      <c r="D459" s="400"/>
      <c r="E459" s="400"/>
      <c r="F459" s="400"/>
      <c r="G459" s="400"/>
      <c r="H459" s="396"/>
    </row>
    <row r="460" spans="1:8" s="401" customFormat="1" ht="14.25" customHeight="1" x14ac:dyDescent="0.25">
      <c r="A460" s="564">
        <v>147</v>
      </c>
      <c r="B460" s="562" t="s">
        <v>791</v>
      </c>
      <c r="C460" s="403">
        <v>2616</v>
      </c>
      <c r="D460" s="400"/>
      <c r="E460" s="400"/>
      <c r="F460" s="400"/>
      <c r="G460" s="400"/>
      <c r="H460" s="396"/>
    </row>
    <row r="461" spans="1:8" s="401" customFormat="1" ht="14.25" customHeight="1" x14ac:dyDescent="0.25">
      <c r="A461" s="564">
        <v>149</v>
      </c>
      <c r="B461" s="562" t="s">
        <v>791</v>
      </c>
      <c r="C461" s="403">
        <v>2616</v>
      </c>
      <c r="D461" s="400"/>
      <c r="E461" s="400"/>
      <c r="F461" s="400"/>
      <c r="G461" s="400"/>
      <c r="H461" s="396"/>
    </row>
    <row r="462" spans="1:8" s="401" customFormat="1" ht="14.25" customHeight="1" x14ac:dyDescent="0.25">
      <c r="A462" s="564">
        <v>151</v>
      </c>
      <c r="B462" s="562" t="s">
        <v>791</v>
      </c>
      <c r="C462" s="403">
        <v>2616</v>
      </c>
      <c r="D462" s="400"/>
      <c r="E462" s="400"/>
      <c r="F462" s="400"/>
      <c r="G462" s="400"/>
      <c r="H462" s="396"/>
    </row>
    <row r="463" spans="1:8" s="401" customFormat="1" ht="14.25" customHeight="1" x14ac:dyDescent="0.25">
      <c r="A463" s="564">
        <v>153</v>
      </c>
      <c r="B463" s="562" t="s">
        <v>791</v>
      </c>
      <c r="C463" s="403">
        <v>2616</v>
      </c>
      <c r="D463" s="400"/>
      <c r="E463" s="400"/>
      <c r="F463" s="400"/>
      <c r="G463" s="400"/>
      <c r="H463" s="396"/>
    </row>
    <row r="464" spans="1:8" s="401" customFormat="1" ht="14.25" customHeight="1" x14ac:dyDescent="0.25">
      <c r="A464" s="564">
        <v>155</v>
      </c>
      <c r="B464" s="562" t="s">
        <v>791</v>
      </c>
      <c r="C464" s="403">
        <v>2616</v>
      </c>
      <c r="D464" s="400"/>
      <c r="E464" s="400"/>
      <c r="F464" s="400"/>
      <c r="G464" s="400"/>
      <c r="H464" s="396"/>
    </row>
    <row r="465" spans="1:8" s="401" customFormat="1" ht="14.25" customHeight="1" x14ac:dyDescent="0.25">
      <c r="A465" s="564">
        <v>157</v>
      </c>
      <c r="B465" s="562" t="s">
        <v>791</v>
      </c>
      <c r="C465" s="403">
        <v>2616</v>
      </c>
      <c r="D465" s="400"/>
      <c r="E465" s="400"/>
      <c r="F465" s="400"/>
      <c r="G465" s="400"/>
      <c r="H465" s="396"/>
    </row>
    <row r="466" spans="1:8" s="401" customFormat="1" ht="14.25" customHeight="1" x14ac:dyDescent="0.25">
      <c r="A466" s="564">
        <v>160</v>
      </c>
      <c r="B466" s="562" t="s">
        <v>791</v>
      </c>
      <c r="C466" s="403">
        <v>2616</v>
      </c>
      <c r="D466" s="400"/>
      <c r="E466" s="400"/>
      <c r="F466" s="400"/>
      <c r="G466" s="400"/>
      <c r="H466" s="396"/>
    </row>
    <row r="467" spans="1:8" s="401" customFormat="1" ht="14.25" customHeight="1" x14ac:dyDescent="0.25">
      <c r="A467" s="564">
        <v>166</v>
      </c>
      <c r="B467" s="562" t="s">
        <v>787</v>
      </c>
      <c r="C467" s="403">
        <v>8731</v>
      </c>
      <c r="D467" s="400"/>
      <c r="E467" s="400"/>
      <c r="F467" s="400"/>
      <c r="G467" s="400"/>
      <c r="H467" s="396"/>
    </row>
    <row r="468" spans="1:8" s="401" customFormat="1" ht="14.25" customHeight="1" x14ac:dyDescent="0.25">
      <c r="A468" s="564">
        <v>170</v>
      </c>
      <c r="B468" s="562" t="s">
        <v>787</v>
      </c>
      <c r="C468" s="403">
        <v>4926</v>
      </c>
      <c r="D468" s="400"/>
      <c r="E468" s="400"/>
      <c r="F468" s="400"/>
      <c r="G468" s="400"/>
      <c r="H468" s="396"/>
    </row>
    <row r="469" spans="1:8" s="401" customFormat="1" ht="14.25" customHeight="1" x14ac:dyDescent="0.25">
      <c r="A469" s="564">
        <v>174</v>
      </c>
      <c r="B469" s="562" t="s">
        <v>787</v>
      </c>
      <c r="C469" s="403">
        <v>4926</v>
      </c>
      <c r="D469" s="400"/>
      <c r="E469" s="400"/>
      <c r="F469" s="400"/>
      <c r="G469" s="400"/>
      <c r="H469" s="396"/>
    </row>
    <row r="470" spans="1:8" s="401" customFormat="1" ht="14.25" customHeight="1" x14ac:dyDescent="0.25">
      <c r="A470" s="564">
        <v>185</v>
      </c>
      <c r="B470" s="562" t="s">
        <v>787</v>
      </c>
      <c r="C470" s="403">
        <v>4926</v>
      </c>
      <c r="D470" s="400"/>
      <c r="E470" s="400"/>
      <c r="F470" s="400"/>
      <c r="G470" s="400"/>
      <c r="H470" s="396"/>
    </row>
    <row r="471" spans="1:8" s="401" customFormat="1" ht="14.25" customHeight="1" x14ac:dyDescent="0.25">
      <c r="A471" s="564">
        <v>188</v>
      </c>
      <c r="B471" s="562" t="s">
        <v>788</v>
      </c>
      <c r="C471" s="403">
        <v>4186</v>
      </c>
      <c r="D471" s="400"/>
      <c r="E471" s="400"/>
      <c r="F471" s="400"/>
      <c r="G471" s="400"/>
      <c r="H471" s="396"/>
    </row>
    <row r="472" spans="1:8" s="401" customFormat="1" ht="14.25" customHeight="1" x14ac:dyDescent="0.25">
      <c r="A472" s="564">
        <v>195</v>
      </c>
      <c r="B472" s="562" t="s">
        <v>790</v>
      </c>
      <c r="C472" s="403">
        <v>2467</v>
      </c>
      <c r="D472" s="400"/>
      <c r="E472" s="400"/>
      <c r="F472" s="400"/>
      <c r="G472" s="400"/>
      <c r="H472" s="396"/>
    </row>
    <row r="473" spans="1:8" s="401" customFormat="1" ht="14.25" customHeight="1" x14ac:dyDescent="0.25">
      <c r="A473" s="564">
        <v>200</v>
      </c>
      <c r="B473" s="562" t="s">
        <v>785</v>
      </c>
      <c r="C473" s="403">
        <v>501</v>
      </c>
      <c r="D473" s="400"/>
      <c r="E473" s="400"/>
      <c r="F473" s="400"/>
      <c r="G473" s="400"/>
      <c r="H473" s="396"/>
    </row>
    <row r="474" spans="1:8" s="401" customFormat="1" ht="14.25" customHeight="1" x14ac:dyDescent="0.25">
      <c r="A474" s="564">
        <v>202</v>
      </c>
      <c r="B474" s="562" t="s">
        <v>785</v>
      </c>
      <c r="C474" s="403">
        <v>501</v>
      </c>
      <c r="D474" s="400"/>
      <c r="E474" s="400"/>
      <c r="F474" s="400"/>
      <c r="G474" s="400"/>
      <c r="H474" s="396"/>
    </row>
    <row r="475" spans="1:8" s="401" customFormat="1" ht="14.25" customHeight="1" x14ac:dyDescent="0.25">
      <c r="A475" s="564">
        <v>204</v>
      </c>
      <c r="B475" s="562" t="s">
        <v>785</v>
      </c>
      <c r="C475" s="403">
        <v>501</v>
      </c>
      <c r="D475" s="400"/>
      <c r="E475" s="400"/>
      <c r="F475" s="400"/>
      <c r="G475" s="400"/>
      <c r="H475" s="396"/>
    </row>
    <row r="476" spans="1:8" s="401" customFormat="1" ht="14.25" customHeight="1" x14ac:dyDescent="0.25">
      <c r="A476" s="564">
        <v>207</v>
      </c>
      <c r="B476" s="562" t="s">
        <v>785</v>
      </c>
      <c r="C476" s="403">
        <v>501</v>
      </c>
      <c r="D476" s="400"/>
      <c r="E476" s="400"/>
      <c r="F476" s="400"/>
      <c r="G476" s="400"/>
      <c r="H476" s="396"/>
    </row>
    <row r="477" spans="1:8" s="401" customFormat="1" ht="14.25" customHeight="1" x14ac:dyDescent="0.25">
      <c r="A477" s="564">
        <v>211</v>
      </c>
      <c r="B477" s="562" t="s">
        <v>785</v>
      </c>
      <c r="C477" s="403">
        <v>501</v>
      </c>
      <c r="D477" s="400"/>
      <c r="E477" s="400"/>
      <c r="F477" s="400"/>
      <c r="G477" s="400"/>
      <c r="H477" s="396"/>
    </row>
    <row r="478" spans="1:8" s="401" customFormat="1" ht="14.25" customHeight="1" x14ac:dyDescent="0.25">
      <c r="A478" s="564">
        <v>219</v>
      </c>
      <c r="B478" s="562" t="s">
        <v>785</v>
      </c>
      <c r="C478" s="403">
        <v>679</v>
      </c>
      <c r="D478" s="400"/>
      <c r="E478" s="400"/>
      <c r="F478" s="400"/>
      <c r="G478" s="400"/>
      <c r="H478" s="396"/>
    </row>
    <row r="479" spans="1:8" s="401" customFormat="1" ht="14.25" customHeight="1" x14ac:dyDescent="0.25">
      <c r="A479" s="564">
        <v>222</v>
      </c>
      <c r="B479" s="562" t="s">
        <v>785</v>
      </c>
      <c r="C479" s="403">
        <v>679</v>
      </c>
      <c r="D479" s="400"/>
      <c r="E479" s="400"/>
      <c r="F479" s="400"/>
      <c r="G479" s="400"/>
      <c r="H479" s="396"/>
    </row>
    <row r="480" spans="1:8" s="401" customFormat="1" ht="14.25" customHeight="1" x14ac:dyDescent="0.25">
      <c r="A480" s="564">
        <v>224</v>
      </c>
      <c r="B480" s="562" t="s">
        <v>785</v>
      </c>
      <c r="C480" s="403">
        <v>679</v>
      </c>
      <c r="D480" s="400"/>
      <c r="E480" s="400"/>
      <c r="F480" s="400"/>
      <c r="G480" s="400"/>
      <c r="H480" s="396"/>
    </row>
    <row r="481" spans="1:8" s="401" customFormat="1" ht="14.25" customHeight="1" x14ac:dyDescent="0.25">
      <c r="A481" s="564">
        <v>228</v>
      </c>
      <c r="B481" s="562" t="s">
        <v>785</v>
      </c>
      <c r="C481" s="403">
        <v>679</v>
      </c>
      <c r="D481" s="400"/>
      <c r="E481" s="400"/>
      <c r="F481" s="400"/>
      <c r="G481" s="400"/>
      <c r="H481" s="396"/>
    </row>
    <row r="482" spans="1:8" s="401" customFormat="1" ht="14.25" customHeight="1" x14ac:dyDescent="0.25">
      <c r="A482" s="564">
        <v>230</v>
      </c>
      <c r="B482" s="562" t="s">
        <v>785</v>
      </c>
      <c r="C482" s="403">
        <v>679</v>
      </c>
      <c r="D482" s="400"/>
      <c r="E482" s="400"/>
      <c r="F482" s="400"/>
      <c r="G482" s="400"/>
      <c r="H482" s="396"/>
    </row>
    <row r="483" spans="1:8" s="401" customFormat="1" ht="14.25" customHeight="1" x14ac:dyDescent="0.25">
      <c r="A483" s="564">
        <v>233</v>
      </c>
      <c r="B483" s="562" t="s">
        <v>785</v>
      </c>
      <c r="C483" s="403">
        <v>679</v>
      </c>
      <c r="D483" s="400"/>
      <c r="E483" s="400"/>
      <c r="F483" s="400"/>
      <c r="G483" s="400"/>
      <c r="H483" s="396"/>
    </row>
    <row r="484" spans="1:8" s="401" customFormat="1" ht="14.25" customHeight="1" x14ac:dyDescent="0.25">
      <c r="A484" s="564">
        <v>237</v>
      </c>
      <c r="B484" s="562" t="s">
        <v>786</v>
      </c>
      <c r="C484" s="403">
        <v>2018</v>
      </c>
      <c r="D484" s="400"/>
      <c r="E484" s="400"/>
      <c r="F484" s="400"/>
      <c r="G484" s="400"/>
      <c r="H484" s="396"/>
    </row>
    <row r="485" spans="1:8" s="401" customFormat="1" ht="14.25" customHeight="1" x14ac:dyDescent="0.25">
      <c r="A485" s="564">
        <v>242</v>
      </c>
      <c r="B485" s="562" t="s">
        <v>786</v>
      </c>
      <c r="C485" s="403">
        <v>1405</v>
      </c>
      <c r="D485" s="400"/>
      <c r="E485" s="400"/>
      <c r="F485" s="400"/>
      <c r="G485" s="400"/>
      <c r="H485" s="396"/>
    </row>
    <row r="486" spans="1:8" s="401" customFormat="1" ht="14.25" customHeight="1" x14ac:dyDescent="0.25">
      <c r="A486" s="564">
        <v>245</v>
      </c>
      <c r="B486" s="562" t="s">
        <v>786</v>
      </c>
      <c r="C486" s="403">
        <v>1405</v>
      </c>
      <c r="D486" s="400"/>
      <c r="E486" s="400"/>
      <c r="F486" s="400"/>
      <c r="G486" s="400"/>
      <c r="H486" s="396"/>
    </row>
    <row r="487" spans="1:8" s="401" customFormat="1" ht="14.25" customHeight="1" x14ac:dyDescent="0.25">
      <c r="A487" s="564">
        <v>246</v>
      </c>
      <c r="B487" s="562" t="s">
        <v>786</v>
      </c>
      <c r="C487" s="403">
        <v>1405</v>
      </c>
      <c r="D487" s="400"/>
      <c r="E487" s="400"/>
      <c r="F487" s="400"/>
      <c r="G487" s="400"/>
      <c r="H487" s="396"/>
    </row>
    <row r="488" spans="1:8" s="401" customFormat="1" ht="14.25" customHeight="1" x14ac:dyDescent="0.25">
      <c r="A488" s="564">
        <v>249</v>
      </c>
      <c r="B488" s="562" t="s">
        <v>795</v>
      </c>
      <c r="C488" s="403">
        <v>6802</v>
      </c>
      <c r="D488" s="400"/>
      <c r="E488" s="400"/>
      <c r="F488" s="400"/>
      <c r="G488" s="400"/>
      <c r="H488" s="396"/>
    </row>
    <row r="489" spans="1:8" s="401" customFormat="1" ht="14.25" customHeight="1" x14ac:dyDescent="0.25">
      <c r="A489" s="564">
        <v>260</v>
      </c>
      <c r="B489" s="562" t="s">
        <v>786</v>
      </c>
      <c r="C489" s="403">
        <v>1898</v>
      </c>
      <c r="D489" s="400"/>
      <c r="E489" s="400"/>
      <c r="F489" s="400"/>
      <c r="G489" s="400"/>
      <c r="H489" s="396"/>
    </row>
    <row r="490" spans="1:8" s="401" customFormat="1" ht="14.25" customHeight="1" x14ac:dyDescent="0.25">
      <c r="A490" s="564">
        <v>263</v>
      </c>
      <c r="B490" s="562" t="s">
        <v>798</v>
      </c>
      <c r="C490" s="403">
        <v>3392</v>
      </c>
      <c r="D490" s="400"/>
      <c r="E490" s="400"/>
      <c r="F490" s="400"/>
      <c r="G490" s="400"/>
      <c r="H490" s="396"/>
    </row>
    <row r="491" spans="1:8" s="401" customFormat="1" ht="14.25" customHeight="1" x14ac:dyDescent="0.25">
      <c r="A491" s="564">
        <v>265</v>
      </c>
      <c r="B491" s="562" t="s">
        <v>815</v>
      </c>
      <c r="C491" s="403">
        <v>1</v>
      </c>
      <c r="D491" s="400"/>
      <c r="E491" s="400"/>
      <c r="F491" s="400"/>
      <c r="G491" s="400"/>
      <c r="H491" s="396"/>
    </row>
    <row r="492" spans="1:8" s="401" customFormat="1" ht="14.25" customHeight="1" x14ac:dyDescent="0.25">
      <c r="A492" s="564">
        <v>271</v>
      </c>
      <c r="B492" s="562" t="s">
        <v>786</v>
      </c>
      <c r="C492" s="403">
        <v>2185</v>
      </c>
      <c r="D492" s="400"/>
      <c r="E492" s="400"/>
      <c r="F492" s="400"/>
      <c r="G492" s="400"/>
      <c r="H492" s="396"/>
    </row>
    <row r="493" spans="1:8" s="401" customFormat="1" ht="14.25" customHeight="1" x14ac:dyDescent="0.25">
      <c r="A493" s="564">
        <v>275</v>
      </c>
      <c r="B493" s="562" t="s">
        <v>791</v>
      </c>
      <c r="C493" s="403">
        <v>2616</v>
      </c>
      <c r="D493" s="400"/>
      <c r="E493" s="400"/>
      <c r="F493" s="400"/>
      <c r="G493" s="400"/>
      <c r="H493" s="396"/>
    </row>
    <row r="494" spans="1:8" s="401" customFormat="1" ht="14.25" customHeight="1" x14ac:dyDescent="0.25">
      <c r="A494" s="564">
        <v>284</v>
      </c>
      <c r="B494" s="562" t="s">
        <v>816</v>
      </c>
      <c r="C494" s="403">
        <v>1484</v>
      </c>
      <c r="D494" s="400"/>
      <c r="E494" s="400"/>
      <c r="F494" s="400"/>
      <c r="G494" s="400"/>
      <c r="H494" s="396"/>
    </row>
    <row r="495" spans="1:8" s="401" customFormat="1" ht="14.25" customHeight="1" x14ac:dyDescent="0.25">
      <c r="A495" s="564">
        <v>286</v>
      </c>
      <c r="B495" s="562" t="s">
        <v>816</v>
      </c>
      <c r="C495" s="403">
        <v>1484</v>
      </c>
      <c r="D495" s="400"/>
      <c r="E495" s="400"/>
      <c r="F495" s="400"/>
      <c r="G495" s="400"/>
      <c r="H495" s="396"/>
    </row>
    <row r="496" spans="1:8" s="401" customFormat="1" ht="14.25" customHeight="1" x14ac:dyDescent="0.25">
      <c r="A496" s="564">
        <v>291</v>
      </c>
      <c r="B496" s="562" t="s">
        <v>816</v>
      </c>
      <c r="C496" s="403">
        <v>1679</v>
      </c>
      <c r="D496" s="400"/>
      <c r="E496" s="400"/>
      <c r="F496" s="400"/>
      <c r="G496" s="400"/>
      <c r="H496" s="396"/>
    </row>
    <row r="497" spans="1:8" s="401" customFormat="1" ht="14.25" customHeight="1" x14ac:dyDescent="0.25">
      <c r="A497" s="564">
        <v>323</v>
      </c>
      <c r="B497" s="562" t="s">
        <v>817</v>
      </c>
      <c r="C497" s="403">
        <v>1772.67</v>
      </c>
      <c r="D497" s="400"/>
      <c r="E497" s="400"/>
      <c r="F497" s="400"/>
      <c r="G497" s="400"/>
      <c r="H497" s="396"/>
    </row>
    <row r="498" spans="1:8" s="401" customFormat="1" ht="14.25" customHeight="1" x14ac:dyDescent="0.25">
      <c r="A498" s="564">
        <v>326</v>
      </c>
      <c r="B498" s="562" t="s">
        <v>791</v>
      </c>
      <c r="C498" s="403">
        <v>1961</v>
      </c>
      <c r="D498" s="400"/>
      <c r="E498" s="400"/>
      <c r="F498" s="400"/>
      <c r="G498" s="400"/>
      <c r="H498" s="396"/>
    </row>
    <row r="499" spans="1:8" s="401" customFormat="1" ht="14.25" customHeight="1" x14ac:dyDescent="0.25">
      <c r="A499" s="564">
        <v>327</v>
      </c>
      <c r="B499" s="562" t="s">
        <v>791</v>
      </c>
      <c r="C499" s="403">
        <v>3436</v>
      </c>
      <c r="D499" s="400"/>
      <c r="E499" s="400"/>
      <c r="F499" s="400"/>
      <c r="G499" s="400"/>
      <c r="H499" s="396"/>
    </row>
    <row r="500" spans="1:8" s="401" customFormat="1" ht="14.25" customHeight="1" x14ac:dyDescent="0.25">
      <c r="A500" s="564">
        <v>329</v>
      </c>
      <c r="B500" s="562" t="s">
        <v>787</v>
      </c>
      <c r="C500" s="403">
        <v>1890</v>
      </c>
      <c r="D500" s="400"/>
      <c r="E500" s="400"/>
      <c r="F500" s="400"/>
      <c r="G500" s="400"/>
      <c r="H500" s="396"/>
    </row>
    <row r="501" spans="1:8" s="401" customFormat="1" ht="14.25" customHeight="1" x14ac:dyDescent="0.25">
      <c r="A501" s="564">
        <v>332</v>
      </c>
      <c r="B501" s="562" t="s">
        <v>790</v>
      </c>
      <c r="C501" s="403">
        <v>1178</v>
      </c>
      <c r="D501" s="400"/>
      <c r="E501" s="400"/>
      <c r="F501" s="400"/>
      <c r="G501" s="400"/>
      <c r="H501" s="396"/>
    </row>
    <row r="502" spans="1:8" s="401" customFormat="1" ht="14.25" customHeight="1" x14ac:dyDescent="0.25">
      <c r="A502" s="564">
        <v>335</v>
      </c>
      <c r="B502" s="562" t="s">
        <v>785</v>
      </c>
      <c r="C502" s="403">
        <v>735</v>
      </c>
      <c r="D502" s="400"/>
      <c r="E502" s="400"/>
      <c r="F502" s="400"/>
      <c r="G502" s="400"/>
      <c r="H502" s="396"/>
    </row>
    <row r="503" spans="1:8" s="401" customFormat="1" ht="14.25" customHeight="1" x14ac:dyDescent="0.25">
      <c r="A503" s="564">
        <v>339</v>
      </c>
      <c r="B503" s="562" t="s">
        <v>785</v>
      </c>
      <c r="C503" s="403">
        <v>735</v>
      </c>
      <c r="D503" s="400"/>
      <c r="E503" s="400"/>
      <c r="F503" s="400"/>
      <c r="G503" s="400"/>
      <c r="H503" s="396"/>
    </row>
    <row r="504" spans="1:8" s="401" customFormat="1" ht="14.25" customHeight="1" x14ac:dyDescent="0.25">
      <c r="A504" s="564">
        <v>342</v>
      </c>
      <c r="B504" s="562" t="s">
        <v>785</v>
      </c>
      <c r="C504" s="403">
        <v>589</v>
      </c>
      <c r="D504" s="400"/>
      <c r="E504" s="400"/>
      <c r="F504" s="400"/>
      <c r="G504" s="400"/>
      <c r="H504" s="396"/>
    </row>
    <row r="505" spans="1:8" s="401" customFormat="1" ht="14.25" customHeight="1" x14ac:dyDescent="0.25">
      <c r="A505" s="564">
        <v>345</v>
      </c>
      <c r="B505" s="562" t="s">
        <v>794</v>
      </c>
      <c r="C505" s="403">
        <v>742.21</v>
      </c>
      <c r="D505" s="400"/>
      <c r="E505" s="400"/>
      <c r="F505" s="400"/>
      <c r="G505" s="400"/>
      <c r="H505" s="396"/>
    </row>
    <row r="506" spans="1:8" s="401" customFormat="1" ht="14.25" customHeight="1" x14ac:dyDescent="0.25">
      <c r="A506" s="564">
        <v>350</v>
      </c>
      <c r="B506" s="562" t="s">
        <v>813</v>
      </c>
      <c r="C506" s="403">
        <v>564.46</v>
      </c>
      <c r="D506" s="400"/>
      <c r="E506" s="400"/>
      <c r="F506" s="400"/>
      <c r="G506" s="400"/>
      <c r="H506" s="396"/>
    </row>
    <row r="507" spans="1:8" s="401" customFormat="1" ht="14.25" customHeight="1" x14ac:dyDescent="0.25">
      <c r="A507" s="564">
        <v>363</v>
      </c>
      <c r="B507" s="562" t="s">
        <v>786</v>
      </c>
      <c r="C507" s="403">
        <v>2277</v>
      </c>
      <c r="D507" s="400"/>
      <c r="E507" s="400"/>
      <c r="F507" s="400"/>
      <c r="G507" s="400"/>
      <c r="H507" s="396"/>
    </row>
    <row r="508" spans="1:8" s="401" customFormat="1" ht="14.25" customHeight="1" x14ac:dyDescent="0.25">
      <c r="A508" s="564">
        <v>364</v>
      </c>
      <c r="B508" s="562" t="s">
        <v>787</v>
      </c>
      <c r="C508" s="403">
        <v>2875</v>
      </c>
      <c r="D508" s="400"/>
      <c r="E508" s="400"/>
      <c r="F508" s="400"/>
      <c r="G508" s="400"/>
      <c r="H508" s="396"/>
    </row>
    <row r="509" spans="1:8" s="401" customFormat="1" ht="14.25" customHeight="1" x14ac:dyDescent="0.25">
      <c r="A509" s="564">
        <v>365</v>
      </c>
      <c r="B509" s="562" t="s">
        <v>787</v>
      </c>
      <c r="C509" s="403">
        <v>2875</v>
      </c>
      <c r="D509" s="400"/>
      <c r="E509" s="400"/>
      <c r="F509" s="400"/>
      <c r="G509" s="400"/>
      <c r="H509" s="396"/>
    </row>
    <row r="510" spans="1:8" s="401" customFormat="1" ht="14.25" customHeight="1" x14ac:dyDescent="0.25">
      <c r="A510" s="564">
        <v>368</v>
      </c>
      <c r="B510" s="562" t="s">
        <v>787</v>
      </c>
      <c r="C510" s="403">
        <v>2875</v>
      </c>
      <c r="D510" s="400"/>
      <c r="E510" s="400"/>
      <c r="F510" s="400"/>
      <c r="G510" s="400"/>
      <c r="H510" s="396"/>
    </row>
    <row r="511" spans="1:8" s="401" customFormat="1" ht="14.25" customHeight="1" x14ac:dyDescent="0.25">
      <c r="A511" s="564">
        <v>371</v>
      </c>
      <c r="B511" s="562" t="s">
        <v>787</v>
      </c>
      <c r="C511" s="403">
        <v>2875</v>
      </c>
      <c r="D511" s="400"/>
      <c r="E511" s="400"/>
      <c r="F511" s="400"/>
      <c r="G511" s="400"/>
      <c r="H511" s="396"/>
    </row>
    <row r="512" spans="1:8" s="401" customFormat="1" ht="14.25" customHeight="1" x14ac:dyDescent="0.25">
      <c r="A512" s="564">
        <v>376</v>
      </c>
      <c r="B512" s="562" t="s">
        <v>787</v>
      </c>
      <c r="C512" s="403">
        <v>7429</v>
      </c>
      <c r="D512" s="400"/>
      <c r="E512" s="400"/>
      <c r="F512" s="400"/>
      <c r="G512" s="400"/>
      <c r="H512" s="396"/>
    </row>
    <row r="513" spans="1:8" s="401" customFormat="1" ht="14.25" customHeight="1" x14ac:dyDescent="0.25">
      <c r="A513" s="564">
        <v>379</v>
      </c>
      <c r="B513" s="562" t="s">
        <v>787</v>
      </c>
      <c r="C513" s="403">
        <v>2875</v>
      </c>
      <c r="D513" s="400"/>
      <c r="E513" s="400"/>
      <c r="F513" s="400"/>
      <c r="G513" s="400"/>
      <c r="H513" s="396"/>
    </row>
    <row r="514" spans="1:8" s="401" customFormat="1" ht="14.25" customHeight="1" x14ac:dyDescent="0.25">
      <c r="A514" s="564">
        <v>381</v>
      </c>
      <c r="B514" s="562" t="s">
        <v>791</v>
      </c>
      <c r="C514" s="403">
        <v>3436</v>
      </c>
      <c r="D514" s="400"/>
      <c r="E514" s="400"/>
      <c r="F514" s="400"/>
      <c r="G514" s="400"/>
      <c r="H514" s="396"/>
    </row>
    <row r="515" spans="1:8" s="401" customFormat="1" ht="14.25" customHeight="1" x14ac:dyDescent="0.25">
      <c r="A515" s="564">
        <v>383</v>
      </c>
      <c r="B515" s="562" t="s">
        <v>787</v>
      </c>
      <c r="C515" s="403">
        <v>1890</v>
      </c>
      <c r="D515" s="400"/>
      <c r="E515" s="400"/>
      <c r="F515" s="400"/>
      <c r="G515" s="400"/>
      <c r="H515" s="396"/>
    </row>
    <row r="516" spans="1:8" s="401" customFormat="1" ht="14.25" customHeight="1" x14ac:dyDescent="0.25">
      <c r="A516" s="564">
        <v>385</v>
      </c>
      <c r="B516" s="562" t="s">
        <v>785</v>
      </c>
      <c r="C516" s="403">
        <v>735</v>
      </c>
      <c r="D516" s="400"/>
      <c r="E516" s="400"/>
      <c r="F516" s="400"/>
      <c r="G516" s="400"/>
      <c r="H516" s="396"/>
    </row>
    <row r="517" spans="1:8" s="401" customFormat="1" ht="14.25" customHeight="1" x14ac:dyDescent="0.25">
      <c r="A517" s="564">
        <v>386</v>
      </c>
      <c r="B517" s="562" t="s">
        <v>785</v>
      </c>
      <c r="C517" s="403">
        <v>1018</v>
      </c>
      <c r="D517" s="400"/>
      <c r="E517" s="400"/>
      <c r="F517" s="400"/>
      <c r="G517" s="400"/>
      <c r="H517" s="396"/>
    </row>
    <row r="518" spans="1:8" s="401" customFormat="1" ht="14.25" customHeight="1" x14ac:dyDescent="0.25">
      <c r="A518" s="564">
        <v>388</v>
      </c>
      <c r="B518" s="562" t="s">
        <v>785</v>
      </c>
      <c r="C518" s="403">
        <v>1104</v>
      </c>
      <c r="D518" s="400"/>
      <c r="E518" s="400"/>
      <c r="F518" s="400"/>
      <c r="G518" s="400"/>
      <c r="H518" s="396"/>
    </row>
    <row r="519" spans="1:8" s="401" customFormat="1" ht="14.25" customHeight="1" x14ac:dyDescent="0.25">
      <c r="A519" s="564">
        <v>390</v>
      </c>
      <c r="B519" s="562" t="s">
        <v>785</v>
      </c>
      <c r="C519" s="403">
        <v>1104</v>
      </c>
      <c r="D519" s="400"/>
      <c r="E519" s="400"/>
      <c r="F519" s="400"/>
      <c r="G519" s="400"/>
      <c r="H519" s="396"/>
    </row>
    <row r="520" spans="1:8" s="401" customFormat="1" ht="14.25" customHeight="1" x14ac:dyDescent="0.25">
      <c r="A520" s="564">
        <v>392</v>
      </c>
      <c r="B520" s="562" t="s">
        <v>785</v>
      </c>
      <c r="C520" s="403">
        <v>1104</v>
      </c>
      <c r="D520" s="400"/>
      <c r="E520" s="400"/>
      <c r="F520" s="400"/>
      <c r="G520" s="400"/>
      <c r="H520" s="396"/>
    </row>
    <row r="521" spans="1:8" s="401" customFormat="1" ht="14.25" customHeight="1" x14ac:dyDescent="0.25">
      <c r="A521" s="564">
        <v>394</v>
      </c>
      <c r="B521" s="562" t="s">
        <v>785</v>
      </c>
      <c r="C521" s="403">
        <v>1104</v>
      </c>
      <c r="D521" s="400"/>
      <c r="E521" s="400"/>
      <c r="F521" s="400"/>
      <c r="G521" s="400"/>
      <c r="H521" s="396"/>
    </row>
    <row r="522" spans="1:8" s="401" customFormat="1" ht="14.25" customHeight="1" x14ac:dyDescent="0.25">
      <c r="A522" s="564">
        <v>397</v>
      </c>
      <c r="B522" s="562" t="s">
        <v>785</v>
      </c>
      <c r="C522" s="403">
        <v>1104</v>
      </c>
      <c r="D522" s="400"/>
      <c r="E522" s="400"/>
      <c r="F522" s="400"/>
      <c r="G522" s="400"/>
      <c r="H522" s="396"/>
    </row>
    <row r="523" spans="1:8" s="401" customFormat="1" ht="14.25" customHeight="1" x14ac:dyDescent="0.25">
      <c r="A523" s="564">
        <v>399</v>
      </c>
      <c r="B523" s="562" t="s">
        <v>786</v>
      </c>
      <c r="C523" s="403">
        <v>2415</v>
      </c>
      <c r="D523" s="400"/>
      <c r="E523" s="400"/>
      <c r="F523" s="400"/>
      <c r="G523" s="400"/>
      <c r="H523" s="396"/>
    </row>
    <row r="524" spans="1:8" s="401" customFormat="1" ht="14.25" customHeight="1" x14ac:dyDescent="0.25">
      <c r="A524" s="564">
        <v>402</v>
      </c>
      <c r="B524" s="562" t="s">
        <v>786</v>
      </c>
      <c r="C524" s="403">
        <v>2277</v>
      </c>
      <c r="D524" s="400"/>
      <c r="E524" s="400"/>
      <c r="F524" s="400"/>
      <c r="G524" s="400"/>
      <c r="H524" s="396"/>
    </row>
    <row r="525" spans="1:8" s="401" customFormat="1" ht="14.25" customHeight="1" x14ac:dyDescent="0.25">
      <c r="A525" s="564">
        <v>439</v>
      </c>
      <c r="B525" s="562" t="s">
        <v>787</v>
      </c>
      <c r="C525" s="403">
        <v>3575</v>
      </c>
      <c r="D525" s="400"/>
      <c r="E525" s="400"/>
      <c r="F525" s="400"/>
      <c r="G525" s="400"/>
      <c r="H525" s="396"/>
    </row>
    <row r="526" spans="1:8" s="401" customFormat="1" ht="14.25" customHeight="1" x14ac:dyDescent="0.25">
      <c r="A526" s="564">
        <v>442</v>
      </c>
      <c r="B526" s="562" t="s">
        <v>785</v>
      </c>
      <c r="C526" s="403">
        <v>589</v>
      </c>
      <c r="D526" s="400"/>
      <c r="E526" s="400"/>
      <c r="F526" s="400"/>
      <c r="G526" s="400"/>
      <c r="H526" s="396"/>
    </row>
    <row r="527" spans="1:8" s="401" customFormat="1" ht="14.25" customHeight="1" x14ac:dyDescent="0.25">
      <c r="A527" s="564">
        <v>452</v>
      </c>
      <c r="B527" s="562" t="s">
        <v>791</v>
      </c>
      <c r="C527" s="403">
        <v>1</v>
      </c>
      <c r="D527" s="400"/>
      <c r="E527" s="400"/>
      <c r="F527" s="400"/>
      <c r="G527" s="400"/>
      <c r="H527" s="396"/>
    </row>
    <row r="528" spans="1:8" s="401" customFormat="1" ht="14.25" customHeight="1" x14ac:dyDescent="0.25">
      <c r="A528" s="564">
        <v>458</v>
      </c>
      <c r="B528" s="562" t="s">
        <v>787</v>
      </c>
      <c r="C528" s="403">
        <v>1</v>
      </c>
      <c r="D528" s="400"/>
      <c r="E528" s="400"/>
      <c r="F528" s="400"/>
      <c r="G528" s="400"/>
      <c r="H528" s="396"/>
    </row>
    <row r="529" spans="1:8" s="401" customFormat="1" ht="14.25" customHeight="1" x14ac:dyDescent="0.25">
      <c r="A529" s="564">
        <v>460</v>
      </c>
      <c r="B529" s="562" t="s">
        <v>787</v>
      </c>
      <c r="C529" s="403">
        <v>1</v>
      </c>
      <c r="D529" s="400"/>
      <c r="E529" s="400"/>
      <c r="F529" s="400"/>
      <c r="G529" s="400"/>
      <c r="H529" s="396"/>
    </row>
    <row r="530" spans="1:8" s="401" customFormat="1" ht="14.25" customHeight="1" x14ac:dyDescent="0.25">
      <c r="A530" s="564">
        <v>461</v>
      </c>
      <c r="B530" s="562" t="s">
        <v>788</v>
      </c>
      <c r="C530" s="403">
        <v>1</v>
      </c>
      <c r="D530" s="400"/>
      <c r="E530" s="400"/>
      <c r="F530" s="400"/>
      <c r="G530" s="400"/>
      <c r="H530" s="396"/>
    </row>
    <row r="531" spans="1:8" s="401" customFormat="1" ht="14.25" customHeight="1" x14ac:dyDescent="0.25">
      <c r="A531" s="564">
        <v>466</v>
      </c>
      <c r="B531" s="562" t="s">
        <v>790</v>
      </c>
      <c r="C531" s="403">
        <v>1</v>
      </c>
      <c r="D531" s="400"/>
      <c r="E531" s="400"/>
      <c r="F531" s="400"/>
      <c r="G531" s="400"/>
      <c r="H531" s="396"/>
    </row>
    <row r="532" spans="1:8" s="401" customFormat="1" ht="14.25" customHeight="1" x14ac:dyDescent="0.25">
      <c r="A532" s="564">
        <v>468</v>
      </c>
      <c r="B532" s="562" t="s">
        <v>785</v>
      </c>
      <c r="C532" s="403">
        <v>1</v>
      </c>
      <c r="D532" s="400"/>
      <c r="E532" s="400"/>
      <c r="F532" s="400"/>
      <c r="G532" s="400"/>
      <c r="H532" s="396"/>
    </row>
    <row r="533" spans="1:8" s="401" customFormat="1" ht="14.25" customHeight="1" x14ac:dyDescent="0.25">
      <c r="A533" s="564">
        <v>472</v>
      </c>
      <c r="B533" s="562" t="s">
        <v>785</v>
      </c>
      <c r="C533" s="403">
        <v>1</v>
      </c>
      <c r="D533" s="400"/>
      <c r="E533" s="400"/>
      <c r="F533" s="400"/>
      <c r="G533" s="400"/>
      <c r="H533" s="396"/>
    </row>
    <row r="534" spans="1:8" s="401" customFormat="1" ht="14.25" customHeight="1" x14ac:dyDescent="0.25">
      <c r="A534" s="564">
        <v>473</v>
      </c>
      <c r="B534" s="562" t="s">
        <v>785</v>
      </c>
      <c r="C534" s="403">
        <v>1</v>
      </c>
      <c r="D534" s="400"/>
      <c r="E534" s="400"/>
      <c r="F534" s="400"/>
      <c r="G534" s="400"/>
      <c r="H534" s="396"/>
    </row>
    <row r="535" spans="1:8" s="401" customFormat="1" ht="14.25" customHeight="1" x14ac:dyDescent="0.25">
      <c r="A535" s="564">
        <v>477</v>
      </c>
      <c r="B535" s="562" t="s">
        <v>785</v>
      </c>
      <c r="C535" s="403">
        <v>1</v>
      </c>
      <c r="D535" s="400"/>
      <c r="E535" s="400"/>
      <c r="F535" s="400"/>
      <c r="G535" s="400"/>
      <c r="H535" s="396"/>
    </row>
    <row r="536" spans="1:8" s="401" customFormat="1" ht="14.25" customHeight="1" x14ac:dyDescent="0.25">
      <c r="A536" s="564">
        <v>484</v>
      </c>
      <c r="B536" s="562" t="s">
        <v>799</v>
      </c>
      <c r="C536" s="403">
        <v>2037.4</v>
      </c>
      <c r="D536" s="400"/>
      <c r="E536" s="400"/>
      <c r="F536" s="400"/>
      <c r="G536" s="400"/>
      <c r="H536" s="396"/>
    </row>
    <row r="537" spans="1:8" s="401" customFormat="1" ht="14.25" customHeight="1" x14ac:dyDescent="0.25">
      <c r="A537" s="564">
        <v>546</v>
      </c>
      <c r="B537" s="562" t="s">
        <v>791</v>
      </c>
      <c r="C537" s="403">
        <v>1</v>
      </c>
      <c r="D537" s="400"/>
      <c r="E537" s="400"/>
      <c r="F537" s="400"/>
      <c r="G537" s="400"/>
      <c r="H537" s="396"/>
    </row>
    <row r="538" spans="1:8" s="401" customFormat="1" ht="14.25" customHeight="1" x14ac:dyDescent="0.25">
      <c r="A538" s="564">
        <v>549</v>
      </c>
      <c r="B538" s="562" t="s">
        <v>787</v>
      </c>
      <c r="C538" s="403">
        <v>1</v>
      </c>
      <c r="D538" s="400"/>
      <c r="E538" s="400"/>
      <c r="F538" s="400"/>
      <c r="G538" s="400"/>
      <c r="H538" s="396"/>
    </row>
    <row r="539" spans="1:8" s="401" customFormat="1" ht="14.25" customHeight="1" x14ac:dyDescent="0.25">
      <c r="A539" s="564">
        <v>551</v>
      </c>
      <c r="B539" s="562" t="s">
        <v>785</v>
      </c>
      <c r="C539" s="403">
        <v>1</v>
      </c>
      <c r="D539" s="400"/>
      <c r="E539" s="400"/>
      <c r="F539" s="400"/>
      <c r="G539" s="400"/>
      <c r="H539" s="396"/>
    </row>
    <row r="540" spans="1:8" s="401" customFormat="1" ht="14.25" customHeight="1" x14ac:dyDescent="0.25">
      <c r="A540" s="564">
        <v>553</v>
      </c>
      <c r="B540" s="562" t="s">
        <v>787</v>
      </c>
      <c r="C540" s="403">
        <v>1890</v>
      </c>
      <c r="D540" s="400"/>
      <c r="E540" s="400"/>
      <c r="F540" s="400"/>
      <c r="G540" s="400"/>
      <c r="H540" s="396"/>
    </row>
    <row r="541" spans="1:8" s="401" customFormat="1" ht="14.25" customHeight="1" x14ac:dyDescent="0.25">
      <c r="A541" s="564">
        <v>562</v>
      </c>
      <c r="B541" s="562" t="s">
        <v>786</v>
      </c>
      <c r="C541" s="403">
        <v>1284</v>
      </c>
      <c r="D541" s="400"/>
      <c r="E541" s="400"/>
      <c r="F541" s="400"/>
      <c r="G541" s="400"/>
      <c r="H541" s="396"/>
    </row>
    <row r="542" spans="1:8" s="401" customFormat="1" ht="14.25" customHeight="1" x14ac:dyDescent="0.25">
      <c r="A542" s="564">
        <v>565</v>
      </c>
      <c r="B542" s="562" t="s">
        <v>787</v>
      </c>
      <c r="C542" s="403">
        <v>3248</v>
      </c>
      <c r="D542" s="400"/>
      <c r="E542" s="400"/>
      <c r="F542" s="400"/>
      <c r="G542" s="400"/>
      <c r="H542" s="396"/>
    </row>
    <row r="543" spans="1:8" s="401" customFormat="1" ht="14.25" customHeight="1" x14ac:dyDescent="0.25">
      <c r="A543" s="564">
        <v>567</v>
      </c>
      <c r="B543" s="562" t="s">
        <v>787</v>
      </c>
      <c r="C543" s="403">
        <v>3248</v>
      </c>
      <c r="D543" s="400"/>
      <c r="E543" s="400"/>
      <c r="F543" s="400"/>
      <c r="G543" s="400"/>
      <c r="H543" s="396"/>
    </row>
    <row r="544" spans="1:8" s="401" customFormat="1" ht="14.25" customHeight="1" x14ac:dyDescent="0.25">
      <c r="A544" s="564">
        <v>569</v>
      </c>
      <c r="B544" s="562" t="s">
        <v>787</v>
      </c>
      <c r="C544" s="403">
        <v>3248</v>
      </c>
      <c r="D544" s="400"/>
      <c r="E544" s="400"/>
      <c r="F544" s="400"/>
      <c r="G544" s="400"/>
      <c r="H544" s="396"/>
    </row>
    <row r="545" spans="1:8" s="401" customFormat="1" ht="14.25" customHeight="1" x14ac:dyDescent="0.25">
      <c r="A545" s="564">
        <v>570</v>
      </c>
      <c r="B545" s="562" t="s">
        <v>787</v>
      </c>
      <c r="C545" s="403">
        <v>3248</v>
      </c>
      <c r="D545" s="400"/>
      <c r="E545" s="400"/>
      <c r="F545" s="400"/>
      <c r="G545" s="400"/>
      <c r="H545" s="396"/>
    </row>
    <row r="546" spans="1:8" s="401" customFormat="1" ht="14.25" customHeight="1" x14ac:dyDescent="0.25">
      <c r="A546" s="564">
        <v>571</v>
      </c>
      <c r="B546" s="562" t="s">
        <v>787</v>
      </c>
      <c r="C546" s="403">
        <v>3248</v>
      </c>
      <c r="D546" s="400"/>
      <c r="E546" s="400"/>
      <c r="F546" s="400"/>
      <c r="G546" s="400"/>
      <c r="H546" s="396"/>
    </row>
    <row r="547" spans="1:8" s="401" customFormat="1" ht="14.25" customHeight="1" x14ac:dyDescent="0.25">
      <c r="A547" s="564">
        <v>573</v>
      </c>
      <c r="B547" s="562" t="s">
        <v>787</v>
      </c>
      <c r="C547" s="403">
        <v>3248</v>
      </c>
      <c r="D547" s="400"/>
      <c r="E547" s="400"/>
      <c r="F547" s="400"/>
      <c r="G547" s="400"/>
      <c r="H547" s="396"/>
    </row>
    <row r="548" spans="1:8" s="401" customFormat="1" ht="14.25" customHeight="1" x14ac:dyDescent="0.25">
      <c r="A548" s="564">
        <v>591</v>
      </c>
      <c r="B548" s="562" t="s">
        <v>786</v>
      </c>
      <c r="C548" s="403">
        <v>2700</v>
      </c>
      <c r="D548" s="400"/>
      <c r="E548" s="400"/>
      <c r="F548" s="400"/>
      <c r="G548" s="400"/>
      <c r="H548" s="396"/>
    </row>
    <row r="549" spans="1:8" s="401" customFormat="1" ht="14.25" customHeight="1" x14ac:dyDescent="0.25">
      <c r="A549" s="564">
        <v>592</v>
      </c>
      <c r="B549" s="562" t="s">
        <v>786</v>
      </c>
      <c r="C549" s="403">
        <v>2700</v>
      </c>
      <c r="D549" s="400"/>
      <c r="E549" s="400"/>
      <c r="F549" s="400"/>
      <c r="G549" s="400"/>
      <c r="H549" s="396"/>
    </row>
    <row r="550" spans="1:8" s="401" customFormat="1" ht="14.25" customHeight="1" x14ac:dyDescent="0.25">
      <c r="A550" s="564">
        <v>594</v>
      </c>
      <c r="B550" s="562" t="s">
        <v>786</v>
      </c>
      <c r="C550" s="403">
        <v>2700</v>
      </c>
      <c r="D550" s="400"/>
      <c r="E550" s="400"/>
      <c r="F550" s="400"/>
      <c r="G550" s="400"/>
      <c r="H550" s="396"/>
    </row>
    <row r="551" spans="1:8" s="401" customFormat="1" ht="14.25" customHeight="1" x14ac:dyDescent="0.25">
      <c r="A551" s="564">
        <v>597</v>
      </c>
      <c r="B551" s="562" t="s">
        <v>791</v>
      </c>
      <c r="C551" s="403">
        <v>3435.74</v>
      </c>
      <c r="D551" s="400"/>
      <c r="E551" s="400"/>
      <c r="F551" s="400"/>
      <c r="G551" s="400"/>
      <c r="H551" s="396"/>
    </row>
    <row r="552" spans="1:8" s="401" customFormat="1" ht="14.25" customHeight="1" x14ac:dyDescent="0.25">
      <c r="A552" s="564">
        <v>604</v>
      </c>
      <c r="B552" s="562" t="s">
        <v>791</v>
      </c>
      <c r="C552" s="403">
        <v>3436</v>
      </c>
      <c r="D552" s="400"/>
      <c r="E552" s="400"/>
      <c r="F552" s="400"/>
      <c r="G552" s="400"/>
      <c r="H552" s="396"/>
    </row>
    <row r="553" spans="1:8" s="401" customFormat="1" ht="14.25" customHeight="1" x14ac:dyDescent="0.25">
      <c r="A553" s="564">
        <v>606</v>
      </c>
      <c r="B553" s="562" t="s">
        <v>787</v>
      </c>
      <c r="C553" s="403">
        <v>1890</v>
      </c>
      <c r="D553" s="400"/>
      <c r="E553" s="400"/>
      <c r="F553" s="400"/>
      <c r="G553" s="400"/>
      <c r="H553" s="396"/>
    </row>
    <row r="554" spans="1:8" s="401" customFormat="1" ht="14.25" customHeight="1" x14ac:dyDescent="0.25">
      <c r="A554" s="564">
        <v>607</v>
      </c>
      <c r="B554" s="562" t="s">
        <v>787</v>
      </c>
      <c r="C554" s="403">
        <v>1890</v>
      </c>
      <c r="D554" s="400"/>
      <c r="E554" s="400"/>
      <c r="F554" s="400"/>
      <c r="G554" s="400"/>
      <c r="H554" s="396"/>
    </row>
    <row r="555" spans="1:8" s="401" customFormat="1" ht="14.25" customHeight="1" x14ac:dyDescent="0.25">
      <c r="A555" s="564">
        <v>608</v>
      </c>
      <c r="B555" s="562" t="s">
        <v>785</v>
      </c>
      <c r="C555" s="403">
        <v>420</v>
      </c>
      <c r="D555" s="400"/>
      <c r="E555" s="400"/>
      <c r="F555" s="400"/>
      <c r="G555" s="400"/>
      <c r="H555" s="396"/>
    </row>
    <row r="556" spans="1:8" s="401" customFormat="1" ht="14.25" customHeight="1" x14ac:dyDescent="0.25">
      <c r="A556" s="564">
        <v>609</v>
      </c>
      <c r="B556" s="562" t="s">
        <v>785</v>
      </c>
      <c r="C556" s="403">
        <v>429</v>
      </c>
      <c r="D556" s="400"/>
      <c r="E556" s="400"/>
      <c r="F556" s="400"/>
      <c r="G556" s="400"/>
      <c r="H556" s="396"/>
    </row>
    <row r="557" spans="1:8" s="401" customFormat="1" ht="14.25" customHeight="1" x14ac:dyDescent="0.25">
      <c r="A557" s="564">
        <v>611</v>
      </c>
      <c r="B557" s="562" t="s">
        <v>785</v>
      </c>
      <c r="C557" s="403">
        <v>1018</v>
      </c>
      <c r="D557" s="400"/>
      <c r="E557" s="400"/>
      <c r="F557" s="400"/>
      <c r="G557" s="400"/>
      <c r="H557" s="396"/>
    </row>
    <row r="558" spans="1:8" s="401" customFormat="1" ht="14.25" customHeight="1" x14ac:dyDescent="0.25">
      <c r="A558" s="564">
        <v>612</v>
      </c>
      <c r="B558" s="562" t="s">
        <v>785</v>
      </c>
      <c r="C558" s="403">
        <v>589</v>
      </c>
      <c r="D558" s="400"/>
      <c r="E558" s="400"/>
      <c r="F558" s="400"/>
      <c r="G558" s="400"/>
      <c r="H558" s="396"/>
    </row>
    <row r="559" spans="1:8" s="401" customFormat="1" ht="14.25" customHeight="1" x14ac:dyDescent="0.25">
      <c r="A559" s="564">
        <v>614</v>
      </c>
      <c r="B559" s="562" t="s">
        <v>785</v>
      </c>
      <c r="C559" s="403">
        <v>589</v>
      </c>
      <c r="D559" s="400"/>
      <c r="E559" s="400"/>
      <c r="F559" s="400"/>
      <c r="G559" s="400"/>
      <c r="H559" s="396"/>
    </row>
    <row r="560" spans="1:8" s="401" customFormat="1" ht="14.25" customHeight="1" x14ac:dyDescent="0.25">
      <c r="A560" s="564">
        <v>615</v>
      </c>
      <c r="B560" s="562" t="s">
        <v>785</v>
      </c>
      <c r="C560" s="403">
        <v>589</v>
      </c>
      <c r="D560" s="400"/>
      <c r="E560" s="400"/>
      <c r="F560" s="400"/>
      <c r="G560" s="400"/>
      <c r="H560" s="396"/>
    </row>
    <row r="561" spans="1:8" s="401" customFormat="1" ht="14.25" customHeight="1" x14ac:dyDescent="0.25">
      <c r="A561" s="564">
        <v>619</v>
      </c>
      <c r="B561" s="562" t="s">
        <v>785</v>
      </c>
      <c r="C561" s="403">
        <v>589</v>
      </c>
      <c r="D561" s="400"/>
      <c r="E561" s="400"/>
      <c r="F561" s="400"/>
      <c r="G561" s="400"/>
      <c r="H561" s="396"/>
    </row>
    <row r="562" spans="1:8" s="401" customFormat="1" ht="14.25" customHeight="1" x14ac:dyDescent="0.25">
      <c r="A562" s="564">
        <v>623</v>
      </c>
      <c r="B562" s="562" t="s">
        <v>785</v>
      </c>
      <c r="C562" s="403">
        <v>589</v>
      </c>
      <c r="D562" s="400"/>
      <c r="E562" s="400"/>
      <c r="F562" s="400"/>
      <c r="G562" s="400"/>
      <c r="H562" s="396"/>
    </row>
    <row r="563" spans="1:8" s="401" customFormat="1" ht="14.25" customHeight="1" x14ac:dyDescent="0.25">
      <c r="A563" s="564">
        <v>628</v>
      </c>
      <c r="B563" s="562" t="s">
        <v>787</v>
      </c>
      <c r="C563" s="403">
        <v>1</v>
      </c>
      <c r="D563" s="400"/>
      <c r="E563" s="400"/>
      <c r="F563" s="400"/>
      <c r="G563" s="400"/>
      <c r="H563" s="396"/>
    </row>
    <row r="564" spans="1:8" s="401" customFormat="1" ht="14.25" customHeight="1" x14ac:dyDescent="0.25">
      <c r="A564" s="564">
        <v>630</v>
      </c>
      <c r="B564" s="562" t="s">
        <v>785</v>
      </c>
      <c r="C564" s="403">
        <v>1</v>
      </c>
      <c r="D564" s="400"/>
      <c r="E564" s="400"/>
      <c r="F564" s="400"/>
      <c r="G564" s="400"/>
      <c r="H564" s="396"/>
    </row>
    <row r="565" spans="1:8" s="401" customFormat="1" ht="14.25" customHeight="1" x14ac:dyDescent="0.25">
      <c r="A565" s="564">
        <v>633</v>
      </c>
      <c r="B565" s="562" t="s">
        <v>785</v>
      </c>
      <c r="C565" s="403">
        <v>420</v>
      </c>
      <c r="D565" s="400"/>
      <c r="E565" s="400"/>
      <c r="F565" s="400"/>
      <c r="G565" s="400"/>
      <c r="H565" s="396"/>
    </row>
    <row r="566" spans="1:8" s="401" customFormat="1" ht="14.25" customHeight="1" x14ac:dyDescent="0.25">
      <c r="A566" s="564">
        <v>635</v>
      </c>
      <c r="B566" s="562" t="s">
        <v>791</v>
      </c>
      <c r="C566" s="403">
        <v>1</v>
      </c>
      <c r="D566" s="400"/>
      <c r="E566" s="400"/>
      <c r="F566" s="400"/>
      <c r="G566" s="400"/>
      <c r="H566" s="396"/>
    </row>
    <row r="567" spans="1:8" s="401" customFormat="1" ht="14.25" customHeight="1" x14ac:dyDescent="0.25">
      <c r="A567" s="564">
        <v>638</v>
      </c>
      <c r="B567" s="562" t="s">
        <v>806</v>
      </c>
      <c r="C567" s="403">
        <v>1</v>
      </c>
      <c r="D567" s="400"/>
      <c r="E567" s="400"/>
      <c r="F567" s="400"/>
      <c r="G567" s="400"/>
      <c r="H567" s="396"/>
    </row>
    <row r="568" spans="1:8" s="401" customFormat="1" ht="14.25" customHeight="1" x14ac:dyDescent="0.25">
      <c r="A568" s="564">
        <v>643</v>
      </c>
      <c r="B568" s="562" t="s">
        <v>790</v>
      </c>
      <c r="C568" s="403">
        <v>1</v>
      </c>
      <c r="D568" s="400"/>
      <c r="E568" s="400"/>
      <c r="F568" s="400"/>
      <c r="G568" s="400"/>
      <c r="H568" s="396"/>
    </row>
    <row r="569" spans="1:8" s="401" customFormat="1" ht="14.25" customHeight="1" x14ac:dyDescent="0.25">
      <c r="A569" s="564">
        <v>648</v>
      </c>
      <c r="B569" s="562" t="s">
        <v>799</v>
      </c>
      <c r="C569" s="403">
        <v>1090.47</v>
      </c>
      <c r="D569" s="400"/>
      <c r="E569" s="400"/>
      <c r="F569" s="400"/>
      <c r="G569" s="400"/>
      <c r="H569" s="396"/>
    </row>
    <row r="570" spans="1:8" s="401" customFormat="1" ht="14.25" customHeight="1" x14ac:dyDescent="0.25">
      <c r="A570" s="564">
        <v>652</v>
      </c>
      <c r="B570" s="562" t="s">
        <v>791</v>
      </c>
      <c r="C570" s="403">
        <v>1</v>
      </c>
      <c r="D570" s="400"/>
      <c r="E570" s="400"/>
      <c r="F570" s="400"/>
      <c r="G570" s="400"/>
      <c r="H570" s="396"/>
    </row>
    <row r="571" spans="1:8" s="401" customFormat="1" ht="14.25" customHeight="1" x14ac:dyDescent="0.25">
      <c r="A571" s="564">
        <v>666</v>
      </c>
      <c r="B571" s="562" t="s">
        <v>791</v>
      </c>
      <c r="C571" s="403">
        <v>3436</v>
      </c>
      <c r="D571" s="400"/>
      <c r="E571" s="400"/>
      <c r="F571" s="400"/>
      <c r="G571" s="400"/>
      <c r="H571" s="396"/>
    </row>
    <row r="572" spans="1:8" s="401" customFormat="1" ht="14.25" customHeight="1" x14ac:dyDescent="0.25">
      <c r="A572" s="564">
        <v>670</v>
      </c>
      <c r="B572" s="562" t="s">
        <v>790</v>
      </c>
      <c r="C572" s="403">
        <v>915</v>
      </c>
      <c r="D572" s="400"/>
      <c r="E572" s="400"/>
      <c r="F572" s="400"/>
      <c r="G572" s="400"/>
      <c r="H572" s="396"/>
    </row>
    <row r="573" spans="1:8" s="401" customFormat="1" ht="14.25" customHeight="1" x14ac:dyDescent="0.25">
      <c r="A573" s="564">
        <v>676</v>
      </c>
      <c r="B573" s="562" t="s">
        <v>785</v>
      </c>
      <c r="C573" s="403">
        <v>589</v>
      </c>
      <c r="D573" s="400"/>
      <c r="E573" s="400"/>
      <c r="F573" s="400"/>
      <c r="G573" s="400"/>
      <c r="H573" s="396"/>
    </row>
    <row r="574" spans="1:8" s="401" customFormat="1" ht="14.25" customHeight="1" x14ac:dyDescent="0.25">
      <c r="A574" s="564">
        <v>679</v>
      </c>
      <c r="B574" s="562" t="s">
        <v>785</v>
      </c>
      <c r="C574" s="403">
        <v>589</v>
      </c>
      <c r="D574" s="400"/>
      <c r="E574" s="400"/>
      <c r="F574" s="400"/>
      <c r="G574" s="400"/>
      <c r="H574" s="396"/>
    </row>
    <row r="575" spans="1:8" s="401" customFormat="1" ht="14.25" customHeight="1" x14ac:dyDescent="0.25">
      <c r="A575" s="564">
        <v>688</v>
      </c>
      <c r="B575" s="562" t="s">
        <v>788</v>
      </c>
      <c r="C575" s="403">
        <v>1035</v>
      </c>
      <c r="D575" s="400"/>
      <c r="E575" s="400"/>
      <c r="F575" s="400"/>
      <c r="G575" s="400"/>
      <c r="H575" s="396"/>
    </row>
    <row r="576" spans="1:8" s="401" customFormat="1" ht="14.25" customHeight="1" x14ac:dyDescent="0.25">
      <c r="A576" s="564">
        <v>692</v>
      </c>
      <c r="B576" s="562" t="s">
        <v>788</v>
      </c>
      <c r="C576" s="403">
        <v>1035</v>
      </c>
      <c r="D576" s="400"/>
      <c r="E576" s="400"/>
      <c r="F576" s="400"/>
      <c r="G576" s="400"/>
      <c r="H576" s="396"/>
    </row>
    <row r="577" spans="1:8" s="401" customFormat="1" ht="14.25" customHeight="1" x14ac:dyDescent="0.25">
      <c r="A577" s="564">
        <v>704</v>
      </c>
      <c r="B577" s="562" t="s">
        <v>787</v>
      </c>
      <c r="C577" s="403">
        <v>1</v>
      </c>
      <c r="D577" s="400"/>
      <c r="E577" s="400"/>
      <c r="F577" s="400"/>
      <c r="G577" s="400"/>
      <c r="H577" s="396"/>
    </row>
    <row r="578" spans="1:8" s="401" customFormat="1" ht="14.25" customHeight="1" x14ac:dyDescent="0.25">
      <c r="A578" s="564">
        <v>707</v>
      </c>
      <c r="B578" s="562" t="s">
        <v>804</v>
      </c>
      <c r="C578" s="403">
        <v>1</v>
      </c>
      <c r="D578" s="400"/>
      <c r="E578" s="400"/>
      <c r="F578" s="400"/>
      <c r="G578" s="400"/>
      <c r="H578" s="396"/>
    </row>
    <row r="579" spans="1:8" s="401" customFormat="1" ht="14.25" customHeight="1" x14ac:dyDescent="0.25">
      <c r="A579" s="564">
        <v>709</v>
      </c>
      <c r="B579" s="562" t="s">
        <v>785</v>
      </c>
      <c r="C579" s="403">
        <v>1</v>
      </c>
      <c r="D579" s="400"/>
      <c r="E579" s="400"/>
      <c r="F579" s="400"/>
      <c r="G579" s="400"/>
      <c r="H579" s="396"/>
    </row>
    <row r="580" spans="1:8" s="401" customFormat="1" ht="14.25" customHeight="1" x14ac:dyDescent="0.25">
      <c r="A580" s="564">
        <v>715</v>
      </c>
      <c r="B580" s="562" t="s">
        <v>786</v>
      </c>
      <c r="C580" s="403">
        <v>1</v>
      </c>
      <c r="D580" s="400"/>
      <c r="E580" s="400"/>
      <c r="F580" s="400"/>
      <c r="G580" s="400"/>
      <c r="H580" s="396"/>
    </row>
    <row r="581" spans="1:8" s="401" customFormat="1" ht="14.25" customHeight="1" x14ac:dyDescent="0.25">
      <c r="A581" s="564">
        <v>717</v>
      </c>
      <c r="B581" s="562" t="s">
        <v>804</v>
      </c>
      <c r="C581" s="403">
        <v>1</v>
      </c>
      <c r="D581" s="400"/>
      <c r="E581" s="400"/>
      <c r="F581" s="400"/>
      <c r="G581" s="400"/>
      <c r="H581" s="396"/>
    </row>
    <row r="582" spans="1:8" s="401" customFormat="1" ht="14.25" customHeight="1" x14ac:dyDescent="0.25">
      <c r="A582" s="564">
        <v>720</v>
      </c>
      <c r="B582" s="562" t="s">
        <v>804</v>
      </c>
      <c r="C582" s="403">
        <v>1</v>
      </c>
      <c r="D582" s="400"/>
      <c r="E582" s="400"/>
      <c r="F582" s="400"/>
      <c r="G582" s="400"/>
      <c r="H582" s="396"/>
    </row>
    <row r="583" spans="1:8" s="401" customFormat="1" ht="14.25" customHeight="1" x14ac:dyDescent="0.25">
      <c r="A583" s="564">
        <v>723</v>
      </c>
      <c r="B583" s="562" t="s">
        <v>804</v>
      </c>
      <c r="C583" s="403">
        <v>6236</v>
      </c>
      <c r="D583" s="400"/>
      <c r="E583" s="400"/>
      <c r="F583" s="400"/>
      <c r="G583" s="400"/>
      <c r="H583" s="396"/>
    </row>
    <row r="584" spans="1:8" s="401" customFormat="1" ht="14.25" customHeight="1" x14ac:dyDescent="0.25">
      <c r="A584" s="564">
        <v>728</v>
      </c>
      <c r="B584" s="562" t="s">
        <v>804</v>
      </c>
      <c r="C584" s="403">
        <v>4306</v>
      </c>
      <c r="D584" s="400"/>
      <c r="E584" s="400"/>
      <c r="F584" s="400"/>
      <c r="G584" s="400"/>
      <c r="H584" s="396"/>
    </row>
    <row r="585" spans="1:8" s="401" customFormat="1" ht="14.25" customHeight="1" x14ac:dyDescent="0.25">
      <c r="A585" s="564">
        <v>732</v>
      </c>
      <c r="B585" s="562" t="s">
        <v>804</v>
      </c>
      <c r="C585" s="403">
        <v>6088.45</v>
      </c>
      <c r="D585" s="400"/>
      <c r="E585" s="400"/>
      <c r="F585" s="400"/>
      <c r="G585" s="400"/>
      <c r="H585" s="396"/>
    </row>
    <row r="586" spans="1:8" s="401" customFormat="1" ht="14.25" customHeight="1" x14ac:dyDescent="0.25">
      <c r="A586" s="564">
        <v>737</v>
      </c>
      <c r="B586" s="562" t="s">
        <v>785</v>
      </c>
      <c r="C586" s="403">
        <v>420</v>
      </c>
      <c r="D586" s="400"/>
      <c r="E586" s="400"/>
      <c r="F586" s="400"/>
      <c r="G586" s="400"/>
      <c r="H586" s="396"/>
    </row>
    <row r="587" spans="1:8" s="401" customFormat="1" ht="14.25" customHeight="1" x14ac:dyDescent="0.25">
      <c r="A587" s="564">
        <v>741</v>
      </c>
      <c r="B587" s="562" t="s">
        <v>785</v>
      </c>
      <c r="C587" s="403">
        <v>1018</v>
      </c>
      <c r="D587" s="400"/>
      <c r="E587" s="400"/>
      <c r="F587" s="400"/>
      <c r="G587" s="400"/>
      <c r="H587" s="396"/>
    </row>
    <row r="588" spans="1:8" s="401" customFormat="1" ht="14.25" customHeight="1" x14ac:dyDescent="0.25">
      <c r="A588" s="564">
        <v>748</v>
      </c>
      <c r="B588" s="562" t="s">
        <v>787</v>
      </c>
      <c r="C588" s="403">
        <v>1</v>
      </c>
      <c r="D588" s="400"/>
      <c r="E588" s="400"/>
      <c r="F588" s="400"/>
      <c r="G588" s="400"/>
      <c r="H588" s="396"/>
    </row>
    <row r="589" spans="1:8" s="401" customFormat="1" ht="14.25" customHeight="1" x14ac:dyDescent="0.25">
      <c r="A589" s="564">
        <v>749</v>
      </c>
      <c r="B589" s="562" t="s">
        <v>785</v>
      </c>
      <c r="C589" s="403">
        <v>1</v>
      </c>
      <c r="D589" s="400"/>
      <c r="E589" s="400"/>
      <c r="F589" s="400"/>
      <c r="G589" s="400"/>
      <c r="H589" s="396"/>
    </row>
    <row r="590" spans="1:8" s="401" customFormat="1" ht="14.25" customHeight="1" x14ac:dyDescent="0.25">
      <c r="A590" s="564">
        <v>759</v>
      </c>
      <c r="B590" s="562" t="s">
        <v>813</v>
      </c>
      <c r="C590" s="403">
        <v>564.46</v>
      </c>
      <c r="D590" s="400"/>
      <c r="E590" s="400"/>
      <c r="F590" s="400"/>
      <c r="G590" s="400"/>
      <c r="H590" s="396"/>
    </row>
    <row r="591" spans="1:8" s="401" customFormat="1" ht="14.25" customHeight="1" x14ac:dyDescent="0.25">
      <c r="A591" s="564">
        <v>769</v>
      </c>
      <c r="B591" s="562" t="s">
        <v>818</v>
      </c>
      <c r="C591" s="403">
        <v>245</v>
      </c>
      <c r="D591" s="400"/>
      <c r="E591" s="400"/>
      <c r="F591" s="400"/>
      <c r="G591" s="400"/>
      <c r="H591" s="396"/>
    </row>
    <row r="592" spans="1:8" s="401" customFormat="1" ht="14.25" customHeight="1" x14ac:dyDescent="0.25">
      <c r="A592" s="564">
        <v>778</v>
      </c>
      <c r="B592" s="562" t="s">
        <v>819</v>
      </c>
      <c r="C592" s="403">
        <v>849.99</v>
      </c>
      <c r="D592" s="400"/>
      <c r="E592" s="400"/>
      <c r="F592" s="400"/>
      <c r="G592" s="400"/>
      <c r="H592" s="396"/>
    </row>
    <row r="593" spans="1:8" s="401" customFormat="1" ht="14.25" customHeight="1" x14ac:dyDescent="0.25">
      <c r="A593" s="564">
        <v>785</v>
      </c>
      <c r="B593" s="562" t="s">
        <v>819</v>
      </c>
      <c r="C593" s="403">
        <v>849.99</v>
      </c>
      <c r="D593" s="400"/>
      <c r="E593" s="400"/>
      <c r="F593" s="400"/>
      <c r="G593" s="400"/>
      <c r="H593" s="396"/>
    </row>
    <row r="594" spans="1:8" s="401" customFormat="1" ht="14.25" customHeight="1" x14ac:dyDescent="0.25">
      <c r="A594" s="564">
        <v>789</v>
      </c>
      <c r="B594" s="562" t="s">
        <v>791</v>
      </c>
      <c r="C594" s="403">
        <v>1961</v>
      </c>
      <c r="D594" s="400"/>
      <c r="E594" s="400"/>
      <c r="F594" s="400"/>
      <c r="G594" s="400"/>
      <c r="H594" s="396"/>
    </row>
    <row r="595" spans="1:8" s="401" customFormat="1" ht="14.25" customHeight="1" x14ac:dyDescent="0.25">
      <c r="A595" s="564">
        <v>795</v>
      </c>
      <c r="B595" s="562" t="s">
        <v>791</v>
      </c>
      <c r="C595" s="403">
        <v>1961</v>
      </c>
      <c r="D595" s="400"/>
      <c r="E595" s="400"/>
      <c r="F595" s="400"/>
      <c r="G595" s="400"/>
      <c r="H595" s="396"/>
    </row>
    <row r="596" spans="1:8" s="401" customFormat="1" ht="14.25" customHeight="1" x14ac:dyDescent="0.25">
      <c r="A596" s="564">
        <v>799</v>
      </c>
      <c r="B596" s="562" t="s">
        <v>791</v>
      </c>
      <c r="C596" s="403">
        <v>41961</v>
      </c>
      <c r="D596" s="400"/>
      <c r="E596" s="400"/>
      <c r="F596" s="400"/>
      <c r="G596" s="400"/>
      <c r="H596" s="396"/>
    </row>
    <row r="597" spans="1:8" s="401" customFormat="1" ht="14.25" customHeight="1" x14ac:dyDescent="0.25">
      <c r="A597" s="564">
        <v>804</v>
      </c>
      <c r="B597" s="562" t="s">
        <v>787</v>
      </c>
      <c r="C597" s="403">
        <v>1890</v>
      </c>
      <c r="D597" s="400"/>
      <c r="E597" s="400"/>
      <c r="F597" s="400"/>
      <c r="G597" s="400"/>
      <c r="H597" s="396"/>
    </row>
    <row r="598" spans="1:8" s="401" customFormat="1" ht="14.25" customHeight="1" x14ac:dyDescent="0.25">
      <c r="A598" s="564">
        <v>807</v>
      </c>
      <c r="B598" s="562" t="s">
        <v>788</v>
      </c>
      <c r="C598" s="403">
        <v>3117</v>
      </c>
      <c r="D598" s="400"/>
      <c r="E598" s="400"/>
      <c r="F598" s="400"/>
      <c r="G598" s="400"/>
      <c r="H598" s="396"/>
    </row>
    <row r="599" spans="1:8" s="401" customFormat="1" ht="14.25" customHeight="1" x14ac:dyDescent="0.25">
      <c r="A599" s="564">
        <v>808</v>
      </c>
      <c r="B599" s="562" t="s">
        <v>820</v>
      </c>
      <c r="C599" s="403">
        <v>562</v>
      </c>
      <c r="D599" s="400"/>
      <c r="E599" s="400"/>
      <c r="F599" s="400"/>
      <c r="G599" s="400"/>
      <c r="H599" s="396"/>
    </row>
    <row r="600" spans="1:8" s="401" customFormat="1" ht="14.25" customHeight="1" x14ac:dyDescent="0.25">
      <c r="A600" s="564">
        <v>809</v>
      </c>
      <c r="B600" s="562" t="s">
        <v>790</v>
      </c>
      <c r="C600" s="403">
        <v>1</v>
      </c>
      <c r="D600" s="400"/>
      <c r="E600" s="400"/>
      <c r="F600" s="400"/>
      <c r="G600" s="400"/>
      <c r="H600" s="396"/>
    </row>
    <row r="601" spans="1:8" s="401" customFormat="1" ht="14.25" customHeight="1" x14ac:dyDescent="0.25">
      <c r="A601" s="564">
        <v>810</v>
      </c>
      <c r="B601" s="562" t="s">
        <v>785</v>
      </c>
      <c r="C601" s="403">
        <v>420</v>
      </c>
      <c r="D601" s="400"/>
      <c r="E601" s="400"/>
      <c r="F601" s="400"/>
      <c r="G601" s="400"/>
      <c r="H601" s="396"/>
    </row>
    <row r="602" spans="1:8" s="401" customFormat="1" ht="14.25" customHeight="1" x14ac:dyDescent="0.25">
      <c r="A602" s="564">
        <v>811</v>
      </c>
      <c r="B602" s="562" t="s">
        <v>785</v>
      </c>
      <c r="C602" s="403">
        <v>1018</v>
      </c>
      <c r="D602" s="400"/>
      <c r="E602" s="400"/>
      <c r="F602" s="400"/>
      <c r="G602" s="400"/>
      <c r="H602" s="396"/>
    </row>
    <row r="603" spans="1:8" s="401" customFormat="1" ht="14.25" customHeight="1" x14ac:dyDescent="0.25">
      <c r="A603" s="564">
        <v>826</v>
      </c>
      <c r="B603" s="562" t="s">
        <v>794</v>
      </c>
      <c r="C603" s="403">
        <v>585</v>
      </c>
      <c r="D603" s="400"/>
      <c r="E603" s="400"/>
      <c r="F603" s="400"/>
      <c r="G603" s="400"/>
      <c r="H603" s="396"/>
    </row>
    <row r="604" spans="1:8" s="401" customFormat="1" ht="14.25" customHeight="1" x14ac:dyDescent="0.25">
      <c r="A604" s="564">
        <v>830</v>
      </c>
      <c r="B604" s="562" t="s">
        <v>819</v>
      </c>
      <c r="C604" s="403">
        <v>1270.2</v>
      </c>
      <c r="D604" s="400"/>
      <c r="E604" s="400"/>
      <c r="F604" s="400"/>
      <c r="G604" s="400"/>
      <c r="H604" s="396"/>
    </row>
    <row r="605" spans="1:8" s="401" customFormat="1" ht="14.25" customHeight="1" x14ac:dyDescent="0.25">
      <c r="A605" s="564">
        <v>843</v>
      </c>
      <c r="B605" s="562" t="s">
        <v>786</v>
      </c>
      <c r="C605" s="403">
        <v>690</v>
      </c>
      <c r="D605" s="400"/>
      <c r="E605" s="400"/>
      <c r="F605" s="400"/>
      <c r="G605" s="400"/>
      <c r="H605" s="396"/>
    </row>
    <row r="606" spans="1:8" s="401" customFormat="1" ht="14.25" customHeight="1" x14ac:dyDescent="0.25">
      <c r="A606" s="564">
        <v>846</v>
      </c>
      <c r="B606" s="562" t="s">
        <v>791</v>
      </c>
      <c r="C606" s="403">
        <v>1322</v>
      </c>
      <c r="D606" s="400"/>
      <c r="E606" s="400"/>
      <c r="F606" s="400"/>
      <c r="G606" s="400"/>
      <c r="H606" s="396"/>
    </row>
    <row r="607" spans="1:8" s="401" customFormat="1" ht="14.25" customHeight="1" x14ac:dyDescent="0.25">
      <c r="A607" s="564">
        <v>849</v>
      </c>
      <c r="B607" s="562" t="s">
        <v>787</v>
      </c>
      <c r="C607" s="403">
        <v>2610</v>
      </c>
      <c r="D607" s="400"/>
      <c r="E607" s="400"/>
      <c r="F607" s="400"/>
      <c r="G607" s="400"/>
      <c r="H607" s="396"/>
    </row>
    <row r="608" spans="1:8" s="401" customFormat="1" ht="14.25" customHeight="1" x14ac:dyDescent="0.25">
      <c r="A608" s="564">
        <v>851</v>
      </c>
      <c r="B608" s="562" t="s">
        <v>785</v>
      </c>
      <c r="C608" s="403">
        <v>420</v>
      </c>
      <c r="D608" s="400"/>
      <c r="E608" s="400"/>
      <c r="F608" s="400"/>
      <c r="G608" s="400"/>
      <c r="H608" s="396"/>
    </row>
    <row r="609" spans="1:8" s="401" customFormat="1" ht="14.25" customHeight="1" x14ac:dyDescent="0.25">
      <c r="A609" s="564">
        <v>854</v>
      </c>
      <c r="B609" s="562" t="s">
        <v>785</v>
      </c>
      <c r="C609" s="403">
        <v>1018</v>
      </c>
      <c r="D609" s="400"/>
      <c r="E609" s="400"/>
      <c r="F609" s="400"/>
      <c r="G609" s="400"/>
      <c r="H609" s="396"/>
    </row>
    <row r="610" spans="1:8" s="401" customFormat="1" ht="14.25" customHeight="1" x14ac:dyDescent="0.25">
      <c r="A610" s="564">
        <v>860</v>
      </c>
      <c r="B610" s="562" t="s">
        <v>790</v>
      </c>
      <c r="C610" s="403">
        <v>1</v>
      </c>
      <c r="D610" s="400"/>
      <c r="E610" s="400"/>
      <c r="F610" s="400"/>
      <c r="G610" s="400"/>
      <c r="H610" s="396"/>
    </row>
    <row r="611" spans="1:8" s="401" customFormat="1" ht="14.25" customHeight="1" x14ac:dyDescent="0.25">
      <c r="A611" s="564">
        <v>888</v>
      </c>
      <c r="B611" s="562" t="s">
        <v>806</v>
      </c>
      <c r="C611" s="403">
        <v>7820</v>
      </c>
      <c r="D611" s="400"/>
      <c r="E611" s="400"/>
      <c r="F611" s="400"/>
      <c r="G611" s="400"/>
      <c r="H611" s="396"/>
    </row>
    <row r="612" spans="1:8" s="401" customFormat="1" ht="14.25" customHeight="1" x14ac:dyDescent="0.25">
      <c r="A612" s="564">
        <v>901</v>
      </c>
      <c r="B612" s="562" t="s">
        <v>787</v>
      </c>
      <c r="C612" s="403">
        <v>1</v>
      </c>
      <c r="D612" s="400"/>
      <c r="E612" s="400"/>
      <c r="F612" s="400"/>
      <c r="G612" s="400"/>
      <c r="H612" s="396"/>
    </row>
    <row r="613" spans="1:8" s="401" customFormat="1" ht="14.25" customHeight="1" x14ac:dyDescent="0.25">
      <c r="A613" s="564">
        <v>908</v>
      </c>
      <c r="B613" s="562" t="s">
        <v>785</v>
      </c>
      <c r="C613" s="403">
        <v>420</v>
      </c>
      <c r="D613" s="400"/>
      <c r="E613" s="400"/>
      <c r="F613" s="400"/>
      <c r="G613" s="400"/>
      <c r="H613" s="396"/>
    </row>
    <row r="614" spans="1:8" s="401" customFormat="1" ht="14.25" customHeight="1" x14ac:dyDescent="0.25">
      <c r="A614" s="564">
        <v>916</v>
      </c>
      <c r="B614" s="562" t="s">
        <v>786</v>
      </c>
      <c r="C614" s="403">
        <v>2321</v>
      </c>
      <c r="D614" s="400"/>
      <c r="E614" s="400"/>
      <c r="F614" s="400"/>
      <c r="G614" s="400"/>
      <c r="H614" s="396"/>
    </row>
    <row r="615" spans="1:8" s="401" customFormat="1" ht="14.25" customHeight="1" x14ac:dyDescent="0.25">
      <c r="A615" s="564">
        <v>919</v>
      </c>
      <c r="B615" s="562" t="s">
        <v>795</v>
      </c>
      <c r="C615" s="403">
        <v>1</v>
      </c>
      <c r="D615" s="400"/>
      <c r="E615" s="400"/>
      <c r="F615" s="400"/>
      <c r="G615" s="400"/>
      <c r="H615" s="396"/>
    </row>
    <row r="616" spans="1:8" s="401" customFormat="1" ht="14.25" customHeight="1" x14ac:dyDescent="0.25">
      <c r="A616" s="564">
        <v>921</v>
      </c>
      <c r="B616" s="562" t="s">
        <v>787</v>
      </c>
      <c r="C616" s="403">
        <v>1890</v>
      </c>
      <c r="D616" s="400"/>
      <c r="E616" s="400"/>
      <c r="F616" s="400"/>
      <c r="G616" s="400"/>
      <c r="H616" s="396"/>
    </row>
    <row r="617" spans="1:8" s="401" customFormat="1" ht="14.25" customHeight="1" x14ac:dyDescent="0.25">
      <c r="A617" s="564">
        <v>923</v>
      </c>
      <c r="B617" s="562" t="s">
        <v>804</v>
      </c>
      <c r="C617" s="403">
        <v>3416</v>
      </c>
      <c r="D617" s="400"/>
      <c r="E617" s="400"/>
      <c r="F617" s="400"/>
      <c r="G617" s="400"/>
      <c r="H617" s="396"/>
    </row>
    <row r="618" spans="1:8" s="401" customFormat="1" ht="14.25" customHeight="1" x14ac:dyDescent="0.25">
      <c r="A618" s="564">
        <v>925</v>
      </c>
      <c r="B618" s="562" t="s">
        <v>785</v>
      </c>
      <c r="C618" s="403">
        <v>420</v>
      </c>
      <c r="D618" s="400"/>
      <c r="E618" s="400"/>
      <c r="F618" s="400"/>
      <c r="G618" s="400"/>
      <c r="H618" s="396"/>
    </row>
    <row r="619" spans="1:8" s="401" customFormat="1" ht="14.25" customHeight="1" x14ac:dyDescent="0.25">
      <c r="A619" s="564">
        <v>928</v>
      </c>
      <c r="B619" s="562" t="s">
        <v>785</v>
      </c>
      <c r="C619" s="403">
        <v>420</v>
      </c>
      <c r="D619" s="400"/>
      <c r="E619" s="400"/>
      <c r="F619" s="400"/>
      <c r="G619" s="400"/>
      <c r="H619" s="396"/>
    </row>
    <row r="620" spans="1:8" s="401" customFormat="1" ht="14.25" customHeight="1" x14ac:dyDescent="0.25">
      <c r="A620" s="564">
        <v>933</v>
      </c>
      <c r="B620" s="562" t="s">
        <v>808</v>
      </c>
      <c r="C620" s="403">
        <v>1</v>
      </c>
      <c r="D620" s="400"/>
      <c r="E620" s="400"/>
      <c r="F620" s="400"/>
      <c r="G620" s="400"/>
      <c r="H620" s="396"/>
    </row>
    <row r="621" spans="1:8" s="401" customFormat="1" ht="14.25" customHeight="1" x14ac:dyDescent="0.25">
      <c r="A621" s="564">
        <v>934</v>
      </c>
      <c r="B621" s="562" t="s">
        <v>787</v>
      </c>
      <c r="C621" s="403">
        <v>3006</v>
      </c>
      <c r="D621" s="400"/>
      <c r="E621" s="400"/>
      <c r="F621" s="400"/>
      <c r="G621" s="400"/>
      <c r="H621" s="396"/>
    </row>
    <row r="622" spans="1:8" s="401" customFormat="1" ht="14.25" customHeight="1" x14ac:dyDescent="0.25">
      <c r="A622" s="564">
        <v>944</v>
      </c>
      <c r="B622" s="562" t="s">
        <v>790</v>
      </c>
      <c r="C622" s="403">
        <v>1</v>
      </c>
      <c r="D622" s="400"/>
      <c r="E622" s="400"/>
      <c r="F622" s="400"/>
      <c r="G622" s="400"/>
      <c r="H622" s="396"/>
    </row>
    <row r="623" spans="1:8" s="401" customFormat="1" ht="14.25" customHeight="1" x14ac:dyDescent="0.25">
      <c r="A623" s="564">
        <v>948</v>
      </c>
      <c r="B623" s="562" t="s">
        <v>785</v>
      </c>
      <c r="C623" s="403">
        <v>1</v>
      </c>
      <c r="D623" s="400"/>
      <c r="E623" s="400"/>
      <c r="F623" s="400"/>
      <c r="G623" s="400"/>
      <c r="H623" s="396"/>
    </row>
    <row r="624" spans="1:8" s="401" customFormat="1" ht="14.25" customHeight="1" x14ac:dyDescent="0.25">
      <c r="A624" s="564">
        <v>952</v>
      </c>
      <c r="B624" s="562" t="s">
        <v>791</v>
      </c>
      <c r="C624" s="403">
        <v>1668</v>
      </c>
      <c r="D624" s="400"/>
      <c r="E624" s="400"/>
      <c r="F624" s="400"/>
      <c r="G624" s="400"/>
      <c r="H624" s="396"/>
    </row>
    <row r="625" spans="1:8" s="401" customFormat="1" ht="14.25" customHeight="1" x14ac:dyDescent="0.25">
      <c r="A625" s="564">
        <v>954</v>
      </c>
      <c r="B625" s="562" t="s">
        <v>787</v>
      </c>
      <c r="C625" s="403">
        <v>1890</v>
      </c>
      <c r="D625" s="400"/>
      <c r="E625" s="400"/>
      <c r="F625" s="400"/>
      <c r="G625" s="400"/>
      <c r="H625" s="396"/>
    </row>
    <row r="626" spans="1:8" s="401" customFormat="1" ht="14.25" customHeight="1" x14ac:dyDescent="0.25">
      <c r="A626" s="564">
        <v>957</v>
      </c>
      <c r="B626" s="562" t="s">
        <v>787</v>
      </c>
      <c r="C626" s="403">
        <v>3006</v>
      </c>
      <c r="D626" s="400"/>
      <c r="E626" s="400"/>
      <c r="F626" s="400"/>
      <c r="G626" s="400"/>
      <c r="H626" s="396"/>
    </row>
    <row r="627" spans="1:8" s="401" customFormat="1" ht="14.25" customHeight="1" x14ac:dyDescent="0.25">
      <c r="A627" s="564">
        <v>960</v>
      </c>
      <c r="B627" s="562" t="s">
        <v>804</v>
      </c>
      <c r="C627" s="403">
        <v>2226</v>
      </c>
      <c r="D627" s="400"/>
      <c r="E627" s="400"/>
      <c r="F627" s="400"/>
      <c r="G627" s="400"/>
      <c r="H627" s="396"/>
    </row>
    <row r="628" spans="1:8" s="401" customFormat="1" ht="14.25" customHeight="1" x14ac:dyDescent="0.25">
      <c r="A628" s="564">
        <v>962</v>
      </c>
      <c r="B628" s="562" t="s">
        <v>790</v>
      </c>
      <c r="C628" s="403">
        <v>915</v>
      </c>
      <c r="D628" s="400"/>
      <c r="E628" s="400"/>
      <c r="F628" s="400"/>
      <c r="G628" s="400"/>
      <c r="H628" s="396"/>
    </row>
    <row r="629" spans="1:8" s="401" customFormat="1" ht="14.25" customHeight="1" x14ac:dyDescent="0.25">
      <c r="A629" s="564">
        <v>1122</v>
      </c>
      <c r="B629" s="562" t="s">
        <v>785</v>
      </c>
      <c r="C629" s="403">
        <v>1018</v>
      </c>
      <c r="D629" s="400"/>
      <c r="E629" s="400"/>
      <c r="F629" s="400"/>
      <c r="G629" s="400"/>
      <c r="H629" s="396"/>
    </row>
    <row r="630" spans="1:8" s="401" customFormat="1" ht="14.25" customHeight="1" x14ac:dyDescent="0.25">
      <c r="A630" s="564">
        <v>1128</v>
      </c>
      <c r="B630" s="562" t="s">
        <v>787</v>
      </c>
      <c r="C630" s="403">
        <v>1</v>
      </c>
      <c r="D630" s="400"/>
      <c r="E630" s="400"/>
      <c r="F630" s="400"/>
      <c r="G630" s="400"/>
      <c r="H630" s="396"/>
    </row>
    <row r="631" spans="1:8" s="401" customFormat="1" ht="14.25" customHeight="1" x14ac:dyDescent="0.25">
      <c r="A631" s="564">
        <v>1133</v>
      </c>
      <c r="B631" s="562" t="s">
        <v>819</v>
      </c>
      <c r="C631" s="403">
        <v>1270.2</v>
      </c>
      <c r="D631" s="400"/>
      <c r="E631" s="400"/>
      <c r="F631" s="400"/>
      <c r="G631" s="400"/>
      <c r="H631" s="396"/>
    </row>
    <row r="632" spans="1:8" s="401" customFormat="1" ht="14.25" customHeight="1" x14ac:dyDescent="0.25">
      <c r="A632" s="564">
        <v>1139</v>
      </c>
      <c r="B632" s="562" t="s">
        <v>804</v>
      </c>
      <c r="C632" s="403">
        <v>3119</v>
      </c>
      <c r="D632" s="400"/>
      <c r="E632" s="400"/>
      <c r="F632" s="400"/>
      <c r="G632" s="400"/>
      <c r="H632" s="396"/>
    </row>
    <row r="633" spans="1:8" s="401" customFormat="1" ht="14.25" customHeight="1" x14ac:dyDescent="0.25">
      <c r="A633" s="564">
        <v>4220</v>
      </c>
      <c r="B633" s="562" t="s">
        <v>821</v>
      </c>
      <c r="C633" s="403">
        <v>362.14</v>
      </c>
      <c r="D633" s="400"/>
      <c r="E633" s="400"/>
      <c r="F633" s="400"/>
      <c r="G633" s="400"/>
      <c r="H633" s="396"/>
    </row>
    <row r="634" spans="1:8" s="401" customFormat="1" ht="14.25" customHeight="1" x14ac:dyDescent="0.25">
      <c r="A634" s="564">
        <v>4221</v>
      </c>
      <c r="B634" s="562" t="s">
        <v>821</v>
      </c>
      <c r="C634" s="403">
        <v>362.14</v>
      </c>
      <c r="D634" s="400"/>
      <c r="E634" s="400"/>
      <c r="F634" s="400"/>
      <c r="G634" s="400"/>
      <c r="H634" s="396"/>
    </row>
    <row r="635" spans="1:8" s="401" customFormat="1" ht="14.25" customHeight="1" x14ac:dyDescent="0.25">
      <c r="A635" s="564">
        <v>4222</v>
      </c>
      <c r="B635" s="562" t="s">
        <v>821</v>
      </c>
      <c r="C635" s="403">
        <v>362.14</v>
      </c>
      <c r="D635" s="400"/>
      <c r="E635" s="400"/>
      <c r="F635" s="400"/>
      <c r="G635" s="400"/>
      <c r="H635" s="396"/>
    </row>
    <row r="636" spans="1:8" s="401" customFormat="1" ht="14.25" customHeight="1" x14ac:dyDescent="0.25">
      <c r="A636" s="564">
        <v>4225</v>
      </c>
      <c r="B636" s="562" t="s">
        <v>821</v>
      </c>
      <c r="C636" s="403">
        <v>362.14</v>
      </c>
      <c r="D636" s="400"/>
      <c r="E636" s="400"/>
      <c r="F636" s="400"/>
      <c r="G636" s="400"/>
      <c r="H636" s="396"/>
    </row>
    <row r="637" spans="1:8" s="401" customFormat="1" ht="14.25" customHeight="1" x14ac:dyDescent="0.25">
      <c r="A637" s="564">
        <v>4227</v>
      </c>
      <c r="B637" s="562" t="s">
        <v>821</v>
      </c>
      <c r="C637" s="403">
        <v>362.14</v>
      </c>
      <c r="D637" s="400"/>
      <c r="E637" s="400"/>
      <c r="F637" s="400"/>
      <c r="G637" s="400"/>
      <c r="H637" s="396"/>
    </row>
    <row r="638" spans="1:8" s="401" customFormat="1" ht="14.25" customHeight="1" x14ac:dyDescent="0.25">
      <c r="A638" s="564">
        <v>4229</v>
      </c>
      <c r="B638" s="562" t="s">
        <v>821</v>
      </c>
      <c r="C638" s="403">
        <v>362.14</v>
      </c>
      <c r="D638" s="400"/>
      <c r="E638" s="400"/>
      <c r="F638" s="400"/>
      <c r="G638" s="400"/>
      <c r="H638" s="396"/>
    </row>
    <row r="639" spans="1:8" s="401" customFormat="1" ht="14.25" customHeight="1" x14ac:dyDescent="0.25">
      <c r="A639" s="564">
        <v>4230</v>
      </c>
      <c r="B639" s="562" t="s">
        <v>821</v>
      </c>
      <c r="C639" s="403">
        <v>362.14</v>
      </c>
      <c r="D639" s="400"/>
      <c r="E639" s="400"/>
      <c r="F639" s="400"/>
      <c r="G639" s="400"/>
      <c r="H639" s="396"/>
    </row>
    <row r="640" spans="1:8" s="401" customFormat="1" ht="14.25" customHeight="1" x14ac:dyDescent="0.25">
      <c r="A640" s="564">
        <v>4232</v>
      </c>
      <c r="B640" s="562" t="s">
        <v>821</v>
      </c>
      <c r="C640" s="403">
        <v>362.14</v>
      </c>
      <c r="D640" s="400"/>
      <c r="E640" s="400"/>
      <c r="F640" s="400"/>
      <c r="G640" s="400"/>
      <c r="H640" s="396"/>
    </row>
    <row r="641" spans="1:8" s="401" customFormat="1" ht="14.25" customHeight="1" x14ac:dyDescent="0.25">
      <c r="A641" s="564">
        <v>4236</v>
      </c>
      <c r="B641" s="562" t="s">
        <v>821</v>
      </c>
      <c r="C641" s="403">
        <v>362.14</v>
      </c>
      <c r="D641" s="400"/>
      <c r="E641" s="400"/>
      <c r="F641" s="400"/>
      <c r="G641" s="400"/>
      <c r="H641" s="396"/>
    </row>
    <row r="642" spans="1:8" s="401" customFormat="1" ht="14.25" customHeight="1" x14ac:dyDescent="0.25">
      <c r="A642" s="564">
        <v>4237</v>
      </c>
      <c r="B642" s="562" t="s">
        <v>821</v>
      </c>
      <c r="C642" s="403">
        <v>362.14</v>
      </c>
      <c r="D642" s="400"/>
      <c r="E642" s="400"/>
      <c r="F642" s="400"/>
      <c r="G642" s="400"/>
      <c r="H642" s="396"/>
    </row>
    <row r="643" spans="1:8" s="401" customFormat="1" ht="14.25" customHeight="1" x14ac:dyDescent="0.25">
      <c r="A643" s="564">
        <v>4242</v>
      </c>
      <c r="B643" s="562" t="s">
        <v>821</v>
      </c>
      <c r="C643" s="403">
        <v>362.14</v>
      </c>
      <c r="D643" s="400"/>
      <c r="E643" s="400"/>
      <c r="F643" s="400"/>
      <c r="G643" s="400"/>
      <c r="H643" s="396"/>
    </row>
    <row r="644" spans="1:8" s="401" customFormat="1" ht="14.25" customHeight="1" x14ac:dyDescent="0.25">
      <c r="A644" s="564">
        <v>4256</v>
      </c>
      <c r="B644" s="562" t="s">
        <v>821</v>
      </c>
      <c r="C644" s="403">
        <v>362.14</v>
      </c>
      <c r="D644" s="400"/>
      <c r="E644" s="400"/>
      <c r="F644" s="400"/>
      <c r="G644" s="400"/>
      <c r="H644" s="396"/>
    </row>
    <row r="645" spans="1:8" s="401" customFormat="1" ht="14.25" customHeight="1" x14ac:dyDescent="0.25">
      <c r="A645" s="564">
        <v>4261</v>
      </c>
      <c r="B645" s="562" t="s">
        <v>821</v>
      </c>
      <c r="C645" s="403">
        <v>362.14</v>
      </c>
      <c r="D645" s="400"/>
      <c r="E645" s="400"/>
      <c r="F645" s="400"/>
      <c r="G645" s="400"/>
      <c r="H645" s="396"/>
    </row>
    <row r="646" spans="1:8" s="401" customFormat="1" ht="14.25" customHeight="1" x14ac:dyDescent="0.25">
      <c r="A646" s="564">
        <v>4277</v>
      </c>
      <c r="B646" s="562" t="s">
        <v>821</v>
      </c>
      <c r="C646" s="403">
        <v>362.14</v>
      </c>
      <c r="D646" s="400"/>
      <c r="E646" s="400"/>
      <c r="F646" s="400"/>
      <c r="G646" s="400"/>
      <c r="H646" s="396"/>
    </row>
    <row r="647" spans="1:8" s="401" customFormat="1" ht="14.25" customHeight="1" x14ac:dyDescent="0.25">
      <c r="A647" s="564">
        <v>4354</v>
      </c>
      <c r="B647" s="562" t="s">
        <v>821</v>
      </c>
      <c r="C647" s="403">
        <v>362.14</v>
      </c>
      <c r="D647" s="400"/>
      <c r="E647" s="400"/>
      <c r="F647" s="400"/>
      <c r="G647" s="400"/>
      <c r="H647" s="396"/>
    </row>
    <row r="648" spans="1:8" s="401" customFormat="1" ht="14.25" customHeight="1" x14ac:dyDescent="0.25">
      <c r="A648" s="564">
        <v>4356</v>
      </c>
      <c r="B648" s="562" t="s">
        <v>821</v>
      </c>
      <c r="C648" s="403">
        <v>362.14</v>
      </c>
      <c r="D648" s="400"/>
      <c r="E648" s="400"/>
      <c r="F648" s="400"/>
      <c r="G648" s="400"/>
      <c r="H648" s="396"/>
    </row>
    <row r="649" spans="1:8" s="401" customFormat="1" ht="14.25" customHeight="1" x14ac:dyDescent="0.25">
      <c r="A649" s="564">
        <v>4357</v>
      </c>
      <c r="B649" s="562" t="s">
        <v>821</v>
      </c>
      <c r="C649" s="403">
        <v>362.14</v>
      </c>
      <c r="D649" s="400"/>
      <c r="E649" s="400"/>
      <c r="F649" s="400"/>
      <c r="G649" s="400"/>
      <c r="H649" s="396"/>
    </row>
    <row r="650" spans="1:8" s="401" customFormat="1" ht="14.25" customHeight="1" x14ac:dyDescent="0.25">
      <c r="A650" s="564">
        <v>4362</v>
      </c>
      <c r="B650" s="562" t="s">
        <v>821</v>
      </c>
      <c r="C650" s="403">
        <v>362.14</v>
      </c>
      <c r="D650" s="400"/>
      <c r="E650" s="400"/>
      <c r="F650" s="400"/>
      <c r="G650" s="400"/>
      <c r="H650" s="396"/>
    </row>
    <row r="651" spans="1:8" s="401" customFormat="1" ht="14.25" customHeight="1" x14ac:dyDescent="0.25">
      <c r="A651" s="564">
        <v>4363</v>
      </c>
      <c r="B651" s="562" t="s">
        <v>821</v>
      </c>
      <c r="C651" s="403">
        <v>362.14</v>
      </c>
      <c r="D651" s="400"/>
      <c r="E651" s="400"/>
      <c r="F651" s="400"/>
      <c r="G651" s="400"/>
      <c r="H651" s="396"/>
    </row>
    <row r="652" spans="1:8" s="401" customFormat="1" ht="14.25" customHeight="1" x14ac:dyDescent="0.25">
      <c r="A652" s="564">
        <v>4368</v>
      </c>
      <c r="B652" s="562" t="s">
        <v>821</v>
      </c>
      <c r="C652" s="403">
        <v>362.14</v>
      </c>
      <c r="D652" s="400"/>
      <c r="E652" s="400"/>
      <c r="F652" s="400"/>
      <c r="G652" s="400"/>
      <c r="H652" s="396"/>
    </row>
    <row r="653" spans="1:8" s="401" customFormat="1" ht="14.25" customHeight="1" x14ac:dyDescent="0.25">
      <c r="A653" s="564">
        <v>4369</v>
      </c>
      <c r="B653" s="562" t="s">
        <v>821</v>
      </c>
      <c r="C653" s="403">
        <v>362.14</v>
      </c>
      <c r="D653" s="400"/>
      <c r="E653" s="400"/>
      <c r="F653" s="400"/>
      <c r="G653" s="400"/>
      <c r="H653" s="396"/>
    </row>
    <row r="654" spans="1:8" s="401" customFormat="1" ht="14.25" customHeight="1" x14ac:dyDescent="0.25">
      <c r="A654" s="564">
        <v>4370</v>
      </c>
      <c r="B654" s="562" t="s">
        <v>821</v>
      </c>
      <c r="C654" s="403">
        <v>362.14</v>
      </c>
      <c r="D654" s="400"/>
      <c r="E654" s="400"/>
      <c r="F654" s="400"/>
      <c r="G654" s="400"/>
      <c r="H654" s="396"/>
    </row>
    <row r="655" spans="1:8" s="401" customFormat="1" ht="14.25" customHeight="1" x14ac:dyDescent="0.25">
      <c r="A655" s="564">
        <v>4371</v>
      </c>
      <c r="B655" s="562" t="s">
        <v>821</v>
      </c>
      <c r="C655" s="403">
        <v>362.14</v>
      </c>
      <c r="D655" s="400"/>
      <c r="E655" s="400"/>
      <c r="F655" s="400"/>
      <c r="G655" s="400"/>
      <c r="H655" s="396"/>
    </row>
    <row r="656" spans="1:8" s="401" customFormat="1" ht="14.25" customHeight="1" x14ac:dyDescent="0.25">
      <c r="A656" s="564">
        <v>4372</v>
      </c>
      <c r="B656" s="562" t="s">
        <v>821</v>
      </c>
      <c r="C656" s="403">
        <v>362.14</v>
      </c>
      <c r="D656" s="400"/>
      <c r="E656" s="400"/>
      <c r="F656" s="400"/>
      <c r="G656" s="400"/>
      <c r="H656" s="396"/>
    </row>
    <row r="657" spans="1:8" s="401" customFormat="1" ht="14.25" customHeight="1" x14ac:dyDescent="0.25">
      <c r="A657" s="564">
        <v>4373</v>
      </c>
      <c r="B657" s="562" t="s">
        <v>821</v>
      </c>
      <c r="C657" s="403">
        <v>362.14</v>
      </c>
      <c r="D657" s="400"/>
      <c r="E657" s="400"/>
      <c r="F657" s="400"/>
      <c r="G657" s="400"/>
      <c r="H657" s="396"/>
    </row>
    <row r="658" spans="1:8" s="401" customFormat="1" ht="14.25" customHeight="1" x14ac:dyDescent="0.25">
      <c r="A658" s="564">
        <v>4376</v>
      </c>
      <c r="B658" s="562" t="s">
        <v>821</v>
      </c>
      <c r="C658" s="403">
        <v>362.14</v>
      </c>
      <c r="D658" s="400"/>
      <c r="E658" s="400"/>
      <c r="F658" s="400"/>
      <c r="G658" s="400"/>
      <c r="H658" s="396"/>
    </row>
    <row r="659" spans="1:8" s="401" customFormat="1" ht="14.25" customHeight="1" x14ac:dyDescent="0.25">
      <c r="A659" s="564">
        <v>4377</v>
      </c>
      <c r="B659" s="562" t="s">
        <v>821</v>
      </c>
      <c r="C659" s="403">
        <v>362.14</v>
      </c>
      <c r="D659" s="400"/>
      <c r="E659" s="400"/>
      <c r="F659" s="400"/>
      <c r="G659" s="400"/>
      <c r="H659" s="396"/>
    </row>
    <row r="660" spans="1:8" s="401" customFormat="1" ht="14.25" customHeight="1" x14ac:dyDescent="0.25">
      <c r="A660" s="564">
        <v>4378</v>
      </c>
      <c r="B660" s="562" t="s">
        <v>821</v>
      </c>
      <c r="C660" s="403">
        <v>362.14</v>
      </c>
      <c r="D660" s="400"/>
      <c r="E660" s="400"/>
      <c r="F660" s="400"/>
      <c r="G660" s="400"/>
      <c r="H660" s="396"/>
    </row>
    <row r="661" spans="1:8" s="401" customFormat="1" ht="14.25" customHeight="1" x14ac:dyDescent="0.25">
      <c r="A661" s="564">
        <v>4381</v>
      </c>
      <c r="B661" s="562" t="s">
        <v>821</v>
      </c>
      <c r="C661" s="403">
        <v>362.14</v>
      </c>
      <c r="D661" s="400"/>
      <c r="E661" s="400"/>
      <c r="F661" s="400"/>
      <c r="G661" s="400"/>
      <c r="H661" s="396"/>
    </row>
    <row r="662" spans="1:8" s="401" customFormat="1" ht="14.25" customHeight="1" x14ac:dyDescent="0.25">
      <c r="A662" s="564">
        <v>4383</v>
      </c>
      <c r="B662" s="562" t="s">
        <v>821</v>
      </c>
      <c r="C662" s="403">
        <v>362.14</v>
      </c>
      <c r="D662" s="400"/>
      <c r="E662" s="400"/>
      <c r="F662" s="400"/>
      <c r="G662" s="400"/>
      <c r="H662" s="396"/>
    </row>
    <row r="663" spans="1:8" s="401" customFormat="1" ht="14.25" customHeight="1" x14ac:dyDescent="0.25">
      <c r="A663" s="564">
        <v>4384</v>
      </c>
      <c r="B663" s="562" t="s">
        <v>821</v>
      </c>
      <c r="C663" s="403">
        <v>362.14</v>
      </c>
      <c r="D663" s="400"/>
      <c r="E663" s="400"/>
      <c r="F663" s="400"/>
      <c r="G663" s="400"/>
      <c r="H663" s="396"/>
    </row>
    <row r="664" spans="1:8" s="401" customFormat="1" ht="14.25" customHeight="1" x14ac:dyDescent="0.25">
      <c r="A664" s="564">
        <v>4385</v>
      </c>
      <c r="B664" s="562" t="s">
        <v>821</v>
      </c>
      <c r="C664" s="403">
        <v>362.14</v>
      </c>
      <c r="D664" s="400"/>
      <c r="E664" s="400"/>
      <c r="F664" s="400"/>
      <c r="G664" s="400"/>
      <c r="H664" s="396"/>
    </row>
    <row r="665" spans="1:8" s="401" customFormat="1" ht="14.25" customHeight="1" x14ac:dyDescent="0.25">
      <c r="A665" s="564">
        <v>4386</v>
      </c>
      <c r="B665" s="562" t="s">
        <v>821</v>
      </c>
      <c r="C665" s="403">
        <v>362.14</v>
      </c>
      <c r="D665" s="400"/>
      <c r="E665" s="400"/>
      <c r="F665" s="400"/>
      <c r="G665" s="400"/>
      <c r="H665" s="396"/>
    </row>
    <row r="666" spans="1:8" s="401" customFormat="1" ht="14.25" customHeight="1" x14ac:dyDescent="0.25">
      <c r="A666" s="564">
        <v>4387</v>
      </c>
      <c r="B666" s="562" t="s">
        <v>821</v>
      </c>
      <c r="C666" s="403">
        <v>362.14</v>
      </c>
      <c r="D666" s="400"/>
      <c r="E666" s="400"/>
      <c r="F666" s="400"/>
      <c r="G666" s="400"/>
      <c r="H666" s="396"/>
    </row>
    <row r="667" spans="1:8" s="401" customFormat="1" ht="14.25" customHeight="1" x14ac:dyDescent="0.25">
      <c r="A667" s="564">
        <v>4388</v>
      </c>
      <c r="B667" s="562" t="s">
        <v>821</v>
      </c>
      <c r="C667" s="403">
        <v>362.14</v>
      </c>
      <c r="D667" s="400"/>
      <c r="E667" s="400"/>
      <c r="F667" s="400"/>
      <c r="G667" s="400"/>
      <c r="H667" s="396"/>
    </row>
    <row r="668" spans="1:8" s="401" customFormat="1" ht="14.25" customHeight="1" x14ac:dyDescent="0.25">
      <c r="A668" s="564">
        <v>4389</v>
      </c>
      <c r="B668" s="562" t="s">
        <v>821</v>
      </c>
      <c r="C668" s="403">
        <v>362.14</v>
      </c>
      <c r="D668" s="400"/>
      <c r="E668" s="400"/>
      <c r="F668" s="400"/>
      <c r="G668" s="400"/>
      <c r="H668" s="396"/>
    </row>
    <row r="669" spans="1:8" s="401" customFormat="1" ht="14.25" customHeight="1" x14ac:dyDescent="0.25">
      <c r="A669" s="564">
        <v>4390</v>
      </c>
      <c r="B669" s="562" t="s">
        <v>821</v>
      </c>
      <c r="C669" s="403">
        <v>362.14</v>
      </c>
      <c r="D669" s="400"/>
      <c r="E669" s="400"/>
      <c r="F669" s="400"/>
      <c r="G669" s="400"/>
      <c r="H669" s="396"/>
    </row>
    <row r="670" spans="1:8" s="401" customFormat="1" ht="14.25" customHeight="1" x14ac:dyDescent="0.25">
      <c r="A670" s="564">
        <v>4392</v>
      </c>
      <c r="B670" s="562" t="s">
        <v>821</v>
      </c>
      <c r="C670" s="403">
        <v>362.14</v>
      </c>
      <c r="D670" s="400"/>
      <c r="E670" s="400"/>
      <c r="F670" s="400"/>
      <c r="G670" s="400"/>
      <c r="H670" s="396"/>
    </row>
    <row r="671" spans="1:8" s="401" customFormat="1" ht="14.25" customHeight="1" x14ac:dyDescent="0.25">
      <c r="A671" s="564">
        <v>4393</v>
      </c>
      <c r="B671" s="562" t="s">
        <v>821</v>
      </c>
      <c r="C671" s="403">
        <v>362.14</v>
      </c>
      <c r="D671" s="400"/>
      <c r="E671" s="400"/>
      <c r="F671" s="400"/>
      <c r="G671" s="400"/>
      <c r="H671" s="396"/>
    </row>
    <row r="672" spans="1:8" s="401" customFormat="1" ht="14.25" customHeight="1" x14ac:dyDescent="0.25">
      <c r="A672" s="564">
        <v>4394</v>
      </c>
      <c r="B672" s="562" t="s">
        <v>822</v>
      </c>
      <c r="C672" s="403">
        <v>1359.56</v>
      </c>
      <c r="D672" s="400"/>
      <c r="E672" s="400"/>
      <c r="F672" s="400"/>
      <c r="G672" s="400"/>
      <c r="H672" s="396"/>
    </row>
    <row r="673" spans="1:8" s="401" customFormat="1" ht="14.25" customHeight="1" x14ac:dyDescent="0.25">
      <c r="A673" s="564">
        <v>4396</v>
      </c>
      <c r="B673" s="562" t="s">
        <v>822</v>
      </c>
      <c r="C673" s="403">
        <v>1359.56</v>
      </c>
      <c r="D673" s="400"/>
      <c r="E673" s="400"/>
      <c r="F673" s="400"/>
      <c r="G673" s="400"/>
      <c r="H673" s="396"/>
    </row>
    <row r="674" spans="1:8" s="401" customFormat="1" ht="14.25" customHeight="1" x14ac:dyDescent="0.25">
      <c r="A674" s="564">
        <v>4397</v>
      </c>
      <c r="B674" s="562" t="s">
        <v>822</v>
      </c>
      <c r="C674" s="403">
        <v>1359.56</v>
      </c>
      <c r="D674" s="400"/>
      <c r="E674" s="400"/>
      <c r="F674" s="400"/>
      <c r="G674" s="400"/>
      <c r="H674" s="396"/>
    </row>
    <row r="675" spans="1:8" s="401" customFormat="1" ht="14.25" customHeight="1" x14ac:dyDescent="0.25">
      <c r="A675" s="564">
        <v>4398</v>
      </c>
      <c r="B675" s="562" t="s">
        <v>822</v>
      </c>
      <c r="C675" s="403">
        <v>1359.56</v>
      </c>
      <c r="D675" s="400"/>
      <c r="E675" s="400"/>
      <c r="F675" s="400"/>
      <c r="G675" s="400"/>
      <c r="H675" s="396"/>
    </row>
    <row r="676" spans="1:8" s="401" customFormat="1" ht="14.25" customHeight="1" x14ac:dyDescent="0.25">
      <c r="A676" s="564">
        <v>988</v>
      </c>
      <c r="B676" s="562" t="s">
        <v>785</v>
      </c>
      <c r="C676" s="403">
        <v>1334</v>
      </c>
      <c r="D676" s="400"/>
      <c r="E676" s="400"/>
      <c r="F676" s="400"/>
      <c r="G676" s="400"/>
      <c r="H676" s="396"/>
    </row>
    <row r="677" spans="1:8" s="401" customFormat="1" ht="14.25" customHeight="1" x14ac:dyDescent="0.25">
      <c r="A677" s="564">
        <v>1641</v>
      </c>
      <c r="B677" s="562" t="s">
        <v>785</v>
      </c>
      <c r="C677" s="403">
        <v>1</v>
      </c>
      <c r="D677" s="400"/>
      <c r="E677" s="400"/>
      <c r="F677" s="400"/>
      <c r="G677" s="400"/>
      <c r="H677" s="396"/>
    </row>
    <row r="678" spans="1:8" s="401" customFormat="1" ht="14.25" customHeight="1" x14ac:dyDescent="0.25">
      <c r="A678" s="564">
        <v>1644</v>
      </c>
      <c r="B678" s="562" t="s">
        <v>798</v>
      </c>
      <c r="C678" s="403">
        <v>4894</v>
      </c>
      <c r="D678" s="400"/>
      <c r="E678" s="400"/>
      <c r="F678" s="400"/>
      <c r="G678" s="400"/>
      <c r="H678" s="396"/>
    </row>
    <row r="679" spans="1:8" s="401" customFormat="1" ht="14.25" customHeight="1" x14ac:dyDescent="0.25">
      <c r="A679" s="564">
        <v>1650</v>
      </c>
      <c r="B679" s="562" t="s">
        <v>791</v>
      </c>
      <c r="C679" s="403">
        <v>1</v>
      </c>
      <c r="D679" s="400"/>
      <c r="E679" s="400"/>
      <c r="F679" s="400"/>
      <c r="G679" s="400"/>
      <c r="H679" s="396"/>
    </row>
    <row r="680" spans="1:8" s="401" customFormat="1" ht="14.25" customHeight="1" x14ac:dyDescent="0.25">
      <c r="A680" s="564">
        <v>1660</v>
      </c>
      <c r="B680" s="562" t="s">
        <v>788</v>
      </c>
      <c r="C680" s="403">
        <v>1</v>
      </c>
      <c r="D680" s="400"/>
      <c r="E680" s="400"/>
      <c r="F680" s="400"/>
      <c r="G680" s="400"/>
      <c r="H680" s="396"/>
    </row>
    <row r="681" spans="1:8" s="401" customFormat="1" ht="14.25" customHeight="1" x14ac:dyDescent="0.25">
      <c r="A681" s="564">
        <v>1687</v>
      </c>
      <c r="B681" s="562" t="s">
        <v>787</v>
      </c>
      <c r="C681" s="403">
        <v>20963</v>
      </c>
      <c r="D681" s="400"/>
      <c r="E681" s="400"/>
      <c r="F681" s="400"/>
      <c r="G681" s="400"/>
      <c r="H681" s="396"/>
    </row>
    <row r="682" spans="1:8" s="401" customFormat="1" ht="14.25" customHeight="1" x14ac:dyDescent="0.25">
      <c r="A682" s="564">
        <v>1689</v>
      </c>
      <c r="B682" s="562" t="s">
        <v>790</v>
      </c>
      <c r="C682" s="403">
        <v>576</v>
      </c>
      <c r="D682" s="400"/>
      <c r="E682" s="400"/>
      <c r="F682" s="400"/>
      <c r="G682" s="400"/>
      <c r="H682" s="396"/>
    </row>
    <row r="683" spans="1:8" s="401" customFormat="1" ht="14.25" customHeight="1" x14ac:dyDescent="0.25">
      <c r="A683" s="564">
        <v>1691</v>
      </c>
      <c r="B683" s="562" t="s">
        <v>786</v>
      </c>
      <c r="C683" s="403">
        <v>4600</v>
      </c>
      <c r="D683" s="400"/>
      <c r="E683" s="400"/>
      <c r="F683" s="400"/>
      <c r="G683" s="400"/>
      <c r="H683" s="396"/>
    </row>
    <row r="684" spans="1:8" s="401" customFormat="1" ht="14.25" customHeight="1" x14ac:dyDescent="0.25">
      <c r="A684" s="564">
        <v>1692</v>
      </c>
      <c r="B684" s="562" t="s">
        <v>786</v>
      </c>
      <c r="C684" s="403">
        <v>1552</v>
      </c>
      <c r="D684" s="400"/>
      <c r="E684" s="400"/>
      <c r="F684" s="400"/>
      <c r="G684" s="400"/>
      <c r="H684" s="396"/>
    </row>
    <row r="685" spans="1:8" s="401" customFormat="1" ht="14.25" customHeight="1" x14ac:dyDescent="0.25">
      <c r="A685" s="564">
        <v>1694</v>
      </c>
      <c r="B685" s="562" t="s">
        <v>795</v>
      </c>
      <c r="C685" s="403">
        <v>1</v>
      </c>
      <c r="D685" s="400"/>
      <c r="E685" s="400"/>
      <c r="F685" s="400"/>
      <c r="G685" s="400"/>
      <c r="H685" s="396"/>
    </row>
    <row r="686" spans="1:8" s="401" customFormat="1" ht="14.25" customHeight="1" x14ac:dyDescent="0.25">
      <c r="A686" s="564">
        <v>1698</v>
      </c>
      <c r="B686" s="562" t="s">
        <v>800</v>
      </c>
      <c r="C686" s="403">
        <v>800</v>
      </c>
      <c r="D686" s="400"/>
      <c r="E686" s="400"/>
      <c r="F686" s="400"/>
      <c r="G686" s="400"/>
      <c r="H686" s="396"/>
    </row>
    <row r="687" spans="1:8" s="401" customFormat="1" ht="14.25" customHeight="1" x14ac:dyDescent="0.25">
      <c r="A687" s="564">
        <v>1700</v>
      </c>
      <c r="B687" s="562" t="s">
        <v>808</v>
      </c>
      <c r="C687" s="403">
        <v>1</v>
      </c>
      <c r="D687" s="400"/>
      <c r="E687" s="400"/>
      <c r="F687" s="400"/>
      <c r="G687" s="400"/>
      <c r="H687" s="396"/>
    </row>
    <row r="688" spans="1:8" s="401" customFormat="1" ht="14.25" customHeight="1" x14ac:dyDescent="0.25">
      <c r="A688" s="564">
        <v>1707</v>
      </c>
      <c r="B688" s="562" t="s">
        <v>785</v>
      </c>
      <c r="C688" s="403">
        <v>1202</v>
      </c>
      <c r="D688" s="400"/>
      <c r="E688" s="400"/>
      <c r="F688" s="400"/>
      <c r="G688" s="400"/>
      <c r="H688" s="396"/>
    </row>
    <row r="689" spans="1:8" s="401" customFormat="1" ht="14.25" customHeight="1" x14ac:dyDescent="0.25">
      <c r="A689" s="564">
        <v>1709</v>
      </c>
      <c r="B689" s="562" t="s">
        <v>785</v>
      </c>
      <c r="C689" s="403">
        <v>32</v>
      </c>
      <c r="D689" s="400"/>
      <c r="E689" s="400"/>
      <c r="F689" s="400"/>
      <c r="G689" s="400"/>
      <c r="H689" s="396"/>
    </row>
    <row r="690" spans="1:8" s="401" customFormat="1" ht="14.25" customHeight="1" x14ac:dyDescent="0.25">
      <c r="A690" s="564">
        <v>1722</v>
      </c>
      <c r="B690" s="562" t="s">
        <v>787</v>
      </c>
      <c r="C690" s="403">
        <v>7935</v>
      </c>
      <c r="D690" s="400"/>
      <c r="E690" s="400"/>
      <c r="F690" s="400"/>
      <c r="G690" s="400"/>
      <c r="H690" s="396"/>
    </row>
    <row r="691" spans="1:8" s="401" customFormat="1" ht="14.25" customHeight="1" x14ac:dyDescent="0.25">
      <c r="A691" s="564">
        <v>1724</v>
      </c>
      <c r="B691" s="562" t="s">
        <v>794</v>
      </c>
      <c r="C691" s="403">
        <v>843.43</v>
      </c>
      <c r="D691" s="400"/>
      <c r="E691" s="400"/>
      <c r="F691" s="400"/>
      <c r="G691" s="400"/>
      <c r="H691" s="396"/>
    </row>
    <row r="692" spans="1:8" s="401" customFormat="1" ht="14.25" customHeight="1" x14ac:dyDescent="0.25">
      <c r="A692" s="564">
        <v>1726</v>
      </c>
      <c r="B692" s="562" t="s">
        <v>785</v>
      </c>
      <c r="C692" s="403">
        <v>1</v>
      </c>
      <c r="D692" s="400"/>
      <c r="E692" s="400"/>
      <c r="F692" s="400"/>
      <c r="G692" s="400"/>
      <c r="H692" s="396"/>
    </row>
    <row r="693" spans="1:8" s="401" customFormat="1" ht="14.25" customHeight="1" x14ac:dyDescent="0.25">
      <c r="A693" s="564">
        <v>1727</v>
      </c>
      <c r="B693" s="562" t="s">
        <v>788</v>
      </c>
      <c r="C693" s="403">
        <v>1</v>
      </c>
      <c r="D693" s="400"/>
      <c r="E693" s="400"/>
      <c r="F693" s="400"/>
      <c r="G693" s="400"/>
      <c r="H693" s="396"/>
    </row>
    <row r="694" spans="1:8" s="401" customFormat="1" ht="14.25" customHeight="1" x14ac:dyDescent="0.25">
      <c r="A694" s="564">
        <v>4405</v>
      </c>
      <c r="B694" s="562" t="s">
        <v>785</v>
      </c>
      <c r="C694" s="403">
        <v>382</v>
      </c>
      <c r="D694" s="400"/>
      <c r="E694" s="400"/>
      <c r="F694" s="400"/>
      <c r="G694" s="400"/>
      <c r="H694" s="396"/>
    </row>
    <row r="695" spans="1:8" s="401" customFormat="1" ht="14.25" customHeight="1" x14ac:dyDescent="0.25">
      <c r="A695" s="564">
        <v>4406</v>
      </c>
      <c r="B695" s="562" t="s">
        <v>823</v>
      </c>
      <c r="C695" s="403">
        <v>382</v>
      </c>
      <c r="D695" s="400"/>
      <c r="E695" s="400"/>
      <c r="F695" s="400"/>
      <c r="G695" s="400"/>
      <c r="H695" s="396"/>
    </row>
    <row r="696" spans="1:8" s="401" customFormat="1" ht="14.25" customHeight="1" x14ac:dyDescent="0.25">
      <c r="A696" s="564">
        <v>4407</v>
      </c>
      <c r="B696" s="562" t="s">
        <v>785</v>
      </c>
      <c r="C696" s="403">
        <v>997</v>
      </c>
      <c r="D696" s="400"/>
      <c r="E696" s="400"/>
      <c r="F696" s="400"/>
      <c r="G696" s="400"/>
      <c r="H696" s="396"/>
    </row>
    <row r="697" spans="1:8" s="401" customFormat="1" ht="14.25" customHeight="1" x14ac:dyDescent="0.25">
      <c r="A697" s="564">
        <v>4408</v>
      </c>
      <c r="B697" s="562" t="s">
        <v>785</v>
      </c>
      <c r="C697" s="403">
        <v>997</v>
      </c>
      <c r="D697" s="400"/>
      <c r="E697" s="400"/>
      <c r="F697" s="400"/>
      <c r="G697" s="400"/>
      <c r="H697" s="396"/>
    </row>
    <row r="698" spans="1:8" s="401" customFormat="1" ht="14.25" customHeight="1" x14ac:dyDescent="0.25">
      <c r="A698" s="564">
        <v>5132</v>
      </c>
      <c r="B698" s="562" t="s">
        <v>786</v>
      </c>
      <c r="C698" s="403">
        <v>2415</v>
      </c>
      <c r="D698" s="400"/>
      <c r="E698" s="400"/>
      <c r="F698" s="400"/>
      <c r="G698" s="400"/>
      <c r="H698" s="396"/>
    </row>
    <row r="699" spans="1:8" s="401" customFormat="1" ht="14.25" customHeight="1" x14ac:dyDescent="0.25">
      <c r="A699" s="564">
        <v>872</v>
      </c>
      <c r="B699" s="562" t="s">
        <v>785</v>
      </c>
      <c r="C699" s="403">
        <v>2128</v>
      </c>
      <c r="D699" s="400"/>
      <c r="E699" s="400"/>
      <c r="F699" s="400"/>
      <c r="G699" s="400"/>
      <c r="H699" s="396"/>
    </row>
    <row r="700" spans="1:8" s="401" customFormat="1" ht="14.25" customHeight="1" x14ac:dyDescent="0.25">
      <c r="A700" s="564">
        <v>876</v>
      </c>
      <c r="B700" s="562" t="s">
        <v>785</v>
      </c>
      <c r="C700" s="403">
        <v>334</v>
      </c>
      <c r="D700" s="400"/>
      <c r="E700" s="400"/>
      <c r="F700" s="400"/>
      <c r="G700" s="400"/>
      <c r="H700" s="396"/>
    </row>
    <row r="701" spans="1:8" s="401" customFormat="1" ht="14.25" customHeight="1" x14ac:dyDescent="0.25">
      <c r="A701" s="564">
        <v>879</v>
      </c>
      <c r="B701" s="562" t="s">
        <v>785</v>
      </c>
      <c r="C701" s="403">
        <v>1202</v>
      </c>
      <c r="D701" s="400"/>
      <c r="E701" s="400"/>
      <c r="F701" s="400"/>
      <c r="G701" s="400"/>
      <c r="H701" s="396"/>
    </row>
    <row r="702" spans="1:8" s="401" customFormat="1" ht="14.25" customHeight="1" x14ac:dyDescent="0.25">
      <c r="A702" s="564">
        <v>890</v>
      </c>
      <c r="B702" s="562" t="s">
        <v>785</v>
      </c>
      <c r="C702" s="403">
        <v>1288</v>
      </c>
      <c r="D702" s="400"/>
      <c r="E702" s="400"/>
      <c r="F702" s="400"/>
      <c r="G702" s="400"/>
      <c r="H702" s="396"/>
    </row>
    <row r="703" spans="1:8" s="401" customFormat="1" ht="14.25" customHeight="1" x14ac:dyDescent="0.25">
      <c r="A703" s="564">
        <v>892</v>
      </c>
      <c r="B703" s="562" t="s">
        <v>785</v>
      </c>
      <c r="C703" s="403">
        <v>345</v>
      </c>
      <c r="D703" s="400"/>
      <c r="E703" s="400"/>
      <c r="F703" s="400"/>
      <c r="G703" s="400"/>
      <c r="H703" s="396"/>
    </row>
    <row r="704" spans="1:8" s="401" customFormat="1" ht="14.25" customHeight="1" x14ac:dyDescent="0.25">
      <c r="A704" s="564">
        <v>895</v>
      </c>
      <c r="B704" s="562" t="s">
        <v>785</v>
      </c>
      <c r="C704" s="403">
        <v>569</v>
      </c>
      <c r="D704" s="400"/>
      <c r="E704" s="400"/>
      <c r="F704" s="400"/>
      <c r="G704" s="400"/>
      <c r="H704" s="396"/>
    </row>
    <row r="705" spans="1:8" s="401" customFormat="1" ht="14.25" customHeight="1" x14ac:dyDescent="0.25">
      <c r="A705" s="564">
        <v>902</v>
      </c>
      <c r="B705" s="562" t="s">
        <v>785</v>
      </c>
      <c r="C705" s="403">
        <v>501</v>
      </c>
      <c r="D705" s="400"/>
      <c r="E705" s="400"/>
      <c r="F705" s="400"/>
      <c r="G705" s="400"/>
      <c r="H705" s="396"/>
    </row>
    <row r="706" spans="1:8" s="401" customFormat="1" ht="14.25" customHeight="1" x14ac:dyDescent="0.25">
      <c r="A706" s="564">
        <v>903</v>
      </c>
      <c r="B706" s="562" t="s">
        <v>786</v>
      </c>
      <c r="C706" s="403">
        <v>614</v>
      </c>
      <c r="D706" s="400"/>
      <c r="E706" s="400"/>
      <c r="F706" s="400"/>
      <c r="G706" s="400"/>
      <c r="H706" s="396"/>
    </row>
    <row r="707" spans="1:8" s="401" customFormat="1" ht="14.25" customHeight="1" x14ac:dyDescent="0.25">
      <c r="A707" s="564">
        <v>905</v>
      </c>
      <c r="B707" s="562" t="s">
        <v>786</v>
      </c>
      <c r="C707" s="403">
        <v>1150</v>
      </c>
      <c r="D707" s="400"/>
      <c r="E707" s="400"/>
      <c r="F707" s="400"/>
      <c r="G707" s="400"/>
      <c r="H707" s="396"/>
    </row>
    <row r="708" spans="1:8" s="401" customFormat="1" ht="14.25" customHeight="1" x14ac:dyDescent="0.25">
      <c r="A708" s="564">
        <v>906</v>
      </c>
      <c r="B708" s="562" t="s">
        <v>786</v>
      </c>
      <c r="C708" s="403">
        <v>1265</v>
      </c>
      <c r="D708" s="400"/>
      <c r="E708" s="400"/>
      <c r="F708" s="400"/>
      <c r="G708" s="400"/>
      <c r="H708" s="396"/>
    </row>
    <row r="709" spans="1:8" s="401" customFormat="1" ht="14.25" customHeight="1" x14ac:dyDescent="0.25">
      <c r="A709" s="564">
        <v>909</v>
      </c>
      <c r="B709" s="562" t="s">
        <v>787</v>
      </c>
      <c r="C709" s="403">
        <v>2120</v>
      </c>
      <c r="D709" s="400"/>
      <c r="E709" s="400"/>
      <c r="F709" s="400"/>
      <c r="G709" s="400"/>
      <c r="H709" s="396"/>
    </row>
    <row r="710" spans="1:8" s="401" customFormat="1" ht="14.25" customHeight="1" x14ac:dyDescent="0.25">
      <c r="A710" s="564">
        <v>911</v>
      </c>
      <c r="B710" s="562" t="s">
        <v>785</v>
      </c>
      <c r="C710" s="403">
        <v>482</v>
      </c>
      <c r="D710" s="400"/>
      <c r="E710" s="400"/>
      <c r="F710" s="400"/>
      <c r="G710" s="400"/>
      <c r="H710" s="396"/>
    </row>
    <row r="711" spans="1:8" s="401" customFormat="1" ht="14.25" customHeight="1" x14ac:dyDescent="0.25">
      <c r="A711" s="564">
        <v>913</v>
      </c>
      <c r="B711" s="562" t="s">
        <v>785</v>
      </c>
      <c r="C711" s="403">
        <v>482</v>
      </c>
      <c r="D711" s="400"/>
      <c r="E711" s="400"/>
      <c r="F711" s="400"/>
      <c r="G711" s="400"/>
      <c r="H711" s="396"/>
    </row>
    <row r="712" spans="1:8" s="401" customFormat="1" ht="14.25" customHeight="1" x14ac:dyDescent="0.25">
      <c r="A712" s="564">
        <v>915</v>
      </c>
      <c r="B712" s="562" t="s">
        <v>785</v>
      </c>
      <c r="C712" s="403">
        <v>1</v>
      </c>
      <c r="D712" s="400"/>
      <c r="E712" s="400"/>
      <c r="F712" s="400"/>
      <c r="G712" s="400"/>
      <c r="H712" s="396"/>
    </row>
    <row r="713" spans="1:8" s="401" customFormat="1" ht="14.25" customHeight="1" x14ac:dyDescent="0.25">
      <c r="A713" s="564">
        <v>918</v>
      </c>
      <c r="B713" s="562" t="s">
        <v>785</v>
      </c>
      <c r="C713" s="403">
        <v>1</v>
      </c>
      <c r="D713" s="400"/>
      <c r="E713" s="400"/>
      <c r="F713" s="400"/>
      <c r="G713" s="400"/>
      <c r="H713" s="396"/>
    </row>
    <row r="714" spans="1:8" s="401" customFormat="1" ht="14.25" customHeight="1" x14ac:dyDescent="0.25">
      <c r="A714" s="564">
        <v>1066</v>
      </c>
      <c r="B714" s="562" t="s">
        <v>790</v>
      </c>
      <c r="C714" s="403">
        <v>954.5</v>
      </c>
      <c r="D714" s="400"/>
      <c r="E714" s="400"/>
      <c r="F714" s="400"/>
      <c r="G714" s="400"/>
      <c r="H714" s="396"/>
    </row>
    <row r="715" spans="1:8" s="401" customFormat="1" ht="14.25" customHeight="1" x14ac:dyDescent="0.25">
      <c r="A715" s="564">
        <v>1068</v>
      </c>
      <c r="B715" s="562" t="s">
        <v>791</v>
      </c>
      <c r="C715" s="403">
        <v>1</v>
      </c>
      <c r="D715" s="400"/>
      <c r="E715" s="400"/>
      <c r="F715" s="400"/>
      <c r="G715" s="400"/>
      <c r="H715" s="396"/>
    </row>
    <row r="716" spans="1:8" s="401" customFormat="1" ht="14.25" customHeight="1" x14ac:dyDescent="0.25">
      <c r="A716" s="564">
        <v>1069</v>
      </c>
      <c r="B716" s="562" t="s">
        <v>824</v>
      </c>
      <c r="C716" s="403">
        <v>1</v>
      </c>
      <c r="D716" s="400"/>
      <c r="E716" s="400"/>
      <c r="F716" s="400"/>
      <c r="G716" s="400"/>
      <c r="H716" s="396"/>
    </row>
    <row r="717" spans="1:8" s="401" customFormat="1" ht="14.25" customHeight="1" x14ac:dyDescent="0.25">
      <c r="A717" s="564">
        <v>1071</v>
      </c>
      <c r="B717" s="562" t="s">
        <v>825</v>
      </c>
      <c r="C717" s="403">
        <v>4600</v>
      </c>
      <c r="D717" s="400"/>
      <c r="E717" s="400"/>
      <c r="F717" s="400"/>
      <c r="G717" s="400"/>
      <c r="H717" s="396"/>
    </row>
    <row r="718" spans="1:8" s="401" customFormat="1" ht="14.25" customHeight="1" x14ac:dyDescent="0.25">
      <c r="A718" s="564">
        <v>1073</v>
      </c>
      <c r="B718" s="562" t="s">
        <v>825</v>
      </c>
      <c r="C718" s="403">
        <v>1840</v>
      </c>
      <c r="D718" s="400"/>
      <c r="E718" s="400"/>
      <c r="F718" s="400"/>
      <c r="G718" s="400"/>
      <c r="H718" s="396"/>
    </row>
    <row r="719" spans="1:8" s="401" customFormat="1" ht="14.25" customHeight="1" x14ac:dyDescent="0.25">
      <c r="A719" s="564">
        <v>1075</v>
      </c>
      <c r="B719" s="562" t="s">
        <v>787</v>
      </c>
      <c r="C719" s="403">
        <v>1075</v>
      </c>
      <c r="D719" s="400"/>
      <c r="E719" s="400"/>
      <c r="F719" s="400"/>
      <c r="G719" s="400"/>
      <c r="H719" s="396"/>
    </row>
    <row r="720" spans="1:8" s="401" customFormat="1" ht="14.25" customHeight="1" x14ac:dyDescent="0.25">
      <c r="A720" s="564">
        <v>1076</v>
      </c>
      <c r="B720" s="562" t="s">
        <v>787</v>
      </c>
      <c r="C720" s="403">
        <v>4232</v>
      </c>
      <c r="D720" s="400"/>
      <c r="E720" s="400"/>
      <c r="F720" s="400"/>
      <c r="G720" s="400"/>
      <c r="H720" s="396"/>
    </row>
    <row r="721" spans="1:8" s="401" customFormat="1" ht="14.25" customHeight="1" x14ac:dyDescent="0.25">
      <c r="A721" s="564">
        <v>1078</v>
      </c>
      <c r="B721" s="562" t="s">
        <v>787</v>
      </c>
      <c r="C721" s="403">
        <v>4232</v>
      </c>
      <c r="D721" s="400"/>
      <c r="E721" s="400"/>
      <c r="F721" s="400"/>
      <c r="G721" s="400"/>
      <c r="H721" s="396"/>
    </row>
    <row r="722" spans="1:8" s="401" customFormat="1" ht="14.25" customHeight="1" x14ac:dyDescent="0.25">
      <c r="A722" s="564">
        <v>1079</v>
      </c>
      <c r="B722" s="562" t="s">
        <v>787</v>
      </c>
      <c r="C722" s="403">
        <v>4232</v>
      </c>
      <c r="D722" s="400"/>
      <c r="E722" s="400"/>
      <c r="F722" s="400"/>
      <c r="G722" s="400"/>
      <c r="H722" s="396"/>
    </row>
    <row r="723" spans="1:8" s="401" customFormat="1" ht="14.25" customHeight="1" x14ac:dyDescent="0.25">
      <c r="A723" s="564">
        <v>1080</v>
      </c>
      <c r="B723" s="562" t="s">
        <v>787</v>
      </c>
      <c r="C723" s="403">
        <v>4232</v>
      </c>
      <c r="D723" s="400"/>
      <c r="E723" s="400"/>
      <c r="F723" s="400"/>
      <c r="G723" s="400"/>
      <c r="H723" s="396"/>
    </row>
    <row r="724" spans="1:8" s="401" customFormat="1" ht="14.25" customHeight="1" x14ac:dyDescent="0.25">
      <c r="A724" s="564">
        <v>1082</v>
      </c>
      <c r="B724" s="562" t="s">
        <v>785</v>
      </c>
      <c r="C724" s="403">
        <v>920</v>
      </c>
      <c r="D724" s="400"/>
      <c r="E724" s="400"/>
      <c r="F724" s="400"/>
      <c r="G724" s="400"/>
      <c r="H724" s="396"/>
    </row>
    <row r="725" spans="1:8" s="401" customFormat="1" ht="14.25" customHeight="1" x14ac:dyDescent="0.25">
      <c r="A725" s="564">
        <v>1083</v>
      </c>
      <c r="B725" s="562" t="s">
        <v>785</v>
      </c>
      <c r="C725" s="403">
        <v>690</v>
      </c>
      <c r="D725" s="400"/>
      <c r="E725" s="400"/>
      <c r="F725" s="400"/>
      <c r="G725" s="400"/>
      <c r="H725" s="396"/>
    </row>
    <row r="726" spans="1:8" s="401" customFormat="1" ht="14.25" customHeight="1" x14ac:dyDescent="0.25">
      <c r="A726" s="564">
        <v>1084</v>
      </c>
      <c r="B726" s="562" t="s">
        <v>785</v>
      </c>
      <c r="C726" s="403">
        <v>460</v>
      </c>
      <c r="D726" s="400"/>
      <c r="E726" s="400"/>
      <c r="F726" s="400"/>
      <c r="G726" s="400"/>
      <c r="H726" s="396"/>
    </row>
    <row r="727" spans="1:8" s="401" customFormat="1" ht="14.25" customHeight="1" x14ac:dyDescent="0.25">
      <c r="A727" s="564">
        <v>1086</v>
      </c>
      <c r="B727" s="562" t="s">
        <v>785</v>
      </c>
      <c r="C727" s="403">
        <v>1</v>
      </c>
      <c r="D727" s="400"/>
      <c r="E727" s="400"/>
      <c r="F727" s="400"/>
      <c r="G727" s="400"/>
      <c r="H727" s="396"/>
    </row>
    <row r="728" spans="1:8" s="401" customFormat="1" ht="14.25" customHeight="1" x14ac:dyDescent="0.25">
      <c r="A728" s="564">
        <v>1087</v>
      </c>
      <c r="B728" s="562" t="s">
        <v>785</v>
      </c>
      <c r="C728" s="403">
        <v>460</v>
      </c>
      <c r="D728" s="400"/>
      <c r="E728" s="400"/>
      <c r="F728" s="400"/>
      <c r="G728" s="400"/>
      <c r="H728" s="396"/>
    </row>
    <row r="729" spans="1:8" s="401" customFormat="1" ht="14.25" customHeight="1" x14ac:dyDescent="0.25">
      <c r="A729" s="564">
        <v>1089</v>
      </c>
      <c r="B729" s="562" t="s">
        <v>785</v>
      </c>
      <c r="C729" s="403">
        <v>334</v>
      </c>
      <c r="D729" s="400"/>
      <c r="E729" s="400"/>
      <c r="F729" s="400"/>
      <c r="G729" s="400"/>
      <c r="H729" s="396"/>
    </row>
    <row r="730" spans="1:8" s="401" customFormat="1" ht="14.25" customHeight="1" x14ac:dyDescent="0.25">
      <c r="A730" s="564">
        <v>1091</v>
      </c>
      <c r="B730" s="562" t="s">
        <v>785</v>
      </c>
      <c r="C730" s="403">
        <v>1202</v>
      </c>
      <c r="D730" s="400"/>
      <c r="E730" s="400"/>
      <c r="F730" s="400"/>
      <c r="G730" s="400"/>
      <c r="H730" s="396"/>
    </row>
    <row r="731" spans="1:8" s="401" customFormat="1" ht="14.25" customHeight="1" x14ac:dyDescent="0.25">
      <c r="A731" s="564">
        <v>1092</v>
      </c>
      <c r="B731" s="562" t="s">
        <v>785</v>
      </c>
      <c r="C731" s="403">
        <v>1202</v>
      </c>
      <c r="D731" s="400"/>
      <c r="E731" s="400"/>
      <c r="F731" s="400"/>
      <c r="G731" s="400"/>
      <c r="H731" s="396"/>
    </row>
    <row r="732" spans="1:8" s="401" customFormat="1" ht="14.25" customHeight="1" x14ac:dyDescent="0.25">
      <c r="A732" s="564">
        <v>1093</v>
      </c>
      <c r="B732" s="562" t="s">
        <v>785</v>
      </c>
      <c r="C732" s="403">
        <v>1202</v>
      </c>
      <c r="D732" s="400"/>
      <c r="E732" s="400"/>
      <c r="F732" s="400"/>
      <c r="G732" s="400"/>
      <c r="H732" s="396"/>
    </row>
    <row r="733" spans="1:8" s="401" customFormat="1" ht="14.25" customHeight="1" x14ac:dyDescent="0.25">
      <c r="A733" s="564">
        <v>1095</v>
      </c>
      <c r="B733" s="562" t="s">
        <v>794</v>
      </c>
      <c r="C733" s="403">
        <v>627</v>
      </c>
      <c r="D733" s="400"/>
      <c r="E733" s="400"/>
      <c r="F733" s="400"/>
      <c r="G733" s="400"/>
      <c r="H733" s="396"/>
    </row>
    <row r="734" spans="1:8" s="401" customFormat="1" ht="14.25" customHeight="1" x14ac:dyDescent="0.25">
      <c r="A734" s="564">
        <v>1097</v>
      </c>
      <c r="B734" s="562" t="s">
        <v>798</v>
      </c>
      <c r="C734" s="403">
        <v>2500</v>
      </c>
      <c r="D734" s="400"/>
      <c r="E734" s="400"/>
      <c r="F734" s="400"/>
      <c r="G734" s="400"/>
      <c r="H734" s="396"/>
    </row>
    <row r="735" spans="1:8" s="401" customFormat="1" ht="14.25" customHeight="1" x14ac:dyDescent="0.25">
      <c r="A735" s="564">
        <v>1098</v>
      </c>
      <c r="B735" s="562" t="s">
        <v>785</v>
      </c>
      <c r="C735" s="403">
        <v>1202</v>
      </c>
      <c r="D735" s="400"/>
      <c r="E735" s="400"/>
      <c r="F735" s="400"/>
      <c r="G735" s="400"/>
      <c r="H735" s="396"/>
    </row>
    <row r="736" spans="1:8" s="401" customFormat="1" ht="14.25" customHeight="1" x14ac:dyDescent="0.25">
      <c r="A736" s="564">
        <v>1099</v>
      </c>
      <c r="B736" s="562" t="s">
        <v>787</v>
      </c>
      <c r="C736" s="403">
        <v>1</v>
      </c>
      <c r="D736" s="400"/>
      <c r="E736" s="400"/>
      <c r="F736" s="400"/>
      <c r="G736" s="400"/>
      <c r="H736" s="396"/>
    </row>
    <row r="737" spans="1:8" s="401" customFormat="1" ht="14.25" customHeight="1" x14ac:dyDescent="0.25">
      <c r="A737" s="564">
        <v>1101</v>
      </c>
      <c r="B737" s="562" t="s">
        <v>787</v>
      </c>
      <c r="C737" s="403">
        <v>1</v>
      </c>
      <c r="D737" s="400"/>
      <c r="E737" s="400"/>
      <c r="F737" s="400"/>
      <c r="G737" s="400"/>
      <c r="H737" s="396"/>
    </row>
    <row r="738" spans="1:8" s="401" customFormat="1" ht="14.25" customHeight="1" x14ac:dyDescent="0.25">
      <c r="A738" s="564">
        <v>1102</v>
      </c>
      <c r="B738" s="562" t="s">
        <v>785</v>
      </c>
      <c r="C738" s="403">
        <v>1</v>
      </c>
      <c r="D738" s="400"/>
      <c r="E738" s="400"/>
      <c r="F738" s="400"/>
      <c r="G738" s="400"/>
      <c r="H738" s="396"/>
    </row>
    <row r="739" spans="1:8" s="401" customFormat="1" ht="14.25" customHeight="1" x14ac:dyDescent="0.25">
      <c r="A739" s="564">
        <v>1104</v>
      </c>
      <c r="B739" s="562" t="s">
        <v>785</v>
      </c>
      <c r="C739" s="403">
        <v>3729</v>
      </c>
      <c r="D739" s="400"/>
      <c r="E739" s="400"/>
      <c r="F739" s="400"/>
      <c r="G739" s="400"/>
      <c r="H739" s="396"/>
    </row>
    <row r="740" spans="1:8" s="401" customFormat="1" ht="14.25" customHeight="1" x14ac:dyDescent="0.25">
      <c r="A740" s="564">
        <v>1105</v>
      </c>
      <c r="B740" s="562" t="s">
        <v>785</v>
      </c>
      <c r="C740" s="403">
        <v>1</v>
      </c>
      <c r="D740" s="400"/>
      <c r="E740" s="400"/>
      <c r="F740" s="400"/>
      <c r="G740" s="400"/>
      <c r="H740" s="396"/>
    </row>
    <row r="741" spans="1:8" s="401" customFormat="1" ht="14.25" customHeight="1" x14ac:dyDescent="0.25">
      <c r="A741" s="564">
        <v>1042</v>
      </c>
      <c r="B741" s="562" t="s">
        <v>785</v>
      </c>
      <c r="C741" s="403">
        <v>1018</v>
      </c>
      <c r="D741" s="400"/>
      <c r="E741" s="400"/>
      <c r="F741" s="400"/>
      <c r="G741" s="400"/>
      <c r="H741" s="396"/>
    </row>
    <row r="742" spans="1:8" s="401" customFormat="1" ht="14.25" customHeight="1" x14ac:dyDescent="0.25">
      <c r="A742" s="564">
        <v>1043</v>
      </c>
      <c r="B742" s="562" t="s">
        <v>787</v>
      </c>
      <c r="C742" s="403">
        <v>6000</v>
      </c>
      <c r="D742" s="400"/>
      <c r="E742" s="400"/>
      <c r="F742" s="400"/>
      <c r="G742" s="400"/>
      <c r="H742" s="396"/>
    </row>
    <row r="743" spans="1:8" s="401" customFormat="1" ht="14.25" customHeight="1" x14ac:dyDescent="0.25">
      <c r="A743" s="564">
        <v>1045</v>
      </c>
      <c r="B743" s="562" t="s">
        <v>787</v>
      </c>
      <c r="C743" s="403">
        <v>2120</v>
      </c>
      <c r="D743" s="400"/>
      <c r="E743" s="400"/>
      <c r="F743" s="400"/>
      <c r="G743" s="400"/>
      <c r="H743" s="396"/>
    </row>
    <row r="744" spans="1:8" s="401" customFormat="1" ht="14.25" customHeight="1" x14ac:dyDescent="0.25">
      <c r="A744" s="564">
        <v>1049</v>
      </c>
      <c r="B744" s="562" t="s">
        <v>785</v>
      </c>
      <c r="C744" s="403">
        <v>420</v>
      </c>
      <c r="D744" s="400"/>
      <c r="E744" s="400"/>
      <c r="F744" s="400"/>
      <c r="G744" s="400"/>
      <c r="H744" s="396"/>
    </row>
    <row r="745" spans="1:8" s="401" customFormat="1" ht="14.25" customHeight="1" x14ac:dyDescent="0.25">
      <c r="A745" s="564">
        <v>1051</v>
      </c>
      <c r="B745" s="562" t="s">
        <v>791</v>
      </c>
      <c r="C745" s="403">
        <v>3436</v>
      </c>
      <c r="D745" s="400"/>
      <c r="E745" s="400"/>
      <c r="F745" s="400"/>
      <c r="G745" s="400"/>
      <c r="H745" s="396"/>
    </row>
    <row r="746" spans="1:8" s="401" customFormat="1" ht="14.25" customHeight="1" x14ac:dyDescent="0.25">
      <c r="A746" s="564">
        <v>1053</v>
      </c>
      <c r="B746" s="562" t="s">
        <v>791</v>
      </c>
      <c r="C746" s="403">
        <v>3436</v>
      </c>
      <c r="D746" s="400"/>
      <c r="E746" s="400"/>
      <c r="F746" s="400"/>
      <c r="G746" s="400"/>
      <c r="H746" s="396"/>
    </row>
    <row r="747" spans="1:8" s="401" customFormat="1" ht="14.25" customHeight="1" x14ac:dyDescent="0.25">
      <c r="A747" s="564">
        <v>1055</v>
      </c>
      <c r="B747" s="562" t="s">
        <v>791</v>
      </c>
      <c r="C747" s="403">
        <v>3436</v>
      </c>
      <c r="D747" s="400"/>
      <c r="E747" s="400"/>
      <c r="F747" s="400"/>
      <c r="G747" s="400"/>
      <c r="H747" s="396"/>
    </row>
    <row r="748" spans="1:8" s="401" customFormat="1" ht="14.25" customHeight="1" x14ac:dyDescent="0.25">
      <c r="A748" s="564">
        <v>1056</v>
      </c>
      <c r="B748" s="562" t="s">
        <v>787</v>
      </c>
      <c r="C748" s="403">
        <v>1890</v>
      </c>
      <c r="D748" s="400"/>
      <c r="E748" s="400"/>
      <c r="F748" s="400"/>
      <c r="G748" s="400"/>
      <c r="H748" s="396"/>
    </row>
    <row r="749" spans="1:8" s="401" customFormat="1" ht="14.25" customHeight="1" x14ac:dyDescent="0.25">
      <c r="A749" s="564">
        <v>1058</v>
      </c>
      <c r="B749" s="562" t="s">
        <v>787</v>
      </c>
      <c r="C749" s="403">
        <v>3006</v>
      </c>
      <c r="D749" s="400"/>
      <c r="E749" s="400"/>
      <c r="F749" s="400"/>
      <c r="G749" s="400"/>
      <c r="H749" s="396"/>
    </row>
    <row r="750" spans="1:8" s="401" customFormat="1" ht="14.25" customHeight="1" x14ac:dyDescent="0.25">
      <c r="A750" s="564">
        <v>1059</v>
      </c>
      <c r="B750" s="562" t="s">
        <v>785</v>
      </c>
      <c r="C750" s="403">
        <v>420</v>
      </c>
      <c r="D750" s="400"/>
      <c r="E750" s="400"/>
      <c r="F750" s="400"/>
      <c r="G750" s="400"/>
      <c r="H750" s="396"/>
    </row>
    <row r="751" spans="1:8" s="401" customFormat="1" ht="14.25" customHeight="1" x14ac:dyDescent="0.25">
      <c r="A751" s="564">
        <v>1061</v>
      </c>
      <c r="B751" s="562" t="s">
        <v>785</v>
      </c>
      <c r="C751" s="403">
        <v>420</v>
      </c>
      <c r="D751" s="400"/>
      <c r="E751" s="400"/>
      <c r="F751" s="400"/>
      <c r="G751" s="400"/>
      <c r="H751" s="396"/>
    </row>
    <row r="752" spans="1:8" s="401" customFormat="1" ht="14.25" customHeight="1" x14ac:dyDescent="0.25">
      <c r="A752" s="564">
        <v>1062</v>
      </c>
      <c r="B752" s="562" t="s">
        <v>786</v>
      </c>
      <c r="C752" s="403">
        <v>1284</v>
      </c>
      <c r="D752" s="400"/>
      <c r="E752" s="400"/>
      <c r="F752" s="400"/>
      <c r="G752" s="400"/>
      <c r="H752" s="396"/>
    </row>
    <row r="753" spans="1:8" s="401" customFormat="1" ht="14.25" customHeight="1" x14ac:dyDescent="0.25">
      <c r="A753" s="564">
        <v>716</v>
      </c>
      <c r="B753" s="562" t="s">
        <v>785</v>
      </c>
      <c r="C753" s="403">
        <v>2151.8000000000002</v>
      </c>
      <c r="D753" s="400"/>
      <c r="E753" s="400"/>
      <c r="F753" s="400"/>
      <c r="G753" s="400"/>
      <c r="H753" s="396"/>
    </row>
    <row r="754" spans="1:8" s="401" customFormat="1" ht="14.25" customHeight="1" x14ac:dyDescent="0.25">
      <c r="A754" s="564">
        <v>722</v>
      </c>
      <c r="B754" s="562" t="s">
        <v>787</v>
      </c>
      <c r="C754" s="403">
        <v>5574.96</v>
      </c>
      <c r="D754" s="400"/>
      <c r="E754" s="400"/>
      <c r="F754" s="400"/>
      <c r="G754" s="400"/>
      <c r="H754" s="396"/>
    </row>
    <row r="755" spans="1:8" s="401" customFormat="1" ht="14.25" customHeight="1" x14ac:dyDescent="0.25">
      <c r="A755" s="564">
        <v>725</v>
      </c>
      <c r="B755" s="562" t="s">
        <v>787</v>
      </c>
      <c r="C755" s="403">
        <v>380</v>
      </c>
      <c r="D755" s="400"/>
      <c r="E755" s="400"/>
      <c r="F755" s="400"/>
      <c r="G755" s="400"/>
      <c r="H755" s="396"/>
    </row>
    <row r="756" spans="1:8" s="401" customFormat="1" ht="14.25" customHeight="1" x14ac:dyDescent="0.25">
      <c r="A756" s="564">
        <v>729</v>
      </c>
      <c r="B756" s="562" t="s">
        <v>788</v>
      </c>
      <c r="C756" s="403">
        <v>2380.3200000000002</v>
      </c>
      <c r="D756" s="400"/>
      <c r="E756" s="400"/>
      <c r="F756" s="400"/>
      <c r="G756" s="400"/>
      <c r="H756" s="396"/>
    </row>
    <row r="757" spans="1:8" s="401" customFormat="1" ht="14.25" customHeight="1" x14ac:dyDescent="0.25">
      <c r="A757" s="564">
        <v>733</v>
      </c>
      <c r="B757" s="562" t="s">
        <v>785</v>
      </c>
      <c r="C757" s="403">
        <v>2151.8000000000002</v>
      </c>
      <c r="D757" s="400"/>
      <c r="E757" s="400"/>
      <c r="F757" s="400"/>
      <c r="G757" s="400"/>
      <c r="H757" s="396"/>
    </row>
    <row r="758" spans="1:8" s="401" customFormat="1" ht="14.25" customHeight="1" x14ac:dyDescent="0.25">
      <c r="A758" s="564">
        <v>736</v>
      </c>
      <c r="B758" s="562" t="s">
        <v>786</v>
      </c>
      <c r="C758" s="403">
        <v>4305.92</v>
      </c>
      <c r="D758" s="400"/>
      <c r="E758" s="400"/>
      <c r="F758" s="400"/>
      <c r="G758" s="400"/>
      <c r="H758" s="396"/>
    </row>
    <row r="759" spans="1:8" s="401" customFormat="1" ht="14.25" customHeight="1" x14ac:dyDescent="0.25">
      <c r="A759" s="564">
        <v>742</v>
      </c>
      <c r="B759" s="562" t="s">
        <v>798</v>
      </c>
      <c r="C759" s="403">
        <v>2486</v>
      </c>
      <c r="D759" s="400"/>
      <c r="E759" s="400"/>
      <c r="F759" s="400"/>
      <c r="G759" s="400"/>
      <c r="H759" s="396"/>
    </row>
    <row r="760" spans="1:8" s="401" customFormat="1" ht="14.25" customHeight="1" x14ac:dyDescent="0.25">
      <c r="A760" s="564">
        <v>746</v>
      </c>
      <c r="B760" s="562" t="s">
        <v>785</v>
      </c>
      <c r="C760" s="403">
        <v>1334</v>
      </c>
      <c r="D760" s="400"/>
      <c r="E760" s="400"/>
      <c r="F760" s="400"/>
      <c r="G760" s="400"/>
      <c r="H760" s="396"/>
    </row>
    <row r="761" spans="1:8" s="401" customFormat="1" ht="14.25" customHeight="1" x14ac:dyDescent="0.25">
      <c r="A761" s="564">
        <v>752</v>
      </c>
      <c r="B761" s="562" t="s">
        <v>806</v>
      </c>
      <c r="C761" s="403">
        <v>1104</v>
      </c>
      <c r="D761" s="400"/>
      <c r="E761" s="400"/>
      <c r="F761" s="400"/>
      <c r="G761" s="400"/>
      <c r="H761" s="396"/>
    </row>
    <row r="762" spans="1:8" s="401" customFormat="1" ht="14.25" customHeight="1" x14ac:dyDescent="0.25">
      <c r="A762" s="564">
        <v>758</v>
      </c>
      <c r="B762" s="562" t="s">
        <v>787</v>
      </c>
      <c r="C762" s="403">
        <v>748</v>
      </c>
      <c r="D762" s="400"/>
      <c r="E762" s="400"/>
      <c r="F762" s="400"/>
      <c r="G762" s="400"/>
      <c r="H762" s="396"/>
    </row>
    <row r="763" spans="1:8" s="401" customFormat="1" ht="14.25" customHeight="1" x14ac:dyDescent="0.25">
      <c r="A763" s="564">
        <v>762</v>
      </c>
      <c r="B763" s="562" t="s">
        <v>785</v>
      </c>
      <c r="C763" s="403">
        <v>690</v>
      </c>
      <c r="D763" s="400"/>
      <c r="E763" s="400"/>
      <c r="F763" s="400"/>
      <c r="G763" s="400"/>
      <c r="H763" s="396"/>
    </row>
    <row r="764" spans="1:8" s="401" customFormat="1" ht="14.25" customHeight="1" x14ac:dyDescent="0.25">
      <c r="A764" s="564">
        <v>768</v>
      </c>
      <c r="B764" s="562" t="s">
        <v>790</v>
      </c>
      <c r="C764" s="403">
        <v>1</v>
      </c>
      <c r="D764" s="400"/>
      <c r="E764" s="400"/>
      <c r="F764" s="400"/>
      <c r="G764" s="400"/>
      <c r="H764" s="396"/>
    </row>
    <row r="765" spans="1:8" s="401" customFormat="1" ht="14.25" customHeight="1" x14ac:dyDescent="0.25">
      <c r="A765" s="564">
        <v>775</v>
      </c>
      <c r="B765" s="562" t="s">
        <v>786</v>
      </c>
      <c r="C765" s="403">
        <v>2415</v>
      </c>
      <c r="D765" s="400"/>
      <c r="E765" s="400"/>
      <c r="F765" s="400"/>
      <c r="G765" s="400"/>
      <c r="H765" s="396"/>
    </row>
    <row r="766" spans="1:8" s="401" customFormat="1" ht="14.25" customHeight="1" x14ac:dyDescent="0.25">
      <c r="A766" s="564">
        <v>777</v>
      </c>
      <c r="B766" s="562" t="s">
        <v>791</v>
      </c>
      <c r="C766" s="403">
        <v>2300</v>
      </c>
      <c r="D766" s="400"/>
      <c r="E766" s="400"/>
      <c r="F766" s="400"/>
      <c r="G766" s="400"/>
      <c r="H766" s="396"/>
    </row>
    <row r="767" spans="1:8" s="401" customFormat="1" ht="14.25" customHeight="1" x14ac:dyDescent="0.25">
      <c r="A767" s="564">
        <v>781</v>
      </c>
      <c r="B767" s="562" t="s">
        <v>787</v>
      </c>
      <c r="C767" s="403">
        <v>1</v>
      </c>
      <c r="D767" s="400"/>
      <c r="E767" s="400"/>
      <c r="F767" s="400"/>
      <c r="G767" s="400"/>
      <c r="H767" s="396"/>
    </row>
    <row r="768" spans="1:8" s="401" customFormat="1" ht="14.25" customHeight="1" x14ac:dyDescent="0.25">
      <c r="A768" s="564">
        <v>784</v>
      </c>
      <c r="B768" s="562" t="s">
        <v>785</v>
      </c>
      <c r="C768" s="403">
        <v>684</v>
      </c>
      <c r="D768" s="400"/>
      <c r="E768" s="400"/>
      <c r="F768" s="400"/>
      <c r="G768" s="400"/>
      <c r="H768" s="396"/>
    </row>
    <row r="769" spans="1:8" s="401" customFormat="1" ht="14.25" customHeight="1" x14ac:dyDescent="0.25">
      <c r="A769" s="564">
        <v>787</v>
      </c>
      <c r="B769" s="562" t="s">
        <v>785</v>
      </c>
      <c r="C769" s="403">
        <v>690</v>
      </c>
      <c r="D769" s="400"/>
      <c r="E769" s="400"/>
      <c r="F769" s="400"/>
      <c r="G769" s="400"/>
      <c r="H769" s="396"/>
    </row>
    <row r="770" spans="1:8" s="401" customFormat="1" ht="14.25" customHeight="1" x14ac:dyDescent="0.25">
      <c r="A770" s="564">
        <v>790</v>
      </c>
      <c r="B770" s="562" t="s">
        <v>787</v>
      </c>
      <c r="C770" s="403">
        <v>2530</v>
      </c>
      <c r="D770" s="400"/>
      <c r="E770" s="400"/>
      <c r="F770" s="400"/>
      <c r="G770" s="400"/>
      <c r="H770" s="396"/>
    </row>
    <row r="771" spans="1:8" s="401" customFormat="1" ht="14.25" customHeight="1" x14ac:dyDescent="0.25">
      <c r="A771" s="564">
        <v>792</v>
      </c>
      <c r="B771" s="562" t="s">
        <v>787</v>
      </c>
      <c r="C771" s="403">
        <v>2530</v>
      </c>
      <c r="D771" s="400"/>
      <c r="E771" s="400"/>
      <c r="F771" s="400"/>
      <c r="G771" s="400"/>
      <c r="H771" s="396"/>
    </row>
    <row r="772" spans="1:8" s="401" customFormat="1" ht="14.25" customHeight="1" x14ac:dyDescent="0.25">
      <c r="A772" s="564">
        <v>801</v>
      </c>
      <c r="B772" s="562" t="s">
        <v>790</v>
      </c>
      <c r="C772" s="403">
        <v>1265</v>
      </c>
      <c r="D772" s="400"/>
      <c r="E772" s="400"/>
      <c r="F772" s="400"/>
      <c r="G772" s="400"/>
      <c r="H772" s="396"/>
    </row>
    <row r="773" spans="1:8" s="401" customFormat="1" ht="14.25" customHeight="1" x14ac:dyDescent="0.25">
      <c r="A773" s="564">
        <v>803</v>
      </c>
      <c r="B773" s="562" t="s">
        <v>786</v>
      </c>
      <c r="C773" s="403">
        <v>2415</v>
      </c>
      <c r="D773" s="400"/>
      <c r="E773" s="400"/>
      <c r="F773" s="400"/>
      <c r="G773" s="400"/>
      <c r="H773" s="396"/>
    </row>
    <row r="774" spans="1:8" s="401" customFormat="1" ht="14.25" customHeight="1" x14ac:dyDescent="0.25">
      <c r="A774" s="564">
        <v>805</v>
      </c>
      <c r="B774" s="562" t="s">
        <v>785</v>
      </c>
      <c r="C774" s="403">
        <v>156</v>
      </c>
      <c r="D774" s="400"/>
      <c r="E774" s="400"/>
      <c r="F774" s="400"/>
      <c r="G774" s="400"/>
      <c r="H774" s="396"/>
    </row>
    <row r="775" spans="1:8" s="401" customFormat="1" ht="14.25" customHeight="1" x14ac:dyDescent="0.25">
      <c r="A775" s="564">
        <v>806</v>
      </c>
      <c r="B775" s="562" t="s">
        <v>826</v>
      </c>
      <c r="C775" s="403">
        <v>1</v>
      </c>
      <c r="D775" s="400"/>
      <c r="E775" s="400"/>
      <c r="F775" s="400"/>
      <c r="G775" s="400"/>
      <c r="H775" s="396"/>
    </row>
    <row r="776" spans="1:8" s="401" customFormat="1" ht="14.25" customHeight="1" x14ac:dyDescent="0.25">
      <c r="A776" s="564">
        <v>813</v>
      </c>
      <c r="B776" s="562" t="s">
        <v>785</v>
      </c>
      <c r="C776" s="403">
        <v>1</v>
      </c>
      <c r="D776" s="400"/>
      <c r="E776" s="400"/>
      <c r="F776" s="400"/>
      <c r="G776" s="400"/>
      <c r="H776" s="396"/>
    </row>
    <row r="777" spans="1:8" s="401" customFormat="1" ht="14.25" customHeight="1" x14ac:dyDescent="0.25">
      <c r="A777" s="564">
        <v>817</v>
      </c>
      <c r="B777" s="562" t="s">
        <v>785</v>
      </c>
      <c r="C777" s="403">
        <v>1</v>
      </c>
      <c r="D777" s="400"/>
      <c r="E777" s="400"/>
      <c r="F777" s="400"/>
      <c r="G777" s="400"/>
      <c r="H777" s="396"/>
    </row>
    <row r="778" spans="1:8" s="401" customFormat="1" ht="14.25" customHeight="1" x14ac:dyDescent="0.25">
      <c r="A778" s="564">
        <v>926</v>
      </c>
      <c r="B778" s="562" t="s">
        <v>786</v>
      </c>
      <c r="C778" s="403">
        <v>1552</v>
      </c>
      <c r="D778" s="400"/>
      <c r="E778" s="400"/>
      <c r="F778" s="400"/>
      <c r="G778" s="400"/>
      <c r="H778" s="396"/>
    </row>
    <row r="779" spans="1:8" s="401" customFormat="1" ht="14.25" customHeight="1" x14ac:dyDescent="0.25">
      <c r="A779" s="564">
        <v>930</v>
      </c>
      <c r="B779" s="562" t="s">
        <v>791</v>
      </c>
      <c r="C779" s="403">
        <v>3198</v>
      </c>
      <c r="D779" s="400"/>
      <c r="E779" s="400"/>
      <c r="F779" s="400"/>
      <c r="G779" s="400"/>
      <c r="H779" s="396"/>
    </row>
    <row r="780" spans="1:8" s="401" customFormat="1" ht="14.25" customHeight="1" x14ac:dyDescent="0.25">
      <c r="A780" s="564">
        <v>935</v>
      </c>
      <c r="B780" s="562" t="s">
        <v>785</v>
      </c>
      <c r="C780" s="403">
        <v>690</v>
      </c>
      <c r="D780" s="400"/>
      <c r="E780" s="400"/>
      <c r="F780" s="400"/>
      <c r="G780" s="400"/>
      <c r="H780" s="396"/>
    </row>
    <row r="781" spans="1:8" s="401" customFormat="1" ht="14.25" customHeight="1" x14ac:dyDescent="0.25">
      <c r="A781" s="564">
        <v>942</v>
      </c>
      <c r="B781" s="562" t="s">
        <v>785</v>
      </c>
      <c r="C781" s="403">
        <v>690</v>
      </c>
      <c r="D781" s="400"/>
      <c r="E781" s="400"/>
      <c r="F781" s="400"/>
      <c r="G781" s="400"/>
      <c r="H781" s="396"/>
    </row>
    <row r="782" spans="1:8" s="401" customFormat="1" ht="14.25" customHeight="1" x14ac:dyDescent="0.25">
      <c r="A782" s="564">
        <v>947</v>
      </c>
      <c r="B782" s="562" t="s">
        <v>785</v>
      </c>
      <c r="C782" s="403">
        <v>684.4</v>
      </c>
      <c r="D782" s="400"/>
      <c r="E782" s="400"/>
      <c r="F782" s="400"/>
      <c r="G782" s="400"/>
      <c r="H782" s="396"/>
    </row>
    <row r="783" spans="1:8" s="401" customFormat="1" ht="14.25" customHeight="1" x14ac:dyDescent="0.25">
      <c r="A783" s="564">
        <v>961</v>
      </c>
      <c r="B783" s="562" t="s">
        <v>785</v>
      </c>
      <c r="C783" s="403">
        <v>684</v>
      </c>
      <c r="D783" s="400"/>
      <c r="E783" s="400"/>
      <c r="F783" s="400"/>
      <c r="G783" s="400"/>
      <c r="H783" s="396"/>
    </row>
    <row r="784" spans="1:8" s="401" customFormat="1" ht="14.25" customHeight="1" x14ac:dyDescent="0.25">
      <c r="A784" s="564">
        <v>966</v>
      </c>
      <c r="B784" s="562" t="s">
        <v>786</v>
      </c>
      <c r="C784" s="403">
        <v>2415</v>
      </c>
      <c r="D784" s="400"/>
      <c r="E784" s="400"/>
      <c r="F784" s="400"/>
      <c r="G784" s="400"/>
      <c r="H784" s="396"/>
    </row>
    <row r="785" spans="1:8" s="401" customFormat="1" ht="14.25" customHeight="1" x14ac:dyDescent="0.25">
      <c r="A785" s="564">
        <v>967</v>
      </c>
      <c r="B785" s="562" t="s">
        <v>785</v>
      </c>
      <c r="C785" s="403">
        <v>179</v>
      </c>
      <c r="D785" s="400"/>
      <c r="E785" s="400"/>
      <c r="F785" s="400"/>
      <c r="G785" s="400"/>
      <c r="H785" s="396"/>
    </row>
    <row r="786" spans="1:8" s="401" customFormat="1" ht="14.25" customHeight="1" x14ac:dyDescent="0.25">
      <c r="A786" s="564">
        <v>969</v>
      </c>
      <c r="B786" s="562" t="s">
        <v>787</v>
      </c>
      <c r="C786" s="403">
        <v>3422</v>
      </c>
      <c r="D786" s="400"/>
      <c r="E786" s="400"/>
      <c r="F786" s="400"/>
      <c r="G786" s="400"/>
      <c r="H786" s="396"/>
    </row>
    <row r="787" spans="1:8" s="401" customFormat="1" ht="14.25" customHeight="1" x14ac:dyDescent="0.25">
      <c r="A787" s="564">
        <v>972</v>
      </c>
      <c r="B787" s="562" t="s">
        <v>785</v>
      </c>
      <c r="C787" s="403">
        <v>684</v>
      </c>
      <c r="D787" s="400"/>
      <c r="E787" s="400"/>
      <c r="F787" s="400"/>
      <c r="G787" s="400"/>
      <c r="H787" s="396"/>
    </row>
    <row r="788" spans="1:8" s="401" customFormat="1" ht="14.25" customHeight="1" x14ac:dyDescent="0.25">
      <c r="A788" s="564">
        <v>975</v>
      </c>
      <c r="B788" s="562" t="s">
        <v>787</v>
      </c>
      <c r="C788" s="403">
        <v>3422</v>
      </c>
      <c r="D788" s="400"/>
      <c r="E788" s="400"/>
      <c r="F788" s="400"/>
      <c r="G788" s="400"/>
      <c r="H788" s="396"/>
    </row>
    <row r="789" spans="1:8" s="401" customFormat="1" ht="14.25" customHeight="1" x14ac:dyDescent="0.25">
      <c r="A789" s="564">
        <v>976</v>
      </c>
      <c r="B789" s="562" t="s">
        <v>785</v>
      </c>
      <c r="C789" s="403">
        <v>1334</v>
      </c>
      <c r="D789" s="400"/>
      <c r="E789" s="400"/>
      <c r="F789" s="400"/>
      <c r="G789" s="400"/>
      <c r="H789" s="396"/>
    </row>
    <row r="790" spans="1:8" s="401" customFormat="1" ht="14.25" customHeight="1" x14ac:dyDescent="0.25">
      <c r="A790" s="564">
        <v>980</v>
      </c>
      <c r="B790" s="562" t="s">
        <v>785</v>
      </c>
      <c r="C790" s="403">
        <v>684.4</v>
      </c>
      <c r="D790" s="400"/>
      <c r="E790" s="400"/>
      <c r="F790" s="400"/>
      <c r="G790" s="400"/>
      <c r="H790" s="396"/>
    </row>
    <row r="791" spans="1:8" s="401" customFormat="1" ht="14.25" customHeight="1" x14ac:dyDescent="0.25">
      <c r="A791" s="564">
        <v>983</v>
      </c>
      <c r="B791" s="562" t="s">
        <v>787</v>
      </c>
      <c r="C791" s="403">
        <v>3422</v>
      </c>
      <c r="D791" s="400"/>
      <c r="E791" s="400"/>
      <c r="F791" s="400"/>
      <c r="G791" s="400"/>
      <c r="H791" s="396"/>
    </row>
    <row r="792" spans="1:8" s="401" customFormat="1" ht="14.25" customHeight="1" x14ac:dyDescent="0.25">
      <c r="A792" s="564">
        <v>985</v>
      </c>
      <c r="B792" s="562" t="s">
        <v>785</v>
      </c>
      <c r="C792" s="403">
        <v>1334</v>
      </c>
      <c r="D792" s="400"/>
      <c r="E792" s="400"/>
      <c r="F792" s="400"/>
      <c r="G792" s="400"/>
      <c r="H792" s="396"/>
    </row>
    <row r="793" spans="1:8" s="401" customFormat="1" ht="14.25" customHeight="1" x14ac:dyDescent="0.25">
      <c r="A793" s="564">
        <v>986</v>
      </c>
      <c r="B793" s="562" t="s">
        <v>785</v>
      </c>
      <c r="C793" s="403">
        <v>684.4</v>
      </c>
      <c r="D793" s="400"/>
      <c r="E793" s="400"/>
      <c r="F793" s="400"/>
      <c r="G793" s="400"/>
      <c r="H793" s="396"/>
    </row>
    <row r="794" spans="1:8" s="401" customFormat="1" ht="14.25" customHeight="1" x14ac:dyDescent="0.25">
      <c r="A794" s="564">
        <v>987</v>
      </c>
      <c r="B794" s="562" t="s">
        <v>785</v>
      </c>
      <c r="C794" s="403">
        <v>690</v>
      </c>
      <c r="D794" s="400"/>
      <c r="E794" s="400"/>
      <c r="F794" s="400"/>
      <c r="G794" s="400"/>
      <c r="H794" s="396"/>
    </row>
    <row r="795" spans="1:8" s="401" customFormat="1" ht="14.25" customHeight="1" x14ac:dyDescent="0.25">
      <c r="A795" s="564">
        <v>990</v>
      </c>
      <c r="B795" s="562" t="s">
        <v>785</v>
      </c>
      <c r="C795" s="403">
        <v>684</v>
      </c>
      <c r="D795" s="400"/>
      <c r="E795" s="400"/>
      <c r="F795" s="400"/>
      <c r="G795" s="400"/>
      <c r="H795" s="396"/>
    </row>
    <row r="796" spans="1:8" s="401" customFormat="1" ht="14.25" customHeight="1" x14ac:dyDescent="0.25">
      <c r="A796" s="564">
        <v>993</v>
      </c>
      <c r="B796" s="562" t="s">
        <v>787</v>
      </c>
      <c r="C796" s="403">
        <v>3422</v>
      </c>
      <c r="D796" s="400"/>
      <c r="E796" s="400"/>
      <c r="F796" s="400"/>
      <c r="G796" s="400"/>
      <c r="H796" s="396"/>
    </row>
    <row r="797" spans="1:8" s="401" customFormat="1" ht="14.25" customHeight="1" x14ac:dyDescent="0.25">
      <c r="A797" s="564">
        <v>996</v>
      </c>
      <c r="B797" s="562" t="s">
        <v>785</v>
      </c>
      <c r="C797" s="403">
        <v>156</v>
      </c>
      <c r="D797" s="400"/>
      <c r="E797" s="400"/>
      <c r="F797" s="400"/>
      <c r="G797" s="400"/>
      <c r="H797" s="396"/>
    </row>
    <row r="798" spans="1:8" s="401" customFormat="1" ht="14.25" customHeight="1" x14ac:dyDescent="0.25">
      <c r="A798" s="564">
        <v>998</v>
      </c>
      <c r="B798" s="562" t="s">
        <v>785</v>
      </c>
      <c r="C798" s="403">
        <v>684.4</v>
      </c>
      <c r="D798" s="400"/>
      <c r="E798" s="400"/>
      <c r="F798" s="400"/>
      <c r="G798" s="400"/>
      <c r="H798" s="396"/>
    </row>
    <row r="799" spans="1:8" s="401" customFormat="1" ht="14.25" customHeight="1" x14ac:dyDescent="0.25">
      <c r="A799" s="564">
        <v>1000</v>
      </c>
      <c r="B799" s="562" t="s">
        <v>787</v>
      </c>
      <c r="C799" s="403">
        <v>2530</v>
      </c>
      <c r="D799" s="400"/>
      <c r="E799" s="400"/>
      <c r="F799" s="400"/>
      <c r="G799" s="400"/>
      <c r="H799" s="396"/>
    </row>
    <row r="800" spans="1:8" s="401" customFormat="1" ht="14.25" customHeight="1" x14ac:dyDescent="0.25">
      <c r="A800" s="564">
        <v>1002</v>
      </c>
      <c r="B800" s="562" t="s">
        <v>787</v>
      </c>
      <c r="C800" s="403">
        <v>5230</v>
      </c>
      <c r="D800" s="400"/>
      <c r="E800" s="400"/>
      <c r="F800" s="400"/>
      <c r="G800" s="400"/>
      <c r="H800" s="396"/>
    </row>
    <row r="801" spans="1:8" s="401" customFormat="1" ht="14.25" customHeight="1" x14ac:dyDescent="0.25">
      <c r="A801" s="564">
        <v>1004</v>
      </c>
      <c r="B801" s="562" t="s">
        <v>787</v>
      </c>
      <c r="C801" s="403">
        <v>3422</v>
      </c>
      <c r="D801" s="400"/>
      <c r="E801" s="400"/>
      <c r="F801" s="400"/>
      <c r="G801" s="400"/>
      <c r="H801" s="396"/>
    </row>
    <row r="802" spans="1:8" s="401" customFormat="1" ht="14.25" customHeight="1" x14ac:dyDescent="0.25">
      <c r="A802" s="564">
        <v>1006</v>
      </c>
      <c r="B802" s="562" t="s">
        <v>787</v>
      </c>
      <c r="C802" s="403">
        <v>3422</v>
      </c>
      <c r="D802" s="400"/>
      <c r="E802" s="400"/>
      <c r="F802" s="400"/>
      <c r="G802" s="400"/>
      <c r="H802" s="396"/>
    </row>
    <row r="803" spans="1:8" s="401" customFormat="1" ht="14.25" customHeight="1" x14ac:dyDescent="0.25">
      <c r="A803" s="564">
        <v>1008</v>
      </c>
      <c r="B803" s="562" t="s">
        <v>787</v>
      </c>
      <c r="C803" s="403">
        <v>3422</v>
      </c>
      <c r="D803" s="400"/>
      <c r="E803" s="400"/>
      <c r="F803" s="400"/>
      <c r="G803" s="400"/>
      <c r="H803" s="396"/>
    </row>
    <row r="804" spans="1:8" s="401" customFormat="1" ht="14.25" customHeight="1" x14ac:dyDescent="0.25">
      <c r="A804" s="564">
        <v>1010</v>
      </c>
      <c r="B804" s="562" t="s">
        <v>785</v>
      </c>
      <c r="C804" s="403">
        <v>690</v>
      </c>
      <c r="D804" s="400"/>
      <c r="E804" s="400"/>
      <c r="F804" s="400"/>
      <c r="G804" s="400"/>
      <c r="H804" s="396"/>
    </row>
    <row r="805" spans="1:8" s="401" customFormat="1" ht="14.25" customHeight="1" x14ac:dyDescent="0.25">
      <c r="A805" s="564">
        <v>1012</v>
      </c>
      <c r="B805" s="562" t="s">
        <v>785</v>
      </c>
      <c r="C805" s="403">
        <v>1334</v>
      </c>
      <c r="D805" s="400"/>
      <c r="E805" s="400"/>
      <c r="F805" s="400"/>
      <c r="G805" s="400"/>
      <c r="H805" s="396"/>
    </row>
    <row r="806" spans="1:8" s="401" customFormat="1" ht="14.25" customHeight="1" x14ac:dyDescent="0.25">
      <c r="A806" s="564">
        <v>1014</v>
      </c>
      <c r="B806" s="562" t="s">
        <v>785</v>
      </c>
      <c r="C806" s="403">
        <v>1334</v>
      </c>
      <c r="D806" s="400"/>
      <c r="E806" s="400"/>
      <c r="F806" s="400"/>
      <c r="G806" s="400"/>
      <c r="H806" s="396"/>
    </row>
    <row r="807" spans="1:8" s="401" customFormat="1" ht="14.25" customHeight="1" x14ac:dyDescent="0.25">
      <c r="A807" s="564">
        <v>1016</v>
      </c>
      <c r="B807" s="562" t="s">
        <v>785</v>
      </c>
      <c r="C807" s="403">
        <v>1334</v>
      </c>
      <c r="D807" s="400"/>
      <c r="E807" s="400"/>
      <c r="F807" s="400"/>
      <c r="G807" s="400"/>
      <c r="H807" s="396"/>
    </row>
    <row r="808" spans="1:8" s="401" customFormat="1" ht="14.25" customHeight="1" x14ac:dyDescent="0.25">
      <c r="A808" s="564">
        <v>1017</v>
      </c>
      <c r="B808" s="562" t="s">
        <v>785</v>
      </c>
      <c r="C808" s="403">
        <v>1334</v>
      </c>
      <c r="D808" s="400"/>
      <c r="E808" s="400"/>
      <c r="F808" s="400"/>
      <c r="G808" s="400"/>
      <c r="H808" s="396"/>
    </row>
    <row r="809" spans="1:8" s="401" customFormat="1" ht="14.25" customHeight="1" x14ac:dyDescent="0.25">
      <c r="A809" s="564">
        <v>1018</v>
      </c>
      <c r="B809" s="562" t="s">
        <v>785</v>
      </c>
      <c r="C809" s="403">
        <v>386</v>
      </c>
      <c r="D809" s="400"/>
      <c r="E809" s="400"/>
      <c r="F809" s="400"/>
      <c r="G809" s="400"/>
      <c r="H809" s="396"/>
    </row>
    <row r="810" spans="1:8" s="401" customFormat="1" ht="14.25" customHeight="1" x14ac:dyDescent="0.25">
      <c r="A810" s="564">
        <v>1019</v>
      </c>
      <c r="B810" s="562" t="s">
        <v>785</v>
      </c>
      <c r="C810" s="403">
        <v>684</v>
      </c>
      <c r="D810" s="400"/>
      <c r="E810" s="400"/>
      <c r="F810" s="400"/>
      <c r="G810" s="400"/>
      <c r="H810" s="396"/>
    </row>
    <row r="811" spans="1:8" s="401" customFormat="1" ht="14.25" customHeight="1" x14ac:dyDescent="0.25">
      <c r="A811" s="564">
        <v>1020</v>
      </c>
      <c r="B811" s="562" t="s">
        <v>785</v>
      </c>
      <c r="C811" s="403">
        <v>304</v>
      </c>
      <c r="D811" s="400"/>
      <c r="E811" s="400"/>
      <c r="F811" s="400"/>
      <c r="G811" s="400"/>
      <c r="H811" s="396"/>
    </row>
    <row r="812" spans="1:8" s="401" customFormat="1" ht="14.25" customHeight="1" x14ac:dyDescent="0.25">
      <c r="A812" s="564">
        <v>1021</v>
      </c>
      <c r="B812" s="562" t="s">
        <v>787</v>
      </c>
      <c r="C812" s="403">
        <v>2530</v>
      </c>
      <c r="D812" s="400"/>
      <c r="E812" s="400"/>
      <c r="F812" s="400"/>
      <c r="G812" s="400"/>
      <c r="H812" s="396"/>
    </row>
    <row r="813" spans="1:8" s="401" customFormat="1" ht="14.25" customHeight="1" x14ac:dyDescent="0.25">
      <c r="A813" s="564">
        <v>1022</v>
      </c>
      <c r="B813" s="562" t="s">
        <v>787</v>
      </c>
      <c r="C813" s="403">
        <v>2530</v>
      </c>
      <c r="D813" s="400"/>
      <c r="E813" s="400"/>
      <c r="F813" s="400"/>
      <c r="G813" s="400"/>
      <c r="H813" s="396"/>
    </row>
    <row r="814" spans="1:8" s="401" customFormat="1" ht="14.25" customHeight="1" x14ac:dyDescent="0.25">
      <c r="A814" s="564">
        <v>1024</v>
      </c>
      <c r="B814" s="562" t="s">
        <v>787</v>
      </c>
      <c r="C814" s="403">
        <v>3422</v>
      </c>
      <c r="D814" s="400"/>
      <c r="E814" s="400"/>
      <c r="F814" s="400"/>
      <c r="G814" s="400"/>
      <c r="H814" s="396"/>
    </row>
    <row r="815" spans="1:8" s="401" customFormat="1" ht="14.25" customHeight="1" x14ac:dyDescent="0.25">
      <c r="A815" s="564">
        <v>1027</v>
      </c>
      <c r="B815" s="562" t="s">
        <v>785</v>
      </c>
      <c r="C815" s="403">
        <v>690</v>
      </c>
      <c r="D815" s="400"/>
      <c r="E815" s="400"/>
      <c r="F815" s="400"/>
      <c r="G815" s="400"/>
      <c r="H815" s="396"/>
    </row>
    <row r="816" spans="1:8" s="401" customFormat="1" ht="14.25" customHeight="1" x14ac:dyDescent="0.25">
      <c r="A816" s="564">
        <v>1028</v>
      </c>
      <c r="B816" s="562" t="s">
        <v>785</v>
      </c>
      <c r="C816" s="403">
        <v>684</v>
      </c>
      <c r="D816" s="400"/>
      <c r="E816" s="400"/>
      <c r="F816" s="400"/>
      <c r="G816" s="400"/>
      <c r="H816" s="396"/>
    </row>
    <row r="817" spans="1:8" s="401" customFormat="1" ht="14.25" customHeight="1" x14ac:dyDescent="0.25">
      <c r="A817" s="564">
        <v>1030</v>
      </c>
      <c r="B817" s="562" t="s">
        <v>785</v>
      </c>
      <c r="C817" s="403">
        <v>690</v>
      </c>
      <c r="D817" s="400"/>
      <c r="E817" s="400"/>
      <c r="F817" s="400"/>
      <c r="G817" s="400"/>
      <c r="H817" s="396"/>
    </row>
    <row r="818" spans="1:8" s="401" customFormat="1" ht="14.25" customHeight="1" x14ac:dyDescent="0.25">
      <c r="A818" s="564">
        <v>1031</v>
      </c>
      <c r="B818" s="562" t="s">
        <v>785</v>
      </c>
      <c r="C818" s="403">
        <v>690</v>
      </c>
      <c r="D818" s="400"/>
      <c r="E818" s="400"/>
      <c r="F818" s="400"/>
      <c r="G818" s="400"/>
      <c r="H818" s="396"/>
    </row>
    <row r="819" spans="1:8" s="401" customFormat="1" ht="14.25" customHeight="1" x14ac:dyDescent="0.25">
      <c r="A819" s="564">
        <v>1033</v>
      </c>
      <c r="B819" s="562" t="s">
        <v>786</v>
      </c>
      <c r="C819" s="403">
        <v>2415</v>
      </c>
      <c r="D819" s="400"/>
      <c r="E819" s="400"/>
      <c r="F819" s="400"/>
      <c r="G819" s="400"/>
      <c r="H819" s="396"/>
    </row>
    <row r="820" spans="1:8" s="401" customFormat="1" ht="14.25" customHeight="1" x14ac:dyDescent="0.25">
      <c r="A820" s="564">
        <v>1035</v>
      </c>
      <c r="B820" s="562" t="s">
        <v>786</v>
      </c>
      <c r="C820" s="403">
        <v>2415</v>
      </c>
      <c r="D820" s="400"/>
      <c r="E820" s="400"/>
      <c r="F820" s="400"/>
      <c r="G820" s="400"/>
      <c r="H820" s="396"/>
    </row>
    <row r="821" spans="1:8" s="401" customFormat="1" ht="14.25" customHeight="1" x14ac:dyDescent="0.25">
      <c r="A821" s="564">
        <v>1037</v>
      </c>
      <c r="B821" s="562" t="s">
        <v>794</v>
      </c>
      <c r="C821" s="403">
        <v>657</v>
      </c>
      <c r="D821" s="400"/>
      <c r="E821" s="400"/>
      <c r="F821" s="400"/>
      <c r="G821" s="400"/>
      <c r="H821" s="396"/>
    </row>
    <row r="822" spans="1:8" s="401" customFormat="1" ht="14.25" customHeight="1" x14ac:dyDescent="0.25">
      <c r="A822" s="564">
        <v>5130</v>
      </c>
      <c r="B822" s="562" t="s">
        <v>785</v>
      </c>
      <c r="C822" s="403">
        <v>690</v>
      </c>
      <c r="D822" s="400"/>
      <c r="E822" s="400"/>
      <c r="F822" s="400"/>
      <c r="G822" s="400"/>
      <c r="H822" s="396"/>
    </row>
    <row r="823" spans="1:8" s="401" customFormat="1" ht="14.25" customHeight="1" x14ac:dyDescent="0.25">
      <c r="A823" s="564">
        <v>5131</v>
      </c>
      <c r="B823" s="562" t="s">
        <v>785</v>
      </c>
      <c r="C823" s="403">
        <v>1334</v>
      </c>
      <c r="D823" s="400"/>
      <c r="E823" s="400"/>
      <c r="F823" s="400"/>
      <c r="G823" s="400"/>
      <c r="H823" s="396"/>
    </row>
    <row r="824" spans="1:8" s="401" customFormat="1" ht="14.25" customHeight="1" x14ac:dyDescent="0.25">
      <c r="A824" s="564">
        <v>1663</v>
      </c>
      <c r="B824" s="562" t="s">
        <v>798</v>
      </c>
      <c r="C824" s="403">
        <v>2658.14</v>
      </c>
      <c r="D824" s="400"/>
      <c r="E824" s="400"/>
      <c r="F824" s="400"/>
      <c r="G824" s="400"/>
      <c r="H824" s="396"/>
    </row>
    <row r="825" spans="1:8" s="401" customFormat="1" ht="14.25" customHeight="1" x14ac:dyDescent="0.25">
      <c r="A825" s="564">
        <v>1667</v>
      </c>
      <c r="B825" s="562" t="s">
        <v>798</v>
      </c>
      <c r="C825" s="403">
        <v>3575</v>
      </c>
      <c r="D825" s="400"/>
      <c r="E825" s="400"/>
      <c r="F825" s="400"/>
      <c r="G825" s="400"/>
      <c r="H825" s="396"/>
    </row>
    <row r="826" spans="1:8" s="401" customFormat="1" ht="14.25" customHeight="1" x14ac:dyDescent="0.25">
      <c r="A826" s="564">
        <v>1669</v>
      </c>
      <c r="B826" s="562" t="s">
        <v>785</v>
      </c>
      <c r="C826" s="403">
        <v>1</v>
      </c>
      <c r="D826" s="400"/>
      <c r="E826" s="400"/>
      <c r="F826" s="400"/>
      <c r="G826" s="400"/>
      <c r="H826" s="396"/>
    </row>
    <row r="827" spans="1:8" s="401" customFormat="1" ht="14.25" customHeight="1" x14ac:dyDescent="0.25">
      <c r="A827" s="564">
        <v>1671</v>
      </c>
      <c r="B827" s="562" t="s">
        <v>786</v>
      </c>
      <c r="C827" s="403">
        <v>218</v>
      </c>
      <c r="D827" s="400"/>
      <c r="E827" s="400"/>
      <c r="F827" s="400"/>
      <c r="G827" s="400"/>
      <c r="H827" s="396"/>
    </row>
    <row r="828" spans="1:8" s="401" customFormat="1" ht="14.25" customHeight="1" x14ac:dyDescent="0.25">
      <c r="A828" s="564">
        <v>1674</v>
      </c>
      <c r="B828" s="562" t="s">
        <v>791</v>
      </c>
      <c r="C828" s="403">
        <v>1380</v>
      </c>
      <c r="D828" s="400"/>
      <c r="E828" s="400"/>
      <c r="F828" s="400"/>
      <c r="G828" s="400"/>
      <c r="H828" s="396"/>
    </row>
    <row r="829" spans="1:8" s="401" customFormat="1" ht="14.25" customHeight="1" x14ac:dyDescent="0.25">
      <c r="A829" s="564">
        <v>1677</v>
      </c>
      <c r="B829" s="562" t="s">
        <v>785</v>
      </c>
      <c r="C829" s="403">
        <v>299</v>
      </c>
      <c r="D829" s="400"/>
      <c r="E829" s="400"/>
      <c r="F829" s="400"/>
      <c r="G829" s="400"/>
      <c r="H829" s="396"/>
    </row>
    <row r="830" spans="1:8" s="401" customFormat="1" ht="14.25" customHeight="1" x14ac:dyDescent="0.25">
      <c r="A830" s="564">
        <v>1680</v>
      </c>
      <c r="B830" s="562" t="s">
        <v>791</v>
      </c>
      <c r="C830" s="403">
        <v>1</v>
      </c>
      <c r="D830" s="400"/>
      <c r="E830" s="400"/>
      <c r="F830" s="400"/>
      <c r="G830" s="400"/>
      <c r="H830" s="396"/>
    </row>
    <row r="831" spans="1:8" s="401" customFormat="1" ht="14.25" customHeight="1" x14ac:dyDescent="0.25">
      <c r="A831" s="564">
        <v>1683</v>
      </c>
      <c r="B831" s="562" t="s">
        <v>791</v>
      </c>
      <c r="C831" s="403">
        <v>1</v>
      </c>
      <c r="D831" s="400"/>
      <c r="E831" s="400"/>
      <c r="F831" s="400"/>
      <c r="G831" s="400"/>
      <c r="H831" s="396"/>
    </row>
    <row r="832" spans="1:8" s="401" customFormat="1" ht="14.25" customHeight="1" x14ac:dyDescent="0.25">
      <c r="A832" s="564">
        <v>1686</v>
      </c>
      <c r="B832" s="562" t="s">
        <v>806</v>
      </c>
      <c r="C832" s="403">
        <v>1</v>
      </c>
      <c r="D832" s="400"/>
      <c r="E832" s="400"/>
      <c r="F832" s="400"/>
      <c r="G832" s="400"/>
      <c r="H832" s="396"/>
    </row>
    <row r="833" spans="1:8" s="401" customFormat="1" ht="14.25" customHeight="1" x14ac:dyDescent="0.25">
      <c r="A833" s="564">
        <v>1688</v>
      </c>
      <c r="B833" s="562" t="s">
        <v>827</v>
      </c>
      <c r="C833" s="403">
        <v>1</v>
      </c>
      <c r="D833" s="400"/>
      <c r="E833" s="400"/>
      <c r="F833" s="400"/>
      <c r="G833" s="400"/>
      <c r="H833" s="396"/>
    </row>
    <row r="834" spans="1:8" s="401" customFormat="1" ht="14.25" customHeight="1" x14ac:dyDescent="0.25">
      <c r="A834" s="564">
        <v>1690</v>
      </c>
      <c r="B834" s="562" t="s">
        <v>785</v>
      </c>
      <c r="C834" s="403">
        <v>1202</v>
      </c>
      <c r="D834" s="400"/>
      <c r="E834" s="400"/>
      <c r="F834" s="400"/>
      <c r="G834" s="400"/>
      <c r="H834" s="396"/>
    </row>
    <row r="835" spans="1:8" s="401" customFormat="1" ht="14.25" customHeight="1" x14ac:dyDescent="0.25">
      <c r="A835" s="564">
        <v>1693</v>
      </c>
      <c r="B835" s="562" t="s">
        <v>785</v>
      </c>
      <c r="C835" s="403">
        <v>1202</v>
      </c>
      <c r="D835" s="400"/>
      <c r="E835" s="400"/>
      <c r="F835" s="400"/>
      <c r="G835" s="400"/>
      <c r="H835" s="396"/>
    </row>
    <row r="836" spans="1:8" s="401" customFormat="1" ht="14.25" customHeight="1" x14ac:dyDescent="0.25">
      <c r="A836" s="564">
        <v>1695</v>
      </c>
      <c r="B836" s="562" t="s">
        <v>785</v>
      </c>
      <c r="C836" s="403">
        <v>1202</v>
      </c>
      <c r="D836" s="400"/>
      <c r="E836" s="400"/>
      <c r="F836" s="400"/>
      <c r="G836" s="400"/>
      <c r="H836" s="396"/>
    </row>
    <row r="837" spans="1:8" s="401" customFormat="1" ht="14.25" customHeight="1" x14ac:dyDescent="0.25">
      <c r="A837" s="564">
        <v>1697</v>
      </c>
      <c r="B837" s="562" t="s">
        <v>785</v>
      </c>
      <c r="C837" s="403">
        <v>1202</v>
      </c>
      <c r="D837" s="400"/>
      <c r="E837" s="400"/>
      <c r="F837" s="400"/>
      <c r="G837" s="400"/>
      <c r="H837" s="396"/>
    </row>
    <row r="838" spans="1:8" s="401" customFormat="1" ht="14.25" customHeight="1" x14ac:dyDescent="0.25">
      <c r="A838" s="564">
        <v>1699</v>
      </c>
      <c r="B838" s="562" t="s">
        <v>813</v>
      </c>
      <c r="C838" s="403">
        <v>289</v>
      </c>
      <c r="D838" s="400"/>
      <c r="E838" s="400"/>
      <c r="F838" s="400"/>
      <c r="G838" s="400"/>
      <c r="H838" s="396"/>
    </row>
    <row r="839" spans="1:8" s="401" customFormat="1" ht="14.25" customHeight="1" x14ac:dyDescent="0.25">
      <c r="A839" s="564">
        <v>1701</v>
      </c>
      <c r="B839" s="562" t="s">
        <v>791</v>
      </c>
      <c r="C839" s="403">
        <v>1</v>
      </c>
      <c r="D839" s="400"/>
      <c r="E839" s="400"/>
      <c r="F839" s="400"/>
      <c r="G839" s="400"/>
      <c r="H839" s="396"/>
    </row>
    <row r="840" spans="1:8" s="401" customFormat="1" ht="14.25" customHeight="1" x14ac:dyDescent="0.25">
      <c r="A840" s="564">
        <v>1704</v>
      </c>
      <c r="B840" s="562" t="s">
        <v>790</v>
      </c>
      <c r="C840" s="403">
        <v>1</v>
      </c>
      <c r="D840" s="400"/>
      <c r="E840" s="400"/>
      <c r="F840" s="400"/>
      <c r="G840" s="400"/>
      <c r="H840" s="396"/>
    </row>
    <row r="841" spans="1:8" s="401" customFormat="1" ht="14.25" customHeight="1" x14ac:dyDescent="0.25">
      <c r="A841" s="564">
        <v>1613</v>
      </c>
      <c r="B841" s="562" t="s">
        <v>791</v>
      </c>
      <c r="C841" s="403">
        <v>1265</v>
      </c>
      <c r="D841" s="400"/>
      <c r="E841" s="400"/>
      <c r="F841" s="400"/>
      <c r="G841" s="400"/>
      <c r="H841" s="396"/>
    </row>
    <row r="842" spans="1:8" s="401" customFormat="1" ht="14.25" customHeight="1" x14ac:dyDescent="0.25">
      <c r="A842" s="564">
        <v>1616</v>
      </c>
      <c r="B842" s="562" t="s">
        <v>786</v>
      </c>
      <c r="C842" s="403">
        <v>3910</v>
      </c>
      <c r="D842" s="400"/>
      <c r="E842" s="400"/>
      <c r="F842" s="400"/>
      <c r="G842" s="400"/>
      <c r="H842" s="396"/>
    </row>
    <row r="843" spans="1:8" s="401" customFormat="1" ht="14.25" customHeight="1" x14ac:dyDescent="0.25">
      <c r="A843" s="564">
        <v>1619</v>
      </c>
      <c r="B843" s="562" t="s">
        <v>787</v>
      </c>
      <c r="C843" s="403">
        <v>539</v>
      </c>
      <c r="D843" s="400"/>
      <c r="E843" s="400"/>
      <c r="F843" s="400"/>
      <c r="G843" s="400"/>
      <c r="H843" s="396"/>
    </row>
    <row r="844" spans="1:8" s="401" customFormat="1" ht="14.25" customHeight="1" x14ac:dyDescent="0.25">
      <c r="A844" s="564">
        <v>1622</v>
      </c>
      <c r="B844" s="562" t="s">
        <v>785</v>
      </c>
      <c r="C844" s="403">
        <v>632</v>
      </c>
      <c r="D844" s="400"/>
      <c r="E844" s="400"/>
      <c r="F844" s="400"/>
      <c r="G844" s="400"/>
      <c r="H844" s="396"/>
    </row>
    <row r="845" spans="1:8" s="401" customFormat="1" ht="14.25" customHeight="1" x14ac:dyDescent="0.25">
      <c r="A845" s="564">
        <v>1626</v>
      </c>
      <c r="B845" s="562" t="s">
        <v>785</v>
      </c>
      <c r="C845" s="403">
        <v>460</v>
      </c>
      <c r="D845" s="400"/>
      <c r="E845" s="400"/>
      <c r="F845" s="400"/>
      <c r="G845" s="400"/>
      <c r="H845" s="396"/>
    </row>
    <row r="846" spans="1:8" s="401" customFormat="1" ht="14.25" customHeight="1" x14ac:dyDescent="0.25">
      <c r="A846" s="564">
        <v>1628</v>
      </c>
      <c r="B846" s="562" t="s">
        <v>785</v>
      </c>
      <c r="C846" s="403">
        <v>1202</v>
      </c>
      <c r="D846" s="400"/>
      <c r="E846" s="400"/>
      <c r="F846" s="400"/>
      <c r="G846" s="400"/>
      <c r="H846" s="396"/>
    </row>
    <row r="847" spans="1:8" s="401" customFormat="1" ht="14.25" customHeight="1" x14ac:dyDescent="0.25">
      <c r="A847" s="564">
        <v>1632</v>
      </c>
      <c r="B847" s="562" t="s">
        <v>785</v>
      </c>
      <c r="C847" s="403">
        <v>1202</v>
      </c>
      <c r="D847" s="400"/>
      <c r="E847" s="400"/>
      <c r="F847" s="400"/>
      <c r="G847" s="400"/>
      <c r="H847" s="396"/>
    </row>
    <row r="848" spans="1:8" s="401" customFormat="1" ht="14.25" customHeight="1" x14ac:dyDescent="0.25">
      <c r="A848" s="564">
        <v>1635</v>
      </c>
      <c r="B848" s="562" t="s">
        <v>787</v>
      </c>
      <c r="C848" s="403">
        <v>4232</v>
      </c>
      <c r="D848" s="400"/>
      <c r="E848" s="400"/>
      <c r="F848" s="400"/>
      <c r="G848" s="400"/>
      <c r="H848" s="396"/>
    </row>
    <row r="849" spans="1:8" s="401" customFormat="1" ht="14.25" customHeight="1" x14ac:dyDescent="0.25">
      <c r="A849" s="564">
        <v>1637</v>
      </c>
      <c r="B849" s="562" t="s">
        <v>790</v>
      </c>
      <c r="C849" s="403">
        <v>1</v>
      </c>
      <c r="D849" s="400"/>
      <c r="E849" s="400"/>
      <c r="F849" s="400"/>
      <c r="G849" s="400"/>
      <c r="H849" s="396"/>
    </row>
    <row r="850" spans="1:8" s="401" customFormat="1" ht="14.25" customHeight="1" x14ac:dyDescent="0.25">
      <c r="A850" s="564">
        <v>1639</v>
      </c>
      <c r="B850" s="562" t="s">
        <v>785</v>
      </c>
      <c r="C850" s="403">
        <v>575</v>
      </c>
      <c r="D850" s="400"/>
      <c r="E850" s="400"/>
      <c r="F850" s="400"/>
      <c r="G850" s="400"/>
      <c r="H850" s="396"/>
    </row>
    <row r="851" spans="1:8" s="401" customFormat="1" ht="14.25" customHeight="1" x14ac:dyDescent="0.25">
      <c r="A851" s="564">
        <v>636</v>
      </c>
      <c r="B851" s="562" t="s">
        <v>785</v>
      </c>
      <c r="C851" s="403">
        <v>1202</v>
      </c>
      <c r="D851" s="400"/>
      <c r="E851" s="400"/>
      <c r="F851" s="400"/>
      <c r="G851" s="400"/>
      <c r="H851" s="396"/>
    </row>
    <row r="852" spans="1:8" s="401" customFormat="1" ht="14.25" customHeight="1" x14ac:dyDescent="0.25">
      <c r="A852" s="564">
        <v>640</v>
      </c>
      <c r="B852" s="562" t="s">
        <v>828</v>
      </c>
      <c r="C852" s="403">
        <v>1070</v>
      </c>
      <c r="D852" s="400"/>
      <c r="E852" s="400"/>
      <c r="F852" s="400"/>
      <c r="G852" s="400"/>
      <c r="H852" s="396"/>
    </row>
    <row r="853" spans="1:8" s="401" customFormat="1" ht="14.25" customHeight="1" x14ac:dyDescent="0.25">
      <c r="A853" s="564">
        <v>644</v>
      </c>
      <c r="B853" s="562" t="s">
        <v>828</v>
      </c>
      <c r="C853" s="403">
        <v>1070</v>
      </c>
      <c r="D853" s="400"/>
      <c r="E853" s="400"/>
      <c r="F853" s="400"/>
      <c r="G853" s="400"/>
      <c r="H853" s="396"/>
    </row>
    <row r="854" spans="1:8" s="401" customFormat="1" ht="14.25" customHeight="1" x14ac:dyDescent="0.25">
      <c r="A854" s="564">
        <v>646</v>
      </c>
      <c r="B854" s="562" t="s">
        <v>828</v>
      </c>
      <c r="C854" s="403">
        <v>1070</v>
      </c>
      <c r="D854" s="400"/>
      <c r="E854" s="400"/>
      <c r="F854" s="400"/>
      <c r="G854" s="400"/>
      <c r="H854" s="396"/>
    </row>
    <row r="855" spans="1:8" s="401" customFormat="1" ht="14.25" customHeight="1" x14ac:dyDescent="0.25">
      <c r="A855" s="564">
        <v>649</v>
      </c>
      <c r="B855" s="562" t="s">
        <v>828</v>
      </c>
      <c r="C855" s="403">
        <v>1070</v>
      </c>
      <c r="D855" s="400"/>
      <c r="E855" s="400"/>
      <c r="F855" s="400"/>
      <c r="G855" s="400"/>
      <c r="H855" s="396"/>
    </row>
    <row r="856" spans="1:8" s="401" customFormat="1" ht="14.25" customHeight="1" x14ac:dyDescent="0.25">
      <c r="A856" s="564">
        <v>651</v>
      </c>
      <c r="B856" s="562" t="s">
        <v>828</v>
      </c>
      <c r="C856" s="403">
        <v>1070</v>
      </c>
      <c r="D856" s="400"/>
      <c r="E856" s="400"/>
      <c r="F856" s="400"/>
      <c r="G856" s="400"/>
      <c r="H856" s="396"/>
    </row>
    <row r="857" spans="1:8" s="401" customFormat="1" ht="14.25" customHeight="1" x14ac:dyDescent="0.25">
      <c r="A857" s="564">
        <v>654</v>
      </c>
      <c r="B857" s="562" t="s">
        <v>828</v>
      </c>
      <c r="C857" s="403">
        <v>1070</v>
      </c>
      <c r="D857" s="400"/>
      <c r="E857" s="400"/>
      <c r="F857" s="400"/>
      <c r="G857" s="400"/>
      <c r="H857" s="396"/>
    </row>
    <row r="858" spans="1:8" s="401" customFormat="1" ht="14.25" customHeight="1" x14ac:dyDescent="0.25">
      <c r="A858" s="564">
        <v>656</v>
      </c>
      <c r="B858" s="562" t="s">
        <v>828</v>
      </c>
      <c r="C858" s="403">
        <v>1070</v>
      </c>
      <c r="D858" s="400"/>
      <c r="E858" s="400"/>
      <c r="F858" s="400"/>
      <c r="G858" s="400"/>
      <c r="H858" s="396"/>
    </row>
    <row r="859" spans="1:8" s="401" customFormat="1" ht="14.25" customHeight="1" x14ac:dyDescent="0.25">
      <c r="A859" s="564">
        <v>661</v>
      </c>
      <c r="B859" s="562" t="s">
        <v>828</v>
      </c>
      <c r="C859" s="403">
        <v>1070</v>
      </c>
      <c r="D859" s="400"/>
      <c r="E859" s="400"/>
      <c r="F859" s="400"/>
      <c r="G859" s="400"/>
      <c r="H859" s="396"/>
    </row>
    <row r="860" spans="1:8" s="401" customFormat="1" ht="14.25" customHeight="1" x14ac:dyDescent="0.25">
      <c r="A860" s="564">
        <v>663</v>
      </c>
      <c r="B860" s="562" t="s">
        <v>829</v>
      </c>
      <c r="C860" s="403">
        <v>1070</v>
      </c>
      <c r="D860" s="400"/>
      <c r="E860" s="400"/>
      <c r="F860" s="400"/>
      <c r="G860" s="400"/>
      <c r="H860" s="396"/>
    </row>
    <row r="861" spans="1:8" s="401" customFormat="1" ht="14.25" customHeight="1" x14ac:dyDescent="0.25">
      <c r="A861" s="564">
        <v>665</v>
      </c>
      <c r="B861" s="562" t="s">
        <v>828</v>
      </c>
      <c r="C861" s="403">
        <v>1070</v>
      </c>
      <c r="D861" s="400"/>
      <c r="E861" s="400"/>
      <c r="F861" s="400"/>
      <c r="G861" s="400"/>
      <c r="H861" s="396"/>
    </row>
    <row r="862" spans="1:8" s="401" customFormat="1" ht="14.25" customHeight="1" x14ac:dyDescent="0.25">
      <c r="A862" s="564">
        <v>668</v>
      </c>
      <c r="B862" s="562" t="s">
        <v>828</v>
      </c>
      <c r="C862" s="403">
        <v>1070</v>
      </c>
      <c r="D862" s="400"/>
      <c r="E862" s="400"/>
      <c r="F862" s="400"/>
      <c r="G862" s="400"/>
      <c r="H862" s="396"/>
    </row>
    <row r="863" spans="1:8" s="401" customFormat="1" ht="14.25" customHeight="1" x14ac:dyDescent="0.25">
      <c r="A863" s="564">
        <v>672</v>
      </c>
      <c r="B863" s="562" t="s">
        <v>828</v>
      </c>
      <c r="C863" s="403">
        <v>1070</v>
      </c>
      <c r="D863" s="400"/>
      <c r="E863" s="400"/>
      <c r="F863" s="400"/>
      <c r="G863" s="400"/>
      <c r="H863" s="396"/>
    </row>
    <row r="864" spans="1:8" s="401" customFormat="1" ht="14.25" customHeight="1" x14ac:dyDescent="0.25">
      <c r="A864" s="564">
        <v>674</v>
      </c>
      <c r="B864" s="562" t="s">
        <v>828</v>
      </c>
      <c r="C864" s="403">
        <v>1070</v>
      </c>
      <c r="D864" s="400"/>
      <c r="E864" s="400"/>
      <c r="F864" s="400"/>
      <c r="G864" s="400"/>
      <c r="H864" s="396"/>
    </row>
    <row r="865" spans="1:8" s="401" customFormat="1" ht="14.25" customHeight="1" x14ac:dyDescent="0.25">
      <c r="A865" s="564">
        <v>677</v>
      </c>
      <c r="B865" s="562" t="s">
        <v>828</v>
      </c>
      <c r="C865" s="403">
        <v>978</v>
      </c>
      <c r="D865" s="400"/>
      <c r="E865" s="400"/>
      <c r="F865" s="400"/>
      <c r="G865" s="400"/>
      <c r="H865" s="396"/>
    </row>
    <row r="866" spans="1:8" s="401" customFormat="1" ht="14.25" customHeight="1" x14ac:dyDescent="0.25">
      <c r="A866" s="564">
        <v>681</v>
      </c>
      <c r="B866" s="562" t="s">
        <v>830</v>
      </c>
      <c r="C866" s="403">
        <v>978</v>
      </c>
      <c r="D866" s="400"/>
      <c r="E866" s="400"/>
      <c r="F866" s="400"/>
      <c r="G866" s="400"/>
      <c r="H866" s="396"/>
    </row>
    <row r="867" spans="1:8" s="401" customFormat="1" ht="14.25" customHeight="1" x14ac:dyDescent="0.25">
      <c r="A867" s="564">
        <v>685</v>
      </c>
      <c r="B867" s="562" t="s">
        <v>830</v>
      </c>
      <c r="C867" s="403">
        <v>978</v>
      </c>
      <c r="D867" s="400"/>
      <c r="E867" s="400"/>
      <c r="F867" s="400"/>
      <c r="G867" s="400"/>
      <c r="H867" s="396"/>
    </row>
    <row r="868" spans="1:8" s="401" customFormat="1" ht="14.25" customHeight="1" x14ac:dyDescent="0.25">
      <c r="A868" s="564">
        <v>686</v>
      </c>
      <c r="B868" s="562" t="s">
        <v>790</v>
      </c>
      <c r="C868" s="403">
        <v>1624</v>
      </c>
      <c r="D868" s="400"/>
      <c r="E868" s="400"/>
      <c r="F868" s="400"/>
      <c r="G868" s="400"/>
      <c r="H868" s="396"/>
    </row>
    <row r="869" spans="1:8" s="401" customFormat="1" ht="14.25" customHeight="1" x14ac:dyDescent="0.25">
      <c r="A869" s="564">
        <v>693</v>
      </c>
      <c r="B869" s="562" t="s">
        <v>794</v>
      </c>
      <c r="C869" s="403">
        <v>742.41</v>
      </c>
      <c r="D869" s="400"/>
      <c r="E869" s="400"/>
      <c r="F869" s="400"/>
      <c r="G869" s="400"/>
      <c r="H869" s="396"/>
    </row>
    <row r="870" spans="1:8" s="401" customFormat="1" ht="14.25" customHeight="1" x14ac:dyDescent="0.25">
      <c r="A870" s="564">
        <v>696</v>
      </c>
      <c r="B870" s="562" t="s">
        <v>798</v>
      </c>
      <c r="C870" s="403">
        <v>1054</v>
      </c>
      <c r="D870" s="400"/>
      <c r="E870" s="400"/>
      <c r="F870" s="400"/>
      <c r="G870" s="400"/>
      <c r="H870" s="396"/>
    </row>
    <row r="871" spans="1:8" s="401" customFormat="1" ht="14.25" customHeight="1" x14ac:dyDescent="0.25">
      <c r="A871" s="564">
        <v>700</v>
      </c>
      <c r="B871" s="562" t="s">
        <v>785</v>
      </c>
      <c r="C871" s="403">
        <v>1</v>
      </c>
      <c r="D871" s="400"/>
      <c r="E871" s="400"/>
      <c r="F871" s="400"/>
      <c r="G871" s="400"/>
      <c r="H871" s="396"/>
    </row>
    <row r="872" spans="1:8" s="401" customFormat="1" ht="14.25" customHeight="1" x14ac:dyDescent="0.25">
      <c r="A872" s="564">
        <v>701</v>
      </c>
      <c r="B872" s="562" t="s">
        <v>790</v>
      </c>
      <c r="C872" s="403">
        <v>3910</v>
      </c>
      <c r="D872" s="400"/>
      <c r="E872" s="400"/>
      <c r="F872" s="400"/>
      <c r="G872" s="400"/>
      <c r="H872" s="396"/>
    </row>
    <row r="873" spans="1:8" s="401" customFormat="1" ht="14.25" customHeight="1" x14ac:dyDescent="0.25">
      <c r="A873" s="564">
        <v>703</v>
      </c>
      <c r="B873" s="562" t="s">
        <v>785</v>
      </c>
      <c r="C873" s="403">
        <v>1</v>
      </c>
      <c r="D873" s="400"/>
      <c r="E873" s="400"/>
      <c r="F873" s="400"/>
      <c r="G873" s="400"/>
      <c r="H873" s="396"/>
    </row>
    <row r="874" spans="1:8" s="401" customFormat="1" ht="14.25" customHeight="1" x14ac:dyDescent="0.25">
      <c r="A874" s="564">
        <v>706</v>
      </c>
      <c r="B874" s="562" t="s">
        <v>785</v>
      </c>
      <c r="C874" s="403">
        <v>1</v>
      </c>
      <c r="D874" s="400"/>
      <c r="E874" s="400"/>
      <c r="F874" s="400"/>
      <c r="G874" s="400"/>
      <c r="H874" s="396"/>
    </row>
    <row r="875" spans="1:8" s="401" customFormat="1" ht="14.25" customHeight="1" x14ac:dyDescent="0.25">
      <c r="A875" s="564">
        <v>5121</v>
      </c>
      <c r="B875" s="562" t="s">
        <v>828</v>
      </c>
      <c r="C875" s="403">
        <v>1070</v>
      </c>
      <c r="D875" s="400"/>
      <c r="E875" s="400"/>
      <c r="F875" s="400"/>
      <c r="G875" s="400"/>
      <c r="H875" s="396"/>
    </row>
    <row r="876" spans="1:8" s="401" customFormat="1" ht="14.25" customHeight="1" x14ac:dyDescent="0.25">
      <c r="A876" s="564">
        <v>5125</v>
      </c>
      <c r="B876" s="562" t="s">
        <v>785</v>
      </c>
      <c r="C876" s="403">
        <v>170</v>
      </c>
      <c r="D876" s="400"/>
      <c r="E876" s="400"/>
      <c r="F876" s="400"/>
      <c r="G876" s="400"/>
      <c r="H876" s="396"/>
    </row>
    <row r="877" spans="1:8" s="401" customFormat="1" ht="14.25" customHeight="1" x14ac:dyDescent="0.25">
      <c r="A877" s="564">
        <v>1756</v>
      </c>
      <c r="B877" s="562" t="s">
        <v>787</v>
      </c>
      <c r="C877" s="403">
        <v>1748</v>
      </c>
      <c r="D877" s="400"/>
      <c r="E877" s="400"/>
      <c r="F877" s="400"/>
      <c r="G877" s="400"/>
      <c r="H877" s="396"/>
    </row>
    <row r="878" spans="1:8" s="401" customFormat="1" ht="14.25" customHeight="1" x14ac:dyDescent="0.25">
      <c r="A878" s="564">
        <v>1759</v>
      </c>
      <c r="B878" s="562" t="s">
        <v>787</v>
      </c>
      <c r="C878" s="403">
        <v>1</v>
      </c>
      <c r="D878" s="400"/>
      <c r="E878" s="400"/>
      <c r="F878" s="400"/>
      <c r="G878" s="400"/>
      <c r="H878" s="396"/>
    </row>
    <row r="879" spans="1:8" s="401" customFormat="1" ht="14.25" customHeight="1" x14ac:dyDescent="0.25">
      <c r="A879" s="564">
        <v>1763</v>
      </c>
      <c r="B879" s="562" t="s">
        <v>828</v>
      </c>
      <c r="C879" s="403">
        <v>1</v>
      </c>
      <c r="D879" s="400"/>
      <c r="E879" s="400"/>
      <c r="F879" s="400"/>
      <c r="G879" s="400"/>
      <c r="H879" s="396"/>
    </row>
    <row r="880" spans="1:8" s="401" customFormat="1" ht="14.25" customHeight="1" x14ac:dyDescent="0.25">
      <c r="A880" s="564">
        <v>1765</v>
      </c>
      <c r="B880" s="562" t="s">
        <v>785</v>
      </c>
      <c r="C880" s="403">
        <v>945</v>
      </c>
      <c r="D880" s="400"/>
      <c r="E880" s="400"/>
      <c r="F880" s="400"/>
      <c r="G880" s="400"/>
      <c r="H880" s="396"/>
    </row>
    <row r="881" spans="1:8" s="401" customFormat="1" ht="14.25" customHeight="1" x14ac:dyDescent="0.25">
      <c r="A881" s="564">
        <v>1767</v>
      </c>
      <c r="B881" s="562" t="s">
        <v>785</v>
      </c>
      <c r="C881" s="403">
        <v>48</v>
      </c>
      <c r="D881" s="400"/>
      <c r="E881" s="400"/>
      <c r="F881" s="400"/>
      <c r="G881" s="400"/>
      <c r="H881" s="396"/>
    </row>
    <row r="882" spans="1:8" s="401" customFormat="1" ht="14.25" customHeight="1" x14ac:dyDescent="0.25">
      <c r="A882" s="564">
        <v>1769</v>
      </c>
      <c r="B882" s="562" t="s">
        <v>785</v>
      </c>
      <c r="C882" s="403">
        <v>48</v>
      </c>
      <c r="D882" s="400"/>
      <c r="E882" s="400"/>
      <c r="F882" s="400"/>
      <c r="G882" s="400"/>
      <c r="H882" s="396"/>
    </row>
    <row r="883" spans="1:8" s="401" customFormat="1" ht="14.25" customHeight="1" x14ac:dyDescent="0.25">
      <c r="A883" s="564">
        <v>1770</v>
      </c>
      <c r="B883" s="562" t="s">
        <v>818</v>
      </c>
      <c r="C883" s="403">
        <v>188</v>
      </c>
      <c r="D883" s="400"/>
      <c r="E883" s="400"/>
      <c r="F883" s="400"/>
      <c r="G883" s="400"/>
      <c r="H883" s="396"/>
    </row>
    <row r="884" spans="1:8" s="401" customFormat="1" ht="14.25" customHeight="1" x14ac:dyDescent="0.25">
      <c r="A884" s="564">
        <v>1778</v>
      </c>
      <c r="B884" s="562" t="s">
        <v>787</v>
      </c>
      <c r="C884" s="403">
        <v>1</v>
      </c>
      <c r="D884" s="400"/>
      <c r="E884" s="400"/>
      <c r="F884" s="400"/>
      <c r="G884" s="400"/>
      <c r="H884" s="396"/>
    </row>
    <row r="885" spans="1:8" s="401" customFormat="1" ht="14.25" customHeight="1" x14ac:dyDescent="0.25">
      <c r="A885" s="564">
        <v>1779</v>
      </c>
      <c r="B885" s="562" t="s">
        <v>785</v>
      </c>
      <c r="C885" s="403">
        <v>316</v>
      </c>
      <c r="D885" s="400"/>
      <c r="E885" s="400"/>
      <c r="F885" s="400"/>
      <c r="G885" s="400"/>
      <c r="H885" s="396"/>
    </row>
    <row r="886" spans="1:8" s="401" customFormat="1" ht="14.25" customHeight="1" x14ac:dyDescent="0.25">
      <c r="A886" s="564">
        <v>1780</v>
      </c>
      <c r="B886" s="562" t="s">
        <v>785</v>
      </c>
      <c r="C886" s="403">
        <v>316</v>
      </c>
      <c r="D886" s="400"/>
      <c r="E886" s="400"/>
      <c r="F886" s="400"/>
      <c r="G886" s="400"/>
      <c r="H886" s="396"/>
    </row>
    <row r="887" spans="1:8" s="401" customFormat="1" ht="14.25" customHeight="1" x14ac:dyDescent="0.25">
      <c r="A887" s="564">
        <v>1781</v>
      </c>
      <c r="B887" s="562" t="s">
        <v>785</v>
      </c>
      <c r="C887" s="403">
        <v>724</v>
      </c>
      <c r="D887" s="400"/>
      <c r="E887" s="400"/>
      <c r="F887" s="400"/>
      <c r="G887" s="400"/>
      <c r="H887" s="396"/>
    </row>
    <row r="888" spans="1:8" s="401" customFormat="1" ht="14.25" customHeight="1" x14ac:dyDescent="0.25">
      <c r="A888" s="564">
        <v>1782</v>
      </c>
      <c r="B888" s="562" t="s">
        <v>787</v>
      </c>
      <c r="C888" s="403">
        <v>1</v>
      </c>
      <c r="D888" s="400"/>
      <c r="E888" s="400"/>
      <c r="F888" s="400"/>
      <c r="G888" s="400"/>
      <c r="H888" s="396"/>
    </row>
    <row r="889" spans="1:8" s="401" customFormat="1" ht="14.25" customHeight="1" x14ac:dyDescent="0.25">
      <c r="A889" s="564">
        <v>1783</v>
      </c>
      <c r="B889" s="562" t="s">
        <v>786</v>
      </c>
      <c r="C889" s="403">
        <v>1</v>
      </c>
      <c r="D889" s="400"/>
      <c r="E889" s="400"/>
      <c r="F889" s="400"/>
      <c r="G889" s="400"/>
      <c r="H889" s="396"/>
    </row>
    <row r="890" spans="1:8" s="401" customFormat="1" ht="14.25" customHeight="1" x14ac:dyDescent="0.25">
      <c r="A890" s="564">
        <v>1784</v>
      </c>
      <c r="B890" s="562" t="s">
        <v>787</v>
      </c>
      <c r="C890" s="403">
        <v>8625</v>
      </c>
      <c r="D890" s="400"/>
      <c r="E890" s="400"/>
      <c r="F890" s="400"/>
      <c r="G890" s="400"/>
      <c r="H890" s="396"/>
    </row>
    <row r="891" spans="1:8" s="401" customFormat="1" ht="14.25" customHeight="1" x14ac:dyDescent="0.25">
      <c r="A891" s="564">
        <v>1785</v>
      </c>
      <c r="B891" s="562" t="s">
        <v>787</v>
      </c>
      <c r="C891" s="403">
        <v>1748</v>
      </c>
      <c r="D891" s="400"/>
      <c r="E891" s="400"/>
      <c r="F891" s="400"/>
      <c r="G891" s="400"/>
      <c r="H891" s="396"/>
    </row>
    <row r="892" spans="1:8" s="401" customFormat="1" ht="14.25" customHeight="1" x14ac:dyDescent="0.25">
      <c r="A892" s="564">
        <v>1787</v>
      </c>
      <c r="B892" s="562" t="s">
        <v>787</v>
      </c>
      <c r="C892" s="403">
        <v>1748</v>
      </c>
      <c r="D892" s="400"/>
      <c r="E892" s="400"/>
      <c r="F892" s="400"/>
      <c r="G892" s="400"/>
      <c r="H892" s="396"/>
    </row>
    <row r="893" spans="1:8" s="401" customFormat="1" ht="14.25" customHeight="1" x14ac:dyDescent="0.25">
      <c r="A893" s="564">
        <v>1788</v>
      </c>
      <c r="B893" s="562" t="s">
        <v>787</v>
      </c>
      <c r="C893" s="403">
        <v>2839</v>
      </c>
      <c r="D893" s="400"/>
      <c r="E893" s="400"/>
      <c r="F893" s="400"/>
      <c r="G893" s="400"/>
      <c r="H893" s="396"/>
    </row>
    <row r="894" spans="1:8" s="401" customFormat="1" ht="14.25" customHeight="1" x14ac:dyDescent="0.25">
      <c r="A894" s="564">
        <v>1789</v>
      </c>
      <c r="B894" s="562" t="s">
        <v>787</v>
      </c>
      <c r="C894" s="403">
        <v>1</v>
      </c>
      <c r="D894" s="400"/>
      <c r="E894" s="400"/>
      <c r="F894" s="400"/>
      <c r="G894" s="400"/>
      <c r="H894" s="396"/>
    </row>
    <row r="895" spans="1:8" s="401" customFormat="1" ht="14.25" customHeight="1" x14ac:dyDescent="0.25">
      <c r="A895" s="564">
        <v>1790</v>
      </c>
      <c r="B895" s="562" t="s">
        <v>790</v>
      </c>
      <c r="C895" s="403">
        <v>1</v>
      </c>
      <c r="D895" s="400"/>
      <c r="E895" s="400"/>
      <c r="F895" s="400"/>
      <c r="G895" s="400"/>
      <c r="H895" s="396"/>
    </row>
    <row r="896" spans="1:8" s="401" customFormat="1" ht="14.25" customHeight="1" x14ac:dyDescent="0.25">
      <c r="A896" s="564">
        <v>1792</v>
      </c>
      <c r="B896" s="562" t="s">
        <v>785</v>
      </c>
      <c r="C896" s="403">
        <v>1</v>
      </c>
      <c r="D896" s="400"/>
      <c r="E896" s="400"/>
      <c r="F896" s="400"/>
      <c r="G896" s="400"/>
      <c r="H896" s="396"/>
    </row>
    <row r="897" spans="1:8" s="401" customFormat="1" ht="14.25" customHeight="1" x14ac:dyDescent="0.25">
      <c r="A897" s="564">
        <v>1793</v>
      </c>
      <c r="B897" s="562" t="s">
        <v>785</v>
      </c>
      <c r="C897" s="403">
        <v>299</v>
      </c>
      <c r="D897" s="400"/>
      <c r="E897" s="400"/>
      <c r="F897" s="400"/>
      <c r="G897" s="400"/>
      <c r="H897" s="396"/>
    </row>
    <row r="898" spans="1:8" s="401" customFormat="1" ht="14.25" customHeight="1" x14ac:dyDescent="0.25">
      <c r="A898" s="564">
        <v>1797</v>
      </c>
      <c r="B898" s="562" t="s">
        <v>798</v>
      </c>
      <c r="C898" s="403">
        <v>1</v>
      </c>
      <c r="D898" s="400"/>
      <c r="E898" s="400"/>
      <c r="F898" s="400"/>
      <c r="G898" s="400"/>
      <c r="H898" s="396"/>
    </row>
    <row r="899" spans="1:8" s="401" customFormat="1" ht="14.25" customHeight="1" x14ac:dyDescent="0.25">
      <c r="A899" s="564">
        <v>1798</v>
      </c>
      <c r="B899" s="562" t="s">
        <v>791</v>
      </c>
      <c r="C899" s="403">
        <v>1092</v>
      </c>
      <c r="D899" s="400"/>
      <c r="E899" s="400"/>
      <c r="F899" s="400"/>
      <c r="G899" s="400"/>
      <c r="H899" s="396"/>
    </row>
    <row r="900" spans="1:8" s="401" customFormat="1" ht="14.25" customHeight="1" x14ac:dyDescent="0.25">
      <c r="A900" s="564">
        <v>1800</v>
      </c>
      <c r="B900" s="562" t="s">
        <v>786</v>
      </c>
      <c r="C900" s="403">
        <v>1</v>
      </c>
      <c r="D900" s="400"/>
      <c r="E900" s="400"/>
      <c r="F900" s="400"/>
      <c r="G900" s="400"/>
      <c r="H900" s="396"/>
    </row>
    <row r="901" spans="1:8" s="401" customFormat="1" ht="14.25" customHeight="1" x14ac:dyDescent="0.25">
      <c r="A901" s="564">
        <v>1803</v>
      </c>
      <c r="B901" s="562" t="s">
        <v>787</v>
      </c>
      <c r="C901" s="403">
        <v>3790</v>
      </c>
      <c r="D901" s="400"/>
      <c r="E901" s="400"/>
      <c r="F901" s="400"/>
      <c r="G901" s="400"/>
      <c r="H901" s="396"/>
    </row>
    <row r="902" spans="1:8" s="401" customFormat="1" ht="14.25" customHeight="1" x14ac:dyDescent="0.25">
      <c r="A902" s="564">
        <v>1804</v>
      </c>
      <c r="B902" s="562" t="s">
        <v>785</v>
      </c>
      <c r="C902" s="403">
        <v>316</v>
      </c>
      <c r="D902" s="400"/>
      <c r="E902" s="400"/>
      <c r="F902" s="400"/>
      <c r="G902" s="400"/>
      <c r="H902" s="396"/>
    </row>
    <row r="903" spans="1:8" s="401" customFormat="1" ht="14.25" customHeight="1" x14ac:dyDescent="0.25">
      <c r="A903" s="564">
        <v>1805</v>
      </c>
      <c r="B903" s="562" t="s">
        <v>785</v>
      </c>
      <c r="C903" s="403">
        <v>316</v>
      </c>
      <c r="D903" s="400"/>
      <c r="E903" s="400"/>
      <c r="F903" s="400"/>
      <c r="G903" s="400"/>
      <c r="H903" s="396"/>
    </row>
    <row r="904" spans="1:8" s="401" customFormat="1" ht="14.25" customHeight="1" x14ac:dyDescent="0.25">
      <c r="A904" s="564">
        <v>1806</v>
      </c>
      <c r="B904" s="562" t="s">
        <v>791</v>
      </c>
      <c r="C904" s="403">
        <v>1</v>
      </c>
      <c r="D904" s="400"/>
      <c r="E904" s="400"/>
      <c r="F904" s="400"/>
      <c r="G904" s="400"/>
      <c r="H904" s="396"/>
    </row>
    <row r="905" spans="1:8" s="401" customFormat="1" ht="14.25" customHeight="1" x14ac:dyDescent="0.25">
      <c r="A905" s="564">
        <v>1807</v>
      </c>
      <c r="B905" s="562" t="s">
        <v>791</v>
      </c>
      <c r="C905" s="403">
        <v>1</v>
      </c>
      <c r="D905" s="400"/>
      <c r="E905" s="400"/>
      <c r="F905" s="400"/>
      <c r="G905" s="400"/>
      <c r="H905" s="396"/>
    </row>
    <row r="906" spans="1:8" s="401" customFormat="1" ht="14.25" customHeight="1" x14ac:dyDescent="0.25">
      <c r="A906" s="564">
        <v>1808</v>
      </c>
      <c r="B906" s="562" t="s">
        <v>787</v>
      </c>
      <c r="C906" s="403">
        <v>3264</v>
      </c>
      <c r="D906" s="400"/>
      <c r="E906" s="400"/>
      <c r="F906" s="400"/>
      <c r="G906" s="400"/>
      <c r="H906" s="396"/>
    </row>
    <row r="907" spans="1:8" s="401" customFormat="1" ht="14.25" customHeight="1" x14ac:dyDescent="0.25">
      <c r="A907" s="564">
        <v>1809</v>
      </c>
      <c r="B907" s="562" t="s">
        <v>787</v>
      </c>
      <c r="C907" s="403">
        <v>3164</v>
      </c>
      <c r="D907" s="400"/>
      <c r="E907" s="400"/>
      <c r="F907" s="400"/>
      <c r="G907" s="400"/>
      <c r="H907" s="396"/>
    </row>
    <row r="908" spans="1:8" s="401" customFormat="1" ht="14.25" customHeight="1" x14ac:dyDescent="0.25">
      <c r="A908" s="564">
        <v>1810</v>
      </c>
      <c r="B908" s="562" t="s">
        <v>788</v>
      </c>
      <c r="C908" s="403">
        <v>2405</v>
      </c>
      <c r="D908" s="400"/>
      <c r="E908" s="400"/>
      <c r="F908" s="400"/>
      <c r="G908" s="400"/>
      <c r="H908" s="396"/>
    </row>
    <row r="909" spans="1:8" s="401" customFormat="1" ht="14.25" customHeight="1" x14ac:dyDescent="0.25">
      <c r="A909" s="564">
        <v>1811</v>
      </c>
      <c r="B909" s="562" t="s">
        <v>785</v>
      </c>
      <c r="C909" s="403">
        <v>782</v>
      </c>
      <c r="D909" s="400"/>
      <c r="E909" s="400"/>
      <c r="F909" s="400"/>
      <c r="G909" s="400"/>
      <c r="H909" s="396"/>
    </row>
    <row r="910" spans="1:8" s="401" customFormat="1" ht="14.25" customHeight="1" x14ac:dyDescent="0.25">
      <c r="A910" s="564">
        <v>4493</v>
      </c>
      <c r="B910" s="562" t="s">
        <v>787</v>
      </c>
      <c r="C910" s="403">
        <v>4795</v>
      </c>
      <c r="D910" s="400"/>
      <c r="E910" s="400"/>
      <c r="F910" s="400"/>
      <c r="G910" s="400"/>
      <c r="H910" s="396"/>
    </row>
    <row r="911" spans="1:8" s="401" customFormat="1" ht="14.25" customHeight="1" x14ac:dyDescent="0.25">
      <c r="A911" s="564">
        <v>5133</v>
      </c>
      <c r="B911" s="562" t="s">
        <v>819</v>
      </c>
      <c r="C911" s="403">
        <v>399</v>
      </c>
      <c r="D911" s="400"/>
      <c r="E911" s="400"/>
      <c r="F911" s="400"/>
      <c r="G911" s="400"/>
      <c r="H911" s="396"/>
    </row>
    <row r="912" spans="1:8" s="401" customFormat="1" ht="14.25" customHeight="1" x14ac:dyDescent="0.25">
      <c r="A912" s="564">
        <v>618</v>
      </c>
      <c r="B912" s="562" t="s">
        <v>791</v>
      </c>
      <c r="C912" s="403">
        <v>2507</v>
      </c>
      <c r="D912" s="400"/>
      <c r="E912" s="400"/>
      <c r="F912" s="400"/>
      <c r="G912" s="400"/>
      <c r="H912" s="396"/>
    </row>
    <row r="913" spans="1:8" s="401" customFormat="1" ht="14.25" customHeight="1" x14ac:dyDescent="0.25">
      <c r="A913" s="564">
        <v>620</v>
      </c>
      <c r="B913" s="562" t="s">
        <v>787</v>
      </c>
      <c r="C913" s="403">
        <v>2839</v>
      </c>
      <c r="D913" s="400"/>
      <c r="E913" s="400"/>
      <c r="F913" s="400"/>
      <c r="G913" s="400"/>
      <c r="H913" s="396"/>
    </row>
    <row r="914" spans="1:8" s="401" customFormat="1" ht="14.25" customHeight="1" x14ac:dyDescent="0.25">
      <c r="A914" s="564">
        <v>622</v>
      </c>
      <c r="B914" s="562" t="s">
        <v>787</v>
      </c>
      <c r="C914" s="403">
        <v>3264</v>
      </c>
      <c r="D914" s="400"/>
      <c r="E914" s="400"/>
      <c r="F914" s="400"/>
      <c r="G914" s="400"/>
      <c r="H914" s="396"/>
    </row>
    <row r="915" spans="1:8" s="401" customFormat="1" ht="14.25" customHeight="1" x14ac:dyDescent="0.25">
      <c r="A915" s="564">
        <v>1386</v>
      </c>
      <c r="B915" s="562" t="s">
        <v>791</v>
      </c>
      <c r="C915" s="403">
        <v>2507</v>
      </c>
      <c r="D915" s="400"/>
      <c r="E915" s="400"/>
      <c r="F915" s="400"/>
      <c r="G915" s="400"/>
      <c r="H915" s="396"/>
    </row>
    <row r="916" spans="1:8" s="401" customFormat="1" ht="14.25" customHeight="1" x14ac:dyDescent="0.25">
      <c r="A916" s="564">
        <v>1410</v>
      </c>
      <c r="B916" s="562" t="s">
        <v>787</v>
      </c>
      <c r="C916" s="403">
        <v>3264</v>
      </c>
      <c r="D916" s="400"/>
      <c r="E916" s="400"/>
      <c r="F916" s="400"/>
      <c r="G916" s="400"/>
      <c r="H916" s="396"/>
    </row>
    <row r="917" spans="1:8" s="401" customFormat="1" ht="14.25" customHeight="1" x14ac:dyDescent="0.25">
      <c r="A917" s="564">
        <v>1413</v>
      </c>
      <c r="B917" s="562" t="s">
        <v>787</v>
      </c>
      <c r="C917" s="403">
        <v>3264</v>
      </c>
      <c r="D917" s="400"/>
      <c r="E917" s="400"/>
      <c r="F917" s="400"/>
      <c r="G917" s="400"/>
      <c r="H917" s="396"/>
    </row>
    <row r="918" spans="1:8" s="401" customFormat="1" ht="14.25" customHeight="1" x14ac:dyDescent="0.25">
      <c r="A918" s="564">
        <v>1419</v>
      </c>
      <c r="B918" s="562" t="s">
        <v>790</v>
      </c>
      <c r="C918" s="403">
        <v>799</v>
      </c>
      <c r="D918" s="400"/>
      <c r="E918" s="400"/>
      <c r="F918" s="400"/>
      <c r="G918" s="400"/>
      <c r="H918" s="396"/>
    </row>
    <row r="919" spans="1:8" s="401" customFormat="1" ht="14.25" customHeight="1" x14ac:dyDescent="0.25">
      <c r="A919" s="564">
        <v>1421</v>
      </c>
      <c r="B919" s="562" t="s">
        <v>785</v>
      </c>
      <c r="C919" s="403">
        <v>1</v>
      </c>
      <c r="D919" s="400"/>
      <c r="E919" s="400"/>
      <c r="F919" s="400"/>
      <c r="G919" s="400"/>
      <c r="H919" s="396"/>
    </row>
    <row r="920" spans="1:8" s="401" customFormat="1" ht="14.25" customHeight="1" x14ac:dyDescent="0.25">
      <c r="A920" s="564">
        <v>1425</v>
      </c>
      <c r="B920" s="562" t="s">
        <v>785</v>
      </c>
      <c r="C920" s="403">
        <v>334</v>
      </c>
      <c r="D920" s="400"/>
      <c r="E920" s="400"/>
      <c r="F920" s="400"/>
      <c r="G920" s="400"/>
      <c r="H920" s="396"/>
    </row>
    <row r="921" spans="1:8" s="401" customFormat="1" ht="14.25" customHeight="1" x14ac:dyDescent="0.25">
      <c r="A921" s="564">
        <v>1427</v>
      </c>
      <c r="B921" s="562" t="s">
        <v>785</v>
      </c>
      <c r="C921" s="403">
        <v>782</v>
      </c>
      <c r="D921" s="400"/>
      <c r="E921" s="400"/>
      <c r="F921" s="400"/>
      <c r="G921" s="400"/>
      <c r="H921" s="396"/>
    </row>
    <row r="922" spans="1:8" s="401" customFormat="1" ht="14.25" customHeight="1" x14ac:dyDescent="0.25">
      <c r="A922" s="564">
        <v>1431</v>
      </c>
      <c r="B922" s="562" t="s">
        <v>785</v>
      </c>
      <c r="C922" s="403">
        <v>782</v>
      </c>
      <c r="D922" s="400"/>
      <c r="E922" s="400"/>
      <c r="F922" s="400"/>
      <c r="G922" s="400"/>
      <c r="H922" s="396"/>
    </row>
    <row r="923" spans="1:8" s="401" customFormat="1" ht="14.25" customHeight="1" x14ac:dyDescent="0.25">
      <c r="A923" s="564">
        <v>1435</v>
      </c>
      <c r="B923" s="562" t="s">
        <v>785</v>
      </c>
      <c r="C923" s="403">
        <v>316</v>
      </c>
      <c r="D923" s="400"/>
      <c r="E923" s="400"/>
      <c r="F923" s="400"/>
      <c r="G923" s="400"/>
      <c r="H923" s="396"/>
    </row>
    <row r="924" spans="1:8" s="401" customFormat="1" ht="14.25" customHeight="1" x14ac:dyDescent="0.25">
      <c r="A924" s="564">
        <v>1438</v>
      </c>
      <c r="B924" s="562" t="s">
        <v>785</v>
      </c>
      <c r="C924" s="403">
        <v>316</v>
      </c>
      <c r="D924" s="400"/>
      <c r="E924" s="400"/>
      <c r="F924" s="400"/>
      <c r="G924" s="400"/>
      <c r="H924" s="396"/>
    </row>
    <row r="925" spans="1:8" s="401" customFormat="1" ht="14.25" customHeight="1" x14ac:dyDescent="0.25">
      <c r="A925" s="564">
        <v>1445</v>
      </c>
      <c r="B925" s="562" t="s">
        <v>795</v>
      </c>
      <c r="C925" s="403">
        <v>1</v>
      </c>
      <c r="D925" s="400"/>
      <c r="E925" s="400"/>
      <c r="F925" s="400"/>
      <c r="G925" s="400"/>
      <c r="H925" s="396"/>
    </row>
    <row r="926" spans="1:8" s="401" customFormat="1" ht="14.25" customHeight="1" x14ac:dyDescent="0.25">
      <c r="A926" s="564">
        <v>1447</v>
      </c>
      <c r="B926" s="562" t="s">
        <v>814</v>
      </c>
      <c r="C926" s="403">
        <v>1092</v>
      </c>
      <c r="D926" s="400"/>
      <c r="E926" s="400"/>
      <c r="F926" s="400"/>
      <c r="G926" s="400"/>
      <c r="H926" s="396"/>
    </row>
    <row r="927" spans="1:8" s="401" customFormat="1" ht="14.25" customHeight="1" x14ac:dyDescent="0.25">
      <c r="A927" s="564">
        <v>1451</v>
      </c>
      <c r="B927" s="562" t="s">
        <v>798</v>
      </c>
      <c r="C927" s="403">
        <v>3372</v>
      </c>
      <c r="D927" s="400"/>
      <c r="E927" s="400"/>
      <c r="F927" s="400"/>
      <c r="G927" s="400"/>
      <c r="H927" s="396"/>
    </row>
    <row r="928" spans="1:8" s="401" customFormat="1" ht="14.25" customHeight="1" x14ac:dyDescent="0.25">
      <c r="A928" s="564">
        <v>1454</v>
      </c>
      <c r="B928" s="562" t="s">
        <v>798</v>
      </c>
      <c r="C928" s="403">
        <v>1307</v>
      </c>
      <c r="D928" s="400"/>
      <c r="E928" s="400"/>
      <c r="F928" s="400"/>
      <c r="G928" s="400"/>
      <c r="H928" s="396"/>
    </row>
    <row r="929" spans="1:8" s="401" customFormat="1" ht="14.25" customHeight="1" x14ac:dyDescent="0.25">
      <c r="A929" s="564">
        <v>1456</v>
      </c>
      <c r="B929" s="562" t="s">
        <v>798</v>
      </c>
      <c r="C929" s="403">
        <v>1307</v>
      </c>
      <c r="D929" s="400"/>
      <c r="E929" s="400"/>
      <c r="F929" s="400"/>
      <c r="G929" s="400"/>
      <c r="H929" s="396"/>
    </row>
    <row r="930" spans="1:8" s="401" customFormat="1" ht="14.25" customHeight="1" x14ac:dyDescent="0.25">
      <c r="A930" s="564">
        <v>4138</v>
      </c>
      <c r="B930" s="562" t="s">
        <v>786</v>
      </c>
      <c r="C930" s="403">
        <v>2204</v>
      </c>
      <c r="D930" s="400"/>
      <c r="E930" s="400"/>
      <c r="F930" s="400"/>
      <c r="G930" s="400"/>
      <c r="H930" s="396"/>
    </row>
    <row r="931" spans="1:8" s="401" customFormat="1" ht="14.25" customHeight="1" x14ac:dyDescent="0.25">
      <c r="A931" s="564">
        <v>5126</v>
      </c>
      <c r="B931" s="562" t="s">
        <v>785</v>
      </c>
      <c r="C931" s="403">
        <v>1</v>
      </c>
      <c r="D931" s="400"/>
      <c r="E931" s="400"/>
      <c r="F931" s="400"/>
      <c r="G931" s="400"/>
      <c r="H931" s="396"/>
    </row>
    <row r="932" spans="1:8" s="401" customFormat="1" ht="14.25" customHeight="1" x14ac:dyDescent="0.25">
      <c r="A932" s="564">
        <v>824</v>
      </c>
      <c r="B932" s="562" t="s">
        <v>791</v>
      </c>
      <c r="C932" s="403">
        <v>1</v>
      </c>
      <c r="D932" s="400"/>
      <c r="E932" s="400"/>
      <c r="F932" s="400"/>
      <c r="G932" s="400"/>
      <c r="H932" s="396"/>
    </row>
    <row r="933" spans="1:8" s="401" customFormat="1" ht="14.25" customHeight="1" x14ac:dyDescent="0.25">
      <c r="A933" s="564">
        <v>827</v>
      </c>
      <c r="B933" s="562" t="s">
        <v>787</v>
      </c>
      <c r="C933" s="403">
        <v>2812</v>
      </c>
      <c r="D933" s="400"/>
      <c r="E933" s="400"/>
      <c r="F933" s="400"/>
      <c r="G933" s="400"/>
      <c r="H933" s="396"/>
    </row>
    <row r="934" spans="1:8" s="401" customFormat="1" ht="14.25" customHeight="1" x14ac:dyDescent="0.25">
      <c r="A934" s="564">
        <v>831</v>
      </c>
      <c r="B934" s="562" t="s">
        <v>787</v>
      </c>
      <c r="C934" s="403">
        <v>4048</v>
      </c>
      <c r="D934" s="400"/>
      <c r="E934" s="400"/>
      <c r="F934" s="400"/>
      <c r="G934" s="400"/>
      <c r="H934" s="396"/>
    </row>
    <row r="935" spans="1:8" s="401" customFormat="1" ht="14.25" customHeight="1" x14ac:dyDescent="0.25">
      <c r="A935" s="564">
        <v>833</v>
      </c>
      <c r="B935" s="562" t="s">
        <v>787</v>
      </c>
      <c r="C935" s="403">
        <v>5273</v>
      </c>
      <c r="D935" s="400"/>
      <c r="E935" s="400"/>
      <c r="F935" s="400"/>
      <c r="G935" s="400"/>
      <c r="H935" s="396"/>
    </row>
    <row r="936" spans="1:8" s="401" customFormat="1" ht="14.25" customHeight="1" x14ac:dyDescent="0.25">
      <c r="A936" s="564">
        <v>837</v>
      </c>
      <c r="B936" s="562" t="s">
        <v>787</v>
      </c>
      <c r="C936" s="403">
        <v>1</v>
      </c>
      <c r="D936" s="400"/>
      <c r="E936" s="400"/>
      <c r="F936" s="400"/>
      <c r="G936" s="400"/>
      <c r="H936" s="396"/>
    </row>
    <row r="937" spans="1:8" s="401" customFormat="1" ht="14.25" customHeight="1" x14ac:dyDescent="0.25">
      <c r="A937" s="564">
        <v>847</v>
      </c>
      <c r="B937" s="562" t="s">
        <v>790</v>
      </c>
      <c r="C937" s="403">
        <v>748</v>
      </c>
      <c r="D937" s="400"/>
      <c r="E937" s="400"/>
      <c r="F937" s="400"/>
      <c r="G937" s="400"/>
      <c r="H937" s="396"/>
    </row>
    <row r="938" spans="1:8" s="401" customFormat="1" ht="14.25" customHeight="1" x14ac:dyDescent="0.25">
      <c r="A938" s="564">
        <v>852</v>
      </c>
      <c r="B938" s="562" t="s">
        <v>785</v>
      </c>
      <c r="C938" s="403">
        <v>920</v>
      </c>
      <c r="D938" s="400"/>
      <c r="E938" s="400"/>
      <c r="F938" s="400"/>
      <c r="G938" s="400"/>
      <c r="H938" s="396"/>
    </row>
    <row r="939" spans="1:8" s="401" customFormat="1" ht="14.25" customHeight="1" x14ac:dyDescent="0.25">
      <c r="A939" s="564">
        <v>856</v>
      </c>
      <c r="B939" s="562" t="s">
        <v>785</v>
      </c>
      <c r="C939" s="403">
        <v>334</v>
      </c>
      <c r="D939" s="400"/>
      <c r="E939" s="400"/>
      <c r="F939" s="400"/>
      <c r="G939" s="400"/>
      <c r="H939" s="396"/>
    </row>
    <row r="940" spans="1:8" s="401" customFormat="1" ht="14.25" customHeight="1" x14ac:dyDescent="0.25">
      <c r="A940" s="564">
        <v>862</v>
      </c>
      <c r="B940" s="562" t="s">
        <v>785</v>
      </c>
      <c r="C940" s="403">
        <v>1202</v>
      </c>
      <c r="D940" s="400"/>
      <c r="E940" s="400"/>
      <c r="F940" s="400"/>
      <c r="G940" s="400"/>
      <c r="H940" s="396"/>
    </row>
    <row r="941" spans="1:8" s="401" customFormat="1" ht="14.25" customHeight="1" x14ac:dyDescent="0.25">
      <c r="A941" s="564">
        <v>865</v>
      </c>
      <c r="B941" s="562" t="s">
        <v>785</v>
      </c>
      <c r="C941" s="403">
        <v>350</v>
      </c>
      <c r="D941" s="400"/>
      <c r="E941" s="400"/>
      <c r="F941" s="400"/>
      <c r="G941" s="400"/>
      <c r="H941" s="396"/>
    </row>
    <row r="942" spans="1:8" s="401" customFormat="1" ht="14.25" customHeight="1" x14ac:dyDescent="0.25">
      <c r="A942" s="564">
        <v>4977</v>
      </c>
      <c r="B942" s="562" t="s">
        <v>785</v>
      </c>
      <c r="C942" s="403">
        <v>1</v>
      </c>
      <c r="D942" s="400"/>
      <c r="E942" s="400"/>
      <c r="F942" s="400"/>
      <c r="G942" s="400"/>
      <c r="H942" s="396"/>
    </row>
    <row r="943" spans="1:8" s="401" customFormat="1" ht="14.25" customHeight="1" x14ac:dyDescent="0.25">
      <c r="A943" s="564">
        <v>4978</v>
      </c>
      <c r="B943" s="562" t="s">
        <v>785</v>
      </c>
      <c r="C943" s="403">
        <v>1</v>
      </c>
      <c r="D943" s="400"/>
      <c r="E943" s="400"/>
      <c r="F943" s="400"/>
      <c r="G943" s="400"/>
      <c r="H943" s="396"/>
    </row>
    <row r="944" spans="1:8" s="401" customFormat="1" ht="14.25" customHeight="1" x14ac:dyDescent="0.25">
      <c r="A944" s="564">
        <v>1063</v>
      </c>
      <c r="B944" s="562" t="s">
        <v>787</v>
      </c>
      <c r="C944" s="403">
        <v>3422</v>
      </c>
      <c r="D944" s="400"/>
      <c r="E944" s="400"/>
      <c r="F944" s="400"/>
      <c r="G944" s="400"/>
      <c r="H944" s="396"/>
    </row>
    <row r="945" spans="1:8" s="401" customFormat="1" ht="14.25" customHeight="1" x14ac:dyDescent="0.25">
      <c r="A945" s="564">
        <v>1422</v>
      </c>
      <c r="B945" s="562" t="s">
        <v>787</v>
      </c>
      <c r="C945" s="403">
        <v>3605</v>
      </c>
      <c r="D945" s="400"/>
      <c r="E945" s="400"/>
      <c r="F945" s="400"/>
      <c r="G945" s="400"/>
      <c r="H945" s="396"/>
    </row>
    <row r="946" spans="1:8" s="401" customFormat="1" ht="14.25" customHeight="1" x14ac:dyDescent="0.25">
      <c r="A946" s="564">
        <v>1424</v>
      </c>
      <c r="B946" s="562" t="s">
        <v>785</v>
      </c>
      <c r="C946" s="403">
        <v>805</v>
      </c>
      <c r="D946" s="400"/>
      <c r="E946" s="400"/>
      <c r="F946" s="400"/>
      <c r="G946" s="400"/>
      <c r="H946" s="396"/>
    </row>
    <row r="947" spans="1:8" s="401" customFormat="1" ht="14.25" customHeight="1" x14ac:dyDescent="0.25">
      <c r="A947" s="564">
        <v>1426</v>
      </c>
      <c r="B947" s="562" t="s">
        <v>785</v>
      </c>
      <c r="C947" s="403">
        <v>690</v>
      </c>
      <c r="D947" s="400"/>
      <c r="E947" s="400"/>
      <c r="F947" s="400"/>
      <c r="G947" s="400"/>
      <c r="H947" s="396"/>
    </row>
    <row r="948" spans="1:8" s="401" customFormat="1" ht="14.25" customHeight="1" x14ac:dyDescent="0.25">
      <c r="A948" s="564">
        <v>1430</v>
      </c>
      <c r="B948" s="562" t="s">
        <v>785</v>
      </c>
      <c r="C948" s="403">
        <v>684.4</v>
      </c>
      <c r="D948" s="400"/>
      <c r="E948" s="400"/>
      <c r="F948" s="400"/>
      <c r="G948" s="400"/>
      <c r="H948" s="396"/>
    </row>
    <row r="949" spans="1:8" s="401" customFormat="1" ht="14.25" customHeight="1" x14ac:dyDescent="0.25">
      <c r="A949" s="564">
        <v>1432</v>
      </c>
      <c r="B949" s="562" t="s">
        <v>791</v>
      </c>
      <c r="C949" s="403">
        <v>1</v>
      </c>
      <c r="D949" s="400"/>
      <c r="E949" s="400"/>
      <c r="F949" s="400"/>
      <c r="G949" s="400"/>
      <c r="H949" s="396"/>
    </row>
    <row r="950" spans="1:8" s="401" customFormat="1" ht="14.25" customHeight="1" x14ac:dyDescent="0.25">
      <c r="A950" s="564">
        <v>1436</v>
      </c>
      <c r="B950" s="562" t="s">
        <v>785</v>
      </c>
      <c r="C950" s="403">
        <v>690</v>
      </c>
      <c r="D950" s="400"/>
      <c r="E950" s="400"/>
      <c r="F950" s="400"/>
      <c r="G950" s="400"/>
      <c r="H950" s="396"/>
    </row>
    <row r="951" spans="1:8" s="401" customFormat="1" ht="14.25" customHeight="1" x14ac:dyDescent="0.25">
      <c r="A951" s="564">
        <v>1440</v>
      </c>
      <c r="B951" s="562" t="s">
        <v>785</v>
      </c>
      <c r="C951" s="403">
        <v>690</v>
      </c>
      <c r="D951" s="400"/>
      <c r="E951" s="400"/>
      <c r="F951" s="400"/>
      <c r="G951" s="400"/>
      <c r="H951" s="396"/>
    </row>
    <row r="952" spans="1:8" s="401" customFormat="1" ht="14.25" customHeight="1" x14ac:dyDescent="0.25">
      <c r="A952" s="564">
        <v>1446</v>
      </c>
      <c r="B952" s="562" t="s">
        <v>788</v>
      </c>
      <c r="C952" s="403">
        <v>2012</v>
      </c>
      <c r="D952" s="400"/>
      <c r="E952" s="400"/>
      <c r="F952" s="400"/>
      <c r="G952" s="400"/>
      <c r="H952" s="396"/>
    </row>
    <row r="953" spans="1:8" s="401" customFormat="1" ht="14.25" customHeight="1" x14ac:dyDescent="0.25">
      <c r="A953" s="564">
        <v>1450</v>
      </c>
      <c r="B953" s="562" t="s">
        <v>798</v>
      </c>
      <c r="C953" s="403">
        <v>4894</v>
      </c>
      <c r="D953" s="400"/>
      <c r="E953" s="400"/>
      <c r="F953" s="400"/>
      <c r="G953" s="400"/>
      <c r="H953" s="396"/>
    </row>
    <row r="954" spans="1:8" s="401" customFormat="1" ht="14.25" customHeight="1" x14ac:dyDescent="0.25">
      <c r="A954" s="564">
        <v>1455</v>
      </c>
      <c r="B954" s="562" t="s">
        <v>785</v>
      </c>
      <c r="C954" s="403">
        <v>1202</v>
      </c>
      <c r="D954" s="400"/>
      <c r="E954" s="400"/>
      <c r="F954" s="400"/>
      <c r="G954" s="400"/>
      <c r="H954" s="396"/>
    </row>
    <row r="955" spans="1:8" s="401" customFormat="1" ht="14.25" customHeight="1" x14ac:dyDescent="0.25">
      <c r="A955" s="564">
        <v>1458</v>
      </c>
      <c r="B955" s="562" t="s">
        <v>798</v>
      </c>
      <c r="C955" s="403">
        <v>2658.14</v>
      </c>
      <c r="D955" s="400"/>
      <c r="E955" s="400"/>
      <c r="F955" s="400"/>
      <c r="G955" s="400"/>
      <c r="H955" s="396"/>
    </row>
    <row r="956" spans="1:8" s="401" customFormat="1" ht="14.25" customHeight="1" x14ac:dyDescent="0.25">
      <c r="A956" s="564">
        <v>1791</v>
      </c>
      <c r="B956" s="562" t="s">
        <v>785</v>
      </c>
      <c r="C956" s="403">
        <v>1334</v>
      </c>
      <c r="D956" s="400"/>
      <c r="E956" s="400"/>
      <c r="F956" s="400"/>
      <c r="G956" s="400"/>
      <c r="H956" s="396"/>
    </row>
    <row r="957" spans="1:8" s="401" customFormat="1" ht="14.25" customHeight="1" x14ac:dyDescent="0.25">
      <c r="A957" s="564">
        <v>1794</v>
      </c>
      <c r="B957" s="562" t="s">
        <v>785</v>
      </c>
      <c r="C957" s="403">
        <v>684.4</v>
      </c>
      <c r="D957" s="400"/>
      <c r="E957" s="400"/>
      <c r="F957" s="400"/>
      <c r="G957" s="400"/>
      <c r="H957" s="396"/>
    </row>
    <row r="958" spans="1:8" s="401" customFormat="1" ht="14.25" customHeight="1" x14ac:dyDescent="0.25">
      <c r="A958" s="564">
        <v>1796</v>
      </c>
      <c r="B958" s="562" t="s">
        <v>785</v>
      </c>
      <c r="C958" s="403">
        <v>1202</v>
      </c>
      <c r="D958" s="400"/>
      <c r="E958" s="400"/>
      <c r="F958" s="400"/>
      <c r="G958" s="400"/>
      <c r="H958" s="396"/>
    </row>
    <row r="959" spans="1:8" s="401" customFormat="1" ht="14.25" customHeight="1" x14ac:dyDescent="0.25">
      <c r="A959" s="564">
        <v>1799</v>
      </c>
      <c r="B959" s="562" t="s">
        <v>790</v>
      </c>
      <c r="C959" s="403">
        <v>1</v>
      </c>
      <c r="D959" s="400"/>
      <c r="E959" s="400"/>
      <c r="F959" s="400"/>
      <c r="G959" s="400"/>
      <c r="H959" s="396"/>
    </row>
    <row r="960" spans="1:8" s="401" customFormat="1" ht="14.25" customHeight="1" x14ac:dyDescent="0.25">
      <c r="A960" s="564">
        <v>1801</v>
      </c>
      <c r="B960" s="562" t="s">
        <v>787</v>
      </c>
      <c r="C960" s="403">
        <v>1094</v>
      </c>
      <c r="D960" s="400"/>
      <c r="E960" s="400"/>
      <c r="F960" s="400"/>
      <c r="G960" s="400"/>
      <c r="H960" s="396"/>
    </row>
    <row r="961" spans="1:8" s="401" customFormat="1" ht="14.25" customHeight="1" x14ac:dyDescent="0.25">
      <c r="A961" s="564">
        <v>1802</v>
      </c>
      <c r="B961" s="562" t="s">
        <v>788</v>
      </c>
      <c r="C961" s="403">
        <v>2012</v>
      </c>
      <c r="D961" s="400"/>
      <c r="E961" s="400"/>
      <c r="F961" s="400"/>
      <c r="G961" s="400"/>
      <c r="H961" s="396"/>
    </row>
    <row r="962" spans="1:8" s="401" customFormat="1" ht="14.25" customHeight="1" x14ac:dyDescent="0.25">
      <c r="A962" s="564">
        <v>4867</v>
      </c>
      <c r="B962" s="562" t="s">
        <v>798</v>
      </c>
      <c r="C962" s="403">
        <v>2040.49</v>
      </c>
      <c r="D962" s="400"/>
      <c r="E962" s="400"/>
      <c r="F962" s="400"/>
      <c r="G962" s="400"/>
      <c r="H962" s="396"/>
    </row>
    <row r="963" spans="1:8" s="401" customFormat="1" ht="14.25" customHeight="1" x14ac:dyDescent="0.25">
      <c r="A963" s="564">
        <v>1355</v>
      </c>
      <c r="B963" s="562" t="s">
        <v>787</v>
      </c>
      <c r="C963" s="403">
        <v>6210</v>
      </c>
      <c r="D963" s="400"/>
      <c r="E963" s="400"/>
      <c r="F963" s="400"/>
      <c r="G963" s="400"/>
      <c r="H963" s="396"/>
    </row>
    <row r="964" spans="1:8" s="401" customFormat="1" ht="14.25" customHeight="1" x14ac:dyDescent="0.25">
      <c r="A964" s="564">
        <v>1357</v>
      </c>
      <c r="B964" s="562" t="s">
        <v>789</v>
      </c>
      <c r="C964" s="403">
        <v>409.36</v>
      </c>
      <c r="D964" s="400"/>
      <c r="E964" s="400"/>
      <c r="F964" s="400"/>
      <c r="G964" s="400"/>
      <c r="H964" s="396"/>
    </row>
    <row r="965" spans="1:8" s="401" customFormat="1" ht="14.25" customHeight="1" x14ac:dyDescent="0.25">
      <c r="A965" s="564">
        <v>1358</v>
      </c>
      <c r="B965" s="562" t="s">
        <v>795</v>
      </c>
      <c r="C965" s="403">
        <v>2875</v>
      </c>
      <c r="D965" s="400"/>
      <c r="E965" s="400"/>
      <c r="F965" s="400"/>
      <c r="G965" s="400"/>
      <c r="H965" s="396"/>
    </row>
    <row r="966" spans="1:8" s="401" customFormat="1" ht="14.25" customHeight="1" x14ac:dyDescent="0.25">
      <c r="A966" s="564">
        <v>1459</v>
      </c>
      <c r="B966" s="562" t="s">
        <v>820</v>
      </c>
      <c r="C966" s="403">
        <v>575</v>
      </c>
      <c r="D966" s="400"/>
      <c r="E966" s="400"/>
      <c r="F966" s="400"/>
      <c r="G966" s="400"/>
      <c r="H966" s="396"/>
    </row>
    <row r="967" spans="1:8" s="401" customFormat="1" ht="14.25" customHeight="1" x14ac:dyDescent="0.25">
      <c r="A967" s="564">
        <v>1461</v>
      </c>
      <c r="B967" s="562" t="s">
        <v>820</v>
      </c>
      <c r="C967" s="403">
        <v>575</v>
      </c>
      <c r="D967" s="400"/>
      <c r="E967" s="400"/>
      <c r="F967" s="400"/>
      <c r="G967" s="400"/>
      <c r="H967" s="396"/>
    </row>
    <row r="968" spans="1:8" s="401" customFormat="1" ht="14.25" customHeight="1" x14ac:dyDescent="0.25">
      <c r="A968" s="564">
        <v>1464</v>
      </c>
      <c r="B968" s="562" t="s">
        <v>820</v>
      </c>
      <c r="C968" s="403">
        <v>562</v>
      </c>
      <c r="D968" s="400"/>
      <c r="E968" s="400"/>
      <c r="F968" s="400"/>
      <c r="G968" s="400"/>
      <c r="H968" s="396"/>
    </row>
    <row r="969" spans="1:8" s="401" customFormat="1" ht="14.25" customHeight="1" x14ac:dyDescent="0.25">
      <c r="A969" s="564">
        <v>1466</v>
      </c>
      <c r="B969" s="562" t="s">
        <v>785</v>
      </c>
      <c r="C969" s="403">
        <v>589</v>
      </c>
      <c r="D969" s="400"/>
      <c r="E969" s="400"/>
      <c r="F969" s="400"/>
      <c r="G969" s="400"/>
      <c r="H969" s="396"/>
    </row>
    <row r="970" spans="1:8" s="401" customFormat="1" ht="14.25" customHeight="1" x14ac:dyDescent="0.25">
      <c r="A970" s="564">
        <v>1468</v>
      </c>
      <c r="B970" s="562" t="s">
        <v>786</v>
      </c>
      <c r="C970" s="403">
        <v>1284</v>
      </c>
      <c r="D970" s="400"/>
      <c r="E970" s="400"/>
      <c r="F970" s="400"/>
      <c r="G970" s="400"/>
      <c r="H970" s="396"/>
    </row>
    <row r="971" spans="1:8" s="401" customFormat="1" ht="14.25" customHeight="1" x14ac:dyDescent="0.25">
      <c r="A971" s="564">
        <v>1471</v>
      </c>
      <c r="B971" s="562" t="s">
        <v>787</v>
      </c>
      <c r="C971" s="403">
        <v>1</v>
      </c>
      <c r="D971" s="400"/>
      <c r="E971" s="400"/>
      <c r="F971" s="400"/>
      <c r="G971" s="400"/>
      <c r="H971" s="396"/>
    </row>
    <row r="972" spans="1:8" s="401" customFormat="1" ht="14.25" customHeight="1" x14ac:dyDescent="0.25">
      <c r="A972" s="564">
        <v>1474</v>
      </c>
      <c r="B972" s="562" t="s">
        <v>787</v>
      </c>
      <c r="C972" s="403">
        <v>1</v>
      </c>
      <c r="D972" s="400"/>
      <c r="E972" s="400"/>
      <c r="F972" s="400"/>
      <c r="G972" s="400"/>
      <c r="H972" s="396"/>
    </row>
    <row r="973" spans="1:8" s="401" customFormat="1" ht="14.25" customHeight="1" x14ac:dyDescent="0.25">
      <c r="A973" s="564">
        <v>1479</v>
      </c>
      <c r="B973" s="562" t="s">
        <v>820</v>
      </c>
      <c r="C973" s="403">
        <v>1</v>
      </c>
      <c r="D973" s="400"/>
      <c r="E973" s="400"/>
      <c r="F973" s="400"/>
      <c r="G973" s="400"/>
      <c r="H973" s="396"/>
    </row>
    <row r="974" spans="1:8" s="401" customFormat="1" ht="14.25" customHeight="1" x14ac:dyDescent="0.25">
      <c r="A974" s="564">
        <v>1481</v>
      </c>
      <c r="B974" s="562" t="s">
        <v>787</v>
      </c>
      <c r="C974" s="403">
        <v>1</v>
      </c>
      <c r="D974" s="400"/>
      <c r="E974" s="400"/>
      <c r="F974" s="400"/>
      <c r="G974" s="400"/>
      <c r="H974" s="396"/>
    </row>
    <row r="975" spans="1:8" s="401" customFormat="1" ht="14.25" customHeight="1" x14ac:dyDescent="0.25">
      <c r="A975" s="564">
        <v>1487</v>
      </c>
      <c r="B975" s="562" t="s">
        <v>790</v>
      </c>
      <c r="C975" s="403">
        <v>1</v>
      </c>
      <c r="D975" s="400"/>
      <c r="E975" s="400"/>
      <c r="F975" s="400"/>
      <c r="G975" s="400"/>
      <c r="H975" s="396"/>
    </row>
    <row r="976" spans="1:8" s="401" customFormat="1" ht="14.25" customHeight="1" x14ac:dyDescent="0.25">
      <c r="A976" s="564">
        <v>1490</v>
      </c>
      <c r="B976" s="562" t="s">
        <v>787</v>
      </c>
      <c r="C976" s="403">
        <v>742</v>
      </c>
      <c r="D976" s="400"/>
      <c r="E976" s="400"/>
      <c r="F976" s="400"/>
      <c r="G976" s="400"/>
      <c r="H976" s="396"/>
    </row>
    <row r="977" spans="1:8" s="401" customFormat="1" ht="14.25" customHeight="1" x14ac:dyDescent="0.25">
      <c r="A977" s="564">
        <v>1492</v>
      </c>
      <c r="B977" s="562" t="s">
        <v>787</v>
      </c>
      <c r="C977" s="403">
        <v>742</v>
      </c>
      <c r="D977" s="400"/>
      <c r="E977" s="400"/>
      <c r="F977" s="400"/>
      <c r="G977" s="400"/>
      <c r="H977" s="396"/>
    </row>
    <row r="978" spans="1:8" s="401" customFormat="1" ht="14.25" customHeight="1" x14ac:dyDescent="0.25">
      <c r="A978" s="564">
        <v>1511</v>
      </c>
      <c r="B978" s="562" t="s">
        <v>820</v>
      </c>
      <c r="C978" s="403">
        <v>454</v>
      </c>
      <c r="D978" s="400"/>
      <c r="E978" s="400"/>
      <c r="F978" s="400"/>
      <c r="G978" s="400"/>
      <c r="H978" s="396"/>
    </row>
    <row r="979" spans="1:8" s="401" customFormat="1" ht="14.25" customHeight="1" x14ac:dyDescent="0.25">
      <c r="A979" s="564">
        <v>1515</v>
      </c>
      <c r="B979" s="562" t="s">
        <v>820</v>
      </c>
      <c r="C979" s="403">
        <v>575</v>
      </c>
      <c r="D979" s="400"/>
      <c r="E979" s="400"/>
      <c r="F979" s="400"/>
      <c r="G979" s="400"/>
      <c r="H979" s="396"/>
    </row>
    <row r="980" spans="1:8" s="401" customFormat="1" ht="14.25" customHeight="1" x14ac:dyDescent="0.25">
      <c r="A980" s="564">
        <v>1520</v>
      </c>
      <c r="B980" s="562" t="s">
        <v>820</v>
      </c>
      <c r="C980" s="403">
        <v>575</v>
      </c>
      <c r="D980" s="400"/>
      <c r="E980" s="400"/>
      <c r="F980" s="400"/>
      <c r="G980" s="400"/>
      <c r="H980" s="396"/>
    </row>
    <row r="981" spans="1:8" s="401" customFormat="1" ht="14.25" customHeight="1" x14ac:dyDescent="0.25">
      <c r="A981" s="564">
        <v>1526</v>
      </c>
      <c r="B981" s="562" t="s">
        <v>820</v>
      </c>
      <c r="C981" s="403">
        <v>575</v>
      </c>
      <c r="D981" s="400"/>
      <c r="E981" s="400"/>
      <c r="F981" s="400"/>
      <c r="G981" s="400"/>
      <c r="H981" s="396"/>
    </row>
    <row r="982" spans="1:8" s="401" customFormat="1" ht="14.25" customHeight="1" x14ac:dyDescent="0.25">
      <c r="A982" s="564">
        <v>1529</v>
      </c>
      <c r="B982" s="562" t="s">
        <v>820</v>
      </c>
      <c r="C982" s="403">
        <v>575</v>
      </c>
      <c r="D982" s="400"/>
      <c r="E982" s="400"/>
      <c r="F982" s="400"/>
      <c r="G982" s="400"/>
      <c r="H982" s="396"/>
    </row>
    <row r="983" spans="1:8" s="401" customFormat="1" ht="14.25" customHeight="1" x14ac:dyDescent="0.25">
      <c r="A983" s="564">
        <v>1533</v>
      </c>
      <c r="B983" s="562" t="s">
        <v>820</v>
      </c>
      <c r="C983" s="403">
        <v>575</v>
      </c>
      <c r="D983" s="400"/>
      <c r="E983" s="400"/>
      <c r="F983" s="400"/>
      <c r="G983" s="400"/>
      <c r="H983" s="396"/>
    </row>
    <row r="984" spans="1:8" s="401" customFormat="1" ht="14.25" customHeight="1" x14ac:dyDescent="0.25">
      <c r="A984" s="564">
        <v>1595</v>
      </c>
      <c r="B984" s="562" t="s">
        <v>791</v>
      </c>
      <c r="C984" s="403">
        <v>2185</v>
      </c>
      <c r="D984" s="400"/>
      <c r="E984" s="400"/>
      <c r="F984" s="400"/>
      <c r="G984" s="400"/>
      <c r="H984" s="396"/>
    </row>
    <row r="985" spans="1:8" s="401" customFormat="1" ht="14.25" customHeight="1" x14ac:dyDescent="0.25">
      <c r="A985" s="564">
        <v>1601</v>
      </c>
      <c r="B985" s="562" t="s">
        <v>804</v>
      </c>
      <c r="C985" s="403">
        <v>1</v>
      </c>
      <c r="D985" s="400"/>
      <c r="E985" s="400"/>
      <c r="F985" s="400"/>
      <c r="G985" s="400"/>
      <c r="H985" s="396"/>
    </row>
    <row r="986" spans="1:8" s="401" customFormat="1" ht="14.25" customHeight="1" x14ac:dyDescent="0.25">
      <c r="A986" s="564">
        <v>1608</v>
      </c>
      <c r="B986" s="562" t="s">
        <v>785</v>
      </c>
      <c r="C986" s="403">
        <v>420</v>
      </c>
      <c r="D986" s="400"/>
      <c r="E986" s="400"/>
      <c r="F986" s="400"/>
      <c r="G986" s="400"/>
      <c r="H986" s="396"/>
    </row>
    <row r="987" spans="1:8" s="401" customFormat="1" ht="14.25" customHeight="1" x14ac:dyDescent="0.25">
      <c r="A987" s="564">
        <v>1108</v>
      </c>
      <c r="B987" s="562" t="s">
        <v>787</v>
      </c>
      <c r="C987" s="403">
        <v>2840</v>
      </c>
      <c r="D987" s="400"/>
      <c r="E987" s="400"/>
      <c r="F987" s="400"/>
      <c r="G987" s="400"/>
      <c r="H987" s="396"/>
    </row>
    <row r="988" spans="1:8" s="401" customFormat="1" ht="14.25" customHeight="1" x14ac:dyDescent="0.25">
      <c r="A988" s="564">
        <v>1129</v>
      </c>
      <c r="B988" s="562" t="s">
        <v>791</v>
      </c>
      <c r="C988" s="403">
        <v>1852</v>
      </c>
      <c r="D988" s="400"/>
      <c r="E988" s="400"/>
      <c r="F988" s="400"/>
      <c r="G988" s="400"/>
      <c r="H988" s="396"/>
    </row>
    <row r="989" spans="1:8" s="401" customFormat="1" ht="14.25" customHeight="1" x14ac:dyDescent="0.25">
      <c r="A989" s="564">
        <v>1131</v>
      </c>
      <c r="B989" s="562" t="s">
        <v>787</v>
      </c>
      <c r="C989" s="403">
        <v>2990</v>
      </c>
      <c r="D989" s="400"/>
      <c r="E989" s="400"/>
      <c r="F989" s="400"/>
      <c r="G989" s="400"/>
      <c r="H989" s="396"/>
    </row>
    <row r="990" spans="1:8" s="401" customFormat="1" ht="14.25" customHeight="1" x14ac:dyDescent="0.25">
      <c r="A990" s="564">
        <v>1134</v>
      </c>
      <c r="B990" s="562" t="s">
        <v>787</v>
      </c>
      <c r="C990" s="403">
        <v>3006</v>
      </c>
      <c r="D990" s="400"/>
      <c r="E990" s="400"/>
      <c r="F990" s="400"/>
      <c r="G990" s="400"/>
      <c r="H990" s="396"/>
    </row>
    <row r="991" spans="1:8" s="401" customFormat="1" ht="14.25" customHeight="1" x14ac:dyDescent="0.25">
      <c r="A991" s="564">
        <v>1141</v>
      </c>
      <c r="B991" s="562" t="s">
        <v>828</v>
      </c>
      <c r="C991" s="403">
        <v>3910</v>
      </c>
      <c r="D991" s="400"/>
      <c r="E991" s="400"/>
      <c r="F991" s="400"/>
      <c r="G991" s="400"/>
      <c r="H991" s="396"/>
    </row>
    <row r="992" spans="1:8" s="401" customFormat="1" ht="14.25" customHeight="1" x14ac:dyDescent="0.25">
      <c r="A992" s="564">
        <v>1144</v>
      </c>
      <c r="B992" s="562" t="s">
        <v>791</v>
      </c>
      <c r="C992" s="403">
        <v>3436</v>
      </c>
      <c r="D992" s="400"/>
      <c r="E992" s="400"/>
      <c r="F992" s="400"/>
      <c r="G992" s="400"/>
      <c r="H992" s="396"/>
    </row>
    <row r="993" spans="1:8" s="401" customFormat="1" ht="14.25" customHeight="1" x14ac:dyDescent="0.25">
      <c r="A993" s="564">
        <v>1148</v>
      </c>
      <c r="B993" s="562" t="s">
        <v>787</v>
      </c>
      <c r="C993" s="403">
        <v>1890</v>
      </c>
      <c r="D993" s="400"/>
      <c r="E993" s="400"/>
      <c r="F993" s="400"/>
      <c r="G993" s="400"/>
      <c r="H993" s="396"/>
    </row>
    <row r="994" spans="1:8" s="401" customFormat="1" ht="14.25" customHeight="1" x14ac:dyDescent="0.25">
      <c r="A994" s="564">
        <v>1152</v>
      </c>
      <c r="B994" s="562" t="s">
        <v>798</v>
      </c>
      <c r="C994" s="403">
        <v>2658.14</v>
      </c>
      <c r="D994" s="400"/>
      <c r="E994" s="400"/>
      <c r="F994" s="400"/>
      <c r="G994" s="400"/>
      <c r="H994" s="396"/>
    </row>
    <row r="995" spans="1:8" s="401" customFormat="1" ht="14.25" customHeight="1" x14ac:dyDescent="0.25">
      <c r="A995" s="564">
        <v>1156</v>
      </c>
      <c r="B995" s="562" t="s">
        <v>785</v>
      </c>
      <c r="C995" s="403">
        <v>448</v>
      </c>
      <c r="D995" s="400"/>
      <c r="E995" s="400"/>
      <c r="F995" s="400"/>
      <c r="G995" s="400"/>
      <c r="H995" s="396"/>
    </row>
    <row r="996" spans="1:8" s="401" customFormat="1" ht="14.25" customHeight="1" x14ac:dyDescent="0.25">
      <c r="A996" s="564">
        <v>1160</v>
      </c>
      <c r="B996" s="562" t="s">
        <v>785</v>
      </c>
      <c r="C996" s="403">
        <v>589</v>
      </c>
      <c r="D996" s="400"/>
      <c r="E996" s="400"/>
      <c r="F996" s="400"/>
      <c r="G996" s="400"/>
      <c r="H996" s="396"/>
    </row>
    <row r="997" spans="1:8" s="401" customFormat="1" ht="14.25" customHeight="1" x14ac:dyDescent="0.25">
      <c r="A997" s="564">
        <v>1163</v>
      </c>
      <c r="B997" s="562" t="s">
        <v>813</v>
      </c>
      <c r="C997" s="403">
        <v>564.45000000000005</v>
      </c>
      <c r="D997" s="400"/>
      <c r="E997" s="400"/>
      <c r="F997" s="400"/>
      <c r="G997" s="400"/>
      <c r="H997" s="396"/>
    </row>
    <row r="998" spans="1:8" s="401" customFormat="1" ht="14.25" customHeight="1" x14ac:dyDescent="0.25">
      <c r="A998" s="564">
        <v>1169</v>
      </c>
      <c r="B998" s="562" t="s">
        <v>818</v>
      </c>
      <c r="C998" s="403">
        <v>1</v>
      </c>
      <c r="D998" s="400"/>
      <c r="E998" s="400"/>
      <c r="F998" s="400"/>
      <c r="G998" s="400"/>
      <c r="H998" s="396"/>
    </row>
    <row r="999" spans="1:8" s="401" customFormat="1" ht="14.25" customHeight="1" x14ac:dyDescent="0.25">
      <c r="A999" s="564">
        <v>1184</v>
      </c>
      <c r="B999" s="562" t="s">
        <v>785</v>
      </c>
      <c r="C999" s="403">
        <v>589</v>
      </c>
      <c r="D999" s="400"/>
      <c r="E999" s="400"/>
      <c r="F999" s="400"/>
      <c r="G999" s="400"/>
      <c r="H999" s="396"/>
    </row>
    <row r="1000" spans="1:8" s="401" customFormat="1" ht="14.25" customHeight="1" x14ac:dyDescent="0.25">
      <c r="A1000" s="564">
        <v>1196</v>
      </c>
      <c r="B1000" s="562" t="s">
        <v>820</v>
      </c>
      <c r="C1000" s="403">
        <v>575</v>
      </c>
      <c r="D1000" s="400"/>
      <c r="E1000" s="400"/>
      <c r="F1000" s="400"/>
      <c r="G1000" s="400"/>
      <c r="H1000" s="396"/>
    </row>
    <row r="1001" spans="1:8" s="401" customFormat="1" ht="14.25" customHeight="1" x14ac:dyDescent="0.25">
      <c r="A1001" s="564">
        <v>1197</v>
      </c>
      <c r="B1001" s="562" t="s">
        <v>820</v>
      </c>
      <c r="C1001" s="403">
        <v>575</v>
      </c>
      <c r="D1001" s="400"/>
      <c r="E1001" s="400"/>
      <c r="F1001" s="400"/>
      <c r="G1001" s="400"/>
      <c r="H1001" s="396"/>
    </row>
    <row r="1002" spans="1:8" s="401" customFormat="1" ht="14.25" customHeight="1" x14ac:dyDescent="0.25">
      <c r="A1002" s="564">
        <v>1201</v>
      </c>
      <c r="B1002" s="562" t="s">
        <v>820</v>
      </c>
      <c r="C1002" s="403">
        <v>575</v>
      </c>
      <c r="D1002" s="400"/>
      <c r="E1002" s="400"/>
      <c r="F1002" s="400"/>
      <c r="G1002" s="400"/>
      <c r="H1002" s="396"/>
    </row>
    <row r="1003" spans="1:8" s="401" customFormat="1" ht="14.25" customHeight="1" x14ac:dyDescent="0.25">
      <c r="A1003" s="564">
        <v>1203</v>
      </c>
      <c r="B1003" s="562" t="s">
        <v>820</v>
      </c>
      <c r="C1003" s="403">
        <v>575</v>
      </c>
      <c r="D1003" s="400"/>
      <c r="E1003" s="400"/>
      <c r="F1003" s="400"/>
      <c r="G1003" s="400"/>
      <c r="H1003" s="396"/>
    </row>
    <row r="1004" spans="1:8" s="401" customFormat="1" ht="14.25" customHeight="1" x14ac:dyDescent="0.25">
      <c r="A1004" s="564">
        <v>1206</v>
      </c>
      <c r="B1004" s="562" t="s">
        <v>820</v>
      </c>
      <c r="C1004" s="403">
        <v>575</v>
      </c>
      <c r="D1004" s="400"/>
      <c r="E1004" s="400"/>
      <c r="F1004" s="400"/>
      <c r="G1004" s="400"/>
      <c r="H1004" s="396"/>
    </row>
    <row r="1005" spans="1:8" s="401" customFormat="1" ht="14.25" customHeight="1" x14ac:dyDescent="0.25">
      <c r="A1005" s="564">
        <v>1208</v>
      </c>
      <c r="B1005" s="562" t="s">
        <v>820</v>
      </c>
      <c r="C1005" s="403">
        <v>563</v>
      </c>
      <c r="D1005" s="400"/>
      <c r="E1005" s="400"/>
      <c r="F1005" s="400"/>
      <c r="G1005" s="400"/>
      <c r="H1005" s="396"/>
    </row>
    <row r="1006" spans="1:8" s="401" customFormat="1" ht="14.25" customHeight="1" x14ac:dyDescent="0.25">
      <c r="A1006" s="564">
        <v>1210</v>
      </c>
      <c r="B1006" s="562" t="s">
        <v>820</v>
      </c>
      <c r="C1006" s="403">
        <v>563</v>
      </c>
      <c r="D1006" s="400"/>
      <c r="E1006" s="400"/>
      <c r="F1006" s="400"/>
      <c r="G1006" s="400"/>
      <c r="H1006" s="396"/>
    </row>
    <row r="1007" spans="1:8" s="401" customFormat="1" ht="14.25" customHeight="1" x14ac:dyDescent="0.25">
      <c r="A1007" s="564">
        <v>1215</v>
      </c>
      <c r="B1007" s="562" t="s">
        <v>820</v>
      </c>
      <c r="C1007" s="403">
        <v>563</v>
      </c>
      <c r="D1007" s="400"/>
      <c r="E1007" s="400"/>
      <c r="F1007" s="400"/>
      <c r="G1007" s="400"/>
      <c r="H1007" s="396"/>
    </row>
    <row r="1008" spans="1:8" s="401" customFormat="1" ht="14.25" customHeight="1" x14ac:dyDescent="0.25">
      <c r="A1008" s="564">
        <v>1222</v>
      </c>
      <c r="B1008" s="562" t="s">
        <v>820</v>
      </c>
      <c r="C1008" s="403">
        <v>564</v>
      </c>
      <c r="D1008" s="400"/>
      <c r="E1008" s="400"/>
      <c r="F1008" s="400"/>
      <c r="G1008" s="400"/>
      <c r="H1008" s="396"/>
    </row>
    <row r="1009" spans="1:8" s="401" customFormat="1" ht="14.25" customHeight="1" x14ac:dyDescent="0.25">
      <c r="A1009" s="564">
        <v>1224</v>
      </c>
      <c r="B1009" s="562" t="s">
        <v>820</v>
      </c>
      <c r="C1009" s="403">
        <v>564</v>
      </c>
      <c r="D1009" s="400"/>
      <c r="E1009" s="400"/>
      <c r="F1009" s="400"/>
      <c r="G1009" s="400"/>
      <c r="H1009" s="396"/>
    </row>
    <row r="1010" spans="1:8" s="401" customFormat="1" ht="14.25" customHeight="1" x14ac:dyDescent="0.25">
      <c r="A1010" s="564">
        <v>1232</v>
      </c>
      <c r="B1010" s="562" t="s">
        <v>820</v>
      </c>
      <c r="C1010" s="403">
        <v>563</v>
      </c>
      <c r="D1010" s="400"/>
      <c r="E1010" s="400"/>
      <c r="F1010" s="400"/>
      <c r="G1010" s="400"/>
      <c r="H1010" s="396"/>
    </row>
    <row r="1011" spans="1:8" s="401" customFormat="1" ht="14.25" customHeight="1" x14ac:dyDescent="0.25">
      <c r="A1011" s="564">
        <v>1236</v>
      </c>
      <c r="B1011" s="562" t="s">
        <v>820</v>
      </c>
      <c r="C1011" s="403">
        <v>564</v>
      </c>
      <c r="D1011" s="400"/>
      <c r="E1011" s="400"/>
      <c r="F1011" s="400"/>
      <c r="G1011" s="400"/>
      <c r="H1011" s="396"/>
    </row>
    <row r="1012" spans="1:8" s="401" customFormat="1" ht="14.25" customHeight="1" x14ac:dyDescent="0.25">
      <c r="A1012" s="564">
        <v>1243</v>
      </c>
      <c r="B1012" s="562" t="s">
        <v>820</v>
      </c>
      <c r="C1012" s="403">
        <v>564</v>
      </c>
      <c r="D1012" s="400"/>
      <c r="E1012" s="400"/>
      <c r="F1012" s="400"/>
      <c r="G1012" s="400"/>
      <c r="H1012" s="396"/>
    </row>
    <row r="1013" spans="1:8" s="401" customFormat="1" ht="14.25" customHeight="1" x14ac:dyDescent="0.25">
      <c r="A1013" s="564">
        <v>1269</v>
      </c>
      <c r="B1013" s="562" t="s">
        <v>820</v>
      </c>
      <c r="C1013" s="403">
        <v>564</v>
      </c>
      <c r="D1013" s="400"/>
      <c r="E1013" s="400"/>
      <c r="F1013" s="400"/>
      <c r="G1013" s="400"/>
      <c r="H1013" s="396"/>
    </row>
    <row r="1014" spans="1:8" s="401" customFormat="1" ht="14.25" customHeight="1" x14ac:dyDescent="0.25">
      <c r="A1014" s="564">
        <v>1273</v>
      </c>
      <c r="B1014" s="562" t="s">
        <v>820</v>
      </c>
      <c r="C1014" s="403">
        <v>564</v>
      </c>
      <c r="D1014" s="400"/>
      <c r="E1014" s="400"/>
      <c r="F1014" s="400"/>
      <c r="G1014" s="400"/>
      <c r="H1014" s="396"/>
    </row>
    <row r="1015" spans="1:8" s="401" customFormat="1" ht="14.25" customHeight="1" x14ac:dyDescent="0.25">
      <c r="A1015" s="564">
        <v>1282</v>
      </c>
      <c r="B1015" s="562" t="s">
        <v>790</v>
      </c>
      <c r="C1015" s="403">
        <v>1300</v>
      </c>
      <c r="D1015" s="400"/>
      <c r="E1015" s="400"/>
      <c r="F1015" s="400"/>
      <c r="G1015" s="400"/>
      <c r="H1015" s="396"/>
    </row>
    <row r="1016" spans="1:8" s="401" customFormat="1" ht="14.25" customHeight="1" x14ac:dyDescent="0.25">
      <c r="A1016" s="564">
        <v>1287</v>
      </c>
      <c r="B1016" s="562" t="s">
        <v>790</v>
      </c>
      <c r="C1016" s="403">
        <v>1300</v>
      </c>
      <c r="D1016" s="400"/>
      <c r="E1016" s="400"/>
      <c r="F1016" s="400"/>
      <c r="G1016" s="400"/>
      <c r="H1016" s="396"/>
    </row>
    <row r="1017" spans="1:8" s="401" customFormat="1" ht="14.25" customHeight="1" x14ac:dyDescent="0.25">
      <c r="A1017" s="564">
        <v>1289</v>
      </c>
      <c r="B1017" s="562" t="s">
        <v>785</v>
      </c>
      <c r="C1017" s="403">
        <v>195</v>
      </c>
      <c r="D1017" s="400"/>
      <c r="E1017" s="400"/>
      <c r="F1017" s="400"/>
      <c r="G1017" s="400"/>
      <c r="H1017" s="396"/>
    </row>
    <row r="1018" spans="1:8" s="401" customFormat="1" ht="14.25" customHeight="1" x14ac:dyDescent="0.25">
      <c r="A1018" s="564">
        <v>1293</v>
      </c>
      <c r="B1018" s="562" t="s">
        <v>785</v>
      </c>
      <c r="C1018" s="403">
        <v>589</v>
      </c>
      <c r="D1018" s="400"/>
      <c r="E1018" s="400"/>
      <c r="F1018" s="400"/>
      <c r="G1018" s="400"/>
      <c r="H1018" s="396"/>
    </row>
    <row r="1019" spans="1:8" s="401" customFormat="1" ht="14.25" customHeight="1" x14ac:dyDescent="0.25">
      <c r="A1019" s="564">
        <v>1295</v>
      </c>
      <c r="B1019" s="562" t="s">
        <v>789</v>
      </c>
      <c r="C1019" s="403">
        <v>629.88</v>
      </c>
      <c r="D1019" s="400"/>
      <c r="E1019" s="400"/>
      <c r="F1019" s="400"/>
      <c r="G1019" s="400"/>
      <c r="H1019" s="396"/>
    </row>
    <row r="1020" spans="1:8" s="401" customFormat="1" ht="14.25" customHeight="1" x14ac:dyDescent="0.25">
      <c r="A1020" s="564">
        <v>1297</v>
      </c>
      <c r="B1020" s="562" t="s">
        <v>787</v>
      </c>
      <c r="C1020" s="403">
        <v>2639</v>
      </c>
      <c r="D1020" s="400"/>
      <c r="E1020" s="400"/>
      <c r="F1020" s="400"/>
      <c r="G1020" s="400"/>
      <c r="H1020" s="396"/>
    </row>
    <row r="1021" spans="1:8" s="401" customFormat="1" ht="14.25" customHeight="1" x14ac:dyDescent="0.25">
      <c r="A1021" s="564">
        <v>1301</v>
      </c>
      <c r="B1021" s="562" t="s">
        <v>791</v>
      </c>
      <c r="C1021" s="403">
        <v>1764</v>
      </c>
      <c r="D1021" s="400"/>
      <c r="E1021" s="400"/>
      <c r="F1021" s="400"/>
      <c r="G1021" s="400"/>
      <c r="H1021" s="396"/>
    </row>
    <row r="1022" spans="1:8" s="401" customFormat="1" ht="14.25" customHeight="1" x14ac:dyDescent="0.25">
      <c r="A1022" s="564">
        <v>1304</v>
      </c>
      <c r="B1022" s="562" t="s">
        <v>785</v>
      </c>
      <c r="C1022" s="403">
        <v>1</v>
      </c>
      <c r="D1022" s="400"/>
      <c r="E1022" s="400"/>
      <c r="F1022" s="400"/>
      <c r="G1022" s="400"/>
      <c r="H1022" s="396"/>
    </row>
    <row r="1023" spans="1:8" s="401" customFormat="1" ht="14.25" customHeight="1" x14ac:dyDescent="0.25">
      <c r="A1023" s="564">
        <v>1308</v>
      </c>
      <c r="B1023" s="562" t="s">
        <v>802</v>
      </c>
      <c r="C1023" s="403">
        <v>3425</v>
      </c>
      <c r="D1023" s="400"/>
      <c r="E1023" s="400"/>
      <c r="F1023" s="400"/>
      <c r="G1023" s="400"/>
      <c r="H1023" s="396"/>
    </row>
    <row r="1024" spans="1:8" s="401" customFormat="1" ht="14.25" customHeight="1" x14ac:dyDescent="0.25">
      <c r="A1024" s="564">
        <v>1313</v>
      </c>
      <c r="B1024" s="562" t="s">
        <v>791</v>
      </c>
      <c r="C1024" s="403">
        <v>3436</v>
      </c>
      <c r="D1024" s="400"/>
      <c r="E1024" s="400"/>
      <c r="F1024" s="400"/>
      <c r="G1024" s="400"/>
      <c r="H1024" s="396"/>
    </row>
    <row r="1025" spans="1:8" s="401" customFormat="1" ht="14.25" customHeight="1" x14ac:dyDescent="0.25">
      <c r="A1025" s="564">
        <v>1318</v>
      </c>
      <c r="B1025" s="562" t="s">
        <v>787</v>
      </c>
      <c r="C1025" s="403">
        <v>1890</v>
      </c>
      <c r="D1025" s="400"/>
      <c r="E1025" s="400"/>
      <c r="F1025" s="400"/>
      <c r="G1025" s="400"/>
      <c r="H1025" s="396"/>
    </row>
    <row r="1026" spans="1:8" s="401" customFormat="1" ht="14.25" customHeight="1" x14ac:dyDescent="0.25">
      <c r="A1026" s="564">
        <v>1321</v>
      </c>
      <c r="B1026" s="562" t="s">
        <v>828</v>
      </c>
      <c r="C1026" s="403">
        <v>3910</v>
      </c>
      <c r="D1026" s="400"/>
      <c r="E1026" s="400"/>
      <c r="F1026" s="400"/>
      <c r="G1026" s="400"/>
      <c r="H1026" s="396"/>
    </row>
    <row r="1027" spans="1:8" s="401" customFormat="1" ht="14.25" customHeight="1" x14ac:dyDescent="0.25">
      <c r="A1027" s="564">
        <v>1324</v>
      </c>
      <c r="B1027" s="562" t="s">
        <v>790</v>
      </c>
      <c r="C1027" s="403">
        <v>1978</v>
      </c>
      <c r="D1027" s="400"/>
      <c r="E1027" s="400"/>
      <c r="F1027" s="400"/>
      <c r="G1027" s="400"/>
      <c r="H1027" s="396"/>
    </row>
    <row r="1028" spans="1:8" s="401" customFormat="1" ht="14.25" customHeight="1" x14ac:dyDescent="0.25">
      <c r="A1028" s="564">
        <v>1329</v>
      </c>
      <c r="B1028" s="562" t="s">
        <v>826</v>
      </c>
      <c r="C1028" s="403">
        <v>601</v>
      </c>
      <c r="D1028" s="400"/>
      <c r="E1028" s="400"/>
      <c r="F1028" s="400"/>
      <c r="G1028" s="400"/>
      <c r="H1028" s="396"/>
    </row>
    <row r="1029" spans="1:8" s="401" customFormat="1" ht="14.25" customHeight="1" x14ac:dyDescent="0.25">
      <c r="A1029" s="564">
        <v>1333</v>
      </c>
      <c r="B1029" s="562" t="s">
        <v>785</v>
      </c>
      <c r="C1029" s="403">
        <v>852</v>
      </c>
      <c r="D1029" s="400"/>
      <c r="E1029" s="400"/>
      <c r="F1029" s="400"/>
      <c r="G1029" s="400"/>
      <c r="H1029" s="396"/>
    </row>
    <row r="1030" spans="1:8" s="401" customFormat="1" ht="14.25" customHeight="1" x14ac:dyDescent="0.25">
      <c r="A1030" s="564">
        <v>1346</v>
      </c>
      <c r="B1030" s="562" t="s">
        <v>785</v>
      </c>
      <c r="C1030" s="403">
        <v>589</v>
      </c>
      <c r="D1030" s="400"/>
      <c r="E1030" s="400"/>
      <c r="F1030" s="400"/>
      <c r="G1030" s="400"/>
      <c r="H1030" s="396"/>
    </row>
    <row r="1031" spans="1:8" s="401" customFormat="1" ht="14.25" customHeight="1" x14ac:dyDescent="0.25">
      <c r="A1031" s="564">
        <v>1348</v>
      </c>
      <c r="B1031" s="562" t="s">
        <v>785</v>
      </c>
      <c r="C1031" s="403">
        <v>589</v>
      </c>
      <c r="D1031" s="400"/>
      <c r="E1031" s="400"/>
      <c r="F1031" s="400"/>
      <c r="G1031" s="400"/>
      <c r="H1031" s="396"/>
    </row>
    <row r="1032" spans="1:8" s="401" customFormat="1" ht="14.25" customHeight="1" x14ac:dyDescent="0.25">
      <c r="A1032" s="564">
        <v>1350</v>
      </c>
      <c r="B1032" s="562" t="s">
        <v>791</v>
      </c>
      <c r="C1032" s="403">
        <v>2358</v>
      </c>
      <c r="D1032" s="400"/>
      <c r="E1032" s="400"/>
      <c r="F1032" s="400"/>
      <c r="G1032" s="400"/>
      <c r="H1032" s="396"/>
    </row>
    <row r="1033" spans="1:8" s="401" customFormat="1" ht="14.25" customHeight="1" x14ac:dyDescent="0.25">
      <c r="A1033" s="564">
        <v>1353</v>
      </c>
      <c r="B1033" s="562" t="s">
        <v>791</v>
      </c>
      <c r="C1033" s="403">
        <v>1610</v>
      </c>
      <c r="D1033" s="400"/>
      <c r="E1033" s="400"/>
      <c r="F1033" s="400"/>
      <c r="G1033" s="400"/>
      <c r="H1033" s="396"/>
    </row>
    <row r="1034" spans="1:8" s="401" customFormat="1" ht="14.25" customHeight="1" x14ac:dyDescent="0.25">
      <c r="A1034" s="564">
        <v>1364</v>
      </c>
      <c r="B1034" s="562" t="s">
        <v>820</v>
      </c>
      <c r="C1034" s="403">
        <v>1</v>
      </c>
      <c r="D1034" s="400"/>
      <c r="E1034" s="400"/>
      <c r="F1034" s="400"/>
      <c r="G1034" s="400"/>
      <c r="H1034" s="396"/>
    </row>
    <row r="1035" spans="1:8" s="401" customFormat="1" ht="14.25" customHeight="1" x14ac:dyDescent="0.25">
      <c r="A1035" s="564">
        <v>1367</v>
      </c>
      <c r="B1035" s="562" t="s">
        <v>820</v>
      </c>
      <c r="C1035" s="403">
        <v>1</v>
      </c>
      <c r="D1035" s="400"/>
      <c r="E1035" s="400"/>
      <c r="F1035" s="400"/>
      <c r="G1035" s="400"/>
      <c r="H1035" s="396"/>
    </row>
    <row r="1036" spans="1:8" s="401" customFormat="1" ht="14.25" customHeight="1" x14ac:dyDescent="0.25">
      <c r="A1036" s="564">
        <v>1372</v>
      </c>
      <c r="B1036" s="562" t="s">
        <v>820</v>
      </c>
      <c r="C1036" s="403">
        <v>1</v>
      </c>
      <c r="D1036" s="400"/>
      <c r="E1036" s="400"/>
      <c r="F1036" s="400"/>
      <c r="G1036" s="400"/>
      <c r="H1036" s="396"/>
    </row>
    <row r="1037" spans="1:8" s="401" customFormat="1" ht="14.25" customHeight="1" x14ac:dyDescent="0.25">
      <c r="A1037" s="564">
        <v>1382</v>
      </c>
      <c r="B1037" s="562" t="s">
        <v>786</v>
      </c>
      <c r="C1037" s="403">
        <v>1</v>
      </c>
      <c r="D1037" s="400"/>
      <c r="E1037" s="400"/>
      <c r="F1037" s="400"/>
      <c r="G1037" s="400"/>
      <c r="H1037" s="396"/>
    </row>
    <row r="1038" spans="1:8" s="401" customFormat="1" ht="14.25" customHeight="1" x14ac:dyDescent="0.25">
      <c r="A1038" s="564">
        <v>1384</v>
      </c>
      <c r="B1038" s="562" t="s">
        <v>787</v>
      </c>
      <c r="C1038" s="403">
        <v>1127</v>
      </c>
      <c r="D1038" s="400"/>
      <c r="E1038" s="400"/>
      <c r="F1038" s="400"/>
      <c r="G1038" s="400"/>
      <c r="H1038" s="396"/>
    </row>
    <row r="1039" spans="1:8" s="401" customFormat="1" ht="14.25" customHeight="1" x14ac:dyDescent="0.25">
      <c r="A1039" s="564">
        <v>1391</v>
      </c>
      <c r="B1039" s="562" t="s">
        <v>804</v>
      </c>
      <c r="C1039" s="403">
        <v>1</v>
      </c>
      <c r="D1039" s="400"/>
      <c r="E1039" s="400"/>
      <c r="F1039" s="400"/>
      <c r="G1039" s="400"/>
      <c r="H1039" s="396"/>
    </row>
    <row r="1040" spans="1:8" s="401" customFormat="1" ht="14.25" customHeight="1" x14ac:dyDescent="0.25">
      <c r="A1040" s="564">
        <v>1393</v>
      </c>
      <c r="B1040" s="562" t="s">
        <v>787</v>
      </c>
      <c r="C1040" s="403">
        <v>1</v>
      </c>
      <c r="D1040" s="400"/>
      <c r="E1040" s="400"/>
      <c r="F1040" s="400"/>
      <c r="G1040" s="400"/>
      <c r="H1040" s="396"/>
    </row>
    <row r="1041" spans="1:8" s="401" customFormat="1" ht="14.25" customHeight="1" x14ac:dyDescent="0.25">
      <c r="A1041" s="564">
        <v>1395</v>
      </c>
      <c r="B1041" s="562" t="s">
        <v>831</v>
      </c>
      <c r="C1041" s="403">
        <v>1</v>
      </c>
      <c r="D1041" s="400"/>
      <c r="E1041" s="400"/>
      <c r="F1041" s="400"/>
      <c r="G1041" s="400"/>
      <c r="H1041" s="396"/>
    </row>
    <row r="1042" spans="1:8" s="401" customFormat="1" ht="14.25" customHeight="1" x14ac:dyDescent="0.25">
      <c r="A1042" s="564">
        <v>1406</v>
      </c>
      <c r="B1042" s="562" t="s">
        <v>820</v>
      </c>
      <c r="C1042" s="403">
        <v>575</v>
      </c>
      <c r="D1042" s="400"/>
      <c r="E1042" s="400"/>
      <c r="F1042" s="400"/>
      <c r="G1042" s="400"/>
      <c r="H1042" s="396"/>
    </row>
    <row r="1043" spans="1:8" s="401" customFormat="1" ht="14.25" customHeight="1" x14ac:dyDescent="0.25">
      <c r="A1043" s="564">
        <v>1409</v>
      </c>
      <c r="B1043" s="562" t="s">
        <v>820</v>
      </c>
      <c r="C1043" s="403">
        <v>575</v>
      </c>
      <c r="D1043" s="400"/>
      <c r="E1043" s="400"/>
      <c r="F1043" s="400"/>
      <c r="G1043" s="400"/>
      <c r="H1043" s="396"/>
    </row>
    <row r="1044" spans="1:8" s="401" customFormat="1" ht="14.25" customHeight="1" x14ac:dyDescent="0.25">
      <c r="A1044" s="564">
        <v>1411</v>
      </c>
      <c r="B1044" s="562" t="s">
        <v>820</v>
      </c>
      <c r="C1044" s="403">
        <v>575</v>
      </c>
      <c r="D1044" s="400"/>
      <c r="E1044" s="400"/>
      <c r="F1044" s="400"/>
      <c r="G1044" s="400"/>
      <c r="H1044" s="396"/>
    </row>
    <row r="1045" spans="1:8" s="401" customFormat="1" ht="14.25" customHeight="1" x14ac:dyDescent="0.25">
      <c r="A1045" s="564">
        <v>1415</v>
      </c>
      <c r="B1045" s="562" t="s">
        <v>820</v>
      </c>
      <c r="C1045" s="403">
        <v>575</v>
      </c>
      <c r="D1045" s="400"/>
      <c r="E1045" s="400"/>
      <c r="F1045" s="400"/>
      <c r="G1045" s="400"/>
      <c r="H1045" s="396"/>
    </row>
    <row r="1046" spans="1:8" s="401" customFormat="1" ht="14.25" customHeight="1" x14ac:dyDescent="0.25">
      <c r="A1046" s="564">
        <v>1417</v>
      </c>
      <c r="B1046" s="562" t="s">
        <v>820</v>
      </c>
      <c r="C1046" s="403">
        <v>575</v>
      </c>
      <c r="D1046" s="400"/>
      <c r="E1046" s="400"/>
      <c r="F1046" s="400"/>
      <c r="G1046" s="400"/>
      <c r="H1046" s="396"/>
    </row>
    <row r="1047" spans="1:8" s="401" customFormat="1" ht="14.25" customHeight="1" x14ac:dyDescent="0.25">
      <c r="A1047" s="564">
        <v>1463</v>
      </c>
      <c r="B1047" s="562" t="s">
        <v>820</v>
      </c>
      <c r="C1047" s="403">
        <v>562</v>
      </c>
      <c r="D1047" s="400"/>
      <c r="E1047" s="400"/>
      <c r="F1047" s="400"/>
      <c r="G1047" s="400"/>
      <c r="H1047" s="396"/>
    </row>
    <row r="1048" spans="1:8" s="401" customFormat="1" ht="14.25" customHeight="1" x14ac:dyDescent="0.25">
      <c r="A1048" s="564">
        <v>1467</v>
      </c>
      <c r="B1048" s="562" t="s">
        <v>820</v>
      </c>
      <c r="C1048" s="403">
        <v>562</v>
      </c>
      <c r="D1048" s="400"/>
      <c r="E1048" s="400"/>
      <c r="F1048" s="400"/>
      <c r="G1048" s="400"/>
      <c r="H1048" s="396"/>
    </row>
    <row r="1049" spans="1:8" s="401" customFormat="1" ht="14.25" customHeight="1" x14ac:dyDescent="0.25">
      <c r="A1049" s="564">
        <v>1473</v>
      </c>
      <c r="B1049" s="562" t="s">
        <v>820</v>
      </c>
      <c r="C1049" s="403">
        <v>1</v>
      </c>
      <c r="D1049" s="400"/>
      <c r="E1049" s="400"/>
      <c r="F1049" s="400"/>
      <c r="G1049" s="400"/>
      <c r="H1049" s="396"/>
    </row>
    <row r="1050" spans="1:8" s="401" customFormat="1" ht="14.25" customHeight="1" x14ac:dyDescent="0.25">
      <c r="A1050" s="564">
        <v>1483</v>
      </c>
      <c r="B1050" s="562" t="s">
        <v>820</v>
      </c>
      <c r="C1050" s="403">
        <v>1</v>
      </c>
      <c r="D1050" s="400"/>
      <c r="E1050" s="400"/>
      <c r="F1050" s="400"/>
      <c r="G1050" s="400"/>
      <c r="H1050" s="396"/>
    </row>
    <row r="1051" spans="1:8" s="401" customFormat="1" ht="14.25" customHeight="1" x14ac:dyDescent="0.25">
      <c r="A1051" s="564">
        <v>1486</v>
      </c>
      <c r="B1051" s="562" t="s">
        <v>820</v>
      </c>
      <c r="C1051" s="403">
        <v>1</v>
      </c>
      <c r="D1051" s="400"/>
      <c r="E1051" s="400"/>
      <c r="F1051" s="400"/>
      <c r="G1051" s="400"/>
      <c r="H1051" s="396"/>
    </row>
    <row r="1052" spans="1:8" s="401" customFormat="1" ht="14.25" customHeight="1" x14ac:dyDescent="0.25">
      <c r="A1052" s="564">
        <v>1528</v>
      </c>
      <c r="B1052" s="562" t="s">
        <v>828</v>
      </c>
      <c r="C1052" s="403">
        <v>1</v>
      </c>
      <c r="D1052" s="400"/>
      <c r="E1052" s="400"/>
      <c r="F1052" s="400"/>
      <c r="G1052" s="400"/>
      <c r="H1052" s="396"/>
    </row>
    <row r="1053" spans="1:8" s="401" customFormat="1" ht="14.25" customHeight="1" x14ac:dyDescent="0.25">
      <c r="A1053" s="564">
        <v>1532</v>
      </c>
      <c r="B1053" s="562" t="s">
        <v>790</v>
      </c>
      <c r="C1053" s="403">
        <v>1</v>
      </c>
      <c r="D1053" s="400"/>
      <c r="E1053" s="400"/>
      <c r="F1053" s="400"/>
      <c r="G1053" s="400"/>
      <c r="H1053" s="396"/>
    </row>
    <row r="1054" spans="1:8" s="401" customFormat="1" ht="14.25" customHeight="1" x14ac:dyDescent="0.25">
      <c r="A1054" s="564">
        <v>1534</v>
      </c>
      <c r="B1054" s="562" t="s">
        <v>790</v>
      </c>
      <c r="C1054" s="403">
        <v>1</v>
      </c>
      <c r="D1054" s="400"/>
      <c r="E1054" s="400"/>
      <c r="F1054" s="400"/>
      <c r="G1054" s="400"/>
      <c r="H1054" s="396"/>
    </row>
    <row r="1055" spans="1:8" s="401" customFormat="1" ht="14.25" customHeight="1" x14ac:dyDescent="0.25">
      <c r="A1055" s="564">
        <v>1537</v>
      </c>
      <c r="B1055" s="562" t="s">
        <v>790</v>
      </c>
      <c r="C1055" s="403">
        <v>1</v>
      </c>
      <c r="D1055" s="400"/>
      <c r="E1055" s="400"/>
      <c r="F1055" s="400"/>
      <c r="G1055" s="400"/>
      <c r="H1055" s="396"/>
    </row>
    <row r="1056" spans="1:8" s="401" customFormat="1" ht="14.25" customHeight="1" x14ac:dyDescent="0.25">
      <c r="A1056" s="564">
        <v>1553</v>
      </c>
      <c r="B1056" s="562" t="s">
        <v>787</v>
      </c>
      <c r="C1056" s="403">
        <v>1127</v>
      </c>
      <c r="D1056" s="400"/>
      <c r="E1056" s="400"/>
      <c r="F1056" s="400"/>
      <c r="G1056" s="400"/>
      <c r="H1056" s="396"/>
    </row>
    <row r="1057" spans="1:8" s="401" customFormat="1" ht="14.25" customHeight="1" x14ac:dyDescent="0.25">
      <c r="A1057" s="564">
        <v>1556</v>
      </c>
      <c r="B1057" s="562" t="s">
        <v>791</v>
      </c>
      <c r="C1057" s="403">
        <v>1092</v>
      </c>
      <c r="D1057" s="400"/>
      <c r="E1057" s="400"/>
      <c r="F1057" s="400"/>
      <c r="G1057" s="400"/>
      <c r="H1057" s="396"/>
    </row>
    <row r="1058" spans="1:8" s="401" customFormat="1" ht="14.25" customHeight="1" x14ac:dyDescent="0.25">
      <c r="A1058" s="564">
        <v>1563</v>
      </c>
      <c r="B1058" s="562" t="s">
        <v>798</v>
      </c>
      <c r="C1058" s="403">
        <v>978</v>
      </c>
      <c r="D1058" s="400"/>
      <c r="E1058" s="400"/>
      <c r="F1058" s="400"/>
      <c r="G1058" s="400"/>
      <c r="H1058" s="396"/>
    </row>
    <row r="1059" spans="1:8" s="401" customFormat="1" ht="14.25" customHeight="1" x14ac:dyDescent="0.25">
      <c r="A1059" s="564">
        <v>1576</v>
      </c>
      <c r="B1059" s="562" t="s">
        <v>828</v>
      </c>
      <c r="C1059" s="403">
        <v>1</v>
      </c>
      <c r="D1059" s="400"/>
      <c r="E1059" s="400"/>
      <c r="F1059" s="400"/>
      <c r="G1059" s="400"/>
      <c r="H1059" s="396"/>
    </row>
    <row r="1060" spans="1:8" s="401" customFormat="1" ht="14.25" customHeight="1" x14ac:dyDescent="0.25">
      <c r="A1060" s="564">
        <v>1581</v>
      </c>
      <c r="B1060" s="562" t="s">
        <v>820</v>
      </c>
      <c r="C1060" s="403">
        <v>1</v>
      </c>
      <c r="D1060" s="400"/>
      <c r="E1060" s="400"/>
      <c r="F1060" s="400"/>
      <c r="G1060" s="400"/>
      <c r="H1060" s="396"/>
    </row>
    <row r="1061" spans="1:8" s="401" customFormat="1" ht="14.25" customHeight="1" x14ac:dyDescent="0.25">
      <c r="A1061" s="564">
        <v>1614</v>
      </c>
      <c r="B1061" s="562" t="s">
        <v>787</v>
      </c>
      <c r="C1061" s="403">
        <v>1564</v>
      </c>
      <c r="D1061" s="400"/>
      <c r="E1061" s="400"/>
      <c r="F1061" s="400"/>
      <c r="G1061" s="400"/>
      <c r="H1061" s="396"/>
    </row>
    <row r="1062" spans="1:8" s="401" customFormat="1" ht="14.25" customHeight="1" x14ac:dyDescent="0.25">
      <c r="A1062" s="564">
        <v>1618</v>
      </c>
      <c r="B1062" s="562" t="s">
        <v>787</v>
      </c>
      <c r="C1062" s="403">
        <v>1495</v>
      </c>
      <c r="D1062" s="400"/>
      <c r="E1062" s="400"/>
      <c r="F1062" s="400"/>
      <c r="G1062" s="400"/>
      <c r="H1062" s="396"/>
    </row>
    <row r="1063" spans="1:8" s="401" customFormat="1" ht="14.25" customHeight="1" x14ac:dyDescent="0.25">
      <c r="A1063" s="564">
        <v>1627</v>
      </c>
      <c r="B1063" s="562" t="s">
        <v>787</v>
      </c>
      <c r="C1063" s="403">
        <v>1</v>
      </c>
      <c r="D1063" s="400"/>
      <c r="E1063" s="400"/>
      <c r="F1063" s="400"/>
      <c r="G1063" s="400"/>
      <c r="H1063" s="396"/>
    </row>
    <row r="1064" spans="1:8" s="401" customFormat="1" ht="14.25" customHeight="1" x14ac:dyDescent="0.25">
      <c r="A1064" s="564">
        <v>1631</v>
      </c>
      <c r="B1064" s="562" t="s">
        <v>785</v>
      </c>
      <c r="C1064" s="403">
        <v>1</v>
      </c>
      <c r="D1064" s="400"/>
      <c r="E1064" s="400"/>
      <c r="F1064" s="400"/>
      <c r="G1064" s="400"/>
      <c r="H1064" s="396"/>
    </row>
    <row r="1065" spans="1:8" s="401" customFormat="1" ht="14.25" customHeight="1" x14ac:dyDescent="0.25">
      <c r="A1065" s="564">
        <v>5123</v>
      </c>
      <c r="B1065" s="562" t="s">
        <v>820</v>
      </c>
      <c r="C1065" s="403">
        <v>1</v>
      </c>
      <c r="D1065" s="400"/>
      <c r="E1065" s="400"/>
      <c r="F1065" s="400"/>
      <c r="G1065" s="400"/>
      <c r="H1065" s="396"/>
    </row>
    <row r="1066" spans="1:8" s="401" customFormat="1" ht="14.25" customHeight="1" x14ac:dyDescent="0.25">
      <c r="A1066" s="564">
        <v>5127</v>
      </c>
      <c r="B1066" s="562" t="s">
        <v>785</v>
      </c>
      <c r="C1066" s="403">
        <v>420</v>
      </c>
      <c r="D1066" s="400"/>
      <c r="E1066" s="400"/>
      <c r="F1066" s="400"/>
      <c r="G1066" s="400"/>
      <c r="H1066" s="396"/>
    </row>
    <row r="1067" spans="1:8" s="401" customFormat="1" ht="14.25" customHeight="1" x14ac:dyDescent="0.25">
      <c r="A1067" s="564">
        <v>2216</v>
      </c>
      <c r="B1067" s="562" t="s">
        <v>787</v>
      </c>
      <c r="C1067" s="403">
        <v>1</v>
      </c>
      <c r="D1067" s="400"/>
      <c r="E1067" s="400"/>
      <c r="F1067" s="400"/>
      <c r="G1067" s="400"/>
      <c r="H1067" s="396"/>
    </row>
    <row r="1068" spans="1:8" s="401" customFormat="1" ht="14.25" customHeight="1" x14ac:dyDescent="0.25">
      <c r="A1068" s="564">
        <v>2219</v>
      </c>
      <c r="B1068" s="562" t="s">
        <v>785</v>
      </c>
      <c r="C1068" s="403">
        <v>1497</v>
      </c>
      <c r="D1068" s="400"/>
      <c r="E1068" s="400"/>
      <c r="F1068" s="400"/>
      <c r="G1068" s="400"/>
      <c r="H1068" s="396"/>
    </row>
    <row r="1069" spans="1:8" s="401" customFormat="1" ht="14.25" customHeight="1" x14ac:dyDescent="0.25">
      <c r="A1069" s="564">
        <v>2225</v>
      </c>
      <c r="B1069" s="562" t="s">
        <v>787</v>
      </c>
      <c r="C1069" s="403">
        <v>4336</v>
      </c>
      <c r="D1069" s="400"/>
      <c r="E1069" s="400"/>
      <c r="F1069" s="400"/>
      <c r="G1069" s="400"/>
      <c r="H1069" s="396"/>
    </row>
    <row r="1070" spans="1:8" s="401" customFormat="1" ht="14.25" customHeight="1" x14ac:dyDescent="0.25">
      <c r="A1070" s="564">
        <v>2235</v>
      </c>
      <c r="B1070" s="562" t="s">
        <v>785</v>
      </c>
      <c r="C1070" s="403">
        <v>378</v>
      </c>
      <c r="D1070" s="400"/>
      <c r="E1070" s="400"/>
      <c r="F1070" s="400"/>
      <c r="G1070" s="400"/>
      <c r="H1070" s="396"/>
    </row>
    <row r="1071" spans="1:8" s="401" customFormat="1" ht="14.25" customHeight="1" x14ac:dyDescent="0.25">
      <c r="A1071" s="564">
        <v>2244</v>
      </c>
      <c r="B1071" s="562" t="s">
        <v>785</v>
      </c>
      <c r="C1071" s="403">
        <v>378</v>
      </c>
      <c r="D1071" s="400"/>
      <c r="E1071" s="400"/>
      <c r="F1071" s="400"/>
      <c r="G1071" s="400"/>
      <c r="H1071" s="396"/>
    </row>
    <row r="1072" spans="1:8" s="401" customFormat="1" ht="14.25" customHeight="1" x14ac:dyDescent="0.25">
      <c r="A1072" s="564">
        <v>2248</v>
      </c>
      <c r="B1072" s="562" t="s">
        <v>785</v>
      </c>
      <c r="C1072" s="403">
        <v>1</v>
      </c>
      <c r="D1072" s="400"/>
      <c r="E1072" s="400"/>
      <c r="F1072" s="400"/>
      <c r="G1072" s="400"/>
      <c r="H1072" s="396"/>
    </row>
    <row r="1073" spans="1:8" s="401" customFormat="1" ht="14.25" customHeight="1" x14ac:dyDescent="0.25">
      <c r="A1073" s="564">
        <v>2252</v>
      </c>
      <c r="B1073" s="562" t="s">
        <v>832</v>
      </c>
      <c r="C1073" s="403">
        <v>1517</v>
      </c>
      <c r="D1073" s="400"/>
      <c r="E1073" s="400"/>
      <c r="F1073" s="400"/>
      <c r="G1073" s="400"/>
      <c r="H1073" s="396"/>
    </row>
    <row r="1074" spans="1:8" s="401" customFormat="1" ht="14.25" customHeight="1" x14ac:dyDescent="0.25">
      <c r="A1074" s="564">
        <v>1846</v>
      </c>
      <c r="B1074" s="562" t="s">
        <v>833</v>
      </c>
      <c r="C1074" s="403">
        <v>5578</v>
      </c>
      <c r="D1074" s="400"/>
      <c r="E1074" s="400"/>
      <c r="F1074" s="400"/>
      <c r="G1074" s="400"/>
      <c r="H1074" s="396"/>
    </row>
    <row r="1075" spans="1:8" s="401" customFormat="1" ht="14.25" customHeight="1" x14ac:dyDescent="0.25">
      <c r="A1075" s="564">
        <v>2476</v>
      </c>
      <c r="B1075" s="562" t="s">
        <v>785</v>
      </c>
      <c r="C1075" s="403">
        <v>345</v>
      </c>
      <c r="D1075" s="400"/>
      <c r="E1075" s="400"/>
      <c r="F1075" s="400"/>
      <c r="G1075" s="400"/>
      <c r="H1075" s="396"/>
    </row>
    <row r="1076" spans="1:8" s="401" customFormat="1" ht="14.25" customHeight="1" x14ac:dyDescent="0.25">
      <c r="A1076" s="564">
        <v>2480</v>
      </c>
      <c r="B1076" s="562" t="s">
        <v>785</v>
      </c>
      <c r="C1076" s="403">
        <v>487.2</v>
      </c>
      <c r="D1076" s="400"/>
      <c r="E1076" s="400"/>
      <c r="F1076" s="400"/>
      <c r="G1076" s="400"/>
      <c r="H1076" s="396"/>
    </row>
    <row r="1077" spans="1:8" s="401" customFormat="1" ht="14.25" customHeight="1" x14ac:dyDescent="0.25">
      <c r="A1077" s="564">
        <v>2485</v>
      </c>
      <c r="B1077" s="562" t="s">
        <v>785</v>
      </c>
      <c r="C1077" s="403">
        <v>487.2</v>
      </c>
      <c r="D1077" s="400"/>
      <c r="E1077" s="400"/>
      <c r="F1077" s="400"/>
      <c r="G1077" s="400"/>
      <c r="H1077" s="396"/>
    </row>
    <row r="1078" spans="1:8" s="401" customFormat="1" ht="14.25" customHeight="1" x14ac:dyDescent="0.25">
      <c r="A1078" s="564">
        <v>2489</v>
      </c>
      <c r="B1078" s="562" t="s">
        <v>785</v>
      </c>
      <c r="C1078" s="403">
        <v>487.2</v>
      </c>
      <c r="D1078" s="400"/>
      <c r="E1078" s="400"/>
      <c r="F1078" s="400"/>
      <c r="G1078" s="400"/>
      <c r="H1078" s="396"/>
    </row>
    <row r="1079" spans="1:8" s="401" customFormat="1" ht="14.25" customHeight="1" x14ac:dyDescent="0.25">
      <c r="A1079" s="564">
        <v>2493</v>
      </c>
      <c r="B1079" s="562" t="s">
        <v>785</v>
      </c>
      <c r="C1079" s="403">
        <v>487.2</v>
      </c>
      <c r="D1079" s="400"/>
      <c r="E1079" s="400"/>
      <c r="F1079" s="400"/>
      <c r="G1079" s="400"/>
      <c r="H1079" s="396"/>
    </row>
    <row r="1080" spans="1:8" s="401" customFormat="1" ht="14.25" customHeight="1" x14ac:dyDescent="0.25">
      <c r="A1080" s="564">
        <v>2496</v>
      </c>
      <c r="B1080" s="562" t="s">
        <v>785</v>
      </c>
      <c r="C1080" s="403">
        <v>487.2</v>
      </c>
      <c r="D1080" s="400"/>
      <c r="E1080" s="400"/>
      <c r="F1080" s="400"/>
      <c r="G1080" s="400"/>
      <c r="H1080" s="396"/>
    </row>
    <row r="1081" spans="1:8" s="401" customFormat="1" ht="14.25" customHeight="1" x14ac:dyDescent="0.25">
      <c r="A1081" s="564">
        <v>2500</v>
      </c>
      <c r="B1081" s="562" t="s">
        <v>785</v>
      </c>
      <c r="C1081" s="403">
        <v>487.2</v>
      </c>
      <c r="D1081" s="400"/>
      <c r="E1081" s="400"/>
      <c r="F1081" s="400"/>
      <c r="G1081" s="400"/>
      <c r="H1081" s="396"/>
    </row>
    <row r="1082" spans="1:8" s="401" customFormat="1" ht="14.25" customHeight="1" x14ac:dyDescent="0.25">
      <c r="A1082" s="564">
        <v>2504</v>
      </c>
      <c r="B1082" s="562" t="s">
        <v>834</v>
      </c>
      <c r="C1082" s="403">
        <v>553</v>
      </c>
      <c r="D1082" s="400"/>
      <c r="E1082" s="400"/>
      <c r="F1082" s="400"/>
      <c r="G1082" s="400"/>
      <c r="H1082" s="396"/>
    </row>
    <row r="1083" spans="1:8" s="401" customFormat="1" ht="14.25" customHeight="1" x14ac:dyDescent="0.25">
      <c r="A1083" s="564">
        <v>2508</v>
      </c>
      <c r="B1083" s="562" t="s">
        <v>834</v>
      </c>
      <c r="C1083" s="403">
        <v>553</v>
      </c>
      <c r="D1083" s="400"/>
      <c r="E1083" s="400"/>
      <c r="F1083" s="400"/>
      <c r="G1083" s="400"/>
      <c r="H1083" s="396"/>
    </row>
    <row r="1084" spans="1:8" s="401" customFormat="1" ht="14.25" customHeight="1" x14ac:dyDescent="0.25">
      <c r="A1084" s="564">
        <v>2512</v>
      </c>
      <c r="B1084" s="562" t="s">
        <v>814</v>
      </c>
      <c r="C1084" s="403">
        <v>900.32</v>
      </c>
      <c r="D1084" s="400"/>
      <c r="E1084" s="400"/>
      <c r="F1084" s="400"/>
      <c r="G1084" s="400"/>
      <c r="H1084" s="396"/>
    </row>
    <row r="1085" spans="1:8" s="401" customFormat="1" ht="14.25" customHeight="1" x14ac:dyDescent="0.25">
      <c r="A1085" s="564">
        <v>2522</v>
      </c>
      <c r="B1085" s="562" t="s">
        <v>785</v>
      </c>
      <c r="C1085" s="403">
        <v>487.2</v>
      </c>
      <c r="D1085" s="400"/>
      <c r="E1085" s="400"/>
      <c r="F1085" s="400"/>
      <c r="G1085" s="400"/>
      <c r="H1085" s="396"/>
    </row>
    <row r="1086" spans="1:8" s="401" customFormat="1" ht="14.25" customHeight="1" x14ac:dyDescent="0.25">
      <c r="A1086" s="564">
        <v>2528</v>
      </c>
      <c r="B1086" s="562" t="s">
        <v>791</v>
      </c>
      <c r="C1086" s="403">
        <v>2334</v>
      </c>
      <c r="D1086" s="400"/>
      <c r="E1086" s="400"/>
      <c r="F1086" s="400"/>
      <c r="G1086" s="400"/>
      <c r="H1086" s="396"/>
    </row>
    <row r="1087" spans="1:8" s="401" customFormat="1" ht="14.25" customHeight="1" x14ac:dyDescent="0.25">
      <c r="A1087" s="564">
        <v>2531</v>
      </c>
      <c r="B1087" s="562" t="s">
        <v>806</v>
      </c>
      <c r="C1087" s="403">
        <v>10143</v>
      </c>
      <c r="D1087" s="400"/>
      <c r="E1087" s="400"/>
      <c r="F1087" s="400"/>
      <c r="G1087" s="400"/>
      <c r="H1087" s="396"/>
    </row>
    <row r="1088" spans="1:8" s="401" customFormat="1" ht="14.25" customHeight="1" x14ac:dyDescent="0.25">
      <c r="A1088" s="564">
        <v>2536</v>
      </c>
      <c r="B1088" s="562" t="s">
        <v>785</v>
      </c>
      <c r="C1088" s="403">
        <v>23874</v>
      </c>
      <c r="D1088" s="400"/>
      <c r="E1088" s="400"/>
      <c r="F1088" s="400"/>
      <c r="G1088" s="400"/>
      <c r="H1088" s="396"/>
    </row>
    <row r="1089" spans="1:8" s="401" customFormat="1" ht="14.25" customHeight="1" x14ac:dyDescent="0.25">
      <c r="A1089" s="564">
        <v>2541</v>
      </c>
      <c r="B1089" s="562" t="s">
        <v>785</v>
      </c>
      <c r="C1089" s="403">
        <v>2384</v>
      </c>
      <c r="D1089" s="400"/>
      <c r="E1089" s="400"/>
      <c r="F1089" s="400"/>
      <c r="G1089" s="400"/>
      <c r="H1089" s="396"/>
    </row>
    <row r="1090" spans="1:8" s="401" customFormat="1" ht="14.25" customHeight="1" x14ac:dyDescent="0.25">
      <c r="A1090" s="564">
        <v>2547</v>
      </c>
      <c r="B1090" s="562" t="s">
        <v>791</v>
      </c>
      <c r="C1090" s="403">
        <v>2507</v>
      </c>
      <c r="D1090" s="400"/>
      <c r="E1090" s="400"/>
      <c r="F1090" s="400"/>
      <c r="G1090" s="400"/>
      <c r="H1090" s="396"/>
    </row>
    <row r="1091" spans="1:8" s="401" customFormat="1" ht="14.25" customHeight="1" x14ac:dyDescent="0.25">
      <c r="A1091" s="564">
        <v>2550</v>
      </c>
      <c r="B1091" s="562" t="s">
        <v>791</v>
      </c>
      <c r="C1091" s="403">
        <v>1</v>
      </c>
      <c r="D1091" s="400"/>
      <c r="E1091" s="400"/>
      <c r="F1091" s="400"/>
      <c r="G1091" s="400"/>
      <c r="H1091" s="396"/>
    </row>
    <row r="1092" spans="1:8" s="401" customFormat="1" ht="14.25" customHeight="1" x14ac:dyDescent="0.25">
      <c r="A1092" s="564">
        <v>2554</v>
      </c>
      <c r="B1092" s="562" t="s">
        <v>791</v>
      </c>
      <c r="C1092" s="403">
        <v>1</v>
      </c>
      <c r="D1092" s="400"/>
      <c r="E1092" s="400"/>
      <c r="F1092" s="400"/>
      <c r="G1092" s="400"/>
      <c r="H1092" s="396"/>
    </row>
    <row r="1093" spans="1:8" s="401" customFormat="1" ht="14.25" customHeight="1" x14ac:dyDescent="0.25">
      <c r="A1093" s="564">
        <v>2556</v>
      </c>
      <c r="B1093" s="562" t="s">
        <v>791</v>
      </c>
      <c r="C1093" s="403">
        <v>4949</v>
      </c>
      <c r="D1093" s="400"/>
      <c r="E1093" s="400"/>
      <c r="F1093" s="400"/>
      <c r="G1093" s="400"/>
      <c r="H1093" s="396"/>
    </row>
    <row r="1094" spans="1:8" s="401" customFormat="1" ht="14.25" customHeight="1" x14ac:dyDescent="0.25">
      <c r="A1094" s="564">
        <v>2559</v>
      </c>
      <c r="B1094" s="562" t="s">
        <v>791</v>
      </c>
      <c r="C1094" s="403">
        <v>4949</v>
      </c>
      <c r="D1094" s="400"/>
      <c r="E1094" s="400"/>
      <c r="F1094" s="400"/>
      <c r="G1094" s="400"/>
      <c r="H1094" s="396"/>
    </row>
    <row r="1095" spans="1:8" s="401" customFormat="1" ht="14.25" customHeight="1" x14ac:dyDescent="0.25">
      <c r="A1095" s="564">
        <v>2562</v>
      </c>
      <c r="B1095" s="562" t="s">
        <v>787</v>
      </c>
      <c r="C1095" s="403">
        <v>3164</v>
      </c>
      <c r="D1095" s="400"/>
      <c r="E1095" s="400"/>
      <c r="F1095" s="400"/>
      <c r="G1095" s="400"/>
      <c r="H1095" s="396"/>
    </row>
    <row r="1096" spans="1:8" s="401" customFormat="1" ht="14.25" customHeight="1" x14ac:dyDescent="0.25">
      <c r="A1096" s="564">
        <v>2568</v>
      </c>
      <c r="B1096" s="562" t="s">
        <v>787</v>
      </c>
      <c r="C1096" s="403">
        <v>3164</v>
      </c>
      <c r="D1096" s="400"/>
      <c r="E1096" s="400"/>
      <c r="F1096" s="400"/>
      <c r="G1096" s="400"/>
      <c r="H1096" s="396"/>
    </row>
    <row r="1097" spans="1:8" s="401" customFormat="1" ht="14.25" customHeight="1" x14ac:dyDescent="0.25">
      <c r="A1097" s="564">
        <v>2573</v>
      </c>
      <c r="B1097" s="562" t="s">
        <v>787</v>
      </c>
      <c r="C1097" s="403">
        <v>3164</v>
      </c>
      <c r="D1097" s="400"/>
      <c r="E1097" s="400"/>
      <c r="F1097" s="400"/>
      <c r="G1097" s="400"/>
      <c r="H1097" s="396"/>
    </row>
    <row r="1098" spans="1:8" s="401" customFormat="1" ht="14.25" customHeight="1" x14ac:dyDescent="0.25">
      <c r="A1098" s="564">
        <v>2577</v>
      </c>
      <c r="B1098" s="562" t="s">
        <v>787</v>
      </c>
      <c r="C1098" s="403">
        <v>3164</v>
      </c>
      <c r="D1098" s="400"/>
      <c r="E1098" s="400"/>
      <c r="F1098" s="400"/>
      <c r="G1098" s="400"/>
      <c r="H1098" s="396"/>
    </row>
    <row r="1099" spans="1:8" s="401" customFormat="1" ht="14.25" customHeight="1" x14ac:dyDescent="0.25">
      <c r="A1099" s="564">
        <v>2580</v>
      </c>
      <c r="B1099" s="562" t="s">
        <v>787</v>
      </c>
      <c r="C1099" s="403">
        <v>3402</v>
      </c>
      <c r="D1099" s="400"/>
      <c r="E1099" s="400"/>
      <c r="F1099" s="400"/>
      <c r="G1099" s="400"/>
      <c r="H1099" s="396"/>
    </row>
    <row r="1100" spans="1:8" s="401" customFormat="1" ht="14.25" customHeight="1" x14ac:dyDescent="0.25">
      <c r="A1100" s="564">
        <v>2631</v>
      </c>
      <c r="B1100" s="562" t="s">
        <v>787</v>
      </c>
      <c r="C1100" s="403">
        <v>1</v>
      </c>
      <c r="D1100" s="400"/>
      <c r="E1100" s="400"/>
      <c r="F1100" s="400"/>
      <c r="G1100" s="400"/>
      <c r="H1100" s="396"/>
    </row>
    <row r="1101" spans="1:8" s="401" customFormat="1" ht="14.25" customHeight="1" x14ac:dyDescent="0.25">
      <c r="A1101" s="564">
        <v>2633</v>
      </c>
      <c r="B1101" s="562" t="s">
        <v>787</v>
      </c>
      <c r="C1101" s="403">
        <v>2839</v>
      </c>
      <c r="D1101" s="400"/>
      <c r="E1101" s="400"/>
      <c r="F1101" s="400"/>
      <c r="G1101" s="400"/>
      <c r="H1101" s="396"/>
    </row>
    <row r="1102" spans="1:8" s="401" customFormat="1" ht="14.25" customHeight="1" x14ac:dyDescent="0.25">
      <c r="A1102" s="564">
        <v>2635</v>
      </c>
      <c r="B1102" s="562" t="s">
        <v>788</v>
      </c>
      <c r="C1102" s="403">
        <v>2405</v>
      </c>
      <c r="D1102" s="400"/>
      <c r="E1102" s="400"/>
      <c r="F1102" s="400"/>
      <c r="G1102" s="400"/>
      <c r="H1102" s="396"/>
    </row>
    <row r="1103" spans="1:8" s="401" customFormat="1" ht="14.25" customHeight="1" x14ac:dyDescent="0.25">
      <c r="A1103" s="564">
        <v>2637</v>
      </c>
      <c r="B1103" s="562" t="s">
        <v>788</v>
      </c>
      <c r="C1103" s="403">
        <v>6303</v>
      </c>
      <c r="D1103" s="400"/>
      <c r="E1103" s="400"/>
      <c r="F1103" s="400"/>
      <c r="G1103" s="400"/>
      <c r="H1103" s="396"/>
    </row>
    <row r="1104" spans="1:8" s="401" customFormat="1" ht="14.25" customHeight="1" x14ac:dyDescent="0.25">
      <c r="A1104" s="564">
        <v>2640</v>
      </c>
      <c r="B1104" s="562" t="s">
        <v>788</v>
      </c>
      <c r="C1104" s="403">
        <v>1</v>
      </c>
      <c r="D1104" s="400"/>
      <c r="E1104" s="400"/>
      <c r="F1104" s="400"/>
      <c r="G1104" s="400"/>
      <c r="H1104" s="396"/>
    </row>
    <row r="1105" spans="1:8" s="401" customFormat="1" ht="14.25" customHeight="1" x14ac:dyDescent="0.25">
      <c r="A1105" s="564">
        <v>2643</v>
      </c>
      <c r="B1105" s="562" t="s">
        <v>788</v>
      </c>
      <c r="C1105" s="403">
        <v>1</v>
      </c>
      <c r="D1105" s="400"/>
      <c r="E1105" s="400"/>
      <c r="F1105" s="400"/>
      <c r="G1105" s="400"/>
      <c r="H1105" s="396"/>
    </row>
    <row r="1106" spans="1:8" s="401" customFormat="1" ht="14.25" customHeight="1" x14ac:dyDescent="0.25">
      <c r="A1106" s="564">
        <v>2646</v>
      </c>
      <c r="B1106" s="562" t="s">
        <v>788</v>
      </c>
      <c r="C1106" s="403">
        <v>1</v>
      </c>
      <c r="D1106" s="400"/>
      <c r="E1106" s="400"/>
      <c r="F1106" s="400"/>
      <c r="G1106" s="400"/>
      <c r="H1106" s="396"/>
    </row>
    <row r="1107" spans="1:8" s="401" customFormat="1" ht="14.25" customHeight="1" x14ac:dyDescent="0.25">
      <c r="A1107" s="564">
        <v>2650</v>
      </c>
      <c r="B1107" s="562" t="s">
        <v>790</v>
      </c>
      <c r="C1107" s="403">
        <v>1438</v>
      </c>
      <c r="D1107" s="400"/>
      <c r="E1107" s="400"/>
      <c r="F1107" s="400"/>
      <c r="G1107" s="400"/>
      <c r="H1107" s="396"/>
    </row>
    <row r="1108" spans="1:8" s="401" customFormat="1" ht="14.25" customHeight="1" x14ac:dyDescent="0.25">
      <c r="A1108" s="564">
        <v>2653</v>
      </c>
      <c r="B1108" s="562" t="s">
        <v>790</v>
      </c>
      <c r="C1108" s="403">
        <v>1150</v>
      </c>
      <c r="D1108" s="400"/>
      <c r="E1108" s="400"/>
      <c r="F1108" s="400"/>
      <c r="G1108" s="400"/>
      <c r="H1108" s="396"/>
    </row>
    <row r="1109" spans="1:8" s="401" customFormat="1" ht="14.25" customHeight="1" x14ac:dyDescent="0.25">
      <c r="A1109" s="564">
        <v>2655</v>
      </c>
      <c r="B1109" s="562" t="s">
        <v>785</v>
      </c>
      <c r="C1109" s="403">
        <v>113</v>
      </c>
      <c r="D1109" s="400"/>
      <c r="E1109" s="400"/>
      <c r="F1109" s="400"/>
      <c r="G1109" s="400"/>
      <c r="H1109" s="396"/>
    </row>
    <row r="1110" spans="1:8" s="401" customFormat="1" ht="14.25" customHeight="1" x14ac:dyDescent="0.25">
      <c r="A1110" s="564">
        <v>2670</v>
      </c>
      <c r="B1110" s="562" t="s">
        <v>785</v>
      </c>
      <c r="C1110" s="403">
        <v>782</v>
      </c>
      <c r="D1110" s="400"/>
      <c r="E1110" s="400"/>
      <c r="F1110" s="400"/>
      <c r="G1110" s="400"/>
      <c r="H1110" s="396"/>
    </row>
    <row r="1111" spans="1:8" s="401" customFormat="1" ht="14.25" customHeight="1" x14ac:dyDescent="0.25">
      <c r="A1111" s="564">
        <v>2674</v>
      </c>
      <c r="B1111" s="562" t="s">
        <v>785</v>
      </c>
      <c r="C1111" s="403">
        <v>170</v>
      </c>
      <c r="D1111" s="400"/>
      <c r="E1111" s="400"/>
      <c r="F1111" s="400"/>
      <c r="G1111" s="400"/>
      <c r="H1111" s="396"/>
    </row>
    <row r="1112" spans="1:8" s="401" customFormat="1" ht="14.25" customHeight="1" x14ac:dyDescent="0.25">
      <c r="A1112" s="564">
        <v>2680</v>
      </c>
      <c r="B1112" s="562" t="s">
        <v>785</v>
      </c>
      <c r="C1112" s="403">
        <v>378</v>
      </c>
      <c r="D1112" s="400"/>
      <c r="E1112" s="400"/>
      <c r="F1112" s="400"/>
      <c r="G1112" s="400"/>
      <c r="H1112" s="396"/>
    </row>
    <row r="1113" spans="1:8" s="401" customFormat="1" ht="14.25" customHeight="1" x14ac:dyDescent="0.25">
      <c r="A1113" s="564">
        <v>2683</v>
      </c>
      <c r="B1113" s="562" t="s">
        <v>785</v>
      </c>
      <c r="C1113" s="403">
        <v>378</v>
      </c>
      <c r="D1113" s="400"/>
      <c r="E1113" s="400"/>
      <c r="F1113" s="400"/>
      <c r="G1113" s="400"/>
      <c r="H1113" s="396"/>
    </row>
    <row r="1114" spans="1:8" s="401" customFormat="1" ht="14.25" customHeight="1" x14ac:dyDescent="0.25">
      <c r="A1114" s="564">
        <v>2691</v>
      </c>
      <c r="B1114" s="562" t="s">
        <v>785</v>
      </c>
      <c r="C1114" s="403">
        <v>345</v>
      </c>
      <c r="D1114" s="400"/>
      <c r="E1114" s="400"/>
      <c r="F1114" s="400"/>
      <c r="G1114" s="400"/>
      <c r="H1114" s="396"/>
    </row>
    <row r="1115" spans="1:8" s="401" customFormat="1" ht="14.25" customHeight="1" x14ac:dyDescent="0.25">
      <c r="A1115" s="564">
        <v>2694</v>
      </c>
      <c r="B1115" s="562" t="s">
        <v>785</v>
      </c>
      <c r="C1115" s="403">
        <v>345</v>
      </c>
      <c r="D1115" s="400"/>
      <c r="E1115" s="400"/>
      <c r="F1115" s="400"/>
      <c r="G1115" s="400"/>
      <c r="H1115" s="396"/>
    </row>
    <row r="1116" spans="1:8" s="401" customFormat="1" ht="14.25" customHeight="1" x14ac:dyDescent="0.25">
      <c r="A1116" s="564">
        <v>2698</v>
      </c>
      <c r="B1116" s="562" t="s">
        <v>785</v>
      </c>
      <c r="C1116" s="403">
        <v>345</v>
      </c>
      <c r="D1116" s="400"/>
      <c r="E1116" s="400"/>
      <c r="F1116" s="400"/>
      <c r="G1116" s="400"/>
      <c r="H1116" s="396"/>
    </row>
    <row r="1117" spans="1:8" s="401" customFormat="1" ht="14.25" customHeight="1" x14ac:dyDescent="0.25">
      <c r="A1117" s="564">
        <v>2706</v>
      </c>
      <c r="B1117" s="562" t="s">
        <v>798</v>
      </c>
      <c r="C1117" s="403">
        <v>144.5</v>
      </c>
      <c r="D1117" s="400"/>
      <c r="E1117" s="400"/>
      <c r="F1117" s="400"/>
      <c r="G1117" s="400"/>
      <c r="H1117" s="396"/>
    </row>
    <row r="1118" spans="1:8" s="401" customFormat="1" ht="14.25" customHeight="1" x14ac:dyDescent="0.25">
      <c r="A1118" s="564">
        <v>2710</v>
      </c>
      <c r="B1118" s="562" t="s">
        <v>813</v>
      </c>
      <c r="C1118" s="403">
        <v>1</v>
      </c>
      <c r="D1118" s="400"/>
      <c r="E1118" s="400"/>
      <c r="F1118" s="400"/>
      <c r="G1118" s="400"/>
      <c r="H1118" s="396"/>
    </row>
    <row r="1119" spans="1:8" s="401" customFormat="1" ht="14.25" customHeight="1" x14ac:dyDescent="0.25">
      <c r="A1119" s="564">
        <v>2715</v>
      </c>
      <c r="B1119" s="562" t="s">
        <v>835</v>
      </c>
      <c r="C1119" s="403">
        <v>1750</v>
      </c>
      <c r="D1119" s="400"/>
      <c r="E1119" s="400"/>
      <c r="F1119" s="400"/>
      <c r="G1119" s="400"/>
      <c r="H1119" s="396"/>
    </row>
    <row r="1120" spans="1:8" s="401" customFormat="1" ht="14.25" customHeight="1" x14ac:dyDescent="0.25">
      <c r="A1120" s="564">
        <v>2719</v>
      </c>
      <c r="B1120" s="562" t="s">
        <v>835</v>
      </c>
      <c r="C1120" s="403">
        <v>2200</v>
      </c>
      <c r="D1120" s="400"/>
      <c r="E1120" s="400"/>
      <c r="F1120" s="400"/>
      <c r="G1120" s="400"/>
      <c r="H1120" s="396"/>
    </row>
    <row r="1121" spans="1:8" s="401" customFormat="1" ht="14.25" customHeight="1" x14ac:dyDescent="0.25">
      <c r="A1121" s="564">
        <v>2723</v>
      </c>
      <c r="B1121" s="562" t="s">
        <v>835</v>
      </c>
      <c r="C1121" s="403">
        <v>2200</v>
      </c>
      <c r="D1121" s="400"/>
      <c r="E1121" s="400"/>
      <c r="F1121" s="400"/>
      <c r="G1121" s="400"/>
      <c r="H1121" s="396"/>
    </row>
    <row r="1122" spans="1:8" s="401" customFormat="1" ht="14.25" customHeight="1" x14ac:dyDescent="0.25">
      <c r="A1122" s="564">
        <v>2727</v>
      </c>
      <c r="B1122" s="562" t="s">
        <v>835</v>
      </c>
      <c r="C1122" s="403">
        <v>2200</v>
      </c>
      <c r="D1122" s="400"/>
      <c r="E1122" s="400"/>
      <c r="F1122" s="400"/>
      <c r="G1122" s="400"/>
      <c r="H1122" s="396"/>
    </row>
    <row r="1123" spans="1:8" s="401" customFormat="1" ht="14.25" customHeight="1" x14ac:dyDescent="0.25">
      <c r="A1123" s="564">
        <v>2728</v>
      </c>
      <c r="B1123" s="562" t="s">
        <v>835</v>
      </c>
      <c r="C1123" s="403">
        <v>1</v>
      </c>
      <c r="D1123" s="400"/>
      <c r="E1123" s="400"/>
      <c r="F1123" s="400"/>
      <c r="G1123" s="400"/>
      <c r="H1123" s="396"/>
    </row>
    <row r="1124" spans="1:8" s="401" customFormat="1" ht="14.25" customHeight="1" x14ac:dyDescent="0.25">
      <c r="A1124" s="564">
        <v>2733</v>
      </c>
      <c r="B1124" s="562" t="s">
        <v>835</v>
      </c>
      <c r="C1124" s="403">
        <v>1</v>
      </c>
      <c r="D1124" s="400"/>
      <c r="E1124" s="400"/>
      <c r="F1124" s="400"/>
      <c r="G1124" s="400"/>
      <c r="H1124" s="396"/>
    </row>
    <row r="1125" spans="1:8" s="401" customFormat="1" ht="14.25" customHeight="1" x14ac:dyDescent="0.25">
      <c r="A1125" s="564">
        <v>2735</v>
      </c>
      <c r="B1125" s="562" t="s">
        <v>835</v>
      </c>
      <c r="C1125" s="403">
        <v>1</v>
      </c>
      <c r="D1125" s="400"/>
      <c r="E1125" s="400"/>
      <c r="F1125" s="400"/>
      <c r="G1125" s="400"/>
      <c r="H1125" s="396"/>
    </row>
    <row r="1126" spans="1:8" s="401" customFormat="1" ht="14.25" customHeight="1" x14ac:dyDescent="0.25">
      <c r="A1126" s="564">
        <v>2738</v>
      </c>
      <c r="B1126" s="562" t="s">
        <v>835</v>
      </c>
      <c r="C1126" s="403">
        <v>2200</v>
      </c>
      <c r="D1126" s="400"/>
      <c r="E1126" s="400"/>
      <c r="F1126" s="400"/>
      <c r="G1126" s="400"/>
      <c r="H1126" s="396"/>
    </row>
    <row r="1127" spans="1:8" s="401" customFormat="1" ht="14.25" customHeight="1" x14ac:dyDescent="0.25">
      <c r="A1127" s="564">
        <v>2741</v>
      </c>
      <c r="B1127" s="562" t="s">
        <v>835</v>
      </c>
      <c r="C1127" s="403">
        <v>1271</v>
      </c>
      <c r="D1127" s="400"/>
      <c r="E1127" s="400"/>
      <c r="F1127" s="400"/>
      <c r="G1127" s="400"/>
      <c r="H1127" s="396"/>
    </row>
    <row r="1128" spans="1:8" s="401" customFormat="1" ht="14.25" customHeight="1" x14ac:dyDescent="0.25">
      <c r="A1128" s="564">
        <v>2743</v>
      </c>
      <c r="B1128" s="562" t="s">
        <v>787</v>
      </c>
      <c r="C1128" s="403">
        <v>2588</v>
      </c>
      <c r="D1128" s="400"/>
      <c r="E1128" s="400"/>
      <c r="F1128" s="400"/>
      <c r="G1128" s="400"/>
      <c r="H1128" s="396"/>
    </row>
    <row r="1129" spans="1:8" s="401" customFormat="1" ht="14.25" customHeight="1" x14ac:dyDescent="0.25">
      <c r="A1129" s="564">
        <v>2747</v>
      </c>
      <c r="B1129" s="562" t="s">
        <v>795</v>
      </c>
      <c r="C1129" s="403">
        <v>1761</v>
      </c>
      <c r="D1129" s="400"/>
      <c r="E1129" s="400"/>
      <c r="F1129" s="400"/>
      <c r="G1129" s="400"/>
      <c r="H1129" s="396"/>
    </row>
    <row r="1130" spans="1:8" s="401" customFormat="1" ht="14.25" customHeight="1" x14ac:dyDescent="0.25">
      <c r="A1130" s="564">
        <v>2750</v>
      </c>
      <c r="B1130" s="562" t="s">
        <v>806</v>
      </c>
      <c r="C1130" s="403">
        <v>3221</v>
      </c>
      <c r="D1130" s="400"/>
      <c r="E1130" s="400"/>
      <c r="F1130" s="400"/>
      <c r="G1130" s="400"/>
      <c r="H1130" s="396"/>
    </row>
    <row r="1131" spans="1:8" s="401" customFormat="1" ht="14.25" customHeight="1" x14ac:dyDescent="0.25">
      <c r="A1131" s="564">
        <v>2752</v>
      </c>
      <c r="B1131" s="562" t="s">
        <v>787</v>
      </c>
      <c r="C1131" s="403">
        <v>1</v>
      </c>
      <c r="D1131" s="400"/>
      <c r="E1131" s="400"/>
      <c r="F1131" s="400"/>
      <c r="G1131" s="400"/>
      <c r="H1131" s="396"/>
    </row>
    <row r="1132" spans="1:8" s="401" customFormat="1" ht="14.25" customHeight="1" x14ac:dyDescent="0.25">
      <c r="A1132" s="564">
        <v>2756</v>
      </c>
      <c r="B1132" s="562" t="s">
        <v>788</v>
      </c>
      <c r="C1132" s="403">
        <v>2091</v>
      </c>
      <c r="D1132" s="400"/>
      <c r="E1132" s="400"/>
      <c r="F1132" s="400"/>
      <c r="G1132" s="400"/>
      <c r="H1132" s="396"/>
    </row>
    <row r="1133" spans="1:8" s="401" customFormat="1" ht="14.25" customHeight="1" x14ac:dyDescent="0.25">
      <c r="A1133" s="564">
        <v>2768</v>
      </c>
      <c r="B1133" s="562" t="s">
        <v>785</v>
      </c>
      <c r="C1133" s="403">
        <v>1</v>
      </c>
      <c r="D1133" s="400"/>
      <c r="E1133" s="400"/>
      <c r="F1133" s="400"/>
      <c r="G1133" s="400"/>
      <c r="H1133" s="396"/>
    </row>
    <row r="1134" spans="1:8" s="401" customFormat="1" ht="14.25" customHeight="1" x14ac:dyDescent="0.25">
      <c r="A1134" s="564">
        <v>2771</v>
      </c>
      <c r="B1134" s="562" t="s">
        <v>806</v>
      </c>
      <c r="C1134" s="403">
        <v>7765</v>
      </c>
      <c r="D1134" s="400"/>
      <c r="E1134" s="400"/>
      <c r="F1134" s="400"/>
      <c r="G1134" s="400"/>
      <c r="H1134" s="396"/>
    </row>
    <row r="1135" spans="1:8" s="401" customFormat="1" ht="14.25" customHeight="1" x14ac:dyDescent="0.25">
      <c r="A1135" s="564">
        <v>2778</v>
      </c>
      <c r="B1135" s="562" t="s">
        <v>788</v>
      </c>
      <c r="C1135" s="403">
        <v>2958</v>
      </c>
      <c r="D1135" s="400"/>
      <c r="E1135" s="400"/>
      <c r="F1135" s="400"/>
      <c r="G1135" s="400"/>
      <c r="H1135" s="396"/>
    </row>
    <row r="1136" spans="1:8" s="401" customFormat="1" ht="14.25" customHeight="1" x14ac:dyDescent="0.25">
      <c r="A1136" s="564">
        <v>2781</v>
      </c>
      <c r="B1136" s="562" t="s">
        <v>835</v>
      </c>
      <c r="C1136" s="403">
        <v>2542</v>
      </c>
      <c r="D1136" s="400"/>
      <c r="E1136" s="400"/>
      <c r="F1136" s="400"/>
      <c r="G1136" s="400"/>
      <c r="H1136" s="396"/>
    </row>
    <row r="1137" spans="1:8" s="401" customFormat="1" ht="14.25" customHeight="1" x14ac:dyDescent="0.25">
      <c r="A1137" s="564">
        <v>2783</v>
      </c>
      <c r="B1137" s="562" t="s">
        <v>835</v>
      </c>
      <c r="C1137" s="403">
        <v>1</v>
      </c>
      <c r="D1137" s="400"/>
      <c r="E1137" s="400"/>
      <c r="F1137" s="400"/>
      <c r="G1137" s="400"/>
      <c r="H1137" s="396"/>
    </row>
    <row r="1138" spans="1:8" s="401" customFormat="1" ht="14.25" customHeight="1" x14ac:dyDescent="0.25">
      <c r="A1138" s="564">
        <v>2786</v>
      </c>
      <c r="B1138" s="562" t="s">
        <v>787</v>
      </c>
      <c r="C1138" s="403">
        <v>3164</v>
      </c>
      <c r="D1138" s="400"/>
      <c r="E1138" s="400"/>
      <c r="F1138" s="400"/>
      <c r="G1138" s="400"/>
      <c r="H1138" s="396"/>
    </row>
    <row r="1139" spans="1:8" s="401" customFormat="1" ht="14.25" customHeight="1" x14ac:dyDescent="0.25">
      <c r="A1139" s="564">
        <v>2795</v>
      </c>
      <c r="B1139" s="562" t="s">
        <v>791</v>
      </c>
      <c r="C1139" s="403">
        <v>1495</v>
      </c>
      <c r="D1139" s="400"/>
      <c r="E1139" s="400"/>
      <c r="F1139" s="400"/>
      <c r="G1139" s="400"/>
      <c r="H1139" s="396"/>
    </row>
    <row r="1140" spans="1:8" s="401" customFormat="1" ht="14.25" customHeight="1" x14ac:dyDescent="0.25">
      <c r="A1140" s="564">
        <v>2800</v>
      </c>
      <c r="B1140" s="562" t="s">
        <v>787</v>
      </c>
      <c r="C1140" s="403">
        <v>3264</v>
      </c>
      <c r="D1140" s="400"/>
      <c r="E1140" s="400"/>
      <c r="F1140" s="400"/>
      <c r="G1140" s="400"/>
      <c r="H1140" s="396"/>
    </row>
    <row r="1141" spans="1:8" s="401" customFormat="1" ht="14.25" customHeight="1" x14ac:dyDescent="0.25">
      <c r="A1141" s="564">
        <v>2803</v>
      </c>
      <c r="B1141" s="562" t="s">
        <v>785</v>
      </c>
      <c r="C1141" s="403">
        <v>196</v>
      </c>
      <c r="D1141" s="400"/>
      <c r="E1141" s="400"/>
      <c r="F1141" s="400"/>
      <c r="G1141" s="400"/>
      <c r="H1141" s="396"/>
    </row>
    <row r="1142" spans="1:8" s="401" customFormat="1" ht="14.25" customHeight="1" x14ac:dyDescent="0.25">
      <c r="A1142" s="564">
        <v>2807</v>
      </c>
      <c r="B1142" s="562" t="s">
        <v>785</v>
      </c>
      <c r="C1142" s="403">
        <v>487.2</v>
      </c>
      <c r="D1142" s="400"/>
      <c r="E1142" s="400"/>
      <c r="F1142" s="400"/>
      <c r="G1142" s="400"/>
      <c r="H1142" s="396"/>
    </row>
    <row r="1143" spans="1:8" s="401" customFormat="1" ht="14.25" customHeight="1" x14ac:dyDescent="0.25">
      <c r="A1143" s="564">
        <v>2815</v>
      </c>
      <c r="B1143" s="562" t="s">
        <v>787</v>
      </c>
      <c r="C1143" s="403">
        <v>2839</v>
      </c>
      <c r="D1143" s="400"/>
      <c r="E1143" s="400"/>
      <c r="F1143" s="400"/>
      <c r="G1143" s="400"/>
      <c r="H1143" s="396"/>
    </row>
    <row r="1144" spans="1:8" s="401" customFormat="1" ht="14.25" customHeight="1" x14ac:dyDescent="0.25">
      <c r="A1144" s="564">
        <v>2817</v>
      </c>
      <c r="B1144" s="562" t="s">
        <v>835</v>
      </c>
      <c r="C1144" s="403">
        <v>2200</v>
      </c>
      <c r="D1144" s="400"/>
      <c r="E1144" s="400"/>
      <c r="F1144" s="400"/>
      <c r="G1144" s="400"/>
      <c r="H1144" s="396"/>
    </row>
    <row r="1145" spans="1:8" s="401" customFormat="1" ht="14.25" customHeight="1" x14ac:dyDescent="0.25">
      <c r="A1145" s="564">
        <v>2821</v>
      </c>
      <c r="B1145" s="562" t="s">
        <v>787</v>
      </c>
      <c r="C1145" s="403">
        <v>3264</v>
      </c>
      <c r="D1145" s="400"/>
      <c r="E1145" s="400"/>
      <c r="F1145" s="400"/>
      <c r="G1145" s="400"/>
      <c r="H1145" s="396"/>
    </row>
    <row r="1146" spans="1:8" s="401" customFormat="1" ht="14.25" customHeight="1" x14ac:dyDescent="0.25">
      <c r="A1146" s="564">
        <v>2825</v>
      </c>
      <c r="B1146" s="562" t="s">
        <v>787</v>
      </c>
      <c r="C1146" s="403">
        <v>1955</v>
      </c>
      <c r="D1146" s="400"/>
      <c r="E1146" s="400"/>
      <c r="F1146" s="400"/>
      <c r="G1146" s="400"/>
      <c r="H1146" s="396"/>
    </row>
    <row r="1147" spans="1:8" s="401" customFormat="1" ht="14.25" customHeight="1" x14ac:dyDescent="0.25">
      <c r="A1147" s="564">
        <v>2827</v>
      </c>
      <c r="B1147" s="562" t="s">
        <v>787</v>
      </c>
      <c r="C1147" s="403">
        <v>3164</v>
      </c>
      <c r="D1147" s="400"/>
      <c r="E1147" s="400"/>
      <c r="F1147" s="400"/>
      <c r="G1147" s="400"/>
      <c r="H1147" s="396"/>
    </row>
    <row r="1148" spans="1:8" s="401" customFormat="1" ht="14.25" customHeight="1" x14ac:dyDescent="0.25">
      <c r="A1148" s="564">
        <v>2830</v>
      </c>
      <c r="B1148" s="562" t="s">
        <v>785</v>
      </c>
      <c r="C1148" s="403">
        <v>155</v>
      </c>
      <c r="D1148" s="400"/>
      <c r="E1148" s="400"/>
      <c r="F1148" s="400"/>
      <c r="G1148" s="400"/>
      <c r="H1148" s="396"/>
    </row>
    <row r="1149" spans="1:8" s="401" customFormat="1" ht="14.25" customHeight="1" x14ac:dyDescent="0.25">
      <c r="A1149" s="564">
        <v>2842</v>
      </c>
      <c r="B1149" s="562" t="s">
        <v>785</v>
      </c>
      <c r="C1149" s="403">
        <v>1</v>
      </c>
      <c r="D1149" s="400"/>
      <c r="E1149" s="400"/>
      <c r="F1149" s="400"/>
      <c r="G1149" s="400"/>
      <c r="H1149" s="396"/>
    </row>
    <row r="1150" spans="1:8" s="401" customFormat="1" ht="14.25" customHeight="1" x14ac:dyDescent="0.25">
      <c r="A1150" s="564">
        <v>2257</v>
      </c>
      <c r="B1150" s="562" t="s">
        <v>787</v>
      </c>
      <c r="C1150" s="403">
        <v>2839</v>
      </c>
      <c r="D1150" s="400"/>
      <c r="E1150" s="400"/>
      <c r="F1150" s="400"/>
      <c r="G1150" s="400"/>
      <c r="H1150" s="396"/>
    </row>
    <row r="1151" spans="1:8" s="401" customFormat="1" ht="14.25" customHeight="1" x14ac:dyDescent="0.25">
      <c r="A1151" s="564">
        <v>2261</v>
      </c>
      <c r="B1151" s="562" t="s">
        <v>785</v>
      </c>
      <c r="C1151" s="403">
        <v>276</v>
      </c>
      <c r="D1151" s="400"/>
      <c r="E1151" s="400"/>
      <c r="F1151" s="400"/>
      <c r="G1151" s="400"/>
      <c r="H1151" s="396"/>
    </row>
    <row r="1152" spans="1:8" s="401" customFormat="1" ht="14.25" customHeight="1" x14ac:dyDescent="0.25">
      <c r="A1152" s="564">
        <v>2265</v>
      </c>
      <c r="B1152" s="562" t="s">
        <v>787</v>
      </c>
      <c r="C1152" s="403">
        <v>2386</v>
      </c>
      <c r="D1152" s="400"/>
      <c r="E1152" s="400"/>
      <c r="F1152" s="400"/>
      <c r="G1152" s="400"/>
      <c r="H1152" s="396"/>
    </row>
    <row r="1153" spans="1:8" s="401" customFormat="1" ht="14.25" customHeight="1" x14ac:dyDescent="0.25">
      <c r="A1153" s="564">
        <v>2268</v>
      </c>
      <c r="B1153" s="562" t="s">
        <v>814</v>
      </c>
      <c r="C1153" s="403">
        <v>811.35</v>
      </c>
      <c r="D1153" s="400"/>
      <c r="E1153" s="400"/>
      <c r="F1153" s="400"/>
      <c r="G1153" s="400"/>
      <c r="H1153" s="396"/>
    </row>
    <row r="1154" spans="1:8" s="401" customFormat="1" ht="14.25" customHeight="1" x14ac:dyDescent="0.25">
      <c r="A1154" s="564">
        <v>2271</v>
      </c>
      <c r="B1154" s="562" t="s">
        <v>814</v>
      </c>
      <c r="C1154" s="403">
        <v>162.28</v>
      </c>
      <c r="D1154" s="400"/>
      <c r="E1154" s="400"/>
      <c r="F1154" s="400"/>
      <c r="G1154" s="400"/>
      <c r="H1154" s="396"/>
    </row>
    <row r="1155" spans="1:8" s="401" customFormat="1" ht="14.25" customHeight="1" x14ac:dyDescent="0.25">
      <c r="A1155" s="564">
        <v>2277</v>
      </c>
      <c r="B1155" s="562" t="s">
        <v>787</v>
      </c>
      <c r="C1155" s="403">
        <v>2559</v>
      </c>
      <c r="D1155" s="400"/>
      <c r="E1155" s="400"/>
      <c r="F1155" s="400"/>
      <c r="G1155" s="400"/>
      <c r="H1155" s="396"/>
    </row>
    <row r="1156" spans="1:8" s="401" customFormat="1" ht="14.25" customHeight="1" x14ac:dyDescent="0.25">
      <c r="A1156" s="564">
        <v>2282</v>
      </c>
      <c r="B1156" s="562" t="s">
        <v>787</v>
      </c>
      <c r="C1156" s="403">
        <v>2588</v>
      </c>
      <c r="D1156" s="400"/>
      <c r="E1156" s="400"/>
      <c r="F1156" s="400"/>
      <c r="G1156" s="400"/>
      <c r="H1156" s="396"/>
    </row>
    <row r="1157" spans="1:8" s="401" customFormat="1" ht="14.25" customHeight="1" x14ac:dyDescent="0.25">
      <c r="A1157" s="564">
        <v>2283</v>
      </c>
      <c r="B1157" s="562" t="s">
        <v>787</v>
      </c>
      <c r="C1157" s="403">
        <v>2852</v>
      </c>
      <c r="D1157" s="400"/>
      <c r="E1157" s="400"/>
      <c r="F1157" s="400"/>
      <c r="G1157" s="400"/>
      <c r="H1157" s="396"/>
    </row>
    <row r="1158" spans="1:8" s="401" customFormat="1" ht="14.25" customHeight="1" x14ac:dyDescent="0.25">
      <c r="A1158" s="564">
        <v>2285</v>
      </c>
      <c r="B1158" s="562" t="s">
        <v>788</v>
      </c>
      <c r="C1158" s="403">
        <v>2012</v>
      </c>
      <c r="D1158" s="400"/>
      <c r="E1158" s="400"/>
      <c r="F1158" s="400"/>
      <c r="G1158" s="400"/>
      <c r="H1158" s="396"/>
    </row>
    <row r="1159" spans="1:8" s="401" customFormat="1" ht="14.25" customHeight="1" x14ac:dyDescent="0.25">
      <c r="A1159" s="564">
        <v>2287</v>
      </c>
      <c r="B1159" s="562" t="s">
        <v>790</v>
      </c>
      <c r="C1159" s="403">
        <v>1326</v>
      </c>
      <c r="D1159" s="400"/>
      <c r="E1159" s="400"/>
      <c r="F1159" s="400"/>
      <c r="G1159" s="400"/>
      <c r="H1159" s="396"/>
    </row>
    <row r="1160" spans="1:8" s="401" customFormat="1" ht="14.25" customHeight="1" x14ac:dyDescent="0.25">
      <c r="A1160" s="564">
        <v>2289</v>
      </c>
      <c r="B1160" s="562" t="s">
        <v>785</v>
      </c>
      <c r="C1160" s="403">
        <v>690</v>
      </c>
      <c r="D1160" s="400"/>
      <c r="E1160" s="400"/>
      <c r="F1160" s="400"/>
      <c r="G1160" s="400"/>
      <c r="H1160" s="396"/>
    </row>
    <row r="1161" spans="1:8" s="401" customFormat="1" ht="14.25" customHeight="1" x14ac:dyDescent="0.25">
      <c r="A1161" s="564">
        <v>2291</v>
      </c>
      <c r="B1161" s="562" t="s">
        <v>785</v>
      </c>
      <c r="C1161" s="403">
        <v>1</v>
      </c>
      <c r="D1161" s="400"/>
      <c r="E1161" s="400"/>
      <c r="F1161" s="400"/>
      <c r="G1161" s="400"/>
      <c r="H1161" s="396"/>
    </row>
    <row r="1162" spans="1:8" s="401" customFormat="1" ht="14.25" customHeight="1" x14ac:dyDescent="0.25">
      <c r="A1162" s="564">
        <v>2295</v>
      </c>
      <c r="B1162" s="562" t="s">
        <v>785</v>
      </c>
      <c r="C1162" s="403">
        <v>443</v>
      </c>
      <c r="D1162" s="400"/>
      <c r="E1162" s="400"/>
      <c r="F1162" s="400"/>
      <c r="G1162" s="400"/>
      <c r="H1162" s="396"/>
    </row>
    <row r="1163" spans="1:8" s="401" customFormat="1" ht="14.25" customHeight="1" x14ac:dyDescent="0.25">
      <c r="A1163" s="564">
        <v>2298</v>
      </c>
      <c r="B1163" s="562" t="s">
        <v>785</v>
      </c>
      <c r="C1163" s="403">
        <v>378</v>
      </c>
      <c r="D1163" s="400"/>
      <c r="E1163" s="400"/>
      <c r="F1163" s="400"/>
      <c r="G1163" s="400"/>
      <c r="H1163" s="396"/>
    </row>
    <row r="1164" spans="1:8" s="401" customFormat="1" ht="14.25" customHeight="1" x14ac:dyDescent="0.25">
      <c r="A1164" s="564">
        <v>2301</v>
      </c>
      <c r="B1164" s="562" t="s">
        <v>785</v>
      </c>
      <c r="C1164" s="403">
        <v>378</v>
      </c>
      <c r="D1164" s="400"/>
      <c r="E1164" s="400"/>
      <c r="F1164" s="400"/>
      <c r="G1164" s="400"/>
      <c r="H1164" s="396"/>
    </row>
    <row r="1165" spans="1:8" s="401" customFormat="1" ht="14.25" customHeight="1" x14ac:dyDescent="0.25">
      <c r="A1165" s="564">
        <v>2304</v>
      </c>
      <c r="B1165" s="562" t="s">
        <v>786</v>
      </c>
      <c r="C1165" s="403">
        <v>1955</v>
      </c>
      <c r="D1165" s="400"/>
      <c r="E1165" s="400"/>
      <c r="F1165" s="400"/>
      <c r="G1165" s="400"/>
      <c r="H1165" s="396"/>
    </row>
    <row r="1166" spans="1:8" s="401" customFormat="1" ht="14.25" customHeight="1" x14ac:dyDescent="0.25">
      <c r="A1166" s="564">
        <v>2306</v>
      </c>
      <c r="B1166" s="562" t="s">
        <v>813</v>
      </c>
      <c r="C1166" s="403">
        <v>289.26</v>
      </c>
      <c r="D1166" s="400"/>
      <c r="E1166" s="400"/>
      <c r="F1166" s="400"/>
      <c r="G1166" s="400"/>
      <c r="H1166" s="396"/>
    </row>
    <row r="1167" spans="1:8" s="401" customFormat="1" ht="14.25" customHeight="1" x14ac:dyDescent="0.25">
      <c r="A1167" s="564">
        <v>2316</v>
      </c>
      <c r="B1167" s="562" t="s">
        <v>787</v>
      </c>
      <c r="C1167" s="403">
        <v>3790</v>
      </c>
      <c r="D1167" s="400"/>
      <c r="E1167" s="400"/>
      <c r="F1167" s="400"/>
      <c r="G1167" s="400"/>
      <c r="H1167" s="396"/>
    </row>
    <row r="1168" spans="1:8" s="401" customFormat="1" ht="14.25" customHeight="1" x14ac:dyDescent="0.25">
      <c r="A1168" s="564">
        <v>2319</v>
      </c>
      <c r="B1168" s="562" t="s">
        <v>787</v>
      </c>
      <c r="C1168" s="403">
        <v>3402</v>
      </c>
      <c r="D1168" s="400"/>
      <c r="E1168" s="400"/>
      <c r="F1168" s="400"/>
      <c r="G1168" s="400"/>
      <c r="H1168" s="396"/>
    </row>
    <row r="1169" spans="1:8" s="401" customFormat="1" ht="14.25" customHeight="1" x14ac:dyDescent="0.25">
      <c r="A1169" s="564">
        <v>2321</v>
      </c>
      <c r="B1169" s="562" t="s">
        <v>787</v>
      </c>
      <c r="C1169" s="403">
        <v>3164</v>
      </c>
      <c r="D1169" s="400"/>
      <c r="E1169" s="400"/>
      <c r="F1169" s="400"/>
      <c r="G1169" s="400"/>
      <c r="H1169" s="396"/>
    </row>
    <row r="1170" spans="1:8" s="401" customFormat="1" ht="14.25" customHeight="1" x14ac:dyDescent="0.25">
      <c r="A1170" s="564">
        <v>2325</v>
      </c>
      <c r="B1170" s="562" t="s">
        <v>787</v>
      </c>
      <c r="C1170" s="403">
        <v>2839</v>
      </c>
      <c r="D1170" s="400"/>
      <c r="E1170" s="400"/>
      <c r="F1170" s="400"/>
      <c r="G1170" s="400"/>
      <c r="H1170" s="396"/>
    </row>
    <row r="1171" spans="1:8" s="401" customFormat="1" ht="14.25" customHeight="1" x14ac:dyDescent="0.25">
      <c r="A1171" s="564">
        <v>2329</v>
      </c>
      <c r="B1171" s="562" t="s">
        <v>790</v>
      </c>
      <c r="C1171" s="403">
        <v>1380</v>
      </c>
      <c r="D1171" s="400"/>
      <c r="E1171" s="400"/>
      <c r="F1171" s="400"/>
      <c r="G1171" s="400"/>
      <c r="H1171" s="396"/>
    </row>
    <row r="1172" spans="1:8" s="401" customFormat="1" ht="14.25" customHeight="1" x14ac:dyDescent="0.25">
      <c r="A1172" s="564">
        <v>2332</v>
      </c>
      <c r="B1172" s="562" t="s">
        <v>785</v>
      </c>
      <c r="C1172" s="403">
        <v>875</v>
      </c>
      <c r="D1172" s="400"/>
      <c r="E1172" s="400"/>
      <c r="F1172" s="400"/>
      <c r="G1172" s="400"/>
      <c r="H1172" s="396"/>
    </row>
    <row r="1173" spans="1:8" s="401" customFormat="1" ht="14.25" customHeight="1" x14ac:dyDescent="0.25">
      <c r="A1173" s="564">
        <v>2335</v>
      </c>
      <c r="B1173" s="562" t="s">
        <v>785</v>
      </c>
      <c r="C1173" s="403">
        <v>1</v>
      </c>
      <c r="D1173" s="400"/>
      <c r="E1173" s="400"/>
      <c r="F1173" s="400"/>
      <c r="G1173" s="400"/>
      <c r="H1173" s="396"/>
    </row>
    <row r="1174" spans="1:8" s="401" customFormat="1" ht="14.25" customHeight="1" x14ac:dyDescent="0.25">
      <c r="A1174" s="564">
        <v>2336</v>
      </c>
      <c r="B1174" s="562" t="s">
        <v>785</v>
      </c>
      <c r="C1174" s="403">
        <v>713</v>
      </c>
      <c r="D1174" s="400"/>
      <c r="E1174" s="400"/>
      <c r="F1174" s="400"/>
      <c r="G1174" s="400"/>
      <c r="H1174" s="396"/>
    </row>
    <row r="1175" spans="1:8" s="401" customFormat="1" ht="14.25" customHeight="1" x14ac:dyDescent="0.25">
      <c r="A1175" s="564">
        <v>2339</v>
      </c>
      <c r="B1175" s="562" t="s">
        <v>785</v>
      </c>
      <c r="C1175" s="403">
        <v>782</v>
      </c>
      <c r="D1175" s="400"/>
      <c r="E1175" s="400"/>
      <c r="F1175" s="400"/>
      <c r="G1175" s="400"/>
      <c r="H1175" s="396"/>
    </row>
    <row r="1176" spans="1:8" s="401" customFormat="1" ht="14.25" customHeight="1" x14ac:dyDescent="0.25">
      <c r="A1176" s="564">
        <v>2345</v>
      </c>
      <c r="B1176" s="562" t="s">
        <v>785</v>
      </c>
      <c r="C1176" s="403">
        <v>782</v>
      </c>
      <c r="D1176" s="400"/>
      <c r="E1176" s="400"/>
      <c r="F1176" s="400"/>
      <c r="G1176" s="400"/>
      <c r="H1176" s="396"/>
    </row>
    <row r="1177" spans="1:8" s="401" customFormat="1" ht="14.25" customHeight="1" x14ac:dyDescent="0.25">
      <c r="A1177" s="564">
        <v>2348</v>
      </c>
      <c r="B1177" s="562" t="s">
        <v>785</v>
      </c>
      <c r="C1177" s="403">
        <v>1</v>
      </c>
      <c r="D1177" s="400"/>
      <c r="E1177" s="400"/>
      <c r="F1177" s="400"/>
      <c r="G1177" s="400"/>
      <c r="H1177" s="396"/>
    </row>
    <row r="1178" spans="1:8" s="401" customFormat="1" ht="14.25" customHeight="1" x14ac:dyDescent="0.25">
      <c r="A1178" s="564">
        <v>2351</v>
      </c>
      <c r="B1178" s="562" t="s">
        <v>785</v>
      </c>
      <c r="C1178" s="403">
        <v>414</v>
      </c>
      <c r="D1178" s="400"/>
      <c r="E1178" s="400"/>
      <c r="F1178" s="400"/>
      <c r="G1178" s="400"/>
      <c r="H1178" s="396"/>
    </row>
    <row r="1179" spans="1:8" s="401" customFormat="1" ht="14.25" customHeight="1" x14ac:dyDescent="0.25">
      <c r="A1179" s="564">
        <v>2359</v>
      </c>
      <c r="B1179" s="562" t="s">
        <v>785</v>
      </c>
      <c r="C1179" s="403">
        <v>1221</v>
      </c>
      <c r="D1179" s="400"/>
      <c r="E1179" s="400"/>
      <c r="F1179" s="400"/>
      <c r="G1179" s="400"/>
      <c r="H1179" s="396"/>
    </row>
    <row r="1180" spans="1:8" s="401" customFormat="1" ht="14.25" customHeight="1" x14ac:dyDescent="0.25">
      <c r="A1180" s="564">
        <v>2361</v>
      </c>
      <c r="B1180" s="562" t="s">
        <v>785</v>
      </c>
      <c r="C1180" s="403">
        <v>361</v>
      </c>
      <c r="D1180" s="400"/>
      <c r="E1180" s="400"/>
      <c r="F1180" s="400"/>
      <c r="G1180" s="400"/>
      <c r="H1180" s="396"/>
    </row>
    <row r="1181" spans="1:8" s="401" customFormat="1" ht="14.25" customHeight="1" x14ac:dyDescent="0.25">
      <c r="A1181" s="564">
        <v>2362</v>
      </c>
      <c r="B1181" s="562" t="s">
        <v>836</v>
      </c>
      <c r="C1181" s="403">
        <v>3680</v>
      </c>
      <c r="D1181" s="400"/>
      <c r="E1181" s="400"/>
      <c r="F1181" s="400"/>
      <c r="G1181" s="400"/>
      <c r="H1181" s="396"/>
    </row>
    <row r="1182" spans="1:8" s="401" customFormat="1" ht="14.25" customHeight="1" x14ac:dyDescent="0.25">
      <c r="A1182" s="564">
        <v>2365</v>
      </c>
      <c r="B1182" s="562" t="s">
        <v>794</v>
      </c>
      <c r="C1182" s="403">
        <v>445</v>
      </c>
      <c r="D1182" s="400"/>
      <c r="E1182" s="400"/>
      <c r="F1182" s="400"/>
      <c r="G1182" s="400"/>
      <c r="H1182" s="396"/>
    </row>
    <row r="1183" spans="1:8" s="401" customFormat="1" ht="14.25" customHeight="1" x14ac:dyDescent="0.25">
      <c r="A1183" s="564">
        <v>2368</v>
      </c>
      <c r="B1183" s="562" t="s">
        <v>814</v>
      </c>
      <c r="C1183" s="403">
        <v>920</v>
      </c>
      <c r="D1183" s="400"/>
      <c r="E1183" s="400"/>
      <c r="F1183" s="400"/>
      <c r="G1183" s="400"/>
      <c r="H1183" s="396"/>
    </row>
    <row r="1184" spans="1:8" s="401" customFormat="1" ht="14.25" customHeight="1" x14ac:dyDescent="0.25">
      <c r="A1184" s="564">
        <v>2371</v>
      </c>
      <c r="B1184" s="562" t="s">
        <v>798</v>
      </c>
      <c r="C1184" s="403">
        <v>2658.14</v>
      </c>
      <c r="D1184" s="400"/>
      <c r="E1184" s="400"/>
      <c r="F1184" s="400"/>
      <c r="G1184" s="400"/>
      <c r="H1184" s="396"/>
    </row>
    <row r="1185" spans="1:8" s="401" customFormat="1" ht="14.25" customHeight="1" x14ac:dyDescent="0.25">
      <c r="A1185" s="564">
        <v>2376</v>
      </c>
      <c r="B1185" s="562" t="s">
        <v>837</v>
      </c>
      <c r="C1185" s="403">
        <v>1</v>
      </c>
      <c r="D1185" s="400"/>
      <c r="E1185" s="400"/>
      <c r="F1185" s="400"/>
      <c r="G1185" s="400"/>
      <c r="H1185" s="396"/>
    </row>
    <row r="1186" spans="1:8" s="401" customFormat="1" ht="14.25" customHeight="1" x14ac:dyDescent="0.25">
      <c r="A1186" s="564">
        <v>2406</v>
      </c>
      <c r="B1186" s="562" t="s">
        <v>838</v>
      </c>
      <c r="C1186" s="403">
        <v>829</v>
      </c>
      <c r="D1186" s="400"/>
      <c r="E1186" s="400"/>
      <c r="F1186" s="400"/>
      <c r="G1186" s="400"/>
      <c r="H1186" s="396"/>
    </row>
    <row r="1187" spans="1:8" s="401" customFormat="1" ht="14.25" customHeight="1" x14ac:dyDescent="0.25">
      <c r="A1187" s="564">
        <v>2408</v>
      </c>
      <c r="B1187" s="562" t="s">
        <v>788</v>
      </c>
      <c r="C1187" s="403">
        <v>2958</v>
      </c>
      <c r="D1187" s="400"/>
      <c r="E1187" s="400"/>
      <c r="F1187" s="400"/>
      <c r="G1187" s="400"/>
      <c r="H1187" s="396"/>
    </row>
    <row r="1188" spans="1:8" s="401" customFormat="1" ht="14.25" customHeight="1" x14ac:dyDescent="0.25">
      <c r="A1188" s="564">
        <v>2413</v>
      </c>
      <c r="B1188" s="562" t="s">
        <v>787</v>
      </c>
      <c r="C1188" s="403">
        <v>5900</v>
      </c>
      <c r="D1188" s="400"/>
      <c r="E1188" s="400"/>
      <c r="F1188" s="400"/>
      <c r="G1188" s="400"/>
      <c r="H1188" s="396"/>
    </row>
    <row r="1189" spans="1:8" s="401" customFormat="1" ht="14.25" customHeight="1" x14ac:dyDescent="0.25">
      <c r="A1189" s="564">
        <v>2416</v>
      </c>
      <c r="B1189" s="562" t="s">
        <v>790</v>
      </c>
      <c r="C1189" s="403">
        <v>1</v>
      </c>
      <c r="D1189" s="400"/>
      <c r="E1189" s="400"/>
      <c r="F1189" s="400"/>
      <c r="G1189" s="400"/>
      <c r="H1189" s="396"/>
    </row>
    <row r="1190" spans="1:8" s="401" customFormat="1" ht="14.25" customHeight="1" x14ac:dyDescent="0.25">
      <c r="A1190" s="564">
        <v>2419</v>
      </c>
      <c r="B1190" s="562" t="s">
        <v>785</v>
      </c>
      <c r="C1190" s="403">
        <v>378</v>
      </c>
      <c r="D1190" s="400"/>
      <c r="E1190" s="400"/>
      <c r="F1190" s="400"/>
      <c r="G1190" s="400"/>
      <c r="H1190" s="396"/>
    </row>
    <row r="1191" spans="1:8" s="401" customFormat="1" ht="14.25" customHeight="1" x14ac:dyDescent="0.25">
      <c r="A1191" s="564">
        <v>2421</v>
      </c>
      <c r="B1191" s="562" t="s">
        <v>798</v>
      </c>
      <c r="C1191" s="403">
        <v>3392</v>
      </c>
      <c r="D1191" s="400"/>
      <c r="E1191" s="400"/>
      <c r="F1191" s="400"/>
      <c r="G1191" s="400"/>
      <c r="H1191" s="396"/>
    </row>
    <row r="1192" spans="1:8" s="401" customFormat="1" ht="14.25" customHeight="1" x14ac:dyDescent="0.25">
      <c r="A1192" s="564">
        <v>2424</v>
      </c>
      <c r="B1192" s="562" t="s">
        <v>787</v>
      </c>
      <c r="C1192" s="403">
        <v>1</v>
      </c>
      <c r="D1192" s="400"/>
      <c r="E1192" s="400"/>
      <c r="F1192" s="400"/>
      <c r="G1192" s="400"/>
      <c r="H1192" s="396"/>
    </row>
    <row r="1193" spans="1:8" s="401" customFormat="1" ht="14.25" customHeight="1" x14ac:dyDescent="0.25">
      <c r="A1193" s="564">
        <v>2425</v>
      </c>
      <c r="B1193" s="562" t="s">
        <v>785</v>
      </c>
      <c r="C1193" s="403">
        <v>1</v>
      </c>
      <c r="D1193" s="400"/>
      <c r="E1193" s="400"/>
      <c r="F1193" s="400"/>
      <c r="G1193" s="400"/>
      <c r="H1193" s="396"/>
    </row>
    <row r="1194" spans="1:8" s="401" customFormat="1" ht="14.25" customHeight="1" x14ac:dyDescent="0.25">
      <c r="A1194" s="564">
        <v>2428</v>
      </c>
      <c r="B1194" s="562" t="s">
        <v>791</v>
      </c>
      <c r="C1194" s="403">
        <v>1</v>
      </c>
      <c r="D1194" s="400"/>
      <c r="E1194" s="400"/>
      <c r="F1194" s="400"/>
      <c r="G1194" s="400"/>
      <c r="H1194" s="396"/>
    </row>
    <row r="1195" spans="1:8" s="401" customFormat="1" ht="14.25" customHeight="1" x14ac:dyDescent="0.25">
      <c r="A1195" s="564">
        <v>2434</v>
      </c>
      <c r="B1195" s="562" t="s">
        <v>790</v>
      </c>
      <c r="C1195" s="403">
        <v>1</v>
      </c>
      <c r="D1195" s="400"/>
      <c r="E1195" s="400"/>
      <c r="F1195" s="400"/>
      <c r="G1195" s="400"/>
      <c r="H1195" s="396"/>
    </row>
    <row r="1196" spans="1:8" s="401" customFormat="1" ht="14.25" customHeight="1" x14ac:dyDescent="0.25">
      <c r="A1196" s="564">
        <v>2437</v>
      </c>
      <c r="B1196" s="562" t="s">
        <v>785</v>
      </c>
      <c r="C1196" s="403">
        <v>1</v>
      </c>
      <c r="D1196" s="400"/>
      <c r="E1196" s="400"/>
      <c r="F1196" s="400"/>
      <c r="G1196" s="400"/>
      <c r="H1196" s="396"/>
    </row>
    <row r="1197" spans="1:8" s="401" customFormat="1" ht="14.25" customHeight="1" x14ac:dyDescent="0.25">
      <c r="A1197" s="564">
        <v>2439</v>
      </c>
      <c r="B1197" s="562" t="s">
        <v>785</v>
      </c>
      <c r="C1197" s="403">
        <v>1</v>
      </c>
      <c r="D1197" s="400"/>
      <c r="E1197" s="400"/>
      <c r="F1197" s="400"/>
      <c r="G1197" s="400"/>
      <c r="H1197" s="396"/>
    </row>
    <row r="1198" spans="1:8" s="401" customFormat="1" ht="14.25" customHeight="1" x14ac:dyDescent="0.25">
      <c r="A1198" s="564">
        <v>2442</v>
      </c>
      <c r="B1198" s="562" t="s">
        <v>785</v>
      </c>
      <c r="C1198" s="403">
        <v>1661.12</v>
      </c>
      <c r="D1198" s="400"/>
      <c r="E1198" s="400"/>
      <c r="F1198" s="400"/>
      <c r="G1198" s="400"/>
      <c r="H1198" s="396"/>
    </row>
    <row r="1199" spans="1:8" s="401" customFormat="1" ht="14.25" customHeight="1" x14ac:dyDescent="0.25">
      <c r="A1199" s="564">
        <v>2445</v>
      </c>
      <c r="B1199" s="562" t="s">
        <v>832</v>
      </c>
      <c r="C1199" s="403">
        <v>1</v>
      </c>
      <c r="D1199" s="400"/>
      <c r="E1199" s="400"/>
      <c r="F1199" s="400"/>
      <c r="G1199" s="400"/>
      <c r="H1199" s="396"/>
    </row>
    <row r="1200" spans="1:8" s="401" customFormat="1" ht="14.25" customHeight="1" x14ac:dyDescent="0.25">
      <c r="A1200" s="564">
        <v>2448</v>
      </c>
      <c r="B1200" s="562" t="s">
        <v>791</v>
      </c>
      <c r="C1200" s="403">
        <v>1</v>
      </c>
      <c r="D1200" s="400"/>
      <c r="E1200" s="400"/>
      <c r="F1200" s="400"/>
      <c r="G1200" s="400"/>
      <c r="H1200" s="396"/>
    </row>
    <row r="1201" spans="1:8" s="401" customFormat="1" ht="14.25" customHeight="1" x14ac:dyDescent="0.25">
      <c r="A1201" s="564">
        <v>2471</v>
      </c>
      <c r="B1201" s="562" t="s">
        <v>785</v>
      </c>
      <c r="C1201" s="403">
        <v>1</v>
      </c>
      <c r="D1201" s="400"/>
      <c r="E1201" s="400"/>
      <c r="F1201" s="400"/>
      <c r="G1201" s="400"/>
      <c r="H1201" s="396"/>
    </row>
    <row r="1202" spans="1:8" s="401" customFormat="1" ht="14.25" customHeight="1" x14ac:dyDescent="0.25">
      <c r="A1202" s="564">
        <v>4569</v>
      </c>
      <c r="B1202" s="562" t="s">
        <v>788</v>
      </c>
      <c r="C1202" s="403">
        <v>3333.68</v>
      </c>
      <c r="D1202" s="400"/>
      <c r="E1202" s="400"/>
      <c r="F1202" s="400"/>
      <c r="G1202" s="400"/>
      <c r="H1202" s="396"/>
    </row>
    <row r="1203" spans="1:8" s="401" customFormat="1" ht="14.25" customHeight="1" x14ac:dyDescent="0.25">
      <c r="A1203" s="564">
        <v>4571</v>
      </c>
      <c r="B1203" s="562" t="s">
        <v>788</v>
      </c>
      <c r="C1203" s="403">
        <v>3333.68</v>
      </c>
      <c r="D1203" s="400"/>
      <c r="E1203" s="400"/>
      <c r="F1203" s="400"/>
      <c r="G1203" s="400"/>
      <c r="H1203" s="396"/>
    </row>
    <row r="1204" spans="1:8" s="401" customFormat="1" ht="14.25" customHeight="1" x14ac:dyDescent="0.25">
      <c r="A1204" s="564">
        <v>4573</v>
      </c>
      <c r="B1204" s="562" t="s">
        <v>788</v>
      </c>
      <c r="C1204" s="403">
        <v>333368</v>
      </c>
      <c r="D1204" s="400"/>
      <c r="E1204" s="400"/>
      <c r="F1204" s="400"/>
      <c r="G1204" s="400"/>
      <c r="H1204" s="396"/>
    </row>
    <row r="1205" spans="1:8" s="401" customFormat="1" ht="14.25" customHeight="1" x14ac:dyDescent="0.25">
      <c r="A1205" s="564">
        <v>2114</v>
      </c>
      <c r="B1205" s="562" t="s">
        <v>788</v>
      </c>
      <c r="C1205" s="403">
        <v>2405</v>
      </c>
      <c r="D1205" s="400"/>
      <c r="E1205" s="400"/>
      <c r="F1205" s="400"/>
      <c r="G1205" s="400"/>
      <c r="H1205" s="396"/>
    </row>
    <row r="1206" spans="1:8" s="401" customFormat="1" ht="14.25" customHeight="1" x14ac:dyDescent="0.25">
      <c r="A1206" s="564">
        <v>2116</v>
      </c>
      <c r="B1206" s="562" t="s">
        <v>785</v>
      </c>
      <c r="C1206" s="403">
        <v>1</v>
      </c>
      <c r="D1206" s="400"/>
      <c r="E1206" s="400"/>
      <c r="F1206" s="400"/>
      <c r="G1206" s="400"/>
      <c r="H1206" s="396"/>
    </row>
    <row r="1207" spans="1:8" s="401" customFormat="1" ht="14.25" customHeight="1" x14ac:dyDescent="0.25">
      <c r="A1207" s="564">
        <v>2122</v>
      </c>
      <c r="B1207" s="562" t="s">
        <v>792</v>
      </c>
      <c r="C1207" s="403">
        <v>1</v>
      </c>
      <c r="D1207" s="400"/>
      <c r="E1207" s="400"/>
      <c r="F1207" s="400"/>
      <c r="G1207" s="400"/>
      <c r="H1207" s="396"/>
    </row>
    <row r="1208" spans="1:8" s="401" customFormat="1" ht="14.25" customHeight="1" x14ac:dyDescent="0.25">
      <c r="A1208" s="564">
        <v>2126</v>
      </c>
      <c r="B1208" s="562" t="s">
        <v>790</v>
      </c>
      <c r="C1208" s="403">
        <v>1429</v>
      </c>
      <c r="D1208" s="400"/>
      <c r="E1208" s="400"/>
      <c r="F1208" s="400"/>
      <c r="G1208" s="400"/>
      <c r="H1208" s="396"/>
    </row>
    <row r="1209" spans="1:8" s="401" customFormat="1" ht="14.25" customHeight="1" x14ac:dyDescent="0.25">
      <c r="A1209" s="564">
        <v>2129</v>
      </c>
      <c r="B1209" s="562" t="s">
        <v>785</v>
      </c>
      <c r="C1209" s="403">
        <v>179</v>
      </c>
      <c r="D1209" s="400"/>
      <c r="E1209" s="400"/>
      <c r="F1209" s="400"/>
      <c r="G1209" s="400"/>
      <c r="H1209" s="396"/>
    </row>
    <row r="1210" spans="1:8" s="401" customFormat="1" ht="14.25" customHeight="1" x14ac:dyDescent="0.25">
      <c r="A1210" s="564">
        <v>2133</v>
      </c>
      <c r="B1210" s="562" t="s">
        <v>791</v>
      </c>
      <c r="C1210" s="403">
        <v>3099</v>
      </c>
      <c r="D1210" s="400"/>
      <c r="E1210" s="400"/>
      <c r="F1210" s="400"/>
      <c r="G1210" s="400"/>
      <c r="H1210" s="396"/>
    </row>
    <row r="1211" spans="1:8" s="401" customFormat="1" ht="14.25" customHeight="1" x14ac:dyDescent="0.25">
      <c r="A1211" s="564">
        <v>2139</v>
      </c>
      <c r="B1211" s="562" t="s">
        <v>787</v>
      </c>
      <c r="C1211" s="403">
        <v>4025</v>
      </c>
      <c r="D1211" s="400"/>
      <c r="E1211" s="400"/>
      <c r="F1211" s="400"/>
      <c r="G1211" s="400"/>
      <c r="H1211" s="396"/>
    </row>
    <row r="1212" spans="1:8" s="401" customFormat="1" ht="14.25" customHeight="1" x14ac:dyDescent="0.25">
      <c r="A1212" s="564">
        <v>2142</v>
      </c>
      <c r="B1212" s="562" t="s">
        <v>787</v>
      </c>
      <c r="C1212" s="403">
        <v>3790</v>
      </c>
      <c r="D1212" s="400"/>
      <c r="E1212" s="400"/>
      <c r="F1212" s="400"/>
      <c r="G1212" s="400"/>
      <c r="H1212" s="396"/>
    </row>
    <row r="1213" spans="1:8" s="401" customFormat="1" ht="14.25" customHeight="1" x14ac:dyDescent="0.25">
      <c r="A1213" s="564">
        <v>2147</v>
      </c>
      <c r="B1213" s="562" t="s">
        <v>787</v>
      </c>
      <c r="C1213" s="403">
        <v>2386</v>
      </c>
      <c r="D1213" s="400"/>
      <c r="E1213" s="400"/>
      <c r="F1213" s="400"/>
      <c r="G1213" s="400"/>
      <c r="H1213" s="396"/>
    </row>
    <row r="1214" spans="1:8" s="401" customFormat="1" ht="14.25" customHeight="1" x14ac:dyDescent="0.25">
      <c r="A1214" s="564">
        <v>2150</v>
      </c>
      <c r="B1214" s="562" t="s">
        <v>787</v>
      </c>
      <c r="C1214" s="403">
        <v>1</v>
      </c>
      <c r="D1214" s="400"/>
      <c r="E1214" s="400"/>
      <c r="F1214" s="400"/>
      <c r="G1214" s="400"/>
      <c r="H1214" s="396"/>
    </row>
    <row r="1215" spans="1:8" s="401" customFormat="1" ht="14.25" customHeight="1" x14ac:dyDescent="0.25">
      <c r="A1215" s="564">
        <v>2153</v>
      </c>
      <c r="B1215" s="562" t="s">
        <v>804</v>
      </c>
      <c r="C1215" s="403">
        <v>1</v>
      </c>
      <c r="D1215" s="400"/>
      <c r="E1215" s="400"/>
      <c r="F1215" s="400"/>
      <c r="G1215" s="400"/>
      <c r="H1215" s="396"/>
    </row>
    <row r="1216" spans="1:8" s="401" customFormat="1" ht="14.25" customHeight="1" x14ac:dyDescent="0.25">
      <c r="A1216" s="564">
        <v>2157</v>
      </c>
      <c r="B1216" s="562" t="s">
        <v>788</v>
      </c>
      <c r="C1216" s="403">
        <v>3795</v>
      </c>
      <c r="D1216" s="400"/>
      <c r="E1216" s="400"/>
      <c r="F1216" s="400"/>
      <c r="G1216" s="400"/>
      <c r="H1216" s="396"/>
    </row>
    <row r="1217" spans="1:8" s="401" customFormat="1" ht="14.25" customHeight="1" x14ac:dyDescent="0.25">
      <c r="A1217" s="564">
        <v>2158</v>
      </c>
      <c r="B1217" s="562" t="s">
        <v>785</v>
      </c>
      <c r="C1217" s="403">
        <v>448</v>
      </c>
      <c r="D1217" s="400"/>
      <c r="E1217" s="400"/>
      <c r="F1217" s="400"/>
      <c r="G1217" s="400"/>
      <c r="H1217" s="396"/>
    </row>
    <row r="1218" spans="1:8" s="401" customFormat="1" ht="14.25" customHeight="1" x14ac:dyDescent="0.25">
      <c r="A1218" s="564">
        <v>2162</v>
      </c>
      <c r="B1218" s="562" t="s">
        <v>785</v>
      </c>
      <c r="C1218" s="403">
        <v>673</v>
      </c>
      <c r="D1218" s="400"/>
      <c r="E1218" s="400"/>
      <c r="F1218" s="400"/>
      <c r="G1218" s="400"/>
      <c r="H1218" s="396"/>
    </row>
    <row r="1219" spans="1:8" s="401" customFormat="1" ht="14.25" customHeight="1" x14ac:dyDescent="0.25">
      <c r="A1219" s="564">
        <v>2166</v>
      </c>
      <c r="B1219" s="562" t="s">
        <v>786</v>
      </c>
      <c r="C1219" s="403">
        <v>1334</v>
      </c>
      <c r="D1219" s="400"/>
      <c r="E1219" s="400"/>
      <c r="F1219" s="400"/>
      <c r="G1219" s="400"/>
      <c r="H1219" s="396"/>
    </row>
    <row r="1220" spans="1:8" s="401" customFormat="1" ht="14.25" customHeight="1" x14ac:dyDescent="0.25">
      <c r="A1220" s="564">
        <v>2180</v>
      </c>
      <c r="B1220" s="562" t="s">
        <v>786</v>
      </c>
      <c r="C1220" s="403">
        <v>989</v>
      </c>
      <c r="D1220" s="400"/>
      <c r="E1220" s="400"/>
      <c r="F1220" s="400"/>
      <c r="G1220" s="400"/>
      <c r="H1220" s="396"/>
    </row>
    <row r="1221" spans="1:8" s="401" customFormat="1" ht="14.25" customHeight="1" x14ac:dyDescent="0.25">
      <c r="A1221" s="564">
        <v>2183</v>
      </c>
      <c r="B1221" s="562" t="s">
        <v>786</v>
      </c>
      <c r="C1221" s="403">
        <v>218</v>
      </c>
      <c r="D1221" s="400"/>
      <c r="E1221" s="400"/>
      <c r="F1221" s="400"/>
      <c r="G1221" s="400"/>
      <c r="H1221" s="396"/>
    </row>
    <row r="1222" spans="1:8" s="401" customFormat="1" ht="14.25" customHeight="1" x14ac:dyDescent="0.25">
      <c r="A1222" s="564">
        <v>2192</v>
      </c>
      <c r="B1222" s="562" t="s">
        <v>814</v>
      </c>
      <c r="C1222" s="403">
        <v>652</v>
      </c>
      <c r="D1222" s="400"/>
      <c r="E1222" s="400"/>
      <c r="F1222" s="400"/>
      <c r="G1222" s="400"/>
      <c r="H1222" s="396"/>
    </row>
    <row r="1223" spans="1:8" s="401" customFormat="1" ht="14.25" customHeight="1" x14ac:dyDescent="0.25">
      <c r="A1223" s="564">
        <v>2838</v>
      </c>
      <c r="B1223" s="562" t="s">
        <v>788</v>
      </c>
      <c r="C1223" s="403">
        <v>1</v>
      </c>
      <c r="D1223" s="400"/>
      <c r="E1223" s="400"/>
      <c r="F1223" s="400"/>
      <c r="G1223" s="400"/>
      <c r="H1223" s="396"/>
    </row>
    <row r="1224" spans="1:8" s="401" customFormat="1" ht="14.25" customHeight="1" x14ac:dyDescent="0.25">
      <c r="A1224" s="564">
        <v>2841</v>
      </c>
      <c r="B1224" s="562" t="s">
        <v>791</v>
      </c>
      <c r="C1224" s="403">
        <v>1</v>
      </c>
      <c r="D1224" s="400"/>
      <c r="E1224" s="400"/>
      <c r="F1224" s="400"/>
      <c r="G1224" s="400"/>
      <c r="H1224" s="396"/>
    </row>
    <row r="1225" spans="1:8" s="401" customFormat="1" ht="14.25" customHeight="1" x14ac:dyDescent="0.25">
      <c r="A1225" s="564">
        <v>2847</v>
      </c>
      <c r="B1225" s="562" t="s">
        <v>785</v>
      </c>
      <c r="C1225" s="403">
        <v>1890</v>
      </c>
      <c r="D1225" s="400"/>
      <c r="E1225" s="400"/>
      <c r="F1225" s="400"/>
      <c r="G1225" s="400"/>
      <c r="H1225" s="396"/>
    </row>
    <row r="1226" spans="1:8" s="401" customFormat="1" ht="14.25" customHeight="1" x14ac:dyDescent="0.25">
      <c r="A1226" s="564">
        <v>2851</v>
      </c>
      <c r="B1226" s="562" t="s">
        <v>787</v>
      </c>
      <c r="C1226" s="403">
        <v>1890</v>
      </c>
      <c r="D1226" s="400"/>
      <c r="E1226" s="400"/>
      <c r="F1226" s="400"/>
      <c r="G1226" s="400"/>
      <c r="H1226" s="396"/>
    </row>
    <row r="1227" spans="1:8" s="401" customFormat="1" ht="14.25" customHeight="1" x14ac:dyDescent="0.25">
      <c r="A1227" s="564">
        <v>2854</v>
      </c>
      <c r="B1227" s="562" t="s">
        <v>785</v>
      </c>
      <c r="C1227" s="403">
        <v>632</v>
      </c>
      <c r="D1227" s="400"/>
      <c r="E1227" s="400"/>
      <c r="F1227" s="400"/>
      <c r="G1227" s="400"/>
      <c r="H1227" s="396"/>
    </row>
    <row r="1228" spans="1:8" s="401" customFormat="1" ht="14.25" customHeight="1" x14ac:dyDescent="0.25">
      <c r="A1228" s="564">
        <v>2856</v>
      </c>
      <c r="B1228" s="562" t="s">
        <v>813</v>
      </c>
      <c r="C1228" s="403">
        <v>216</v>
      </c>
      <c r="D1228" s="400"/>
      <c r="E1228" s="400"/>
      <c r="F1228" s="400"/>
      <c r="G1228" s="400"/>
      <c r="H1228" s="396"/>
    </row>
    <row r="1229" spans="1:8" s="401" customFormat="1" ht="14.25" customHeight="1" x14ac:dyDescent="0.25">
      <c r="A1229" s="564">
        <v>2866</v>
      </c>
      <c r="B1229" s="562" t="s">
        <v>791</v>
      </c>
      <c r="C1229" s="403">
        <v>2864</v>
      </c>
      <c r="D1229" s="400"/>
      <c r="E1229" s="400"/>
      <c r="F1229" s="400"/>
      <c r="G1229" s="400"/>
      <c r="H1229" s="396"/>
    </row>
    <row r="1230" spans="1:8" s="401" customFormat="1" ht="14.25" customHeight="1" x14ac:dyDescent="0.25">
      <c r="A1230" s="564">
        <v>2868</v>
      </c>
      <c r="B1230" s="562" t="s">
        <v>791</v>
      </c>
      <c r="C1230" s="403">
        <v>2864</v>
      </c>
      <c r="D1230" s="400"/>
      <c r="E1230" s="400"/>
      <c r="F1230" s="400"/>
      <c r="G1230" s="400"/>
      <c r="H1230" s="396"/>
    </row>
    <row r="1231" spans="1:8" s="401" customFormat="1" ht="14.25" customHeight="1" x14ac:dyDescent="0.25">
      <c r="A1231" s="564">
        <v>2874</v>
      </c>
      <c r="B1231" s="562" t="s">
        <v>791</v>
      </c>
      <c r="C1231" s="403">
        <v>2864</v>
      </c>
      <c r="D1231" s="400"/>
      <c r="E1231" s="400"/>
      <c r="F1231" s="400"/>
      <c r="G1231" s="400"/>
      <c r="H1231" s="396"/>
    </row>
    <row r="1232" spans="1:8" s="401" customFormat="1" ht="14.25" customHeight="1" x14ac:dyDescent="0.25">
      <c r="A1232" s="564">
        <v>2876</v>
      </c>
      <c r="B1232" s="562" t="s">
        <v>791</v>
      </c>
      <c r="C1232" s="403">
        <v>2864</v>
      </c>
      <c r="D1232" s="400"/>
      <c r="E1232" s="400"/>
      <c r="F1232" s="400"/>
      <c r="G1232" s="400"/>
      <c r="H1232" s="396"/>
    </row>
    <row r="1233" spans="1:8" s="401" customFormat="1" ht="14.25" customHeight="1" x14ac:dyDescent="0.25">
      <c r="A1233" s="564">
        <v>2877</v>
      </c>
      <c r="B1233" s="562" t="s">
        <v>791</v>
      </c>
      <c r="C1233" s="403">
        <v>2864</v>
      </c>
      <c r="D1233" s="400"/>
      <c r="E1233" s="400"/>
      <c r="F1233" s="400"/>
      <c r="G1233" s="400"/>
      <c r="H1233" s="396"/>
    </row>
    <row r="1234" spans="1:8" s="401" customFormat="1" ht="14.25" customHeight="1" x14ac:dyDescent="0.25">
      <c r="A1234" s="564">
        <v>2879</v>
      </c>
      <c r="B1234" s="562" t="s">
        <v>791</v>
      </c>
      <c r="C1234" s="403">
        <v>2864</v>
      </c>
      <c r="D1234" s="400"/>
      <c r="E1234" s="400"/>
      <c r="F1234" s="400"/>
      <c r="G1234" s="400"/>
      <c r="H1234" s="396"/>
    </row>
    <row r="1235" spans="1:8" s="401" customFormat="1" ht="14.25" customHeight="1" x14ac:dyDescent="0.25">
      <c r="A1235" s="564">
        <v>2881</v>
      </c>
      <c r="B1235" s="562" t="s">
        <v>791</v>
      </c>
      <c r="C1235" s="403">
        <v>1702</v>
      </c>
      <c r="D1235" s="400"/>
      <c r="E1235" s="400"/>
      <c r="F1235" s="400"/>
      <c r="G1235" s="400"/>
      <c r="H1235" s="396"/>
    </row>
    <row r="1236" spans="1:8" s="401" customFormat="1" ht="14.25" customHeight="1" x14ac:dyDescent="0.25">
      <c r="A1236" s="564">
        <v>2883</v>
      </c>
      <c r="B1236" s="562" t="s">
        <v>791</v>
      </c>
      <c r="C1236" s="403">
        <v>1702</v>
      </c>
      <c r="D1236" s="400"/>
      <c r="E1236" s="400"/>
      <c r="F1236" s="400"/>
      <c r="G1236" s="400"/>
      <c r="H1236" s="396"/>
    </row>
    <row r="1237" spans="1:8" s="401" customFormat="1" ht="14.25" customHeight="1" x14ac:dyDescent="0.25">
      <c r="A1237" s="564">
        <v>2885</v>
      </c>
      <c r="B1237" s="562" t="s">
        <v>791</v>
      </c>
      <c r="C1237" s="403">
        <v>1702</v>
      </c>
      <c r="D1237" s="400"/>
      <c r="E1237" s="400"/>
      <c r="F1237" s="400"/>
      <c r="G1237" s="400"/>
      <c r="H1237" s="396"/>
    </row>
    <row r="1238" spans="1:8" s="401" customFormat="1" ht="14.25" customHeight="1" x14ac:dyDescent="0.25">
      <c r="A1238" s="564">
        <v>2886</v>
      </c>
      <c r="B1238" s="562" t="s">
        <v>791</v>
      </c>
      <c r="C1238" s="403">
        <v>1702</v>
      </c>
      <c r="D1238" s="400"/>
      <c r="E1238" s="400"/>
      <c r="F1238" s="400"/>
      <c r="G1238" s="400"/>
      <c r="H1238" s="396"/>
    </row>
    <row r="1239" spans="1:8" s="401" customFormat="1" ht="14.25" customHeight="1" x14ac:dyDescent="0.25">
      <c r="A1239" s="564">
        <v>2887</v>
      </c>
      <c r="B1239" s="562" t="s">
        <v>787</v>
      </c>
      <c r="C1239" s="403">
        <v>3162</v>
      </c>
      <c r="D1239" s="400"/>
      <c r="E1239" s="400"/>
      <c r="F1239" s="400"/>
      <c r="G1239" s="400"/>
      <c r="H1239" s="396"/>
    </row>
    <row r="1240" spans="1:8" s="401" customFormat="1" ht="14.25" customHeight="1" x14ac:dyDescent="0.25">
      <c r="A1240" s="564">
        <v>2888</v>
      </c>
      <c r="B1240" s="562" t="s">
        <v>787</v>
      </c>
      <c r="C1240" s="403">
        <v>3162</v>
      </c>
      <c r="D1240" s="400"/>
      <c r="E1240" s="400"/>
      <c r="F1240" s="400"/>
      <c r="G1240" s="400"/>
      <c r="H1240" s="396"/>
    </row>
    <row r="1241" spans="1:8" s="401" customFormat="1" ht="14.25" customHeight="1" x14ac:dyDescent="0.25">
      <c r="A1241" s="564">
        <v>2890</v>
      </c>
      <c r="B1241" s="562" t="s">
        <v>787</v>
      </c>
      <c r="C1241" s="403">
        <v>3162</v>
      </c>
      <c r="D1241" s="400"/>
      <c r="E1241" s="400"/>
      <c r="F1241" s="400"/>
      <c r="G1241" s="400"/>
      <c r="H1241" s="396"/>
    </row>
    <row r="1242" spans="1:8" s="401" customFormat="1" ht="14.25" customHeight="1" x14ac:dyDescent="0.25">
      <c r="A1242" s="564">
        <v>2892</v>
      </c>
      <c r="B1242" s="562" t="s">
        <v>787</v>
      </c>
      <c r="C1242" s="403">
        <v>3162</v>
      </c>
      <c r="D1242" s="400"/>
      <c r="E1242" s="400"/>
      <c r="F1242" s="400"/>
      <c r="G1242" s="400"/>
      <c r="H1242" s="396"/>
    </row>
    <row r="1243" spans="1:8" s="401" customFormat="1" ht="14.25" customHeight="1" x14ac:dyDescent="0.25">
      <c r="A1243" s="564">
        <v>2893</v>
      </c>
      <c r="B1243" s="562" t="s">
        <v>787</v>
      </c>
      <c r="C1243" s="403">
        <v>3162</v>
      </c>
      <c r="D1243" s="400"/>
      <c r="E1243" s="400"/>
      <c r="F1243" s="400"/>
      <c r="G1243" s="400"/>
      <c r="H1243" s="396"/>
    </row>
    <row r="1244" spans="1:8" s="401" customFormat="1" ht="14.25" customHeight="1" x14ac:dyDescent="0.25">
      <c r="A1244" s="564">
        <v>2895</v>
      </c>
      <c r="B1244" s="562" t="s">
        <v>787</v>
      </c>
      <c r="C1244" s="403">
        <v>2386</v>
      </c>
      <c r="D1244" s="400"/>
      <c r="E1244" s="400"/>
      <c r="F1244" s="400"/>
      <c r="G1244" s="400"/>
      <c r="H1244" s="396"/>
    </row>
    <row r="1245" spans="1:8" s="401" customFormat="1" ht="14.25" customHeight="1" x14ac:dyDescent="0.25">
      <c r="A1245" s="564">
        <v>2897</v>
      </c>
      <c r="B1245" s="562" t="s">
        <v>787</v>
      </c>
      <c r="C1245" s="403">
        <v>4082</v>
      </c>
      <c r="D1245" s="400"/>
      <c r="E1245" s="400"/>
      <c r="F1245" s="400"/>
      <c r="G1245" s="400"/>
      <c r="H1245" s="396"/>
    </row>
    <row r="1246" spans="1:8" s="401" customFormat="1" ht="14.25" customHeight="1" x14ac:dyDescent="0.25">
      <c r="A1246" s="564">
        <v>2898</v>
      </c>
      <c r="B1246" s="562" t="s">
        <v>790</v>
      </c>
      <c r="C1246" s="403">
        <v>1898</v>
      </c>
      <c r="D1246" s="400"/>
      <c r="E1246" s="400"/>
      <c r="F1246" s="400"/>
      <c r="G1246" s="400"/>
      <c r="H1246" s="396"/>
    </row>
    <row r="1247" spans="1:8" s="401" customFormat="1" ht="14.25" customHeight="1" x14ac:dyDescent="0.25">
      <c r="A1247" s="564">
        <v>2900</v>
      </c>
      <c r="B1247" s="562" t="s">
        <v>790</v>
      </c>
      <c r="C1247" s="403">
        <v>2012</v>
      </c>
      <c r="D1247" s="400"/>
      <c r="E1247" s="400"/>
      <c r="F1247" s="400"/>
      <c r="G1247" s="400"/>
      <c r="H1247" s="396"/>
    </row>
    <row r="1248" spans="1:8" s="401" customFormat="1" ht="14.25" customHeight="1" x14ac:dyDescent="0.25">
      <c r="A1248" s="564">
        <v>2902</v>
      </c>
      <c r="B1248" s="562" t="s">
        <v>790</v>
      </c>
      <c r="C1248" s="403">
        <v>1898</v>
      </c>
      <c r="D1248" s="400"/>
      <c r="E1248" s="400"/>
      <c r="F1248" s="400"/>
      <c r="G1248" s="400"/>
      <c r="H1248" s="396"/>
    </row>
    <row r="1249" spans="1:8" s="401" customFormat="1" ht="14.25" customHeight="1" x14ac:dyDescent="0.25">
      <c r="A1249" s="564">
        <v>2903</v>
      </c>
      <c r="B1249" s="562" t="s">
        <v>785</v>
      </c>
      <c r="C1249" s="403">
        <v>454</v>
      </c>
      <c r="D1249" s="400"/>
      <c r="E1249" s="400"/>
      <c r="F1249" s="400"/>
      <c r="G1249" s="400"/>
      <c r="H1249" s="396"/>
    </row>
    <row r="1250" spans="1:8" s="401" customFormat="1" ht="14.25" customHeight="1" x14ac:dyDescent="0.25">
      <c r="A1250" s="564">
        <v>2906</v>
      </c>
      <c r="B1250" s="562" t="s">
        <v>785</v>
      </c>
      <c r="C1250" s="403">
        <v>454</v>
      </c>
      <c r="D1250" s="400"/>
      <c r="E1250" s="400"/>
      <c r="F1250" s="400"/>
      <c r="G1250" s="400"/>
      <c r="H1250" s="396"/>
    </row>
    <row r="1251" spans="1:8" s="401" customFormat="1" ht="14.25" customHeight="1" x14ac:dyDescent="0.25">
      <c r="A1251" s="564">
        <v>2908</v>
      </c>
      <c r="B1251" s="562" t="s">
        <v>785</v>
      </c>
      <c r="C1251" s="403">
        <v>454</v>
      </c>
      <c r="D1251" s="400"/>
      <c r="E1251" s="400"/>
      <c r="F1251" s="400"/>
      <c r="G1251" s="400"/>
      <c r="H1251" s="396"/>
    </row>
    <row r="1252" spans="1:8" s="401" customFormat="1" ht="14.25" customHeight="1" x14ac:dyDescent="0.25">
      <c r="A1252" s="564">
        <v>2910</v>
      </c>
      <c r="B1252" s="562" t="s">
        <v>785</v>
      </c>
      <c r="C1252" s="403">
        <v>454</v>
      </c>
      <c r="D1252" s="400"/>
      <c r="E1252" s="400"/>
      <c r="F1252" s="400"/>
      <c r="G1252" s="400"/>
      <c r="H1252" s="396"/>
    </row>
    <row r="1253" spans="1:8" s="401" customFormat="1" ht="14.25" customHeight="1" x14ac:dyDescent="0.25">
      <c r="A1253" s="564">
        <v>2911</v>
      </c>
      <c r="B1253" s="562" t="s">
        <v>785</v>
      </c>
      <c r="C1253" s="403">
        <v>1840</v>
      </c>
      <c r="D1253" s="400"/>
      <c r="E1253" s="400"/>
      <c r="F1253" s="400"/>
      <c r="G1253" s="400"/>
      <c r="H1253" s="396"/>
    </row>
    <row r="1254" spans="1:8" s="401" customFormat="1" ht="14.25" customHeight="1" x14ac:dyDescent="0.25">
      <c r="A1254" s="564">
        <v>2914</v>
      </c>
      <c r="B1254" s="562" t="s">
        <v>785</v>
      </c>
      <c r="C1254" s="403">
        <v>1840</v>
      </c>
      <c r="D1254" s="400"/>
      <c r="E1254" s="400"/>
      <c r="F1254" s="400"/>
      <c r="G1254" s="400"/>
      <c r="H1254" s="396"/>
    </row>
    <row r="1255" spans="1:8" s="401" customFormat="1" ht="14.25" customHeight="1" x14ac:dyDescent="0.25">
      <c r="A1255" s="564">
        <v>2915</v>
      </c>
      <c r="B1255" s="562" t="s">
        <v>785</v>
      </c>
      <c r="C1255" s="403">
        <v>748</v>
      </c>
      <c r="D1255" s="400"/>
      <c r="E1255" s="400"/>
      <c r="F1255" s="400"/>
      <c r="G1255" s="400"/>
      <c r="H1255" s="396"/>
    </row>
    <row r="1256" spans="1:8" s="401" customFormat="1" ht="14.25" customHeight="1" x14ac:dyDescent="0.25">
      <c r="A1256" s="564">
        <v>2918</v>
      </c>
      <c r="B1256" s="562" t="s">
        <v>785</v>
      </c>
      <c r="C1256" s="403">
        <v>748</v>
      </c>
      <c r="D1256" s="400"/>
      <c r="E1256" s="400"/>
      <c r="F1256" s="400"/>
      <c r="G1256" s="400"/>
      <c r="H1256" s="396"/>
    </row>
    <row r="1257" spans="1:8" s="401" customFormat="1" ht="14.25" customHeight="1" x14ac:dyDescent="0.25">
      <c r="A1257" s="564">
        <v>2921</v>
      </c>
      <c r="B1257" s="562" t="s">
        <v>785</v>
      </c>
      <c r="C1257" s="403">
        <v>748</v>
      </c>
      <c r="D1257" s="400"/>
      <c r="E1257" s="400"/>
      <c r="F1257" s="400"/>
      <c r="G1257" s="400"/>
      <c r="H1257" s="396"/>
    </row>
    <row r="1258" spans="1:8" s="401" customFormat="1" ht="14.25" customHeight="1" x14ac:dyDescent="0.25">
      <c r="A1258" s="564">
        <v>2923</v>
      </c>
      <c r="B1258" s="562" t="s">
        <v>785</v>
      </c>
      <c r="C1258" s="403">
        <v>748</v>
      </c>
      <c r="D1258" s="400"/>
      <c r="E1258" s="400"/>
      <c r="F1258" s="400"/>
      <c r="G1258" s="400"/>
      <c r="H1258" s="396"/>
    </row>
    <row r="1259" spans="1:8" s="401" customFormat="1" ht="14.25" customHeight="1" x14ac:dyDescent="0.25">
      <c r="A1259" s="564">
        <v>2925</v>
      </c>
      <c r="B1259" s="562" t="s">
        <v>785</v>
      </c>
      <c r="C1259" s="403">
        <v>748</v>
      </c>
      <c r="D1259" s="400"/>
      <c r="E1259" s="400"/>
      <c r="F1259" s="400"/>
      <c r="G1259" s="400"/>
      <c r="H1259" s="396"/>
    </row>
    <row r="1260" spans="1:8" s="401" customFormat="1" ht="14.25" customHeight="1" x14ac:dyDescent="0.25">
      <c r="A1260" s="564">
        <v>2928</v>
      </c>
      <c r="B1260" s="562" t="s">
        <v>785</v>
      </c>
      <c r="C1260" s="403">
        <v>748</v>
      </c>
      <c r="D1260" s="400"/>
      <c r="E1260" s="400"/>
      <c r="F1260" s="400"/>
      <c r="G1260" s="400"/>
      <c r="H1260" s="396"/>
    </row>
    <row r="1261" spans="1:8" s="401" customFormat="1" ht="14.25" customHeight="1" x14ac:dyDescent="0.25">
      <c r="A1261" s="564">
        <v>2935</v>
      </c>
      <c r="B1261" s="562" t="s">
        <v>785</v>
      </c>
      <c r="C1261" s="403">
        <v>748</v>
      </c>
      <c r="D1261" s="400"/>
      <c r="E1261" s="400"/>
      <c r="F1261" s="400"/>
      <c r="G1261" s="400"/>
      <c r="H1261" s="396"/>
    </row>
    <row r="1262" spans="1:8" s="401" customFormat="1" ht="14.25" customHeight="1" x14ac:dyDescent="0.25">
      <c r="A1262" s="564">
        <v>2936</v>
      </c>
      <c r="B1262" s="562" t="s">
        <v>785</v>
      </c>
      <c r="C1262" s="403">
        <v>748</v>
      </c>
      <c r="D1262" s="400"/>
      <c r="E1262" s="400"/>
      <c r="F1262" s="400"/>
      <c r="G1262" s="400"/>
      <c r="H1262" s="396"/>
    </row>
    <row r="1263" spans="1:8" s="401" customFormat="1" ht="14.25" customHeight="1" x14ac:dyDescent="0.25">
      <c r="A1263" s="564">
        <v>2940</v>
      </c>
      <c r="B1263" s="562" t="s">
        <v>785</v>
      </c>
      <c r="C1263" s="403">
        <v>748</v>
      </c>
      <c r="D1263" s="400"/>
      <c r="E1263" s="400"/>
      <c r="F1263" s="400"/>
      <c r="G1263" s="400"/>
      <c r="H1263" s="396"/>
    </row>
    <row r="1264" spans="1:8" s="401" customFormat="1" ht="14.25" customHeight="1" x14ac:dyDescent="0.25">
      <c r="A1264" s="564">
        <v>2942</v>
      </c>
      <c r="B1264" s="562" t="s">
        <v>785</v>
      </c>
      <c r="C1264" s="403">
        <v>748</v>
      </c>
      <c r="D1264" s="400"/>
      <c r="E1264" s="400"/>
      <c r="F1264" s="400"/>
      <c r="G1264" s="400"/>
      <c r="H1264" s="396"/>
    </row>
    <row r="1265" spans="1:8" s="401" customFormat="1" ht="14.25" customHeight="1" x14ac:dyDescent="0.25">
      <c r="A1265" s="564">
        <v>2944</v>
      </c>
      <c r="B1265" s="562" t="s">
        <v>786</v>
      </c>
      <c r="C1265" s="403">
        <v>1955</v>
      </c>
      <c r="D1265" s="400"/>
      <c r="E1265" s="400"/>
      <c r="F1265" s="400"/>
      <c r="G1265" s="400"/>
      <c r="H1265" s="396"/>
    </row>
    <row r="1266" spans="1:8" s="401" customFormat="1" ht="14.25" customHeight="1" x14ac:dyDescent="0.25">
      <c r="A1266" s="564">
        <v>2950</v>
      </c>
      <c r="B1266" s="562" t="s">
        <v>794</v>
      </c>
      <c r="C1266" s="403">
        <v>364</v>
      </c>
      <c r="D1266" s="400"/>
      <c r="E1266" s="400"/>
      <c r="F1266" s="400"/>
      <c r="G1266" s="400"/>
      <c r="H1266" s="396"/>
    </row>
    <row r="1267" spans="1:8" s="401" customFormat="1" ht="14.25" customHeight="1" x14ac:dyDescent="0.25">
      <c r="A1267" s="564">
        <v>2953</v>
      </c>
      <c r="B1267" s="562" t="s">
        <v>814</v>
      </c>
      <c r="C1267" s="403">
        <v>803</v>
      </c>
      <c r="D1267" s="400"/>
      <c r="E1267" s="400"/>
      <c r="F1267" s="400"/>
      <c r="G1267" s="400"/>
      <c r="H1267" s="396"/>
    </row>
    <row r="1268" spans="1:8" s="401" customFormat="1" ht="14.25" customHeight="1" x14ac:dyDescent="0.25">
      <c r="A1268" s="564">
        <v>2955</v>
      </c>
      <c r="B1268" s="562" t="s">
        <v>799</v>
      </c>
      <c r="C1268" s="403">
        <v>1633</v>
      </c>
      <c r="D1268" s="400"/>
      <c r="E1268" s="400"/>
      <c r="F1268" s="400"/>
      <c r="G1268" s="400"/>
      <c r="H1268" s="396"/>
    </row>
    <row r="1269" spans="1:8" s="401" customFormat="1" ht="14.25" customHeight="1" x14ac:dyDescent="0.25">
      <c r="A1269" s="564">
        <v>2958</v>
      </c>
      <c r="B1269" s="562" t="s">
        <v>799</v>
      </c>
      <c r="C1269" s="403">
        <v>2358</v>
      </c>
      <c r="D1269" s="400"/>
      <c r="E1269" s="400"/>
      <c r="F1269" s="400"/>
      <c r="G1269" s="400"/>
      <c r="H1269" s="396"/>
    </row>
    <row r="1270" spans="1:8" s="401" customFormat="1" ht="14.25" customHeight="1" x14ac:dyDescent="0.25">
      <c r="A1270" s="564">
        <v>2962</v>
      </c>
      <c r="B1270" s="562" t="s">
        <v>798</v>
      </c>
      <c r="C1270" s="403">
        <v>3220</v>
      </c>
      <c r="D1270" s="400"/>
      <c r="E1270" s="400"/>
      <c r="F1270" s="400"/>
      <c r="G1270" s="400"/>
      <c r="H1270" s="396"/>
    </row>
    <row r="1271" spans="1:8" s="401" customFormat="1" ht="14.25" customHeight="1" x14ac:dyDescent="0.25">
      <c r="A1271" s="564">
        <v>2963</v>
      </c>
      <c r="B1271" s="562" t="s">
        <v>815</v>
      </c>
      <c r="C1271" s="403">
        <v>1</v>
      </c>
      <c r="D1271" s="400"/>
      <c r="E1271" s="400"/>
      <c r="F1271" s="400"/>
      <c r="G1271" s="400"/>
      <c r="H1271" s="396"/>
    </row>
    <row r="1272" spans="1:8" s="401" customFormat="1" ht="14.25" customHeight="1" x14ac:dyDescent="0.25">
      <c r="A1272" s="564">
        <v>2965</v>
      </c>
      <c r="B1272" s="562" t="s">
        <v>785</v>
      </c>
      <c r="C1272" s="403">
        <v>1</v>
      </c>
      <c r="D1272" s="400"/>
      <c r="E1272" s="400"/>
      <c r="F1272" s="400"/>
      <c r="G1272" s="400"/>
      <c r="H1272" s="396"/>
    </row>
    <row r="1273" spans="1:8" s="401" customFormat="1" ht="14.25" customHeight="1" x14ac:dyDescent="0.25">
      <c r="A1273" s="564">
        <v>2967</v>
      </c>
      <c r="B1273" s="562" t="s">
        <v>787</v>
      </c>
      <c r="C1273" s="403">
        <v>3495.76</v>
      </c>
      <c r="D1273" s="400"/>
      <c r="E1273" s="400"/>
      <c r="F1273" s="400"/>
      <c r="G1273" s="400"/>
      <c r="H1273" s="396"/>
    </row>
    <row r="1274" spans="1:8" s="401" customFormat="1" ht="14.25" customHeight="1" x14ac:dyDescent="0.25">
      <c r="A1274" s="564">
        <v>1847</v>
      </c>
      <c r="B1274" s="562" t="s">
        <v>814</v>
      </c>
      <c r="C1274" s="403">
        <v>716</v>
      </c>
      <c r="D1274" s="400"/>
      <c r="E1274" s="400"/>
      <c r="F1274" s="400"/>
      <c r="G1274" s="400"/>
      <c r="H1274" s="396"/>
    </row>
    <row r="1275" spans="1:8" s="401" customFormat="1" ht="14.25" customHeight="1" x14ac:dyDescent="0.25">
      <c r="A1275" s="564">
        <v>1848</v>
      </c>
      <c r="B1275" s="562" t="s">
        <v>787</v>
      </c>
      <c r="C1275" s="403">
        <v>1914</v>
      </c>
      <c r="D1275" s="400"/>
      <c r="E1275" s="400"/>
      <c r="F1275" s="400"/>
      <c r="G1275" s="400"/>
      <c r="H1275" s="396"/>
    </row>
    <row r="1276" spans="1:8" s="401" customFormat="1" ht="14.25" customHeight="1" x14ac:dyDescent="0.25">
      <c r="A1276" s="564">
        <v>1849</v>
      </c>
      <c r="B1276" s="562" t="s">
        <v>794</v>
      </c>
      <c r="C1276" s="403">
        <v>952.46</v>
      </c>
      <c r="D1276" s="400"/>
      <c r="E1276" s="400"/>
      <c r="F1276" s="400"/>
      <c r="G1276" s="400"/>
      <c r="H1276" s="396"/>
    </row>
    <row r="1277" spans="1:8" s="401" customFormat="1" ht="14.25" customHeight="1" x14ac:dyDescent="0.25">
      <c r="A1277" s="564">
        <v>1850</v>
      </c>
      <c r="B1277" s="562" t="s">
        <v>791</v>
      </c>
      <c r="C1277" s="403">
        <v>3105</v>
      </c>
      <c r="D1277" s="400"/>
      <c r="E1277" s="400"/>
      <c r="F1277" s="400"/>
      <c r="G1277" s="400"/>
      <c r="H1277" s="396"/>
    </row>
    <row r="1278" spans="1:8" s="401" customFormat="1" ht="14.25" customHeight="1" x14ac:dyDescent="0.25">
      <c r="A1278" s="564">
        <v>1851</v>
      </c>
      <c r="B1278" s="562" t="s">
        <v>791</v>
      </c>
      <c r="C1278" s="403">
        <v>2645</v>
      </c>
      <c r="D1278" s="400"/>
      <c r="E1278" s="400"/>
      <c r="F1278" s="400"/>
      <c r="G1278" s="400"/>
      <c r="H1278" s="396"/>
    </row>
    <row r="1279" spans="1:8" s="401" customFormat="1" ht="14.25" customHeight="1" x14ac:dyDescent="0.25">
      <c r="A1279" s="564">
        <v>1852</v>
      </c>
      <c r="B1279" s="562" t="s">
        <v>790</v>
      </c>
      <c r="C1279" s="403">
        <v>1</v>
      </c>
      <c r="D1279" s="400"/>
      <c r="E1279" s="400"/>
      <c r="F1279" s="400"/>
      <c r="G1279" s="400"/>
      <c r="H1279" s="396"/>
    </row>
    <row r="1280" spans="1:8" s="401" customFormat="1" ht="14.25" customHeight="1" x14ac:dyDescent="0.25">
      <c r="A1280" s="564">
        <v>1853</v>
      </c>
      <c r="B1280" s="562" t="s">
        <v>787</v>
      </c>
      <c r="C1280" s="403">
        <v>8050</v>
      </c>
      <c r="D1280" s="400"/>
      <c r="E1280" s="400"/>
      <c r="F1280" s="400"/>
      <c r="G1280" s="400"/>
      <c r="H1280" s="396"/>
    </row>
    <row r="1281" spans="1:8" s="401" customFormat="1" ht="14.25" customHeight="1" x14ac:dyDescent="0.25">
      <c r="A1281" s="564">
        <v>1854</v>
      </c>
      <c r="B1281" s="562" t="s">
        <v>787</v>
      </c>
      <c r="C1281" s="403">
        <v>5002</v>
      </c>
      <c r="D1281" s="400"/>
      <c r="E1281" s="400"/>
      <c r="F1281" s="400"/>
      <c r="G1281" s="400"/>
      <c r="H1281" s="396"/>
    </row>
    <row r="1282" spans="1:8" s="401" customFormat="1" ht="14.25" customHeight="1" x14ac:dyDescent="0.25">
      <c r="A1282" s="564">
        <v>1855</v>
      </c>
      <c r="B1282" s="562" t="s">
        <v>839</v>
      </c>
      <c r="C1282" s="403">
        <v>2351</v>
      </c>
      <c r="D1282" s="400"/>
      <c r="E1282" s="400"/>
      <c r="F1282" s="400"/>
      <c r="G1282" s="400"/>
      <c r="H1282" s="396"/>
    </row>
    <row r="1283" spans="1:8" s="401" customFormat="1" ht="14.25" customHeight="1" x14ac:dyDescent="0.25">
      <c r="A1283" s="564">
        <v>1856</v>
      </c>
      <c r="B1283" s="562" t="s">
        <v>785</v>
      </c>
      <c r="C1283" s="403">
        <v>299</v>
      </c>
      <c r="D1283" s="400"/>
      <c r="E1283" s="400"/>
      <c r="F1283" s="400"/>
      <c r="G1283" s="400"/>
      <c r="H1283" s="396"/>
    </row>
    <row r="1284" spans="1:8" s="401" customFormat="1" ht="14.25" customHeight="1" x14ac:dyDescent="0.25">
      <c r="A1284" s="564">
        <v>1857</v>
      </c>
      <c r="B1284" s="562" t="s">
        <v>785</v>
      </c>
      <c r="C1284" s="403">
        <v>361</v>
      </c>
      <c r="D1284" s="400"/>
      <c r="E1284" s="400"/>
      <c r="F1284" s="400"/>
      <c r="G1284" s="400"/>
      <c r="H1284" s="396"/>
    </row>
    <row r="1285" spans="1:8" s="401" customFormat="1" ht="14.25" customHeight="1" x14ac:dyDescent="0.25">
      <c r="A1285" s="564">
        <v>1858</v>
      </c>
      <c r="B1285" s="562" t="s">
        <v>785</v>
      </c>
      <c r="C1285" s="403">
        <v>361</v>
      </c>
      <c r="D1285" s="400"/>
      <c r="E1285" s="400"/>
      <c r="F1285" s="400"/>
      <c r="G1285" s="400"/>
      <c r="H1285" s="396"/>
    </row>
    <row r="1286" spans="1:8" s="401" customFormat="1" ht="14.25" customHeight="1" x14ac:dyDescent="0.25">
      <c r="A1286" s="564">
        <v>1859</v>
      </c>
      <c r="B1286" s="562" t="s">
        <v>785</v>
      </c>
      <c r="C1286" s="403">
        <v>988</v>
      </c>
      <c r="D1286" s="400"/>
      <c r="E1286" s="400"/>
      <c r="F1286" s="400"/>
      <c r="G1286" s="400"/>
      <c r="H1286" s="396"/>
    </row>
    <row r="1287" spans="1:8" s="401" customFormat="1" ht="14.25" customHeight="1" x14ac:dyDescent="0.25">
      <c r="A1287" s="564">
        <v>1861</v>
      </c>
      <c r="B1287" s="562" t="s">
        <v>785</v>
      </c>
      <c r="C1287" s="403">
        <v>361</v>
      </c>
      <c r="D1287" s="400"/>
      <c r="E1287" s="400"/>
      <c r="F1287" s="400"/>
      <c r="G1287" s="400"/>
      <c r="H1287" s="396"/>
    </row>
    <row r="1288" spans="1:8" s="401" customFormat="1" ht="14.25" customHeight="1" x14ac:dyDescent="0.25">
      <c r="A1288" s="564">
        <v>1863</v>
      </c>
      <c r="B1288" s="562" t="s">
        <v>785</v>
      </c>
      <c r="C1288" s="403">
        <v>361</v>
      </c>
      <c r="D1288" s="400"/>
      <c r="E1288" s="400"/>
      <c r="F1288" s="400"/>
      <c r="G1288" s="400"/>
      <c r="H1288" s="396"/>
    </row>
    <row r="1289" spans="1:8" s="401" customFormat="1" ht="14.25" customHeight="1" x14ac:dyDescent="0.25">
      <c r="A1289" s="564">
        <v>1865</v>
      </c>
      <c r="B1289" s="562" t="s">
        <v>814</v>
      </c>
      <c r="C1289" s="403">
        <v>388.64</v>
      </c>
      <c r="D1289" s="400"/>
      <c r="E1289" s="400"/>
      <c r="F1289" s="400"/>
      <c r="G1289" s="400"/>
      <c r="H1289" s="396"/>
    </row>
    <row r="1290" spans="1:8" s="401" customFormat="1" ht="14.25" customHeight="1" x14ac:dyDescent="0.25">
      <c r="A1290" s="564">
        <v>1867</v>
      </c>
      <c r="B1290" s="562" t="s">
        <v>814</v>
      </c>
      <c r="C1290" s="403">
        <v>388.64</v>
      </c>
      <c r="D1290" s="400"/>
      <c r="E1290" s="400"/>
      <c r="F1290" s="400"/>
      <c r="G1290" s="400"/>
      <c r="H1290" s="396"/>
    </row>
    <row r="1291" spans="1:8" s="401" customFormat="1" ht="14.25" customHeight="1" x14ac:dyDescent="0.25">
      <c r="A1291" s="564">
        <v>1871</v>
      </c>
      <c r="B1291" s="562" t="s">
        <v>785</v>
      </c>
      <c r="C1291" s="403">
        <v>782</v>
      </c>
      <c r="D1291" s="400"/>
      <c r="E1291" s="400"/>
      <c r="F1291" s="400"/>
      <c r="G1291" s="400"/>
      <c r="H1291" s="396"/>
    </row>
    <row r="1292" spans="1:8" s="401" customFormat="1" ht="14.25" customHeight="1" x14ac:dyDescent="0.25">
      <c r="A1292" s="564">
        <v>1873</v>
      </c>
      <c r="B1292" s="562" t="s">
        <v>840</v>
      </c>
      <c r="C1292" s="403">
        <v>2450</v>
      </c>
      <c r="D1292" s="400"/>
      <c r="E1292" s="400"/>
      <c r="F1292" s="400"/>
      <c r="G1292" s="400"/>
      <c r="H1292" s="396"/>
    </row>
    <row r="1293" spans="1:8" s="401" customFormat="1" ht="14.25" customHeight="1" x14ac:dyDescent="0.25">
      <c r="A1293" s="564">
        <v>1983</v>
      </c>
      <c r="B1293" s="562" t="s">
        <v>790</v>
      </c>
      <c r="C1293" s="403">
        <v>1035</v>
      </c>
      <c r="D1293" s="400"/>
      <c r="E1293" s="400"/>
      <c r="F1293" s="400"/>
      <c r="G1293" s="400"/>
      <c r="H1293" s="396"/>
    </row>
    <row r="1294" spans="1:8" s="401" customFormat="1" ht="14.25" customHeight="1" x14ac:dyDescent="0.25">
      <c r="A1294" s="564">
        <v>3111</v>
      </c>
      <c r="B1294" s="562" t="s">
        <v>791</v>
      </c>
      <c r="C1294" s="403">
        <v>4370</v>
      </c>
      <c r="D1294" s="400"/>
      <c r="E1294" s="400"/>
      <c r="F1294" s="400"/>
      <c r="G1294" s="400"/>
      <c r="H1294" s="396"/>
    </row>
    <row r="1295" spans="1:8" s="401" customFormat="1" ht="14.25" customHeight="1" x14ac:dyDescent="0.25">
      <c r="A1295" s="564">
        <v>3051</v>
      </c>
      <c r="B1295" s="562" t="s">
        <v>798</v>
      </c>
      <c r="C1295" s="403">
        <v>3394</v>
      </c>
      <c r="D1295" s="400"/>
      <c r="E1295" s="400"/>
      <c r="F1295" s="400"/>
      <c r="G1295" s="400"/>
      <c r="H1295" s="396"/>
    </row>
    <row r="1296" spans="1:8" s="401" customFormat="1" ht="14.25" customHeight="1" x14ac:dyDescent="0.25">
      <c r="A1296" s="564">
        <v>3064</v>
      </c>
      <c r="B1296" s="562" t="s">
        <v>841</v>
      </c>
      <c r="C1296" s="403">
        <v>1148.98</v>
      </c>
      <c r="D1296" s="400"/>
      <c r="E1296" s="400"/>
      <c r="F1296" s="400"/>
      <c r="G1296" s="400"/>
      <c r="H1296" s="396"/>
    </row>
    <row r="1297" spans="1:8" s="401" customFormat="1" ht="14.25" customHeight="1" x14ac:dyDescent="0.25">
      <c r="A1297" s="564">
        <v>3067</v>
      </c>
      <c r="B1297" s="562" t="s">
        <v>814</v>
      </c>
      <c r="C1297" s="403">
        <v>957.22</v>
      </c>
      <c r="D1297" s="400"/>
      <c r="E1297" s="400"/>
      <c r="F1297" s="400"/>
      <c r="G1297" s="400"/>
      <c r="H1297" s="396"/>
    </row>
    <row r="1298" spans="1:8" s="401" customFormat="1" ht="14.25" customHeight="1" x14ac:dyDescent="0.25">
      <c r="A1298" s="564">
        <v>3071</v>
      </c>
      <c r="B1298" s="562" t="s">
        <v>791</v>
      </c>
      <c r="C1298" s="403">
        <v>6325</v>
      </c>
      <c r="D1298" s="400"/>
      <c r="E1298" s="400"/>
      <c r="F1298" s="400"/>
      <c r="G1298" s="400"/>
      <c r="H1298" s="396"/>
    </row>
    <row r="1299" spans="1:8" s="401" customFormat="1" ht="14.25" customHeight="1" x14ac:dyDescent="0.25">
      <c r="A1299" s="564">
        <v>3075</v>
      </c>
      <c r="B1299" s="562" t="s">
        <v>785</v>
      </c>
      <c r="C1299" s="403">
        <v>899</v>
      </c>
      <c r="D1299" s="400"/>
      <c r="E1299" s="400"/>
      <c r="F1299" s="400"/>
      <c r="G1299" s="400"/>
      <c r="H1299" s="396"/>
    </row>
    <row r="1300" spans="1:8" s="401" customFormat="1" ht="14.25" customHeight="1" x14ac:dyDescent="0.25">
      <c r="A1300" s="564">
        <v>3078</v>
      </c>
      <c r="B1300" s="562" t="s">
        <v>795</v>
      </c>
      <c r="C1300" s="403">
        <v>5284</v>
      </c>
      <c r="D1300" s="400"/>
      <c r="E1300" s="400"/>
      <c r="F1300" s="400"/>
      <c r="G1300" s="400"/>
      <c r="H1300" s="396"/>
    </row>
    <row r="1301" spans="1:8" s="401" customFormat="1" ht="14.25" customHeight="1" x14ac:dyDescent="0.25">
      <c r="A1301" s="564">
        <v>3085</v>
      </c>
      <c r="B1301" s="562" t="s">
        <v>785</v>
      </c>
      <c r="C1301" s="403">
        <v>1</v>
      </c>
      <c r="D1301" s="400"/>
      <c r="E1301" s="400"/>
      <c r="F1301" s="400"/>
      <c r="G1301" s="400"/>
      <c r="H1301" s="396"/>
    </row>
    <row r="1302" spans="1:8" s="401" customFormat="1" ht="14.25" customHeight="1" x14ac:dyDescent="0.25">
      <c r="A1302" s="564">
        <v>3088</v>
      </c>
      <c r="B1302" s="562" t="s">
        <v>785</v>
      </c>
      <c r="C1302" s="403">
        <v>763.29</v>
      </c>
      <c r="D1302" s="400"/>
      <c r="E1302" s="400"/>
      <c r="F1302" s="400"/>
      <c r="G1302" s="400"/>
      <c r="H1302" s="396"/>
    </row>
    <row r="1303" spans="1:8" s="401" customFormat="1" ht="14.25" customHeight="1" x14ac:dyDescent="0.25">
      <c r="A1303" s="564">
        <v>3094</v>
      </c>
      <c r="B1303" s="562" t="s">
        <v>798</v>
      </c>
      <c r="C1303" s="403">
        <v>1292</v>
      </c>
      <c r="D1303" s="400"/>
      <c r="E1303" s="400"/>
      <c r="F1303" s="400"/>
      <c r="G1303" s="400"/>
      <c r="H1303" s="396"/>
    </row>
    <row r="1304" spans="1:8" s="401" customFormat="1" ht="14.25" customHeight="1" x14ac:dyDescent="0.25">
      <c r="A1304" s="564">
        <v>3100</v>
      </c>
      <c r="B1304" s="562" t="s">
        <v>788</v>
      </c>
      <c r="C1304" s="403">
        <v>7164</v>
      </c>
      <c r="D1304" s="400"/>
      <c r="E1304" s="400"/>
      <c r="F1304" s="400"/>
      <c r="G1304" s="400"/>
      <c r="H1304" s="396"/>
    </row>
    <row r="1305" spans="1:8" s="401" customFormat="1" ht="14.25" customHeight="1" x14ac:dyDescent="0.25">
      <c r="A1305" s="564">
        <v>3107</v>
      </c>
      <c r="B1305" s="562" t="s">
        <v>791</v>
      </c>
      <c r="C1305" s="403">
        <v>4370</v>
      </c>
      <c r="D1305" s="400"/>
      <c r="E1305" s="400"/>
      <c r="F1305" s="400"/>
      <c r="G1305" s="400"/>
      <c r="H1305" s="396"/>
    </row>
    <row r="1306" spans="1:8" s="401" customFormat="1" ht="14.25" customHeight="1" x14ac:dyDescent="0.25">
      <c r="A1306" s="564">
        <v>3114</v>
      </c>
      <c r="B1306" s="562" t="s">
        <v>791</v>
      </c>
      <c r="C1306" s="403">
        <v>4370</v>
      </c>
      <c r="D1306" s="400"/>
      <c r="E1306" s="400"/>
      <c r="F1306" s="400"/>
      <c r="G1306" s="400"/>
      <c r="H1306" s="396"/>
    </row>
    <row r="1307" spans="1:8" s="401" customFormat="1" ht="14.25" customHeight="1" x14ac:dyDescent="0.25">
      <c r="A1307" s="564">
        <v>3117</v>
      </c>
      <c r="B1307" s="562" t="s">
        <v>791</v>
      </c>
      <c r="C1307" s="403">
        <v>3636</v>
      </c>
      <c r="D1307" s="400"/>
      <c r="E1307" s="400"/>
      <c r="F1307" s="400"/>
      <c r="G1307" s="400"/>
      <c r="H1307" s="396"/>
    </row>
    <row r="1308" spans="1:8" s="401" customFormat="1" ht="14.25" customHeight="1" x14ac:dyDescent="0.25">
      <c r="A1308" s="564">
        <v>3118</v>
      </c>
      <c r="B1308" s="562" t="s">
        <v>787</v>
      </c>
      <c r="C1308" s="403">
        <v>2218</v>
      </c>
      <c r="D1308" s="400"/>
      <c r="E1308" s="400"/>
      <c r="F1308" s="400"/>
      <c r="G1308" s="400"/>
      <c r="H1308" s="396"/>
    </row>
    <row r="1309" spans="1:8" s="401" customFormat="1" ht="14.25" customHeight="1" x14ac:dyDescent="0.25">
      <c r="A1309" s="564">
        <v>3120</v>
      </c>
      <c r="B1309" s="562" t="s">
        <v>787</v>
      </c>
      <c r="C1309" s="403">
        <v>7648</v>
      </c>
      <c r="D1309" s="400"/>
      <c r="E1309" s="400"/>
      <c r="F1309" s="400"/>
      <c r="G1309" s="400"/>
      <c r="H1309" s="396"/>
    </row>
    <row r="1310" spans="1:8" s="401" customFormat="1" ht="14.25" customHeight="1" x14ac:dyDescent="0.25">
      <c r="A1310" s="564">
        <v>3122</v>
      </c>
      <c r="B1310" s="562" t="s">
        <v>787</v>
      </c>
      <c r="C1310" s="403">
        <v>4048</v>
      </c>
      <c r="D1310" s="400"/>
      <c r="E1310" s="400"/>
      <c r="F1310" s="400"/>
      <c r="G1310" s="400"/>
      <c r="H1310" s="396"/>
    </row>
    <row r="1311" spans="1:8" s="401" customFormat="1" ht="14.25" customHeight="1" x14ac:dyDescent="0.25">
      <c r="A1311" s="564">
        <v>3124</v>
      </c>
      <c r="B1311" s="562" t="s">
        <v>787</v>
      </c>
      <c r="C1311" s="403">
        <v>4048</v>
      </c>
      <c r="D1311" s="400"/>
      <c r="E1311" s="400"/>
      <c r="F1311" s="400"/>
      <c r="G1311" s="400"/>
      <c r="H1311" s="396"/>
    </row>
    <row r="1312" spans="1:8" s="401" customFormat="1" ht="14.25" customHeight="1" x14ac:dyDescent="0.25">
      <c r="A1312" s="564">
        <v>3126</v>
      </c>
      <c r="B1312" s="562" t="s">
        <v>787</v>
      </c>
      <c r="C1312" s="403">
        <v>5440</v>
      </c>
      <c r="D1312" s="400"/>
      <c r="E1312" s="400"/>
      <c r="F1312" s="400"/>
      <c r="G1312" s="400"/>
      <c r="H1312" s="396"/>
    </row>
    <row r="1313" spans="1:8" s="401" customFormat="1" ht="14.25" customHeight="1" x14ac:dyDescent="0.25">
      <c r="A1313" s="564">
        <v>3129</v>
      </c>
      <c r="B1313" s="562" t="s">
        <v>787</v>
      </c>
      <c r="C1313" s="403">
        <v>2407</v>
      </c>
      <c r="D1313" s="400"/>
      <c r="E1313" s="400"/>
      <c r="F1313" s="400"/>
      <c r="G1313" s="400"/>
      <c r="H1313" s="396"/>
    </row>
    <row r="1314" spans="1:8" s="401" customFormat="1" ht="14.25" customHeight="1" x14ac:dyDescent="0.25">
      <c r="A1314" s="564">
        <v>3132</v>
      </c>
      <c r="B1314" s="562" t="s">
        <v>804</v>
      </c>
      <c r="C1314" s="403">
        <v>1794</v>
      </c>
      <c r="D1314" s="400"/>
      <c r="E1314" s="400"/>
      <c r="F1314" s="400"/>
      <c r="G1314" s="400"/>
      <c r="H1314" s="396"/>
    </row>
    <row r="1315" spans="1:8" s="401" customFormat="1" ht="14.25" customHeight="1" x14ac:dyDescent="0.25">
      <c r="A1315" s="564">
        <v>3134</v>
      </c>
      <c r="B1315" s="562" t="s">
        <v>788</v>
      </c>
      <c r="C1315" s="403">
        <v>2012</v>
      </c>
      <c r="D1315" s="400"/>
      <c r="E1315" s="400"/>
      <c r="F1315" s="400"/>
      <c r="G1315" s="400"/>
      <c r="H1315" s="396"/>
    </row>
    <row r="1316" spans="1:8" s="401" customFormat="1" ht="14.25" customHeight="1" x14ac:dyDescent="0.25">
      <c r="A1316" s="564">
        <v>3137</v>
      </c>
      <c r="B1316" s="562" t="s">
        <v>788</v>
      </c>
      <c r="C1316" s="403">
        <v>2012</v>
      </c>
      <c r="D1316" s="400"/>
      <c r="E1316" s="400"/>
      <c r="F1316" s="400"/>
      <c r="G1316" s="400"/>
      <c r="H1316" s="396"/>
    </row>
    <row r="1317" spans="1:8" s="401" customFormat="1" ht="14.25" customHeight="1" x14ac:dyDescent="0.25">
      <c r="A1317" s="564">
        <v>3139</v>
      </c>
      <c r="B1317" s="562" t="s">
        <v>788</v>
      </c>
      <c r="C1317" s="403">
        <v>2875</v>
      </c>
      <c r="D1317" s="400"/>
      <c r="E1317" s="400"/>
      <c r="F1317" s="400"/>
      <c r="G1317" s="400"/>
      <c r="H1317" s="396"/>
    </row>
    <row r="1318" spans="1:8" s="401" customFormat="1" ht="14.25" customHeight="1" x14ac:dyDescent="0.25">
      <c r="A1318" s="564">
        <v>3141</v>
      </c>
      <c r="B1318" s="562" t="s">
        <v>788</v>
      </c>
      <c r="C1318" s="403">
        <v>2012</v>
      </c>
      <c r="D1318" s="400"/>
      <c r="E1318" s="400"/>
      <c r="F1318" s="400"/>
      <c r="G1318" s="400"/>
      <c r="H1318" s="396"/>
    </row>
    <row r="1319" spans="1:8" s="401" customFormat="1" ht="14.25" customHeight="1" x14ac:dyDescent="0.25">
      <c r="A1319" s="564">
        <v>3142</v>
      </c>
      <c r="B1319" s="562" t="s">
        <v>790</v>
      </c>
      <c r="C1319" s="403">
        <v>5394</v>
      </c>
      <c r="D1319" s="400"/>
      <c r="E1319" s="400"/>
      <c r="F1319" s="400"/>
      <c r="G1319" s="400"/>
      <c r="H1319" s="396"/>
    </row>
    <row r="1320" spans="1:8" s="401" customFormat="1" ht="14.25" customHeight="1" x14ac:dyDescent="0.25">
      <c r="A1320" s="564">
        <v>3144</v>
      </c>
      <c r="B1320" s="562" t="s">
        <v>785</v>
      </c>
      <c r="C1320" s="403">
        <v>1</v>
      </c>
      <c r="D1320" s="400"/>
      <c r="E1320" s="400"/>
      <c r="F1320" s="400"/>
      <c r="G1320" s="400"/>
      <c r="H1320" s="396"/>
    </row>
    <row r="1321" spans="1:8" s="401" customFormat="1" ht="14.25" customHeight="1" x14ac:dyDescent="0.25">
      <c r="A1321" s="564">
        <v>3150</v>
      </c>
      <c r="B1321" s="562" t="s">
        <v>785</v>
      </c>
      <c r="C1321" s="403">
        <v>1</v>
      </c>
      <c r="D1321" s="400"/>
      <c r="E1321" s="400"/>
      <c r="F1321" s="400"/>
      <c r="G1321" s="400"/>
      <c r="H1321" s="396"/>
    </row>
    <row r="1322" spans="1:8" s="401" customFormat="1" ht="14.25" customHeight="1" x14ac:dyDescent="0.25">
      <c r="A1322" s="564">
        <v>3151</v>
      </c>
      <c r="B1322" s="562" t="s">
        <v>785</v>
      </c>
      <c r="C1322" s="403">
        <v>1</v>
      </c>
      <c r="D1322" s="400"/>
      <c r="E1322" s="400"/>
      <c r="F1322" s="400"/>
      <c r="G1322" s="400"/>
      <c r="H1322" s="396"/>
    </row>
    <row r="1323" spans="1:8" s="401" customFormat="1" ht="14.25" customHeight="1" x14ac:dyDescent="0.25">
      <c r="A1323" s="564">
        <v>3154</v>
      </c>
      <c r="B1323" s="562" t="s">
        <v>785</v>
      </c>
      <c r="C1323" s="403">
        <v>782</v>
      </c>
      <c r="D1323" s="400"/>
      <c r="E1323" s="400"/>
      <c r="F1323" s="400"/>
      <c r="G1323" s="400"/>
      <c r="H1323" s="396"/>
    </row>
    <row r="1324" spans="1:8" s="401" customFormat="1" ht="14.25" customHeight="1" x14ac:dyDescent="0.25">
      <c r="A1324" s="564">
        <v>3156</v>
      </c>
      <c r="B1324" s="562" t="s">
        <v>785</v>
      </c>
      <c r="C1324" s="403">
        <v>782</v>
      </c>
      <c r="D1324" s="400"/>
      <c r="E1324" s="400"/>
      <c r="F1324" s="400"/>
      <c r="G1324" s="400"/>
      <c r="H1324" s="396"/>
    </row>
    <row r="1325" spans="1:8" s="401" customFormat="1" ht="14.25" customHeight="1" x14ac:dyDescent="0.25">
      <c r="A1325" s="564">
        <v>3157</v>
      </c>
      <c r="B1325" s="562" t="s">
        <v>785</v>
      </c>
      <c r="C1325" s="403">
        <v>1</v>
      </c>
      <c r="D1325" s="400"/>
      <c r="E1325" s="400"/>
      <c r="F1325" s="400"/>
      <c r="G1325" s="400"/>
      <c r="H1325" s="396"/>
    </row>
    <row r="1326" spans="1:8" s="401" customFormat="1" ht="14.25" customHeight="1" x14ac:dyDescent="0.25">
      <c r="A1326" s="564">
        <v>3158</v>
      </c>
      <c r="B1326" s="562" t="s">
        <v>786</v>
      </c>
      <c r="C1326" s="403">
        <v>1852</v>
      </c>
      <c r="D1326" s="400"/>
      <c r="E1326" s="400"/>
      <c r="F1326" s="400"/>
      <c r="G1326" s="400"/>
      <c r="H1326" s="396"/>
    </row>
    <row r="1327" spans="1:8" s="401" customFormat="1" ht="14.25" customHeight="1" x14ac:dyDescent="0.25">
      <c r="A1327" s="564">
        <v>3193</v>
      </c>
      <c r="B1327" s="562" t="s">
        <v>800</v>
      </c>
      <c r="C1327" s="403">
        <v>3922</v>
      </c>
      <c r="D1327" s="400"/>
      <c r="E1327" s="400"/>
      <c r="F1327" s="400"/>
      <c r="G1327" s="400"/>
      <c r="H1327" s="396"/>
    </row>
    <row r="1328" spans="1:8" s="401" customFormat="1" ht="14.25" customHeight="1" x14ac:dyDescent="0.25">
      <c r="A1328" s="564">
        <v>3197</v>
      </c>
      <c r="B1328" s="562" t="s">
        <v>792</v>
      </c>
      <c r="C1328" s="403">
        <v>1</v>
      </c>
      <c r="D1328" s="400"/>
      <c r="E1328" s="400"/>
      <c r="F1328" s="400"/>
      <c r="G1328" s="400"/>
      <c r="H1328" s="396"/>
    </row>
    <row r="1329" spans="1:8" s="401" customFormat="1" ht="14.25" customHeight="1" x14ac:dyDescent="0.25">
      <c r="A1329" s="564">
        <v>3200</v>
      </c>
      <c r="B1329" s="562" t="s">
        <v>792</v>
      </c>
      <c r="C1329" s="403">
        <v>1</v>
      </c>
      <c r="D1329" s="400"/>
      <c r="E1329" s="400"/>
      <c r="F1329" s="400"/>
      <c r="G1329" s="400"/>
      <c r="H1329" s="396"/>
    </row>
    <row r="1330" spans="1:8" s="401" customFormat="1" ht="14.25" customHeight="1" x14ac:dyDescent="0.25">
      <c r="A1330" s="564">
        <v>3203</v>
      </c>
      <c r="B1330" s="562" t="s">
        <v>794</v>
      </c>
      <c r="C1330" s="403">
        <v>742.21</v>
      </c>
      <c r="D1330" s="400"/>
      <c r="E1330" s="400"/>
      <c r="F1330" s="400"/>
      <c r="G1330" s="400"/>
      <c r="H1330" s="396"/>
    </row>
    <row r="1331" spans="1:8" s="401" customFormat="1" ht="14.25" customHeight="1" x14ac:dyDescent="0.25">
      <c r="A1331" s="564">
        <v>3205</v>
      </c>
      <c r="B1331" s="562" t="s">
        <v>795</v>
      </c>
      <c r="C1331" s="403">
        <v>1761</v>
      </c>
      <c r="D1331" s="400"/>
      <c r="E1331" s="400"/>
      <c r="F1331" s="400"/>
      <c r="G1331" s="400"/>
      <c r="H1331" s="396"/>
    </row>
    <row r="1332" spans="1:8" s="401" customFormat="1" ht="14.25" customHeight="1" x14ac:dyDescent="0.25">
      <c r="A1332" s="564">
        <v>3209</v>
      </c>
      <c r="B1332" s="562" t="s">
        <v>815</v>
      </c>
      <c r="C1332" s="403">
        <v>1</v>
      </c>
      <c r="D1332" s="400"/>
      <c r="E1332" s="400"/>
      <c r="F1332" s="400"/>
      <c r="G1332" s="400"/>
      <c r="H1332" s="396"/>
    </row>
    <row r="1333" spans="1:8" s="401" customFormat="1" ht="14.25" customHeight="1" x14ac:dyDescent="0.25">
      <c r="A1333" s="564">
        <v>3212</v>
      </c>
      <c r="B1333" s="562" t="s">
        <v>815</v>
      </c>
      <c r="C1333" s="403">
        <v>1</v>
      </c>
      <c r="D1333" s="400"/>
      <c r="E1333" s="400"/>
      <c r="F1333" s="400"/>
      <c r="G1333" s="400"/>
      <c r="H1333" s="396"/>
    </row>
    <row r="1334" spans="1:8" s="401" customFormat="1" ht="14.25" customHeight="1" x14ac:dyDescent="0.25">
      <c r="A1334" s="564">
        <v>3216</v>
      </c>
      <c r="B1334" s="562" t="s">
        <v>813</v>
      </c>
      <c r="C1334" s="403">
        <v>522.05999999999995</v>
      </c>
      <c r="D1334" s="400"/>
      <c r="E1334" s="400"/>
      <c r="F1334" s="400"/>
      <c r="G1334" s="400"/>
      <c r="H1334" s="396"/>
    </row>
    <row r="1335" spans="1:8" s="401" customFormat="1" ht="14.25" customHeight="1" x14ac:dyDescent="0.25">
      <c r="A1335" s="564">
        <v>3218</v>
      </c>
      <c r="B1335" s="562" t="s">
        <v>785</v>
      </c>
      <c r="C1335" s="403">
        <v>1</v>
      </c>
      <c r="D1335" s="400"/>
      <c r="E1335" s="400"/>
      <c r="F1335" s="400"/>
      <c r="G1335" s="400"/>
      <c r="H1335" s="396"/>
    </row>
    <row r="1336" spans="1:8" s="401" customFormat="1" ht="14.25" customHeight="1" x14ac:dyDescent="0.25">
      <c r="A1336" s="564">
        <v>3239</v>
      </c>
      <c r="B1336" s="562" t="s">
        <v>826</v>
      </c>
      <c r="C1336" s="403">
        <v>1955</v>
      </c>
      <c r="D1336" s="400"/>
      <c r="E1336" s="400"/>
      <c r="F1336" s="400"/>
      <c r="G1336" s="400"/>
      <c r="H1336" s="396"/>
    </row>
    <row r="1337" spans="1:8" s="401" customFormat="1" ht="14.25" customHeight="1" x14ac:dyDescent="0.25">
      <c r="A1337" s="564">
        <v>3289</v>
      </c>
      <c r="B1337" s="562" t="s">
        <v>818</v>
      </c>
      <c r="C1337" s="403">
        <v>127</v>
      </c>
      <c r="D1337" s="400"/>
      <c r="E1337" s="400"/>
      <c r="F1337" s="400"/>
      <c r="G1337" s="400"/>
      <c r="H1337" s="396"/>
    </row>
    <row r="1338" spans="1:8" s="401" customFormat="1" ht="14.25" customHeight="1" x14ac:dyDescent="0.25">
      <c r="A1338" s="564">
        <v>3298</v>
      </c>
      <c r="B1338" s="562" t="s">
        <v>828</v>
      </c>
      <c r="C1338" s="403">
        <v>3278</v>
      </c>
      <c r="D1338" s="400"/>
      <c r="E1338" s="400"/>
      <c r="F1338" s="400"/>
      <c r="G1338" s="400"/>
      <c r="H1338" s="396"/>
    </row>
    <row r="1339" spans="1:8" s="401" customFormat="1" ht="14.25" customHeight="1" x14ac:dyDescent="0.25">
      <c r="A1339" s="564">
        <v>3301</v>
      </c>
      <c r="B1339" s="562" t="s">
        <v>791</v>
      </c>
      <c r="C1339" s="403">
        <v>495</v>
      </c>
      <c r="D1339" s="400"/>
      <c r="E1339" s="400"/>
      <c r="F1339" s="400"/>
      <c r="G1339" s="400"/>
      <c r="H1339" s="396"/>
    </row>
    <row r="1340" spans="1:8" s="401" customFormat="1" ht="14.25" customHeight="1" x14ac:dyDescent="0.25">
      <c r="A1340" s="564">
        <v>3304</v>
      </c>
      <c r="B1340" s="562" t="s">
        <v>832</v>
      </c>
      <c r="C1340" s="403">
        <v>1</v>
      </c>
      <c r="D1340" s="400"/>
      <c r="E1340" s="400"/>
      <c r="F1340" s="400"/>
      <c r="G1340" s="400"/>
      <c r="H1340" s="396"/>
    </row>
    <row r="1341" spans="1:8" s="401" customFormat="1" ht="14.25" customHeight="1" x14ac:dyDescent="0.25">
      <c r="A1341" s="564">
        <v>3308</v>
      </c>
      <c r="B1341" s="562" t="s">
        <v>787</v>
      </c>
      <c r="C1341" s="403">
        <v>1</v>
      </c>
      <c r="D1341" s="400"/>
      <c r="E1341" s="400"/>
      <c r="F1341" s="400"/>
      <c r="G1341" s="400"/>
      <c r="H1341" s="396"/>
    </row>
    <row r="1342" spans="1:8" s="401" customFormat="1" ht="14.25" customHeight="1" x14ac:dyDescent="0.25">
      <c r="A1342" s="564">
        <v>3310</v>
      </c>
      <c r="B1342" s="562" t="s">
        <v>787</v>
      </c>
      <c r="C1342" s="403">
        <v>2047</v>
      </c>
      <c r="D1342" s="400"/>
      <c r="E1342" s="400"/>
      <c r="F1342" s="400"/>
      <c r="G1342" s="400"/>
      <c r="H1342" s="396"/>
    </row>
    <row r="1343" spans="1:8" s="401" customFormat="1" ht="14.25" customHeight="1" x14ac:dyDescent="0.25">
      <c r="A1343" s="564">
        <v>3321</v>
      </c>
      <c r="B1343" s="562" t="s">
        <v>804</v>
      </c>
      <c r="C1343" s="403">
        <v>1</v>
      </c>
      <c r="D1343" s="400"/>
      <c r="E1343" s="400"/>
      <c r="F1343" s="400"/>
      <c r="G1343" s="400"/>
      <c r="H1343" s="396"/>
    </row>
    <row r="1344" spans="1:8" s="401" customFormat="1" ht="14.25" customHeight="1" x14ac:dyDescent="0.25">
      <c r="A1344" s="564">
        <v>3324</v>
      </c>
      <c r="B1344" s="562" t="s">
        <v>804</v>
      </c>
      <c r="C1344" s="403">
        <v>1</v>
      </c>
      <c r="D1344" s="400"/>
      <c r="E1344" s="400"/>
      <c r="F1344" s="400"/>
      <c r="G1344" s="400"/>
      <c r="H1344" s="396"/>
    </row>
    <row r="1345" spans="1:8" s="401" customFormat="1" ht="14.25" customHeight="1" x14ac:dyDescent="0.25">
      <c r="A1345" s="564">
        <v>3327</v>
      </c>
      <c r="B1345" s="562" t="s">
        <v>804</v>
      </c>
      <c r="C1345" s="403">
        <v>1</v>
      </c>
      <c r="D1345" s="400"/>
      <c r="E1345" s="400"/>
      <c r="F1345" s="400"/>
      <c r="G1345" s="400"/>
      <c r="H1345" s="396"/>
    </row>
    <row r="1346" spans="1:8" s="401" customFormat="1" ht="14.25" customHeight="1" x14ac:dyDescent="0.25">
      <c r="A1346" s="564">
        <v>3330</v>
      </c>
      <c r="B1346" s="562" t="s">
        <v>804</v>
      </c>
      <c r="C1346" s="403">
        <v>1</v>
      </c>
      <c r="D1346" s="400"/>
      <c r="E1346" s="400"/>
      <c r="F1346" s="400"/>
      <c r="G1346" s="400"/>
      <c r="H1346" s="396"/>
    </row>
    <row r="1347" spans="1:8" s="401" customFormat="1" ht="14.25" customHeight="1" x14ac:dyDescent="0.25">
      <c r="A1347" s="564">
        <v>3333</v>
      </c>
      <c r="B1347" s="562" t="s">
        <v>804</v>
      </c>
      <c r="C1347" s="403">
        <v>1794</v>
      </c>
      <c r="D1347" s="400"/>
      <c r="E1347" s="400"/>
      <c r="F1347" s="400"/>
      <c r="G1347" s="400"/>
      <c r="H1347" s="396"/>
    </row>
    <row r="1348" spans="1:8" s="401" customFormat="1" ht="14.25" customHeight="1" x14ac:dyDescent="0.25">
      <c r="A1348" s="564">
        <v>3336</v>
      </c>
      <c r="B1348" s="562" t="s">
        <v>790</v>
      </c>
      <c r="C1348" s="403">
        <v>690</v>
      </c>
      <c r="D1348" s="400"/>
      <c r="E1348" s="400"/>
      <c r="F1348" s="400"/>
      <c r="G1348" s="400"/>
      <c r="H1348" s="396"/>
    </row>
    <row r="1349" spans="1:8" s="401" customFormat="1" ht="14.25" customHeight="1" x14ac:dyDescent="0.25">
      <c r="A1349" s="564">
        <v>3338</v>
      </c>
      <c r="B1349" s="562" t="s">
        <v>785</v>
      </c>
      <c r="C1349" s="403">
        <v>575</v>
      </c>
      <c r="D1349" s="400"/>
      <c r="E1349" s="400"/>
      <c r="F1349" s="400"/>
      <c r="G1349" s="400"/>
      <c r="H1349" s="396"/>
    </row>
    <row r="1350" spans="1:8" s="401" customFormat="1" ht="14.25" customHeight="1" x14ac:dyDescent="0.25">
      <c r="A1350" s="564">
        <v>3340</v>
      </c>
      <c r="B1350" s="562" t="s">
        <v>785</v>
      </c>
      <c r="C1350" s="403">
        <v>728</v>
      </c>
      <c r="D1350" s="400"/>
      <c r="E1350" s="400"/>
      <c r="F1350" s="400"/>
      <c r="G1350" s="400"/>
      <c r="H1350" s="396"/>
    </row>
    <row r="1351" spans="1:8" s="401" customFormat="1" ht="14.25" customHeight="1" x14ac:dyDescent="0.25">
      <c r="A1351" s="564">
        <v>3342</v>
      </c>
      <c r="B1351" s="562" t="s">
        <v>785</v>
      </c>
      <c r="C1351" s="403">
        <v>1322</v>
      </c>
      <c r="D1351" s="400"/>
      <c r="E1351" s="400"/>
      <c r="F1351" s="400"/>
      <c r="G1351" s="400"/>
      <c r="H1351" s="396"/>
    </row>
    <row r="1352" spans="1:8" s="401" customFormat="1" ht="14.25" customHeight="1" x14ac:dyDescent="0.25">
      <c r="A1352" s="564">
        <v>3357</v>
      </c>
      <c r="B1352" s="562" t="s">
        <v>785</v>
      </c>
      <c r="C1352" s="403">
        <v>522</v>
      </c>
      <c r="D1352" s="400"/>
      <c r="E1352" s="400"/>
      <c r="F1352" s="400"/>
      <c r="G1352" s="400"/>
      <c r="H1352" s="396"/>
    </row>
    <row r="1353" spans="1:8" s="401" customFormat="1" ht="14.25" customHeight="1" x14ac:dyDescent="0.25">
      <c r="A1353" s="564">
        <v>3367</v>
      </c>
      <c r="B1353" s="562" t="s">
        <v>785</v>
      </c>
      <c r="C1353" s="403">
        <v>2610</v>
      </c>
      <c r="D1353" s="400"/>
      <c r="E1353" s="400"/>
      <c r="F1353" s="400"/>
      <c r="G1353" s="400"/>
      <c r="H1353" s="396"/>
    </row>
    <row r="1354" spans="1:8" s="401" customFormat="1" ht="14.25" customHeight="1" x14ac:dyDescent="0.25">
      <c r="A1354" s="564">
        <v>4832</v>
      </c>
      <c r="B1354" s="562" t="s">
        <v>794</v>
      </c>
      <c r="C1354" s="403">
        <v>953</v>
      </c>
      <c r="D1354" s="400"/>
      <c r="E1354" s="400"/>
      <c r="F1354" s="400"/>
      <c r="G1354" s="400"/>
      <c r="H1354" s="396"/>
    </row>
    <row r="1355" spans="1:8" s="401" customFormat="1" ht="14.25" customHeight="1" x14ac:dyDescent="0.25">
      <c r="A1355" s="564">
        <v>1875</v>
      </c>
      <c r="B1355" s="562" t="s">
        <v>798</v>
      </c>
      <c r="C1355" s="403">
        <v>3444</v>
      </c>
      <c r="D1355" s="400"/>
      <c r="E1355" s="400"/>
      <c r="F1355" s="400"/>
      <c r="G1355" s="400"/>
      <c r="H1355" s="396"/>
    </row>
    <row r="1356" spans="1:8" s="401" customFormat="1" ht="14.25" customHeight="1" x14ac:dyDescent="0.25">
      <c r="A1356" s="564">
        <v>1879</v>
      </c>
      <c r="B1356" s="562" t="s">
        <v>794</v>
      </c>
      <c r="C1356" s="403">
        <v>916.34</v>
      </c>
      <c r="D1356" s="400"/>
      <c r="E1356" s="400"/>
      <c r="F1356" s="400"/>
      <c r="G1356" s="400"/>
      <c r="H1356" s="396"/>
    </row>
    <row r="1357" spans="1:8" s="401" customFormat="1" ht="14.25" customHeight="1" x14ac:dyDescent="0.25">
      <c r="A1357" s="564">
        <v>1885</v>
      </c>
      <c r="B1357" s="562" t="s">
        <v>785</v>
      </c>
      <c r="C1357" s="403">
        <v>870</v>
      </c>
      <c r="D1357" s="400"/>
      <c r="E1357" s="400"/>
      <c r="F1357" s="400"/>
      <c r="G1357" s="400"/>
      <c r="H1357" s="396"/>
    </row>
    <row r="1358" spans="1:8" s="401" customFormat="1" ht="14.25" customHeight="1" x14ac:dyDescent="0.25">
      <c r="A1358" s="564">
        <v>1886</v>
      </c>
      <c r="B1358" s="562" t="s">
        <v>795</v>
      </c>
      <c r="C1358" s="403">
        <v>1</v>
      </c>
      <c r="D1358" s="400"/>
      <c r="E1358" s="400"/>
      <c r="F1358" s="400"/>
      <c r="G1358" s="400"/>
      <c r="H1358" s="396"/>
    </row>
    <row r="1359" spans="1:8" s="401" customFormat="1" ht="14.25" customHeight="1" x14ac:dyDescent="0.25">
      <c r="A1359" s="564">
        <v>1891</v>
      </c>
      <c r="B1359" s="562" t="s">
        <v>791</v>
      </c>
      <c r="C1359" s="403">
        <v>1488</v>
      </c>
      <c r="D1359" s="400"/>
      <c r="E1359" s="400"/>
      <c r="F1359" s="400"/>
      <c r="G1359" s="400"/>
      <c r="H1359" s="396"/>
    </row>
    <row r="1360" spans="1:8" s="401" customFormat="1" ht="14.25" customHeight="1" x14ac:dyDescent="0.25">
      <c r="A1360" s="564">
        <v>1895</v>
      </c>
      <c r="B1360" s="562" t="s">
        <v>806</v>
      </c>
      <c r="C1360" s="403">
        <v>1</v>
      </c>
      <c r="D1360" s="400"/>
      <c r="E1360" s="400"/>
      <c r="F1360" s="400"/>
      <c r="G1360" s="400"/>
      <c r="H1360" s="396"/>
    </row>
    <row r="1361" spans="1:8" s="401" customFormat="1" ht="14.25" customHeight="1" x14ac:dyDescent="0.25">
      <c r="A1361" s="564">
        <v>1898</v>
      </c>
      <c r="B1361" s="562" t="s">
        <v>787</v>
      </c>
      <c r="C1361" s="403">
        <v>5290</v>
      </c>
      <c r="D1361" s="400"/>
      <c r="E1361" s="400"/>
      <c r="F1361" s="400"/>
      <c r="G1361" s="400"/>
      <c r="H1361" s="396"/>
    </row>
    <row r="1362" spans="1:8" s="401" customFormat="1" ht="14.25" customHeight="1" x14ac:dyDescent="0.25">
      <c r="A1362" s="564">
        <v>1902</v>
      </c>
      <c r="B1362" s="562" t="s">
        <v>787</v>
      </c>
      <c r="C1362" s="403">
        <v>1484</v>
      </c>
      <c r="D1362" s="400"/>
      <c r="E1362" s="400"/>
      <c r="F1362" s="400"/>
      <c r="G1362" s="400"/>
      <c r="H1362" s="396"/>
    </row>
    <row r="1363" spans="1:8" s="401" customFormat="1" ht="14.25" customHeight="1" x14ac:dyDescent="0.25">
      <c r="A1363" s="564">
        <v>1905</v>
      </c>
      <c r="B1363" s="562" t="s">
        <v>787</v>
      </c>
      <c r="C1363" s="403">
        <v>2168</v>
      </c>
      <c r="D1363" s="400"/>
      <c r="E1363" s="400"/>
      <c r="F1363" s="400"/>
      <c r="G1363" s="400"/>
      <c r="H1363" s="396"/>
    </row>
    <row r="1364" spans="1:8" s="401" customFormat="1" ht="14.25" customHeight="1" x14ac:dyDescent="0.25">
      <c r="A1364" s="564">
        <v>1906</v>
      </c>
      <c r="B1364" s="562" t="s">
        <v>787</v>
      </c>
      <c r="C1364" s="403">
        <v>2047</v>
      </c>
      <c r="D1364" s="400"/>
      <c r="E1364" s="400"/>
      <c r="F1364" s="400"/>
      <c r="G1364" s="400"/>
      <c r="H1364" s="396"/>
    </row>
    <row r="1365" spans="1:8" s="401" customFormat="1" ht="14.25" customHeight="1" x14ac:dyDescent="0.25">
      <c r="A1365" s="564">
        <v>1907</v>
      </c>
      <c r="B1365" s="562" t="s">
        <v>828</v>
      </c>
      <c r="C1365" s="403">
        <v>577</v>
      </c>
      <c r="D1365" s="400"/>
      <c r="E1365" s="400"/>
      <c r="F1365" s="400"/>
      <c r="G1365" s="400"/>
      <c r="H1365" s="396"/>
    </row>
    <row r="1366" spans="1:8" s="401" customFormat="1" ht="14.25" customHeight="1" x14ac:dyDescent="0.25">
      <c r="A1366" s="564">
        <v>1908</v>
      </c>
      <c r="B1366" s="562" t="s">
        <v>828</v>
      </c>
      <c r="C1366" s="403">
        <v>577</v>
      </c>
      <c r="D1366" s="400"/>
      <c r="E1366" s="400"/>
      <c r="F1366" s="400"/>
      <c r="G1366" s="400"/>
      <c r="H1366" s="396"/>
    </row>
    <row r="1367" spans="1:8" s="401" customFormat="1" ht="14.25" customHeight="1" x14ac:dyDescent="0.25">
      <c r="A1367" s="564">
        <v>1909</v>
      </c>
      <c r="B1367" s="562" t="s">
        <v>828</v>
      </c>
      <c r="C1367" s="403">
        <v>577</v>
      </c>
      <c r="D1367" s="400"/>
      <c r="E1367" s="400"/>
      <c r="F1367" s="400"/>
      <c r="G1367" s="400"/>
      <c r="H1367" s="396"/>
    </row>
    <row r="1368" spans="1:8" s="401" customFormat="1" ht="14.25" customHeight="1" x14ac:dyDescent="0.25">
      <c r="A1368" s="564">
        <v>1922</v>
      </c>
      <c r="B1368" s="562" t="s">
        <v>828</v>
      </c>
      <c r="C1368" s="403">
        <v>2158</v>
      </c>
      <c r="D1368" s="400"/>
      <c r="E1368" s="400"/>
      <c r="F1368" s="400"/>
      <c r="G1368" s="400"/>
      <c r="H1368" s="396"/>
    </row>
    <row r="1369" spans="1:8" s="401" customFormat="1" ht="14.25" customHeight="1" x14ac:dyDescent="0.25">
      <c r="A1369" s="564">
        <v>1931</v>
      </c>
      <c r="B1369" s="562" t="s">
        <v>828</v>
      </c>
      <c r="C1369" s="403">
        <v>2158</v>
      </c>
      <c r="D1369" s="400"/>
      <c r="E1369" s="400"/>
      <c r="F1369" s="400"/>
      <c r="G1369" s="400"/>
      <c r="H1369" s="396"/>
    </row>
    <row r="1370" spans="1:8" s="401" customFormat="1" ht="14.25" customHeight="1" x14ac:dyDescent="0.25">
      <c r="A1370" s="564">
        <v>1932</v>
      </c>
      <c r="B1370" s="562" t="s">
        <v>830</v>
      </c>
      <c r="C1370" s="403">
        <v>1100</v>
      </c>
      <c r="D1370" s="400"/>
      <c r="E1370" s="400"/>
      <c r="F1370" s="400"/>
      <c r="G1370" s="400"/>
      <c r="H1370" s="396"/>
    </row>
    <row r="1371" spans="1:8" s="401" customFormat="1" ht="14.25" customHeight="1" x14ac:dyDescent="0.25">
      <c r="A1371" s="564">
        <v>1933</v>
      </c>
      <c r="B1371" s="562" t="s">
        <v>830</v>
      </c>
      <c r="C1371" s="403">
        <v>1101</v>
      </c>
      <c r="D1371" s="400"/>
      <c r="E1371" s="400"/>
      <c r="F1371" s="400"/>
      <c r="G1371" s="400"/>
      <c r="H1371" s="396"/>
    </row>
    <row r="1372" spans="1:8" s="401" customFormat="1" ht="14.25" customHeight="1" x14ac:dyDescent="0.25">
      <c r="A1372" s="564">
        <v>1934</v>
      </c>
      <c r="B1372" s="562" t="s">
        <v>830</v>
      </c>
      <c r="C1372" s="403">
        <v>1101</v>
      </c>
      <c r="D1372" s="400"/>
      <c r="E1372" s="400"/>
      <c r="F1372" s="400"/>
      <c r="G1372" s="400"/>
      <c r="H1372" s="396"/>
    </row>
    <row r="1373" spans="1:8" s="401" customFormat="1" ht="14.25" customHeight="1" x14ac:dyDescent="0.25">
      <c r="A1373" s="564">
        <v>1935</v>
      </c>
      <c r="B1373" s="562" t="s">
        <v>828</v>
      </c>
      <c r="C1373" s="403">
        <v>1101</v>
      </c>
      <c r="D1373" s="400"/>
      <c r="E1373" s="400"/>
      <c r="F1373" s="400"/>
      <c r="G1373" s="400"/>
      <c r="H1373" s="396"/>
    </row>
    <row r="1374" spans="1:8" s="401" customFormat="1" ht="14.25" customHeight="1" x14ac:dyDescent="0.25">
      <c r="A1374" s="564">
        <v>1937</v>
      </c>
      <c r="B1374" s="562" t="s">
        <v>830</v>
      </c>
      <c r="C1374" s="403">
        <v>1100</v>
      </c>
      <c r="D1374" s="400"/>
      <c r="E1374" s="400"/>
      <c r="F1374" s="400"/>
      <c r="G1374" s="400"/>
      <c r="H1374" s="396"/>
    </row>
    <row r="1375" spans="1:8" s="401" customFormat="1" ht="14.25" customHeight="1" x14ac:dyDescent="0.25">
      <c r="A1375" s="564">
        <v>1939</v>
      </c>
      <c r="B1375" s="562" t="s">
        <v>828</v>
      </c>
      <c r="C1375" s="403">
        <v>1101</v>
      </c>
      <c r="D1375" s="400"/>
      <c r="E1375" s="400"/>
      <c r="F1375" s="400"/>
      <c r="G1375" s="400"/>
      <c r="H1375" s="396"/>
    </row>
    <row r="1376" spans="1:8" s="401" customFormat="1" ht="14.25" customHeight="1" x14ac:dyDescent="0.25">
      <c r="A1376" s="564">
        <v>1945</v>
      </c>
      <c r="B1376" s="562" t="s">
        <v>828</v>
      </c>
      <c r="C1376" s="403">
        <v>1101</v>
      </c>
      <c r="D1376" s="400"/>
      <c r="E1376" s="400"/>
      <c r="F1376" s="400"/>
      <c r="G1376" s="400"/>
      <c r="H1376" s="396"/>
    </row>
    <row r="1377" spans="1:8" s="401" customFormat="1" ht="14.25" customHeight="1" x14ac:dyDescent="0.25">
      <c r="A1377" s="564">
        <v>1947</v>
      </c>
      <c r="B1377" s="562" t="s">
        <v>828</v>
      </c>
      <c r="C1377" s="403">
        <v>1101</v>
      </c>
      <c r="D1377" s="400"/>
      <c r="E1377" s="400"/>
      <c r="F1377" s="400"/>
      <c r="G1377" s="400"/>
      <c r="H1377" s="396"/>
    </row>
    <row r="1378" spans="1:8" s="401" customFormat="1" ht="14.25" customHeight="1" x14ac:dyDescent="0.25">
      <c r="A1378" s="564">
        <v>1948</v>
      </c>
      <c r="B1378" s="562" t="s">
        <v>828</v>
      </c>
      <c r="C1378" s="403">
        <v>1101</v>
      </c>
      <c r="D1378" s="400"/>
      <c r="E1378" s="400"/>
      <c r="F1378" s="400"/>
      <c r="G1378" s="400"/>
      <c r="H1378" s="396"/>
    </row>
    <row r="1379" spans="1:8" s="401" customFormat="1" ht="14.25" customHeight="1" x14ac:dyDescent="0.25">
      <c r="A1379" s="564">
        <v>1951</v>
      </c>
      <c r="B1379" s="562" t="s">
        <v>828</v>
      </c>
      <c r="C1379" s="403">
        <v>1101</v>
      </c>
      <c r="D1379" s="400"/>
      <c r="E1379" s="400"/>
      <c r="F1379" s="400"/>
      <c r="G1379" s="400"/>
      <c r="H1379" s="396"/>
    </row>
    <row r="1380" spans="1:8" s="401" customFormat="1" ht="14.25" customHeight="1" x14ac:dyDescent="0.25">
      <c r="A1380" s="564">
        <v>1953</v>
      </c>
      <c r="B1380" s="562" t="s">
        <v>828</v>
      </c>
      <c r="C1380" s="403">
        <v>1101</v>
      </c>
      <c r="D1380" s="400"/>
      <c r="E1380" s="400"/>
      <c r="F1380" s="400"/>
      <c r="G1380" s="400"/>
      <c r="H1380" s="396"/>
    </row>
    <row r="1381" spans="1:8" s="401" customFormat="1" ht="14.25" customHeight="1" x14ac:dyDescent="0.25">
      <c r="A1381" s="564">
        <v>1957</v>
      </c>
      <c r="B1381" s="562" t="s">
        <v>828</v>
      </c>
      <c r="C1381" s="403">
        <v>1101</v>
      </c>
      <c r="D1381" s="400"/>
      <c r="E1381" s="400"/>
      <c r="F1381" s="400"/>
      <c r="G1381" s="400"/>
      <c r="H1381" s="396"/>
    </row>
    <row r="1382" spans="1:8" s="401" customFormat="1" ht="14.25" customHeight="1" x14ac:dyDescent="0.25">
      <c r="A1382" s="564">
        <v>1958</v>
      </c>
      <c r="B1382" s="562" t="s">
        <v>804</v>
      </c>
      <c r="C1382" s="403">
        <v>1</v>
      </c>
      <c r="D1382" s="400"/>
      <c r="E1382" s="400"/>
      <c r="F1382" s="400"/>
      <c r="G1382" s="400"/>
      <c r="H1382" s="396"/>
    </row>
    <row r="1383" spans="1:8" s="401" customFormat="1" ht="14.25" customHeight="1" x14ac:dyDescent="0.25">
      <c r="A1383" s="564">
        <v>1961</v>
      </c>
      <c r="B1383" s="562" t="s">
        <v>804</v>
      </c>
      <c r="C1383" s="403">
        <v>1</v>
      </c>
      <c r="D1383" s="400"/>
      <c r="E1383" s="400"/>
      <c r="F1383" s="400"/>
      <c r="G1383" s="400"/>
      <c r="H1383" s="396"/>
    </row>
    <row r="1384" spans="1:8" s="401" customFormat="1" ht="14.25" customHeight="1" x14ac:dyDescent="0.25">
      <c r="A1384" s="564">
        <v>1963</v>
      </c>
      <c r="B1384" s="562" t="s">
        <v>788</v>
      </c>
      <c r="C1384" s="403">
        <v>691</v>
      </c>
      <c r="D1384" s="400"/>
      <c r="E1384" s="400"/>
      <c r="F1384" s="400"/>
      <c r="G1384" s="400"/>
      <c r="H1384" s="396"/>
    </row>
    <row r="1385" spans="1:8" s="401" customFormat="1" ht="14.25" customHeight="1" x14ac:dyDescent="0.25">
      <c r="A1385" s="564">
        <v>1966</v>
      </c>
      <c r="B1385" s="562" t="s">
        <v>788</v>
      </c>
      <c r="C1385" s="403">
        <v>2125</v>
      </c>
      <c r="D1385" s="400"/>
      <c r="E1385" s="400"/>
      <c r="F1385" s="400"/>
      <c r="G1385" s="400"/>
      <c r="H1385" s="396"/>
    </row>
    <row r="1386" spans="1:8" s="401" customFormat="1" ht="14.25" customHeight="1" x14ac:dyDescent="0.25">
      <c r="A1386" s="564">
        <v>1969</v>
      </c>
      <c r="B1386" s="562" t="s">
        <v>788</v>
      </c>
      <c r="C1386" s="403">
        <v>3910</v>
      </c>
      <c r="D1386" s="400"/>
      <c r="E1386" s="400"/>
      <c r="F1386" s="400"/>
      <c r="G1386" s="400"/>
      <c r="H1386" s="396"/>
    </row>
    <row r="1387" spans="1:8" s="401" customFormat="1" ht="14.25" customHeight="1" x14ac:dyDescent="0.25">
      <c r="A1387" s="564">
        <v>1972</v>
      </c>
      <c r="B1387" s="562" t="s">
        <v>788</v>
      </c>
      <c r="C1387" s="403">
        <v>6900</v>
      </c>
      <c r="D1387" s="400"/>
      <c r="E1387" s="400"/>
      <c r="F1387" s="400"/>
      <c r="G1387" s="400"/>
      <c r="H1387" s="396"/>
    </row>
    <row r="1388" spans="1:8" s="401" customFormat="1" ht="14.25" customHeight="1" x14ac:dyDescent="0.25">
      <c r="A1388" s="564">
        <v>1976</v>
      </c>
      <c r="B1388" s="562" t="s">
        <v>790</v>
      </c>
      <c r="C1388" s="403">
        <v>1196</v>
      </c>
      <c r="D1388" s="400"/>
      <c r="E1388" s="400"/>
      <c r="F1388" s="400"/>
      <c r="G1388" s="400"/>
      <c r="H1388" s="396"/>
    </row>
    <row r="1389" spans="1:8" s="401" customFormat="1" ht="14.25" customHeight="1" x14ac:dyDescent="0.25">
      <c r="A1389" s="564">
        <v>1980</v>
      </c>
      <c r="B1389" s="562" t="s">
        <v>790</v>
      </c>
      <c r="C1389" s="403">
        <v>1</v>
      </c>
      <c r="D1389" s="400"/>
      <c r="E1389" s="400"/>
      <c r="F1389" s="400"/>
      <c r="G1389" s="400"/>
      <c r="H1389" s="396"/>
    </row>
    <row r="1390" spans="1:8" s="401" customFormat="1" ht="14.25" customHeight="1" x14ac:dyDescent="0.25">
      <c r="A1390" s="564">
        <v>1987</v>
      </c>
      <c r="B1390" s="562" t="s">
        <v>785</v>
      </c>
      <c r="C1390" s="403">
        <v>1</v>
      </c>
      <c r="D1390" s="400"/>
      <c r="E1390" s="400"/>
      <c r="F1390" s="400"/>
      <c r="G1390" s="400"/>
      <c r="H1390" s="396"/>
    </row>
    <row r="1391" spans="1:8" s="401" customFormat="1" ht="14.25" customHeight="1" x14ac:dyDescent="0.25">
      <c r="A1391" s="564">
        <v>1990</v>
      </c>
      <c r="B1391" s="562" t="s">
        <v>785</v>
      </c>
      <c r="C1391" s="403">
        <v>278</v>
      </c>
      <c r="D1391" s="400"/>
      <c r="E1391" s="400"/>
      <c r="F1391" s="400"/>
      <c r="G1391" s="400"/>
      <c r="H1391" s="396"/>
    </row>
    <row r="1392" spans="1:8" s="401" customFormat="1" ht="14.25" customHeight="1" x14ac:dyDescent="0.25">
      <c r="A1392" s="564">
        <v>1993</v>
      </c>
      <c r="B1392" s="562" t="s">
        <v>785</v>
      </c>
      <c r="C1392" s="403">
        <v>278</v>
      </c>
      <c r="D1392" s="400"/>
      <c r="E1392" s="400"/>
      <c r="F1392" s="400"/>
      <c r="G1392" s="400"/>
      <c r="H1392" s="396"/>
    </row>
    <row r="1393" spans="1:8" s="401" customFormat="1" ht="14.25" customHeight="1" x14ac:dyDescent="0.25">
      <c r="A1393" s="564">
        <v>1994</v>
      </c>
      <c r="B1393" s="562" t="s">
        <v>785</v>
      </c>
      <c r="C1393" s="403">
        <v>724</v>
      </c>
      <c r="D1393" s="400"/>
      <c r="E1393" s="400"/>
      <c r="F1393" s="400"/>
      <c r="G1393" s="400"/>
      <c r="H1393" s="396"/>
    </row>
    <row r="1394" spans="1:8" s="401" customFormat="1" ht="14.25" customHeight="1" x14ac:dyDescent="0.25">
      <c r="A1394" s="564">
        <v>1998</v>
      </c>
      <c r="B1394" s="562" t="s">
        <v>785</v>
      </c>
      <c r="C1394" s="403">
        <v>1</v>
      </c>
      <c r="D1394" s="400"/>
      <c r="E1394" s="400"/>
      <c r="F1394" s="400"/>
      <c r="G1394" s="400"/>
      <c r="H1394" s="396"/>
    </row>
    <row r="1395" spans="1:8" s="401" customFormat="1" ht="14.25" customHeight="1" x14ac:dyDescent="0.25">
      <c r="A1395" s="564">
        <v>2003</v>
      </c>
      <c r="B1395" s="562" t="s">
        <v>786</v>
      </c>
      <c r="C1395" s="403">
        <v>1852</v>
      </c>
      <c r="D1395" s="400"/>
      <c r="E1395" s="400"/>
      <c r="F1395" s="400"/>
      <c r="G1395" s="400"/>
      <c r="H1395" s="396"/>
    </row>
    <row r="1396" spans="1:8" s="401" customFormat="1" ht="14.25" customHeight="1" x14ac:dyDescent="0.25">
      <c r="A1396" s="564">
        <v>2005</v>
      </c>
      <c r="B1396" s="562" t="s">
        <v>786</v>
      </c>
      <c r="C1396" s="403">
        <v>1840</v>
      </c>
      <c r="D1396" s="400"/>
      <c r="E1396" s="400"/>
      <c r="F1396" s="400"/>
      <c r="G1396" s="400"/>
      <c r="H1396" s="396"/>
    </row>
    <row r="1397" spans="1:8" s="401" customFormat="1" ht="14.25" customHeight="1" x14ac:dyDescent="0.25">
      <c r="A1397" s="564">
        <v>2009</v>
      </c>
      <c r="B1397" s="562" t="s">
        <v>786</v>
      </c>
      <c r="C1397" s="403">
        <v>1495</v>
      </c>
      <c r="D1397" s="400"/>
      <c r="E1397" s="400"/>
      <c r="F1397" s="400"/>
      <c r="G1397" s="400"/>
      <c r="H1397" s="396"/>
    </row>
    <row r="1398" spans="1:8" s="401" customFormat="1" ht="14.25" customHeight="1" x14ac:dyDescent="0.25">
      <c r="A1398" s="564">
        <v>2013</v>
      </c>
      <c r="B1398" s="562" t="s">
        <v>786</v>
      </c>
      <c r="C1398" s="403">
        <v>1495</v>
      </c>
      <c r="D1398" s="400"/>
      <c r="E1398" s="400"/>
      <c r="F1398" s="400"/>
      <c r="G1398" s="400"/>
      <c r="H1398" s="396"/>
    </row>
    <row r="1399" spans="1:8" s="401" customFormat="1" ht="14.25" customHeight="1" x14ac:dyDescent="0.25">
      <c r="A1399" s="564">
        <v>2023</v>
      </c>
      <c r="B1399" s="562" t="s">
        <v>786</v>
      </c>
      <c r="C1399" s="403">
        <v>2070</v>
      </c>
      <c r="D1399" s="400"/>
      <c r="E1399" s="400"/>
      <c r="F1399" s="400"/>
      <c r="G1399" s="400"/>
      <c r="H1399" s="396"/>
    </row>
    <row r="1400" spans="1:8" s="401" customFormat="1" ht="14.25" customHeight="1" x14ac:dyDescent="0.25">
      <c r="A1400" s="564">
        <v>2026</v>
      </c>
      <c r="B1400" s="562" t="s">
        <v>795</v>
      </c>
      <c r="C1400" s="403">
        <v>2214</v>
      </c>
      <c r="D1400" s="400"/>
      <c r="E1400" s="400"/>
      <c r="F1400" s="400"/>
      <c r="G1400" s="400"/>
      <c r="H1400" s="396"/>
    </row>
    <row r="1401" spans="1:8" s="401" customFormat="1" ht="14.25" customHeight="1" x14ac:dyDescent="0.25">
      <c r="A1401" s="564">
        <v>2032</v>
      </c>
      <c r="B1401" s="562" t="s">
        <v>794</v>
      </c>
      <c r="C1401" s="403">
        <v>657</v>
      </c>
      <c r="D1401" s="400"/>
      <c r="E1401" s="400"/>
      <c r="F1401" s="400"/>
      <c r="G1401" s="400"/>
      <c r="H1401" s="396"/>
    </row>
    <row r="1402" spans="1:8" s="401" customFormat="1" ht="14.25" customHeight="1" x14ac:dyDescent="0.25">
      <c r="A1402" s="564">
        <v>2037</v>
      </c>
      <c r="B1402" s="562" t="s">
        <v>798</v>
      </c>
      <c r="C1402" s="403">
        <v>2936</v>
      </c>
      <c r="D1402" s="400"/>
      <c r="E1402" s="400"/>
      <c r="F1402" s="400"/>
      <c r="G1402" s="400"/>
      <c r="H1402" s="396"/>
    </row>
    <row r="1403" spans="1:8" s="401" customFormat="1" ht="14.25" customHeight="1" x14ac:dyDescent="0.25">
      <c r="A1403" s="564">
        <v>2039</v>
      </c>
      <c r="B1403" s="562" t="s">
        <v>842</v>
      </c>
      <c r="C1403" s="403">
        <v>27840</v>
      </c>
      <c r="D1403" s="400"/>
      <c r="E1403" s="400"/>
      <c r="F1403" s="400"/>
      <c r="G1403" s="400"/>
      <c r="H1403" s="396"/>
    </row>
    <row r="1404" spans="1:8" s="401" customFormat="1" ht="14.25" customHeight="1" x14ac:dyDescent="0.25">
      <c r="A1404" s="564">
        <v>2040</v>
      </c>
      <c r="B1404" s="562" t="s">
        <v>813</v>
      </c>
      <c r="C1404" s="403">
        <v>217</v>
      </c>
      <c r="D1404" s="400"/>
      <c r="E1404" s="400"/>
      <c r="F1404" s="400"/>
      <c r="G1404" s="400"/>
      <c r="H1404" s="396"/>
    </row>
    <row r="1405" spans="1:8" s="401" customFormat="1" ht="14.25" customHeight="1" x14ac:dyDescent="0.25">
      <c r="A1405" s="564">
        <v>2044</v>
      </c>
      <c r="B1405" s="562" t="s">
        <v>815</v>
      </c>
      <c r="C1405" s="403">
        <v>1</v>
      </c>
      <c r="D1405" s="400"/>
      <c r="E1405" s="400"/>
      <c r="F1405" s="400"/>
      <c r="G1405" s="400"/>
      <c r="H1405" s="396"/>
    </row>
    <row r="1406" spans="1:8" s="401" customFormat="1" ht="14.25" customHeight="1" x14ac:dyDescent="0.25">
      <c r="A1406" s="564">
        <v>2077</v>
      </c>
      <c r="B1406" s="562" t="s">
        <v>785</v>
      </c>
      <c r="C1406" s="403">
        <v>361</v>
      </c>
      <c r="D1406" s="400"/>
      <c r="E1406" s="400"/>
      <c r="F1406" s="400"/>
      <c r="G1406" s="400"/>
      <c r="H1406" s="396"/>
    </row>
    <row r="1407" spans="1:8" s="401" customFormat="1" ht="14.25" customHeight="1" x14ac:dyDescent="0.25">
      <c r="A1407" s="564">
        <v>2083</v>
      </c>
      <c r="B1407" s="562" t="s">
        <v>787</v>
      </c>
      <c r="C1407" s="403">
        <v>7176</v>
      </c>
      <c r="D1407" s="400"/>
      <c r="E1407" s="400"/>
      <c r="F1407" s="400"/>
      <c r="G1407" s="400"/>
      <c r="H1407" s="396"/>
    </row>
    <row r="1408" spans="1:8" s="401" customFormat="1" ht="14.25" customHeight="1" x14ac:dyDescent="0.25">
      <c r="A1408" s="564">
        <v>2087</v>
      </c>
      <c r="B1408" s="562" t="s">
        <v>790</v>
      </c>
      <c r="C1408" s="403">
        <v>1288</v>
      </c>
      <c r="D1408" s="400"/>
      <c r="E1408" s="400"/>
      <c r="F1408" s="400"/>
      <c r="G1408" s="400"/>
      <c r="H1408" s="396"/>
    </row>
    <row r="1409" spans="1:8" s="401" customFormat="1" ht="14.25" customHeight="1" x14ac:dyDescent="0.25">
      <c r="A1409" s="564">
        <v>2089</v>
      </c>
      <c r="B1409" s="562" t="s">
        <v>788</v>
      </c>
      <c r="C1409" s="403">
        <v>1</v>
      </c>
      <c r="D1409" s="400"/>
      <c r="E1409" s="400"/>
      <c r="F1409" s="400"/>
      <c r="G1409" s="400"/>
      <c r="H1409" s="396"/>
    </row>
    <row r="1410" spans="1:8" s="401" customFormat="1" ht="14.25" customHeight="1" x14ac:dyDescent="0.25">
      <c r="A1410" s="564">
        <v>2099</v>
      </c>
      <c r="B1410" s="562" t="s">
        <v>787</v>
      </c>
      <c r="C1410" s="403">
        <v>1</v>
      </c>
      <c r="D1410" s="400"/>
      <c r="E1410" s="400"/>
      <c r="F1410" s="400"/>
      <c r="G1410" s="400"/>
      <c r="H1410" s="396"/>
    </row>
    <row r="1411" spans="1:8" s="401" customFormat="1" ht="14.25" customHeight="1" x14ac:dyDescent="0.25">
      <c r="A1411" s="564">
        <v>2136</v>
      </c>
      <c r="B1411" s="562" t="s">
        <v>791</v>
      </c>
      <c r="C1411" s="403">
        <v>3487</v>
      </c>
      <c r="D1411" s="400"/>
      <c r="E1411" s="400"/>
      <c r="F1411" s="400"/>
      <c r="G1411" s="400"/>
      <c r="H1411" s="396"/>
    </row>
    <row r="1412" spans="1:8" s="401" customFormat="1" ht="14.25" customHeight="1" x14ac:dyDescent="0.25">
      <c r="A1412" s="564">
        <v>4847</v>
      </c>
      <c r="B1412" s="562" t="s">
        <v>841</v>
      </c>
      <c r="C1412" s="403">
        <v>1658.23</v>
      </c>
      <c r="D1412" s="400"/>
      <c r="E1412" s="400"/>
      <c r="F1412" s="400"/>
      <c r="G1412" s="400"/>
      <c r="H1412" s="396"/>
    </row>
    <row r="1413" spans="1:8" s="401" customFormat="1" ht="14.25" customHeight="1" x14ac:dyDescent="0.25">
      <c r="A1413" s="564">
        <v>4975</v>
      </c>
      <c r="B1413" s="562" t="s">
        <v>785</v>
      </c>
      <c r="C1413" s="403">
        <v>831</v>
      </c>
      <c r="D1413" s="400"/>
      <c r="E1413" s="400"/>
      <c r="F1413" s="400"/>
      <c r="G1413" s="400"/>
      <c r="H1413" s="396"/>
    </row>
    <row r="1414" spans="1:8" s="401" customFormat="1" ht="14.25" customHeight="1" x14ac:dyDescent="0.25">
      <c r="A1414" s="564">
        <v>2412</v>
      </c>
      <c r="B1414" s="562" t="s">
        <v>787</v>
      </c>
      <c r="C1414" s="403">
        <v>3164</v>
      </c>
      <c r="D1414" s="400"/>
      <c r="E1414" s="400"/>
      <c r="F1414" s="400"/>
      <c r="G1414" s="400"/>
      <c r="H1414" s="396"/>
    </row>
    <row r="1415" spans="1:8" s="401" customFormat="1" ht="14.25" customHeight="1" x14ac:dyDescent="0.25">
      <c r="A1415" s="564">
        <v>3079</v>
      </c>
      <c r="B1415" s="562" t="s">
        <v>785</v>
      </c>
      <c r="C1415" s="403">
        <v>829</v>
      </c>
      <c r="D1415" s="400"/>
      <c r="E1415" s="400"/>
      <c r="F1415" s="400"/>
      <c r="G1415" s="400"/>
      <c r="H1415" s="396"/>
    </row>
    <row r="1416" spans="1:8" s="401" customFormat="1" ht="14.25" customHeight="1" x14ac:dyDescent="0.25">
      <c r="A1416" s="564">
        <v>3081</v>
      </c>
      <c r="B1416" s="562" t="s">
        <v>785</v>
      </c>
      <c r="C1416" s="403">
        <v>829</v>
      </c>
      <c r="D1416" s="400"/>
      <c r="E1416" s="400"/>
      <c r="F1416" s="400"/>
      <c r="G1416" s="400"/>
      <c r="H1416" s="396"/>
    </row>
    <row r="1417" spans="1:8" s="401" customFormat="1" ht="14.25" customHeight="1" x14ac:dyDescent="0.25">
      <c r="A1417" s="564">
        <v>3083</v>
      </c>
      <c r="B1417" s="562" t="s">
        <v>790</v>
      </c>
      <c r="C1417" s="403">
        <v>2260</v>
      </c>
      <c r="D1417" s="400"/>
      <c r="E1417" s="400"/>
      <c r="F1417" s="400"/>
      <c r="G1417" s="400"/>
      <c r="H1417" s="396"/>
    </row>
    <row r="1418" spans="1:8" s="401" customFormat="1" ht="14.25" customHeight="1" x14ac:dyDescent="0.25">
      <c r="A1418" s="564">
        <v>3087</v>
      </c>
      <c r="B1418" s="562" t="s">
        <v>787</v>
      </c>
      <c r="C1418" s="403">
        <v>8911</v>
      </c>
      <c r="D1418" s="400"/>
      <c r="E1418" s="400"/>
      <c r="F1418" s="400"/>
      <c r="G1418" s="400"/>
      <c r="H1418" s="396"/>
    </row>
    <row r="1419" spans="1:8" s="401" customFormat="1" ht="14.25" customHeight="1" x14ac:dyDescent="0.25">
      <c r="A1419" s="564">
        <v>3090</v>
      </c>
      <c r="B1419" s="562" t="s">
        <v>790</v>
      </c>
      <c r="C1419" s="403">
        <v>1</v>
      </c>
      <c r="D1419" s="400"/>
      <c r="E1419" s="400"/>
      <c r="F1419" s="400"/>
      <c r="G1419" s="400"/>
      <c r="H1419" s="396"/>
    </row>
    <row r="1420" spans="1:8" s="401" customFormat="1" ht="14.25" customHeight="1" x14ac:dyDescent="0.25">
      <c r="A1420" s="564">
        <v>4141</v>
      </c>
      <c r="B1420" s="562" t="s">
        <v>785</v>
      </c>
      <c r="C1420" s="403">
        <v>1497</v>
      </c>
      <c r="D1420" s="400"/>
      <c r="E1420" s="400"/>
      <c r="F1420" s="400"/>
      <c r="G1420" s="400"/>
      <c r="H1420" s="396"/>
    </row>
    <row r="1421" spans="1:8" s="401" customFormat="1" ht="14.25" customHeight="1" x14ac:dyDescent="0.25">
      <c r="A1421" s="564">
        <v>4634</v>
      </c>
      <c r="B1421" s="562" t="s">
        <v>786</v>
      </c>
      <c r="C1421" s="403">
        <v>6003</v>
      </c>
      <c r="D1421" s="400"/>
      <c r="E1421" s="400"/>
      <c r="F1421" s="400"/>
      <c r="G1421" s="400"/>
      <c r="H1421" s="396"/>
    </row>
    <row r="1422" spans="1:8" s="401" customFormat="1" ht="14.25" customHeight="1" x14ac:dyDescent="0.25">
      <c r="A1422" s="564">
        <v>3092</v>
      </c>
      <c r="B1422" s="562" t="s">
        <v>798</v>
      </c>
      <c r="C1422" s="403">
        <v>1</v>
      </c>
      <c r="D1422" s="400"/>
      <c r="E1422" s="400"/>
      <c r="F1422" s="400"/>
      <c r="G1422" s="400"/>
      <c r="H1422" s="396"/>
    </row>
    <row r="1423" spans="1:8" s="401" customFormat="1" ht="14.25" customHeight="1" x14ac:dyDescent="0.25">
      <c r="A1423" s="564">
        <v>3093</v>
      </c>
      <c r="B1423" s="562" t="s">
        <v>813</v>
      </c>
      <c r="C1423" s="403">
        <v>317.86</v>
      </c>
      <c r="D1423" s="400"/>
      <c r="E1423" s="400"/>
      <c r="F1423" s="400"/>
      <c r="G1423" s="400"/>
      <c r="H1423" s="396"/>
    </row>
    <row r="1424" spans="1:8" s="401" customFormat="1" ht="14.25" customHeight="1" x14ac:dyDescent="0.25">
      <c r="A1424" s="564">
        <v>3095</v>
      </c>
      <c r="B1424" s="562" t="s">
        <v>791</v>
      </c>
      <c r="C1424" s="403">
        <v>1092</v>
      </c>
      <c r="D1424" s="400"/>
      <c r="E1424" s="400"/>
      <c r="F1424" s="400"/>
      <c r="G1424" s="400"/>
      <c r="H1424" s="396"/>
    </row>
    <row r="1425" spans="1:8" s="401" customFormat="1" ht="14.25" customHeight="1" x14ac:dyDescent="0.25">
      <c r="A1425" s="564">
        <v>3099</v>
      </c>
      <c r="B1425" s="562" t="s">
        <v>797</v>
      </c>
      <c r="C1425" s="403">
        <v>1</v>
      </c>
      <c r="D1425" s="400"/>
      <c r="E1425" s="400"/>
      <c r="F1425" s="400"/>
      <c r="G1425" s="400"/>
      <c r="H1425" s="396"/>
    </row>
    <row r="1426" spans="1:8" s="401" customFormat="1" ht="14.25" customHeight="1" x14ac:dyDescent="0.25">
      <c r="A1426" s="564">
        <v>3105</v>
      </c>
      <c r="B1426" s="562" t="s">
        <v>785</v>
      </c>
      <c r="C1426" s="403">
        <v>851</v>
      </c>
      <c r="D1426" s="400"/>
      <c r="E1426" s="400"/>
      <c r="F1426" s="400"/>
      <c r="G1426" s="400"/>
      <c r="H1426" s="396"/>
    </row>
    <row r="1427" spans="1:8" s="401" customFormat="1" ht="14.25" customHeight="1" x14ac:dyDescent="0.25">
      <c r="A1427" s="564">
        <v>3109</v>
      </c>
      <c r="B1427" s="562" t="s">
        <v>786</v>
      </c>
      <c r="C1427" s="403">
        <v>3910</v>
      </c>
      <c r="D1427" s="400"/>
      <c r="E1427" s="400"/>
      <c r="F1427" s="400"/>
      <c r="G1427" s="400"/>
      <c r="H1427" s="396"/>
    </row>
    <row r="1428" spans="1:8" s="401" customFormat="1" ht="14.25" customHeight="1" x14ac:dyDescent="0.25">
      <c r="A1428" s="564">
        <v>3112</v>
      </c>
      <c r="B1428" s="562" t="s">
        <v>843</v>
      </c>
      <c r="C1428" s="403">
        <v>2361</v>
      </c>
      <c r="D1428" s="400"/>
      <c r="E1428" s="400"/>
      <c r="F1428" s="400"/>
      <c r="G1428" s="400"/>
      <c r="H1428" s="396"/>
    </row>
    <row r="1429" spans="1:8" s="401" customFormat="1" ht="14.25" customHeight="1" x14ac:dyDescent="0.25">
      <c r="A1429" s="564">
        <v>3125</v>
      </c>
      <c r="B1429" s="562" t="s">
        <v>798</v>
      </c>
      <c r="C1429" s="403">
        <v>4658</v>
      </c>
      <c r="D1429" s="400"/>
      <c r="E1429" s="400"/>
      <c r="F1429" s="400"/>
      <c r="G1429" s="400"/>
      <c r="H1429" s="396"/>
    </row>
    <row r="1430" spans="1:8" s="401" customFormat="1" ht="14.25" customHeight="1" x14ac:dyDescent="0.25">
      <c r="A1430" s="564">
        <v>3133</v>
      </c>
      <c r="B1430" s="562" t="s">
        <v>787</v>
      </c>
      <c r="C1430" s="403">
        <v>1</v>
      </c>
      <c r="D1430" s="400"/>
      <c r="E1430" s="400"/>
      <c r="F1430" s="400"/>
      <c r="G1430" s="400"/>
      <c r="H1430" s="396"/>
    </row>
    <row r="1431" spans="1:8" s="401" customFormat="1" ht="14.25" customHeight="1" x14ac:dyDescent="0.25">
      <c r="A1431" s="564">
        <v>3135</v>
      </c>
      <c r="B1431" s="562" t="s">
        <v>787</v>
      </c>
      <c r="C1431" s="403">
        <v>1</v>
      </c>
      <c r="D1431" s="400"/>
      <c r="E1431" s="400"/>
      <c r="F1431" s="400"/>
      <c r="G1431" s="400"/>
      <c r="H1431" s="396"/>
    </row>
    <row r="1432" spans="1:8" s="401" customFormat="1" ht="14.25" customHeight="1" x14ac:dyDescent="0.25">
      <c r="A1432" s="564">
        <v>3138</v>
      </c>
      <c r="B1432" s="562" t="s">
        <v>790</v>
      </c>
      <c r="C1432" s="403">
        <v>1</v>
      </c>
      <c r="D1432" s="400"/>
      <c r="E1432" s="400"/>
      <c r="F1432" s="400"/>
      <c r="G1432" s="400"/>
      <c r="H1432" s="396"/>
    </row>
    <row r="1433" spans="1:8" s="401" customFormat="1" ht="14.25" customHeight="1" x14ac:dyDescent="0.25">
      <c r="A1433" s="564">
        <v>3145</v>
      </c>
      <c r="B1433" s="562" t="s">
        <v>792</v>
      </c>
      <c r="C1433" s="403">
        <v>1</v>
      </c>
      <c r="D1433" s="400"/>
      <c r="E1433" s="400"/>
      <c r="F1433" s="400"/>
      <c r="G1433" s="400"/>
      <c r="H1433" s="396"/>
    </row>
    <row r="1434" spans="1:8" s="401" customFormat="1" ht="14.25" customHeight="1" x14ac:dyDescent="0.25">
      <c r="A1434" s="564">
        <v>3147</v>
      </c>
      <c r="B1434" s="562" t="s">
        <v>785</v>
      </c>
      <c r="C1434" s="403">
        <v>4724</v>
      </c>
      <c r="D1434" s="400"/>
      <c r="E1434" s="400"/>
      <c r="F1434" s="400"/>
      <c r="G1434" s="400"/>
      <c r="H1434" s="396"/>
    </row>
    <row r="1435" spans="1:8" s="401" customFormat="1" ht="14.25" customHeight="1" x14ac:dyDescent="0.25">
      <c r="A1435" s="564">
        <v>3161</v>
      </c>
      <c r="B1435" s="562" t="s">
        <v>786</v>
      </c>
      <c r="C1435" s="403">
        <v>5483</v>
      </c>
      <c r="D1435" s="400"/>
      <c r="E1435" s="400"/>
      <c r="F1435" s="400"/>
      <c r="G1435" s="400"/>
      <c r="H1435" s="396"/>
    </row>
    <row r="1436" spans="1:8" s="401" customFormat="1" ht="14.25" customHeight="1" x14ac:dyDescent="0.25">
      <c r="A1436" s="564">
        <v>3163</v>
      </c>
      <c r="B1436" s="562" t="s">
        <v>786</v>
      </c>
      <c r="C1436" s="403">
        <v>5483</v>
      </c>
      <c r="D1436" s="400"/>
      <c r="E1436" s="400"/>
      <c r="F1436" s="400"/>
      <c r="G1436" s="400"/>
      <c r="H1436" s="396"/>
    </row>
    <row r="1437" spans="1:8" s="401" customFormat="1" ht="14.25" customHeight="1" x14ac:dyDescent="0.25">
      <c r="A1437" s="564">
        <v>4780</v>
      </c>
      <c r="B1437" s="562" t="s">
        <v>814</v>
      </c>
      <c r="C1437" s="403">
        <v>1121.1099999999999</v>
      </c>
      <c r="D1437" s="400"/>
      <c r="E1437" s="400"/>
      <c r="F1437" s="400"/>
      <c r="G1437" s="400"/>
      <c r="H1437" s="396"/>
    </row>
    <row r="1438" spans="1:8" s="401" customFormat="1" ht="14.25" customHeight="1" x14ac:dyDescent="0.25">
      <c r="A1438" s="564">
        <v>4782</v>
      </c>
      <c r="B1438" s="562" t="s">
        <v>844</v>
      </c>
      <c r="C1438" s="403">
        <v>604.65</v>
      </c>
      <c r="D1438" s="400"/>
      <c r="E1438" s="400"/>
      <c r="F1438" s="400"/>
      <c r="G1438" s="400"/>
      <c r="H1438" s="396"/>
    </row>
    <row r="1439" spans="1:8" s="401" customFormat="1" ht="14.25" customHeight="1" x14ac:dyDescent="0.25">
      <c r="A1439" s="564">
        <v>3968</v>
      </c>
      <c r="B1439" s="562" t="s">
        <v>787</v>
      </c>
      <c r="C1439" s="403">
        <v>1</v>
      </c>
      <c r="D1439" s="400"/>
      <c r="E1439" s="400"/>
      <c r="F1439" s="400"/>
      <c r="G1439" s="400"/>
      <c r="H1439" s="396"/>
    </row>
    <row r="1440" spans="1:8" s="401" customFormat="1" ht="14.25" customHeight="1" x14ac:dyDescent="0.25">
      <c r="A1440" s="564">
        <v>3970</v>
      </c>
      <c r="B1440" s="562" t="s">
        <v>787</v>
      </c>
      <c r="C1440" s="403">
        <v>1562</v>
      </c>
      <c r="D1440" s="400"/>
      <c r="E1440" s="400"/>
      <c r="F1440" s="400"/>
      <c r="G1440" s="400"/>
      <c r="H1440" s="396"/>
    </row>
    <row r="1441" spans="1:8" s="401" customFormat="1" ht="14.25" customHeight="1" x14ac:dyDescent="0.25">
      <c r="A1441" s="564">
        <v>3972</v>
      </c>
      <c r="B1441" s="562" t="s">
        <v>787</v>
      </c>
      <c r="C1441" s="403">
        <v>1</v>
      </c>
      <c r="D1441" s="400"/>
      <c r="E1441" s="400"/>
      <c r="F1441" s="400"/>
      <c r="G1441" s="400"/>
      <c r="H1441" s="396"/>
    </row>
    <row r="1442" spans="1:8" s="401" customFormat="1" ht="14.25" customHeight="1" x14ac:dyDescent="0.25">
      <c r="A1442" s="564">
        <v>3973</v>
      </c>
      <c r="B1442" s="562" t="s">
        <v>785</v>
      </c>
      <c r="C1442" s="403">
        <v>264</v>
      </c>
      <c r="D1442" s="400"/>
      <c r="E1442" s="400"/>
      <c r="F1442" s="400"/>
      <c r="G1442" s="400"/>
      <c r="H1442" s="396"/>
    </row>
    <row r="1443" spans="1:8" s="401" customFormat="1" ht="14.25" customHeight="1" x14ac:dyDescent="0.25">
      <c r="A1443" s="564">
        <v>3976</v>
      </c>
      <c r="B1443" s="562" t="s">
        <v>785</v>
      </c>
      <c r="C1443" s="403">
        <v>487.2</v>
      </c>
      <c r="D1443" s="400"/>
      <c r="E1443" s="400"/>
      <c r="F1443" s="400"/>
      <c r="G1443" s="400"/>
      <c r="H1443" s="396"/>
    </row>
    <row r="1444" spans="1:8" s="401" customFormat="1" ht="14.25" customHeight="1" x14ac:dyDescent="0.25">
      <c r="A1444" s="564">
        <v>3977</v>
      </c>
      <c r="B1444" s="562" t="s">
        <v>785</v>
      </c>
      <c r="C1444" s="403">
        <v>487.2</v>
      </c>
      <c r="D1444" s="400"/>
      <c r="E1444" s="400"/>
      <c r="F1444" s="400"/>
      <c r="G1444" s="400"/>
      <c r="H1444" s="396"/>
    </row>
    <row r="1445" spans="1:8" s="401" customFormat="1" ht="14.25" customHeight="1" x14ac:dyDescent="0.25">
      <c r="A1445" s="564">
        <v>3979</v>
      </c>
      <c r="B1445" s="562" t="s">
        <v>785</v>
      </c>
      <c r="C1445" s="403">
        <v>487.2</v>
      </c>
      <c r="D1445" s="400"/>
      <c r="E1445" s="400"/>
      <c r="F1445" s="400"/>
      <c r="G1445" s="400"/>
      <c r="H1445" s="396"/>
    </row>
    <row r="1446" spans="1:8" s="401" customFormat="1" ht="14.25" customHeight="1" x14ac:dyDescent="0.25">
      <c r="A1446" s="564">
        <v>3981</v>
      </c>
      <c r="B1446" s="562" t="s">
        <v>785</v>
      </c>
      <c r="C1446" s="403">
        <v>487.2</v>
      </c>
      <c r="D1446" s="400"/>
      <c r="E1446" s="400"/>
      <c r="F1446" s="400"/>
      <c r="G1446" s="400"/>
      <c r="H1446" s="396"/>
    </row>
    <row r="1447" spans="1:8" s="401" customFormat="1" ht="14.25" customHeight="1" x14ac:dyDescent="0.25">
      <c r="A1447" s="564">
        <v>3986</v>
      </c>
      <c r="B1447" s="562" t="s">
        <v>798</v>
      </c>
      <c r="C1447" s="403">
        <v>2658.14</v>
      </c>
      <c r="D1447" s="400"/>
      <c r="E1447" s="400"/>
      <c r="F1447" s="400"/>
      <c r="G1447" s="400"/>
      <c r="H1447" s="396"/>
    </row>
    <row r="1448" spans="1:8" s="401" customFormat="1" ht="14.25" customHeight="1" x14ac:dyDescent="0.25">
      <c r="A1448" s="564">
        <v>4195</v>
      </c>
      <c r="B1448" s="562" t="s">
        <v>785</v>
      </c>
      <c r="C1448" s="403">
        <v>1</v>
      </c>
      <c r="D1448" s="400"/>
      <c r="E1448" s="400"/>
      <c r="F1448" s="400"/>
      <c r="G1448" s="400"/>
      <c r="H1448" s="396"/>
    </row>
    <row r="1449" spans="1:8" s="401" customFormat="1" ht="14.25" customHeight="1" x14ac:dyDescent="0.25">
      <c r="A1449" s="564">
        <v>4196</v>
      </c>
      <c r="B1449" s="562" t="s">
        <v>791</v>
      </c>
      <c r="C1449" s="403">
        <v>1092</v>
      </c>
      <c r="D1449" s="400"/>
      <c r="E1449" s="400"/>
      <c r="F1449" s="400"/>
      <c r="G1449" s="400"/>
      <c r="H1449" s="396"/>
    </row>
    <row r="1450" spans="1:8" s="401" customFormat="1" ht="14.25" customHeight="1" x14ac:dyDescent="0.25">
      <c r="A1450" s="564">
        <v>4198</v>
      </c>
      <c r="B1450" s="562" t="s">
        <v>798</v>
      </c>
      <c r="C1450" s="403">
        <v>3879</v>
      </c>
      <c r="D1450" s="400"/>
      <c r="E1450" s="400"/>
      <c r="F1450" s="400"/>
      <c r="G1450" s="400"/>
      <c r="H1450" s="396"/>
    </row>
    <row r="1451" spans="1:8" s="401" customFormat="1" ht="14.25" customHeight="1" x14ac:dyDescent="0.25">
      <c r="A1451" s="564">
        <v>4201</v>
      </c>
      <c r="B1451" s="562" t="s">
        <v>789</v>
      </c>
      <c r="C1451" s="403">
        <v>512</v>
      </c>
      <c r="D1451" s="400"/>
      <c r="E1451" s="400"/>
      <c r="F1451" s="400"/>
      <c r="G1451" s="400"/>
      <c r="H1451" s="396"/>
    </row>
    <row r="1452" spans="1:8" s="401" customFormat="1" ht="14.25" customHeight="1" x14ac:dyDescent="0.25">
      <c r="A1452" s="564">
        <v>4206</v>
      </c>
      <c r="B1452" s="562" t="s">
        <v>792</v>
      </c>
      <c r="C1452" s="403">
        <v>512</v>
      </c>
      <c r="D1452" s="400"/>
      <c r="E1452" s="400"/>
      <c r="F1452" s="400"/>
      <c r="G1452" s="400"/>
      <c r="H1452" s="396"/>
    </row>
    <row r="1453" spans="1:8" s="401" customFormat="1" ht="14.25" customHeight="1" x14ac:dyDescent="0.25">
      <c r="A1453" s="564">
        <v>4207</v>
      </c>
      <c r="B1453" s="562" t="s">
        <v>792</v>
      </c>
      <c r="C1453" s="403">
        <v>1</v>
      </c>
      <c r="D1453" s="400"/>
      <c r="E1453" s="400"/>
      <c r="F1453" s="400"/>
      <c r="G1453" s="400"/>
      <c r="H1453" s="396"/>
    </row>
    <row r="1454" spans="1:8" s="401" customFormat="1" ht="14.25" customHeight="1" x14ac:dyDescent="0.25">
      <c r="A1454" s="564">
        <v>4208</v>
      </c>
      <c r="B1454" s="562" t="s">
        <v>785</v>
      </c>
      <c r="C1454" s="403">
        <v>2242</v>
      </c>
      <c r="D1454" s="400"/>
      <c r="E1454" s="400"/>
      <c r="F1454" s="400"/>
      <c r="G1454" s="400"/>
      <c r="H1454" s="396"/>
    </row>
    <row r="1455" spans="1:8" s="401" customFormat="1" ht="14.25" customHeight="1" x14ac:dyDescent="0.25">
      <c r="A1455" s="564">
        <v>4228</v>
      </c>
      <c r="B1455" s="562" t="s">
        <v>790</v>
      </c>
      <c r="C1455" s="403">
        <v>489</v>
      </c>
      <c r="D1455" s="400"/>
      <c r="E1455" s="400"/>
      <c r="F1455" s="400"/>
      <c r="G1455" s="400"/>
      <c r="H1455" s="396"/>
    </row>
    <row r="1456" spans="1:8" s="401" customFormat="1" ht="14.25" customHeight="1" x14ac:dyDescent="0.25">
      <c r="A1456" s="564">
        <v>4234</v>
      </c>
      <c r="B1456" s="562" t="s">
        <v>818</v>
      </c>
      <c r="C1456" s="403">
        <v>245</v>
      </c>
      <c r="D1456" s="400"/>
      <c r="E1456" s="400"/>
      <c r="F1456" s="400"/>
      <c r="G1456" s="400"/>
      <c r="H1456" s="396"/>
    </row>
    <row r="1457" spans="1:8" s="401" customFormat="1" ht="14.25" customHeight="1" x14ac:dyDescent="0.25">
      <c r="A1457" s="564">
        <v>4265</v>
      </c>
      <c r="B1457" s="562" t="s">
        <v>787</v>
      </c>
      <c r="C1457" s="403">
        <v>1</v>
      </c>
      <c r="D1457" s="400"/>
      <c r="E1457" s="400"/>
      <c r="F1457" s="400"/>
      <c r="G1457" s="400"/>
      <c r="H1457" s="396"/>
    </row>
    <row r="1458" spans="1:8" s="401" customFormat="1" ht="14.25" customHeight="1" x14ac:dyDescent="0.25">
      <c r="A1458" s="564">
        <v>4312</v>
      </c>
      <c r="B1458" s="562" t="s">
        <v>787</v>
      </c>
      <c r="C1458" s="403">
        <v>1</v>
      </c>
      <c r="D1458" s="400"/>
      <c r="E1458" s="400"/>
      <c r="F1458" s="400"/>
      <c r="G1458" s="400"/>
      <c r="H1458" s="396"/>
    </row>
    <row r="1459" spans="1:8" s="401" customFormat="1" ht="14.25" customHeight="1" x14ac:dyDescent="0.25">
      <c r="A1459" s="564">
        <v>2979</v>
      </c>
      <c r="B1459" s="562" t="s">
        <v>785</v>
      </c>
      <c r="C1459" s="403">
        <v>929.62</v>
      </c>
      <c r="D1459" s="400"/>
      <c r="E1459" s="400"/>
      <c r="F1459" s="400"/>
      <c r="G1459" s="400"/>
      <c r="H1459" s="396"/>
    </row>
    <row r="1460" spans="1:8" s="401" customFormat="1" ht="14.25" customHeight="1" x14ac:dyDescent="0.25">
      <c r="A1460" s="564">
        <v>2983</v>
      </c>
      <c r="B1460" s="562" t="s">
        <v>785</v>
      </c>
      <c r="C1460" s="403">
        <v>929.62</v>
      </c>
      <c r="D1460" s="400"/>
      <c r="E1460" s="400"/>
      <c r="F1460" s="400"/>
      <c r="G1460" s="400"/>
      <c r="H1460" s="396"/>
    </row>
    <row r="1461" spans="1:8" s="401" customFormat="1" ht="14.25" customHeight="1" x14ac:dyDescent="0.25">
      <c r="A1461" s="564">
        <v>2986</v>
      </c>
      <c r="B1461" s="562" t="s">
        <v>785</v>
      </c>
      <c r="C1461" s="403">
        <v>929.62</v>
      </c>
      <c r="D1461" s="400"/>
      <c r="E1461" s="400"/>
      <c r="F1461" s="400"/>
      <c r="G1461" s="400"/>
      <c r="H1461" s="396"/>
    </row>
    <row r="1462" spans="1:8" s="401" customFormat="1" ht="14.25" customHeight="1" x14ac:dyDescent="0.25">
      <c r="A1462" s="564">
        <v>2989</v>
      </c>
      <c r="B1462" s="562" t="s">
        <v>791</v>
      </c>
      <c r="C1462" s="403">
        <v>1</v>
      </c>
      <c r="D1462" s="400"/>
      <c r="E1462" s="400"/>
      <c r="F1462" s="400"/>
      <c r="G1462" s="400"/>
      <c r="H1462" s="396"/>
    </row>
    <row r="1463" spans="1:8" s="401" customFormat="1" ht="14.25" customHeight="1" x14ac:dyDescent="0.25">
      <c r="A1463" s="564">
        <v>2990</v>
      </c>
      <c r="B1463" s="562" t="s">
        <v>791</v>
      </c>
      <c r="C1463" s="403">
        <v>1944</v>
      </c>
      <c r="D1463" s="400"/>
      <c r="E1463" s="400"/>
      <c r="F1463" s="400"/>
      <c r="G1463" s="400"/>
      <c r="H1463" s="396"/>
    </row>
    <row r="1464" spans="1:8" s="401" customFormat="1" ht="14.25" customHeight="1" x14ac:dyDescent="0.25">
      <c r="A1464" s="564">
        <v>2994</v>
      </c>
      <c r="B1464" s="562" t="s">
        <v>786</v>
      </c>
      <c r="C1464" s="403">
        <v>2530</v>
      </c>
      <c r="D1464" s="400"/>
      <c r="E1464" s="400"/>
      <c r="F1464" s="400"/>
      <c r="G1464" s="400"/>
      <c r="H1464" s="396"/>
    </row>
    <row r="1465" spans="1:8" s="401" customFormat="1" ht="14.25" customHeight="1" x14ac:dyDescent="0.25">
      <c r="A1465" s="564">
        <v>2996</v>
      </c>
      <c r="B1465" s="562" t="s">
        <v>791</v>
      </c>
      <c r="C1465" s="403">
        <v>1</v>
      </c>
      <c r="D1465" s="400"/>
      <c r="E1465" s="400"/>
      <c r="F1465" s="400"/>
      <c r="G1465" s="400"/>
      <c r="H1465" s="396"/>
    </row>
    <row r="1466" spans="1:8" s="401" customFormat="1" ht="14.25" customHeight="1" x14ac:dyDescent="0.25">
      <c r="A1466" s="564">
        <v>2998</v>
      </c>
      <c r="B1466" s="562" t="s">
        <v>791</v>
      </c>
      <c r="C1466" s="403">
        <v>1503</v>
      </c>
      <c r="D1466" s="400"/>
      <c r="E1466" s="400"/>
      <c r="F1466" s="400"/>
      <c r="G1466" s="400"/>
      <c r="H1466" s="396"/>
    </row>
    <row r="1467" spans="1:8" s="401" customFormat="1" ht="14.25" customHeight="1" x14ac:dyDescent="0.25">
      <c r="A1467" s="564">
        <v>3002</v>
      </c>
      <c r="B1467" s="562" t="s">
        <v>787</v>
      </c>
      <c r="C1467" s="403">
        <v>1</v>
      </c>
      <c r="D1467" s="400"/>
      <c r="E1467" s="400"/>
      <c r="F1467" s="400"/>
      <c r="G1467" s="400"/>
      <c r="H1467" s="396"/>
    </row>
    <row r="1468" spans="1:8" s="401" customFormat="1" ht="14.25" customHeight="1" x14ac:dyDescent="0.25">
      <c r="A1468" s="564">
        <v>3005</v>
      </c>
      <c r="B1468" s="562" t="s">
        <v>787</v>
      </c>
      <c r="C1468" s="403">
        <v>742</v>
      </c>
      <c r="D1468" s="400"/>
      <c r="E1468" s="400"/>
      <c r="F1468" s="400"/>
      <c r="G1468" s="400"/>
      <c r="H1468" s="396"/>
    </row>
    <row r="1469" spans="1:8" s="401" customFormat="1" ht="14.25" customHeight="1" x14ac:dyDescent="0.25">
      <c r="A1469" s="564">
        <v>3009</v>
      </c>
      <c r="B1469" s="562" t="s">
        <v>790</v>
      </c>
      <c r="C1469" s="403">
        <v>361</v>
      </c>
      <c r="D1469" s="400"/>
      <c r="E1469" s="400"/>
      <c r="F1469" s="400"/>
      <c r="G1469" s="400"/>
      <c r="H1469" s="396"/>
    </row>
    <row r="1470" spans="1:8" s="401" customFormat="1" ht="14.25" customHeight="1" x14ac:dyDescent="0.25">
      <c r="A1470" s="564">
        <v>3010</v>
      </c>
      <c r="B1470" s="562" t="s">
        <v>798</v>
      </c>
      <c r="C1470" s="403">
        <v>4658</v>
      </c>
      <c r="D1470" s="400"/>
      <c r="E1470" s="400"/>
      <c r="F1470" s="400"/>
      <c r="G1470" s="400"/>
      <c r="H1470" s="396"/>
    </row>
    <row r="1471" spans="1:8" s="401" customFormat="1" ht="14.25" customHeight="1" x14ac:dyDescent="0.25">
      <c r="A1471" s="564">
        <v>3029</v>
      </c>
      <c r="B1471" s="562" t="s">
        <v>787</v>
      </c>
      <c r="C1471" s="403">
        <v>1</v>
      </c>
      <c r="D1471" s="400"/>
      <c r="E1471" s="400"/>
      <c r="F1471" s="400"/>
      <c r="G1471" s="400"/>
      <c r="H1471" s="396"/>
    </row>
    <row r="1472" spans="1:8" s="401" customFormat="1" ht="14.25" customHeight="1" x14ac:dyDescent="0.25">
      <c r="A1472" s="564">
        <v>3030</v>
      </c>
      <c r="B1472" s="562" t="s">
        <v>828</v>
      </c>
      <c r="C1472" s="403">
        <v>2158</v>
      </c>
      <c r="D1472" s="400"/>
      <c r="E1472" s="400"/>
      <c r="F1472" s="400"/>
      <c r="G1472" s="400"/>
      <c r="H1472" s="396"/>
    </row>
    <row r="1473" spans="1:8" s="401" customFormat="1" ht="14.25" customHeight="1" x14ac:dyDescent="0.25">
      <c r="A1473" s="564">
        <v>3033</v>
      </c>
      <c r="B1473" s="562" t="s">
        <v>828</v>
      </c>
      <c r="C1473" s="403">
        <v>690</v>
      </c>
      <c r="D1473" s="400"/>
      <c r="E1473" s="400"/>
      <c r="F1473" s="400"/>
      <c r="G1473" s="400"/>
      <c r="H1473" s="396"/>
    </row>
    <row r="1474" spans="1:8" s="401" customFormat="1" ht="14.25" customHeight="1" x14ac:dyDescent="0.25">
      <c r="A1474" s="564">
        <v>3034</v>
      </c>
      <c r="B1474" s="562" t="s">
        <v>785</v>
      </c>
      <c r="C1474" s="403">
        <v>448</v>
      </c>
      <c r="D1474" s="400"/>
      <c r="E1474" s="400"/>
      <c r="F1474" s="400"/>
      <c r="G1474" s="400"/>
      <c r="H1474" s="396"/>
    </row>
    <row r="1475" spans="1:8" s="401" customFormat="1" ht="14.25" customHeight="1" x14ac:dyDescent="0.25">
      <c r="A1475" s="564">
        <v>3070</v>
      </c>
      <c r="B1475" s="562" t="s">
        <v>787</v>
      </c>
      <c r="C1475" s="403">
        <v>2070</v>
      </c>
      <c r="D1475" s="400"/>
      <c r="E1475" s="400"/>
      <c r="F1475" s="400"/>
      <c r="G1475" s="400"/>
      <c r="H1475" s="396"/>
    </row>
    <row r="1476" spans="1:8" s="401" customFormat="1" ht="14.25" customHeight="1" x14ac:dyDescent="0.25">
      <c r="A1476" s="564">
        <v>3073</v>
      </c>
      <c r="B1476" s="562" t="s">
        <v>787</v>
      </c>
      <c r="C1476" s="403">
        <v>1</v>
      </c>
      <c r="D1476" s="400"/>
      <c r="E1476" s="400"/>
      <c r="F1476" s="400"/>
      <c r="G1476" s="400"/>
      <c r="H1476" s="396"/>
    </row>
    <row r="1477" spans="1:8" s="401" customFormat="1" ht="14.25" customHeight="1" x14ac:dyDescent="0.25">
      <c r="A1477" s="564">
        <v>3077</v>
      </c>
      <c r="B1477" s="562" t="s">
        <v>787</v>
      </c>
      <c r="C1477" s="403">
        <v>1</v>
      </c>
      <c r="D1477" s="400"/>
      <c r="E1477" s="400"/>
      <c r="F1477" s="400"/>
      <c r="G1477" s="400"/>
      <c r="H1477" s="396"/>
    </row>
    <row r="1478" spans="1:8" s="401" customFormat="1" ht="14.25" customHeight="1" x14ac:dyDescent="0.25">
      <c r="A1478" s="564">
        <v>3080</v>
      </c>
      <c r="B1478" s="562" t="s">
        <v>804</v>
      </c>
      <c r="C1478" s="403">
        <v>1</v>
      </c>
      <c r="D1478" s="400"/>
      <c r="E1478" s="400"/>
      <c r="F1478" s="400"/>
      <c r="G1478" s="400"/>
      <c r="H1478" s="396"/>
    </row>
    <row r="1479" spans="1:8" s="401" customFormat="1" ht="14.25" customHeight="1" x14ac:dyDescent="0.25">
      <c r="A1479" s="564">
        <v>3082</v>
      </c>
      <c r="B1479" s="562" t="s">
        <v>790</v>
      </c>
      <c r="C1479" s="403">
        <v>1</v>
      </c>
      <c r="D1479" s="400"/>
      <c r="E1479" s="400"/>
      <c r="F1479" s="400"/>
      <c r="G1479" s="400"/>
      <c r="H1479" s="396"/>
    </row>
    <row r="1480" spans="1:8" s="401" customFormat="1" ht="14.25" customHeight="1" x14ac:dyDescent="0.25">
      <c r="A1480" s="564">
        <v>3084</v>
      </c>
      <c r="B1480" s="562" t="s">
        <v>785</v>
      </c>
      <c r="C1480" s="403">
        <v>1</v>
      </c>
      <c r="D1480" s="400"/>
      <c r="E1480" s="400"/>
      <c r="F1480" s="400"/>
      <c r="G1480" s="400"/>
      <c r="H1480" s="396"/>
    </row>
    <row r="1481" spans="1:8" s="401" customFormat="1" ht="14.25" customHeight="1" x14ac:dyDescent="0.25">
      <c r="A1481" s="564">
        <v>3086</v>
      </c>
      <c r="B1481" s="562" t="s">
        <v>785</v>
      </c>
      <c r="C1481" s="403">
        <v>1</v>
      </c>
      <c r="D1481" s="400"/>
      <c r="E1481" s="400"/>
      <c r="F1481" s="400"/>
      <c r="G1481" s="400"/>
      <c r="H1481" s="396"/>
    </row>
    <row r="1482" spans="1:8" s="401" customFormat="1" ht="14.25" customHeight="1" x14ac:dyDescent="0.25">
      <c r="A1482" s="564">
        <v>3089</v>
      </c>
      <c r="B1482" s="562" t="s">
        <v>785</v>
      </c>
      <c r="C1482" s="403">
        <v>1</v>
      </c>
      <c r="D1482" s="400"/>
      <c r="E1482" s="400"/>
      <c r="F1482" s="400"/>
      <c r="G1482" s="400"/>
      <c r="H1482" s="396"/>
    </row>
    <row r="1483" spans="1:8" s="401" customFormat="1" ht="14.25" customHeight="1" x14ac:dyDescent="0.25">
      <c r="A1483" s="564">
        <v>3091</v>
      </c>
      <c r="B1483" s="562" t="s">
        <v>785</v>
      </c>
      <c r="C1483" s="403">
        <v>1</v>
      </c>
      <c r="D1483" s="400"/>
      <c r="E1483" s="400"/>
      <c r="F1483" s="400"/>
      <c r="G1483" s="400"/>
      <c r="H1483" s="396"/>
    </row>
    <row r="1484" spans="1:8" s="401" customFormat="1" ht="14.25" customHeight="1" x14ac:dyDescent="0.25">
      <c r="A1484" s="564">
        <v>3166</v>
      </c>
      <c r="B1484" s="562" t="s">
        <v>785</v>
      </c>
      <c r="C1484" s="403">
        <v>1288</v>
      </c>
      <c r="D1484" s="400"/>
      <c r="E1484" s="400"/>
      <c r="F1484" s="400"/>
      <c r="G1484" s="400"/>
      <c r="H1484" s="396"/>
    </row>
    <row r="1485" spans="1:8" s="401" customFormat="1" ht="14.25" customHeight="1" x14ac:dyDescent="0.25">
      <c r="A1485" s="564">
        <v>3183</v>
      </c>
      <c r="B1485" s="562" t="s">
        <v>785</v>
      </c>
      <c r="C1485" s="403">
        <v>264</v>
      </c>
      <c r="D1485" s="400"/>
      <c r="E1485" s="400"/>
      <c r="F1485" s="400"/>
      <c r="G1485" s="400"/>
      <c r="H1485" s="396"/>
    </row>
    <row r="1486" spans="1:8" s="401" customFormat="1" ht="14.25" customHeight="1" x14ac:dyDescent="0.25">
      <c r="A1486" s="564">
        <v>3208</v>
      </c>
      <c r="B1486" s="562" t="s">
        <v>813</v>
      </c>
      <c r="C1486" s="403">
        <v>199</v>
      </c>
      <c r="D1486" s="400"/>
      <c r="E1486" s="400"/>
      <c r="F1486" s="400"/>
      <c r="G1486" s="400"/>
      <c r="H1486" s="396"/>
    </row>
    <row r="1487" spans="1:8" s="401" customFormat="1" ht="14.25" customHeight="1" x14ac:dyDescent="0.25">
      <c r="A1487" s="564">
        <v>3211</v>
      </c>
      <c r="B1487" s="562" t="s">
        <v>787</v>
      </c>
      <c r="C1487" s="403">
        <v>7176</v>
      </c>
      <c r="D1487" s="400"/>
      <c r="E1487" s="400"/>
      <c r="F1487" s="400"/>
      <c r="G1487" s="400"/>
      <c r="H1487" s="396"/>
    </row>
    <row r="1488" spans="1:8" s="401" customFormat="1" ht="14.25" customHeight="1" x14ac:dyDescent="0.25">
      <c r="A1488" s="564">
        <v>3215</v>
      </c>
      <c r="B1488" s="562" t="s">
        <v>785</v>
      </c>
      <c r="C1488" s="403">
        <v>1</v>
      </c>
      <c r="D1488" s="400"/>
      <c r="E1488" s="400"/>
      <c r="F1488" s="400"/>
      <c r="G1488" s="400"/>
      <c r="H1488" s="396"/>
    </row>
    <row r="1489" spans="1:8" s="401" customFormat="1" ht="14.25" customHeight="1" x14ac:dyDescent="0.25">
      <c r="A1489" s="564">
        <v>3219</v>
      </c>
      <c r="B1489" s="562" t="s">
        <v>785</v>
      </c>
      <c r="C1489" s="403">
        <v>1840</v>
      </c>
      <c r="D1489" s="400"/>
      <c r="E1489" s="400"/>
      <c r="F1489" s="400"/>
      <c r="G1489" s="400"/>
      <c r="H1489" s="396"/>
    </row>
    <row r="1490" spans="1:8" s="401" customFormat="1" ht="14.25" customHeight="1" x14ac:dyDescent="0.25">
      <c r="A1490" s="564">
        <v>3225</v>
      </c>
      <c r="B1490" s="562" t="s">
        <v>798</v>
      </c>
      <c r="C1490" s="403">
        <v>2035</v>
      </c>
      <c r="D1490" s="400"/>
      <c r="E1490" s="400"/>
      <c r="F1490" s="400"/>
      <c r="G1490" s="400"/>
      <c r="H1490" s="396"/>
    </row>
    <row r="1491" spans="1:8" s="401" customFormat="1" ht="14.25" customHeight="1" x14ac:dyDescent="0.25">
      <c r="A1491" s="564">
        <v>3229</v>
      </c>
      <c r="B1491" s="562" t="s">
        <v>785</v>
      </c>
      <c r="C1491" s="403">
        <v>460</v>
      </c>
      <c r="D1491" s="400"/>
      <c r="E1491" s="400"/>
      <c r="F1491" s="400"/>
      <c r="G1491" s="400"/>
      <c r="H1491" s="396"/>
    </row>
    <row r="1492" spans="1:8" s="401" customFormat="1" ht="14.25" customHeight="1" x14ac:dyDescent="0.25">
      <c r="A1492" s="564">
        <v>3232</v>
      </c>
      <c r="B1492" s="562" t="s">
        <v>787</v>
      </c>
      <c r="C1492" s="403">
        <v>9338</v>
      </c>
      <c r="D1492" s="400"/>
      <c r="E1492" s="400"/>
      <c r="F1492" s="400"/>
      <c r="G1492" s="400"/>
      <c r="H1492" s="396"/>
    </row>
    <row r="1493" spans="1:8" s="401" customFormat="1" ht="14.25" customHeight="1" x14ac:dyDescent="0.25">
      <c r="A1493" s="564">
        <v>3237</v>
      </c>
      <c r="B1493" s="562" t="s">
        <v>806</v>
      </c>
      <c r="C1493" s="403">
        <v>1</v>
      </c>
      <c r="D1493" s="400"/>
      <c r="E1493" s="400"/>
      <c r="F1493" s="400"/>
      <c r="G1493" s="400"/>
      <c r="H1493" s="396"/>
    </row>
    <row r="1494" spans="1:8" s="401" customFormat="1" ht="14.25" customHeight="1" x14ac:dyDescent="0.25">
      <c r="A1494" s="564">
        <v>3240</v>
      </c>
      <c r="B1494" s="562" t="s">
        <v>787</v>
      </c>
      <c r="C1494" s="403">
        <v>1</v>
      </c>
      <c r="D1494" s="400"/>
      <c r="E1494" s="400"/>
      <c r="F1494" s="400"/>
      <c r="G1494" s="400"/>
      <c r="H1494" s="396"/>
    </row>
    <row r="1495" spans="1:8" s="401" customFormat="1" ht="14.25" customHeight="1" x14ac:dyDescent="0.25">
      <c r="A1495" s="564">
        <v>3244</v>
      </c>
      <c r="B1495" s="562" t="s">
        <v>792</v>
      </c>
      <c r="C1495" s="403">
        <v>1</v>
      </c>
      <c r="D1495" s="400"/>
      <c r="E1495" s="400"/>
      <c r="F1495" s="400"/>
      <c r="G1495" s="400"/>
      <c r="H1495" s="396"/>
    </row>
    <row r="1496" spans="1:8" s="401" customFormat="1" ht="14.25" customHeight="1" x14ac:dyDescent="0.25">
      <c r="A1496" s="564">
        <v>3249</v>
      </c>
      <c r="B1496" s="562" t="s">
        <v>785</v>
      </c>
      <c r="C1496" s="403">
        <v>1</v>
      </c>
      <c r="D1496" s="400"/>
      <c r="E1496" s="400"/>
      <c r="F1496" s="400"/>
      <c r="G1496" s="400"/>
      <c r="H1496" s="396"/>
    </row>
    <row r="1497" spans="1:8" s="401" customFormat="1" ht="14.25" customHeight="1" x14ac:dyDescent="0.25">
      <c r="A1497" s="564">
        <v>3253</v>
      </c>
      <c r="B1497" s="562" t="s">
        <v>785</v>
      </c>
      <c r="C1497" s="403">
        <v>1</v>
      </c>
      <c r="D1497" s="400"/>
      <c r="E1497" s="400"/>
      <c r="F1497" s="400"/>
      <c r="G1497" s="400"/>
      <c r="H1497" s="396"/>
    </row>
    <row r="1498" spans="1:8" s="401" customFormat="1" ht="14.25" customHeight="1" x14ac:dyDescent="0.25">
      <c r="A1498" s="564">
        <v>3256</v>
      </c>
      <c r="B1498" s="562" t="s">
        <v>785</v>
      </c>
      <c r="C1498" s="403">
        <v>1</v>
      </c>
      <c r="D1498" s="400"/>
      <c r="E1498" s="400"/>
      <c r="F1498" s="400"/>
      <c r="G1498" s="400"/>
      <c r="H1498" s="396"/>
    </row>
    <row r="1499" spans="1:8" s="401" customFormat="1" ht="14.25" customHeight="1" x14ac:dyDescent="0.25">
      <c r="A1499" s="564">
        <v>3263</v>
      </c>
      <c r="B1499" s="562" t="s">
        <v>818</v>
      </c>
      <c r="C1499" s="403">
        <v>265</v>
      </c>
      <c r="D1499" s="400"/>
      <c r="E1499" s="400"/>
      <c r="F1499" s="400"/>
      <c r="G1499" s="400"/>
      <c r="H1499" s="396"/>
    </row>
    <row r="1500" spans="1:8" s="401" customFormat="1" ht="14.25" customHeight="1" x14ac:dyDescent="0.25">
      <c r="A1500" s="564">
        <v>3266</v>
      </c>
      <c r="B1500" s="562" t="s">
        <v>818</v>
      </c>
      <c r="C1500" s="403">
        <v>265</v>
      </c>
      <c r="D1500" s="400"/>
      <c r="E1500" s="400"/>
      <c r="F1500" s="400"/>
      <c r="G1500" s="400"/>
      <c r="H1500" s="396"/>
    </row>
    <row r="1501" spans="1:8" s="401" customFormat="1" ht="14.25" customHeight="1" x14ac:dyDescent="0.25">
      <c r="A1501" s="564">
        <v>3270</v>
      </c>
      <c r="B1501" s="562" t="s">
        <v>818</v>
      </c>
      <c r="C1501" s="403">
        <v>265</v>
      </c>
      <c r="D1501" s="400"/>
      <c r="E1501" s="400"/>
      <c r="F1501" s="400"/>
      <c r="G1501" s="400"/>
      <c r="H1501" s="396"/>
    </row>
    <row r="1502" spans="1:8" s="401" customFormat="1" ht="14.25" customHeight="1" x14ac:dyDescent="0.25">
      <c r="A1502" s="564">
        <v>3274</v>
      </c>
      <c r="B1502" s="562" t="s">
        <v>818</v>
      </c>
      <c r="C1502" s="403">
        <v>265</v>
      </c>
      <c r="D1502" s="400"/>
      <c r="E1502" s="400"/>
      <c r="F1502" s="400"/>
      <c r="G1502" s="400"/>
      <c r="H1502" s="396"/>
    </row>
    <row r="1503" spans="1:8" s="401" customFormat="1" ht="14.25" customHeight="1" x14ac:dyDescent="0.25">
      <c r="A1503" s="564">
        <v>3277</v>
      </c>
      <c r="B1503" s="562" t="s">
        <v>818</v>
      </c>
      <c r="C1503" s="403">
        <v>265</v>
      </c>
      <c r="D1503" s="400"/>
      <c r="E1503" s="400"/>
      <c r="F1503" s="400"/>
      <c r="G1503" s="400"/>
      <c r="H1503" s="396"/>
    </row>
    <row r="1504" spans="1:8" s="401" customFormat="1" ht="14.25" customHeight="1" x14ac:dyDescent="0.25">
      <c r="A1504" s="564">
        <v>3621</v>
      </c>
      <c r="B1504" s="562" t="s">
        <v>787</v>
      </c>
      <c r="C1504" s="403">
        <v>1</v>
      </c>
      <c r="D1504" s="400"/>
      <c r="E1504" s="400"/>
      <c r="F1504" s="400"/>
      <c r="G1504" s="400"/>
      <c r="H1504" s="396"/>
    </row>
    <row r="1505" spans="1:8" s="401" customFormat="1" ht="14.25" customHeight="1" x14ac:dyDescent="0.25">
      <c r="A1505" s="564">
        <v>3635</v>
      </c>
      <c r="B1505" s="562" t="s">
        <v>787</v>
      </c>
      <c r="C1505" s="403">
        <v>1</v>
      </c>
      <c r="D1505" s="400"/>
      <c r="E1505" s="400"/>
      <c r="F1505" s="400"/>
      <c r="G1505" s="400"/>
      <c r="H1505" s="396"/>
    </row>
    <row r="1506" spans="1:8" s="401" customFormat="1" ht="14.25" customHeight="1" x14ac:dyDescent="0.25">
      <c r="A1506" s="564">
        <v>3640</v>
      </c>
      <c r="B1506" s="562" t="s">
        <v>787</v>
      </c>
      <c r="C1506" s="403">
        <v>1</v>
      </c>
      <c r="D1506" s="400"/>
      <c r="E1506" s="400"/>
      <c r="F1506" s="400"/>
      <c r="G1506" s="400"/>
      <c r="H1506" s="396"/>
    </row>
    <row r="1507" spans="1:8" s="401" customFormat="1" ht="14.25" customHeight="1" x14ac:dyDescent="0.25">
      <c r="A1507" s="564">
        <v>3646</v>
      </c>
      <c r="B1507" s="562" t="s">
        <v>785</v>
      </c>
      <c r="C1507" s="403">
        <v>1840</v>
      </c>
      <c r="D1507" s="400"/>
      <c r="E1507" s="400"/>
      <c r="F1507" s="400"/>
      <c r="G1507" s="400"/>
      <c r="H1507" s="396"/>
    </row>
    <row r="1508" spans="1:8" s="401" customFormat="1" ht="14.25" customHeight="1" x14ac:dyDescent="0.25">
      <c r="A1508" s="564">
        <v>3649</v>
      </c>
      <c r="B1508" s="562" t="s">
        <v>785</v>
      </c>
      <c r="C1508" s="403">
        <v>460</v>
      </c>
      <c r="D1508" s="400"/>
      <c r="E1508" s="400"/>
      <c r="F1508" s="400"/>
      <c r="G1508" s="400"/>
      <c r="H1508" s="396"/>
    </row>
    <row r="1509" spans="1:8" s="401" customFormat="1" ht="14.25" customHeight="1" x14ac:dyDescent="0.25">
      <c r="A1509" s="564">
        <v>3653</v>
      </c>
      <c r="B1509" s="562" t="s">
        <v>845</v>
      </c>
      <c r="C1509" s="403">
        <v>265</v>
      </c>
      <c r="D1509" s="400"/>
      <c r="E1509" s="400"/>
      <c r="F1509" s="400"/>
      <c r="G1509" s="400"/>
      <c r="H1509" s="396"/>
    </row>
    <row r="1510" spans="1:8" s="401" customFormat="1" ht="14.25" customHeight="1" x14ac:dyDescent="0.25">
      <c r="A1510" s="564">
        <v>3656</v>
      </c>
      <c r="B1510" s="562" t="s">
        <v>818</v>
      </c>
      <c r="C1510" s="403">
        <v>265</v>
      </c>
      <c r="D1510" s="400"/>
      <c r="E1510" s="400"/>
      <c r="F1510" s="400"/>
      <c r="G1510" s="400"/>
      <c r="H1510" s="396"/>
    </row>
    <row r="1511" spans="1:8" s="401" customFormat="1" ht="14.25" customHeight="1" x14ac:dyDescent="0.25">
      <c r="A1511" s="564">
        <v>3658</v>
      </c>
      <c r="B1511" s="562" t="s">
        <v>818</v>
      </c>
      <c r="C1511" s="403">
        <v>265</v>
      </c>
      <c r="D1511" s="400"/>
      <c r="E1511" s="400"/>
      <c r="F1511" s="400"/>
      <c r="G1511" s="400"/>
      <c r="H1511" s="396"/>
    </row>
    <row r="1512" spans="1:8" s="401" customFormat="1" ht="14.25" customHeight="1" x14ac:dyDescent="0.25">
      <c r="A1512" s="564">
        <v>3660</v>
      </c>
      <c r="B1512" s="562" t="s">
        <v>818</v>
      </c>
      <c r="C1512" s="403">
        <v>265</v>
      </c>
      <c r="D1512" s="400"/>
      <c r="E1512" s="400"/>
      <c r="F1512" s="400"/>
      <c r="G1512" s="400"/>
      <c r="H1512" s="396"/>
    </row>
    <row r="1513" spans="1:8" s="401" customFormat="1" ht="14.25" customHeight="1" x14ac:dyDescent="0.25">
      <c r="A1513" s="564">
        <v>3662</v>
      </c>
      <c r="B1513" s="562" t="s">
        <v>818</v>
      </c>
      <c r="C1513" s="403">
        <v>265</v>
      </c>
      <c r="D1513" s="400"/>
      <c r="E1513" s="400"/>
      <c r="F1513" s="400"/>
      <c r="G1513" s="400"/>
      <c r="H1513" s="396"/>
    </row>
    <row r="1514" spans="1:8" s="401" customFormat="1" ht="14.25" customHeight="1" x14ac:dyDescent="0.25">
      <c r="A1514" s="564">
        <v>3855</v>
      </c>
      <c r="B1514" s="562" t="s">
        <v>818</v>
      </c>
      <c r="C1514" s="403">
        <v>265</v>
      </c>
      <c r="D1514" s="400"/>
      <c r="E1514" s="400"/>
      <c r="F1514" s="400"/>
      <c r="G1514" s="400"/>
      <c r="H1514" s="396"/>
    </row>
    <row r="1515" spans="1:8" s="401" customFormat="1" ht="14.25" customHeight="1" x14ac:dyDescent="0.25">
      <c r="A1515" s="564">
        <v>3857</v>
      </c>
      <c r="B1515" s="562" t="s">
        <v>818</v>
      </c>
      <c r="C1515" s="403">
        <v>265</v>
      </c>
      <c r="D1515" s="400"/>
      <c r="E1515" s="400"/>
      <c r="F1515" s="400"/>
      <c r="G1515" s="400"/>
      <c r="H1515" s="396"/>
    </row>
    <row r="1516" spans="1:8" s="401" customFormat="1" ht="14.25" customHeight="1" x14ac:dyDescent="0.25">
      <c r="A1516" s="564">
        <v>3859</v>
      </c>
      <c r="B1516" s="562" t="s">
        <v>818</v>
      </c>
      <c r="C1516" s="403">
        <v>265</v>
      </c>
      <c r="D1516" s="400"/>
      <c r="E1516" s="400"/>
      <c r="F1516" s="400"/>
      <c r="G1516" s="400"/>
      <c r="H1516" s="396"/>
    </row>
    <row r="1517" spans="1:8" s="401" customFormat="1" ht="14.25" customHeight="1" x14ac:dyDescent="0.25">
      <c r="A1517" s="564">
        <v>3865</v>
      </c>
      <c r="B1517" s="562" t="s">
        <v>818</v>
      </c>
      <c r="C1517" s="403">
        <v>265</v>
      </c>
      <c r="D1517" s="400"/>
      <c r="E1517" s="400"/>
      <c r="F1517" s="400"/>
      <c r="G1517" s="400"/>
      <c r="H1517" s="396"/>
    </row>
    <row r="1518" spans="1:8" s="401" customFormat="1" ht="14.25" customHeight="1" x14ac:dyDescent="0.25">
      <c r="A1518" s="564">
        <v>3867</v>
      </c>
      <c r="B1518" s="562" t="s">
        <v>818</v>
      </c>
      <c r="C1518" s="403">
        <v>265</v>
      </c>
      <c r="D1518" s="400"/>
      <c r="E1518" s="400"/>
      <c r="F1518" s="400"/>
      <c r="G1518" s="400"/>
      <c r="H1518" s="396"/>
    </row>
    <row r="1519" spans="1:8" s="401" customFormat="1" ht="14.25" customHeight="1" x14ac:dyDescent="0.25">
      <c r="A1519" s="564">
        <v>3869</v>
      </c>
      <c r="B1519" s="562" t="s">
        <v>818</v>
      </c>
      <c r="C1519" s="403">
        <v>265</v>
      </c>
      <c r="D1519" s="400"/>
      <c r="E1519" s="400"/>
      <c r="F1519" s="400"/>
      <c r="G1519" s="400"/>
      <c r="H1519" s="396"/>
    </row>
    <row r="1520" spans="1:8" s="401" customFormat="1" ht="14.25" customHeight="1" x14ac:dyDescent="0.25">
      <c r="A1520" s="564">
        <v>3871</v>
      </c>
      <c r="B1520" s="562" t="s">
        <v>818</v>
      </c>
      <c r="C1520" s="403">
        <v>265</v>
      </c>
      <c r="D1520" s="400"/>
      <c r="E1520" s="400"/>
      <c r="F1520" s="400"/>
      <c r="G1520" s="400"/>
      <c r="H1520" s="396"/>
    </row>
    <row r="1521" spans="1:8" s="401" customFormat="1" ht="14.25" customHeight="1" x14ac:dyDescent="0.25">
      <c r="A1521" s="564">
        <v>3872</v>
      </c>
      <c r="B1521" s="562" t="s">
        <v>818</v>
      </c>
      <c r="C1521" s="403">
        <v>265</v>
      </c>
      <c r="D1521" s="400"/>
      <c r="E1521" s="400"/>
      <c r="F1521" s="400"/>
      <c r="G1521" s="400"/>
      <c r="H1521" s="396"/>
    </row>
    <row r="1522" spans="1:8" s="401" customFormat="1" ht="14.25" customHeight="1" x14ac:dyDescent="0.25">
      <c r="A1522" s="564">
        <v>3931</v>
      </c>
      <c r="B1522" s="562" t="s">
        <v>791</v>
      </c>
      <c r="C1522" s="403">
        <v>1035</v>
      </c>
      <c r="D1522" s="400"/>
      <c r="E1522" s="400"/>
      <c r="F1522" s="400"/>
      <c r="G1522" s="400"/>
      <c r="H1522" s="396"/>
    </row>
    <row r="1523" spans="1:8" s="401" customFormat="1" ht="14.25" customHeight="1" x14ac:dyDescent="0.25">
      <c r="A1523" s="564">
        <v>3933</v>
      </c>
      <c r="B1523" s="562" t="s">
        <v>790</v>
      </c>
      <c r="C1523" s="403">
        <v>920</v>
      </c>
      <c r="D1523" s="400"/>
      <c r="E1523" s="400"/>
      <c r="F1523" s="400"/>
      <c r="G1523" s="400"/>
      <c r="H1523" s="396"/>
    </row>
    <row r="1524" spans="1:8" s="401" customFormat="1" ht="14.25" customHeight="1" x14ac:dyDescent="0.25">
      <c r="A1524" s="564">
        <v>3937</v>
      </c>
      <c r="B1524" s="562" t="s">
        <v>791</v>
      </c>
      <c r="C1524" s="403">
        <v>1</v>
      </c>
      <c r="D1524" s="400"/>
      <c r="E1524" s="400"/>
      <c r="F1524" s="400"/>
      <c r="G1524" s="400"/>
      <c r="H1524" s="396"/>
    </row>
    <row r="1525" spans="1:8" s="401" customFormat="1" ht="14.25" customHeight="1" x14ac:dyDescent="0.25">
      <c r="A1525" s="564">
        <v>3939</v>
      </c>
      <c r="B1525" s="562" t="s">
        <v>791</v>
      </c>
      <c r="C1525" s="403">
        <v>9200</v>
      </c>
      <c r="D1525" s="400"/>
      <c r="E1525" s="400"/>
      <c r="F1525" s="400"/>
      <c r="G1525" s="400"/>
      <c r="H1525" s="396"/>
    </row>
    <row r="1526" spans="1:8" s="401" customFormat="1" ht="14.25" customHeight="1" x14ac:dyDescent="0.25">
      <c r="A1526" s="564">
        <v>3941</v>
      </c>
      <c r="B1526" s="562" t="s">
        <v>790</v>
      </c>
      <c r="C1526" s="403">
        <v>4312</v>
      </c>
      <c r="D1526" s="400"/>
      <c r="E1526" s="400"/>
      <c r="F1526" s="400"/>
      <c r="G1526" s="400"/>
      <c r="H1526" s="396"/>
    </row>
    <row r="1527" spans="1:8" s="401" customFormat="1" ht="14.25" customHeight="1" x14ac:dyDescent="0.25">
      <c r="A1527" s="564">
        <v>3951</v>
      </c>
      <c r="B1527" s="562" t="s">
        <v>785</v>
      </c>
      <c r="C1527" s="403">
        <v>1</v>
      </c>
      <c r="D1527" s="400"/>
      <c r="E1527" s="400"/>
      <c r="F1527" s="400"/>
      <c r="G1527" s="400"/>
      <c r="H1527" s="396"/>
    </row>
    <row r="1528" spans="1:8" s="401" customFormat="1" ht="14.25" customHeight="1" x14ac:dyDescent="0.25">
      <c r="A1528" s="564">
        <v>3953</v>
      </c>
      <c r="B1528" s="562" t="s">
        <v>785</v>
      </c>
      <c r="C1528" s="403">
        <v>1</v>
      </c>
      <c r="D1528" s="400"/>
      <c r="E1528" s="400"/>
      <c r="F1528" s="400"/>
      <c r="G1528" s="400"/>
      <c r="H1528" s="396"/>
    </row>
    <row r="1529" spans="1:8" s="401" customFormat="1" ht="14.25" customHeight="1" x14ac:dyDescent="0.25">
      <c r="A1529" s="564">
        <v>3957</v>
      </c>
      <c r="B1529" s="562" t="s">
        <v>818</v>
      </c>
      <c r="C1529" s="403">
        <v>4767</v>
      </c>
      <c r="D1529" s="400"/>
      <c r="E1529" s="400"/>
      <c r="F1529" s="400"/>
      <c r="G1529" s="400"/>
      <c r="H1529" s="396"/>
    </row>
    <row r="1530" spans="1:8" s="401" customFormat="1" ht="14.25" customHeight="1" x14ac:dyDescent="0.25">
      <c r="A1530" s="564">
        <v>3960</v>
      </c>
      <c r="B1530" s="562" t="s">
        <v>818</v>
      </c>
      <c r="C1530" s="403">
        <v>4767</v>
      </c>
      <c r="D1530" s="400"/>
      <c r="E1530" s="400"/>
      <c r="F1530" s="400"/>
      <c r="G1530" s="400"/>
      <c r="H1530" s="396"/>
    </row>
    <row r="1531" spans="1:8" s="401" customFormat="1" ht="14.25" customHeight="1" x14ac:dyDescent="0.25">
      <c r="A1531" s="564">
        <v>3964</v>
      </c>
      <c r="B1531" s="562" t="s">
        <v>785</v>
      </c>
      <c r="C1531" s="403">
        <v>851</v>
      </c>
      <c r="D1531" s="400"/>
      <c r="E1531" s="400"/>
      <c r="F1531" s="400"/>
      <c r="G1531" s="400"/>
      <c r="H1531" s="396"/>
    </row>
    <row r="1532" spans="1:8" s="401" customFormat="1" ht="14.25" customHeight="1" x14ac:dyDescent="0.25">
      <c r="A1532" s="564">
        <v>3965</v>
      </c>
      <c r="B1532" s="562" t="s">
        <v>787</v>
      </c>
      <c r="C1532" s="403">
        <v>1</v>
      </c>
      <c r="D1532" s="400"/>
      <c r="E1532" s="400"/>
      <c r="F1532" s="400"/>
      <c r="G1532" s="400"/>
      <c r="H1532" s="396"/>
    </row>
    <row r="1533" spans="1:8" s="401" customFormat="1" ht="14.25" customHeight="1" x14ac:dyDescent="0.25">
      <c r="A1533" s="564">
        <v>4845</v>
      </c>
      <c r="B1533" s="562" t="s">
        <v>794</v>
      </c>
      <c r="C1533" s="403">
        <v>1048.29</v>
      </c>
      <c r="D1533" s="400"/>
      <c r="E1533" s="400"/>
      <c r="F1533" s="400"/>
      <c r="G1533" s="400"/>
      <c r="H1533" s="396"/>
    </row>
    <row r="1534" spans="1:8" s="401" customFormat="1" ht="14.25" customHeight="1" x14ac:dyDescent="0.25">
      <c r="A1534" s="564">
        <v>4218</v>
      </c>
      <c r="B1534" s="562" t="s">
        <v>790</v>
      </c>
      <c r="C1534" s="403">
        <v>1932</v>
      </c>
      <c r="D1534" s="400"/>
      <c r="E1534" s="400"/>
      <c r="F1534" s="400"/>
      <c r="G1534" s="400"/>
      <c r="H1534" s="396"/>
    </row>
    <row r="1535" spans="1:8" s="401" customFormat="1" ht="14.25" customHeight="1" x14ac:dyDescent="0.25">
      <c r="A1535" s="564">
        <v>3613</v>
      </c>
      <c r="B1535" s="562" t="s">
        <v>791</v>
      </c>
      <c r="C1535" s="403">
        <v>1035</v>
      </c>
      <c r="D1535" s="400"/>
      <c r="E1535" s="400"/>
      <c r="F1535" s="400"/>
      <c r="G1535" s="400"/>
      <c r="H1535" s="396"/>
    </row>
    <row r="1536" spans="1:8" s="401" customFormat="1" ht="14.25" customHeight="1" x14ac:dyDescent="0.25">
      <c r="A1536" s="564">
        <v>4143</v>
      </c>
      <c r="B1536" s="562" t="s">
        <v>785</v>
      </c>
      <c r="C1536" s="403">
        <v>6831</v>
      </c>
      <c r="D1536" s="400"/>
      <c r="E1536" s="400"/>
      <c r="F1536" s="400"/>
      <c r="G1536" s="400"/>
      <c r="H1536" s="396"/>
    </row>
    <row r="1537" spans="1:8" s="401" customFormat="1" ht="14.25" customHeight="1" x14ac:dyDescent="0.25">
      <c r="A1537" s="564">
        <v>4146</v>
      </c>
      <c r="B1537" s="562" t="s">
        <v>819</v>
      </c>
      <c r="C1537" s="403">
        <v>454</v>
      </c>
      <c r="D1537" s="400"/>
      <c r="E1537" s="400"/>
      <c r="F1537" s="400"/>
      <c r="G1537" s="400"/>
      <c r="H1537" s="396"/>
    </row>
    <row r="1538" spans="1:8" s="401" customFormat="1" ht="14.25" customHeight="1" x14ac:dyDescent="0.25">
      <c r="A1538" s="564">
        <v>4149</v>
      </c>
      <c r="B1538" s="562" t="s">
        <v>819</v>
      </c>
      <c r="C1538" s="403">
        <v>454</v>
      </c>
      <c r="D1538" s="400"/>
      <c r="E1538" s="400"/>
      <c r="F1538" s="400"/>
      <c r="G1538" s="400"/>
      <c r="H1538" s="396"/>
    </row>
    <row r="1539" spans="1:8" s="401" customFormat="1" ht="14.25" customHeight="1" x14ac:dyDescent="0.25">
      <c r="A1539" s="564">
        <v>4152</v>
      </c>
      <c r="B1539" s="562" t="s">
        <v>826</v>
      </c>
      <c r="C1539" s="403">
        <v>419</v>
      </c>
      <c r="D1539" s="400"/>
      <c r="E1539" s="400"/>
      <c r="F1539" s="400"/>
      <c r="G1539" s="400"/>
      <c r="H1539" s="396"/>
    </row>
    <row r="1540" spans="1:8" s="401" customFormat="1" ht="14.25" customHeight="1" x14ac:dyDescent="0.25">
      <c r="A1540" s="564">
        <v>4156</v>
      </c>
      <c r="B1540" s="562" t="s">
        <v>826</v>
      </c>
      <c r="C1540" s="403">
        <v>419</v>
      </c>
      <c r="D1540" s="400"/>
      <c r="E1540" s="400"/>
      <c r="F1540" s="400"/>
      <c r="G1540" s="400"/>
      <c r="H1540" s="396"/>
    </row>
    <row r="1541" spans="1:8" s="401" customFormat="1" ht="14.25" customHeight="1" x14ac:dyDescent="0.25">
      <c r="A1541" s="564">
        <v>4158</v>
      </c>
      <c r="B1541" s="562" t="s">
        <v>787</v>
      </c>
      <c r="C1541" s="403">
        <v>1</v>
      </c>
      <c r="D1541" s="400"/>
      <c r="E1541" s="400"/>
      <c r="F1541" s="400"/>
      <c r="G1541" s="400"/>
      <c r="H1541" s="396"/>
    </row>
    <row r="1542" spans="1:8" s="401" customFormat="1" ht="14.25" customHeight="1" x14ac:dyDescent="0.25">
      <c r="A1542" s="564">
        <v>4160</v>
      </c>
      <c r="B1542" s="562" t="s">
        <v>787</v>
      </c>
      <c r="C1542" s="403">
        <v>1</v>
      </c>
      <c r="D1542" s="400"/>
      <c r="E1542" s="400"/>
      <c r="F1542" s="400"/>
      <c r="G1542" s="400"/>
      <c r="H1542" s="396"/>
    </row>
    <row r="1543" spans="1:8" s="401" customFormat="1" ht="14.25" customHeight="1" x14ac:dyDescent="0.25">
      <c r="A1543" s="564">
        <v>4211</v>
      </c>
      <c r="B1543" s="562" t="s">
        <v>787</v>
      </c>
      <c r="C1543" s="403">
        <v>1</v>
      </c>
      <c r="D1543" s="400"/>
      <c r="E1543" s="400"/>
      <c r="F1543" s="400"/>
      <c r="G1543" s="400"/>
      <c r="H1543" s="396"/>
    </row>
    <row r="1544" spans="1:8" s="401" customFormat="1" ht="14.25" customHeight="1" x14ac:dyDescent="0.25">
      <c r="A1544" s="564">
        <v>4213</v>
      </c>
      <c r="B1544" s="562" t="s">
        <v>787</v>
      </c>
      <c r="C1544" s="403">
        <v>3830</v>
      </c>
      <c r="D1544" s="400"/>
      <c r="E1544" s="400"/>
      <c r="F1544" s="400"/>
      <c r="G1544" s="400"/>
      <c r="H1544" s="396"/>
    </row>
    <row r="1545" spans="1:8" s="401" customFormat="1" ht="14.25" customHeight="1" x14ac:dyDescent="0.25">
      <c r="A1545" s="564">
        <v>4215</v>
      </c>
      <c r="B1545" s="562" t="s">
        <v>785</v>
      </c>
      <c r="C1545" s="403">
        <v>782</v>
      </c>
      <c r="D1545" s="400"/>
      <c r="E1545" s="400"/>
      <c r="F1545" s="400"/>
      <c r="G1545" s="400"/>
      <c r="H1545" s="396"/>
    </row>
    <row r="1546" spans="1:8" s="401" customFormat="1" ht="14.25" customHeight="1" x14ac:dyDescent="0.25">
      <c r="A1546" s="564">
        <v>4219</v>
      </c>
      <c r="B1546" s="562" t="s">
        <v>790</v>
      </c>
      <c r="C1546" s="403">
        <v>1</v>
      </c>
      <c r="D1546" s="400"/>
      <c r="E1546" s="400"/>
      <c r="F1546" s="400"/>
      <c r="G1546" s="400"/>
      <c r="H1546" s="396"/>
    </row>
    <row r="1547" spans="1:8" s="401" customFormat="1" ht="14.25" customHeight="1" x14ac:dyDescent="0.25">
      <c r="A1547" s="564">
        <v>4224</v>
      </c>
      <c r="B1547" s="562" t="s">
        <v>791</v>
      </c>
      <c r="C1547" s="403">
        <v>1</v>
      </c>
      <c r="D1547" s="400"/>
      <c r="E1547" s="400"/>
      <c r="F1547" s="400"/>
      <c r="G1547" s="400"/>
      <c r="H1547" s="396"/>
    </row>
    <row r="1548" spans="1:8" s="401" customFormat="1" ht="14.25" customHeight="1" x14ac:dyDescent="0.25">
      <c r="A1548" s="564">
        <v>4233</v>
      </c>
      <c r="B1548" s="562" t="s">
        <v>787</v>
      </c>
      <c r="C1548" s="403">
        <v>3264</v>
      </c>
      <c r="D1548" s="400"/>
      <c r="E1548" s="400"/>
      <c r="F1548" s="400"/>
      <c r="G1548" s="400"/>
      <c r="H1548" s="396"/>
    </row>
    <row r="1549" spans="1:8" s="401" customFormat="1" ht="14.25" customHeight="1" x14ac:dyDescent="0.25">
      <c r="A1549" s="564">
        <v>4238</v>
      </c>
      <c r="B1549" s="562" t="s">
        <v>787</v>
      </c>
      <c r="C1549" s="403">
        <v>2047</v>
      </c>
      <c r="D1549" s="400"/>
      <c r="E1549" s="400"/>
      <c r="F1549" s="400"/>
      <c r="G1549" s="400"/>
      <c r="H1549" s="396"/>
    </row>
    <row r="1550" spans="1:8" s="401" customFormat="1" ht="14.25" customHeight="1" x14ac:dyDescent="0.25">
      <c r="A1550" s="564">
        <v>4240</v>
      </c>
      <c r="B1550" s="562" t="s">
        <v>785</v>
      </c>
      <c r="C1550" s="403">
        <v>115</v>
      </c>
      <c r="D1550" s="400"/>
      <c r="E1550" s="400"/>
      <c r="F1550" s="400"/>
      <c r="G1550" s="400"/>
      <c r="H1550" s="396"/>
    </row>
    <row r="1551" spans="1:8" s="401" customFormat="1" ht="14.25" customHeight="1" x14ac:dyDescent="0.25">
      <c r="A1551" s="564">
        <v>4243</v>
      </c>
      <c r="B1551" s="562" t="s">
        <v>785</v>
      </c>
      <c r="C1551" s="403">
        <v>518</v>
      </c>
      <c r="D1551" s="400"/>
      <c r="E1551" s="400"/>
      <c r="F1551" s="400"/>
      <c r="G1551" s="400"/>
      <c r="H1551" s="396"/>
    </row>
    <row r="1552" spans="1:8" s="401" customFormat="1" ht="14.25" customHeight="1" x14ac:dyDescent="0.25">
      <c r="A1552" s="564">
        <v>4245</v>
      </c>
      <c r="B1552" s="562" t="s">
        <v>785</v>
      </c>
      <c r="C1552" s="403">
        <v>115</v>
      </c>
      <c r="D1552" s="400"/>
      <c r="E1552" s="400"/>
      <c r="F1552" s="400"/>
      <c r="G1552" s="400"/>
      <c r="H1552" s="396"/>
    </row>
    <row r="1553" spans="1:8" s="401" customFormat="1" ht="14.25" customHeight="1" x14ac:dyDescent="0.25">
      <c r="A1553" s="564">
        <v>4259</v>
      </c>
      <c r="B1553" s="562" t="s">
        <v>791</v>
      </c>
      <c r="C1553" s="403">
        <v>1</v>
      </c>
      <c r="D1553" s="400"/>
      <c r="E1553" s="400"/>
      <c r="F1553" s="400"/>
      <c r="G1553" s="400"/>
      <c r="H1553" s="396"/>
    </row>
    <row r="1554" spans="1:8" s="401" customFormat="1" ht="14.25" customHeight="1" x14ac:dyDescent="0.25">
      <c r="A1554" s="564">
        <v>4263</v>
      </c>
      <c r="B1554" s="562" t="s">
        <v>791</v>
      </c>
      <c r="C1554" s="403">
        <v>1</v>
      </c>
      <c r="D1554" s="400"/>
      <c r="E1554" s="400"/>
      <c r="F1554" s="400"/>
      <c r="G1554" s="400"/>
      <c r="H1554" s="396"/>
    </row>
    <row r="1555" spans="1:8" s="401" customFormat="1" ht="14.25" customHeight="1" x14ac:dyDescent="0.25">
      <c r="A1555" s="564">
        <v>4276</v>
      </c>
      <c r="B1555" s="562" t="s">
        <v>787</v>
      </c>
      <c r="C1555" s="403">
        <v>1</v>
      </c>
      <c r="D1555" s="400"/>
      <c r="E1555" s="400"/>
      <c r="F1555" s="400"/>
      <c r="G1555" s="400"/>
      <c r="H1555" s="396"/>
    </row>
    <row r="1556" spans="1:8" s="401" customFormat="1" ht="14.25" customHeight="1" x14ac:dyDescent="0.25">
      <c r="A1556" s="564">
        <v>4279</v>
      </c>
      <c r="B1556" s="562" t="s">
        <v>787</v>
      </c>
      <c r="C1556" s="403">
        <v>1</v>
      </c>
      <c r="D1556" s="400"/>
      <c r="E1556" s="400"/>
      <c r="F1556" s="400"/>
      <c r="G1556" s="400"/>
      <c r="H1556" s="396"/>
    </row>
    <row r="1557" spans="1:8" s="401" customFormat="1" ht="14.25" customHeight="1" x14ac:dyDescent="0.25">
      <c r="A1557" s="564">
        <v>4282</v>
      </c>
      <c r="B1557" s="562" t="s">
        <v>787</v>
      </c>
      <c r="C1557" s="403">
        <v>1</v>
      </c>
      <c r="D1557" s="400"/>
      <c r="E1557" s="400"/>
      <c r="F1557" s="400"/>
      <c r="G1557" s="400"/>
      <c r="H1557" s="396"/>
    </row>
    <row r="1558" spans="1:8" s="401" customFormat="1" ht="14.25" customHeight="1" x14ac:dyDescent="0.25">
      <c r="A1558" s="564">
        <v>4284</v>
      </c>
      <c r="B1558" s="562" t="s">
        <v>785</v>
      </c>
      <c r="C1558" s="403">
        <v>334</v>
      </c>
      <c r="D1558" s="400"/>
      <c r="E1558" s="400"/>
      <c r="F1558" s="400"/>
      <c r="G1558" s="400"/>
      <c r="H1558" s="396"/>
    </row>
    <row r="1559" spans="1:8" s="401" customFormat="1" ht="14.25" customHeight="1" x14ac:dyDescent="0.25">
      <c r="A1559" s="564">
        <v>4285</v>
      </c>
      <c r="B1559" s="562" t="s">
        <v>818</v>
      </c>
      <c r="C1559" s="403">
        <v>245</v>
      </c>
      <c r="D1559" s="400"/>
      <c r="E1559" s="400"/>
      <c r="F1559" s="400"/>
      <c r="G1559" s="400"/>
      <c r="H1559" s="396"/>
    </row>
    <row r="1560" spans="1:8" s="401" customFormat="1" ht="14.25" customHeight="1" x14ac:dyDescent="0.25">
      <c r="A1560" s="564">
        <v>4287</v>
      </c>
      <c r="B1560" s="562" t="s">
        <v>819</v>
      </c>
      <c r="C1560" s="403">
        <v>245</v>
      </c>
      <c r="D1560" s="400"/>
      <c r="E1560" s="400"/>
      <c r="F1560" s="400"/>
      <c r="G1560" s="400"/>
      <c r="H1560" s="396"/>
    </row>
    <row r="1561" spans="1:8" s="401" customFormat="1" ht="14.25" customHeight="1" x14ac:dyDescent="0.25">
      <c r="A1561" s="564">
        <v>4288</v>
      </c>
      <c r="B1561" s="562" t="s">
        <v>798</v>
      </c>
      <c r="C1561" s="403">
        <v>1292</v>
      </c>
      <c r="D1561" s="400"/>
      <c r="E1561" s="400"/>
      <c r="F1561" s="400"/>
      <c r="G1561" s="400"/>
      <c r="H1561" s="396"/>
    </row>
    <row r="1562" spans="1:8" s="401" customFormat="1" ht="14.25" customHeight="1" x14ac:dyDescent="0.25">
      <c r="A1562" s="564">
        <v>4296</v>
      </c>
      <c r="B1562" s="562" t="s">
        <v>791</v>
      </c>
      <c r="C1562" s="403">
        <v>1</v>
      </c>
      <c r="D1562" s="400"/>
      <c r="E1562" s="400"/>
      <c r="F1562" s="400"/>
      <c r="G1562" s="400"/>
      <c r="H1562" s="396"/>
    </row>
    <row r="1563" spans="1:8" s="401" customFormat="1" ht="14.25" customHeight="1" x14ac:dyDescent="0.25">
      <c r="A1563" s="564">
        <v>4326</v>
      </c>
      <c r="B1563" s="562" t="s">
        <v>790</v>
      </c>
      <c r="C1563" s="403">
        <v>1854</v>
      </c>
      <c r="D1563" s="400"/>
      <c r="E1563" s="400"/>
      <c r="F1563" s="400"/>
      <c r="G1563" s="400"/>
      <c r="H1563" s="396"/>
    </row>
    <row r="1564" spans="1:8" s="401" customFormat="1" ht="14.25" customHeight="1" x14ac:dyDescent="0.25">
      <c r="A1564" s="564">
        <v>4329</v>
      </c>
      <c r="B1564" s="562" t="s">
        <v>787</v>
      </c>
      <c r="C1564" s="403">
        <v>1</v>
      </c>
      <c r="D1564" s="400"/>
      <c r="E1564" s="400"/>
      <c r="F1564" s="400"/>
      <c r="G1564" s="400"/>
      <c r="H1564" s="396"/>
    </row>
    <row r="1565" spans="1:8" s="401" customFormat="1" ht="14.25" customHeight="1" x14ac:dyDescent="0.25">
      <c r="A1565" s="564">
        <v>4330</v>
      </c>
      <c r="B1565" s="562" t="s">
        <v>785</v>
      </c>
      <c r="C1565" s="403">
        <v>1</v>
      </c>
      <c r="D1565" s="400"/>
      <c r="E1565" s="400"/>
      <c r="F1565" s="400"/>
      <c r="G1565" s="400"/>
      <c r="H1565" s="396"/>
    </row>
    <row r="1566" spans="1:8" s="401" customFormat="1" ht="14.25" customHeight="1" x14ac:dyDescent="0.25">
      <c r="A1566" s="564">
        <v>4332</v>
      </c>
      <c r="B1566" s="562" t="s">
        <v>791</v>
      </c>
      <c r="C1566" s="403">
        <v>1</v>
      </c>
      <c r="D1566" s="400"/>
      <c r="E1566" s="400"/>
      <c r="F1566" s="400"/>
      <c r="G1566" s="400"/>
      <c r="H1566" s="396"/>
    </row>
    <row r="1567" spans="1:8" s="401" customFormat="1" ht="14.25" customHeight="1" x14ac:dyDescent="0.25">
      <c r="A1567" s="564">
        <v>4333</v>
      </c>
      <c r="B1567" s="562" t="s">
        <v>791</v>
      </c>
      <c r="C1567" s="403">
        <v>1</v>
      </c>
      <c r="D1567" s="400"/>
      <c r="E1567" s="400"/>
      <c r="F1567" s="400"/>
      <c r="G1567" s="400"/>
      <c r="H1567" s="396"/>
    </row>
    <row r="1568" spans="1:8" s="401" customFormat="1" ht="14.25" customHeight="1" x14ac:dyDescent="0.25">
      <c r="A1568" s="564">
        <v>4335</v>
      </c>
      <c r="B1568" s="562" t="s">
        <v>787</v>
      </c>
      <c r="C1568" s="403">
        <v>1</v>
      </c>
      <c r="D1568" s="400"/>
      <c r="E1568" s="400"/>
      <c r="F1568" s="400"/>
      <c r="G1568" s="400"/>
      <c r="H1568" s="396"/>
    </row>
    <row r="1569" spans="1:8" s="401" customFormat="1" ht="14.25" customHeight="1" x14ac:dyDescent="0.25">
      <c r="A1569" s="564">
        <v>4336</v>
      </c>
      <c r="B1569" s="562" t="s">
        <v>787</v>
      </c>
      <c r="C1569" s="403">
        <v>4306</v>
      </c>
      <c r="D1569" s="400"/>
      <c r="E1569" s="400"/>
      <c r="F1569" s="400"/>
      <c r="G1569" s="400"/>
      <c r="H1569" s="396"/>
    </row>
    <row r="1570" spans="1:8" s="401" customFormat="1" ht="14.25" customHeight="1" x14ac:dyDescent="0.25">
      <c r="A1570" s="564">
        <v>4337</v>
      </c>
      <c r="B1570" s="562" t="s">
        <v>787</v>
      </c>
      <c r="C1570" s="403">
        <v>4306</v>
      </c>
      <c r="D1570" s="400"/>
      <c r="E1570" s="400"/>
      <c r="F1570" s="400"/>
      <c r="G1570" s="400"/>
      <c r="H1570" s="396"/>
    </row>
    <row r="1571" spans="1:8" s="401" customFormat="1" ht="14.25" customHeight="1" x14ac:dyDescent="0.25">
      <c r="A1571" s="564">
        <v>4338</v>
      </c>
      <c r="B1571" s="562" t="s">
        <v>790</v>
      </c>
      <c r="C1571" s="403">
        <v>1</v>
      </c>
      <c r="D1571" s="400"/>
      <c r="E1571" s="400"/>
      <c r="F1571" s="400"/>
      <c r="G1571" s="400"/>
      <c r="H1571" s="396"/>
    </row>
    <row r="1572" spans="1:8" s="401" customFormat="1" ht="14.25" customHeight="1" x14ac:dyDescent="0.25">
      <c r="A1572" s="564">
        <v>4339</v>
      </c>
      <c r="B1572" s="562" t="s">
        <v>846</v>
      </c>
      <c r="C1572" s="403">
        <v>1653</v>
      </c>
      <c r="D1572" s="400"/>
      <c r="E1572" s="400"/>
      <c r="F1572" s="400"/>
      <c r="G1572" s="400"/>
      <c r="H1572" s="396"/>
    </row>
    <row r="1573" spans="1:8" s="401" customFormat="1" ht="14.25" customHeight="1" x14ac:dyDescent="0.25">
      <c r="A1573" s="564">
        <v>4340</v>
      </c>
      <c r="B1573" s="562" t="s">
        <v>791</v>
      </c>
      <c r="C1573" s="403">
        <v>1</v>
      </c>
      <c r="D1573" s="400"/>
      <c r="E1573" s="400"/>
      <c r="F1573" s="400"/>
      <c r="G1573" s="400"/>
      <c r="H1573" s="396"/>
    </row>
    <row r="1574" spans="1:8" s="401" customFormat="1" ht="14.25" customHeight="1" x14ac:dyDescent="0.25">
      <c r="A1574" s="564">
        <v>4342</v>
      </c>
      <c r="B1574" s="562" t="s">
        <v>806</v>
      </c>
      <c r="C1574" s="403">
        <v>1</v>
      </c>
      <c r="D1574" s="400"/>
      <c r="E1574" s="400"/>
      <c r="F1574" s="400"/>
      <c r="G1574" s="400"/>
      <c r="H1574" s="396"/>
    </row>
    <row r="1575" spans="1:8" s="401" customFormat="1" ht="14.25" customHeight="1" x14ac:dyDescent="0.25">
      <c r="A1575" s="564">
        <v>3736</v>
      </c>
      <c r="B1575" s="562" t="s">
        <v>789</v>
      </c>
      <c r="C1575" s="403">
        <v>475</v>
      </c>
      <c r="D1575" s="400"/>
      <c r="E1575" s="400"/>
      <c r="F1575" s="400"/>
      <c r="G1575" s="400"/>
      <c r="H1575" s="396"/>
    </row>
    <row r="1576" spans="1:8" s="401" customFormat="1" ht="14.25" customHeight="1" x14ac:dyDescent="0.25">
      <c r="A1576" s="564">
        <v>3740</v>
      </c>
      <c r="B1576" s="562" t="s">
        <v>834</v>
      </c>
      <c r="C1576" s="403">
        <v>155.13</v>
      </c>
      <c r="D1576" s="400"/>
      <c r="E1576" s="400"/>
      <c r="F1576" s="400"/>
      <c r="G1576" s="400"/>
      <c r="H1576" s="396"/>
    </row>
    <row r="1577" spans="1:8" s="401" customFormat="1" ht="14.25" customHeight="1" x14ac:dyDescent="0.25">
      <c r="A1577" s="564">
        <v>3745</v>
      </c>
      <c r="B1577" s="562" t="s">
        <v>786</v>
      </c>
      <c r="C1577" s="403">
        <v>2018</v>
      </c>
      <c r="D1577" s="400"/>
      <c r="E1577" s="400"/>
      <c r="F1577" s="400"/>
      <c r="G1577" s="400"/>
      <c r="H1577" s="396"/>
    </row>
    <row r="1578" spans="1:8" s="401" customFormat="1" ht="14.25" customHeight="1" x14ac:dyDescent="0.25">
      <c r="A1578" s="564">
        <v>3747</v>
      </c>
      <c r="B1578" s="562" t="s">
        <v>786</v>
      </c>
      <c r="C1578" s="403">
        <v>1495</v>
      </c>
      <c r="D1578" s="400"/>
      <c r="E1578" s="400"/>
      <c r="F1578" s="400"/>
      <c r="G1578" s="400"/>
      <c r="H1578" s="396"/>
    </row>
    <row r="1579" spans="1:8" s="401" customFormat="1" ht="14.25" customHeight="1" x14ac:dyDescent="0.25">
      <c r="A1579" s="564">
        <v>3753</v>
      </c>
      <c r="B1579" s="562" t="s">
        <v>785</v>
      </c>
      <c r="C1579" s="403">
        <v>829</v>
      </c>
      <c r="D1579" s="400"/>
      <c r="E1579" s="400"/>
      <c r="F1579" s="400"/>
      <c r="G1579" s="400"/>
      <c r="H1579" s="396"/>
    </row>
    <row r="1580" spans="1:8" s="401" customFormat="1" ht="14.25" customHeight="1" x14ac:dyDescent="0.25">
      <c r="A1580" s="564">
        <v>3756</v>
      </c>
      <c r="B1580" s="562" t="s">
        <v>785</v>
      </c>
      <c r="C1580" s="403">
        <v>829</v>
      </c>
      <c r="D1580" s="400"/>
      <c r="E1580" s="400"/>
      <c r="F1580" s="400"/>
      <c r="G1580" s="400"/>
      <c r="H1580" s="396"/>
    </row>
    <row r="1581" spans="1:8" s="401" customFormat="1" ht="14.25" customHeight="1" x14ac:dyDescent="0.25">
      <c r="A1581" s="564">
        <v>3758</v>
      </c>
      <c r="B1581" s="562" t="s">
        <v>785</v>
      </c>
      <c r="C1581" s="403">
        <v>272.55</v>
      </c>
      <c r="D1581" s="400"/>
      <c r="E1581" s="400"/>
      <c r="F1581" s="400"/>
      <c r="G1581" s="400"/>
      <c r="H1581" s="396"/>
    </row>
    <row r="1582" spans="1:8" s="401" customFormat="1" ht="14.25" customHeight="1" x14ac:dyDescent="0.25">
      <c r="A1582" s="564">
        <v>3761</v>
      </c>
      <c r="B1582" s="562" t="s">
        <v>785</v>
      </c>
      <c r="C1582" s="403">
        <v>156</v>
      </c>
      <c r="D1582" s="400"/>
      <c r="E1582" s="400"/>
      <c r="F1582" s="400"/>
      <c r="G1582" s="400"/>
      <c r="H1582" s="396"/>
    </row>
    <row r="1583" spans="1:8" s="401" customFormat="1" ht="14.25" customHeight="1" x14ac:dyDescent="0.25">
      <c r="A1583" s="564">
        <v>3764</v>
      </c>
      <c r="B1583" s="562" t="s">
        <v>847</v>
      </c>
      <c r="C1583" s="403">
        <v>416.25</v>
      </c>
      <c r="D1583" s="400"/>
      <c r="E1583" s="400"/>
      <c r="F1583" s="400"/>
      <c r="G1583" s="400"/>
      <c r="H1583" s="396"/>
    </row>
    <row r="1584" spans="1:8" s="401" customFormat="1" ht="14.25" customHeight="1" x14ac:dyDescent="0.25">
      <c r="A1584" s="564">
        <v>3768</v>
      </c>
      <c r="B1584" s="562" t="s">
        <v>847</v>
      </c>
      <c r="C1584" s="403">
        <v>452</v>
      </c>
      <c r="D1584" s="400"/>
      <c r="E1584" s="400"/>
      <c r="F1584" s="400"/>
      <c r="G1584" s="400"/>
      <c r="H1584" s="396"/>
    </row>
    <row r="1585" spans="1:8" s="401" customFormat="1" ht="14.25" customHeight="1" x14ac:dyDescent="0.25">
      <c r="A1585" s="564">
        <v>3770</v>
      </c>
      <c r="B1585" s="562" t="s">
        <v>847</v>
      </c>
      <c r="C1585" s="403">
        <v>1</v>
      </c>
      <c r="D1585" s="400"/>
      <c r="E1585" s="400"/>
      <c r="F1585" s="400"/>
      <c r="G1585" s="400"/>
      <c r="H1585" s="396"/>
    </row>
    <row r="1586" spans="1:8" s="401" customFormat="1" ht="14.25" customHeight="1" x14ac:dyDescent="0.25">
      <c r="A1586" s="564">
        <v>3774</v>
      </c>
      <c r="B1586" s="562" t="s">
        <v>790</v>
      </c>
      <c r="C1586" s="403">
        <v>598</v>
      </c>
      <c r="D1586" s="400"/>
      <c r="E1586" s="400"/>
      <c r="F1586" s="400"/>
      <c r="G1586" s="400"/>
      <c r="H1586" s="396"/>
    </row>
    <row r="1587" spans="1:8" s="401" customFormat="1" ht="14.25" customHeight="1" x14ac:dyDescent="0.25">
      <c r="A1587" s="564">
        <v>3776</v>
      </c>
      <c r="B1587" s="562" t="s">
        <v>790</v>
      </c>
      <c r="C1587" s="403">
        <v>598</v>
      </c>
      <c r="D1587" s="400"/>
      <c r="E1587" s="400"/>
      <c r="F1587" s="400"/>
      <c r="G1587" s="400"/>
      <c r="H1587" s="396"/>
    </row>
    <row r="1588" spans="1:8" s="401" customFormat="1" ht="14.25" customHeight="1" x14ac:dyDescent="0.25">
      <c r="A1588" s="564">
        <v>3779</v>
      </c>
      <c r="B1588" s="562" t="s">
        <v>790</v>
      </c>
      <c r="C1588" s="403">
        <v>598</v>
      </c>
      <c r="D1588" s="400"/>
      <c r="E1588" s="400"/>
      <c r="F1588" s="400"/>
      <c r="G1588" s="400"/>
      <c r="H1588" s="396"/>
    </row>
    <row r="1589" spans="1:8" s="401" customFormat="1" ht="14.25" customHeight="1" x14ac:dyDescent="0.25">
      <c r="A1589" s="564">
        <v>3782</v>
      </c>
      <c r="B1589" s="562" t="s">
        <v>790</v>
      </c>
      <c r="C1589" s="403">
        <v>598</v>
      </c>
      <c r="D1589" s="400"/>
      <c r="E1589" s="400"/>
      <c r="F1589" s="400"/>
      <c r="G1589" s="400"/>
      <c r="H1589" s="396"/>
    </row>
    <row r="1590" spans="1:8" s="401" customFormat="1" ht="14.25" customHeight="1" x14ac:dyDescent="0.25">
      <c r="A1590" s="564">
        <v>3785</v>
      </c>
      <c r="B1590" s="562" t="s">
        <v>790</v>
      </c>
      <c r="C1590" s="403">
        <v>908</v>
      </c>
      <c r="D1590" s="400"/>
      <c r="E1590" s="400"/>
      <c r="F1590" s="400"/>
      <c r="G1590" s="400"/>
      <c r="H1590" s="396"/>
    </row>
    <row r="1591" spans="1:8" s="401" customFormat="1" ht="14.25" customHeight="1" x14ac:dyDescent="0.25">
      <c r="A1591" s="564">
        <v>3787</v>
      </c>
      <c r="B1591" s="562" t="s">
        <v>790</v>
      </c>
      <c r="C1591" s="403">
        <v>908</v>
      </c>
      <c r="D1591" s="400"/>
      <c r="E1591" s="400"/>
      <c r="F1591" s="400"/>
      <c r="G1591" s="400"/>
      <c r="H1591" s="396"/>
    </row>
    <row r="1592" spans="1:8" s="401" customFormat="1" ht="14.25" customHeight="1" x14ac:dyDescent="0.25">
      <c r="A1592" s="564">
        <v>3790</v>
      </c>
      <c r="B1592" s="562" t="s">
        <v>790</v>
      </c>
      <c r="C1592" s="403">
        <v>908</v>
      </c>
      <c r="D1592" s="400"/>
      <c r="E1592" s="400"/>
      <c r="F1592" s="400"/>
      <c r="G1592" s="400"/>
      <c r="H1592" s="396"/>
    </row>
    <row r="1593" spans="1:8" s="401" customFormat="1" ht="14.25" customHeight="1" x14ac:dyDescent="0.25">
      <c r="A1593" s="564">
        <v>3793</v>
      </c>
      <c r="B1593" s="562" t="s">
        <v>790</v>
      </c>
      <c r="C1593" s="403">
        <v>908</v>
      </c>
      <c r="D1593" s="400"/>
      <c r="E1593" s="400"/>
      <c r="F1593" s="400"/>
      <c r="G1593" s="400"/>
      <c r="H1593" s="396"/>
    </row>
    <row r="1594" spans="1:8" s="401" customFormat="1" ht="14.25" customHeight="1" x14ac:dyDescent="0.25">
      <c r="A1594" s="564">
        <v>3799</v>
      </c>
      <c r="B1594" s="562" t="s">
        <v>787</v>
      </c>
      <c r="C1594" s="403">
        <v>8911</v>
      </c>
      <c r="D1594" s="400"/>
      <c r="E1594" s="400"/>
      <c r="F1594" s="400"/>
      <c r="G1594" s="400"/>
      <c r="H1594" s="396"/>
    </row>
    <row r="1595" spans="1:8" s="401" customFormat="1" ht="14.25" customHeight="1" x14ac:dyDescent="0.25">
      <c r="A1595" s="564">
        <v>3803</v>
      </c>
      <c r="B1595" s="562" t="s">
        <v>791</v>
      </c>
      <c r="C1595" s="403">
        <v>3105</v>
      </c>
      <c r="D1595" s="400"/>
      <c r="E1595" s="400"/>
      <c r="F1595" s="400"/>
      <c r="G1595" s="400"/>
      <c r="H1595" s="396"/>
    </row>
    <row r="1596" spans="1:8" s="401" customFormat="1" ht="14.25" customHeight="1" x14ac:dyDescent="0.25">
      <c r="A1596" s="564">
        <v>4774</v>
      </c>
      <c r="B1596" s="562" t="s">
        <v>848</v>
      </c>
      <c r="C1596" s="403">
        <v>1654.37</v>
      </c>
      <c r="D1596" s="400"/>
      <c r="E1596" s="400"/>
      <c r="F1596" s="400"/>
      <c r="G1596" s="400"/>
      <c r="H1596" s="396"/>
    </row>
    <row r="1597" spans="1:8" s="401" customFormat="1" ht="14.25" customHeight="1" x14ac:dyDescent="0.25">
      <c r="A1597" s="564">
        <v>3750</v>
      </c>
      <c r="B1597" s="562" t="s">
        <v>785</v>
      </c>
      <c r="C1597" s="403">
        <v>870</v>
      </c>
      <c r="D1597" s="400"/>
      <c r="E1597" s="400"/>
      <c r="F1597" s="400"/>
      <c r="G1597" s="400"/>
      <c r="H1597" s="396"/>
    </row>
    <row r="1598" spans="1:8" s="401" customFormat="1" ht="14.25" customHeight="1" x14ac:dyDescent="0.25">
      <c r="A1598" s="564">
        <v>3796</v>
      </c>
      <c r="B1598" s="562" t="s">
        <v>787</v>
      </c>
      <c r="C1598" s="403">
        <v>1127</v>
      </c>
      <c r="D1598" s="400"/>
      <c r="E1598" s="400"/>
      <c r="F1598" s="400"/>
      <c r="G1598" s="400"/>
      <c r="H1598" s="396"/>
    </row>
    <row r="1599" spans="1:8" s="401" customFormat="1" ht="14.25" customHeight="1" x14ac:dyDescent="0.25">
      <c r="A1599" s="564">
        <v>3806</v>
      </c>
      <c r="B1599" s="562" t="s">
        <v>791</v>
      </c>
      <c r="C1599" s="403">
        <v>3538</v>
      </c>
      <c r="D1599" s="400"/>
      <c r="E1599" s="400"/>
      <c r="F1599" s="400"/>
      <c r="G1599" s="400"/>
      <c r="H1599" s="396"/>
    </row>
    <row r="1600" spans="1:8" s="401" customFormat="1" ht="14.25" customHeight="1" x14ac:dyDescent="0.25">
      <c r="A1600" s="564">
        <v>3807</v>
      </c>
      <c r="B1600" s="562" t="s">
        <v>791</v>
      </c>
      <c r="C1600" s="403">
        <v>2760</v>
      </c>
      <c r="D1600" s="400"/>
      <c r="E1600" s="400"/>
      <c r="F1600" s="400"/>
      <c r="G1600" s="400"/>
      <c r="H1600" s="396"/>
    </row>
    <row r="1601" spans="1:8" s="401" customFormat="1" ht="14.25" customHeight="1" x14ac:dyDescent="0.25">
      <c r="A1601" s="564">
        <v>3827</v>
      </c>
      <c r="B1601" s="562" t="s">
        <v>798</v>
      </c>
      <c r="C1601" s="403">
        <v>3392</v>
      </c>
      <c r="D1601" s="400"/>
      <c r="E1601" s="400"/>
      <c r="F1601" s="400"/>
      <c r="G1601" s="400"/>
      <c r="H1601" s="396"/>
    </row>
    <row r="1602" spans="1:8" s="401" customFormat="1" ht="14.25" customHeight="1" x14ac:dyDescent="0.25">
      <c r="A1602" s="564">
        <v>3829</v>
      </c>
      <c r="B1602" s="562" t="s">
        <v>786</v>
      </c>
      <c r="C1602" s="403">
        <v>1</v>
      </c>
      <c r="D1602" s="400"/>
      <c r="E1602" s="400"/>
      <c r="F1602" s="400"/>
      <c r="G1602" s="400"/>
      <c r="H1602" s="396"/>
    </row>
    <row r="1603" spans="1:8" s="401" customFormat="1" ht="14.25" customHeight="1" x14ac:dyDescent="0.25">
      <c r="A1603" s="564">
        <v>3831</v>
      </c>
      <c r="B1603" s="562" t="s">
        <v>785</v>
      </c>
      <c r="C1603" s="403">
        <v>621</v>
      </c>
      <c r="D1603" s="400"/>
      <c r="E1603" s="400"/>
      <c r="F1603" s="400"/>
      <c r="G1603" s="400"/>
      <c r="H1603" s="396"/>
    </row>
    <row r="1604" spans="1:8" s="401" customFormat="1" ht="14.25" customHeight="1" x14ac:dyDescent="0.25">
      <c r="A1604" s="564">
        <v>3834</v>
      </c>
      <c r="B1604" s="562" t="s">
        <v>785</v>
      </c>
      <c r="C1604" s="403">
        <v>273</v>
      </c>
      <c r="D1604" s="400"/>
      <c r="E1604" s="400"/>
      <c r="F1604" s="400"/>
      <c r="G1604" s="400"/>
      <c r="H1604" s="396"/>
    </row>
    <row r="1605" spans="1:8" s="401" customFormat="1" ht="14.25" customHeight="1" x14ac:dyDescent="0.25">
      <c r="A1605" s="564">
        <v>3837</v>
      </c>
      <c r="B1605" s="562" t="s">
        <v>785</v>
      </c>
      <c r="C1605" s="403">
        <v>782</v>
      </c>
      <c r="D1605" s="400"/>
      <c r="E1605" s="400"/>
      <c r="F1605" s="400"/>
      <c r="G1605" s="400"/>
      <c r="H1605" s="396"/>
    </row>
    <row r="1606" spans="1:8" s="401" customFormat="1" ht="14.25" customHeight="1" x14ac:dyDescent="0.25">
      <c r="A1606" s="564">
        <v>3840</v>
      </c>
      <c r="B1606" s="562" t="s">
        <v>790</v>
      </c>
      <c r="C1606" s="403">
        <v>943</v>
      </c>
      <c r="D1606" s="400"/>
      <c r="E1606" s="400"/>
      <c r="F1606" s="400"/>
      <c r="G1606" s="400"/>
      <c r="H1606" s="396"/>
    </row>
    <row r="1607" spans="1:8" s="401" customFormat="1" ht="14.25" customHeight="1" x14ac:dyDescent="0.25">
      <c r="A1607" s="564">
        <v>3842</v>
      </c>
      <c r="B1607" s="562" t="s">
        <v>790</v>
      </c>
      <c r="C1607" s="403">
        <v>954</v>
      </c>
      <c r="D1607" s="400"/>
      <c r="E1607" s="400"/>
      <c r="F1607" s="400"/>
      <c r="G1607" s="400"/>
      <c r="H1607" s="396"/>
    </row>
    <row r="1608" spans="1:8" s="401" customFormat="1" ht="14.25" customHeight="1" x14ac:dyDescent="0.25">
      <c r="A1608" s="564">
        <v>3844</v>
      </c>
      <c r="B1608" s="562" t="s">
        <v>790</v>
      </c>
      <c r="C1608" s="403">
        <v>662</v>
      </c>
      <c r="D1608" s="400"/>
      <c r="E1608" s="400"/>
      <c r="F1608" s="400"/>
      <c r="G1608" s="400"/>
      <c r="H1608" s="396"/>
    </row>
    <row r="1609" spans="1:8" s="401" customFormat="1" ht="14.25" customHeight="1" x14ac:dyDescent="0.25">
      <c r="A1609" s="564">
        <v>3845</v>
      </c>
      <c r="B1609" s="562" t="s">
        <v>787</v>
      </c>
      <c r="C1609" s="403">
        <v>1</v>
      </c>
      <c r="D1609" s="400"/>
      <c r="E1609" s="400"/>
      <c r="F1609" s="400"/>
      <c r="G1609" s="400"/>
      <c r="H1609" s="396"/>
    </row>
    <row r="1610" spans="1:8" s="401" customFormat="1" ht="14.25" customHeight="1" x14ac:dyDescent="0.25">
      <c r="A1610" s="564">
        <v>3846</v>
      </c>
      <c r="B1610" s="562" t="s">
        <v>791</v>
      </c>
      <c r="C1610" s="403">
        <v>987</v>
      </c>
      <c r="D1610" s="400"/>
      <c r="E1610" s="400"/>
      <c r="F1610" s="400"/>
      <c r="G1610" s="400"/>
      <c r="H1610" s="396"/>
    </row>
    <row r="1611" spans="1:8" s="401" customFormat="1" ht="14.25" customHeight="1" x14ac:dyDescent="0.25">
      <c r="A1611" s="564">
        <v>3847</v>
      </c>
      <c r="B1611" s="562" t="s">
        <v>791</v>
      </c>
      <c r="C1611" s="403">
        <v>1587</v>
      </c>
      <c r="D1611" s="400"/>
      <c r="E1611" s="400"/>
      <c r="F1611" s="400"/>
      <c r="G1611" s="400"/>
      <c r="H1611" s="396"/>
    </row>
    <row r="1612" spans="1:8" s="401" customFormat="1" ht="14.25" customHeight="1" x14ac:dyDescent="0.25">
      <c r="A1612" s="564">
        <v>3848</v>
      </c>
      <c r="B1612" s="562" t="s">
        <v>791</v>
      </c>
      <c r="C1612" s="403">
        <v>1955</v>
      </c>
      <c r="D1612" s="400"/>
      <c r="E1612" s="400"/>
      <c r="F1612" s="400"/>
      <c r="G1612" s="400"/>
      <c r="H1612" s="396"/>
    </row>
    <row r="1613" spans="1:8" s="401" customFormat="1" ht="14.25" customHeight="1" x14ac:dyDescent="0.25">
      <c r="A1613" s="564">
        <v>3098</v>
      </c>
      <c r="B1613" s="562" t="s">
        <v>785</v>
      </c>
      <c r="C1613" s="403">
        <v>1</v>
      </c>
      <c r="D1613" s="400"/>
      <c r="E1613" s="400"/>
      <c r="F1613" s="400"/>
      <c r="G1613" s="400"/>
      <c r="H1613" s="396"/>
    </row>
    <row r="1614" spans="1:8" s="401" customFormat="1" ht="14.25" customHeight="1" x14ac:dyDescent="0.25">
      <c r="A1614" s="564">
        <v>3851</v>
      </c>
      <c r="B1614" s="562" t="s">
        <v>791</v>
      </c>
      <c r="C1614" s="403">
        <v>3292</v>
      </c>
      <c r="D1614" s="400"/>
      <c r="E1614" s="400"/>
      <c r="F1614" s="400"/>
      <c r="G1614" s="400"/>
      <c r="H1614" s="396"/>
    </row>
    <row r="1615" spans="1:8" s="401" customFormat="1" ht="14.25" customHeight="1" x14ac:dyDescent="0.25">
      <c r="A1615" s="564">
        <v>3874</v>
      </c>
      <c r="B1615" s="562" t="s">
        <v>814</v>
      </c>
      <c r="C1615" s="403">
        <v>162.16</v>
      </c>
      <c r="D1615" s="400"/>
      <c r="E1615" s="400"/>
      <c r="F1615" s="400"/>
      <c r="G1615" s="400"/>
      <c r="H1615" s="396"/>
    </row>
    <row r="1616" spans="1:8" s="401" customFormat="1" ht="14.25" customHeight="1" x14ac:dyDescent="0.25">
      <c r="A1616" s="564">
        <v>3878</v>
      </c>
      <c r="B1616" s="562" t="s">
        <v>786</v>
      </c>
      <c r="C1616" s="403">
        <v>2018</v>
      </c>
      <c r="D1616" s="400"/>
      <c r="E1616" s="400"/>
      <c r="F1616" s="400"/>
      <c r="G1616" s="400"/>
      <c r="H1616" s="396"/>
    </row>
    <row r="1617" spans="1:8" s="401" customFormat="1" ht="14.25" customHeight="1" x14ac:dyDescent="0.25">
      <c r="A1617" s="564">
        <v>3880</v>
      </c>
      <c r="B1617" s="562" t="s">
        <v>786</v>
      </c>
      <c r="C1617" s="403">
        <v>1495</v>
      </c>
      <c r="D1617" s="400"/>
      <c r="E1617" s="400"/>
      <c r="F1617" s="400"/>
      <c r="G1617" s="400"/>
      <c r="H1617" s="396"/>
    </row>
    <row r="1618" spans="1:8" s="401" customFormat="1" ht="14.25" customHeight="1" x14ac:dyDescent="0.25">
      <c r="A1618" s="564">
        <v>3887</v>
      </c>
      <c r="B1618" s="562" t="s">
        <v>786</v>
      </c>
      <c r="C1618" s="403">
        <v>989</v>
      </c>
      <c r="D1618" s="400"/>
      <c r="E1618" s="400"/>
      <c r="F1618" s="400"/>
      <c r="G1618" s="400"/>
      <c r="H1618" s="396"/>
    </row>
    <row r="1619" spans="1:8" s="401" customFormat="1" ht="14.25" customHeight="1" x14ac:dyDescent="0.25">
      <c r="A1619" s="564">
        <v>3888</v>
      </c>
      <c r="B1619" s="562" t="s">
        <v>786</v>
      </c>
      <c r="C1619" s="403">
        <v>1840</v>
      </c>
      <c r="D1619" s="400"/>
      <c r="E1619" s="400"/>
      <c r="F1619" s="400"/>
      <c r="G1619" s="400"/>
      <c r="H1619" s="396"/>
    </row>
    <row r="1620" spans="1:8" s="401" customFormat="1" ht="14.25" customHeight="1" x14ac:dyDescent="0.25">
      <c r="A1620" s="564">
        <v>3889</v>
      </c>
      <c r="B1620" s="562" t="s">
        <v>785</v>
      </c>
      <c r="C1620" s="403">
        <v>621</v>
      </c>
      <c r="D1620" s="400"/>
      <c r="E1620" s="400"/>
      <c r="F1620" s="400"/>
      <c r="G1620" s="400"/>
      <c r="H1620" s="396"/>
    </row>
    <row r="1621" spans="1:8" s="401" customFormat="1" ht="14.25" customHeight="1" x14ac:dyDescent="0.25">
      <c r="A1621" s="564">
        <v>3891</v>
      </c>
      <c r="B1621" s="562" t="s">
        <v>785</v>
      </c>
      <c r="C1621" s="403">
        <v>501</v>
      </c>
      <c r="D1621" s="400"/>
      <c r="E1621" s="400"/>
      <c r="F1621" s="400"/>
      <c r="G1621" s="400"/>
      <c r="H1621" s="396"/>
    </row>
    <row r="1622" spans="1:8" s="401" customFormat="1" ht="14.25" customHeight="1" x14ac:dyDescent="0.25">
      <c r="A1622" s="564">
        <v>3892</v>
      </c>
      <c r="B1622" s="562" t="s">
        <v>785</v>
      </c>
      <c r="C1622" s="403">
        <v>829</v>
      </c>
      <c r="D1622" s="400"/>
      <c r="E1622" s="400"/>
      <c r="F1622" s="400"/>
      <c r="G1622" s="400"/>
      <c r="H1622" s="396"/>
    </row>
    <row r="1623" spans="1:8" s="401" customFormat="1" ht="14.25" customHeight="1" x14ac:dyDescent="0.25">
      <c r="A1623" s="564">
        <v>3893</v>
      </c>
      <c r="B1623" s="562" t="s">
        <v>790</v>
      </c>
      <c r="C1623" s="403">
        <v>552</v>
      </c>
      <c r="D1623" s="400"/>
      <c r="E1623" s="400"/>
      <c r="F1623" s="400"/>
      <c r="G1623" s="400"/>
      <c r="H1623" s="396"/>
    </row>
    <row r="1624" spans="1:8" s="401" customFormat="1" ht="14.25" customHeight="1" x14ac:dyDescent="0.25">
      <c r="A1624" s="564">
        <v>3898</v>
      </c>
      <c r="B1624" s="562" t="s">
        <v>787</v>
      </c>
      <c r="C1624" s="403">
        <v>2548</v>
      </c>
      <c r="D1624" s="400"/>
      <c r="E1624" s="400"/>
      <c r="F1624" s="400"/>
      <c r="G1624" s="400"/>
      <c r="H1624" s="396"/>
    </row>
    <row r="1625" spans="1:8" s="401" customFormat="1" ht="14.25" customHeight="1" x14ac:dyDescent="0.25">
      <c r="A1625" s="564">
        <v>3900</v>
      </c>
      <c r="B1625" s="562" t="s">
        <v>787</v>
      </c>
      <c r="C1625" s="403">
        <v>380</v>
      </c>
      <c r="D1625" s="400"/>
      <c r="E1625" s="400"/>
      <c r="F1625" s="400"/>
      <c r="G1625" s="400"/>
      <c r="H1625" s="396"/>
    </row>
    <row r="1626" spans="1:8" s="401" customFormat="1" ht="14.25" customHeight="1" x14ac:dyDescent="0.25">
      <c r="A1626" s="564">
        <v>3904</v>
      </c>
      <c r="B1626" s="562" t="s">
        <v>787</v>
      </c>
      <c r="C1626" s="403">
        <v>8911</v>
      </c>
      <c r="D1626" s="400"/>
      <c r="E1626" s="400"/>
      <c r="F1626" s="400"/>
      <c r="G1626" s="400"/>
      <c r="H1626" s="396"/>
    </row>
    <row r="1627" spans="1:8" s="401" customFormat="1" ht="14.25" customHeight="1" x14ac:dyDescent="0.25">
      <c r="A1627" s="564">
        <v>3911</v>
      </c>
      <c r="B1627" s="562" t="s">
        <v>787</v>
      </c>
      <c r="C1627" s="403">
        <v>1850</v>
      </c>
      <c r="D1627" s="400"/>
      <c r="E1627" s="400"/>
      <c r="F1627" s="400"/>
      <c r="G1627" s="400"/>
      <c r="H1627" s="396"/>
    </row>
    <row r="1628" spans="1:8" s="401" customFormat="1" ht="14.25" customHeight="1" x14ac:dyDescent="0.25">
      <c r="A1628" s="564">
        <v>3918</v>
      </c>
      <c r="B1628" s="562" t="s">
        <v>791</v>
      </c>
      <c r="C1628" s="403">
        <v>1215</v>
      </c>
      <c r="D1628" s="400"/>
      <c r="E1628" s="400"/>
      <c r="F1628" s="400"/>
      <c r="G1628" s="400"/>
      <c r="H1628" s="396"/>
    </row>
    <row r="1629" spans="1:8" s="401" customFormat="1" ht="14.25" customHeight="1" x14ac:dyDescent="0.25">
      <c r="A1629" s="564">
        <v>3919</v>
      </c>
      <c r="B1629" s="562" t="s">
        <v>791</v>
      </c>
      <c r="C1629" s="403">
        <v>1488</v>
      </c>
      <c r="D1629" s="400"/>
      <c r="E1629" s="400"/>
      <c r="F1629" s="400"/>
      <c r="G1629" s="400"/>
      <c r="H1629" s="396"/>
    </row>
    <row r="1630" spans="1:8" s="401" customFormat="1" ht="14.25" customHeight="1" x14ac:dyDescent="0.25">
      <c r="A1630" s="564">
        <v>3920</v>
      </c>
      <c r="B1630" s="562" t="s">
        <v>791</v>
      </c>
      <c r="C1630" s="403">
        <v>1092</v>
      </c>
      <c r="D1630" s="400"/>
      <c r="E1630" s="400"/>
      <c r="F1630" s="400"/>
      <c r="G1630" s="400"/>
      <c r="H1630" s="396"/>
    </row>
    <row r="1631" spans="1:8" s="401" customFormat="1" ht="14.25" customHeight="1" x14ac:dyDescent="0.25">
      <c r="A1631" s="564">
        <v>3940</v>
      </c>
      <c r="B1631" s="562" t="s">
        <v>789</v>
      </c>
      <c r="C1631" s="403">
        <v>220</v>
      </c>
      <c r="D1631" s="400"/>
      <c r="E1631" s="400"/>
      <c r="F1631" s="400"/>
      <c r="G1631" s="400"/>
      <c r="H1631" s="396"/>
    </row>
    <row r="1632" spans="1:8" s="401" customFormat="1" ht="14.25" customHeight="1" x14ac:dyDescent="0.25">
      <c r="A1632" s="564">
        <v>3952</v>
      </c>
      <c r="B1632" s="562" t="s">
        <v>786</v>
      </c>
      <c r="C1632" s="403">
        <v>1495</v>
      </c>
      <c r="D1632" s="400"/>
      <c r="E1632" s="400"/>
      <c r="F1632" s="400"/>
      <c r="G1632" s="400"/>
      <c r="H1632" s="396"/>
    </row>
    <row r="1633" spans="1:8" s="401" customFormat="1" ht="14.25" customHeight="1" x14ac:dyDescent="0.25">
      <c r="A1633" s="564">
        <v>3956</v>
      </c>
      <c r="B1633" s="562" t="s">
        <v>786</v>
      </c>
      <c r="C1633" s="403">
        <v>1495</v>
      </c>
      <c r="D1633" s="400"/>
      <c r="E1633" s="400"/>
      <c r="F1633" s="400"/>
      <c r="G1633" s="400"/>
      <c r="H1633" s="396"/>
    </row>
    <row r="1634" spans="1:8" s="401" customFormat="1" ht="14.25" customHeight="1" x14ac:dyDescent="0.25">
      <c r="A1634" s="564">
        <v>3959</v>
      </c>
      <c r="B1634" s="562" t="s">
        <v>786</v>
      </c>
      <c r="C1634" s="403">
        <v>1495</v>
      </c>
      <c r="D1634" s="400"/>
      <c r="E1634" s="400"/>
      <c r="F1634" s="400"/>
      <c r="G1634" s="400"/>
      <c r="H1634" s="396"/>
    </row>
    <row r="1635" spans="1:8" s="401" customFormat="1" ht="14.25" customHeight="1" x14ac:dyDescent="0.25">
      <c r="A1635" s="564">
        <v>3961</v>
      </c>
      <c r="B1635" s="562" t="s">
        <v>786</v>
      </c>
      <c r="C1635" s="403">
        <v>1495</v>
      </c>
      <c r="D1635" s="400"/>
      <c r="E1635" s="400"/>
      <c r="F1635" s="400"/>
      <c r="G1635" s="400"/>
      <c r="H1635" s="396"/>
    </row>
    <row r="1636" spans="1:8" s="401" customFormat="1" ht="14.25" customHeight="1" x14ac:dyDescent="0.25">
      <c r="A1636" s="564">
        <v>3963</v>
      </c>
      <c r="B1636" s="562" t="s">
        <v>786</v>
      </c>
      <c r="C1636" s="403">
        <v>1495</v>
      </c>
      <c r="D1636" s="400"/>
      <c r="E1636" s="400"/>
      <c r="F1636" s="400"/>
      <c r="G1636" s="400"/>
      <c r="H1636" s="396"/>
    </row>
    <row r="1637" spans="1:8" s="401" customFormat="1" ht="14.25" customHeight="1" x14ac:dyDescent="0.25">
      <c r="A1637" s="564">
        <v>3978</v>
      </c>
      <c r="B1637" s="562" t="s">
        <v>786</v>
      </c>
      <c r="C1637" s="403">
        <v>1495</v>
      </c>
      <c r="D1637" s="400"/>
      <c r="E1637" s="400"/>
      <c r="F1637" s="400"/>
      <c r="G1637" s="400"/>
      <c r="H1637" s="396"/>
    </row>
    <row r="1638" spans="1:8" s="401" customFormat="1" ht="14.25" customHeight="1" x14ac:dyDescent="0.25">
      <c r="A1638" s="564">
        <v>3980</v>
      </c>
      <c r="B1638" s="562" t="s">
        <v>786</v>
      </c>
      <c r="C1638" s="403">
        <v>1495</v>
      </c>
      <c r="D1638" s="400"/>
      <c r="E1638" s="400"/>
      <c r="F1638" s="400"/>
      <c r="G1638" s="400"/>
      <c r="H1638" s="396"/>
    </row>
    <row r="1639" spans="1:8" s="401" customFormat="1" ht="14.25" customHeight="1" x14ac:dyDescent="0.25">
      <c r="A1639" s="564">
        <v>3982</v>
      </c>
      <c r="B1639" s="562" t="s">
        <v>785</v>
      </c>
      <c r="C1639" s="403">
        <v>501</v>
      </c>
      <c r="D1639" s="400"/>
      <c r="E1639" s="400"/>
      <c r="F1639" s="400"/>
      <c r="G1639" s="400"/>
      <c r="H1639" s="396"/>
    </row>
    <row r="1640" spans="1:8" s="401" customFormat="1" ht="14.25" customHeight="1" x14ac:dyDescent="0.25">
      <c r="A1640" s="564">
        <v>3984</v>
      </c>
      <c r="B1640" s="562" t="s">
        <v>785</v>
      </c>
      <c r="C1640" s="403">
        <v>501</v>
      </c>
      <c r="D1640" s="400"/>
      <c r="E1640" s="400"/>
      <c r="F1640" s="400"/>
      <c r="G1640" s="400"/>
      <c r="H1640" s="396"/>
    </row>
    <row r="1641" spans="1:8" s="401" customFormat="1" ht="14.25" customHeight="1" x14ac:dyDescent="0.25">
      <c r="A1641" s="564">
        <v>3987</v>
      </c>
      <c r="B1641" s="562" t="s">
        <v>785</v>
      </c>
      <c r="C1641" s="403">
        <v>420</v>
      </c>
      <c r="D1641" s="400"/>
      <c r="E1641" s="400"/>
      <c r="F1641" s="400"/>
      <c r="G1641" s="400"/>
      <c r="H1641" s="396"/>
    </row>
    <row r="1642" spans="1:8" s="401" customFormat="1" ht="14.25" customHeight="1" x14ac:dyDescent="0.25">
      <c r="A1642" s="564">
        <v>3989</v>
      </c>
      <c r="B1642" s="562" t="s">
        <v>787</v>
      </c>
      <c r="C1642" s="403">
        <v>1</v>
      </c>
      <c r="D1642" s="400"/>
      <c r="E1642" s="400"/>
      <c r="F1642" s="400"/>
      <c r="G1642" s="400"/>
      <c r="H1642" s="396"/>
    </row>
    <row r="1643" spans="1:8" s="401" customFormat="1" ht="14.25" customHeight="1" x14ac:dyDescent="0.25">
      <c r="A1643" s="564">
        <v>3992</v>
      </c>
      <c r="B1643" s="562" t="s">
        <v>787</v>
      </c>
      <c r="C1643" s="403">
        <v>1644</v>
      </c>
      <c r="D1643" s="400"/>
      <c r="E1643" s="400"/>
      <c r="F1643" s="400"/>
      <c r="G1643" s="400"/>
      <c r="H1643" s="396"/>
    </row>
    <row r="1644" spans="1:8" s="401" customFormat="1" ht="14.25" customHeight="1" x14ac:dyDescent="0.25">
      <c r="A1644" s="564">
        <v>3995</v>
      </c>
      <c r="B1644" s="562" t="s">
        <v>787</v>
      </c>
      <c r="C1644" s="403">
        <v>2990</v>
      </c>
      <c r="D1644" s="400"/>
      <c r="E1644" s="400"/>
      <c r="F1644" s="400"/>
      <c r="G1644" s="400"/>
      <c r="H1644" s="396"/>
    </row>
    <row r="1645" spans="1:8" s="401" customFormat="1" ht="14.25" customHeight="1" x14ac:dyDescent="0.25">
      <c r="A1645" s="564">
        <v>3997</v>
      </c>
      <c r="B1645" s="562" t="s">
        <v>787</v>
      </c>
      <c r="C1645" s="403">
        <v>3726</v>
      </c>
      <c r="D1645" s="400"/>
      <c r="E1645" s="400"/>
      <c r="F1645" s="400"/>
      <c r="G1645" s="400"/>
      <c r="H1645" s="396"/>
    </row>
    <row r="1646" spans="1:8" s="401" customFormat="1" ht="14.25" customHeight="1" x14ac:dyDescent="0.25">
      <c r="A1646" s="564">
        <v>4000</v>
      </c>
      <c r="B1646" s="562" t="s">
        <v>787</v>
      </c>
      <c r="C1646" s="403">
        <v>1</v>
      </c>
      <c r="D1646" s="400"/>
      <c r="E1646" s="400"/>
      <c r="F1646" s="400"/>
      <c r="G1646" s="400"/>
      <c r="H1646" s="396"/>
    </row>
    <row r="1647" spans="1:8" s="401" customFormat="1" ht="14.25" customHeight="1" x14ac:dyDescent="0.25">
      <c r="A1647" s="564">
        <v>4003</v>
      </c>
      <c r="B1647" s="562" t="s">
        <v>791</v>
      </c>
      <c r="C1647" s="403">
        <v>1265</v>
      </c>
      <c r="D1647" s="400"/>
      <c r="E1647" s="400"/>
      <c r="F1647" s="400"/>
      <c r="G1647" s="400"/>
      <c r="H1647" s="396"/>
    </row>
    <row r="1648" spans="1:8" s="401" customFormat="1" ht="14.25" customHeight="1" x14ac:dyDescent="0.25">
      <c r="A1648" s="564">
        <v>4006</v>
      </c>
      <c r="B1648" s="562" t="s">
        <v>791</v>
      </c>
      <c r="C1648" s="403">
        <v>2300</v>
      </c>
      <c r="D1648" s="400"/>
      <c r="E1648" s="400"/>
      <c r="F1648" s="400"/>
      <c r="G1648" s="400"/>
      <c r="H1648" s="396"/>
    </row>
    <row r="1649" spans="1:8" s="401" customFormat="1" ht="14.25" customHeight="1" x14ac:dyDescent="0.25">
      <c r="A1649" s="564">
        <v>4008</v>
      </c>
      <c r="B1649" s="562" t="s">
        <v>791</v>
      </c>
      <c r="C1649" s="403">
        <v>2300</v>
      </c>
      <c r="D1649" s="400"/>
      <c r="E1649" s="400"/>
      <c r="F1649" s="400"/>
      <c r="G1649" s="400"/>
      <c r="H1649" s="396"/>
    </row>
    <row r="1650" spans="1:8" s="401" customFormat="1" ht="14.25" customHeight="1" x14ac:dyDescent="0.25">
      <c r="A1650" s="564">
        <v>4026</v>
      </c>
      <c r="B1650" s="562" t="s">
        <v>792</v>
      </c>
      <c r="C1650" s="403">
        <v>1</v>
      </c>
      <c r="D1650" s="400"/>
      <c r="E1650" s="400"/>
      <c r="F1650" s="400"/>
      <c r="G1650" s="400"/>
      <c r="H1650" s="396"/>
    </row>
    <row r="1651" spans="1:8" s="401" customFormat="1" ht="14.25" customHeight="1" x14ac:dyDescent="0.25">
      <c r="A1651" s="564">
        <v>3884</v>
      </c>
      <c r="B1651" s="562" t="s">
        <v>786</v>
      </c>
      <c r="C1651" s="403">
        <v>1495</v>
      </c>
      <c r="D1651" s="400"/>
      <c r="E1651" s="400"/>
      <c r="F1651" s="400"/>
      <c r="G1651" s="400"/>
      <c r="H1651" s="396"/>
    </row>
    <row r="1652" spans="1:8" s="401" customFormat="1" ht="14.25" customHeight="1" x14ac:dyDescent="0.25">
      <c r="A1652" s="564">
        <v>3909</v>
      </c>
      <c r="B1652" s="562" t="s">
        <v>787</v>
      </c>
      <c r="C1652" s="403">
        <v>1075</v>
      </c>
      <c r="D1652" s="400"/>
      <c r="E1652" s="400"/>
      <c r="F1652" s="400"/>
      <c r="G1652" s="400"/>
      <c r="H1652" s="396"/>
    </row>
    <row r="1653" spans="1:8" s="401" customFormat="1" ht="14.25" customHeight="1" x14ac:dyDescent="0.25">
      <c r="A1653" s="564">
        <v>3983</v>
      </c>
      <c r="B1653" s="562" t="s">
        <v>785</v>
      </c>
      <c r="C1653" s="403">
        <v>665</v>
      </c>
      <c r="D1653" s="400"/>
      <c r="E1653" s="400"/>
      <c r="F1653" s="400"/>
      <c r="G1653" s="400"/>
      <c r="H1653" s="396"/>
    </row>
    <row r="1654" spans="1:8" s="401" customFormat="1" ht="14.25" customHeight="1" x14ac:dyDescent="0.25">
      <c r="A1654" s="564">
        <v>4013</v>
      </c>
      <c r="B1654" s="562" t="s">
        <v>785</v>
      </c>
      <c r="C1654" s="403">
        <v>665</v>
      </c>
      <c r="D1654" s="400"/>
      <c r="E1654" s="400"/>
      <c r="F1654" s="400"/>
      <c r="G1654" s="400"/>
      <c r="H1654" s="396"/>
    </row>
    <row r="1655" spans="1:8" s="401" customFormat="1" ht="14.25" customHeight="1" x14ac:dyDescent="0.25">
      <c r="A1655" s="564">
        <v>4036</v>
      </c>
      <c r="B1655" s="562" t="s">
        <v>815</v>
      </c>
      <c r="C1655" s="403">
        <v>1</v>
      </c>
      <c r="D1655" s="400"/>
      <c r="E1655" s="400"/>
      <c r="F1655" s="400"/>
      <c r="G1655" s="400"/>
      <c r="H1655" s="396"/>
    </row>
    <row r="1656" spans="1:8" s="401" customFormat="1" ht="14.25" customHeight="1" x14ac:dyDescent="0.25">
      <c r="A1656" s="564">
        <v>4039</v>
      </c>
      <c r="B1656" s="562" t="s">
        <v>813</v>
      </c>
      <c r="C1656" s="403">
        <v>437</v>
      </c>
      <c r="D1656" s="400"/>
      <c r="E1656" s="400"/>
      <c r="F1656" s="400"/>
      <c r="G1656" s="400"/>
      <c r="H1656" s="396"/>
    </row>
    <row r="1657" spans="1:8" s="401" customFormat="1" ht="14.25" customHeight="1" x14ac:dyDescent="0.25">
      <c r="A1657" s="564">
        <v>4041</v>
      </c>
      <c r="B1657" s="562" t="s">
        <v>798</v>
      </c>
      <c r="C1657" s="403">
        <v>3223.59</v>
      </c>
      <c r="D1657" s="400"/>
      <c r="E1657" s="400"/>
      <c r="F1657" s="400"/>
      <c r="G1657" s="400"/>
      <c r="H1657" s="396"/>
    </row>
    <row r="1658" spans="1:8" s="401" customFormat="1" ht="14.25" customHeight="1" x14ac:dyDescent="0.25">
      <c r="A1658" s="564">
        <v>4044</v>
      </c>
      <c r="B1658" s="562" t="s">
        <v>798</v>
      </c>
      <c r="C1658" s="403">
        <v>2658.14</v>
      </c>
      <c r="D1658" s="400"/>
      <c r="E1658" s="400"/>
      <c r="F1658" s="400"/>
      <c r="G1658" s="400"/>
      <c r="H1658" s="396"/>
    </row>
    <row r="1659" spans="1:8" s="401" customFormat="1" ht="14.25" customHeight="1" x14ac:dyDescent="0.25">
      <c r="A1659" s="564">
        <v>4047</v>
      </c>
      <c r="B1659" s="562" t="s">
        <v>798</v>
      </c>
      <c r="C1659" s="403">
        <v>2658.14</v>
      </c>
      <c r="D1659" s="400"/>
      <c r="E1659" s="400"/>
      <c r="F1659" s="400"/>
      <c r="G1659" s="400"/>
      <c r="H1659" s="396"/>
    </row>
    <row r="1660" spans="1:8" s="401" customFormat="1" ht="14.25" customHeight="1" x14ac:dyDescent="0.25">
      <c r="A1660" s="564">
        <v>4059</v>
      </c>
      <c r="B1660" s="562" t="s">
        <v>819</v>
      </c>
      <c r="C1660" s="403">
        <v>1328.2</v>
      </c>
      <c r="D1660" s="400"/>
      <c r="E1660" s="400"/>
      <c r="F1660" s="400"/>
      <c r="G1660" s="400"/>
      <c r="H1660" s="396"/>
    </row>
    <row r="1661" spans="1:8" s="401" customFormat="1" ht="14.25" customHeight="1" x14ac:dyDescent="0.25">
      <c r="A1661" s="564">
        <v>4062</v>
      </c>
      <c r="B1661" s="562" t="s">
        <v>819</v>
      </c>
      <c r="C1661" s="403">
        <v>1328.2</v>
      </c>
      <c r="D1661" s="400"/>
      <c r="E1661" s="400"/>
      <c r="F1661" s="400"/>
      <c r="G1661" s="400"/>
      <c r="H1661" s="396"/>
    </row>
    <row r="1662" spans="1:8" s="401" customFormat="1" ht="14.25" customHeight="1" x14ac:dyDescent="0.25">
      <c r="A1662" s="564">
        <v>4065</v>
      </c>
      <c r="B1662" s="562" t="s">
        <v>786</v>
      </c>
      <c r="C1662" s="403">
        <v>2018.25</v>
      </c>
      <c r="D1662" s="400"/>
      <c r="E1662" s="400"/>
      <c r="F1662" s="400"/>
      <c r="G1662" s="400"/>
      <c r="H1662" s="396"/>
    </row>
    <row r="1663" spans="1:8" s="401" customFormat="1" ht="14.25" customHeight="1" x14ac:dyDescent="0.25">
      <c r="A1663" s="564">
        <v>4067</v>
      </c>
      <c r="B1663" s="562" t="s">
        <v>786</v>
      </c>
      <c r="C1663" s="403">
        <v>1</v>
      </c>
      <c r="D1663" s="400"/>
      <c r="E1663" s="400"/>
      <c r="F1663" s="400"/>
      <c r="G1663" s="400"/>
      <c r="H1663" s="396"/>
    </row>
    <row r="1664" spans="1:8" s="401" customFormat="1" ht="14.25" customHeight="1" x14ac:dyDescent="0.25">
      <c r="A1664" s="564">
        <v>4068</v>
      </c>
      <c r="B1664" s="562" t="s">
        <v>785</v>
      </c>
      <c r="C1664" s="403">
        <v>929.62</v>
      </c>
      <c r="D1664" s="400"/>
      <c r="E1664" s="400"/>
      <c r="F1664" s="400"/>
      <c r="G1664" s="400"/>
      <c r="H1664" s="396"/>
    </row>
    <row r="1665" spans="1:8" s="401" customFormat="1" ht="14.25" customHeight="1" x14ac:dyDescent="0.25">
      <c r="A1665" s="564">
        <v>4069</v>
      </c>
      <c r="B1665" s="562" t="s">
        <v>785</v>
      </c>
      <c r="C1665" s="403">
        <v>664</v>
      </c>
      <c r="D1665" s="400"/>
      <c r="E1665" s="400"/>
      <c r="F1665" s="400"/>
      <c r="G1665" s="400"/>
      <c r="H1665" s="396"/>
    </row>
    <row r="1666" spans="1:8" s="401" customFormat="1" ht="14.25" customHeight="1" x14ac:dyDescent="0.25">
      <c r="A1666" s="564">
        <v>4071</v>
      </c>
      <c r="B1666" s="562" t="s">
        <v>785</v>
      </c>
      <c r="C1666" s="403">
        <v>929.62</v>
      </c>
      <c r="D1666" s="400"/>
      <c r="E1666" s="400"/>
      <c r="F1666" s="400"/>
      <c r="G1666" s="400"/>
      <c r="H1666" s="396"/>
    </row>
    <row r="1667" spans="1:8" s="401" customFormat="1" ht="14.25" customHeight="1" x14ac:dyDescent="0.25">
      <c r="A1667" s="564">
        <v>4072</v>
      </c>
      <c r="B1667" s="562" t="s">
        <v>785</v>
      </c>
      <c r="C1667" s="403">
        <v>1127</v>
      </c>
      <c r="D1667" s="400"/>
      <c r="E1667" s="400"/>
      <c r="F1667" s="400"/>
      <c r="G1667" s="400"/>
      <c r="H1667" s="396"/>
    </row>
    <row r="1668" spans="1:8" s="401" customFormat="1" ht="14.25" customHeight="1" x14ac:dyDescent="0.25">
      <c r="A1668" s="564">
        <v>4074</v>
      </c>
      <c r="B1668" s="562" t="s">
        <v>785</v>
      </c>
      <c r="C1668" s="403">
        <v>664</v>
      </c>
      <c r="D1668" s="400"/>
      <c r="E1668" s="400"/>
      <c r="F1668" s="400"/>
      <c r="G1668" s="400"/>
      <c r="H1668" s="396"/>
    </row>
    <row r="1669" spans="1:8" s="401" customFormat="1" ht="14.25" customHeight="1" x14ac:dyDescent="0.25">
      <c r="A1669" s="564">
        <v>4075</v>
      </c>
      <c r="B1669" s="562" t="s">
        <v>785</v>
      </c>
      <c r="C1669" s="403">
        <v>1127</v>
      </c>
      <c r="D1669" s="400"/>
      <c r="E1669" s="400"/>
      <c r="F1669" s="400"/>
      <c r="G1669" s="400"/>
      <c r="H1669" s="396"/>
    </row>
    <row r="1670" spans="1:8" s="401" customFormat="1" ht="14.25" customHeight="1" x14ac:dyDescent="0.25">
      <c r="A1670" s="564">
        <v>4076</v>
      </c>
      <c r="B1670" s="562" t="s">
        <v>785</v>
      </c>
      <c r="C1670" s="403">
        <v>782</v>
      </c>
      <c r="D1670" s="400"/>
      <c r="E1670" s="400"/>
      <c r="F1670" s="400"/>
      <c r="G1670" s="400"/>
      <c r="H1670" s="396"/>
    </row>
    <row r="1671" spans="1:8" s="401" customFormat="1" ht="14.25" customHeight="1" x14ac:dyDescent="0.25">
      <c r="A1671" s="564">
        <v>4077</v>
      </c>
      <c r="B1671" s="562" t="s">
        <v>785</v>
      </c>
      <c r="C1671" s="403">
        <v>1</v>
      </c>
      <c r="D1671" s="400"/>
      <c r="E1671" s="400"/>
      <c r="F1671" s="400"/>
      <c r="G1671" s="400"/>
      <c r="H1671" s="396"/>
    </row>
    <row r="1672" spans="1:8" s="401" customFormat="1" ht="14.25" customHeight="1" x14ac:dyDescent="0.25">
      <c r="A1672" s="564">
        <v>4078</v>
      </c>
      <c r="B1672" s="562" t="s">
        <v>785</v>
      </c>
      <c r="C1672" s="403">
        <v>448</v>
      </c>
      <c r="D1672" s="400"/>
      <c r="E1672" s="400"/>
      <c r="F1672" s="400"/>
      <c r="G1672" s="400"/>
      <c r="H1672" s="396"/>
    </row>
    <row r="1673" spans="1:8" s="401" customFormat="1" ht="14.25" customHeight="1" x14ac:dyDescent="0.25">
      <c r="A1673" s="564">
        <v>4081</v>
      </c>
      <c r="B1673" s="562" t="s">
        <v>785</v>
      </c>
      <c r="C1673" s="403">
        <v>1</v>
      </c>
      <c r="D1673" s="400"/>
      <c r="E1673" s="400"/>
      <c r="F1673" s="400"/>
      <c r="G1673" s="400"/>
      <c r="H1673" s="396"/>
    </row>
    <row r="1674" spans="1:8" s="401" customFormat="1" ht="14.25" customHeight="1" x14ac:dyDescent="0.25">
      <c r="A1674" s="564">
        <v>4083</v>
      </c>
      <c r="B1674" s="562" t="s">
        <v>785</v>
      </c>
      <c r="C1674" s="403">
        <v>1</v>
      </c>
      <c r="D1674" s="400"/>
      <c r="E1674" s="400"/>
      <c r="F1674" s="400"/>
      <c r="G1674" s="400"/>
      <c r="H1674" s="396"/>
    </row>
    <row r="1675" spans="1:8" s="401" customFormat="1" ht="14.25" customHeight="1" x14ac:dyDescent="0.25">
      <c r="A1675" s="564">
        <v>4084</v>
      </c>
      <c r="B1675" s="562" t="s">
        <v>790</v>
      </c>
      <c r="C1675" s="403">
        <v>1438</v>
      </c>
      <c r="D1675" s="400"/>
      <c r="E1675" s="400"/>
      <c r="F1675" s="400"/>
      <c r="G1675" s="400"/>
      <c r="H1675" s="396"/>
    </row>
    <row r="1676" spans="1:8" s="401" customFormat="1" ht="14.25" customHeight="1" x14ac:dyDescent="0.25">
      <c r="A1676" s="564">
        <v>4086</v>
      </c>
      <c r="B1676" s="562" t="s">
        <v>787</v>
      </c>
      <c r="C1676" s="403">
        <v>480</v>
      </c>
      <c r="D1676" s="400"/>
      <c r="E1676" s="400"/>
      <c r="F1676" s="400"/>
      <c r="G1676" s="400"/>
      <c r="H1676" s="396"/>
    </row>
    <row r="1677" spans="1:8" s="401" customFormat="1" ht="14.25" customHeight="1" x14ac:dyDescent="0.25">
      <c r="A1677" s="564">
        <v>4088</v>
      </c>
      <c r="B1677" s="562" t="s">
        <v>787</v>
      </c>
      <c r="C1677" s="403">
        <v>480</v>
      </c>
      <c r="D1677" s="400"/>
      <c r="E1677" s="400"/>
      <c r="F1677" s="400"/>
      <c r="G1677" s="400"/>
      <c r="H1677" s="396"/>
    </row>
    <row r="1678" spans="1:8" s="401" customFormat="1" ht="14.25" customHeight="1" x14ac:dyDescent="0.25">
      <c r="A1678" s="564">
        <v>4091</v>
      </c>
      <c r="B1678" s="562" t="s">
        <v>787</v>
      </c>
      <c r="C1678" s="403">
        <v>1</v>
      </c>
      <c r="D1678" s="400"/>
      <c r="E1678" s="400"/>
      <c r="F1678" s="400"/>
      <c r="G1678" s="400"/>
      <c r="H1678" s="396"/>
    </row>
    <row r="1679" spans="1:8" s="401" customFormat="1" ht="14.25" customHeight="1" x14ac:dyDescent="0.25">
      <c r="A1679" s="564">
        <v>4093</v>
      </c>
      <c r="B1679" s="562" t="s">
        <v>787</v>
      </c>
      <c r="C1679" s="403">
        <v>1</v>
      </c>
      <c r="D1679" s="400"/>
      <c r="E1679" s="400"/>
      <c r="F1679" s="400"/>
      <c r="G1679" s="400"/>
      <c r="H1679" s="396"/>
    </row>
    <row r="1680" spans="1:8" s="401" customFormat="1" ht="14.25" customHeight="1" x14ac:dyDescent="0.25">
      <c r="A1680" s="564">
        <v>4095</v>
      </c>
      <c r="B1680" s="562" t="s">
        <v>787</v>
      </c>
      <c r="C1680" s="403">
        <v>1</v>
      </c>
      <c r="D1680" s="400"/>
      <c r="E1680" s="400"/>
      <c r="F1680" s="400"/>
      <c r="G1680" s="400"/>
      <c r="H1680" s="396"/>
    </row>
    <row r="1681" spans="1:8" s="401" customFormat="1" ht="14.25" customHeight="1" x14ac:dyDescent="0.25">
      <c r="A1681" s="564">
        <v>4098</v>
      </c>
      <c r="B1681" s="562" t="s">
        <v>787</v>
      </c>
      <c r="C1681" s="403">
        <v>1075</v>
      </c>
      <c r="D1681" s="400"/>
      <c r="E1681" s="400"/>
      <c r="F1681" s="400"/>
      <c r="G1681" s="400"/>
      <c r="H1681" s="396"/>
    </row>
    <row r="1682" spans="1:8" s="401" customFormat="1" ht="14.25" customHeight="1" x14ac:dyDescent="0.25">
      <c r="A1682" s="564">
        <v>4100</v>
      </c>
      <c r="B1682" s="562" t="s">
        <v>791</v>
      </c>
      <c r="C1682" s="403">
        <v>3522</v>
      </c>
      <c r="D1682" s="400"/>
      <c r="E1682" s="400"/>
      <c r="F1682" s="400"/>
      <c r="G1682" s="400"/>
      <c r="H1682" s="396"/>
    </row>
    <row r="1683" spans="1:8" s="401" customFormat="1" ht="14.25" customHeight="1" x14ac:dyDescent="0.25">
      <c r="A1683" s="564">
        <v>4107</v>
      </c>
      <c r="B1683" s="562" t="s">
        <v>791</v>
      </c>
      <c r="C1683" s="403">
        <v>3132</v>
      </c>
      <c r="D1683" s="400"/>
      <c r="E1683" s="400"/>
      <c r="F1683" s="400"/>
      <c r="G1683" s="400"/>
      <c r="H1683" s="396"/>
    </row>
    <row r="1684" spans="1:8" s="401" customFormat="1" ht="14.25" customHeight="1" x14ac:dyDescent="0.25">
      <c r="A1684" s="564">
        <v>4109</v>
      </c>
      <c r="B1684" s="562" t="s">
        <v>791</v>
      </c>
      <c r="C1684" s="403">
        <v>2415</v>
      </c>
      <c r="D1684" s="400"/>
      <c r="E1684" s="400"/>
      <c r="F1684" s="400"/>
      <c r="G1684" s="400"/>
      <c r="H1684" s="396"/>
    </row>
    <row r="1685" spans="1:8" s="401" customFormat="1" ht="14.25" customHeight="1" x14ac:dyDescent="0.25">
      <c r="A1685" s="564">
        <v>4111</v>
      </c>
      <c r="B1685" s="562" t="s">
        <v>791</v>
      </c>
      <c r="C1685" s="403">
        <v>1380</v>
      </c>
      <c r="D1685" s="400"/>
      <c r="E1685" s="400"/>
      <c r="F1685" s="400"/>
      <c r="G1685" s="400"/>
      <c r="H1685" s="396"/>
    </row>
    <row r="1686" spans="1:8" s="401" customFormat="1" ht="14.25" customHeight="1" x14ac:dyDescent="0.25">
      <c r="A1686" s="564">
        <v>4114</v>
      </c>
      <c r="B1686" s="562" t="s">
        <v>791</v>
      </c>
      <c r="C1686" s="403">
        <v>1380</v>
      </c>
      <c r="D1686" s="400"/>
      <c r="E1686" s="400"/>
      <c r="F1686" s="400"/>
      <c r="G1686" s="400"/>
      <c r="H1686" s="396"/>
    </row>
    <row r="1687" spans="1:8" s="401" customFormat="1" ht="14.25" customHeight="1" x14ac:dyDescent="0.25">
      <c r="A1687" s="564">
        <v>4116</v>
      </c>
      <c r="B1687" s="562" t="s">
        <v>791</v>
      </c>
      <c r="C1687" s="403">
        <v>1380</v>
      </c>
      <c r="D1687" s="400"/>
      <c r="E1687" s="400"/>
      <c r="F1687" s="400"/>
      <c r="G1687" s="400"/>
      <c r="H1687" s="396"/>
    </row>
    <row r="1688" spans="1:8" s="401" customFormat="1" ht="14.25" customHeight="1" x14ac:dyDescent="0.25">
      <c r="A1688" s="564">
        <v>4119</v>
      </c>
      <c r="B1688" s="562" t="s">
        <v>791</v>
      </c>
      <c r="C1688" s="403">
        <v>1</v>
      </c>
      <c r="D1688" s="400"/>
      <c r="E1688" s="400"/>
      <c r="F1688" s="400"/>
      <c r="G1688" s="400"/>
      <c r="H1688" s="396"/>
    </row>
    <row r="1689" spans="1:8" s="401" customFormat="1" ht="14.25" customHeight="1" x14ac:dyDescent="0.25">
      <c r="A1689" s="564">
        <v>4122</v>
      </c>
      <c r="B1689" s="562" t="s">
        <v>791</v>
      </c>
      <c r="C1689" s="403">
        <v>1</v>
      </c>
      <c r="D1689" s="400"/>
      <c r="E1689" s="400"/>
      <c r="F1689" s="400"/>
      <c r="G1689" s="400"/>
      <c r="H1689" s="396"/>
    </row>
    <row r="1690" spans="1:8" s="401" customFormat="1" ht="14.25" customHeight="1" x14ac:dyDescent="0.25">
      <c r="A1690" s="564">
        <v>4127</v>
      </c>
      <c r="B1690" s="562" t="s">
        <v>791</v>
      </c>
      <c r="C1690" s="403">
        <v>1</v>
      </c>
      <c r="D1690" s="400"/>
      <c r="E1690" s="400"/>
      <c r="F1690" s="400"/>
      <c r="G1690" s="400"/>
      <c r="H1690" s="396"/>
    </row>
    <row r="1691" spans="1:8" s="401" customFormat="1" ht="14.25" customHeight="1" x14ac:dyDescent="0.25">
      <c r="A1691" s="564">
        <v>4136</v>
      </c>
      <c r="B1691" s="562" t="s">
        <v>792</v>
      </c>
      <c r="C1691" s="403">
        <v>1</v>
      </c>
      <c r="D1691" s="400"/>
      <c r="E1691" s="400"/>
      <c r="F1691" s="400"/>
      <c r="G1691" s="400"/>
      <c r="H1691" s="396"/>
    </row>
    <row r="1692" spans="1:8" s="401" customFormat="1" ht="14.25" customHeight="1" x14ac:dyDescent="0.25">
      <c r="A1692" s="564">
        <v>4404</v>
      </c>
      <c r="B1692" s="562" t="s">
        <v>785</v>
      </c>
      <c r="C1692" s="403">
        <v>1209</v>
      </c>
      <c r="D1692" s="400"/>
      <c r="E1692" s="400"/>
      <c r="F1692" s="400"/>
      <c r="G1692" s="400"/>
      <c r="H1692" s="396"/>
    </row>
    <row r="1693" spans="1:8" s="401" customFormat="1" ht="14.25" customHeight="1" x14ac:dyDescent="0.25">
      <c r="A1693" s="564">
        <v>4413</v>
      </c>
      <c r="B1693" s="562" t="s">
        <v>789</v>
      </c>
      <c r="C1693" s="403">
        <v>701</v>
      </c>
      <c r="D1693" s="400"/>
      <c r="E1693" s="400"/>
      <c r="F1693" s="400"/>
      <c r="G1693" s="400"/>
      <c r="H1693" s="396"/>
    </row>
    <row r="1694" spans="1:8" s="401" customFormat="1" ht="14.25" customHeight="1" x14ac:dyDescent="0.25">
      <c r="A1694" s="564">
        <v>4843</v>
      </c>
      <c r="B1694" s="562" t="s">
        <v>789</v>
      </c>
      <c r="C1694" s="403">
        <v>700.94</v>
      </c>
      <c r="D1694" s="400"/>
      <c r="E1694" s="400"/>
      <c r="F1694" s="400"/>
      <c r="G1694" s="400"/>
      <c r="H1694" s="396"/>
    </row>
    <row r="1695" spans="1:8" s="401" customFormat="1" ht="14.25" customHeight="1" x14ac:dyDescent="0.25">
      <c r="A1695" s="564">
        <v>3901</v>
      </c>
      <c r="B1695" s="562" t="s">
        <v>787</v>
      </c>
      <c r="C1695" s="403">
        <v>350</v>
      </c>
      <c r="D1695" s="400"/>
      <c r="E1695" s="400"/>
      <c r="F1695" s="400"/>
      <c r="G1695" s="400"/>
      <c r="H1695" s="396"/>
    </row>
    <row r="1696" spans="1:8" s="401" customFormat="1" ht="14.25" customHeight="1" x14ac:dyDescent="0.25">
      <c r="A1696" s="564">
        <v>3915</v>
      </c>
      <c r="B1696" s="562" t="s">
        <v>791</v>
      </c>
      <c r="C1696" s="403">
        <v>3413</v>
      </c>
      <c r="D1696" s="400"/>
      <c r="E1696" s="400"/>
      <c r="F1696" s="400"/>
      <c r="G1696" s="400"/>
      <c r="H1696" s="396"/>
    </row>
    <row r="1697" spans="1:8" s="401" customFormat="1" ht="14.25" customHeight="1" x14ac:dyDescent="0.25">
      <c r="A1697" s="564">
        <v>3917</v>
      </c>
      <c r="B1697" s="562" t="s">
        <v>791</v>
      </c>
      <c r="C1697" s="403">
        <v>1503</v>
      </c>
      <c r="D1697" s="400"/>
      <c r="E1697" s="400"/>
      <c r="F1697" s="400"/>
      <c r="G1697" s="400"/>
      <c r="H1697" s="396"/>
    </row>
    <row r="1698" spans="1:8" s="401" customFormat="1" ht="14.25" customHeight="1" x14ac:dyDescent="0.25">
      <c r="A1698" s="564">
        <v>3921</v>
      </c>
      <c r="B1698" s="562" t="s">
        <v>791</v>
      </c>
      <c r="C1698" s="403">
        <v>1</v>
      </c>
      <c r="D1698" s="400"/>
      <c r="E1698" s="400"/>
      <c r="F1698" s="400"/>
      <c r="G1698" s="400"/>
      <c r="H1698" s="396"/>
    </row>
    <row r="1699" spans="1:8" s="401" customFormat="1" ht="14.25" customHeight="1" x14ac:dyDescent="0.25">
      <c r="A1699" s="564">
        <v>4028</v>
      </c>
      <c r="B1699" s="562" t="s">
        <v>814</v>
      </c>
      <c r="C1699" s="403">
        <v>948</v>
      </c>
      <c r="D1699" s="400"/>
      <c r="E1699" s="400"/>
      <c r="F1699" s="400"/>
      <c r="G1699" s="400"/>
      <c r="H1699" s="396"/>
    </row>
    <row r="1700" spans="1:8" s="401" customFormat="1" ht="14.25" customHeight="1" x14ac:dyDescent="0.25">
      <c r="A1700" s="564">
        <v>4030</v>
      </c>
      <c r="B1700" s="562" t="s">
        <v>785</v>
      </c>
      <c r="C1700" s="403">
        <v>466</v>
      </c>
      <c r="D1700" s="400"/>
      <c r="E1700" s="400"/>
      <c r="F1700" s="400"/>
      <c r="G1700" s="400"/>
      <c r="H1700" s="396"/>
    </row>
    <row r="1701" spans="1:8" s="401" customFormat="1" ht="14.25" customHeight="1" x14ac:dyDescent="0.25">
      <c r="A1701" s="564">
        <v>4032</v>
      </c>
      <c r="B1701" s="562" t="s">
        <v>787</v>
      </c>
      <c r="C1701" s="403">
        <v>2467</v>
      </c>
      <c r="D1701" s="400"/>
      <c r="E1701" s="400"/>
      <c r="F1701" s="400"/>
      <c r="G1701" s="400"/>
      <c r="H1701" s="396"/>
    </row>
    <row r="1702" spans="1:8" s="401" customFormat="1" ht="14.25" customHeight="1" x14ac:dyDescent="0.25">
      <c r="A1702" s="564">
        <v>3101</v>
      </c>
      <c r="B1702" s="562" t="s">
        <v>813</v>
      </c>
      <c r="C1702" s="403">
        <v>190</v>
      </c>
      <c r="D1702" s="400"/>
      <c r="E1702" s="400"/>
      <c r="F1702" s="400"/>
      <c r="G1702" s="400"/>
      <c r="H1702" s="396"/>
    </row>
    <row r="1703" spans="1:8" s="401" customFormat="1" ht="14.25" customHeight="1" x14ac:dyDescent="0.25">
      <c r="A1703" s="564">
        <v>3104</v>
      </c>
      <c r="B1703" s="562" t="s">
        <v>789</v>
      </c>
      <c r="C1703" s="403">
        <v>400</v>
      </c>
      <c r="D1703" s="400"/>
      <c r="E1703" s="400"/>
      <c r="F1703" s="400"/>
      <c r="G1703" s="400"/>
      <c r="H1703" s="396"/>
    </row>
    <row r="1704" spans="1:8" s="401" customFormat="1" ht="14.25" customHeight="1" x14ac:dyDescent="0.25">
      <c r="A1704" s="564">
        <v>3108</v>
      </c>
      <c r="B1704" s="562" t="s">
        <v>814</v>
      </c>
      <c r="C1704" s="403">
        <v>178</v>
      </c>
      <c r="D1704" s="400"/>
      <c r="E1704" s="400"/>
      <c r="F1704" s="400"/>
      <c r="G1704" s="400"/>
      <c r="H1704" s="396"/>
    </row>
    <row r="1705" spans="1:8" s="401" customFormat="1" ht="14.25" customHeight="1" x14ac:dyDescent="0.25">
      <c r="A1705" s="564">
        <v>3184</v>
      </c>
      <c r="B1705" s="562" t="s">
        <v>786</v>
      </c>
      <c r="C1705" s="403">
        <v>2018</v>
      </c>
      <c r="D1705" s="400"/>
      <c r="E1705" s="400"/>
      <c r="F1705" s="400"/>
      <c r="G1705" s="400"/>
      <c r="H1705" s="396"/>
    </row>
    <row r="1706" spans="1:8" s="401" customFormat="1" ht="14.25" customHeight="1" x14ac:dyDescent="0.25">
      <c r="A1706" s="564">
        <v>3210</v>
      </c>
      <c r="B1706" s="562" t="s">
        <v>785</v>
      </c>
      <c r="C1706" s="403">
        <v>345</v>
      </c>
      <c r="D1706" s="400"/>
      <c r="E1706" s="400"/>
      <c r="F1706" s="400"/>
      <c r="G1706" s="400"/>
      <c r="H1706" s="396"/>
    </row>
    <row r="1707" spans="1:8" s="401" customFormat="1" ht="14.25" customHeight="1" x14ac:dyDescent="0.25">
      <c r="A1707" s="564">
        <v>3214</v>
      </c>
      <c r="B1707" s="562" t="s">
        <v>785</v>
      </c>
      <c r="C1707" s="403">
        <v>170</v>
      </c>
      <c r="D1707" s="400"/>
      <c r="E1707" s="400"/>
      <c r="F1707" s="400"/>
      <c r="G1707" s="400"/>
      <c r="H1707" s="396"/>
    </row>
    <row r="1708" spans="1:8" s="401" customFormat="1" ht="14.25" customHeight="1" x14ac:dyDescent="0.25">
      <c r="A1708" s="564">
        <v>3217</v>
      </c>
      <c r="B1708" s="562" t="s">
        <v>785</v>
      </c>
      <c r="C1708" s="403">
        <v>170</v>
      </c>
      <c r="D1708" s="400"/>
      <c r="E1708" s="400"/>
      <c r="F1708" s="400"/>
      <c r="G1708" s="400"/>
      <c r="H1708" s="396"/>
    </row>
    <row r="1709" spans="1:8" s="401" customFormat="1" ht="14.25" customHeight="1" x14ac:dyDescent="0.25">
      <c r="A1709" s="564">
        <v>3238</v>
      </c>
      <c r="B1709" s="562" t="s">
        <v>785</v>
      </c>
      <c r="C1709" s="403">
        <v>1</v>
      </c>
      <c r="D1709" s="400"/>
      <c r="E1709" s="400"/>
      <c r="F1709" s="400"/>
      <c r="G1709" s="400"/>
      <c r="H1709" s="396"/>
    </row>
    <row r="1710" spans="1:8" s="401" customFormat="1" ht="14.25" customHeight="1" x14ac:dyDescent="0.25">
      <c r="A1710" s="564">
        <v>3260</v>
      </c>
      <c r="B1710" s="562" t="s">
        <v>847</v>
      </c>
      <c r="C1710" s="403">
        <v>1</v>
      </c>
      <c r="D1710" s="400"/>
      <c r="E1710" s="400"/>
      <c r="F1710" s="400"/>
      <c r="G1710" s="400"/>
      <c r="H1710" s="396"/>
    </row>
    <row r="1711" spans="1:8" s="401" customFormat="1" ht="14.25" customHeight="1" x14ac:dyDescent="0.25">
      <c r="A1711" s="564">
        <v>3262</v>
      </c>
      <c r="B1711" s="562" t="s">
        <v>847</v>
      </c>
      <c r="C1711" s="403">
        <v>1</v>
      </c>
      <c r="D1711" s="400"/>
      <c r="E1711" s="400"/>
      <c r="F1711" s="400"/>
      <c r="G1711" s="400"/>
      <c r="H1711" s="396"/>
    </row>
    <row r="1712" spans="1:8" s="401" customFormat="1" ht="14.25" customHeight="1" x14ac:dyDescent="0.25">
      <c r="A1712" s="564">
        <v>3264</v>
      </c>
      <c r="B1712" s="562" t="s">
        <v>847</v>
      </c>
      <c r="C1712" s="403">
        <v>1</v>
      </c>
      <c r="D1712" s="400"/>
      <c r="E1712" s="400"/>
      <c r="F1712" s="400"/>
      <c r="G1712" s="400"/>
      <c r="H1712" s="396"/>
    </row>
    <row r="1713" spans="1:8" s="401" customFormat="1" ht="14.25" customHeight="1" x14ac:dyDescent="0.25">
      <c r="A1713" s="564">
        <v>3290</v>
      </c>
      <c r="B1713" s="562" t="s">
        <v>828</v>
      </c>
      <c r="C1713" s="403">
        <v>483</v>
      </c>
      <c r="D1713" s="400"/>
      <c r="E1713" s="400"/>
      <c r="F1713" s="400"/>
      <c r="G1713" s="400"/>
      <c r="H1713" s="396"/>
    </row>
    <row r="1714" spans="1:8" s="401" customFormat="1" ht="14.25" customHeight="1" x14ac:dyDescent="0.25">
      <c r="A1714" s="564">
        <v>3378</v>
      </c>
      <c r="B1714" s="562" t="s">
        <v>787</v>
      </c>
      <c r="C1714" s="403">
        <v>1679</v>
      </c>
      <c r="D1714" s="400"/>
      <c r="E1714" s="400"/>
      <c r="F1714" s="400"/>
      <c r="G1714" s="400"/>
      <c r="H1714" s="396"/>
    </row>
    <row r="1715" spans="1:8" s="401" customFormat="1" ht="14.25" customHeight="1" x14ac:dyDescent="0.25">
      <c r="A1715" s="564">
        <v>3398</v>
      </c>
      <c r="B1715" s="562" t="s">
        <v>787</v>
      </c>
      <c r="C1715" s="403">
        <v>1</v>
      </c>
      <c r="D1715" s="400"/>
      <c r="E1715" s="400"/>
      <c r="F1715" s="400"/>
      <c r="G1715" s="400"/>
      <c r="H1715" s="396"/>
    </row>
    <row r="1716" spans="1:8" s="401" customFormat="1" ht="14.25" customHeight="1" x14ac:dyDescent="0.25">
      <c r="A1716" s="564">
        <v>3403</v>
      </c>
      <c r="B1716" s="562" t="s">
        <v>806</v>
      </c>
      <c r="C1716" s="403">
        <v>1472</v>
      </c>
      <c r="D1716" s="400"/>
      <c r="E1716" s="400"/>
      <c r="F1716" s="400"/>
      <c r="G1716" s="400"/>
      <c r="H1716" s="396"/>
    </row>
    <row r="1717" spans="1:8" s="401" customFormat="1" ht="14.25" customHeight="1" x14ac:dyDescent="0.25">
      <c r="A1717" s="564">
        <v>3422</v>
      </c>
      <c r="B1717" s="562" t="s">
        <v>791</v>
      </c>
      <c r="C1717" s="403">
        <v>1840</v>
      </c>
      <c r="D1717" s="400"/>
      <c r="E1717" s="400"/>
      <c r="F1717" s="400"/>
      <c r="G1717" s="400"/>
      <c r="H1717" s="396"/>
    </row>
    <row r="1718" spans="1:8" s="401" customFormat="1" ht="14.25" customHeight="1" x14ac:dyDescent="0.25">
      <c r="A1718" s="564">
        <v>3174</v>
      </c>
      <c r="B1718" s="562" t="s">
        <v>794</v>
      </c>
      <c r="C1718" s="403">
        <v>402</v>
      </c>
      <c r="D1718" s="400"/>
      <c r="E1718" s="400"/>
      <c r="F1718" s="400"/>
      <c r="G1718" s="400"/>
      <c r="H1718" s="396"/>
    </row>
    <row r="1719" spans="1:8" s="401" customFormat="1" ht="14.25" customHeight="1" x14ac:dyDescent="0.25">
      <c r="A1719" s="564">
        <v>3194</v>
      </c>
      <c r="B1719" s="562" t="s">
        <v>785</v>
      </c>
      <c r="C1719" s="403">
        <v>1090.4000000000001</v>
      </c>
      <c r="D1719" s="400"/>
      <c r="E1719" s="400"/>
      <c r="F1719" s="400"/>
      <c r="G1719" s="400"/>
      <c r="H1719" s="396"/>
    </row>
    <row r="1720" spans="1:8" s="401" customFormat="1" ht="14.25" customHeight="1" x14ac:dyDescent="0.25">
      <c r="A1720" s="564">
        <v>3199</v>
      </c>
      <c r="B1720" s="562" t="s">
        <v>785</v>
      </c>
      <c r="C1720" s="403">
        <v>1115.92</v>
      </c>
      <c r="D1720" s="400"/>
      <c r="E1720" s="400"/>
      <c r="F1720" s="400"/>
      <c r="G1720" s="400"/>
      <c r="H1720" s="396"/>
    </row>
    <row r="1721" spans="1:8" s="401" customFormat="1" ht="14.25" customHeight="1" x14ac:dyDescent="0.25">
      <c r="A1721" s="564">
        <v>3202</v>
      </c>
      <c r="B1721" s="562" t="s">
        <v>785</v>
      </c>
      <c r="C1721" s="403">
        <v>402</v>
      </c>
      <c r="D1721" s="400"/>
      <c r="E1721" s="400"/>
      <c r="F1721" s="400"/>
      <c r="G1721" s="400"/>
      <c r="H1721" s="396"/>
    </row>
    <row r="1722" spans="1:8" s="401" customFormat="1" ht="14.25" customHeight="1" x14ac:dyDescent="0.25">
      <c r="A1722" s="564">
        <v>3204</v>
      </c>
      <c r="B1722" s="562" t="s">
        <v>785</v>
      </c>
      <c r="C1722" s="403">
        <v>402</v>
      </c>
      <c r="D1722" s="400"/>
      <c r="E1722" s="400"/>
      <c r="F1722" s="400"/>
      <c r="G1722" s="400"/>
      <c r="H1722" s="396"/>
    </row>
    <row r="1723" spans="1:8" s="401" customFormat="1" ht="14.25" customHeight="1" x14ac:dyDescent="0.25">
      <c r="A1723" s="564">
        <v>3207</v>
      </c>
      <c r="B1723" s="562" t="s">
        <v>785</v>
      </c>
      <c r="C1723" s="403">
        <v>345</v>
      </c>
      <c r="D1723" s="400"/>
      <c r="E1723" s="400"/>
      <c r="F1723" s="400"/>
      <c r="G1723" s="400"/>
      <c r="H1723" s="396"/>
    </row>
    <row r="1724" spans="1:8" s="401" customFormat="1" ht="14.25" customHeight="1" x14ac:dyDescent="0.25">
      <c r="A1724" s="564">
        <v>3220</v>
      </c>
      <c r="B1724" s="562" t="s">
        <v>785</v>
      </c>
      <c r="C1724" s="403">
        <v>782</v>
      </c>
      <c r="D1724" s="400"/>
      <c r="E1724" s="400"/>
      <c r="F1724" s="400"/>
      <c r="G1724" s="400"/>
      <c r="H1724" s="396"/>
    </row>
    <row r="1725" spans="1:8" s="401" customFormat="1" ht="14.25" customHeight="1" x14ac:dyDescent="0.25">
      <c r="A1725" s="564">
        <v>3223</v>
      </c>
      <c r="B1725" s="562" t="s">
        <v>785</v>
      </c>
      <c r="C1725" s="403">
        <v>328</v>
      </c>
      <c r="D1725" s="400"/>
      <c r="E1725" s="400"/>
      <c r="F1725" s="400"/>
      <c r="G1725" s="400"/>
      <c r="H1725" s="396"/>
    </row>
    <row r="1726" spans="1:8" s="401" customFormat="1" ht="14.25" customHeight="1" x14ac:dyDescent="0.25">
      <c r="A1726" s="564">
        <v>3227</v>
      </c>
      <c r="B1726" s="562" t="s">
        <v>785</v>
      </c>
      <c r="C1726" s="403">
        <v>328</v>
      </c>
      <c r="D1726" s="400"/>
      <c r="E1726" s="400"/>
      <c r="F1726" s="400"/>
      <c r="G1726" s="400"/>
      <c r="H1726" s="396"/>
    </row>
    <row r="1727" spans="1:8" s="401" customFormat="1" ht="14.25" customHeight="1" x14ac:dyDescent="0.25">
      <c r="A1727" s="564">
        <v>3230</v>
      </c>
      <c r="B1727" s="562" t="s">
        <v>785</v>
      </c>
      <c r="C1727" s="403">
        <v>882</v>
      </c>
      <c r="D1727" s="400"/>
      <c r="E1727" s="400"/>
      <c r="F1727" s="400"/>
      <c r="G1727" s="400"/>
      <c r="H1727" s="396"/>
    </row>
    <row r="1728" spans="1:8" s="401" customFormat="1" ht="14.25" customHeight="1" x14ac:dyDescent="0.25">
      <c r="A1728" s="564">
        <v>3231</v>
      </c>
      <c r="B1728" s="562" t="s">
        <v>785</v>
      </c>
      <c r="C1728" s="403">
        <v>299</v>
      </c>
      <c r="D1728" s="400"/>
      <c r="E1728" s="400"/>
      <c r="F1728" s="400"/>
      <c r="G1728" s="400"/>
      <c r="H1728" s="396"/>
    </row>
    <row r="1729" spans="1:8" s="401" customFormat="1" ht="14.25" customHeight="1" x14ac:dyDescent="0.25">
      <c r="A1729" s="564">
        <v>3235</v>
      </c>
      <c r="B1729" s="562" t="s">
        <v>785</v>
      </c>
      <c r="C1729" s="403">
        <v>299</v>
      </c>
      <c r="D1729" s="400"/>
      <c r="E1729" s="400"/>
      <c r="F1729" s="400"/>
      <c r="G1729" s="400"/>
      <c r="H1729" s="396"/>
    </row>
    <row r="1730" spans="1:8" s="401" customFormat="1" ht="14.25" customHeight="1" x14ac:dyDescent="0.25">
      <c r="A1730" s="564">
        <v>3241</v>
      </c>
      <c r="B1730" s="562" t="s">
        <v>785</v>
      </c>
      <c r="C1730" s="403">
        <v>115</v>
      </c>
      <c r="D1730" s="400"/>
      <c r="E1730" s="400"/>
      <c r="F1730" s="400"/>
      <c r="G1730" s="400"/>
      <c r="H1730" s="396"/>
    </row>
    <row r="1731" spans="1:8" s="401" customFormat="1" ht="14.25" customHeight="1" x14ac:dyDescent="0.25">
      <c r="A1731" s="564">
        <v>3245</v>
      </c>
      <c r="B1731" s="562" t="s">
        <v>785</v>
      </c>
      <c r="C1731" s="403">
        <v>115</v>
      </c>
      <c r="D1731" s="400"/>
      <c r="E1731" s="400"/>
      <c r="F1731" s="400"/>
      <c r="G1731" s="400"/>
      <c r="H1731" s="396"/>
    </row>
    <row r="1732" spans="1:8" s="401" customFormat="1" ht="14.25" customHeight="1" x14ac:dyDescent="0.25">
      <c r="A1732" s="564">
        <v>3250</v>
      </c>
      <c r="B1732" s="562" t="s">
        <v>785</v>
      </c>
      <c r="C1732" s="403">
        <v>1</v>
      </c>
      <c r="D1732" s="400"/>
      <c r="E1732" s="400"/>
      <c r="F1732" s="400"/>
      <c r="G1732" s="400"/>
      <c r="H1732" s="396"/>
    </row>
    <row r="1733" spans="1:8" s="401" customFormat="1" ht="14.25" customHeight="1" x14ac:dyDescent="0.25">
      <c r="A1733" s="564">
        <v>3254</v>
      </c>
      <c r="B1733" s="562" t="s">
        <v>785</v>
      </c>
      <c r="C1733" s="403">
        <v>1</v>
      </c>
      <c r="D1733" s="400"/>
      <c r="E1733" s="400"/>
      <c r="F1733" s="400"/>
      <c r="G1733" s="400"/>
      <c r="H1733" s="396"/>
    </row>
    <row r="1734" spans="1:8" s="401" customFormat="1" ht="14.25" customHeight="1" x14ac:dyDescent="0.25">
      <c r="A1734" s="564">
        <v>3257</v>
      </c>
      <c r="B1734" s="562" t="s">
        <v>847</v>
      </c>
      <c r="C1734" s="403">
        <v>731</v>
      </c>
      <c r="D1734" s="400"/>
      <c r="E1734" s="400"/>
      <c r="F1734" s="400"/>
      <c r="G1734" s="400"/>
      <c r="H1734" s="396"/>
    </row>
    <row r="1735" spans="1:8" s="401" customFormat="1" ht="14.25" customHeight="1" x14ac:dyDescent="0.25">
      <c r="A1735" s="564">
        <v>3268</v>
      </c>
      <c r="B1735" s="562" t="s">
        <v>790</v>
      </c>
      <c r="C1735" s="403">
        <v>1</v>
      </c>
      <c r="D1735" s="400"/>
      <c r="E1735" s="400"/>
      <c r="F1735" s="400"/>
      <c r="G1735" s="400"/>
      <c r="H1735" s="396"/>
    </row>
    <row r="1736" spans="1:8" s="401" customFormat="1" ht="14.25" customHeight="1" x14ac:dyDescent="0.25">
      <c r="A1736" s="564">
        <v>3272</v>
      </c>
      <c r="B1736" s="562" t="s">
        <v>790</v>
      </c>
      <c r="C1736" s="403">
        <v>574</v>
      </c>
      <c r="D1736" s="400"/>
      <c r="E1736" s="400"/>
      <c r="F1736" s="400"/>
      <c r="G1736" s="400"/>
      <c r="H1736" s="396"/>
    </row>
    <row r="1737" spans="1:8" s="401" customFormat="1" ht="14.25" customHeight="1" x14ac:dyDescent="0.25">
      <c r="A1737" s="564">
        <v>3276</v>
      </c>
      <c r="B1737" s="562" t="s">
        <v>790</v>
      </c>
      <c r="C1737" s="403">
        <v>943</v>
      </c>
      <c r="D1737" s="400"/>
      <c r="E1737" s="400"/>
      <c r="F1737" s="400"/>
      <c r="G1737" s="400"/>
      <c r="H1737" s="396"/>
    </row>
    <row r="1738" spans="1:8" s="401" customFormat="1" ht="14.25" customHeight="1" x14ac:dyDescent="0.25">
      <c r="A1738" s="564">
        <v>3279</v>
      </c>
      <c r="B1738" s="562" t="s">
        <v>790</v>
      </c>
      <c r="C1738" s="403">
        <v>224</v>
      </c>
      <c r="D1738" s="400"/>
      <c r="E1738" s="400"/>
      <c r="F1738" s="400"/>
      <c r="G1738" s="400"/>
      <c r="H1738" s="396"/>
    </row>
    <row r="1739" spans="1:8" s="401" customFormat="1" ht="14.25" customHeight="1" x14ac:dyDescent="0.25">
      <c r="A1739" s="564">
        <v>3282</v>
      </c>
      <c r="B1739" s="562" t="s">
        <v>790</v>
      </c>
      <c r="C1739" s="403">
        <v>862</v>
      </c>
      <c r="D1739" s="400"/>
      <c r="E1739" s="400"/>
      <c r="F1739" s="400"/>
      <c r="G1739" s="400"/>
      <c r="H1739" s="396"/>
    </row>
    <row r="1740" spans="1:8" s="401" customFormat="1" ht="14.25" customHeight="1" x14ac:dyDescent="0.25">
      <c r="A1740" s="564">
        <v>3285</v>
      </c>
      <c r="B1740" s="562" t="s">
        <v>790</v>
      </c>
      <c r="C1740" s="403">
        <v>862</v>
      </c>
      <c r="D1740" s="400"/>
      <c r="E1740" s="400"/>
      <c r="F1740" s="400"/>
      <c r="G1740" s="400"/>
      <c r="H1740" s="396"/>
    </row>
    <row r="1741" spans="1:8" s="401" customFormat="1" ht="14.25" customHeight="1" x14ac:dyDescent="0.25">
      <c r="A1741" s="564">
        <v>3288</v>
      </c>
      <c r="B1741" s="562" t="s">
        <v>790</v>
      </c>
      <c r="C1741" s="403">
        <v>822</v>
      </c>
      <c r="D1741" s="400"/>
      <c r="E1741" s="400"/>
      <c r="F1741" s="400"/>
      <c r="G1741" s="400"/>
      <c r="H1741" s="396"/>
    </row>
    <row r="1742" spans="1:8" s="401" customFormat="1" ht="14.25" customHeight="1" x14ac:dyDescent="0.25">
      <c r="A1742" s="564">
        <v>3295</v>
      </c>
      <c r="B1742" s="562" t="s">
        <v>828</v>
      </c>
      <c r="C1742" s="403">
        <v>1</v>
      </c>
      <c r="D1742" s="400"/>
      <c r="E1742" s="400"/>
      <c r="F1742" s="400"/>
      <c r="G1742" s="400"/>
      <c r="H1742" s="396"/>
    </row>
    <row r="1743" spans="1:8" s="401" customFormat="1" ht="14.25" customHeight="1" x14ac:dyDescent="0.25">
      <c r="A1743" s="564">
        <v>3299</v>
      </c>
      <c r="B1743" s="562" t="s">
        <v>828</v>
      </c>
      <c r="C1743" s="403">
        <v>1</v>
      </c>
      <c r="D1743" s="400"/>
      <c r="E1743" s="400"/>
      <c r="F1743" s="400"/>
      <c r="G1743" s="400"/>
      <c r="H1743" s="396"/>
    </row>
    <row r="1744" spans="1:8" s="401" customFormat="1" ht="14.25" customHeight="1" x14ac:dyDescent="0.25">
      <c r="A1744" s="564">
        <v>3302</v>
      </c>
      <c r="B1744" s="562" t="s">
        <v>828</v>
      </c>
      <c r="C1744" s="403">
        <v>1</v>
      </c>
      <c r="D1744" s="400"/>
      <c r="E1744" s="400"/>
      <c r="F1744" s="400"/>
      <c r="G1744" s="400"/>
      <c r="H1744" s="396"/>
    </row>
    <row r="1745" spans="1:8" s="401" customFormat="1" ht="14.25" customHeight="1" x14ac:dyDescent="0.25">
      <c r="A1745" s="564">
        <v>3309</v>
      </c>
      <c r="B1745" s="562" t="s">
        <v>828</v>
      </c>
      <c r="C1745" s="403">
        <v>1</v>
      </c>
      <c r="D1745" s="400"/>
      <c r="E1745" s="400"/>
      <c r="F1745" s="400"/>
      <c r="G1745" s="400"/>
      <c r="H1745" s="396"/>
    </row>
    <row r="1746" spans="1:8" s="401" customFormat="1" ht="14.25" customHeight="1" x14ac:dyDescent="0.25">
      <c r="A1746" s="564">
        <v>3311</v>
      </c>
      <c r="B1746" s="562" t="s">
        <v>828</v>
      </c>
      <c r="C1746" s="403">
        <v>1</v>
      </c>
      <c r="D1746" s="400"/>
      <c r="E1746" s="400"/>
      <c r="F1746" s="400"/>
      <c r="G1746" s="400"/>
      <c r="H1746" s="396"/>
    </row>
    <row r="1747" spans="1:8" s="401" customFormat="1" ht="14.25" customHeight="1" x14ac:dyDescent="0.25">
      <c r="A1747" s="564">
        <v>3313</v>
      </c>
      <c r="B1747" s="562" t="s">
        <v>828</v>
      </c>
      <c r="C1747" s="403">
        <v>484</v>
      </c>
      <c r="D1747" s="400"/>
      <c r="E1747" s="400"/>
      <c r="F1747" s="400"/>
      <c r="G1747" s="400"/>
      <c r="H1747" s="396"/>
    </row>
    <row r="1748" spans="1:8" s="401" customFormat="1" ht="14.25" customHeight="1" x14ac:dyDescent="0.25">
      <c r="A1748" s="564">
        <v>3316</v>
      </c>
      <c r="B1748" s="562" t="s">
        <v>828</v>
      </c>
      <c r="C1748" s="403">
        <v>484</v>
      </c>
      <c r="D1748" s="400"/>
      <c r="E1748" s="400"/>
      <c r="F1748" s="400"/>
      <c r="G1748" s="400"/>
      <c r="H1748" s="396"/>
    </row>
    <row r="1749" spans="1:8" s="401" customFormat="1" ht="14.25" customHeight="1" x14ac:dyDescent="0.25">
      <c r="A1749" s="564">
        <v>3318</v>
      </c>
      <c r="B1749" s="562" t="s">
        <v>828</v>
      </c>
      <c r="C1749" s="403">
        <v>484</v>
      </c>
      <c r="D1749" s="400"/>
      <c r="E1749" s="400"/>
      <c r="F1749" s="400"/>
      <c r="G1749" s="400"/>
      <c r="H1749" s="396"/>
    </row>
    <row r="1750" spans="1:8" s="401" customFormat="1" ht="14.25" customHeight="1" x14ac:dyDescent="0.25">
      <c r="A1750" s="564">
        <v>3322</v>
      </c>
      <c r="B1750" s="562" t="s">
        <v>828</v>
      </c>
      <c r="C1750" s="403">
        <v>484</v>
      </c>
      <c r="D1750" s="400"/>
      <c r="E1750" s="400"/>
      <c r="F1750" s="400"/>
      <c r="G1750" s="400"/>
      <c r="H1750" s="396"/>
    </row>
    <row r="1751" spans="1:8" s="401" customFormat="1" ht="14.25" customHeight="1" x14ac:dyDescent="0.25">
      <c r="A1751" s="564">
        <v>3326</v>
      </c>
      <c r="B1751" s="562" t="s">
        <v>828</v>
      </c>
      <c r="C1751" s="403">
        <v>484</v>
      </c>
      <c r="D1751" s="400"/>
      <c r="E1751" s="400"/>
      <c r="F1751" s="400"/>
      <c r="G1751" s="400"/>
      <c r="H1751" s="396"/>
    </row>
    <row r="1752" spans="1:8" s="401" customFormat="1" ht="14.25" customHeight="1" x14ac:dyDescent="0.25">
      <c r="A1752" s="564">
        <v>3329</v>
      </c>
      <c r="B1752" s="562" t="s">
        <v>828</v>
      </c>
      <c r="C1752" s="403">
        <v>484</v>
      </c>
      <c r="D1752" s="400"/>
      <c r="E1752" s="400"/>
      <c r="F1752" s="400"/>
      <c r="G1752" s="400"/>
      <c r="H1752" s="396"/>
    </row>
    <row r="1753" spans="1:8" s="401" customFormat="1" ht="14.25" customHeight="1" x14ac:dyDescent="0.25">
      <c r="A1753" s="564">
        <v>3332</v>
      </c>
      <c r="B1753" s="562" t="s">
        <v>828</v>
      </c>
      <c r="C1753" s="403">
        <v>484</v>
      </c>
      <c r="D1753" s="400"/>
      <c r="E1753" s="400"/>
      <c r="F1753" s="400"/>
      <c r="G1753" s="400"/>
      <c r="H1753" s="396"/>
    </row>
    <row r="1754" spans="1:8" s="401" customFormat="1" ht="14.25" customHeight="1" x14ac:dyDescent="0.25">
      <c r="A1754" s="564">
        <v>3334</v>
      </c>
      <c r="B1754" s="562" t="s">
        <v>828</v>
      </c>
      <c r="C1754" s="403">
        <v>484</v>
      </c>
      <c r="D1754" s="400"/>
      <c r="E1754" s="400"/>
      <c r="F1754" s="400"/>
      <c r="G1754" s="400"/>
      <c r="H1754" s="396"/>
    </row>
    <row r="1755" spans="1:8" s="401" customFormat="1" ht="14.25" customHeight="1" x14ac:dyDescent="0.25">
      <c r="A1755" s="564">
        <v>3337</v>
      </c>
      <c r="B1755" s="562" t="s">
        <v>828</v>
      </c>
      <c r="C1755" s="403">
        <v>484</v>
      </c>
      <c r="D1755" s="400"/>
      <c r="E1755" s="400"/>
      <c r="F1755" s="400"/>
      <c r="G1755" s="400"/>
      <c r="H1755" s="396"/>
    </row>
    <row r="1756" spans="1:8" s="401" customFormat="1" ht="14.25" customHeight="1" x14ac:dyDescent="0.25">
      <c r="A1756" s="564">
        <v>3341</v>
      </c>
      <c r="B1756" s="562" t="s">
        <v>828</v>
      </c>
      <c r="C1756" s="403">
        <v>484</v>
      </c>
      <c r="D1756" s="400"/>
      <c r="E1756" s="400"/>
      <c r="F1756" s="400"/>
      <c r="G1756" s="400"/>
      <c r="H1756" s="396"/>
    </row>
    <row r="1757" spans="1:8" s="401" customFormat="1" ht="14.25" customHeight="1" x14ac:dyDescent="0.25">
      <c r="A1757" s="564">
        <v>3348</v>
      </c>
      <c r="B1757" s="562" t="s">
        <v>828</v>
      </c>
      <c r="C1757" s="403">
        <v>1040</v>
      </c>
      <c r="D1757" s="400"/>
      <c r="E1757" s="400"/>
      <c r="F1757" s="400"/>
      <c r="G1757" s="400"/>
      <c r="H1757" s="396"/>
    </row>
    <row r="1758" spans="1:8" s="401" customFormat="1" ht="14.25" customHeight="1" x14ac:dyDescent="0.25">
      <c r="A1758" s="564">
        <v>3352</v>
      </c>
      <c r="B1758" s="562" t="s">
        <v>828</v>
      </c>
      <c r="C1758" s="403">
        <v>1040</v>
      </c>
      <c r="D1758" s="400"/>
      <c r="E1758" s="400"/>
      <c r="F1758" s="400"/>
      <c r="G1758" s="400"/>
      <c r="H1758" s="396"/>
    </row>
    <row r="1759" spans="1:8" s="401" customFormat="1" ht="14.25" customHeight="1" x14ac:dyDescent="0.25">
      <c r="A1759" s="564">
        <v>3355</v>
      </c>
      <c r="B1759" s="562" t="s">
        <v>828</v>
      </c>
      <c r="C1759" s="403">
        <v>1040</v>
      </c>
      <c r="D1759" s="400"/>
      <c r="E1759" s="400"/>
      <c r="F1759" s="400"/>
      <c r="G1759" s="400"/>
      <c r="H1759" s="396"/>
    </row>
    <row r="1760" spans="1:8" s="401" customFormat="1" ht="14.25" customHeight="1" x14ac:dyDescent="0.25">
      <c r="A1760" s="564">
        <v>3360</v>
      </c>
      <c r="B1760" s="562" t="s">
        <v>828</v>
      </c>
      <c r="C1760" s="403">
        <v>1040</v>
      </c>
      <c r="D1760" s="400"/>
      <c r="E1760" s="400"/>
      <c r="F1760" s="400"/>
      <c r="G1760" s="400"/>
      <c r="H1760" s="396"/>
    </row>
    <row r="1761" spans="1:8" s="401" customFormat="1" ht="14.25" customHeight="1" x14ac:dyDescent="0.25">
      <c r="A1761" s="564">
        <v>3363</v>
      </c>
      <c r="B1761" s="562" t="s">
        <v>828</v>
      </c>
      <c r="C1761" s="403">
        <v>1040</v>
      </c>
      <c r="D1761" s="400"/>
      <c r="E1761" s="400"/>
      <c r="F1761" s="400"/>
      <c r="G1761" s="400"/>
      <c r="H1761" s="396"/>
    </row>
    <row r="1762" spans="1:8" s="401" customFormat="1" ht="14.25" customHeight="1" x14ac:dyDescent="0.25">
      <c r="A1762" s="564">
        <v>3366</v>
      </c>
      <c r="B1762" s="562" t="s">
        <v>828</v>
      </c>
      <c r="C1762" s="403">
        <v>1040</v>
      </c>
      <c r="D1762" s="400"/>
      <c r="E1762" s="400"/>
      <c r="F1762" s="400"/>
      <c r="G1762" s="400"/>
      <c r="H1762" s="396"/>
    </row>
    <row r="1763" spans="1:8" s="401" customFormat="1" ht="14.25" customHeight="1" x14ac:dyDescent="0.25">
      <c r="A1763" s="564">
        <v>3369</v>
      </c>
      <c r="B1763" s="562" t="s">
        <v>828</v>
      </c>
      <c r="C1763" s="403">
        <v>1040</v>
      </c>
      <c r="D1763" s="400"/>
      <c r="E1763" s="400"/>
      <c r="F1763" s="400"/>
      <c r="G1763" s="400"/>
      <c r="H1763" s="396"/>
    </row>
    <row r="1764" spans="1:8" s="401" customFormat="1" ht="14.25" customHeight="1" x14ac:dyDescent="0.25">
      <c r="A1764" s="564">
        <v>3370</v>
      </c>
      <c r="B1764" s="562" t="s">
        <v>828</v>
      </c>
      <c r="C1764" s="403">
        <v>1040</v>
      </c>
      <c r="D1764" s="400"/>
      <c r="E1764" s="400"/>
      <c r="F1764" s="400"/>
      <c r="G1764" s="400"/>
      <c r="H1764" s="396"/>
    </row>
    <row r="1765" spans="1:8" s="401" customFormat="1" ht="14.25" customHeight="1" x14ac:dyDescent="0.25">
      <c r="A1765" s="564">
        <v>3373</v>
      </c>
      <c r="B1765" s="562" t="s">
        <v>828</v>
      </c>
      <c r="C1765" s="403">
        <v>1040</v>
      </c>
      <c r="D1765" s="400"/>
      <c r="E1765" s="400"/>
      <c r="F1765" s="400"/>
      <c r="G1765" s="400"/>
      <c r="H1765" s="396"/>
    </row>
    <row r="1766" spans="1:8" s="401" customFormat="1" ht="14.25" customHeight="1" x14ac:dyDescent="0.25">
      <c r="A1766" s="564">
        <v>3374</v>
      </c>
      <c r="B1766" s="562" t="s">
        <v>787</v>
      </c>
      <c r="C1766" s="403">
        <v>1251</v>
      </c>
      <c r="D1766" s="400"/>
      <c r="E1766" s="400"/>
      <c r="F1766" s="400"/>
      <c r="G1766" s="400"/>
      <c r="H1766" s="396"/>
    </row>
    <row r="1767" spans="1:8" s="401" customFormat="1" ht="14.25" customHeight="1" x14ac:dyDescent="0.25">
      <c r="A1767" s="564">
        <v>3380</v>
      </c>
      <c r="B1767" s="562" t="s">
        <v>787</v>
      </c>
      <c r="C1767" s="403">
        <v>1251</v>
      </c>
      <c r="D1767" s="400"/>
      <c r="E1767" s="400"/>
      <c r="F1767" s="400"/>
      <c r="G1767" s="400"/>
      <c r="H1767" s="396"/>
    </row>
    <row r="1768" spans="1:8" s="401" customFormat="1" ht="14.25" customHeight="1" x14ac:dyDescent="0.25">
      <c r="A1768" s="564">
        <v>3383</v>
      </c>
      <c r="B1768" s="562" t="s">
        <v>787</v>
      </c>
      <c r="C1768" s="403">
        <v>1251</v>
      </c>
      <c r="D1768" s="400"/>
      <c r="E1768" s="400"/>
      <c r="F1768" s="400"/>
      <c r="G1768" s="400"/>
      <c r="H1768" s="396"/>
    </row>
    <row r="1769" spans="1:8" s="401" customFormat="1" ht="14.25" customHeight="1" x14ac:dyDescent="0.25">
      <c r="A1769" s="564">
        <v>3386</v>
      </c>
      <c r="B1769" s="562" t="s">
        <v>787</v>
      </c>
      <c r="C1769" s="403">
        <v>932</v>
      </c>
      <c r="D1769" s="400"/>
      <c r="E1769" s="400"/>
      <c r="F1769" s="400"/>
      <c r="G1769" s="400"/>
      <c r="H1769" s="396"/>
    </row>
    <row r="1770" spans="1:8" s="401" customFormat="1" ht="14.25" customHeight="1" x14ac:dyDescent="0.25">
      <c r="A1770" s="564">
        <v>3389</v>
      </c>
      <c r="B1770" s="562" t="s">
        <v>787</v>
      </c>
      <c r="C1770" s="403">
        <v>1033</v>
      </c>
      <c r="D1770" s="400"/>
      <c r="E1770" s="400"/>
      <c r="F1770" s="400"/>
      <c r="G1770" s="400"/>
      <c r="H1770" s="396"/>
    </row>
    <row r="1771" spans="1:8" s="401" customFormat="1" ht="14.25" customHeight="1" x14ac:dyDescent="0.25">
      <c r="A1771" s="564">
        <v>3391</v>
      </c>
      <c r="B1771" s="562" t="s">
        <v>787</v>
      </c>
      <c r="C1771" s="403">
        <v>1</v>
      </c>
      <c r="D1771" s="400"/>
      <c r="E1771" s="400"/>
      <c r="F1771" s="400"/>
      <c r="G1771" s="400"/>
      <c r="H1771" s="396"/>
    </row>
    <row r="1772" spans="1:8" s="401" customFormat="1" ht="14.25" customHeight="1" x14ac:dyDescent="0.25">
      <c r="A1772" s="564">
        <v>3394</v>
      </c>
      <c r="B1772" s="562" t="s">
        <v>787</v>
      </c>
      <c r="C1772" s="403">
        <v>3248</v>
      </c>
      <c r="D1772" s="400"/>
      <c r="E1772" s="400"/>
      <c r="F1772" s="400"/>
      <c r="G1772" s="400"/>
      <c r="H1772" s="396"/>
    </row>
    <row r="1773" spans="1:8" s="401" customFormat="1" ht="14.25" customHeight="1" x14ac:dyDescent="0.25">
      <c r="A1773" s="564">
        <v>3414</v>
      </c>
      <c r="B1773" s="562" t="s">
        <v>791</v>
      </c>
      <c r="C1773" s="403">
        <v>3700.4</v>
      </c>
      <c r="D1773" s="400"/>
      <c r="E1773" s="400"/>
      <c r="F1773" s="400"/>
      <c r="G1773" s="400"/>
      <c r="H1773" s="396"/>
    </row>
    <row r="1774" spans="1:8" s="401" customFormat="1" ht="14.25" customHeight="1" x14ac:dyDescent="0.25">
      <c r="A1774" s="564">
        <v>3417</v>
      </c>
      <c r="B1774" s="562" t="s">
        <v>791</v>
      </c>
      <c r="C1774" s="403">
        <v>1503</v>
      </c>
      <c r="D1774" s="400"/>
      <c r="E1774" s="400"/>
      <c r="F1774" s="400"/>
      <c r="G1774" s="400"/>
      <c r="H1774" s="396"/>
    </row>
    <row r="1775" spans="1:8" s="401" customFormat="1" ht="14.25" customHeight="1" x14ac:dyDescent="0.25">
      <c r="A1775" s="564">
        <v>3419</v>
      </c>
      <c r="B1775" s="562" t="s">
        <v>791</v>
      </c>
      <c r="C1775" s="403">
        <v>1150</v>
      </c>
      <c r="D1775" s="400"/>
      <c r="E1775" s="400"/>
      <c r="F1775" s="400"/>
      <c r="G1775" s="400"/>
      <c r="H1775" s="396"/>
    </row>
    <row r="1776" spans="1:8" s="401" customFormat="1" ht="14.25" customHeight="1" x14ac:dyDescent="0.25">
      <c r="A1776" s="564">
        <v>3435</v>
      </c>
      <c r="B1776" s="562" t="s">
        <v>791</v>
      </c>
      <c r="C1776" s="403">
        <v>1219</v>
      </c>
      <c r="D1776" s="400"/>
      <c r="E1776" s="400"/>
      <c r="F1776" s="400"/>
      <c r="G1776" s="400"/>
      <c r="H1776" s="396"/>
    </row>
    <row r="1777" spans="1:8" s="401" customFormat="1" ht="14.25" customHeight="1" x14ac:dyDescent="0.25">
      <c r="A1777" s="564">
        <v>3440</v>
      </c>
      <c r="B1777" s="562" t="s">
        <v>791</v>
      </c>
      <c r="C1777" s="403">
        <v>1219</v>
      </c>
      <c r="D1777" s="400"/>
      <c r="E1777" s="400"/>
      <c r="F1777" s="400"/>
      <c r="G1777" s="400"/>
      <c r="H1777" s="396"/>
    </row>
    <row r="1778" spans="1:8" s="401" customFormat="1" ht="14.25" customHeight="1" x14ac:dyDescent="0.25">
      <c r="A1778" s="564">
        <v>3665</v>
      </c>
      <c r="B1778" s="562" t="s">
        <v>798</v>
      </c>
      <c r="C1778" s="403">
        <v>1709</v>
      </c>
      <c r="D1778" s="400"/>
      <c r="E1778" s="400"/>
      <c r="F1778" s="400"/>
      <c r="G1778" s="400"/>
      <c r="H1778" s="396"/>
    </row>
    <row r="1779" spans="1:8" s="401" customFormat="1" ht="14.25" customHeight="1" x14ac:dyDescent="0.25">
      <c r="A1779" s="564">
        <v>3673</v>
      </c>
      <c r="B1779" s="562" t="s">
        <v>819</v>
      </c>
      <c r="C1779" s="403">
        <v>419</v>
      </c>
      <c r="D1779" s="400"/>
      <c r="E1779" s="400"/>
      <c r="F1779" s="400"/>
      <c r="G1779" s="400"/>
      <c r="H1779" s="396"/>
    </row>
    <row r="1780" spans="1:8" s="401" customFormat="1" ht="14.25" customHeight="1" x14ac:dyDescent="0.25">
      <c r="A1780" s="564">
        <v>3677</v>
      </c>
      <c r="B1780" s="562" t="s">
        <v>786</v>
      </c>
      <c r="C1780" s="403">
        <v>1495</v>
      </c>
      <c r="D1780" s="400"/>
      <c r="E1780" s="400"/>
      <c r="F1780" s="400"/>
      <c r="G1780" s="400"/>
      <c r="H1780" s="396"/>
    </row>
    <row r="1781" spans="1:8" s="401" customFormat="1" ht="14.25" customHeight="1" x14ac:dyDescent="0.25">
      <c r="A1781" s="564">
        <v>3679</v>
      </c>
      <c r="B1781" s="562" t="s">
        <v>786</v>
      </c>
      <c r="C1781" s="403">
        <v>1495</v>
      </c>
      <c r="D1781" s="400"/>
      <c r="E1781" s="400"/>
      <c r="F1781" s="400"/>
      <c r="G1781" s="400"/>
      <c r="H1781" s="396"/>
    </row>
    <row r="1782" spans="1:8" s="401" customFormat="1" ht="14.25" customHeight="1" x14ac:dyDescent="0.25">
      <c r="A1782" s="564">
        <v>3689</v>
      </c>
      <c r="B1782" s="562" t="s">
        <v>788</v>
      </c>
      <c r="C1782" s="403">
        <v>3795</v>
      </c>
      <c r="D1782" s="400"/>
      <c r="E1782" s="400"/>
      <c r="F1782" s="400"/>
      <c r="G1782" s="400"/>
      <c r="H1782" s="396"/>
    </row>
    <row r="1783" spans="1:8" s="401" customFormat="1" ht="14.25" customHeight="1" x14ac:dyDescent="0.25">
      <c r="A1783" s="564">
        <v>3691</v>
      </c>
      <c r="B1783" s="562" t="s">
        <v>787</v>
      </c>
      <c r="C1783" s="403">
        <v>3726</v>
      </c>
      <c r="D1783" s="400"/>
      <c r="E1783" s="400"/>
      <c r="F1783" s="400"/>
      <c r="G1783" s="400"/>
      <c r="H1783" s="396"/>
    </row>
    <row r="1784" spans="1:8" s="401" customFormat="1" ht="14.25" customHeight="1" x14ac:dyDescent="0.25">
      <c r="A1784" s="564">
        <v>3695</v>
      </c>
      <c r="B1784" s="562" t="s">
        <v>791</v>
      </c>
      <c r="C1784" s="403">
        <v>2300</v>
      </c>
      <c r="D1784" s="400"/>
      <c r="E1784" s="400"/>
      <c r="F1784" s="400"/>
      <c r="G1784" s="400"/>
      <c r="H1784" s="396"/>
    </row>
    <row r="1785" spans="1:8" s="401" customFormat="1" ht="14.25" customHeight="1" x14ac:dyDescent="0.25">
      <c r="A1785" s="564">
        <v>3734</v>
      </c>
      <c r="B1785" s="562" t="s">
        <v>847</v>
      </c>
      <c r="C1785" s="403">
        <v>416</v>
      </c>
      <c r="D1785" s="400"/>
      <c r="E1785" s="400"/>
      <c r="F1785" s="400"/>
      <c r="G1785" s="400"/>
      <c r="H1785" s="396"/>
    </row>
    <row r="1786" spans="1:8" s="401" customFormat="1" ht="14.25" customHeight="1" x14ac:dyDescent="0.25">
      <c r="A1786" s="564">
        <v>3674</v>
      </c>
      <c r="B1786" s="562" t="s">
        <v>786</v>
      </c>
      <c r="C1786" s="403">
        <v>1495</v>
      </c>
      <c r="D1786" s="400"/>
      <c r="E1786" s="400"/>
      <c r="F1786" s="400"/>
      <c r="G1786" s="400"/>
      <c r="H1786" s="396"/>
    </row>
    <row r="1787" spans="1:8" s="401" customFormat="1" ht="14.25" customHeight="1" x14ac:dyDescent="0.25">
      <c r="A1787" s="564">
        <v>3681</v>
      </c>
      <c r="B1787" s="562" t="s">
        <v>785</v>
      </c>
      <c r="C1787" s="403">
        <v>805</v>
      </c>
      <c r="D1787" s="400"/>
      <c r="E1787" s="400"/>
      <c r="F1787" s="400"/>
      <c r="G1787" s="400"/>
      <c r="H1787" s="396"/>
    </row>
    <row r="1788" spans="1:8" s="401" customFormat="1" ht="14.25" customHeight="1" x14ac:dyDescent="0.25">
      <c r="A1788" s="564">
        <v>3686</v>
      </c>
      <c r="B1788" s="562" t="s">
        <v>785</v>
      </c>
      <c r="C1788" s="403">
        <v>299</v>
      </c>
      <c r="D1788" s="400"/>
      <c r="E1788" s="400"/>
      <c r="F1788" s="400"/>
      <c r="G1788" s="400"/>
      <c r="H1788" s="396"/>
    </row>
    <row r="1789" spans="1:8" s="401" customFormat="1" ht="14.25" customHeight="1" x14ac:dyDescent="0.25">
      <c r="A1789" s="564">
        <v>3687</v>
      </c>
      <c r="B1789" s="562" t="s">
        <v>790</v>
      </c>
      <c r="C1789" s="403">
        <v>1000</v>
      </c>
      <c r="D1789" s="400"/>
      <c r="E1789" s="400"/>
      <c r="F1789" s="400"/>
      <c r="G1789" s="400"/>
      <c r="H1789" s="396"/>
    </row>
    <row r="1790" spans="1:8" s="401" customFormat="1" ht="14.25" customHeight="1" x14ac:dyDescent="0.25">
      <c r="A1790" s="564">
        <v>3693</v>
      </c>
      <c r="B1790" s="562" t="s">
        <v>787</v>
      </c>
      <c r="C1790" s="403">
        <v>3726</v>
      </c>
      <c r="D1790" s="400"/>
      <c r="E1790" s="400"/>
      <c r="F1790" s="400"/>
      <c r="G1790" s="400"/>
      <c r="H1790" s="396"/>
    </row>
    <row r="1791" spans="1:8" s="401" customFormat="1" ht="14.25" customHeight="1" x14ac:dyDescent="0.25">
      <c r="A1791" s="564">
        <v>3698</v>
      </c>
      <c r="B1791" s="562" t="s">
        <v>849</v>
      </c>
      <c r="C1791" s="403">
        <v>846.14</v>
      </c>
      <c r="D1791" s="400"/>
      <c r="E1791" s="400"/>
      <c r="F1791" s="400"/>
      <c r="G1791" s="400"/>
      <c r="H1791" s="396"/>
    </row>
    <row r="1792" spans="1:8" s="401" customFormat="1" ht="14.25" customHeight="1" x14ac:dyDescent="0.25">
      <c r="A1792" s="564">
        <v>3458</v>
      </c>
      <c r="B1792" s="562" t="s">
        <v>850</v>
      </c>
      <c r="C1792" s="403">
        <v>728</v>
      </c>
      <c r="D1792" s="400"/>
      <c r="E1792" s="400"/>
      <c r="F1792" s="400"/>
      <c r="G1792" s="400"/>
      <c r="H1792" s="396"/>
    </row>
    <row r="1793" spans="1:8" s="401" customFormat="1" ht="14.25" customHeight="1" x14ac:dyDescent="0.25">
      <c r="A1793" s="564">
        <v>3464</v>
      </c>
      <c r="B1793" s="562" t="s">
        <v>789</v>
      </c>
      <c r="C1793" s="403">
        <v>209</v>
      </c>
      <c r="D1793" s="400"/>
      <c r="E1793" s="400"/>
      <c r="F1793" s="400"/>
      <c r="G1793" s="400"/>
      <c r="H1793" s="396"/>
    </row>
    <row r="1794" spans="1:8" s="401" customFormat="1" ht="14.25" customHeight="1" x14ac:dyDescent="0.25">
      <c r="A1794" s="564">
        <v>3466</v>
      </c>
      <c r="B1794" s="562" t="s">
        <v>851</v>
      </c>
      <c r="C1794" s="403">
        <v>2696</v>
      </c>
      <c r="D1794" s="400"/>
      <c r="E1794" s="400"/>
      <c r="F1794" s="400"/>
      <c r="G1794" s="400"/>
      <c r="H1794" s="396"/>
    </row>
    <row r="1795" spans="1:8" s="401" customFormat="1" ht="14.25" customHeight="1" x14ac:dyDescent="0.25">
      <c r="A1795" s="564">
        <v>3468</v>
      </c>
      <c r="B1795" s="562" t="s">
        <v>794</v>
      </c>
      <c r="C1795" s="403">
        <v>364</v>
      </c>
      <c r="D1795" s="400"/>
      <c r="E1795" s="400"/>
      <c r="F1795" s="400"/>
      <c r="G1795" s="400"/>
      <c r="H1795" s="396"/>
    </row>
    <row r="1796" spans="1:8" s="401" customFormat="1" ht="14.25" customHeight="1" x14ac:dyDescent="0.25">
      <c r="A1796" s="564">
        <v>3496</v>
      </c>
      <c r="B1796" s="562" t="s">
        <v>819</v>
      </c>
      <c r="C1796" s="403">
        <v>590</v>
      </c>
      <c r="D1796" s="400"/>
      <c r="E1796" s="400"/>
      <c r="F1796" s="400"/>
      <c r="G1796" s="400"/>
      <c r="H1796" s="396"/>
    </row>
    <row r="1797" spans="1:8" s="401" customFormat="1" ht="14.25" customHeight="1" x14ac:dyDescent="0.25">
      <c r="A1797" s="564">
        <v>3501</v>
      </c>
      <c r="B1797" s="562" t="s">
        <v>795</v>
      </c>
      <c r="C1797" s="403">
        <v>1</v>
      </c>
      <c r="D1797" s="400"/>
      <c r="E1797" s="400"/>
      <c r="F1797" s="400"/>
      <c r="G1797" s="400"/>
      <c r="H1797" s="396"/>
    </row>
    <row r="1798" spans="1:8" s="401" customFormat="1" ht="14.25" customHeight="1" x14ac:dyDescent="0.25">
      <c r="A1798" s="564">
        <v>3505</v>
      </c>
      <c r="B1798" s="562" t="s">
        <v>786</v>
      </c>
      <c r="C1798" s="403">
        <v>1725</v>
      </c>
      <c r="D1798" s="400"/>
      <c r="E1798" s="400"/>
      <c r="F1798" s="400"/>
      <c r="G1798" s="400"/>
      <c r="H1798" s="396"/>
    </row>
    <row r="1799" spans="1:8" s="401" customFormat="1" ht="14.25" customHeight="1" x14ac:dyDescent="0.25">
      <c r="A1799" s="564">
        <v>3508</v>
      </c>
      <c r="B1799" s="562" t="s">
        <v>786</v>
      </c>
      <c r="C1799" s="403">
        <v>1495</v>
      </c>
      <c r="D1799" s="400"/>
      <c r="E1799" s="400"/>
      <c r="F1799" s="400"/>
      <c r="G1799" s="400"/>
      <c r="H1799" s="396"/>
    </row>
    <row r="1800" spans="1:8" s="401" customFormat="1" ht="14.25" customHeight="1" x14ac:dyDescent="0.25">
      <c r="A1800" s="564">
        <v>3513</v>
      </c>
      <c r="B1800" s="562" t="s">
        <v>786</v>
      </c>
      <c r="C1800" s="403">
        <v>2271</v>
      </c>
      <c r="D1800" s="400"/>
      <c r="E1800" s="400"/>
      <c r="F1800" s="400"/>
      <c r="G1800" s="400"/>
      <c r="H1800" s="396"/>
    </row>
    <row r="1801" spans="1:8" s="401" customFormat="1" ht="14.25" customHeight="1" x14ac:dyDescent="0.25">
      <c r="A1801" s="564">
        <v>3516</v>
      </c>
      <c r="B1801" s="562" t="s">
        <v>785</v>
      </c>
      <c r="C1801" s="403">
        <v>466</v>
      </c>
      <c r="D1801" s="400"/>
      <c r="E1801" s="400"/>
      <c r="F1801" s="400"/>
      <c r="G1801" s="400"/>
      <c r="H1801" s="396"/>
    </row>
    <row r="1802" spans="1:8" s="401" customFormat="1" ht="14.25" customHeight="1" x14ac:dyDescent="0.25">
      <c r="A1802" s="564">
        <v>3519</v>
      </c>
      <c r="B1802" s="562" t="s">
        <v>785</v>
      </c>
      <c r="C1802" s="403">
        <v>621</v>
      </c>
      <c r="D1802" s="400"/>
      <c r="E1802" s="400"/>
      <c r="F1802" s="400"/>
      <c r="G1802" s="400"/>
      <c r="H1802" s="396"/>
    </row>
    <row r="1803" spans="1:8" s="401" customFormat="1" ht="14.25" customHeight="1" x14ac:dyDescent="0.25">
      <c r="A1803" s="564">
        <v>3524</v>
      </c>
      <c r="B1803" s="562" t="s">
        <v>785</v>
      </c>
      <c r="C1803" s="403">
        <v>621</v>
      </c>
      <c r="D1803" s="400"/>
      <c r="E1803" s="400"/>
      <c r="F1803" s="400"/>
      <c r="G1803" s="400"/>
      <c r="H1803" s="396"/>
    </row>
    <row r="1804" spans="1:8" s="401" customFormat="1" ht="14.25" customHeight="1" x14ac:dyDescent="0.25">
      <c r="A1804" s="564">
        <v>3526</v>
      </c>
      <c r="B1804" s="562" t="s">
        <v>785</v>
      </c>
      <c r="C1804" s="403">
        <v>621</v>
      </c>
      <c r="D1804" s="400"/>
      <c r="E1804" s="400"/>
      <c r="F1804" s="400"/>
      <c r="G1804" s="400"/>
      <c r="H1804" s="396"/>
    </row>
    <row r="1805" spans="1:8" s="401" customFormat="1" ht="14.25" customHeight="1" x14ac:dyDescent="0.25">
      <c r="A1805" s="564">
        <v>3531</v>
      </c>
      <c r="B1805" s="562" t="s">
        <v>785</v>
      </c>
      <c r="C1805" s="403">
        <v>621</v>
      </c>
      <c r="D1805" s="400"/>
      <c r="E1805" s="400"/>
      <c r="F1805" s="400"/>
      <c r="G1805" s="400"/>
      <c r="H1805" s="396"/>
    </row>
    <row r="1806" spans="1:8" s="401" customFormat="1" ht="14.25" customHeight="1" x14ac:dyDescent="0.25">
      <c r="A1806" s="564">
        <v>3535</v>
      </c>
      <c r="B1806" s="562" t="s">
        <v>785</v>
      </c>
      <c r="C1806" s="403">
        <v>501</v>
      </c>
      <c r="D1806" s="400"/>
      <c r="E1806" s="400"/>
      <c r="F1806" s="400"/>
      <c r="G1806" s="400"/>
      <c r="H1806" s="396"/>
    </row>
    <row r="1807" spans="1:8" s="401" customFormat="1" ht="14.25" customHeight="1" x14ac:dyDescent="0.25">
      <c r="A1807" s="564">
        <v>3537</v>
      </c>
      <c r="B1807" s="562" t="s">
        <v>785</v>
      </c>
      <c r="C1807" s="403">
        <v>829</v>
      </c>
      <c r="D1807" s="400"/>
      <c r="E1807" s="400"/>
      <c r="F1807" s="400"/>
      <c r="G1807" s="400"/>
      <c r="H1807" s="396"/>
    </row>
    <row r="1808" spans="1:8" s="401" customFormat="1" ht="14.25" customHeight="1" x14ac:dyDescent="0.25">
      <c r="A1808" s="564">
        <v>3550</v>
      </c>
      <c r="B1808" s="562" t="s">
        <v>785</v>
      </c>
      <c r="C1808" s="403">
        <v>441</v>
      </c>
      <c r="D1808" s="400"/>
      <c r="E1808" s="400"/>
      <c r="F1808" s="400"/>
      <c r="G1808" s="400"/>
      <c r="H1808" s="396"/>
    </row>
    <row r="1809" spans="1:8" s="401" customFormat="1" ht="14.25" customHeight="1" x14ac:dyDescent="0.25">
      <c r="A1809" s="564">
        <v>3558</v>
      </c>
      <c r="B1809" s="562" t="s">
        <v>785</v>
      </c>
      <c r="C1809" s="403">
        <v>442</v>
      </c>
      <c r="D1809" s="400"/>
      <c r="E1809" s="400"/>
      <c r="F1809" s="400"/>
      <c r="G1809" s="400"/>
      <c r="H1809" s="396"/>
    </row>
    <row r="1810" spans="1:8" s="401" customFormat="1" ht="14.25" customHeight="1" x14ac:dyDescent="0.25">
      <c r="A1810" s="564">
        <v>3560</v>
      </c>
      <c r="B1810" s="562" t="s">
        <v>785</v>
      </c>
      <c r="C1810" s="403">
        <v>179</v>
      </c>
      <c r="D1810" s="400"/>
      <c r="E1810" s="400"/>
      <c r="F1810" s="400"/>
      <c r="G1810" s="400"/>
      <c r="H1810" s="396"/>
    </row>
    <row r="1811" spans="1:8" s="401" customFormat="1" ht="14.25" customHeight="1" x14ac:dyDescent="0.25">
      <c r="A1811" s="564">
        <v>3562</v>
      </c>
      <c r="B1811" s="562" t="s">
        <v>785</v>
      </c>
      <c r="C1811" s="403">
        <v>115</v>
      </c>
      <c r="D1811" s="400"/>
      <c r="E1811" s="400"/>
      <c r="F1811" s="400"/>
      <c r="G1811" s="400"/>
      <c r="H1811" s="396"/>
    </row>
    <row r="1812" spans="1:8" s="401" customFormat="1" ht="14.25" customHeight="1" x14ac:dyDescent="0.25">
      <c r="A1812" s="564">
        <v>3565</v>
      </c>
      <c r="B1812" s="562" t="s">
        <v>785</v>
      </c>
      <c r="C1812" s="403">
        <v>115</v>
      </c>
      <c r="D1812" s="400"/>
      <c r="E1812" s="400"/>
      <c r="F1812" s="400"/>
      <c r="G1812" s="400"/>
      <c r="H1812" s="396"/>
    </row>
    <row r="1813" spans="1:8" s="401" customFormat="1" ht="14.25" customHeight="1" x14ac:dyDescent="0.25">
      <c r="A1813" s="564">
        <v>3568</v>
      </c>
      <c r="B1813" s="562" t="s">
        <v>785</v>
      </c>
      <c r="C1813" s="403">
        <v>156.4</v>
      </c>
      <c r="D1813" s="400"/>
      <c r="E1813" s="400"/>
      <c r="F1813" s="400"/>
      <c r="G1813" s="400"/>
      <c r="H1813" s="396"/>
    </row>
    <row r="1814" spans="1:8" s="401" customFormat="1" ht="14.25" customHeight="1" x14ac:dyDescent="0.25">
      <c r="A1814" s="564">
        <v>3573</v>
      </c>
      <c r="B1814" s="562" t="s">
        <v>790</v>
      </c>
      <c r="C1814" s="403">
        <v>943</v>
      </c>
      <c r="D1814" s="400"/>
      <c r="E1814" s="400"/>
      <c r="F1814" s="400"/>
      <c r="G1814" s="400"/>
      <c r="H1814" s="396"/>
    </row>
    <row r="1815" spans="1:8" s="401" customFormat="1" ht="14.25" customHeight="1" x14ac:dyDescent="0.25">
      <c r="A1815" s="564">
        <v>3577</v>
      </c>
      <c r="B1815" s="562" t="s">
        <v>790</v>
      </c>
      <c r="C1815" s="403">
        <v>943</v>
      </c>
      <c r="D1815" s="400"/>
      <c r="E1815" s="400"/>
      <c r="F1815" s="400"/>
      <c r="G1815" s="400"/>
      <c r="H1815" s="396"/>
    </row>
    <row r="1816" spans="1:8" s="401" customFormat="1" ht="14.25" customHeight="1" x14ac:dyDescent="0.25">
      <c r="A1816" s="564">
        <v>3580</v>
      </c>
      <c r="B1816" s="562" t="s">
        <v>790</v>
      </c>
      <c r="C1816" s="403">
        <v>1</v>
      </c>
      <c r="D1816" s="400"/>
      <c r="E1816" s="400"/>
      <c r="F1816" s="400"/>
      <c r="G1816" s="400"/>
      <c r="H1816" s="396"/>
    </row>
    <row r="1817" spans="1:8" s="401" customFormat="1" ht="14.25" customHeight="1" x14ac:dyDescent="0.25">
      <c r="A1817" s="564">
        <v>3584</v>
      </c>
      <c r="B1817" s="562" t="s">
        <v>787</v>
      </c>
      <c r="C1817" s="403">
        <v>4305</v>
      </c>
      <c r="D1817" s="400"/>
      <c r="E1817" s="400"/>
      <c r="F1817" s="400"/>
      <c r="G1817" s="400"/>
      <c r="H1817" s="396"/>
    </row>
    <row r="1818" spans="1:8" s="401" customFormat="1" ht="14.25" customHeight="1" x14ac:dyDescent="0.25">
      <c r="A1818" s="564">
        <v>3588</v>
      </c>
      <c r="B1818" s="562" t="s">
        <v>787</v>
      </c>
      <c r="C1818" s="403">
        <v>4306</v>
      </c>
      <c r="D1818" s="400"/>
      <c r="E1818" s="400"/>
      <c r="F1818" s="400"/>
      <c r="G1818" s="400"/>
      <c r="H1818" s="396"/>
    </row>
    <row r="1819" spans="1:8" s="401" customFormat="1" ht="14.25" customHeight="1" x14ac:dyDescent="0.25">
      <c r="A1819" s="564">
        <v>3589</v>
      </c>
      <c r="B1819" s="562" t="s">
        <v>787</v>
      </c>
      <c r="C1819" s="403">
        <v>480</v>
      </c>
      <c r="D1819" s="400"/>
      <c r="E1819" s="400"/>
      <c r="F1819" s="400"/>
      <c r="G1819" s="400"/>
      <c r="H1819" s="396"/>
    </row>
    <row r="1820" spans="1:8" s="401" customFormat="1" ht="14.25" customHeight="1" x14ac:dyDescent="0.25">
      <c r="A1820" s="564">
        <v>3591</v>
      </c>
      <c r="B1820" s="562" t="s">
        <v>787</v>
      </c>
      <c r="C1820" s="403">
        <v>380</v>
      </c>
      <c r="D1820" s="400"/>
      <c r="E1820" s="400"/>
      <c r="F1820" s="400"/>
      <c r="G1820" s="400"/>
      <c r="H1820" s="396"/>
    </row>
    <row r="1821" spans="1:8" s="401" customFormat="1" ht="14.25" customHeight="1" x14ac:dyDescent="0.25">
      <c r="A1821" s="564">
        <v>3593</v>
      </c>
      <c r="B1821" s="562" t="s">
        <v>787</v>
      </c>
      <c r="C1821" s="403">
        <v>4736</v>
      </c>
      <c r="D1821" s="400"/>
      <c r="E1821" s="400"/>
      <c r="F1821" s="400"/>
      <c r="G1821" s="400"/>
      <c r="H1821" s="396"/>
    </row>
    <row r="1822" spans="1:8" s="401" customFormat="1" ht="14.25" customHeight="1" x14ac:dyDescent="0.25">
      <c r="A1822" s="564">
        <v>3597</v>
      </c>
      <c r="B1822" s="562" t="s">
        <v>787</v>
      </c>
      <c r="C1822" s="403">
        <v>4738</v>
      </c>
      <c r="D1822" s="400"/>
      <c r="E1822" s="400"/>
      <c r="F1822" s="400"/>
      <c r="G1822" s="400"/>
      <c r="H1822" s="396"/>
    </row>
    <row r="1823" spans="1:8" s="401" customFormat="1" ht="14.25" customHeight="1" x14ac:dyDescent="0.25">
      <c r="A1823" s="564">
        <v>3601</v>
      </c>
      <c r="B1823" s="562" t="s">
        <v>787</v>
      </c>
      <c r="C1823" s="403">
        <v>1</v>
      </c>
      <c r="D1823" s="400"/>
      <c r="E1823" s="400"/>
      <c r="F1823" s="400"/>
      <c r="G1823" s="400"/>
      <c r="H1823" s="396"/>
    </row>
    <row r="1824" spans="1:8" s="401" customFormat="1" ht="14.25" customHeight="1" x14ac:dyDescent="0.25">
      <c r="A1824" s="564">
        <v>3604</v>
      </c>
      <c r="B1824" s="562" t="s">
        <v>787</v>
      </c>
      <c r="C1824" s="403">
        <v>1</v>
      </c>
      <c r="D1824" s="400"/>
      <c r="E1824" s="400"/>
      <c r="F1824" s="400"/>
      <c r="G1824" s="400"/>
      <c r="H1824" s="396"/>
    </row>
    <row r="1825" spans="1:8" s="401" customFormat="1" ht="14.25" customHeight="1" x14ac:dyDescent="0.25">
      <c r="A1825" s="564">
        <v>3608</v>
      </c>
      <c r="B1825" s="562" t="s">
        <v>791</v>
      </c>
      <c r="C1825" s="403">
        <v>1127</v>
      </c>
      <c r="D1825" s="400"/>
      <c r="E1825" s="400"/>
      <c r="F1825" s="400"/>
      <c r="G1825" s="400"/>
      <c r="H1825" s="396"/>
    </row>
    <row r="1826" spans="1:8" s="401" customFormat="1" ht="14.25" customHeight="1" x14ac:dyDescent="0.25">
      <c r="A1826" s="564">
        <v>3611</v>
      </c>
      <c r="B1826" s="562" t="s">
        <v>791</v>
      </c>
      <c r="C1826" s="403">
        <v>1414</v>
      </c>
      <c r="D1826" s="400"/>
      <c r="E1826" s="400"/>
      <c r="F1826" s="400"/>
      <c r="G1826" s="400"/>
      <c r="H1826" s="396"/>
    </row>
    <row r="1827" spans="1:8" s="401" customFormat="1" ht="14.25" customHeight="1" x14ac:dyDescent="0.25">
      <c r="A1827" s="564">
        <v>3641</v>
      </c>
      <c r="B1827" s="562" t="s">
        <v>814</v>
      </c>
      <c r="C1827" s="403">
        <v>139.63</v>
      </c>
      <c r="D1827" s="400"/>
      <c r="E1827" s="400"/>
      <c r="F1827" s="400"/>
      <c r="G1827" s="400"/>
      <c r="H1827" s="396"/>
    </row>
    <row r="1828" spans="1:8" s="401" customFormat="1" ht="14.25" customHeight="1" x14ac:dyDescent="0.25">
      <c r="A1828" s="564">
        <v>3650</v>
      </c>
      <c r="B1828" s="562" t="s">
        <v>785</v>
      </c>
      <c r="C1828" s="403">
        <v>5292</v>
      </c>
      <c r="D1828" s="400"/>
      <c r="E1828" s="400"/>
      <c r="F1828" s="400"/>
      <c r="G1828" s="400"/>
      <c r="H1828" s="396"/>
    </row>
    <row r="1829" spans="1:8" s="401" customFormat="1" ht="14.25" customHeight="1" x14ac:dyDescent="0.25">
      <c r="A1829" s="564">
        <v>409</v>
      </c>
      <c r="B1829" s="562" t="s">
        <v>791</v>
      </c>
      <c r="C1829" s="403">
        <v>1</v>
      </c>
      <c r="D1829" s="400"/>
      <c r="E1829" s="400"/>
      <c r="F1829" s="400"/>
      <c r="G1829" s="400"/>
      <c r="H1829" s="396"/>
    </row>
    <row r="1830" spans="1:8" s="401" customFormat="1" ht="14.25" customHeight="1" x14ac:dyDescent="0.25">
      <c r="A1830" s="564">
        <v>414</v>
      </c>
      <c r="B1830" s="562" t="s">
        <v>787</v>
      </c>
      <c r="C1830" s="403">
        <v>1</v>
      </c>
      <c r="D1830" s="400"/>
      <c r="E1830" s="400"/>
      <c r="F1830" s="400"/>
      <c r="G1830" s="400"/>
      <c r="H1830" s="396"/>
    </row>
    <row r="1831" spans="1:8" s="401" customFormat="1" ht="14.25" customHeight="1" x14ac:dyDescent="0.25">
      <c r="A1831" s="564">
        <v>415</v>
      </c>
      <c r="B1831" s="562" t="s">
        <v>785</v>
      </c>
      <c r="C1831" s="403">
        <v>1</v>
      </c>
      <c r="D1831" s="400"/>
      <c r="E1831" s="400"/>
      <c r="F1831" s="400"/>
      <c r="G1831" s="400"/>
      <c r="H1831" s="396"/>
    </row>
    <row r="1832" spans="1:8" s="401" customFormat="1" ht="14.25" customHeight="1" x14ac:dyDescent="0.25">
      <c r="A1832" s="564">
        <v>419</v>
      </c>
      <c r="B1832" s="562" t="s">
        <v>787</v>
      </c>
      <c r="C1832" s="403">
        <v>2351</v>
      </c>
      <c r="D1832" s="400"/>
      <c r="E1832" s="400"/>
      <c r="F1832" s="400"/>
      <c r="G1832" s="400"/>
      <c r="H1832" s="396"/>
    </row>
    <row r="1833" spans="1:8" s="401" customFormat="1" ht="14.25" customHeight="1" x14ac:dyDescent="0.25">
      <c r="A1833" s="564">
        <v>422</v>
      </c>
      <c r="B1833" s="562" t="s">
        <v>785</v>
      </c>
      <c r="C1833" s="403">
        <v>337</v>
      </c>
      <c r="D1833" s="400"/>
      <c r="E1833" s="400"/>
      <c r="F1833" s="400"/>
      <c r="G1833" s="400"/>
      <c r="H1833" s="396"/>
    </row>
    <row r="1834" spans="1:8" s="401" customFormat="1" ht="14.25" customHeight="1" x14ac:dyDescent="0.25">
      <c r="A1834" s="564">
        <v>423</v>
      </c>
      <c r="B1834" s="562" t="s">
        <v>787</v>
      </c>
      <c r="C1834" s="403">
        <v>1</v>
      </c>
      <c r="D1834" s="400"/>
      <c r="E1834" s="400"/>
      <c r="F1834" s="400"/>
      <c r="G1834" s="400"/>
      <c r="H1834" s="396"/>
    </row>
    <row r="1835" spans="1:8" s="401" customFormat="1" ht="14.25" customHeight="1" x14ac:dyDescent="0.25">
      <c r="A1835" s="564">
        <v>424</v>
      </c>
      <c r="B1835" s="562" t="s">
        <v>785</v>
      </c>
      <c r="C1835" s="403">
        <v>1</v>
      </c>
      <c r="D1835" s="400"/>
      <c r="E1835" s="400"/>
      <c r="F1835" s="400"/>
      <c r="G1835" s="400"/>
      <c r="H1835" s="396"/>
    </row>
    <row r="1836" spans="1:8" s="401" customFormat="1" ht="14.25" customHeight="1" x14ac:dyDescent="0.25">
      <c r="A1836" s="564">
        <v>426</v>
      </c>
      <c r="B1836" s="562" t="s">
        <v>785</v>
      </c>
      <c r="C1836" s="403">
        <v>1</v>
      </c>
      <c r="D1836" s="400"/>
      <c r="E1836" s="400"/>
      <c r="F1836" s="400"/>
      <c r="G1836" s="400"/>
      <c r="H1836" s="396"/>
    </row>
    <row r="1837" spans="1:8" s="401" customFormat="1" ht="14.25" customHeight="1" x14ac:dyDescent="0.25">
      <c r="A1837" s="564">
        <v>431</v>
      </c>
      <c r="B1837" s="562" t="s">
        <v>785</v>
      </c>
      <c r="C1837" s="403">
        <v>1</v>
      </c>
      <c r="D1837" s="400"/>
      <c r="E1837" s="400"/>
      <c r="F1837" s="400"/>
      <c r="G1837" s="400"/>
      <c r="H1837" s="396"/>
    </row>
    <row r="1838" spans="1:8" s="401" customFormat="1" ht="14.25" customHeight="1" x14ac:dyDescent="0.25">
      <c r="A1838" s="564">
        <v>433</v>
      </c>
      <c r="B1838" s="562" t="s">
        <v>787</v>
      </c>
      <c r="C1838" s="403">
        <v>1</v>
      </c>
      <c r="D1838" s="400"/>
      <c r="E1838" s="400"/>
      <c r="F1838" s="400"/>
      <c r="G1838" s="400"/>
      <c r="H1838" s="396"/>
    </row>
    <row r="1839" spans="1:8" s="401" customFormat="1" ht="14.25" customHeight="1" x14ac:dyDescent="0.25">
      <c r="A1839" s="564">
        <v>435</v>
      </c>
      <c r="B1839" s="562" t="s">
        <v>787</v>
      </c>
      <c r="C1839" s="403">
        <v>1</v>
      </c>
      <c r="D1839" s="400"/>
      <c r="E1839" s="400"/>
      <c r="F1839" s="400"/>
      <c r="G1839" s="400"/>
      <c r="H1839" s="396"/>
    </row>
    <row r="1840" spans="1:8" s="401" customFormat="1" ht="14.25" customHeight="1" x14ac:dyDescent="0.25">
      <c r="A1840" s="564">
        <v>436</v>
      </c>
      <c r="B1840" s="562" t="s">
        <v>785</v>
      </c>
      <c r="C1840" s="403">
        <v>1</v>
      </c>
      <c r="D1840" s="400"/>
      <c r="E1840" s="400"/>
      <c r="F1840" s="400"/>
      <c r="G1840" s="400"/>
      <c r="H1840" s="396"/>
    </row>
    <row r="1841" spans="1:8" s="401" customFormat="1" ht="14.25" customHeight="1" x14ac:dyDescent="0.25">
      <c r="A1841" s="564">
        <v>438</v>
      </c>
      <c r="B1841" s="562" t="s">
        <v>785</v>
      </c>
      <c r="C1841" s="403">
        <v>1</v>
      </c>
      <c r="D1841" s="400"/>
      <c r="E1841" s="400"/>
      <c r="F1841" s="400"/>
      <c r="G1841" s="400"/>
      <c r="H1841" s="396"/>
    </row>
    <row r="1842" spans="1:8" s="401" customFormat="1" ht="14.25" customHeight="1" x14ac:dyDescent="0.25">
      <c r="A1842" s="564">
        <v>441</v>
      </c>
      <c r="B1842" s="562" t="s">
        <v>785</v>
      </c>
      <c r="C1842" s="403">
        <v>1</v>
      </c>
      <c r="D1842" s="400"/>
      <c r="E1842" s="400"/>
      <c r="F1842" s="400"/>
      <c r="G1842" s="400"/>
      <c r="H1842" s="396"/>
    </row>
    <row r="1843" spans="1:8" s="401" customFormat="1" ht="14.25" customHeight="1" x14ac:dyDescent="0.25">
      <c r="A1843" s="564">
        <v>447</v>
      </c>
      <c r="B1843" s="562" t="s">
        <v>791</v>
      </c>
      <c r="C1843" s="403">
        <v>1</v>
      </c>
      <c r="D1843" s="400"/>
      <c r="E1843" s="400"/>
      <c r="F1843" s="400"/>
      <c r="G1843" s="400"/>
      <c r="H1843" s="396"/>
    </row>
    <row r="1844" spans="1:8" s="401" customFormat="1" ht="14.25" customHeight="1" x14ac:dyDescent="0.25">
      <c r="A1844" s="564">
        <v>450</v>
      </c>
      <c r="B1844" s="562" t="s">
        <v>791</v>
      </c>
      <c r="C1844" s="403">
        <v>1</v>
      </c>
      <c r="D1844" s="400"/>
      <c r="E1844" s="400"/>
      <c r="F1844" s="400"/>
      <c r="G1844" s="400"/>
      <c r="H1844" s="396"/>
    </row>
    <row r="1845" spans="1:8" s="401" customFormat="1" ht="14.25" customHeight="1" x14ac:dyDescent="0.25">
      <c r="A1845" s="564">
        <v>453</v>
      </c>
      <c r="B1845" s="562" t="s">
        <v>791</v>
      </c>
      <c r="C1845" s="403">
        <v>1</v>
      </c>
      <c r="D1845" s="400"/>
      <c r="E1845" s="400"/>
      <c r="F1845" s="400"/>
      <c r="G1845" s="400"/>
      <c r="H1845" s="396"/>
    </row>
    <row r="1846" spans="1:8" s="401" customFormat="1" ht="14.25" customHeight="1" x14ac:dyDescent="0.25">
      <c r="A1846" s="564">
        <v>455</v>
      </c>
      <c r="B1846" s="562" t="s">
        <v>787</v>
      </c>
      <c r="C1846" s="403">
        <v>1</v>
      </c>
      <c r="D1846" s="400"/>
      <c r="E1846" s="400"/>
      <c r="F1846" s="400"/>
      <c r="G1846" s="400"/>
      <c r="H1846" s="396"/>
    </row>
    <row r="1847" spans="1:8" s="401" customFormat="1" ht="14.25" customHeight="1" x14ac:dyDescent="0.25">
      <c r="A1847" s="564">
        <v>459</v>
      </c>
      <c r="B1847" s="562" t="s">
        <v>795</v>
      </c>
      <c r="C1847" s="403">
        <v>1</v>
      </c>
      <c r="D1847" s="400"/>
      <c r="E1847" s="400"/>
      <c r="F1847" s="400"/>
      <c r="G1847" s="400"/>
      <c r="H1847" s="396"/>
    </row>
    <row r="1848" spans="1:8" s="401" customFormat="1" ht="14.25" customHeight="1" x14ac:dyDescent="0.25">
      <c r="A1848" s="564">
        <v>464</v>
      </c>
      <c r="B1848" s="562" t="s">
        <v>790</v>
      </c>
      <c r="C1848" s="403">
        <v>9538</v>
      </c>
      <c r="D1848" s="400"/>
      <c r="E1848" s="400"/>
      <c r="F1848" s="400"/>
      <c r="G1848" s="400"/>
      <c r="H1848" s="396"/>
    </row>
    <row r="1849" spans="1:8" s="401" customFormat="1" ht="14.25" customHeight="1" x14ac:dyDescent="0.25">
      <c r="A1849" s="564">
        <v>467</v>
      </c>
      <c r="B1849" s="562" t="s">
        <v>795</v>
      </c>
      <c r="C1849" s="403">
        <v>6831</v>
      </c>
      <c r="D1849" s="400"/>
      <c r="E1849" s="400"/>
      <c r="F1849" s="400"/>
      <c r="G1849" s="400"/>
      <c r="H1849" s="396"/>
    </row>
    <row r="1850" spans="1:8" s="401" customFormat="1" ht="14.25" customHeight="1" x14ac:dyDescent="0.25">
      <c r="A1850" s="564">
        <v>469</v>
      </c>
      <c r="B1850" s="562" t="s">
        <v>785</v>
      </c>
      <c r="C1850" s="403">
        <v>1</v>
      </c>
      <c r="D1850" s="400"/>
      <c r="E1850" s="400"/>
      <c r="F1850" s="400"/>
      <c r="G1850" s="400"/>
      <c r="H1850" s="396"/>
    </row>
    <row r="1851" spans="1:8" s="401" customFormat="1" ht="14.25" customHeight="1" x14ac:dyDescent="0.25">
      <c r="A1851" s="564">
        <v>470</v>
      </c>
      <c r="B1851" s="562" t="s">
        <v>786</v>
      </c>
      <c r="C1851" s="403">
        <v>1</v>
      </c>
      <c r="D1851" s="400"/>
      <c r="E1851" s="400"/>
      <c r="F1851" s="400"/>
      <c r="G1851" s="400"/>
      <c r="H1851" s="396"/>
    </row>
    <row r="1852" spans="1:8" s="401" customFormat="1" ht="14.25" customHeight="1" x14ac:dyDescent="0.25">
      <c r="A1852" s="564">
        <v>471</v>
      </c>
      <c r="B1852" s="562" t="s">
        <v>795</v>
      </c>
      <c r="C1852" s="403">
        <v>1</v>
      </c>
      <c r="D1852" s="400"/>
      <c r="E1852" s="400"/>
      <c r="F1852" s="400"/>
      <c r="G1852" s="400"/>
      <c r="H1852" s="396"/>
    </row>
    <row r="1853" spans="1:8" s="401" customFormat="1" ht="14.25" customHeight="1" x14ac:dyDescent="0.25">
      <c r="A1853" s="564">
        <v>475</v>
      </c>
      <c r="B1853" s="562" t="s">
        <v>806</v>
      </c>
      <c r="C1853" s="403">
        <v>1</v>
      </c>
      <c r="D1853" s="400"/>
      <c r="E1853" s="400"/>
      <c r="F1853" s="400"/>
      <c r="G1853" s="400"/>
      <c r="H1853" s="396"/>
    </row>
    <row r="1854" spans="1:8" s="401" customFormat="1" ht="14.25" customHeight="1" x14ac:dyDescent="0.25">
      <c r="A1854" s="564">
        <v>478</v>
      </c>
      <c r="B1854" s="562" t="s">
        <v>801</v>
      </c>
      <c r="C1854" s="403">
        <v>27448</v>
      </c>
      <c r="D1854" s="400"/>
      <c r="E1854" s="400"/>
      <c r="F1854" s="400"/>
      <c r="G1854" s="400"/>
      <c r="H1854" s="396"/>
    </row>
    <row r="1855" spans="1:8" s="401" customFormat="1" ht="14.25" customHeight="1" x14ac:dyDescent="0.25">
      <c r="A1855" s="564">
        <v>479</v>
      </c>
      <c r="B1855" s="562" t="s">
        <v>790</v>
      </c>
      <c r="C1855" s="403">
        <v>9538</v>
      </c>
      <c r="D1855" s="400"/>
      <c r="E1855" s="400"/>
      <c r="F1855" s="400"/>
      <c r="G1855" s="400"/>
      <c r="H1855" s="396"/>
    </row>
    <row r="1856" spans="1:8" s="401" customFormat="1" ht="14.25" customHeight="1" x14ac:dyDescent="0.25">
      <c r="A1856" s="564">
        <v>482</v>
      </c>
      <c r="B1856" s="562" t="s">
        <v>790</v>
      </c>
      <c r="C1856" s="403">
        <v>1</v>
      </c>
      <c r="D1856" s="400"/>
      <c r="E1856" s="400"/>
      <c r="F1856" s="400"/>
      <c r="G1856" s="400"/>
      <c r="H1856" s="396"/>
    </row>
    <row r="1857" spans="1:8" s="401" customFormat="1" ht="14.25" customHeight="1" x14ac:dyDescent="0.25">
      <c r="A1857" s="564">
        <v>483</v>
      </c>
      <c r="B1857" s="562" t="s">
        <v>790</v>
      </c>
      <c r="C1857" s="403">
        <v>1</v>
      </c>
      <c r="D1857" s="400"/>
      <c r="E1857" s="400"/>
      <c r="F1857" s="400"/>
      <c r="G1857" s="400"/>
      <c r="H1857" s="396"/>
    </row>
    <row r="1858" spans="1:8" s="401" customFormat="1" ht="14.25" customHeight="1" x14ac:dyDescent="0.25">
      <c r="A1858" s="564">
        <v>486</v>
      </c>
      <c r="B1858" s="562" t="s">
        <v>803</v>
      </c>
      <c r="C1858" s="403">
        <v>1</v>
      </c>
      <c r="D1858" s="400"/>
      <c r="E1858" s="400"/>
      <c r="F1858" s="400"/>
      <c r="G1858" s="400"/>
      <c r="H1858" s="396"/>
    </row>
    <row r="1859" spans="1:8" s="401" customFormat="1" ht="14.25" customHeight="1" x14ac:dyDescent="0.25">
      <c r="A1859" s="564">
        <v>487</v>
      </c>
      <c r="B1859" s="562" t="s">
        <v>785</v>
      </c>
      <c r="C1859" s="403">
        <v>1</v>
      </c>
      <c r="D1859" s="400"/>
      <c r="E1859" s="400"/>
      <c r="F1859" s="400"/>
      <c r="G1859" s="400"/>
      <c r="H1859" s="396"/>
    </row>
    <row r="1860" spans="1:8" s="401" customFormat="1" ht="14.25" customHeight="1" x14ac:dyDescent="0.25">
      <c r="A1860" s="564">
        <v>489</v>
      </c>
      <c r="B1860" s="562" t="s">
        <v>785</v>
      </c>
      <c r="C1860" s="403">
        <v>1</v>
      </c>
      <c r="D1860" s="400"/>
      <c r="E1860" s="400"/>
      <c r="F1860" s="400"/>
      <c r="G1860" s="400"/>
      <c r="H1860" s="396"/>
    </row>
    <row r="1861" spans="1:8" s="401" customFormat="1" ht="14.25" customHeight="1" x14ac:dyDescent="0.25">
      <c r="A1861" s="564">
        <v>490</v>
      </c>
      <c r="B1861" s="562" t="s">
        <v>785</v>
      </c>
      <c r="C1861" s="403">
        <v>1</v>
      </c>
      <c r="D1861" s="400"/>
      <c r="E1861" s="400"/>
      <c r="F1861" s="400"/>
      <c r="G1861" s="400"/>
      <c r="H1861" s="396"/>
    </row>
    <row r="1862" spans="1:8" s="401" customFormat="1" ht="14.25" customHeight="1" x14ac:dyDescent="0.25">
      <c r="A1862" s="564">
        <v>491</v>
      </c>
      <c r="B1862" s="562" t="s">
        <v>785</v>
      </c>
      <c r="C1862" s="403">
        <v>573</v>
      </c>
      <c r="D1862" s="400"/>
      <c r="E1862" s="400"/>
      <c r="F1862" s="400"/>
      <c r="G1862" s="400"/>
      <c r="H1862" s="396"/>
    </row>
    <row r="1863" spans="1:8" s="401" customFormat="1" ht="14.25" customHeight="1" x14ac:dyDescent="0.25">
      <c r="A1863" s="564">
        <v>492</v>
      </c>
      <c r="B1863" s="562" t="s">
        <v>785</v>
      </c>
      <c r="C1863" s="403">
        <v>1</v>
      </c>
      <c r="D1863" s="400"/>
      <c r="E1863" s="400"/>
      <c r="F1863" s="400"/>
      <c r="G1863" s="400"/>
      <c r="H1863" s="396"/>
    </row>
    <row r="1864" spans="1:8" s="401" customFormat="1" ht="14.25" customHeight="1" x14ac:dyDescent="0.25">
      <c r="A1864" s="564">
        <v>493</v>
      </c>
      <c r="B1864" s="562" t="s">
        <v>785</v>
      </c>
      <c r="C1864" s="403">
        <v>1</v>
      </c>
      <c r="D1864" s="400"/>
      <c r="E1864" s="400"/>
      <c r="F1864" s="400"/>
      <c r="G1864" s="400"/>
      <c r="H1864" s="396"/>
    </row>
    <row r="1865" spans="1:8" s="401" customFormat="1" ht="14.25" customHeight="1" x14ac:dyDescent="0.25">
      <c r="A1865" s="564">
        <v>495</v>
      </c>
      <c r="B1865" s="562" t="s">
        <v>785</v>
      </c>
      <c r="C1865" s="403">
        <v>1</v>
      </c>
      <c r="D1865" s="400"/>
      <c r="E1865" s="400"/>
      <c r="F1865" s="400"/>
      <c r="G1865" s="400"/>
      <c r="H1865" s="396"/>
    </row>
    <row r="1866" spans="1:8" s="401" customFormat="1" ht="14.25" customHeight="1" x14ac:dyDescent="0.25">
      <c r="A1866" s="564">
        <v>496</v>
      </c>
      <c r="B1866" s="562" t="s">
        <v>790</v>
      </c>
      <c r="C1866" s="403">
        <v>1</v>
      </c>
      <c r="D1866" s="400"/>
      <c r="E1866" s="400"/>
      <c r="F1866" s="400"/>
      <c r="G1866" s="400"/>
      <c r="H1866" s="396"/>
    </row>
    <row r="1867" spans="1:8" s="401" customFormat="1" ht="14.25" customHeight="1" x14ac:dyDescent="0.25">
      <c r="A1867" s="564">
        <v>3173</v>
      </c>
      <c r="B1867" s="562" t="s">
        <v>787</v>
      </c>
      <c r="C1867" s="403">
        <v>1</v>
      </c>
      <c r="D1867" s="400"/>
      <c r="E1867" s="400"/>
      <c r="F1867" s="400"/>
      <c r="G1867" s="400"/>
      <c r="H1867" s="396"/>
    </row>
    <row r="1868" spans="1:8" s="401" customFormat="1" ht="14.25" customHeight="1" x14ac:dyDescent="0.25">
      <c r="A1868" s="564">
        <v>3179</v>
      </c>
      <c r="B1868" s="562" t="s">
        <v>785</v>
      </c>
      <c r="C1868" s="403">
        <v>1</v>
      </c>
      <c r="D1868" s="400"/>
      <c r="E1868" s="400"/>
      <c r="F1868" s="400"/>
      <c r="G1868" s="400"/>
      <c r="H1868" s="396"/>
    </row>
    <row r="1869" spans="1:8" s="401" customFormat="1" ht="14.25" customHeight="1" x14ac:dyDescent="0.25">
      <c r="A1869" s="564">
        <v>3182</v>
      </c>
      <c r="B1869" s="562" t="s">
        <v>785</v>
      </c>
      <c r="C1869" s="403">
        <v>1</v>
      </c>
      <c r="D1869" s="400"/>
      <c r="E1869" s="400"/>
      <c r="F1869" s="400"/>
      <c r="G1869" s="400"/>
      <c r="H1869" s="396"/>
    </row>
    <row r="1870" spans="1:8" s="401" customFormat="1" ht="14.25" customHeight="1" x14ac:dyDescent="0.25">
      <c r="A1870" s="564">
        <v>3186</v>
      </c>
      <c r="B1870" s="562" t="s">
        <v>785</v>
      </c>
      <c r="C1870" s="403">
        <v>1</v>
      </c>
      <c r="D1870" s="400"/>
      <c r="E1870" s="400"/>
      <c r="F1870" s="400"/>
      <c r="G1870" s="400"/>
      <c r="H1870" s="396"/>
    </row>
    <row r="1871" spans="1:8" s="401" customFormat="1" ht="14.25" customHeight="1" x14ac:dyDescent="0.25">
      <c r="A1871" s="564">
        <v>3188</v>
      </c>
      <c r="B1871" s="562" t="s">
        <v>795</v>
      </c>
      <c r="C1871" s="403">
        <v>1</v>
      </c>
      <c r="D1871" s="400"/>
      <c r="E1871" s="400"/>
      <c r="F1871" s="400"/>
      <c r="G1871" s="400"/>
      <c r="H1871" s="396"/>
    </row>
    <row r="1872" spans="1:8" s="401" customFormat="1" ht="14.25" customHeight="1" x14ac:dyDescent="0.25">
      <c r="A1872" s="564">
        <v>3192</v>
      </c>
      <c r="B1872" s="562" t="s">
        <v>795</v>
      </c>
      <c r="C1872" s="403">
        <v>1</v>
      </c>
      <c r="D1872" s="400"/>
      <c r="E1872" s="400"/>
      <c r="F1872" s="400"/>
      <c r="G1872" s="400"/>
      <c r="H1872" s="396"/>
    </row>
    <row r="1873" spans="1:8" s="401" customFormat="1" ht="14.25" customHeight="1" x14ac:dyDescent="0.25">
      <c r="A1873" s="564">
        <v>3196</v>
      </c>
      <c r="B1873" s="562" t="s">
        <v>787</v>
      </c>
      <c r="C1873" s="403">
        <v>1</v>
      </c>
      <c r="D1873" s="400"/>
      <c r="E1873" s="400"/>
      <c r="F1873" s="400"/>
      <c r="G1873" s="400"/>
      <c r="H1873" s="396"/>
    </row>
    <row r="1874" spans="1:8" s="401" customFormat="1" ht="14.25" customHeight="1" x14ac:dyDescent="0.25">
      <c r="A1874" s="564">
        <v>3672</v>
      </c>
      <c r="B1874" s="562" t="s">
        <v>785</v>
      </c>
      <c r="C1874" s="403">
        <v>1</v>
      </c>
      <c r="D1874" s="400"/>
      <c r="E1874" s="400"/>
      <c r="F1874" s="400"/>
      <c r="G1874" s="400"/>
      <c r="H1874" s="396"/>
    </row>
    <row r="1875" spans="1:8" s="401" customFormat="1" ht="14.25" customHeight="1" x14ac:dyDescent="0.25">
      <c r="A1875" s="564">
        <v>1764</v>
      </c>
      <c r="B1875" s="562" t="s">
        <v>832</v>
      </c>
      <c r="C1875" s="403">
        <v>2178</v>
      </c>
      <c r="D1875" s="400"/>
      <c r="E1875" s="400"/>
      <c r="F1875" s="400"/>
      <c r="G1875" s="400"/>
      <c r="H1875" s="396"/>
    </row>
    <row r="1876" spans="1:8" s="401" customFormat="1" ht="14.25" customHeight="1" x14ac:dyDescent="0.25">
      <c r="A1876" s="564">
        <v>2818</v>
      </c>
      <c r="B1876" s="562" t="s">
        <v>788</v>
      </c>
      <c r="C1876" s="403">
        <v>1</v>
      </c>
      <c r="D1876" s="400"/>
      <c r="E1876" s="400"/>
      <c r="F1876" s="400"/>
      <c r="G1876" s="400"/>
      <c r="H1876" s="396"/>
    </row>
    <row r="1877" spans="1:8" s="401" customFormat="1" ht="14.25" customHeight="1" x14ac:dyDescent="0.25">
      <c r="A1877" s="564">
        <v>2831</v>
      </c>
      <c r="B1877" s="562" t="s">
        <v>852</v>
      </c>
      <c r="C1877" s="403">
        <v>2818</v>
      </c>
      <c r="D1877" s="400"/>
      <c r="E1877" s="400"/>
      <c r="F1877" s="400"/>
      <c r="G1877" s="400"/>
      <c r="H1877" s="396"/>
    </row>
    <row r="1878" spans="1:8" s="401" customFormat="1" ht="14.25" customHeight="1" x14ac:dyDescent="0.25">
      <c r="A1878" s="564">
        <v>2834</v>
      </c>
      <c r="B1878" s="562" t="s">
        <v>787</v>
      </c>
      <c r="C1878" s="403">
        <v>1</v>
      </c>
      <c r="D1878" s="400"/>
      <c r="E1878" s="400"/>
      <c r="F1878" s="400"/>
      <c r="G1878" s="400"/>
      <c r="H1878" s="396"/>
    </row>
    <row r="1879" spans="1:8" s="401" customFormat="1" ht="14.25" customHeight="1" x14ac:dyDescent="0.25">
      <c r="A1879" s="564">
        <v>2836</v>
      </c>
      <c r="B1879" s="562" t="s">
        <v>787</v>
      </c>
      <c r="C1879" s="403">
        <v>1</v>
      </c>
      <c r="D1879" s="400"/>
      <c r="E1879" s="400"/>
      <c r="F1879" s="400"/>
      <c r="G1879" s="400"/>
      <c r="H1879" s="396"/>
    </row>
    <row r="1880" spans="1:8" s="401" customFormat="1" ht="14.25" customHeight="1" x14ac:dyDescent="0.25">
      <c r="A1880" s="564">
        <v>2839</v>
      </c>
      <c r="B1880" s="562" t="s">
        <v>785</v>
      </c>
      <c r="C1880" s="403">
        <v>304</v>
      </c>
      <c r="D1880" s="400"/>
      <c r="E1880" s="400"/>
      <c r="F1880" s="400"/>
      <c r="G1880" s="400"/>
      <c r="H1880" s="396"/>
    </row>
    <row r="1881" spans="1:8" s="401" customFormat="1" ht="14.25" customHeight="1" x14ac:dyDescent="0.25">
      <c r="A1881" s="564">
        <v>2843</v>
      </c>
      <c r="B1881" s="562" t="s">
        <v>785</v>
      </c>
      <c r="C1881" s="403">
        <v>304</v>
      </c>
      <c r="D1881" s="400"/>
      <c r="E1881" s="400"/>
      <c r="F1881" s="400"/>
      <c r="G1881" s="400"/>
      <c r="H1881" s="396"/>
    </row>
    <row r="1882" spans="1:8" s="401" customFormat="1" ht="14.25" customHeight="1" x14ac:dyDescent="0.25">
      <c r="A1882" s="564">
        <v>2846</v>
      </c>
      <c r="B1882" s="562" t="s">
        <v>785</v>
      </c>
      <c r="C1882" s="403">
        <v>304</v>
      </c>
      <c r="D1882" s="400"/>
      <c r="E1882" s="400"/>
      <c r="F1882" s="400"/>
      <c r="G1882" s="400"/>
      <c r="H1882" s="396"/>
    </row>
    <row r="1883" spans="1:8" s="401" customFormat="1" ht="14.25" customHeight="1" x14ac:dyDescent="0.25">
      <c r="A1883" s="564">
        <v>2849</v>
      </c>
      <c r="B1883" s="562" t="s">
        <v>785</v>
      </c>
      <c r="C1883" s="403">
        <v>1</v>
      </c>
      <c r="D1883" s="400"/>
      <c r="E1883" s="400"/>
      <c r="F1883" s="400"/>
      <c r="G1883" s="400"/>
      <c r="H1883" s="396"/>
    </row>
    <row r="1884" spans="1:8" s="401" customFormat="1" ht="14.25" customHeight="1" x14ac:dyDescent="0.25">
      <c r="A1884" s="564">
        <v>2852</v>
      </c>
      <c r="B1884" s="562" t="s">
        <v>785</v>
      </c>
      <c r="C1884" s="403">
        <v>1</v>
      </c>
      <c r="D1884" s="400"/>
      <c r="E1884" s="400"/>
      <c r="F1884" s="400"/>
      <c r="G1884" s="400"/>
      <c r="H1884" s="396"/>
    </row>
    <row r="1885" spans="1:8" s="401" customFormat="1" ht="14.25" customHeight="1" x14ac:dyDescent="0.25">
      <c r="A1885" s="564">
        <v>1995</v>
      </c>
      <c r="B1885" s="562" t="s">
        <v>819</v>
      </c>
      <c r="C1885" s="403">
        <v>1445</v>
      </c>
      <c r="D1885" s="400"/>
      <c r="E1885" s="400"/>
      <c r="F1885" s="400"/>
      <c r="G1885" s="400"/>
      <c r="H1885" s="396"/>
    </row>
    <row r="1886" spans="1:8" s="401" customFormat="1" ht="14.25" customHeight="1" x14ac:dyDescent="0.25">
      <c r="A1886" s="564">
        <v>2000</v>
      </c>
      <c r="B1886" s="562" t="s">
        <v>819</v>
      </c>
      <c r="C1886" s="403">
        <v>1145</v>
      </c>
      <c r="D1886" s="400"/>
      <c r="E1886" s="400"/>
      <c r="F1886" s="400"/>
      <c r="G1886" s="400"/>
      <c r="H1886" s="396"/>
    </row>
    <row r="1887" spans="1:8" s="401" customFormat="1" ht="14.25" customHeight="1" x14ac:dyDescent="0.25">
      <c r="A1887" s="564">
        <v>3065</v>
      </c>
      <c r="B1887" s="562" t="s">
        <v>785</v>
      </c>
      <c r="C1887" s="403">
        <v>1</v>
      </c>
      <c r="D1887" s="400"/>
      <c r="E1887" s="400"/>
      <c r="F1887" s="400"/>
      <c r="G1887" s="400"/>
      <c r="H1887" s="396"/>
    </row>
    <row r="1888" spans="1:8" s="401" customFormat="1" ht="14.25" customHeight="1" x14ac:dyDescent="0.25">
      <c r="A1888" s="564">
        <v>3069</v>
      </c>
      <c r="B1888" s="562" t="s">
        <v>791</v>
      </c>
      <c r="C1888" s="403">
        <v>1</v>
      </c>
      <c r="D1888" s="400"/>
      <c r="E1888" s="400"/>
      <c r="F1888" s="400"/>
      <c r="G1888" s="400"/>
      <c r="H1888" s="396"/>
    </row>
    <row r="1889" spans="1:8" s="401" customFormat="1" ht="14.25" customHeight="1" x14ac:dyDescent="0.25">
      <c r="A1889" s="564">
        <v>3096</v>
      </c>
      <c r="B1889" s="562" t="s">
        <v>787</v>
      </c>
      <c r="C1889" s="403">
        <v>1</v>
      </c>
      <c r="D1889" s="400"/>
      <c r="E1889" s="400"/>
      <c r="F1889" s="400"/>
      <c r="G1889" s="400"/>
      <c r="H1889" s="396"/>
    </row>
    <row r="1890" spans="1:8" s="401" customFormat="1" ht="14.25" customHeight="1" x14ac:dyDescent="0.25">
      <c r="A1890" s="564">
        <v>3102</v>
      </c>
      <c r="B1890" s="562" t="s">
        <v>787</v>
      </c>
      <c r="C1890" s="403">
        <v>1</v>
      </c>
      <c r="D1890" s="400"/>
      <c r="E1890" s="400"/>
      <c r="F1890" s="400"/>
      <c r="G1890" s="400"/>
      <c r="H1890" s="396"/>
    </row>
    <row r="1891" spans="1:8" s="401" customFormat="1" ht="14.25" customHeight="1" x14ac:dyDescent="0.25">
      <c r="A1891" s="564">
        <v>3106</v>
      </c>
      <c r="B1891" s="562" t="s">
        <v>787</v>
      </c>
      <c r="C1891" s="403">
        <v>1</v>
      </c>
      <c r="D1891" s="400"/>
      <c r="E1891" s="400"/>
      <c r="F1891" s="400"/>
      <c r="G1891" s="400"/>
      <c r="H1891" s="396"/>
    </row>
    <row r="1892" spans="1:8" s="401" customFormat="1" ht="14.25" customHeight="1" x14ac:dyDescent="0.25">
      <c r="A1892" s="564">
        <v>3110</v>
      </c>
      <c r="B1892" s="562" t="s">
        <v>785</v>
      </c>
      <c r="C1892" s="403">
        <v>1</v>
      </c>
      <c r="D1892" s="400"/>
      <c r="E1892" s="400"/>
      <c r="F1892" s="400"/>
      <c r="G1892" s="400"/>
      <c r="H1892" s="396"/>
    </row>
    <row r="1893" spans="1:8" s="401" customFormat="1" ht="14.25" customHeight="1" x14ac:dyDescent="0.25">
      <c r="A1893" s="564">
        <v>3113</v>
      </c>
      <c r="B1893" s="562" t="s">
        <v>785</v>
      </c>
      <c r="C1893" s="403">
        <v>1</v>
      </c>
      <c r="D1893" s="400"/>
      <c r="E1893" s="400"/>
      <c r="F1893" s="400"/>
      <c r="G1893" s="400"/>
      <c r="H1893" s="396"/>
    </row>
    <row r="1894" spans="1:8" s="401" customFormat="1" ht="14.25" customHeight="1" x14ac:dyDescent="0.25">
      <c r="A1894" s="564">
        <v>3115</v>
      </c>
      <c r="B1894" s="562" t="s">
        <v>785</v>
      </c>
      <c r="C1894" s="403">
        <v>1</v>
      </c>
      <c r="D1894" s="400"/>
      <c r="E1894" s="400"/>
      <c r="F1894" s="400"/>
      <c r="G1894" s="400"/>
      <c r="H1894" s="396"/>
    </row>
    <row r="1895" spans="1:8" s="401" customFormat="1" ht="14.25" customHeight="1" x14ac:dyDescent="0.25">
      <c r="A1895" s="564">
        <v>3116</v>
      </c>
      <c r="B1895" s="562" t="s">
        <v>785</v>
      </c>
      <c r="C1895" s="403">
        <v>1</v>
      </c>
      <c r="D1895" s="400"/>
      <c r="E1895" s="400"/>
      <c r="F1895" s="400"/>
      <c r="G1895" s="400"/>
      <c r="H1895" s="396"/>
    </row>
    <row r="1896" spans="1:8" s="401" customFormat="1" ht="14.25" customHeight="1" x14ac:dyDescent="0.25">
      <c r="A1896" s="564">
        <v>3119</v>
      </c>
      <c r="B1896" s="562" t="s">
        <v>785</v>
      </c>
      <c r="C1896" s="403">
        <v>1</v>
      </c>
      <c r="D1896" s="400"/>
      <c r="E1896" s="400"/>
      <c r="F1896" s="400"/>
      <c r="G1896" s="400"/>
      <c r="H1896" s="396"/>
    </row>
    <row r="1897" spans="1:8" s="401" customFormat="1" ht="14.25" customHeight="1" x14ac:dyDescent="0.25">
      <c r="A1897" s="564">
        <v>3121</v>
      </c>
      <c r="B1897" s="562" t="s">
        <v>788</v>
      </c>
      <c r="C1897" s="403">
        <v>1</v>
      </c>
      <c r="D1897" s="400"/>
      <c r="E1897" s="400"/>
      <c r="F1897" s="400"/>
      <c r="G1897" s="400"/>
      <c r="H1897" s="396"/>
    </row>
    <row r="1898" spans="1:8" s="401" customFormat="1" ht="14.25" customHeight="1" x14ac:dyDescent="0.25">
      <c r="A1898" s="564">
        <v>3123</v>
      </c>
      <c r="B1898" s="562" t="s">
        <v>788</v>
      </c>
      <c r="C1898" s="403">
        <v>1</v>
      </c>
      <c r="D1898" s="400"/>
      <c r="E1898" s="400"/>
      <c r="F1898" s="400"/>
      <c r="G1898" s="400"/>
      <c r="H1898" s="396"/>
    </row>
    <row r="1899" spans="1:8" s="401" customFormat="1" ht="14.25" customHeight="1" x14ac:dyDescent="0.25">
      <c r="A1899" s="564">
        <v>3127</v>
      </c>
      <c r="B1899" s="562" t="s">
        <v>787</v>
      </c>
      <c r="C1899" s="403">
        <v>480</v>
      </c>
      <c r="D1899" s="400"/>
      <c r="E1899" s="400"/>
      <c r="F1899" s="400"/>
      <c r="G1899" s="400"/>
      <c r="H1899" s="396"/>
    </row>
    <row r="1900" spans="1:8" s="401" customFormat="1" ht="14.25" customHeight="1" x14ac:dyDescent="0.25">
      <c r="A1900" s="564">
        <v>3128</v>
      </c>
      <c r="B1900" s="562" t="s">
        <v>785</v>
      </c>
      <c r="C1900" s="403">
        <v>1018</v>
      </c>
      <c r="D1900" s="400"/>
      <c r="E1900" s="400"/>
      <c r="F1900" s="400"/>
      <c r="G1900" s="400"/>
      <c r="H1900" s="396"/>
    </row>
    <row r="1901" spans="1:8" s="401" customFormat="1" ht="14.25" customHeight="1" x14ac:dyDescent="0.25">
      <c r="A1901" s="564">
        <v>3131</v>
      </c>
      <c r="B1901" s="562" t="s">
        <v>785</v>
      </c>
      <c r="C1901" s="403">
        <v>1018</v>
      </c>
      <c r="D1901" s="400"/>
      <c r="E1901" s="400"/>
      <c r="F1901" s="400"/>
      <c r="G1901" s="400"/>
      <c r="H1901" s="396"/>
    </row>
    <row r="1902" spans="1:8" s="401" customFormat="1" ht="14.25" customHeight="1" x14ac:dyDescent="0.25">
      <c r="A1902" s="564">
        <v>3155</v>
      </c>
      <c r="B1902" s="562" t="s">
        <v>791</v>
      </c>
      <c r="C1902" s="403">
        <v>1</v>
      </c>
      <c r="D1902" s="400"/>
      <c r="E1902" s="400"/>
      <c r="F1902" s="400"/>
      <c r="G1902" s="400"/>
      <c r="H1902" s="396"/>
    </row>
    <row r="1903" spans="1:8" s="401" customFormat="1" ht="14.25" customHeight="1" x14ac:dyDescent="0.25">
      <c r="A1903" s="564">
        <v>3165</v>
      </c>
      <c r="B1903" s="562" t="s">
        <v>787</v>
      </c>
      <c r="C1903" s="403">
        <v>1</v>
      </c>
      <c r="D1903" s="400"/>
      <c r="E1903" s="400"/>
      <c r="F1903" s="400"/>
      <c r="G1903" s="400"/>
      <c r="H1903" s="396"/>
    </row>
    <row r="1904" spans="1:8" s="401" customFormat="1" ht="14.25" customHeight="1" x14ac:dyDescent="0.25">
      <c r="A1904" s="564">
        <v>3167</v>
      </c>
      <c r="B1904" s="562" t="s">
        <v>785</v>
      </c>
      <c r="C1904" s="403">
        <v>1</v>
      </c>
      <c r="D1904" s="400"/>
      <c r="E1904" s="400"/>
      <c r="F1904" s="400"/>
      <c r="G1904" s="400"/>
      <c r="H1904" s="396"/>
    </row>
    <row r="1905" spans="1:8" s="401" customFormat="1" ht="14.25" customHeight="1" x14ac:dyDescent="0.25">
      <c r="A1905" s="564">
        <v>4080</v>
      </c>
      <c r="B1905" s="562" t="s">
        <v>789</v>
      </c>
      <c r="C1905" s="403">
        <v>450.61</v>
      </c>
      <c r="D1905" s="400"/>
      <c r="E1905" s="400"/>
      <c r="F1905" s="400"/>
      <c r="G1905" s="400"/>
      <c r="H1905" s="396"/>
    </row>
    <row r="1906" spans="1:8" s="401" customFormat="1" ht="14.25" customHeight="1" x14ac:dyDescent="0.25">
      <c r="A1906" s="564">
        <v>2932</v>
      </c>
      <c r="B1906" s="562" t="s">
        <v>832</v>
      </c>
      <c r="C1906" s="403">
        <v>2818</v>
      </c>
      <c r="D1906" s="400"/>
      <c r="E1906" s="400"/>
      <c r="F1906" s="400"/>
      <c r="G1906" s="400"/>
      <c r="H1906" s="396"/>
    </row>
    <row r="1907" spans="1:8" s="401" customFormat="1" ht="14.25" customHeight="1" x14ac:dyDescent="0.25">
      <c r="A1907" s="564">
        <v>2934</v>
      </c>
      <c r="B1907" s="562" t="s">
        <v>789</v>
      </c>
      <c r="C1907" s="403">
        <v>580</v>
      </c>
      <c r="D1907" s="400"/>
      <c r="E1907" s="400"/>
      <c r="F1907" s="400"/>
      <c r="G1907" s="400"/>
      <c r="H1907" s="396"/>
    </row>
    <row r="1908" spans="1:8" s="401" customFormat="1" ht="14.25" customHeight="1" x14ac:dyDescent="0.25">
      <c r="A1908" s="564">
        <v>2937</v>
      </c>
      <c r="B1908" s="562" t="s">
        <v>791</v>
      </c>
      <c r="C1908" s="403">
        <v>1</v>
      </c>
      <c r="D1908" s="400"/>
      <c r="E1908" s="400"/>
      <c r="F1908" s="400"/>
      <c r="G1908" s="400"/>
      <c r="H1908" s="396"/>
    </row>
    <row r="1909" spans="1:8" s="401" customFormat="1" ht="14.25" customHeight="1" x14ac:dyDescent="0.25">
      <c r="A1909" s="564">
        <v>2939</v>
      </c>
      <c r="B1909" s="562" t="s">
        <v>791</v>
      </c>
      <c r="C1909" s="403">
        <v>1</v>
      </c>
      <c r="D1909" s="400"/>
      <c r="E1909" s="400"/>
      <c r="F1909" s="400"/>
      <c r="G1909" s="400"/>
      <c r="H1909" s="396"/>
    </row>
    <row r="1910" spans="1:8" s="401" customFormat="1" ht="14.25" customHeight="1" x14ac:dyDescent="0.25">
      <c r="A1910" s="564">
        <v>2943</v>
      </c>
      <c r="B1910" s="562" t="s">
        <v>791</v>
      </c>
      <c r="C1910" s="403">
        <v>3436</v>
      </c>
      <c r="D1910" s="400"/>
      <c r="E1910" s="400"/>
      <c r="F1910" s="400"/>
      <c r="G1910" s="400"/>
      <c r="H1910" s="396"/>
    </row>
    <row r="1911" spans="1:8" s="401" customFormat="1" ht="14.25" customHeight="1" x14ac:dyDescent="0.25">
      <c r="A1911" s="564">
        <v>2947</v>
      </c>
      <c r="B1911" s="562" t="s">
        <v>791</v>
      </c>
      <c r="C1911" s="403">
        <v>3436</v>
      </c>
      <c r="D1911" s="400"/>
      <c r="E1911" s="400"/>
      <c r="F1911" s="400"/>
      <c r="G1911" s="400"/>
      <c r="H1911" s="396"/>
    </row>
    <row r="1912" spans="1:8" s="401" customFormat="1" ht="14.25" customHeight="1" x14ac:dyDescent="0.25">
      <c r="A1912" s="564">
        <v>2949</v>
      </c>
      <c r="B1912" s="562" t="s">
        <v>801</v>
      </c>
      <c r="C1912" s="403">
        <v>12535</v>
      </c>
      <c r="D1912" s="400"/>
      <c r="E1912" s="400"/>
      <c r="F1912" s="400"/>
      <c r="G1912" s="400"/>
      <c r="H1912" s="396"/>
    </row>
    <row r="1913" spans="1:8" s="401" customFormat="1" ht="14.25" customHeight="1" x14ac:dyDescent="0.25">
      <c r="A1913" s="564">
        <v>2952</v>
      </c>
      <c r="B1913" s="562" t="s">
        <v>787</v>
      </c>
      <c r="C1913" s="403">
        <v>1</v>
      </c>
      <c r="D1913" s="400"/>
      <c r="E1913" s="400"/>
      <c r="F1913" s="400"/>
      <c r="G1913" s="400"/>
      <c r="H1913" s="396"/>
    </row>
    <row r="1914" spans="1:8" s="401" customFormat="1" ht="14.25" customHeight="1" x14ac:dyDescent="0.25">
      <c r="A1914" s="564">
        <v>2954</v>
      </c>
      <c r="B1914" s="562" t="s">
        <v>787</v>
      </c>
      <c r="C1914" s="403">
        <v>1</v>
      </c>
      <c r="D1914" s="400"/>
      <c r="E1914" s="400"/>
      <c r="F1914" s="400"/>
      <c r="G1914" s="400"/>
      <c r="H1914" s="396"/>
    </row>
    <row r="1915" spans="1:8" s="401" customFormat="1" ht="14.25" customHeight="1" x14ac:dyDescent="0.25">
      <c r="A1915" s="564">
        <v>2957</v>
      </c>
      <c r="B1915" s="562" t="s">
        <v>785</v>
      </c>
      <c r="C1915" s="403">
        <v>1</v>
      </c>
      <c r="D1915" s="400"/>
      <c r="E1915" s="400"/>
      <c r="F1915" s="400"/>
      <c r="G1915" s="400"/>
      <c r="H1915" s="396"/>
    </row>
    <row r="1916" spans="1:8" s="401" customFormat="1" ht="14.25" customHeight="1" x14ac:dyDescent="0.25">
      <c r="A1916" s="564">
        <v>2964</v>
      </c>
      <c r="B1916" s="562" t="s">
        <v>785</v>
      </c>
      <c r="C1916" s="403">
        <v>1</v>
      </c>
      <c r="D1916" s="400"/>
      <c r="E1916" s="400"/>
      <c r="F1916" s="400"/>
      <c r="G1916" s="400"/>
      <c r="H1916" s="396"/>
    </row>
    <row r="1917" spans="1:8" s="401" customFormat="1" ht="14.25" customHeight="1" x14ac:dyDescent="0.25">
      <c r="A1917" s="564">
        <v>2966</v>
      </c>
      <c r="B1917" s="562" t="s">
        <v>785</v>
      </c>
      <c r="C1917" s="403">
        <v>345</v>
      </c>
      <c r="D1917" s="400"/>
      <c r="E1917" s="400"/>
      <c r="F1917" s="400"/>
      <c r="G1917" s="400"/>
      <c r="H1917" s="396"/>
    </row>
    <row r="1918" spans="1:8" s="401" customFormat="1" ht="14.25" customHeight="1" x14ac:dyDescent="0.25">
      <c r="A1918" s="564">
        <v>2969</v>
      </c>
      <c r="B1918" s="562" t="s">
        <v>785</v>
      </c>
      <c r="C1918" s="403">
        <v>345</v>
      </c>
      <c r="D1918" s="400"/>
      <c r="E1918" s="400"/>
      <c r="F1918" s="400"/>
      <c r="G1918" s="400"/>
      <c r="H1918" s="396"/>
    </row>
    <row r="1919" spans="1:8" s="401" customFormat="1" ht="14.25" customHeight="1" x14ac:dyDescent="0.25">
      <c r="A1919" s="564">
        <v>2970</v>
      </c>
      <c r="B1919" s="562" t="s">
        <v>785</v>
      </c>
      <c r="C1919" s="403">
        <v>345</v>
      </c>
      <c r="D1919" s="400"/>
      <c r="E1919" s="400"/>
      <c r="F1919" s="400"/>
      <c r="G1919" s="400"/>
      <c r="H1919" s="396"/>
    </row>
    <row r="1920" spans="1:8" s="401" customFormat="1" ht="14.25" customHeight="1" x14ac:dyDescent="0.25">
      <c r="A1920" s="564">
        <v>2971</v>
      </c>
      <c r="B1920" s="562" t="s">
        <v>785</v>
      </c>
      <c r="C1920" s="403">
        <v>1</v>
      </c>
      <c r="D1920" s="400"/>
      <c r="E1920" s="400"/>
      <c r="F1920" s="400"/>
      <c r="G1920" s="400"/>
      <c r="H1920" s="396"/>
    </row>
    <row r="1921" spans="1:8" s="401" customFormat="1" ht="14.25" customHeight="1" x14ac:dyDescent="0.25">
      <c r="A1921" s="564">
        <v>2972</v>
      </c>
      <c r="B1921" s="562" t="s">
        <v>785</v>
      </c>
      <c r="C1921" s="403">
        <v>1</v>
      </c>
      <c r="D1921" s="400"/>
      <c r="E1921" s="400"/>
      <c r="F1921" s="400"/>
      <c r="G1921" s="400"/>
      <c r="H1921" s="396"/>
    </row>
    <row r="1922" spans="1:8" s="401" customFormat="1" ht="14.25" customHeight="1" x14ac:dyDescent="0.25">
      <c r="A1922" s="564">
        <v>2974</v>
      </c>
      <c r="B1922" s="562" t="s">
        <v>785</v>
      </c>
      <c r="C1922" s="403">
        <v>1</v>
      </c>
      <c r="D1922" s="400"/>
      <c r="E1922" s="400"/>
      <c r="F1922" s="400"/>
      <c r="G1922" s="400"/>
      <c r="H1922" s="396"/>
    </row>
    <row r="1923" spans="1:8" s="401" customFormat="1" ht="14.25" customHeight="1" x14ac:dyDescent="0.25">
      <c r="A1923" s="564">
        <v>2976</v>
      </c>
      <c r="B1923" s="562" t="s">
        <v>785</v>
      </c>
      <c r="C1923" s="403">
        <v>1</v>
      </c>
      <c r="D1923" s="400"/>
      <c r="E1923" s="400"/>
      <c r="F1923" s="400"/>
      <c r="G1923" s="400"/>
      <c r="H1923" s="396"/>
    </row>
    <row r="1924" spans="1:8" s="401" customFormat="1" ht="14.25" customHeight="1" x14ac:dyDescent="0.25">
      <c r="A1924" s="564">
        <v>2991</v>
      </c>
      <c r="B1924" s="562" t="s">
        <v>785</v>
      </c>
      <c r="C1924" s="403">
        <v>501</v>
      </c>
      <c r="D1924" s="400"/>
      <c r="E1924" s="400"/>
      <c r="F1924" s="400"/>
      <c r="G1924" s="400"/>
      <c r="H1924" s="396"/>
    </row>
    <row r="1925" spans="1:8" s="401" customFormat="1" ht="14.25" customHeight="1" x14ac:dyDescent="0.25">
      <c r="A1925" s="564">
        <v>4409</v>
      </c>
      <c r="B1925" s="562" t="s">
        <v>789</v>
      </c>
      <c r="C1925" s="403">
        <v>121</v>
      </c>
      <c r="D1925" s="400"/>
      <c r="E1925" s="400"/>
      <c r="F1925" s="400"/>
      <c r="G1925" s="400"/>
      <c r="H1925" s="396"/>
    </row>
    <row r="1926" spans="1:8" s="401" customFormat="1" ht="14.25" customHeight="1" x14ac:dyDescent="0.25">
      <c r="A1926" s="564">
        <v>4410</v>
      </c>
      <c r="B1926" s="562" t="s">
        <v>789</v>
      </c>
      <c r="C1926" s="403">
        <v>121</v>
      </c>
      <c r="D1926" s="400"/>
      <c r="E1926" s="400"/>
      <c r="F1926" s="400"/>
      <c r="G1926" s="400"/>
      <c r="H1926" s="396"/>
    </row>
    <row r="1927" spans="1:8" s="401" customFormat="1" ht="14.25" customHeight="1" x14ac:dyDescent="0.25">
      <c r="A1927" s="564">
        <v>4411</v>
      </c>
      <c r="B1927" s="562" t="s">
        <v>789</v>
      </c>
      <c r="C1927" s="403">
        <v>121</v>
      </c>
      <c r="D1927" s="400"/>
      <c r="E1927" s="400"/>
      <c r="F1927" s="400"/>
      <c r="G1927" s="400"/>
      <c r="H1927" s="396"/>
    </row>
    <row r="1928" spans="1:8" s="401" customFormat="1" ht="14.25" customHeight="1" x14ac:dyDescent="0.25">
      <c r="A1928" s="564">
        <v>4412</v>
      </c>
      <c r="B1928" s="562" t="s">
        <v>789</v>
      </c>
      <c r="C1928" s="403">
        <v>121</v>
      </c>
      <c r="D1928" s="400"/>
      <c r="E1928" s="400"/>
      <c r="F1928" s="400"/>
      <c r="G1928" s="400"/>
      <c r="H1928" s="396"/>
    </row>
    <row r="1929" spans="1:8" s="401" customFormat="1" ht="14.25" customHeight="1" x14ac:dyDescent="0.25">
      <c r="A1929" s="564">
        <v>2858</v>
      </c>
      <c r="B1929" s="562" t="s">
        <v>826</v>
      </c>
      <c r="C1929" s="403">
        <v>1140.95</v>
      </c>
      <c r="D1929" s="400"/>
      <c r="E1929" s="400"/>
      <c r="F1929" s="400"/>
      <c r="G1929" s="400"/>
      <c r="H1929" s="396"/>
    </row>
    <row r="1930" spans="1:8" s="401" customFormat="1" ht="14.25" customHeight="1" x14ac:dyDescent="0.25">
      <c r="A1930" s="564">
        <v>2867</v>
      </c>
      <c r="B1930" s="562" t="s">
        <v>791</v>
      </c>
      <c r="C1930" s="403">
        <v>1</v>
      </c>
      <c r="D1930" s="400"/>
      <c r="E1930" s="400"/>
      <c r="F1930" s="400"/>
      <c r="G1930" s="400"/>
      <c r="H1930" s="396"/>
    </row>
    <row r="1931" spans="1:8" s="401" customFormat="1" ht="14.25" customHeight="1" x14ac:dyDescent="0.25">
      <c r="A1931" s="564">
        <v>2870</v>
      </c>
      <c r="B1931" s="562" t="s">
        <v>787</v>
      </c>
      <c r="C1931" s="403">
        <v>1</v>
      </c>
      <c r="D1931" s="400"/>
      <c r="E1931" s="400"/>
      <c r="F1931" s="400"/>
      <c r="G1931" s="400"/>
      <c r="H1931" s="396"/>
    </row>
    <row r="1932" spans="1:8" s="401" customFormat="1" ht="14.25" customHeight="1" x14ac:dyDescent="0.25">
      <c r="A1932" s="564">
        <v>2871</v>
      </c>
      <c r="B1932" s="562" t="s">
        <v>787</v>
      </c>
      <c r="C1932" s="403">
        <v>1</v>
      </c>
      <c r="D1932" s="400"/>
      <c r="E1932" s="400"/>
      <c r="F1932" s="400"/>
      <c r="G1932" s="400"/>
      <c r="H1932" s="396"/>
    </row>
    <row r="1933" spans="1:8" s="401" customFormat="1" ht="14.25" customHeight="1" x14ac:dyDescent="0.25">
      <c r="A1933" s="564">
        <v>2873</v>
      </c>
      <c r="B1933" s="562" t="s">
        <v>790</v>
      </c>
      <c r="C1933" s="403">
        <v>1</v>
      </c>
      <c r="D1933" s="400"/>
      <c r="E1933" s="400"/>
      <c r="F1933" s="400"/>
      <c r="G1933" s="400"/>
      <c r="H1933" s="396"/>
    </row>
    <row r="1934" spans="1:8" s="401" customFormat="1" ht="14.25" customHeight="1" x14ac:dyDescent="0.25">
      <c r="A1934" s="564">
        <v>2875</v>
      </c>
      <c r="B1934" s="562" t="s">
        <v>790</v>
      </c>
      <c r="C1934" s="403">
        <v>1</v>
      </c>
      <c r="D1934" s="400"/>
      <c r="E1934" s="400"/>
      <c r="F1934" s="400"/>
      <c r="G1934" s="400"/>
      <c r="H1934" s="396"/>
    </row>
    <row r="1935" spans="1:8" s="401" customFormat="1" ht="14.25" customHeight="1" x14ac:dyDescent="0.25">
      <c r="A1935" s="564">
        <v>2878</v>
      </c>
      <c r="B1935" s="562" t="s">
        <v>790</v>
      </c>
      <c r="C1935" s="403">
        <v>1</v>
      </c>
      <c r="D1935" s="400"/>
      <c r="E1935" s="400"/>
      <c r="F1935" s="400"/>
      <c r="G1935" s="400"/>
      <c r="H1935" s="396"/>
    </row>
    <row r="1936" spans="1:8" s="401" customFormat="1" ht="14.25" customHeight="1" x14ac:dyDescent="0.25">
      <c r="A1936" s="564">
        <v>2882</v>
      </c>
      <c r="B1936" s="562" t="s">
        <v>790</v>
      </c>
      <c r="C1936" s="403">
        <v>1</v>
      </c>
      <c r="D1936" s="400"/>
      <c r="E1936" s="400"/>
      <c r="F1936" s="400"/>
      <c r="G1936" s="400"/>
      <c r="H1936" s="396"/>
    </row>
    <row r="1937" spans="1:8" s="401" customFormat="1" ht="14.25" customHeight="1" x14ac:dyDescent="0.25">
      <c r="A1937" s="564">
        <v>2884</v>
      </c>
      <c r="B1937" s="562" t="s">
        <v>785</v>
      </c>
      <c r="C1937" s="403">
        <v>337</v>
      </c>
      <c r="D1937" s="400"/>
      <c r="E1937" s="400"/>
      <c r="F1937" s="400"/>
      <c r="G1937" s="400"/>
      <c r="H1937" s="396"/>
    </row>
    <row r="1938" spans="1:8" s="401" customFormat="1" ht="14.25" customHeight="1" x14ac:dyDescent="0.25">
      <c r="A1938" s="564">
        <v>2904</v>
      </c>
      <c r="B1938" s="562" t="s">
        <v>785</v>
      </c>
      <c r="C1938" s="403">
        <v>1</v>
      </c>
      <c r="D1938" s="400"/>
      <c r="E1938" s="400"/>
      <c r="F1938" s="400"/>
      <c r="G1938" s="400"/>
      <c r="H1938" s="396"/>
    </row>
    <row r="1939" spans="1:8" s="401" customFormat="1" ht="14.25" customHeight="1" x14ac:dyDescent="0.25">
      <c r="A1939" s="564">
        <v>2907</v>
      </c>
      <c r="B1939" s="562" t="s">
        <v>785</v>
      </c>
      <c r="C1939" s="403">
        <v>1</v>
      </c>
      <c r="D1939" s="400"/>
      <c r="E1939" s="400"/>
      <c r="F1939" s="400"/>
      <c r="G1939" s="400"/>
      <c r="H1939" s="396"/>
    </row>
    <row r="1940" spans="1:8" s="401" customFormat="1" ht="14.25" customHeight="1" x14ac:dyDescent="0.25">
      <c r="A1940" s="564">
        <v>2912</v>
      </c>
      <c r="B1940" s="562" t="s">
        <v>787</v>
      </c>
      <c r="C1940" s="403">
        <v>1</v>
      </c>
      <c r="D1940" s="400"/>
      <c r="E1940" s="400"/>
      <c r="F1940" s="400"/>
      <c r="G1940" s="400"/>
      <c r="H1940" s="396"/>
    </row>
    <row r="1941" spans="1:8" s="401" customFormat="1" ht="14.25" customHeight="1" x14ac:dyDescent="0.25">
      <c r="A1941" s="564">
        <v>2917</v>
      </c>
      <c r="B1941" s="562" t="s">
        <v>826</v>
      </c>
      <c r="C1941" s="403">
        <v>1141</v>
      </c>
      <c r="D1941" s="400"/>
      <c r="E1941" s="400"/>
      <c r="F1941" s="400"/>
      <c r="G1941" s="400"/>
      <c r="H1941" s="396"/>
    </row>
    <row r="1942" spans="1:8" s="401" customFormat="1" ht="14.25" customHeight="1" x14ac:dyDescent="0.25">
      <c r="A1942" s="564">
        <v>2920</v>
      </c>
      <c r="B1942" s="562" t="s">
        <v>826</v>
      </c>
      <c r="C1942" s="403">
        <v>1141</v>
      </c>
      <c r="D1942" s="400"/>
      <c r="E1942" s="400"/>
      <c r="F1942" s="400"/>
      <c r="G1942" s="400"/>
      <c r="H1942" s="396"/>
    </row>
    <row r="1943" spans="1:8" s="401" customFormat="1" ht="14.25" customHeight="1" x14ac:dyDescent="0.25">
      <c r="A1943" s="564">
        <v>2924</v>
      </c>
      <c r="B1943" s="562" t="s">
        <v>787</v>
      </c>
      <c r="C1943" s="403">
        <v>1</v>
      </c>
      <c r="D1943" s="400"/>
      <c r="E1943" s="400"/>
      <c r="F1943" s="400"/>
      <c r="G1943" s="400"/>
      <c r="H1943" s="396"/>
    </row>
    <row r="1944" spans="1:8" s="401" customFormat="1" ht="14.25" customHeight="1" x14ac:dyDescent="0.25">
      <c r="A1944" s="564">
        <v>2927</v>
      </c>
      <c r="B1944" s="562" t="s">
        <v>785</v>
      </c>
      <c r="C1944" s="403">
        <v>1</v>
      </c>
      <c r="D1944" s="400"/>
      <c r="E1944" s="400"/>
      <c r="F1944" s="400"/>
      <c r="G1944" s="400"/>
      <c r="H1944" s="396"/>
    </row>
    <row r="1945" spans="1:8" s="401" customFormat="1" ht="14.25" customHeight="1" x14ac:dyDescent="0.25">
      <c r="A1945" s="564">
        <v>2930</v>
      </c>
      <c r="B1945" s="562" t="s">
        <v>785</v>
      </c>
      <c r="C1945" s="403">
        <v>1</v>
      </c>
      <c r="D1945" s="400"/>
      <c r="E1945" s="400"/>
      <c r="F1945" s="400"/>
      <c r="G1945" s="400"/>
      <c r="H1945" s="396"/>
    </row>
    <row r="1946" spans="1:8" s="401" customFormat="1" ht="14.25" customHeight="1" x14ac:dyDescent="0.25">
      <c r="A1946" s="564">
        <v>4209</v>
      </c>
      <c r="B1946" s="562" t="s">
        <v>792</v>
      </c>
      <c r="C1946" s="403">
        <v>450</v>
      </c>
      <c r="D1946" s="400"/>
      <c r="E1946" s="400"/>
      <c r="F1946" s="400"/>
      <c r="G1946" s="400"/>
      <c r="H1946" s="396"/>
    </row>
    <row r="1947" spans="1:8" s="401" customFormat="1" ht="14.25" customHeight="1" x14ac:dyDescent="0.25">
      <c r="A1947" s="564">
        <v>4212</v>
      </c>
      <c r="B1947" s="562" t="s">
        <v>789</v>
      </c>
      <c r="C1947" s="403">
        <v>796</v>
      </c>
      <c r="D1947" s="400"/>
      <c r="E1947" s="400"/>
      <c r="F1947" s="400"/>
      <c r="G1947" s="400"/>
      <c r="H1947" s="396"/>
    </row>
    <row r="1948" spans="1:8" s="401" customFormat="1" ht="14.25" customHeight="1" x14ac:dyDescent="0.25">
      <c r="A1948" s="564">
        <v>3206</v>
      </c>
      <c r="B1948" s="562" t="s">
        <v>790</v>
      </c>
      <c r="C1948" s="403">
        <v>893</v>
      </c>
      <c r="D1948" s="400"/>
      <c r="E1948" s="400"/>
      <c r="F1948" s="400"/>
      <c r="G1948" s="400"/>
      <c r="H1948" s="396"/>
    </row>
    <row r="1949" spans="1:8" s="401" customFormat="1" ht="14.25" customHeight="1" x14ac:dyDescent="0.25">
      <c r="A1949" s="564">
        <v>3213</v>
      </c>
      <c r="B1949" s="562" t="s">
        <v>791</v>
      </c>
      <c r="C1949" s="403">
        <v>1438</v>
      </c>
      <c r="D1949" s="400"/>
      <c r="E1949" s="400"/>
      <c r="F1949" s="400"/>
      <c r="G1949" s="400"/>
      <c r="H1949" s="396"/>
    </row>
    <row r="1950" spans="1:8" s="401" customFormat="1" ht="14.25" customHeight="1" x14ac:dyDescent="0.25">
      <c r="A1950" s="564">
        <v>3221</v>
      </c>
      <c r="B1950" s="562" t="s">
        <v>791</v>
      </c>
      <c r="C1950" s="403">
        <v>2297</v>
      </c>
      <c r="D1950" s="400"/>
      <c r="E1950" s="400"/>
      <c r="F1950" s="400"/>
      <c r="G1950" s="400"/>
      <c r="H1950" s="396"/>
    </row>
    <row r="1951" spans="1:8" s="401" customFormat="1" ht="14.25" customHeight="1" x14ac:dyDescent="0.25">
      <c r="A1951" s="564">
        <v>3226</v>
      </c>
      <c r="B1951" s="562" t="s">
        <v>791</v>
      </c>
      <c r="C1951" s="403">
        <v>2297</v>
      </c>
      <c r="D1951" s="400"/>
      <c r="E1951" s="400"/>
      <c r="F1951" s="400"/>
      <c r="G1951" s="400"/>
      <c r="H1951" s="396"/>
    </row>
    <row r="1952" spans="1:8" s="401" customFormat="1" ht="14.25" customHeight="1" x14ac:dyDescent="0.25">
      <c r="A1952" s="564">
        <v>3233</v>
      </c>
      <c r="B1952" s="562" t="s">
        <v>806</v>
      </c>
      <c r="C1952" s="403">
        <v>3200</v>
      </c>
      <c r="D1952" s="400"/>
      <c r="E1952" s="400"/>
      <c r="F1952" s="400"/>
      <c r="G1952" s="400"/>
      <c r="H1952" s="396"/>
    </row>
    <row r="1953" spans="1:8" s="401" customFormat="1" ht="14.25" customHeight="1" x14ac:dyDescent="0.25">
      <c r="A1953" s="564">
        <v>3243</v>
      </c>
      <c r="B1953" s="562" t="s">
        <v>787</v>
      </c>
      <c r="C1953" s="403">
        <v>5175</v>
      </c>
      <c r="D1953" s="400"/>
      <c r="E1953" s="400"/>
      <c r="F1953" s="400"/>
      <c r="G1953" s="400"/>
      <c r="H1953" s="396"/>
    </row>
    <row r="1954" spans="1:8" s="401" customFormat="1" ht="14.25" customHeight="1" x14ac:dyDescent="0.25">
      <c r="A1954" s="564">
        <v>3247</v>
      </c>
      <c r="B1954" s="562" t="s">
        <v>787</v>
      </c>
      <c r="C1954" s="403">
        <v>5175</v>
      </c>
      <c r="D1954" s="400"/>
      <c r="E1954" s="400"/>
      <c r="F1954" s="400"/>
      <c r="G1954" s="400"/>
      <c r="H1954" s="396"/>
    </row>
    <row r="1955" spans="1:8" s="401" customFormat="1" ht="14.25" customHeight="1" x14ac:dyDescent="0.25">
      <c r="A1955" s="564">
        <v>3251</v>
      </c>
      <c r="B1955" s="562" t="s">
        <v>787</v>
      </c>
      <c r="C1955" s="403">
        <v>2153</v>
      </c>
      <c r="D1955" s="400"/>
      <c r="E1955" s="400"/>
      <c r="F1955" s="400"/>
      <c r="G1955" s="400"/>
      <c r="H1955" s="396"/>
    </row>
    <row r="1956" spans="1:8" s="401" customFormat="1" ht="14.25" customHeight="1" x14ac:dyDescent="0.25">
      <c r="A1956" s="564">
        <v>3265</v>
      </c>
      <c r="B1956" s="562" t="s">
        <v>790</v>
      </c>
      <c r="C1956" s="403">
        <v>1</v>
      </c>
      <c r="D1956" s="400"/>
      <c r="E1956" s="400"/>
      <c r="F1956" s="400"/>
      <c r="G1956" s="400"/>
      <c r="H1956" s="396"/>
    </row>
    <row r="1957" spans="1:8" s="401" customFormat="1" ht="14.25" customHeight="1" x14ac:dyDescent="0.25">
      <c r="A1957" s="564">
        <v>3269</v>
      </c>
      <c r="B1957" s="562" t="s">
        <v>785</v>
      </c>
      <c r="C1957" s="403">
        <v>954</v>
      </c>
      <c r="D1957" s="400"/>
      <c r="E1957" s="400"/>
      <c r="F1957" s="400"/>
      <c r="G1957" s="400"/>
      <c r="H1957" s="396"/>
    </row>
    <row r="1958" spans="1:8" s="401" customFormat="1" ht="14.25" customHeight="1" x14ac:dyDescent="0.25">
      <c r="A1958" s="564">
        <v>3273</v>
      </c>
      <c r="B1958" s="562" t="s">
        <v>785</v>
      </c>
      <c r="C1958" s="403">
        <v>822</v>
      </c>
      <c r="D1958" s="400"/>
      <c r="E1958" s="400"/>
      <c r="F1958" s="400"/>
      <c r="G1958" s="400"/>
      <c r="H1958" s="396"/>
    </row>
    <row r="1959" spans="1:8" s="401" customFormat="1" ht="14.25" customHeight="1" x14ac:dyDescent="0.25">
      <c r="A1959" s="564">
        <v>3281</v>
      </c>
      <c r="B1959" s="562" t="s">
        <v>785</v>
      </c>
      <c r="C1959" s="403">
        <v>822</v>
      </c>
      <c r="D1959" s="400"/>
      <c r="E1959" s="400"/>
      <c r="F1959" s="400"/>
      <c r="G1959" s="400"/>
      <c r="H1959" s="396"/>
    </row>
    <row r="1960" spans="1:8" s="401" customFormat="1" ht="14.25" customHeight="1" x14ac:dyDescent="0.25">
      <c r="A1960" s="564">
        <v>3287</v>
      </c>
      <c r="B1960" s="562" t="s">
        <v>788</v>
      </c>
      <c r="C1960" s="403">
        <v>1</v>
      </c>
      <c r="D1960" s="400"/>
      <c r="E1960" s="400"/>
      <c r="F1960" s="400"/>
      <c r="G1960" s="400"/>
      <c r="H1960" s="396"/>
    </row>
    <row r="1961" spans="1:8" s="401" customFormat="1" ht="14.25" customHeight="1" x14ac:dyDescent="0.25">
      <c r="A1961" s="564">
        <v>3292</v>
      </c>
      <c r="B1961" s="562" t="s">
        <v>790</v>
      </c>
      <c r="C1961" s="403">
        <v>3462</v>
      </c>
      <c r="D1961" s="400"/>
      <c r="E1961" s="400"/>
      <c r="F1961" s="400"/>
      <c r="G1961" s="400"/>
      <c r="H1961" s="396"/>
    </row>
    <row r="1962" spans="1:8" s="401" customFormat="1" ht="14.25" customHeight="1" x14ac:dyDescent="0.25">
      <c r="A1962" s="564">
        <v>3294</v>
      </c>
      <c r="B1962" s="562" t="s">
        <v>785</v>
      </c>
      <c r="C1962" s="403">
        <v>337</v>
      </c>
      <c r="D1962" s="400"/>
      <c r="E1962" s="400"/>
      <c r="F1962" s="400"/>
      <c r="G1962" s="400"/>
      <c r="H1962" s="396"/>
    </row>
    <row r="1963" spans="1:8" s="401" customFormat="1" ht="14.25" customHeight="1" x14ac:dyDescent="0.25">
      <c r="A1963" s="564">
        <v>3297</v>
      </c>
      <c r="B1963" s="562" t="s">
        <v>785</v>
      </c>
      <c r="C1963" s="403">
        <v>337</v>
      </c>
      <c r="D1963" s="400"/>
      <c r="E1963" s="400"/>
      <c r="F1963" s="400"/>
      <c r="G1963" s="400"/>
      <c r="H1963" s="396"/>
    </row>
    <row r="1964" spans="1:8" s="401" customFormat="1" ht="14.25" customHeight="1" x14ac:dyDescent="0.25">
      <c r="A1964" s="564">
        <v>3303</v>
      </c>
      <c r="B1964" s="562" t="s">
        <v>785</v>
      </c>
      <c r="C1964" s="403">
        <v>337</v>
      </c>
      <c r="D1964" s="400"/>
      <c r="E1964" s="400"/>
      <c r="F1964" s="400"/>
      <c r="G1964" s="400"/>
      <c r="H1964" s="396"/>
    </row>
    <row r="1965" spans="1:8" s="401" customFormat="1" ht="14.25" customHeight="1" x14ac:dyDescent="0.25">
      <c r="A1965" s="564">
        <v>3306</v>
      </c>
      <c r="B1965" s="562" t="s">
        <v>785</v>
      </c>
      <c r="C1965" s="403">
        <v>337</v>
      </c>
      <c r="D1965" s="400"/>
      <c r="E1965" s="400"/>
      <c r="F1965" s="400"/>
      <c r="G1965" s="400"/>
      <c r="H1965" s="396"/>
    </row>
    <row r="1966" spans="1:8" s="401" customFormat="1" ht="14.25" customHeight="1" x14ac:dyDescent="0.25">
      <c r="A1966" s="564">
        <v>3319</v>
      </c>
      <c r="B1966" s="562" t="s">
        <v>798</v>
      </c>
      <c r="C1966" s="403">
        <v>3392</v>
      </c>
      <c r="D1966" s="400"/>
      <c r="E1966" s="400"/>
      <c r="F1966" s="400"/>
      <c r="G1966" s="400"/>
      <c r="H1966" s="396"/>
    </row>
    <row r="1967" spans="1:8" s="401" customFormat="1" ht="14.25" customHeight="1" x14ac:dyDescent="0.25">
      <c r="A1967" s="564">
        <v>3335</v>
      </c>
      <c r="B1967" s="562" t="s">
        <v>798</v>
      </c>
      <c r="C1967" s="403">
        <v>2658.14</v>
      </c>
      <c r="D1967" s="400"/>
      <c r="E1967" s="400"/>
      <c r="F1967" s="400"/>
      <c r="G1967" s="400"/>
      <c r="H1967" s="396"/>
    </row>
    <row r="1968" spans="1:8" s="401" customFormat="1" ht="14.25" customHeight="1" x14ac:dyDescent="0.25">
      <c r="A1968" s="564">
        <v>3339</v>
      </c>
      <c r="B1968" s="562" t="s">
        <v>787</v>
      </c>
      <c r="C1968" s="403">
        <v>1075</v>
      </c>
      <c r="D1968" s="400"/>
      <c r="E1968" s="400"/>
      <c r="F1968" s="400"/>
      <c r="G1968" s="400"/>
      <c r="H1968" s="396"/>
    </row>
    <row r="1969" spans="1:8" s="401" customFormat="1" ht="14.25" customHeight="1" x14ac:dyDescent="0.25">
      <c r="A1969" s="564">
        <v>3343</v>
      </c>
      <c r="B1969" s="562" t="s">
        <v>787</v>
      </c>
      <c r="C1969" s="403">
        <v>4232</v>
      </c>
      <c r="D1969" s="400"/>
      <c r="E1969" s="400"/>
      <c r="F1969" s="400"/>
      <c r="G1969" s="400"/>
      <c r="H1969" s="396"/>
    </row>
    <row r="1970" spans="1:8" s="401" customFormat="1" ht="14.25" customHeight="1" x14ac:dyDescent="0.25">
      <c r="A1970" s="564">
        <v>3347</v>
      </c>
      <c r="B1970" s="562" t="s">
        <v>787</v>
      </c>
      <c r="C1970" s="403">
        <v>1</v>
      </c>
      <c r="D1970" s="400"/>
      <c r="E1970" s="400"/>
      <c r="F1970" s="400"/>
      <c r="G1970" s="400"/>
      <c r="H1970" s="396"/>
    </row>
    <row r="1971" spans="1:8" s="401" customFormat="1" ht="14.25" customHeight="1" x14ac:dyDescent="0.25">
      <c r="A1971" s="564">
        <v>3351</v>
      </c>
      <c r="B1971" s="562" t="s">
        <v>787</v>
      </c>
      <c r="C1971" s="403">
        <v>1</v>
      </c>
      <c r="D1971" s="400"/>
      <c r="E1971" s="400"/>
      <c r="F1971" s="400"/>
      <c r="G1971" s="400"/>
      <c r="H1971" s="396"/>
    </row>
    <row r="1972" spans="1:8" s="401" customFormat="1" ht="14.25" customHeight="1" x14ac:dyDescent="0.25">
      <c r="A1972" s="564">
        <v>3358</v>
      </c>
      <c r="B1972" s="562" t="s">
        <v>787</v>
      </c>
      <c r="C1972" s="403">
        <v>1</v>
      </c>
      <c r="D1972" s="400"/>
      <c r="E1972" s="400"/>
      <c r="F1972" s="400"/>
      <c r="G1972" s="400"/>
      <c r="H1972" s="396"/>
    </row>
    <row r="1973" spans="1:8" s="401" customFormat="1" ht="14.25" customHeight="1" x14ac:dyDescent="0.25">
      <c r="A1973" s="564">
        <v>3368</v>
      </c>
      <c r="B1973" s="562" t="s">
        <v>790</v>
      </c>
      <c r="C1973" s="403">
        <v>1</v>
      </c>
      <c r="D1973" s="400"/>
      <c r="E1973" s="400"/>
      <c r="F1973" s="400"/>
      <c r="G1973" s="400"/>
      <c r="H1973" s="396"/>
    </row>
    <row r="1974" spans="1:8" s="401" customFormat="1" ht="14.25" customHeight="1" x14ac:dyDescent="0.25">
      <c r="A1974" s="564">
        <v>3372</v>
      </c>
      <c r="B1974" s="562" t="s">
        <v>790</v>
      </c>
      <c r="C1974" s="403">
        <v>1</v>
      </c>
      <c r="D1974" s="400"/>
      <c r="E1974" s="400"/>
      <c r="F1974" s="400"/>
      <c r="G1974" s="400"/>
      <c r="H1974" s="396"/>
    </row>
    <row r="1975" spans="1:8" s="401" customFormat="1" ht="14.25" customHeight="1" x14ac:dyDescent="0.25">
      <c r="A1975" s="564">
        <v>3375</v>
      </c>
      <c r="B1975" s="562" t="s">
        <v>785</v>
      </c>
      <c r="C1975" s="403">
        <v>1</v>
      </c>
      <c r="D1975" s="400"/>
      <c r="E1975" s="400"/>
      <c r="F1975" s="400"/>
      <c r="G1975" s="400"/>
      <c r="H1975" s="396"/>
    </row>
    <row r="1976" spans="1:8" s="401" customFormat="1" ht="14.25" customHeight="1" x14ac:dyDescent="0.25">
      <c r="A1976" s="564">
        <v>3377</v>
      </c>
      <c r="B1976" s="562" t="s">
        <v>785</v>
      </c>
      <c r="C1976" s="403">
        <v>829</v>
      </c>
      <c r="D1976" s="400"/>
      <c r="E1976" s="400"/>
      <c r="F1976" s="400"/>
      <c r="G1976" s="400"/>
      <c r="H1976" s="396"/>
    </row>
    <row r="1977" spans="1:8" s="401" customFormat="1" ht="14.25" customHeight="1" x14ac:dyDescent="0.25">
      <c r="A1977" s="564">
        <v>3381</v>
      </c>
      <c r="B1977" s="562" t="s">
        <v>785</v>
      </c>
      <c r="C1977" s="403">
        <v>478</v>
      </c>
      <c r="D1977" s="400"/>
      <c r="E1977" s="400"/>
      <c r="F1977" s="400"/>
      <c r="G1977" s="400"/>
      <c r="H1977" s="396"/>
    </row>
    <row r="1978" spans="1:8" s="401" customFormat="1" ht="14.25" customHeight="1" x14ac:dyDescent="0.25">
      <c r="A1978" s="564">
        <v>3382</v>
      </c>
      <c r="B1978" s="562" t="s">
        <v>785</v>
      </c>
      <c r="C1978" s="403">
        <v>478</v>
      </c>
      <c r="D1978" s="400"/>
      <c r="E1978" s="400"/>
      <c r="F1978" s="400"/>
      <c r="G1978" s="400"/>
      <c r="H1978" s="396"/>
    </row>
    <row r="1979" spans="1:8" s="401" customFormat="1" ht="14.25" customHeight="1" x14ac:dyDescent="0.25">
      <c r="A1979" s="564">
        <v>3384</v>
      </c>
      <c r="B1979" s="562" t="s">
        <v>785</v>
      </c>
      <c r="C1979" s="403">
        <v>478</v>
      </c>
      <c r="D1979" s="400"/>
      <c r="E1979" s="400"/>
      <c r="F1979" s="400"/>
      <c r="G1979" s="400"/>
      <c r="H1979" s="396"/>
    </row>
    <row r="1980" spans="1:8" s="401" customFormat="1" ht="14.25" customHeight="1" x14ac:dyDescent="0.25">
      <c r="A1980" s="564">
        <v>3387</v>
      </c>
      <c r="B1980" s="562" t="s">
        <v>785</v>
      </c>
      <c r="C1980" s="403">
        <v>478</v>
      </c>
      <c r="D1980" s="400"/>
      <c r="E1980" s="400"/>
      <c r="F1980" s="400"/>
      <c r="G1980" s="400"/>
      <c r="H1980" s="396"/>
    </row>
    <row r="1981" spans="1:8" s="401" customFormat="1" ht="14.25" customHeight="1" x14ac:dyDescent="0.25">
      <c r="A1981" s="564">
        <v>3388</v>
      </c>
      <c r="B1981" s="562" t="s">
        <v>785</v>
      </c>
      <c r="C1981" s="403">
        <v>478</v>
      </c>
      <c r="D1981" s="400"/>
      <c r="E1981" s="400"/>
      <c r="F1981" s="400"/>
      <c r="G1981" s="400"/>
      <c r="H1981" s="396"/>
    </row>
    <row r="1982" spans="1:8" s="401" customFormat="1" ht="14.25" customHeight="1" x14ac:dyDescent="0.25">
      <c r="A1982" s="564">
        <v>3390</v>
      </c>
      <c r="B1982" s="562" t="s">
        <v>785</v>
      </c>
      <c r="C1982" s="403">
        <v>478</v>
      </c>
      <c r="D1982" s="400"/>
      <c r="E1982" s="400"/>
      <c r="F1982" s="400"/>
      <c r="G1982" s="400"/>
      <c r="H1982" s="396"/>
    </row>
    <row r="1983" spans="1:8" s="401" customFormat="1" ht="14.25" customHeight="1" x14ac:dyDescent="0.25">
      <c r="A1983" s="564">
        <v>3393</v>
      </c>
      <c r="B1983" s="562" t="s">
        <v>785</v>
      </c>
      <c r="C1983" s="403">
        <v>1</v>
      </c>
      <c r="D1983" s="400"/>
      <c r="E1983" s="400"/>
      <c r="F1983" s="400"/>
      <c r="G1983" s="400"/>
      <c r="H1983" s="396"/>
    </row>
    <row r="1984" spans="1:8" s="401" customFormat="1" ht="14.25" customHeight="1" x14ac:dyDescent="0.25">
      <c r="A1984" s="564">
        <v>3395</v>
      </c>
      <c r="B1984" s="562" t="s">
        <v>785</v>
      </c>
      <c r="C1984" s="403">
        <v>1</v>
      </c>
      <c r="D1984" s="400"/>
      <c r="E1984" s="400"/>
      <c r="F1984" s="400"/>
      <c r="G1984" s="400"/>
      <c r="H1984" s="396"/>
    </row>
    <row r="1985" spans="1:8" s="401" customFormat="1" ht="14.25" customHeight="1" x14ac:dyDescent="0.25">
      <c r="A1985" s="564">
        <v>3397</v>
      </c>
      <c r="B1985" s="562" t="s">
        <v>785</v>
      </c>
      <c r="C1985" s="403">
        <v>1</v>
      </c>
      <c r="D1985" s="400"/>
      <c r="E1985" s="400"/>
      <c r="F1985" s="400"/>
      <c r="G1985" s="400"/>
      <c r="H1985" s="396"/>
    </row>
    <row r="1986" spans="1:8" s="401" customFormat="1" ht="14.25" customHeight="1" x14ac:dyDescent="0.25">
      <c r="A1986" s="564">
        <v>3399</v>
      </c>
      <c r="B1986" s="562" t="s">
        <v>785</v>
      </c>
      <c r="C1986" s="403">
        <v>1</v>
      </c>
      <c r="D1986" s="400"/>
      <c r="E1986" s="400"/>
      <c r="F1986" s="400"/>
      <c r="G1986" s="400"/>
      <c r="H1986" s="396"/>
    </row>
    <row r="1987" spans="1:8" s="401" customFormat="1" ht="14.25" customHeight="1" x14ac:dyDescent="0.25">
      <c r="A1987" s="564">
        <v>3402</v>
      </c>
      <c r="B1987" s="562" t="s">
        <v>826</v>
      </c>
      <c r="C1987" s="403">
        <v>667</v>
      </c>
      <c r="D1987" s="400"/>
      <c r="E1987" s="400"/>
      <c r="F1987" s="400"/>
      <c r="G1987" s="400"/>
      <c r="H1987" s="396"/>
    </row>
    <row r="1988" spans="1:8" s="401" customFormat="1" ht="14.25" customHeight="1" x14ac:dyDescent="0.25">
      <c r="A1988" s="564">
        <v>3404</v>
      </c>
      <c r="B1988" s="562" t="s">
        <v>785</v>
      </c>
      <c r="C1988" s="403">
        <v>1</v>
      </c>
      <c r="D1988" s="400"/>
      <c r="E1988" s="400"/>
      <c r="F1988" s="400"/>
      <c r="G1988" s="400"/>
      <c r="H1988" s="396"/>
    </row>
    <row r="1989" spans="1:8" s="401" customFormat="1" ht="14.25" customHeight="1" x14ac:dyDescent="0.25">
      <c r="A1989" s="564">
        <v>3407</v>
      </c>
      <c r="B1989" s="562" t="s">
        <v>789</v>
      </c>
      <c r="C1989" s="403">
        <v>277</v>
      </c>
      <c r="D1989" s="400"/>
      <c r="E1989" s="400"/>
      <c r="F1989" s="400"/>
      <c r="G1989" s="400"/>
      <c r="H1989" s="396"/>
    </row>
    <row r="1990" spans="1:8" s="401" customFormat="1" ht="14.25" customHeight="1" x14ac:dyDescent="0.25">
      <c r="A1990" s="564">
        <v>3423</v>
      </c>
      <c r="B1990" s="562" t="s">
        <v>819</v>
      </c>
      <c r="C1990" s="403">
        <v>3849.99</v>
      </c>
      <c r="D1990" s="400"/>
      <c r="E1990" s="400"/>
      <c r="F1990" s="400"/>
      <c r="G1990" s="400"/>
      <c r="H1990" s="396"/>
    </row>
    <row r="1991" spans="1:8" s="401" customFormat="1" ht="14.25" customHeight="1" x14ac:dyDescent="0.25">
      <c r="A1991" s="564">
        <v>3429</v>
      </c>
      <c r="B1991" s="562" t="s">
        <v>788</v>
      </c>
      <c r="C1991" s="403">
        <v>1</v>
      </c>
      <c r="D1991" s="400"/>
      <c r="E1991" s="400"/>
      <c r="F1991" s="400"/>
      <c r="G1991" s="400"/>
      <c r="H1991" s="396"/>
    </row>
    <row r="1992" spans="1:8" s="401" customFormat="1" ht="14.25" customHeight="1" x14ac:dyDescent="0.25">
      <c r="A1992" s="564">
        <v>3432</v>
      </c>
      <c r="B1992" s="562" t="s">
        <v>819</v>
      </c>
      <c r="C1992" s="403">
        <v>3849.99</v>
      </c>
      <c r="D1992" s="400"/>
      <c r="E1992" s="400"/>
      <c r="F1992" s="400"/>
      <c r="G1992" s="400"/>
      <c r="H1992" s="396"/>
    </row>
    <row r="1993" spans="1:8" s="401" customFormat="1" ht="14.25" customHeight="1" x14ac:dyDescent="0.25">
      <c r="A1993" s="564">
        <v>3443</v>
      </c>
      <c r="B1993" s="562" t="s">
        <v>791</v>
      </c>
      <c r="C1993" s="403">
        <v>1</v>
      </c>
      <c r="D1993" s="400"/>
      <c r="E1993" s="400"/>
      <c r="F1993" s="400"/>
      <c r="G1993" s="400"/>
      <c r="H1993" s="396"/>
    </row>
    <row r="1994" spans="1:8" s="401" customFormat="1" ht="14.25" customHeight="1" x14ac:dyDescent="0.25">
      <c r="A1994" s="564">
        <v>3445</v>
      </c>
      <c r="B1994" s="562" t="s">
        <v>787</v>
      </c>
      <c r="C1994" s="403">
        <v>1</v>
      </c>
      <c r="D1994" s="400"/>
      <c r="E1994" s="400"/>
      <c r="F1994" s="400"/>
      <c r="G1994" s="400"/>
      <c r="H1994" s="396"/>
    </row>
    <row r="1995" spans="1:8" s="401" customFormat="1" ht="14.25" customHeight="1" x14ac:dyDescent="0.25">
      <c r="A1995" s="564">
        <v>3448</v>
      </c>
      <c r="B1995" s="562" t="s">
        <v>788</v>
      </c>
      <c r="C1995" s="403">
        <v>1</v>
      </c>
      <c r="D1995" s="400"/>
      <c r="E1995" s="400"/>
      <c r="F1995" s="400"/>
      <c r="G1995" s="400"/>
      <c r="H1995" s="396"/>
    </row>
    <row r="1996" spans="1:8" s="401" customFormat="1" ht="14.25" customHeight="1" x14ac:dyDescent="0.25">
      <c r="A1996" s="564">
        <v>3450</v>
      </c>
      <c r="B1996" s="562" t="s">
        <v>797</v>
      </c>
      <c r="C1996" s="403">
        <v>1</v>
      </c>
      <c r="D1996" s="400"/>
      <c r="E1996" s="400"/>
      <c r="F1996" s="400"/>
      <c r="G1996" s="400"/>
      <c r="H1996" s="396"/>
    </row>
    <row r="1997" spans="1:8" s="401" customFormat="1" ht="14.25" customHeight="1" x14ac:dyDescent="0.25">
      <c r="A1997" s="564">
        <v>3452</v>
      </c>
      <c r="B1997" s="562" t="s">
        <v>797</v>
      </c>
      <c r="C1997" s="403">
        <v>1</v>
      </c>
      <c r="D1997" s="400"/>
      <c r="E1997" s="400"/>
      <c r="F1997" s="400"/>
      <c r="G1997" s="400"/>
      <c r="H1997" s="396"/>
    </row>
    <row r="1998" spans="1:8" s="401" customFormat="1" ht="14.25" customHeight="1" x14ac:dyDescent="0.25">
      <c r="A1998" s="564">
        <v>3008</v>
      </c>
      <c r="B1998" s="562" t="s">
        <v>791</v>
      </c>
      <c r="C1998" s="403">
        <v>1</v>
      </c>
      <c r="D1998" s="400"/>
      <c r="E1998" s="400"/>
      <c r="F1998" s="400"/>
      <c r="G1998" s="400"/>
      <c r="H1998" s="396"/>
    </row>
    <row r="1999" spans="1:8" s="401" customFormat="1" ht="14.25" customHeight="1" x14ac:dyDescent="0.25">
      <c r="A1999" s="564">
        <v>3018</v>
      </c>
      <c r="B1999" s="562" t="s">
        <v>791</v>
      </c>
      <c r="C1999" s="403">
        <v>3436</v>
      </c>
      <c r="D1999" s="400"/>
      <c r="E1999" s="400"/>
      <c r="F1999" s="400"/>
      <c r="G1999" s="400"/>
      <c r="H1999" s="396"/>
    </row>
    <row r="2000" spans="1:8" s="401" customFormat="1" ht="14.25" customHeight="1" x14ac:dyDescent="0.25">
      <c r="A2000" s="564">
        <v>3022</v>
      </c>
      <c r="B2000" s="562" t="s">
        <v>791</v>
      </c>
      <c r="C2000" s="403">
        <v>3436</v>
      </c>
      <c r="D2000" s="400"/>
      <c r="E2000" s="400"/>
      <c r="F2000" s="400"/>
      <c r="G2000" s="400"/>
      <c r="H2000" s="396"/>
    </row>
    <row r="2001" spans="1:8" s="401" customFormat="1" ht="14.25" customHeight="1" x14ac:dyDescent="0.25">
      <c r="A2001" s="564">
        <v>3026</v>
      </c>
      <c r="B2001" s="562" t="s">
        <v>787</v>
      </c>
      <c r="C2001" s="403">
        <v>1</v>
      </c>
      <c r="D2001" s="400"/>
      <c r="E2001" s="400"/>
      <c r="F2001" s="400"/>
      <c r="G2001" s="400"/>
      <c r="H2001" s="396"/>
    </row>
    <row r="2002" spans="1:8" s="401" customFormat="1" ht="14.25" customHeight="1" x14ac:dyDescent="0.25">
      <c r="A2002" s="564">
        <v>3028</v>
      </c>
      <c r="B2002" s="562" t="s">
        <v>787</v>
      </c>
      <c r="C2002" s="403">
        <v>1</v>
      </c>
      <c r="D2002" s="400"/>
      <c r="E2002" s="400"/>
      <c r="F2002" s="400"/>
      <c r="G2002" s="400"/>
      <c r="H2002" s="396"/>
    </row>
    <row r="2003" spans="1:8" s="401" customFormat="1" ht="14.25" customHeight="1" x14ac:dyDescent="0.25">
      <c r="A2003" s="564">
        <v>3032</v>
      </c>
      <c r="B2003" s="562" t="s">
        <v>788</v>
      </c>
      <c r="C2003" s="403">
        <v>1</v>
      </c>
      <c r="D2003" s="400"/>
      <c r="E2003" s="400"/>
      <c r="F2003" s="400"/>
      <c r="G2003" s="400"/>
      <c r="H2003" s="396"/>
    </row>
    <row r="2004" spans="1:8" s="401" customFormat="1" ht="14.25" customHeight="1" x14ac:dyDescent="0.25">
      <c r="A2004" s="564">
        <v>3036</v>
      </c>
      <c r="B2004" s="562" t="s">
        <v>790</v>
      </c>
      <c r="C2004" s="403">
        <v>1</v>
      </c>
      <c r="D2004" s="400"/>
      <c r="E2004" s="400"/>
      <c r="F2004" s="400"/>
      <c r="G2004" s="400"/>
      <c r="H2004" s="396"/>
    </row>
    <row r="2005" spans="1:8" s="401" customFormat="1" ht="14.25" customHeight="1" x14ac:dyDescent="0.25">
      <c r="A2005" s="564">
        <v>3041</v>
      </c>
      <c r="B2005" s="562" t="s">
        <v>785</v>
      </c>
      <c r="C2005" s="403">
        <v>1</v>
      </c>
      <c r="D2005" s="400"/>
      <c r="E2005" s="400"/>
      <c r="F2005" s="400"/>
      <c r="G2005" s="400"/>
      <c r="H2005" s="396"/>
    </row>
    <row r="2006" spans="1:8" s="401" customFormat="1" ht="14.25" customHeight="1" x14ac:dyDescent="0.25">
      <c r="A2006" s="564">
        <v>3043</v>
      </c>
      <c r="B2006" s="562" t="s">
        <v>785</v>
      </c>
      <c r="C2006" s="403">
        <v>610</v>
      </c>
      <c r="D2006" s="400"/>
      <c r="E2006" s="400"/>
      <c r="F2006" s="400"/>
      <c r="G2006" s="400"/>
      <c r="H2006" s="396"/>
    </row>
    <row r="2007" spans="1:8" s="401" customFormat="1" ht="14.25" customHeight="1" x14ac:dyDescent="0.25">
      <c r="A2007" s="564">
        <v>3047</v>
      </c>
      <c r="B2007" s="562" t="s">
        <v>785</v>
      </c>
      <c r="C2007" s="403">
        <v>1</v>
      </c>
      <c r="D2007" s="400"/>
      <c r="E2007" s="400"/>
      <c r="F2007" s="400"/>
      <c r="G2007" s="400"/>
      <c r="H2007" s="396"/>
    </row>
    <row r="2008" spans="1:8" s="401" customFormat="1" ht="14.25" customHeight="1" x14ac:dyDescent="0.25">
      <c r="A2008" s="564">
        <v>3050</v>
      </c>
      <c r="B2008" s="562" t="s">
        <v>785</v>
      </c>
      <c r="C2008" s="403">
        <v>1</v>
      </c>
      <c r="D2008" s="400"/>
      <c r="E2008" s="400"/>
      <c r="F2008" s="400"/>
      <c r="G2008" s="400"/>
      <c r="H2008" s="396"/>
    </row>
    <row r="2009" spans="1:8" s="401" customFormat="1" ht="14.25" customHeight="1" x14ac:dyDescent="0.25">
      <c r="A2009" s="564">
        <v>3054</v>
      </c>
      <c r="B2009" s="562" t="s">
        <v>785</v>
      </c>
      <c r="C2009" s="403">
        <v>1</v>
      </c>
      <c r="D2009" s="400"/>
      <c r="E2009" s="400"/>
      <c r="F2009" s="400"/>
      <c r="G2009" s="400"/>
      <c r="H2009" s="396"/>
    </row>
    <row r="2010" spans="1:8" s="401" customFormat="1" ht="14.25" customHeight="1" x14ac:dyDescent="0.25">
      <c r="A2010" s="564">
        <v>3058</v>
      </c>
      <c r="B2010" s="562" t="s">
        <v>786</v>
      </c>
      <c r="C2010" s="403">
        <v>1</v>
      </c>
      <c r="D2010" s="400"/>
      <c r="E2010" s="400"/>
      <c r="F2010" s="400"/>
      <c r="G2010" s="400"/>
      <c r="H2010" s="396"/>
    </row>
    <row r="2011" spans="1:8" s="401" customFormat="1" ht="14.25" customHeight="1" x14ac:dyDescent="0.25">
      <c r="A2011" s="564">
        <v>3062</v>
      </c>
      <c r="B2011" s="562" t="s">
        <v>785</v>
      </c>
      <c r="C2011" s="403">
        <v>276</v>
      </c>
      <c r="D2011" s="400"/>
      <c r="E2011" s="400"/>
      <c r="F2011" s="400"/>
      <c r="G2011" s="400"/>
      <c r="H2011" s="396"/>
    </row>
    <row r="2012" spans="1:8" s="401" customFormat="1" ht="14.25" customHeight="1" x14ac:dyDescent="0.25">
      <c r="A2012" s="564">
        <v>530</v>
      </c>
      <c r="B2012" s="562" t="s">
        <v>785</v>
      </c>
      <c r="C2012" s="403">
        <v>1</v>
      </c>
      <c r="D2012" s="400"/>
      <c r="E2012" s="400"/>
      <c r="F2012" s="400"/>
      <c r="G2012" s="400"/>
      <c r="H2012" s="396"/>
    </row>
    <row r="2013" spans="1:8" s="401" customFormat="1" ht="14.25" customHeight="1" x14ac:dyDescent="0.25">
      <c r="A2013" s="564">
        <v>1176</v>
      </c>
      <c r="B2013" s="562" t="s">
        <v>791</v>
      </c>
      <c r="C2013" s="403">
        <v>1</v>
      </c>
      <c r="D2013" s="400"/>
      <c r="E2013" s="400"/>
      <c r="F2013" s="400"/>
      <c r="G2013" s="400"/>
      <c r="H2013" s="396"/>
    </row>
    <row r="2014" spans="1:8" s="401" customFormat="1" ht="14.25" customHeight="1" x14ac:dyDescent="0.25">
      <c r="A2014" s="564">
        <v>1180</v>
      </c>
      <c r="B2014" s="562" t="s">
        <v>791</v>
      </c>
      <c r="C2014" s="403">
        <v>1</v>
      </c>
      <c r="D2014" s="400"/>
      <c r="E2014" s="400"/>
      <c r="F2014" s="400"/>
      <c r="G2014" s="400"/>
      <c r="H2014" s="396"/>
    </row>
    <row r="2015" spans="1:8" s="401" customFormat="1" ht="14.25" customHeight="1" x14ac:dyDescent="0.25">
      <c r="A2015" s="564">
        <v>1183</v>
      </c>
      <c r="B2015" s="562" t="s">
        <v>787</v>
      </c>
      <c r="C2015" s="403">
        <v>1</v>
      </c>
      <c r="D2015" s="400"/>
      <c r="E2015" s="400"/>
      <c r="F2015" s="400"/>
      <c r="G2015" s="400"/>
      <c r="H2015" s="396"/>
    </row>
    <row r="2016" spans="1:8" s="401" customFormat="1" ht="14.25" customHeight="1" x14ac:dyDescent="0.25">
      <c r="A2016" s="564">
        <v>1189</v>
      </c>
      <c r="B2016" s="562" t="s">
        <v>828</v>
      </c>
      <c r="C2016" s="403">
        <v>1</v>
      </c>
      <c r="D2016" s="400"/>
      <c r="E2016" s="400"/>
      <c r="F2016" s="400"/>
      <c r="G2016" s="400"/>
      <c r="H2016" s="396"/>
    </row>
    <row r="2017" spans="1:8" s="401" customFormat="1" ht="14.25" customHeight="1" x14ac:dyDescent="0.25">
      <c r="A2017" s="564">
        <v>1192</v>
      </c>
      <c r="B2017" s="562" t="s">
        <v>828</v>
      </c>
      <c r="C2017" s="403">
        <v>1</v>
      </c>
      <c r="D2017" s="400"/>
      <c r="E2017" s="400"/>
      <c r="F2017" s="400"/>
      <c r="G2017" s="400"/>
      <c r="H2017" s="396"/>
    </row>
    <row r="2018" spans="1:8" s="401" customFormat="1" ht="14.25" customHeight="1" x14ac:dyDescent="0.25">
      <c r="A2018" s="564">
        <v>1200</v>
      </c>
      <c r="B2018" s="562" t="s">
        <v>828</v>
      </c>
      <c r="C2018" s="403">
        <v>1</v>
      </c>
      <c r="D2018" s="400"/>
      <c r="E2018" s="400"/>
      <c r="F2018" s="400"/>
      <c r="G2018" s="400"/>
      <c r="H2018" s="396"/>
    </row>
    <row r="2019" spans="1:8" s="401" customFormat="1" ht="14.25" customHeight="1" x14ac:dyDescent="0.25">
      <c r="A2019" s="564">
        <v>1214</v>
      </c>
      <c r="B2019" s="562" t="s">
        <v>828</v>
      </c>
      <c r="C2019" s="403">
        <v>1</v>
      </c>
      <c r="D2019" s="400"/>
      <c r="E2019" s="400"/>
      <c r="F2019" s="400"/>
      <c r="G2019" s="400"/>
      <c r="H2019" s="396"/>
    </row>
    <row r="2020" spans="1:8" s="401" customFormat="1" ht="14.25" customHeight="1" x14ac:dyDescent="0.25">
      <c r="A2020" s="564">
        <v>1216</v>
      </c>
      <c r="B2020" s="562" t="s">
        <v>828</v>
      </c>
      <c r="C2020" s="403">
        <v>1</v>
      </c>
      <c r="D2020" s="400"/>
      <c r="E2020" s="400"/>
      <c r="F2020" s="400"/>
      <c r="G2020" s="400"/>
      <c r="H2020" s="396"/>
    </row>
    <row r="2021" spans="1:8" s="401" customFormat="1" ht="14.25" customHeight="1" x14ac:dyDescent="0.25">
      <c r="A2021" s="564">
        <v>1219</v>
      </c>
      <c r="B2021" s="562" t="s">
        <v>828</v>
      </c>
      <c r="C2021" s="403">
        <v>1</v>
      </c>
      <c r="D2021" s="400"/>
      <c r="E2021" s="400"/>
      <c r="F2021" s="400"/>
      <c r="G2021" s="400"/>
      <c r="H2021" s="396"/>
    </row>
    <row r="2022" spans="1:8" s="401" customFormat="1" ht="14.25" customHeight="1" x14ac:dyDescent="0.25">
      <c r="A2022" s="564">
        <v>1220</v>
      </c>
      <c r="B2022" s="562" t="s">
        <v>828</v>
      </c>
      <c r="C2022" s="403">
        <v>1</v>
      </c>
      <c r="D2022" s="400"/>
      <c r="E2022" s="400"/>
      <c r="F2022" s="400"/>
      <c r="G2022" s="400"/>
      <c r="H2022" s="396"/>
    </row>
    <row r="2023" spans="1:8" s="401" customFormat="1" ht="14.25" customHeight="1" x14ac:dyDescent="0.25">
      <c r="A2023" s="564">
        <v>1221</v>
      </c>
      <c r="B2023" s="562" t="s">
        <v>828</v>
      </c>
      <c r="C2023" s="403">
        <v>1</v>
      </c>
      <c r="D2023" s="400"/>
      <c r="E2023" s="400"/>
      <c r="F2023" s="400"/>
      <c r="G2023" s="400"/>
      <c r="H2023" s="396"/>
    </row>
    <row r="2024" spans="1:8" s="401" customFormat="1" ht="14.25" customHeight="1" x14ac:dyDescent="0.25">
      <c r="A2024" s="564">
        <v>1223</v>
      </c>
      <c r="B2024" s="562" t="s">
        <v>828</v>
      </c>
      <c r="C2024" s="403">
        <v>1</v>
      </c>
      <c r="D2024" s="400"/>
      <c r="E2024" s="400"/>
      <c r="F2024" s="400"/>
      <c r="G2024" s="400"/>
      <c r="H2024" s="396"/>
    </row>
    <row r="2025" spans="1:8" s="401" customFormat="1" ht="14.25" customHeight="1" x14ac:dyDescent="0.25">
      <c r="A2025" s="564">
        <v>1225</v>
      </c>
      <c r="B2025" s="562" t="s">
        <v>828</v>
      </c>
      <c r="C2025" s="403">
        <v>1</v>
      </c>
      <c r="D2025" s="400"/>
      <c r="E2025" s="400"/>
      <c r="F2025" s="400"/>
      <c r="G2025" s="400"/>
      <c r="H2025" s="396"/>
    </row>
    <row r="2026" spans="1:8" s="401" customFormat="1" ht="14.25" customHeight="1" x14ac:dyDescent="0.25">
      <c r="A2026" s="564">
        <v>1226</v>
      </c>
      <c r="B2026" s="562" t="s">
        <v>828</v>
      </c>
      <c r="C2026" s="403">
        <v>1</v>
      </c>
      <c r="D2026" s="400"/>
      <c r="E2026" s="400"/>
      <c r="F2026" s="400"/>
      <c r="G2026" s="400"/>
      <c r="H2026" s="396"/>
    </row>
    <row r="2027" spans="1:8" s="401" customFormat="1" ht="14.25" customHeight="1" x14ac:dyDescent="0.25">
      <c r="A2027" s="564">
        <v>1227</v>
      </c>
      <c r="B2027" s="562" t="s">
        <v>828</v>
      </c>
      <c r="C2027" s="403">
        <v>1</v>
      </c>
      <c r="D2027" s="400"/>
      <c r="E2027" s="400"/>
      <c r="F2027" s="400"/>
      <c r="G2027" s="400"/>
      <c r="H2027" s="396"/>
    </row>
    <row r="2028" spans="1:8" s="401" customFormat="1" ht="14.25" customHeight="1" x14ac:dyDescent="0.25">
      <c r="A2028" s="564">
        <v>1230</v>
      </c>
      <c r="B2028" s="562" t="s">
        <v>828</v>
      </c>
      <c r="C2028" s="403">
        <v>1</v>
      </c>
      <c r="D2028" s="400"/>
      <c r="E2028" s="400"/>
      <c r="F2028" s="400"/>
      <c r="G2028" s="400"/>
      <c r="H2028" s="396"/>
    </row>
    <row r="2029" spans="1:8" s="401" customFormat="1" ht="14.25" customHeight="1" x14ac:dyDescent="0.25">
      <c r="A2029" s="564">
        <v>1235</v>
      </c>
      <c r="B2029" s="562" t="s">
        <v>828</v>
      </c>
      <c r="C2029" s="403">
        <v>1</v>
      </c>
      <c r="D2029" s="400"/>
      <c r="E2029" s="400"/>
      <c r="F2029" s="400"/>
      <c r="G2029" s="400"/>
      <c r="H2029" s="396"/>
    </row>
    <row r="2030" spans="1:8" s="401" customFormat="1" ht="14.25" customHeight="1" x14ac:dyDescent="0.25">
      <c r="A2030" s="564">
        <v>1238</v>
      </c>
      <c r="B2030" s="562" t="s">
        <v>828</v>
      </c>
      <c r="C2030" s="403">
        <v>1</v>
      </c>
      <c r="D2030" s="400"/>
      <c r="E2030" s="400"/>
      <c r="F2030" s="400"/>
      <c r="G2030" s="400"/>
      <c r="H2030" s="396"/>
    </row>
    <row r="2031" spans="1:8" s="401" customFormat="1" ht="14.25" customHeight="1" x14ac:dyDescent="0.25">
      <c r="A2031" s="564">
        <v>1240</v>
      </c>
      <c r="B2031" s="562" t="s">
        <v>828</v>
      </c>
      <c r="C2031" s="403">
        <v>1</v>
      </c>
      <c r="D2031" s="400"/>
      <c r="E2031" s="400"/>
      <c r="F2031" s="400"/>
      <c r="G2031" s="400"/>
      <c r="H2031" s="396"/>
    </row>
    <row r="2032" spans="1:8" s="401" customFormat="1" ht="14.25" customHeight="1" x14ac:dyDescent="0.25">
      <c r="A2032" s="564">
        <v>1244</v>
      </c>
      <c r="B2032" s="562" t="s">
        <v>828</v>
      </c>
      <c r="C2032" s="403">
        <v>1</v>
      </c>
      <c r="D2032" s="400"/>
      <c r="E2032" s="400"/>
      <c r="F2032" s="400"/>
      <c r="G2032" s="400"/>
      <c r="H2032" s="396"/>
    </row>
    <row r="2033" spans="1:8" s="401" customFormat="1" ht="14.25" customHeight="1" x14ac:dyDescent="0.25">
      <c r="A2033" s="564">
        <v>1247</v>
      </c>
      <c r="B2033" s="562" t="s">
        <v>828</v>
      </c>
      <c r="C2033" s="403">
        <v>1</v>
      </c>
      <c r="D2033" s="400"/>
      <c r="E2033" s="400"/>
      <c r="F2033" s="400"/>
      <c r="G2033" s="400"/>
      <c r="H2033" s="396"/>
    </row>
    <row r="2034" spans="1:8" s="401" customFormat="1" ht="14.25" customHeight="1" x14ac:dyDescent="0.25">
      <c r="A2034" s="564">
        <v>1248</v>
      </c>
      <c r="B2034" s="562" t="s">
        <v>828</v>
      </c>
      <c r="C2034" s="403">
        <v>1</v>
      </c>
      <c r="D2034" s="400"/>
      <c r="E2034" s="400"/>
      <c r="F2034" s="400"/>
      <c r="G2034" s="400"/>
      <c r="H2034" s="396"/>
    </row>
    <row r="2035" spans="1:8" s="401" customFormat="1" ht="14.25" customHeight="1" x14ac:dyDescent="0.25">
      <c r="A2035" s="564">
        <v>1251</v>
      </c>
      <c r="B2035" s="562" t="s">
        <v>828</v>
      </c>
      <c r="C2035" s="403">
        <v>1</v>
      </c>
      <c r="D2035" s="400"/>
      <c r="E2035" s="400"/>
      <c r="F2035" s="400"/>
      <c r="G2035" s="400"/>
      <c r="H2035" s="396"/>
    </row>
    <row r="2036" spans="1:8" s="401" customFormat="1" ht="14.25" customHeight="1" x14ac:dyDescent="0.25">
      <c r="A2036" s="564">
        <v>1253</v>
      </c>
      <c r="B2036" s="562" t="s">
        <v>828</v>
      </c>
      <c r="C2036" s="403">
        <v>1</v>
      </c>
      <c r="D2036" s="400"/>
      <c r="E2036" s="400"/>
      <c r="F2036" s="400"/>
      <c r="G2036" s="400"/>
      <c r="H2036" s="396"/>
    </row>
    <row r="2037" spans="1:8" s="401" customFormat="1" ht="14.25" customHeight="1" x14ac:dyDescent="0.25">
      <c r="A2037" s="564">
        <v>1255</v>
      </c>
      <c r="B2037" s="562" t="s">
        <v>828</v>
      </c>
      <c r="C2037" s="403">
        <v>1</v>
      </c>
      <c r="D2037" s="400"/>
      <c r="E2037" s="400"/>
      <c r="F2037" s="400"/>
      <c r="G2037" s="400"/>
      <c r="H2037" s="396"/>
    </row>
    <row r="2038" spans="1:8" s="401" customFormat="1" ht="14.25" customHeight="1" x14ac:dyDescent="0.25">
      <c r="A2038" s="564">
        <v>1257</v>
      </c>
      <c r="B2038" s="562" t="s">
        <v>828</v>
      </c>
      <c r="C2038" s="403">
        <v>1</v>
      </c>
      <c r="D2038" s="400"/>
      <c r="E2038" s="400"/>
      <c r="F2038" s="400"/>
      <c r="G2038" s="400"/>
      <c r="H2038" s="396"/>
    </row>
    <row r="2039" spans="1:8" s="401" customFormat="1" ht="14.25" customHeight="1" x14ac:dyDescent="0.25">
      <c r="A2039" s="564">
        <v>1259</v>
      </c>
      <c r="B2039" s="562" t="s">
        <v>828</v>
      </c>
      <c r="C2039" s="403">
        <v>1</v>
      </c>
      <c r="D2039" s="400"/>
      <c r="E2039" s="400"/>
      <c r="F2039" s="400"/>
      <c r="G2039" s="400"/>
      <c r="H2039" s="396"/>
    </row>
    <row r="2040" spans="1:8" s="401" customFormat="1" ht="14.25" customHeight="1" x14ac:dyDescent="0.25">
      <c r="A2040" s="564">
        <v>1262</v>
      </c>
      <c r="B2040" s="562" t="s">
        <v>828</v>
      </c>
      <c r="C2040" s="403">
        <v>1</v>
      </c>
      <c r="D2040" s="400"/>
      <c r="E2040" s="400"/>
      <c r="F2040" s="400"/>
      <c r="G2040" s="400"/>
      <c r="H2040" s="396"/>
    </row>
    <row r="2041" spans="1:8" s="401" customFormat="1" ht="14.25" customHeight="1" x14ac:dyDescent="0.25">
      <c r="A2041" s="564">
        <v>1266</v>
      </c>
      <c r="B2041" s="562" t="s">
        <v>828</v>
      </c>
      <c r="C2041" s="403">
        <v>1</v>
      </c>
      <c r="D2041" s="400"/>
      <c r="E2041" s="400"/>
      <c r="F2041" s="400"/>
      <c r="G2041" s="400"/>
      <c r="H2041" s="396"/>
    </row>
    <row r="2042" spans="1:8" s="401" customFormat="1" ht="14.25" customHeight="1" x14ac:dyDescent="0.25">
      <c r="A2042" s="564">
        <v>1272</v>
      </c>
      <c r="B2042" s="562" t="s">
        <v>790</v>
      </c>
      <c r="C2042" s="403">
        <v>1</v>
      </c>
      <c r="D2042" s="400"/>
      <c r="E2042" s="400"/>
      <c r="F2042" s="400"/>
      <c r="G2042" s="400"/>
      <c r="H2042" s="396"/>
    </row>
    <row r="2043" spans="1:8" s="401" customFormat="1" ht="14.25" customHeight="1" x14ac:dyDescent="0.25">
      <c r="A2043" s="564">
        <v>1277</v>
      </c>
      <c r="B2043" s="562" t="s">
        <v>790</v>
      </c>
      <c r="C2043" s="403">
        <v>1</v>
      </c>
      <c r="D2043" s="400"/>
      <c r="E2043" s="400"/>
      <c r="F2043" s="400"/>
      <c r="G2043" s="400"/>
      <c r="H2043" s="396"/>
    </row>
    <row r="2044" spans="1:8" s="401" customFormat="1" ht="14.25" customHeight="1" x14ac:dyDescent="0.25">
      <c r="A2044" s="564">
        <v>1280</v>
      </c>
      <c r="B2044" s="562" t="s">
        <v>790</v>
      </c>
      <c r="C2044" s="403">
        <v>1</v>
      </c>
      <c r="D2044" s="400"/>
      <c r="E2044" s="400"/>
      <c r="F2044" s="400"/>
      <c r="G2044" s="400"/>
      <c r="H2044" s="396"/>
    </row>
    <row r="2045" spans="1:8" s="401" customFormat="1" ht="14.25" customHeight="1" x14ac:dyDescent="0.25">
      <c r="A2045" s="564">
        <v>1283</v>
      </c>
      <c r="B2045" s="562" t="s">
        <v>790</v>
      </c>
      <c r="C2045" s="403">
        <v>1</v>
      </c>
      <c r="D2045" s="400"/>
      <c r="E2045" s="400"/>
      <c r="F2045" s="400"/>
      <c r="G2045" s="400"/>
      <c r="H2045" s="396"/>
    </row>
    <row r="2046" spans="1:8" s="401" customFormat="1" ht="14.25" customHeight="1" x14ac:dyDescent="0.25">
      <c r="A2046" s="564">
        <v>1285</v>
      </c>
      <c r="B2046" s="562" t="s">
        <v>790</v>
      </c>
      <c r="C2046" s="403">
        <v>1</v>
      </c>
      <c r="D2046" s="400"/>
      <c r="E2046" s="400"/>
      <c r="F2046" s="400"/>
      <c r="G2046" s="400"/>
      <c r="H2046" s="396"/>
    </row>
    <row r="2047" spans="1:8" s="401" customFormat="1" ht="14.25" customHeight="1" x14ac:dyDescent="0.25">
      <c r="A2047" s="564">
        <v>1290</v>
      </c>
      <c r="B2047" s="562" t="s">
        <v>790</v>
      </c>
      <c r="C2047" s="403">
        <v>1</v>
      </c>
      <c r="D2047" s="400"/>
      <c r="E2047" s="400"/>
      <c r="F2047" s="400"/>
      <c r="G2047" s="400"/>
      <c r="H2047" s="396"/>
    </row>
    <row r="2048" spans="1:8" s="401" customFormat="1" ht="14.25" customHeight="1" x14ac:dyDescent="0.25">
      <c r="A2048" s="564">
        <v>1291</v>
      </c>
      <c r="B2048" s="562" t="s">
        <v>790</v>
      </c>
      <c r="C2048" s="403">
        <v>1</v>
      </c>
      <c r="D2048" s="400"/>
      <c r="E2048" s="400"/>
      <c r="F2048" s="400"/>
      <c r="G2048" s="400"/>
      <c r="H2048" s="396"/>
    </row>
    <row r="2049" spans="1:8" s="401" customFormat="1" ht="14.25" customHeight="1" x14ac:dyDescent="0.25">
      <c r="A2049" s="564">
        <v>1294</v>
      </c>
      <c r="B2049" s="562" t="s">
        <v>790</v>
      </c>
      <c r="C2049" s="403">
        <v>1</v>
      </c>
      <c r="D2049" s="400"/>
      <c r="E2049" s="400"/>
      <c r="F2049" s="400"/>
      <c r="G2049" s="400"/>
      <c r="H2049" s="396"/>
    </row>
    <row r="2050" spans="1:8" s="401" customFormat="1" ht="14.25" customHeight="1" x14ac:dyDescent="0.25">
      <c r="A2050" s="564">
        <v>1298</v>
      </c>
      <c r="B2050" s="562" t="s">
        <v>785</v>
      </c>
      <c r="C2050" s="403">
        <v>1</v>
      </c>
      <c r="D2050" s="400"/>
      <c r="E2050" s="400"/>
      <c r="F2050" s="400"/>
      <c r="G2050" s="400"/>
      <c r="H2050" s="396"/>
    </row>
    <row r="2051" spans="1:8" s="401" customFormat="1" ht="14.25" customHeight="1" x14ac:dyDescent="0.25">
      <c r="A2051" s="564">
        <v>1300</v>
      </c>
      <c r="B2051" s="562" t="s">
        <v>785</v>
      </c>
      <c r="C2051" s="403">
        <v>328</v>
      </c>
      <c r="D2051" s="400"/>
      <c r="E2051" s="400"/>
      <c r="F2051" s="400"/>
      <c r="G2051" s="400"/>
      <c r="H2051" s="396"/>
    </row>
    <row r="2052" spans="1:8" s="401" customFormat="1" ht="14.25" customHeight="1" x14ac:dyDescent="0.25">
      <c r="A2052" s="564">
        <v>1302</v>
      </c>
      <c r="B2052" s="562" t="s">
        <v>785</v>
      </c>
      <c r="C2052" s="403">
        <v>328</v>
      </c>
      <c r="D2052" s="400"/>
      <c r="E2052" s="400"/>
      <c r="F2052" s="400"/>
      <c r="G2052" s="400"/>
      <c r="H2052" s="396"/>
    </row>
    <row r="2053" spans="1:8" s="401" customFormat="1" ht="14.25" customHeight="1" x14ac:dyDescent="0.25">
      <c r="A2053" s="564">
        <v>1303</v>
      </c>
      <c r="B2053" s="562" t="s">
        <v>785</v>
      </c>
      <c r="C2053" s="403">
        <v>179</v>
      </c>
      <c r="D2053" s="400"/>
      <c r="E2053" s="400"/>
      <c r="F2053" s="400"/>
      <c r="G2053" s="400"/>
      <c r="H2053" s="396"/>
    </row>
    <row r="2054" spans="1:8" s="401" customFormat="1" ht="14.25" customHeight="1" x14ac:dyDescent="0.25">
      <c r="A2054" s="564">
        <v>1306</v>
      </c>
      <c r="B2054" s="562" t="s">
        <v>785</v>
      </c>
      <c r="C2054" s="403">
        <v>1</v>
      </c>
      <c r="D2054" s="400"/>
      <c r="E2054" s="400"/>
      <c r="F2054" s="400"/>
      <c r="G2054" s="400"/>
      <c r="H2054" s="396"/>
    </row>
    <row r="2055" spans="1:8" s="401" customFormat="1" ht="14.25" customHeight="1" x14ac:dyDescent="0.25">
      <c r="A2055" s="564">
        <v>1309</v>
      </c>
      <c r="B2055" s="562" t="s">
        <v>785</v>
      </c>
      <c r="C2055" s="403">
        <v>1</v>
      </c>
      <c r="D2055" s="400"/>
      <c r="E2055" s="400"/>
      <c r="F2055" s="400"/>
      <c r="G2055" s="400"/>
      <c r="H2055" s="396"/>
    </row>
    <row r="2056" spans="1:8" s="401" customFormat="1" ht="14.25" customHeight="1" x14ac:dyDescent="0.25">
      <c r="A2056" s="564">
        <v>1316</v>
      </c>
      <c r="B2056" s="562" t="s">
        <v>785</v>
      </c>
      <c r="C2056" s="403">
        <v>1</v>
      </c>
      <c r="D2056" s="400"/>
      <c r="E2056" s="400"/>
      <c r="F2056" s="400"/>
      <c r="G2056" s="400"/>
      <c r="H2056" s="396"/>
    </row>
    <row r="2057" spans="1:8" s="401" customFormat="1" ht="14.25" customHeight="1" x14ac:dyDescent="0.25">
      <c r="A2057" s="564">
        <v>1317</v>
      </c>
      <c r="B2057" s="562" t="s">
        <v>785</v>
      </c>
      <c r="C2057" s="403">
        <v>1</v>
      </c>
      <c r="D2057" s="400"/>
      <c r="E2057" s="400"/>
      <c r="F2057" s="400"/>
      <c r="G2057" s="400"/>
      <c r="H2057" s="396"/>
    </row>
    <row r="2058" spans="1:8" s="401" customFormat="1" ht="14.25" customHeight="1" x14ac:dyDescent="0.25">
      <c r="A2058" s="564">
        <v>1320</v>
      </c>
      <c r="B2058" s="562" t="s">
        <v>785</v>
      </c>
      <c r="C2058" s="403">
        <v>1</v>
      </c>
      <c r="D2058" s="400"/>
      <c r="E2058" s="400"/>
      <c r="F2058" s="400"/>
      <c r="G2058" s="400"/>
      <c r="H2058" s="396"/>
    </row>
    <row r="2059" spans="1:8" s="401" customFormat="1" ht="14.25" customHeight="1" x14ac:dyDescent="0.25">
      <c r="A2059" s="564">
        <v>1322</v>
      </c>
      <c r="B2059" s="562" t="s">
        <v>785</v>
      </c>
      <c r="C2059" s="403">
        <v>1</v>
      </c>
      <c r="D2059" s="400"/>
      <c r="E2059" s="400"/>
      <c r="F2059" s="400"/>
      <c r="G2059" s="400"/>
      <c r="H2059" s="396"/>
    </row>
    <row r="2060" spans="1:8" s="401" customFormat="1" ht="14.25" customHeight="1" x14ac:dyDescent="0.25">
      <c r="A2060" s="564">
        <v>1325</v>
      </c>
      <c r="B2060" s="562" t="s">
        <v>785</v>
      </c>
      <c r="C2060" s="403">
        <v>1</v>
      </c>
      <c r="D2060" s="400"/>
      <c r="E2060" s="400"/>
      <c r="F2060" s="400"/>
      <c r="G2060" s="400"/>
      <c r="H2060" s="396"/>
    </row>
    <row r="2061" spans="1:8" s="401" customFormat="1" ht="14.25" customHeight="1" x14ac:dyDescent="0.25">
      <c r="A2061" s="564">
        <v>1328</v>
      </c>
      <c r="B2061" s="562" t="s">
        <v>785</v>
      </c>
      <c r="C2061" s="403">
        <v>1</v>
      </c>
      <c r="D2061" s="400"/>
      <c r="E2061" s="400"/>
      <c r="F2061" s="400"/>
      <c r="G2061" s="400"/>
      <c r="H2061" s="396"/>
    </row>
    <row r="2062" spans="1:8" s="401" customFormat="1" ht="14.25" customHeight="1" x14ac:dyDescent="0.25">
      <c r="A2062" s="564">
        <v>1330</v>
      </c>
      <c r="B2062" s="562" t="s">
        <v>785</v>
      </c>
      <c r="C2062" s="403">
        <v>1</v>
      </c>
      <c r="D2062" s="400"/>
      <c r="E2062" s="400"/>
      <c r="F2062" s="400"/>
      <c r="G2062" s="400"/>
      <c r="H2062" s="396"/>
    </row>
    <row r="2063" spans="1:8" s="401" customFormat="1" ht="14.25" customHeight="1" x14ac:dyDescent="0.25">
      <c r="A2063" s="564">
        <v>1332</v>
      </c>
      <c r="B2063" s="562" t="s">
        <v>785</v>
      </c>
      <c r="C2063" s="403">
        <v>1</v>
      </c>
      <c r="D2063" s="400"/>
      <c r="E2063" s="400"/>
      <c r="F2063" s="400"/>
      <c r="G2063" s="400"/>
      <c r="H2063" s="396"/>
    </row>
    <row r="2064" spans="1:8" s="401" customFormat="1" ht="14.25" customHeight="1" x14ac:dyDescent="0.25">
      <c r="A2064" s="564">
        <v>1335</v>
      </c>
      <c r="B2064" s="562" t="s">
        <v>785</v>
      </c>
      <c r="C2064" s="403">
        <v>1</v>
      </c>
      <c r="D2064" s="400"/>
      <c r="E2064" s="400"/>
      <c r="F2064" s="400"/>
      <c r="G2064" s="400"/>
      <c r="H2064" s="396"/>
    </row>
    <row r="2065" spans="1:8" s="401" customFormat="1" ht="14.25" customHeight="1" x14ac:dyDescent="0.25">
      <c r="A2065" s="564">
        <v>1336</v>
      </c>
      <c r="B2065" s="562" t="s">
        <v>785</v>
      </c>
      <c r="C2065" s="403">
        <v>1</v>
      </c>
      <c r="D2065" s="400"/>
      <c r="E2065" s="400"/>
      <c r="F2065" s="400"/>
      <c r="G2065" s="400"/>
      <c r="H2065" s="396"/>
    </row>
    <row r="2066" spans="1:8" s="401" customFormat="1" ht="14.25" customHeight="1" x14ac:dyDescent="0.25">
      <c r="A2066" s="564">
        <v>1338</v>
      </c>
      <c r="B2066" s="562" t="s">
        <v>785</v>
      </c>
      <c r="C2066" s="403">
        <v>1</v>
      </c>
      <c r="D2066" s="400"/>
      <c r="E2066" s="400"/>
      <c r="F2066" s="400"/>
      <c r="G2066" s="400"/>
      <c r="H2066" s="396"/>
    </row>
    <row r="2067" spans="1:8" s="401" customFormat="1" ht="14.25" customHeight="1" x14ac:dyDescent="0.25">
      <c r="A2067" s="564">
        <v>1341</v>
      </c>
      <c r="B2067" s="562" t="s">
        <v>785</v>
      </c>
      <c r="C2067" s="403">
        <v>1</v>
      </c>
      <c r="D2067" s="400"/>
      <c r="E2067" s="400"/>
      <c r="F2067" s="400"/>
      <c r="G2067" s="400"/>
      <c r="H2067" s="396"/>
    </row>
    <row r="2068" spans="1:8" s="401" customFormat="1" ht="14.25" customHeight="1" x14ac:dyDescent="0.25">
      <c r="A2068" s="564">
        <v>1342</v>
      </c>
      <c r="B2068" s="562" t="s">
        <v>818</v>
      </c>
      <c r="C2068" s="403">
        <v>1</v>
      </c>
      <c r="D2068" s="400"/>
      <c r="E2068" s="400"/>
      <c r="F2068" s="400"/>
      <c r="G2068" s="400"/>
      <c r="H2068" s="396"/>
    </row>
    <row r="2069" spans="1:8" s="401" customFormat="1" ht="14.25" customHeight="1" x14ac:dyDescent="0.25">
      <c r="A2069" s="564">
        <v>1344</v>
      </c>
      <c r="B2069" s="562" t="s">
        <v>819</v>
      </c>
      <c r="C2069" s="403">
        <v>542</v>
      </c>
      <c r="D2069" s="400"/>
      <c r="E2069" s="400"/>
      <c r="F2069" s="400"/>
      <c r="G2069" s="400"/>
      <c r="H2069" s="396"/>
    </row>
    <row r="2070" spans="1:8" s="401" customFormat="1" ht="14.25" customHeight="1" x14ac:dyDescent="0.25">
      <c r="A2070" s="564">
        <v>1365</v>
      </c>
      <c r="B2070" s="562" t="s">
        <v>819</v>
      </c>
      <c r="C2070" s="403">
        <v>542</v>
      </c>
      <c r="D2070" s="400"/>
      <c r="E2070" s="400"/>
      <c r="F2070" s="400"/>
      <c r="G2070" s="400"/>
      <c r="H2070" s="396"/>
    </row>
    <row r="2071" spans="1:8" s="401" customFormat="1" ht="14.25" customHeight="1" x14ac:dyDescent="0.25">
      <c r="A2071" s="564">
        <v>1366</v>
      </c>
      <c r="B2071" s="562" t="s">
        <v>790</v>
      </c>
      <c r="C2071" s="403">
        <v>1</v>
      </c>
      <c r="D2071" s="400"/>
      <c r="E2071" s="400"/>
      <c r="F2071" s="400"/>
      <c r="G2071" s="400"/>
      <c r="H2071" s="396"/>
    </row>
    <row r="2072" spans="1:8" s="401" customFormat="1" ht="14.25" customHeight="1" x14ac:dyDescent="0.25">
      <c r="A2072" s="564">
        <v>1368</v>
      </c>
      <c r="B2072" s="562" t="s">
        <v>791</v>
      </c>
      <c r="C2072" s="403">
        <v>1</v>
      </c>
      <c r="D2072" s="400"/>
      <c r="E2072" s="400"/>
      <c r="F2072" s="400"/>
      <c r="G2072" s="400"/>
      <c r="H2072" s="396"/>
    </row>
    <row r="2073" spans="1:8" s="401" customFormat="1" ht="14.25" customHeight="1" x14ac:dyDescent="0.25">
      <c r="A2073" s="564">
        <v>1370</v>
      </c>
      <c r="B2073" s="562" t="s">
        <v>787</v>
      </c>
      <c r="C2073" s="403">
        <v>1</v>
      </c>
      <c r="D2073" s="400"/>
      <c r="E2073" s="400"/>
      <c r="F2073" s="400"/>
      <c r="G2073" s="400"/>
      <c r="H2073" s="396"/>
    </row>
    <row r="2074" spans="1:8" s="401" customFormat="1" ht="14.25" customHeight="1" x14ac:dyDescent="0.25">
      <c r="A2074" s="564">
        <v>1373</v>
      </c>
      <c r="B2074" s="562" t="s">
        <v>828</v>
      </c>
      <c r="C2074" s="403">
        <v>1</v>
      </c>
      <c r="D2074" s="400"/>
      <c r="E2074" s="400"/>
      <c r="F2074" s="400"/>
      <c r="G2074" s="400"/>
      <c r="H2074" s="396"/>
    </row>
    <row r="2075" spans="1:8" s="401" customFormat="1" ht="14.25" customHeight="1" x14ac:dyDescent="0.25">
      <c r="A2075" s="564">
        <v>1376</v>
      </c>
      <c r="B2075" s="562" t="s">
        <v>828</v>
      </c>
      <c r="C2075" s="403">
        <v>1</v>
      </c>
      <c r="D2075" s="400"/>
      <c r="E2075" s="400"/>
      <c r="F2075" s="400"/>
      <c r="G2075" s="400"/>
      <c r="H2075" s="396"/>
    </row>
    <row r="2076" spans="1:8" s="401" customFormat="1" ht="14.25" customHeight="1" x14ac:dyDescent="0.25">
      <c r="A2076" s="564">
        <v>1379</v>
      </c>
      <c r="B2076" s="562" t="s">
        <v>828</v>
      </c>
      <c r="C2076" s="403">
        <v>1</v>
      </c>
      <c r="D2076" s="400"/>
      <c r="E2076" s="400"/>
      <c r="F2076" s="400"/>
      <c r="G2076" s="400"/>
      <c r="H2076" s="396"/>
    </row>
    <row r="2077" spans="1:8" s="401" customFormat="1" ht="14.25" customHeight="1" x14ac:dyDescent="0.25">
      <c r="A2077" s="564">
        <v>1381</v>
      </c>
      <c r="B2077" s="562" t="s">
        <v>790</v>
      </c>
      <c r="C2077" s="403">
        <v>1</v>
      </c>
      <c r="D2077" s="400"/>
      <c r="E2077" s="400"/>
      <c r="F2077" s="400"/>
      <c r="G2077" s="400"/>
      <c r="H2077" s="396"/>
    </row>
    <row r="2078" spans="1:8" s="401" customFormat="1" ht="14.25" customHeight="1" x14ac:dyDescent="0.25">
      <c r="A2078" s="564">
        <v>1383</v>
      </c>
      <c r="B2078" s="562" t="s">
        <v>790</v>
      </c>
      <c r="C2078" s="403">
        <v>1</v>
      </c>
      <c r="D2078" s="400"/>
      <c r="E2078" s="400"/>
      <c r="F2078" s="400"/>
      <c r="G2078" s="400"/>
      <c r="H2078" s="396"/>
    </row>
    <row r="2079" spans="1:8" s="401" customFormat="1" ht="14.25" customHeight="1" x14ac:dyDescent="0.25">
      <c r="A2079" s="564">
        <v>1385</v>
      </c>
      <c r="B2079" s="562" t="s">
        <v>819</v>
      </c>
      <c r="C2079" s="403">
        <v>425</v>
      </c>
      <c r="D2079" s="400"/>
      <c r="E2079" s="400"/>
      <c r="F2079" s="400"/>
      <c r="G2079" s="400"/>
      <c r="H2079" s="396"/>
    </row>
    <row r="2080" spans="1:8" s="401" customFormat="1" ht="14.25" customHeight="1" x14ac:dyDescent="0.25">
      <c r="A2080" s="564">
        <v>1387</v>
      </c>
      <c r="B2080" s="562" t="s">
        <v>828</v>
      </c>
      <c r="C2080" s="403">
        <v>1</v>
      </c>
      <c r="D2080" s="400"/>
      <c r="E2080" s="400"/>
      <c r="F2080" s="400"/>
      <c r="G2080" s="400"/>
      <c r="H2080" s="396"/>
    </row>
    <row r="2081" spans="1:8" s="401" customFormat="1" ht="14.25" customHeight="1" x14ac:dyDescent="0.25">
      <c r="A2081" s="564">
        <v>1389</v>
      </c>
      <c r="B2081" s="562" t="s">
        <v>828</v>
      </c>
      <c r="C2081" s="403">
        <v>1</v>
      </c>
      <c r="D2081" s="400"/>
      <c r="E2081" s="400"/>
      <c r="F2081" s="400"/>
      <c r="G2081" s="400"/>
      <c r="H2081" s="396"/>
    </row>
    <row r="2082" spans="1:8" s="401" customFormat="1" ht="14.25" customHeight="1" x14ac:dyDescent="0.25">
      <c r="A2082" s="564">
        <v>1390</v>
      </c>
      <c r="B2082" s="562" t="s">
        <v>828</v>
      </c>
      <c r="C2082" s="403">
        <v>1</v>
      </c>
      <c r="D2082" s="400"/>
      <c r="E2082" s="400"/>
      <c r="F2082" s="400"/>
      <c r="G2082" s="400"/>
      <c r="H2082" s="396"/>
    </row>
    <row r="2083" spans="1:8" s="401" customFormat="1" ht="14.25" customHeight="1" x14ac:dyDescent="0.25">
      <c r="A2083" s="564">
        <v>1394</v>
      </c>
      <c r="B2083" s="562" t="s">
        <v>828</v>
      </c>
      <c r="C2083" s="403">
        <v>1</v>
      </c>
      <c r="D2083" s="400"/>
      <c r="E2083" s="400"/>
      <c r="F2083" s="400"/>
      <c r="G2083" s="400"/>
      <c r="H2083" s="396"/>
    </row>
    <row r="2084" spans="1:8" s="401" customFormat="1" ht="14.25" customHeight="1" x14ac:dyDescent="0.25">
      <c r="A2084" s="564">
        <v>1396</v>
      </c>
      <c r="B2084" s="562" t="s">
        <v>828</v>
      </c>
      <c r="C2084" s="403">
        <v>1</v>
      </c>
      <c r="D2084" s="400"/>
      <c r="E2084" s="400"/>
      <c r="F2084" s="400"/>
      <c r="G2084" s="400"/>
      <c r="H2084" s="396"/>
    </row>
    <row r="2085" spans="1:8" s="401" customFormat="1" ht="14.25" customHeight="1" x14ac:dyDescent="0.25">
      <c r="A2085" s="564">
        <v>1399</v>
      </c>
      <c r="B2085" s="562" t="s">
        <v>828</v>
      </c>
      <c r="C2085" s="403">
        <v>1</v>
      </c>
      <c r="D2085" s="400"/>
      <c r="E2085" s="400"/>
      <c r="F2085" s="400"/>
      <c r="G2085" s="400"/>
      <c r="H2085" s="396"/>
    </row>
    <row r="2086" spans="1:8" s="401" customFormat="1" ht="14.25" customHeight="1" x14ac:dyDescent="0.25">
      <c r="A2086" s="564">
        <v>1401</v>
      </c>
      <c r="B2086" s="562" t="s">
        <v>828</v>
      </c>
      <c r="C2086" s="403">
        <v>1</v>
      </c>
      <c r="D2086" s="400"/>
      <c r="E2086" s="400"/>
      <c r="F2086" s="400"/>
      <c r="G2086" s="400"/>
      <c r="H2086" s="396"/>
    </row>
    <row r="2087" spans="1:8" s="401" customFormat="1" ht="14.25" customHeight="1" x14ac:dyDescent="0.25">
      <c r="A2087" s="564">
        <v>1404</v>
      </c>
      <c r="B2087" s="562" t="s">
        <v>828</v>
      </c>
      <c r="C2087" s="403">
        <v>1</v>
      </c>
      <c r="D2087" s="400"/>
      <c r="E2087" s="400"/>
      <c r="F2087" s="400"/>
      <c r="G2087" s="400"/>
      <c r="H2087" s="396"/>
    </row>
    <row r="2088" spans="1:8" s="401" customFormat="1" ht="14.25" customHeight="1" x14ac:dyDescent="0.25">
      <c r="A2088" s="564">
        <v>1408</v>
      </c>
      <c r="B2088" s="562" t="s">
        <v>828</v>
      </c>
      <c r="C2088" s="403">
        <v>1</v>
      </c>
      <c r="D2088" s="400"/>
      <c r="E2088" s="400"/>
      <c r="F2088" s="400"/>
      <c r="G2088" s="400"/>
      <c r="H2088" s="396"/>
    </row>
    <row r="2089" spans="1:8" s="401" customFormat="1" ht="14.25" customHeight="1" x14ac:dyDescent="0.25">
      <c r="A2089" s="564">
        <v>1414</v>
      </c>
      <c r="B2089" s="562" t="s">
        <v>787</v>
      </c>
      <c r="C2089" s="403">
        <v>1</v>
      </c>
      <c r="D2089" s="400"/>
      <c r="E2089" s="400"/>
      <c r="F2089" s="400"/>
      <c r="G2089" s="400"/>
      <c r="H2089" s="396"/>
    </row>
    <row r="2090" spans="1:8" s="401" customFormat="1" ht="14.25" customHeight="1" x14ac:dyDescent="0.25">
      <c r="A2090" s="564">
        <v>1420</v>
      </c>
      <c r="B2090" s="562" t="s">
        <v>828</v>
      </c>
      <c r="C2090" s="403">
        <v>1</v>
      </c>
      <c r="D2090" s="400"/>
      <c r="E2090" s="400"/>
      <c r="F2090" s="400"/>
      <c r="G2090" s="400"/>
      <c r="H2090" s="396"/>
    </row>
    <row r="2091" spans="1:8" s="401" customFormat="1" ht="14.25" customHeight="1" x14ac:dyDescent="0.25">
      <c r="A2091" s="564">
        <v>1423</v>
      </c>
      <c r="B2091" s="562" t="s">
        <v>828</v>
      </c>
      <c r="C2091" s="403">
        <v>1</v>
      </c>
      <c r="D2091" s="400"/>
      <c r="E2091" s="400"/>
      <c r="F2091" s="400"/>
      <c r="G2091" s="400"/>
      <c r="H2091" s="396"/>
    </row>
    <row r="2092" spans="1:8" s="401" customFormat="1" ht="14.25" customHeight="1" x14ac:dyDescent="0.25">
      <c r="A2092" s="564">
        <v>1429</v>
      </c>
      <c r="B2092" s="562" t="s">
        <v>828</v>
      </c>
      <c r="C2092" s="403">
        <v>1</v>
      </c>
      <c r="D2092" s="400"/>
      <c r="E2092" s="400"/>
      <c r="F2092" s="400"/>
      <c r="G2092" s="400"/>
      <c r="H2092" s="396"/>
    </row>
    <row r="2093" spans="1:8" s="401" customFormat="1" ht="14.25" customHeight="1" x14ac:dyDescent="0.25">
      <c r="A2093" s="564">
        <v>1433</v>
      </c>
      <c r="B2093" s="562" t="s">
        <v>828</v>
      </c>
      <c r="C2093" s="403">
        <v>1</v>
      </c>
      <c r="D2093" s="400"/>
      <c r="E2093" s="400"/>
      <c r="F2093" s="400"/>
      <c r="G2093" s="400"/>
      <c r="H2093" s="396"/>
    </row>
    <row r="2094" spans="1:8" s="401" customFormat="1" ht="14.25" customHeight="1" x14ac:dyDescent="0.25">
      <c r="A2094" s="564">
        <v>1437</v>
      </c>
      <c r="B2094" s="562" t="s">
        <v>828</v>
      </c>
      <c r="C2094" s="403">
        <v>1</v>
      </c>
      <c r="D2094" s="400"/>
      <c r="E2094" s="400"/>
      <c r="F2094" s="400"/>
      <c r="G2094" s="400"/>
      <c r="H2094" s="396"/>
    </row>
    <row r="2095" spans="1:8" s="401" customFormat="1" ht="14.25" customHeight="1" x14ac:dyDescent="0.25">
      <c r="A2095" s="564">
        <v>1441</v>
      </c>
      <c r="B2095" s="562" t="s">
        <v>828</v>
      </c>
      <c r="C2095" s="403">
        <v>1</v>
      </c>
      <c r="D2095" s="400"/>
      <c r="E2095" s="400"/>
      <c r="F2095" s="400"/>
      <c r="G2095" s="400"/>
      <c r="H2095" s="396"/>
    </row>
    <row r="2096" spans="1:8" s="401" customFormat="1" ht="14.25" customHeight="1" x14ac:dyDescent="0.25">
      <c r="A2096" s="564">
        <v>1442</v>
      </c>
      <c r="B2096" s="562" t="s">
        <v>828</v>
      </c>
      <c r="C2096" s="403">
        <v>1</v>
      </c>
      <c r="D2096" s="400"/>
      <c r="E2096" s="400"/>
      <c r="F2096" s="400"/>
      <c r="G2096" s="400"/>
      <c r="H2096" s="396"/>
    </row>
    <row r="2097" spans="1:8" s="401" customFormat="1" ht="14.25" customHeight="1" x14ac:dyDescent="0.25">
      <c r="A2097" s="564">
        <v>1475</v>
      </c>
      <c r="B2097" s="562" t="s">
        <v>828</v>
      </c>
      <c r="C2097" s="403">
        <v>1</v>
      </c>
      <c r="D2097" s="400"/>
      <c r="E2097" s="400"/>
      <c r="F2097" s="400"/>
      <c r="G2097" s="400"/>
      <c r="H2097" s="396"/>
    </row>
    <row r="2098" spans="1:8" s="401" customFormat="1" ht="14.25" customHeight="1" x14ac:dyDescent="0.25">
      <c r="A2098" s="564">
        <v>1478</v>
      </c>
      <c r="B2098" s="562" t="s">
        <v>828</v>
      </c>
      <c r="C2098" s="403">
        <v>1</v>
      </c>
      <c r="D2098" s="400"/>
      <c r="E2098" s="400"/>
      <c r="F2098" s="400"/>
      <c r="G2098" s="400"/>
      <c r="H2098" s="396"/>
    </row>
    <row r="2099" spans="1:8" s="401" customFormat="1" ht="14.25" customHeight="1" x14ac:dyDescent="0.25">
      <c r="A2099" s="564">
        <v>1480</v>
      </c>
      <c r="B2099" s="562" t="s">
        <v>828</v>
      </c>
      <c r="C2099" s="403">
        <v>1</v>
      </c>
      <c r="D2099" s="400"/>
      <c r="E2099" s="400"/>
      <c r="F2099" s="400"/>
      <c r="G2099" s="400"/>
      <c r="H2099" s="396"/>
    </row>
    <row r="2100" spans="1:8" s="401" customFormat="1" ht="14.25" customHeight="1" x14ac:dyDescent="0.25">
      <c r="A2100" s="564">
        <v>1484</v>
      </c>
      <c r="B2100" s="562" t="s">
        <v>828</v>
      </c>
      <c r="C2100" s="403">
        <v>1</v>
      </c>
      <c r="D2100" s="400"/>
      <c r="E2100" s="400"/>
      <c r="F2100" s="400"/>
      <c r="G2100" s="400"/>
      <c r="H2100" s="396"/>
    </row>
    <row r="2101" spans="1:8" s="401" customFormat="1" ht="14.25" customHeight="1" x14ac:dyDescent="0.25">
      <c r="A2101" s="564">
        <v>1485</v>
      </c>
      <c r="B2101" s="562" t="s">
        <v>828</v>
      </c>
      <c r="C2101" s="403">
        <v>1</v>
      </c>
      <c r="D2101" s="400"/>
      <c r="E2101" s="400"/>
      <c r="F2101" s="400"/>
      <c r="G2101" s="400"/>
      <c r="H2101" s="396"/>
    </row>
    <row r="2102" spans="1:8" s="401" customFormat="1" ht="14.25" customHeight="1" x14ac:dyDescent="0.25">
      <c r="A2102" s="564">
        <v>1488</v>
      </c>
      <c r="B2102" s="562" t="s">
        <v>788</v>
      </c>
      <c r="C2102" s="403">
        <v>1</v>
      </c>
      <c r="D2102" s="400"/>
      <c r="E2102" s="400"/>
      <c r="F2102" s="400"/>
      <c r="G2102" s="400"/>
      <c r="H2102" s="396"/>
    </row>
    <row r="2103" spans="1:8" s="401" customFormat="1" ht="14.25" customHeight="1" x14ac:dyDescent="0.25">
      <c r="A2103" s="564">
        <v>1491</v>
      </c>
      <c r="B2103" s="562" t="s">
        <v>790</v>
      </c>
      <c r="C2103" s="403">
        <v>552</v>
      </c>
      <c r="D2103" s="400"/>
      <c r="E2103" s="400"/>
      <c r="F2103" s="400"/>
      <c r="G2103" s="400"/>
      <c r="H2103" s="396"/>
    </row>
    <row r="2104" spans="1:8" s="401" customFormat="1" ht="14.25" customHeight="1" x14ac:dyDescent="0.25">
      <c r="A2104" s="564">
        <v>1494</v>
      </c>
      <c r="B2104" s="562" t="s">
        <v>790</v>
      </c>
      <c r="C2104" s="403">
        <v>552</v>
      </c>
      <c r="D2104" s="400"/>
      <c r="E2104" s="400"/>
      <c r="F2104" s="400"/>
      <c r="G2104" s="400"/>
      <c r="H2104" s="396"/>
    </row>
    <row r="2105" spans="1:8" s="401" customFormat="1" ht="14.25" customHeight="1" x14ac:dyDescent="0.25">
      <c r="A2105" s="564">
        <v>1496</v>
      </c>
      <c r="B2105" s="562" t="s">
        <v>790</v>
      </c>
      <c r="C2105" s="403">
        <v>552</v>
      </c>
      <c r="D2105" s="400"/>
      <c r="E2105" s="400"/>
      <c r="F2105" s="400"/>
      <c r="G2105" s="400"/>
      <c r="H2105" s="396"/>
    </row>
    <row r="2106" spans="1:8" s="401" customFormat="1" ht="14.25" customHeight="1" x14ac:dyDescent="0.25">
      <c r="A2106" s="564">
        <v>1497</v>
      </c>
      <c r="B2106" s="562" t="s">
        <v>790</v>
      </c>
      <c r="C2106" s="403">
        <v>552</v>
      </c>
      <c r="D2106" s="400"/>
      <c r="E2106" s="400"/>
      <c r="F2106" s="400"/>
      <c r="G2106" s="400"/>
      <c r="H2106" s="396"/>
    </row>
    <row r="2107" spans="1:8" s="401" customFormat="1" ht="14.25" customHeight="1" x14ac:dyDescent="0.25">
      <c r="A2107" s="564">
        <v>1500</v>
      </c>
      <c r="B2107" s="562" t="s">
        <v>790</v>
      </c>
      <c r="C2107" s="403">
        <v>1</v>
      </c>
      <c r="D2107" s="400"/>
      <c r="E2107" s="400"/>
      <c r="F2107" s="400"/>
      <c r="G2107" s="400"/>
      <c r="H2107" s="396"/>
    </row>
    <row r="2108" spans="1:8" s="401" customFormat="1" ht="14.25" customHeight="1" x14ac:dyDescent="0.25">
      <c r="A2108" s="564">
        <v>1502</v>
      </c>
      <c r="B2108" s="562" t="s">
        <v>790</v>
      </c>
      <c r="C2108" s="403">
        <v>1024</v>
      </c>
      <c r="D2108" s="400"/>
      <c r="E2108" s="400"/>
      <c r="F2108" s="400"/>
      <c r="G2108" s="400"/>
      <c r="H2108" s="396"/>
    </row>
    <row r="2109" spans="1:8" s="401" customFormat="1" ht="14.25" customHeight="1" x14ac:dyDescent="0.25">
      <c r="A2109" s="564">
        <v>1505</v>
      </c>
      <c r="B2109" s="562" t="s">
        <v>790</v>
      </c>
      <c r="C2109" s="403">
        <v>1024</v>
      </c>
      <c r="D2109" s="400"/>
      <c r="E2109" s="400"/>
      <c r="F2109" s="400"/>
      <c r="G2109" s="400"/>
      <c r="H2109" s="396"/>
    </row>
    <row r="2110" spans="1:8" s="401" customFormat="1" ht="14.25" customHeight="1" x14ac:dyDescent="0.25">
      <c r="A2110" s="564">
        <v>1507</v>
      </c>
      <c r="B2110" s="562" t="s">
        <v>790</v>
      </c>
      <c r="C2110" s="403">
        <v>1024</v>
      </c>
      <c r="D2110" s="400"/>
      <c r="E2110" s="400"/>
      <c r="F2110" s="400"/>
      <c r="G2110" s="400"/>
      <c r="H2110" s="396"/>
    </row>
    <row r="2111" spans="1:8" s="401" customFormat="1" ht="14.25" customHeight="1" x14ac:dyDescent="0.25">
      <c r="A2111" s="564">
        <v>1512</v>
      </c>
      <c r="B2111" s="562" t="s">
        <v>790</v>
      </c>
      <c r="C2111" s="403">
        <v>1024</v>
      </c>
      <c r="D2111" s="400"/>
      <c r="E2111" s="400"/>
      <c r="F2111" s="400"/>
      <c r="G2111" s="400"/>
      <c r="H2111" s="396"/>
    </row>
    <row r="2112" spans="1:8" s="401" customFormat="1" ht="14.25" customHeight="1" x14ac:dyDescent="0.25">
      <c r="A2112" s="564">
        <v>1516</v>
      </c>
      <c r="B2112" s="562" t="s">
        <v>790</v>
      </c>
      <c r="C2112" s="403">
        <v>1024</v>
      </c>
      <c r="D2112" s="400"/>
      <c r="E2112" s="400"/>
      <c r="F2112" s="400"/>
      <c r="G2112" s="400"/>
      <c r="H2112" s="396"/>
    </row>
    <row r="2113" spans="1:8" s="401" customFormat="1" ht="14.25" customHeight="1" x14ac:dyDescent="0.25">
      <c r="A2113" s="564">
        <v>1518</v>
      </c>
      <c r="B2113" s="562" t="s">
        <v>790</v>
      </c>
      <c r="C2113" s="403">
        <v>1024</v>
      </c>
      <c r="D2113" s="400"/>
      <c r="E2113" s="400"/>
      <c r="F2113" s="400"/>
      <c r="G2113" s="400"/>
      <c r="H2113" s="396"/>
    </row>
    <row r="2114" spans="1:8" s="401" customFormat="1" ht="14.25" customHeight="1" x14ac:dyDescent="0.25">
      <c r="A2114" s="564">
        <v>1519</v>
      </c>
      <c r="B2114" s="562" t="s">
        <v>790</v>
      </c>
      <c r="C2114" s="403">
        <v>1</v>
      </c>
      <c r="D2114" s="400"/>
      <c r="E2114" s="400"/>
      <c r="F2114" s="400"/>
      <c r="G2114" s="400"/>
      <c r="H2114" s="396"/>
    </row>
    <row r="2115" spans="1:8" s="401" customFormat="1" ht="14.25" customHeight="1" x14ac:dyDescent="0.25">
      <c r="A2115" s="564">
        <v>1522</v>
      </c>
      <c r="B2115" s="562" t="s">
        <v>790</v>
      </c>
      <c r="C2115" s="403">
        <v>1</v>
      </c>
      <c r="D2115" s="400"/>
      <c r="E2115" s="400"/>
      <c r="F2115" s="400"/>
      <c r="G2115" s="400"/>
      <c r="H2115" s="396"/>
    </row>
    <row r="2116" spans="1:8" s="401" customFormat="1" ht="14.25" customHeight="1" x14ac:dyDescent="0.25">
      <c r="A2116" s="564">
        <v>1524</v>
      </c>
      <c r="B2116" s="562" t="s">
        <v>790</v>
      </c>
      <c r="C2116" s="403">
        <v>1</v>
      </c>
      <c r="D2116" s="400"/>
      <c r="E2116" s="400"/>
      <c r="F2116" s="400"/>
      <c r="G2116" s="400"/>
      <c r="H2116" s="396"/>
    </row>
    <row r="2117" spans="1:8" s="401" customFormat="1" ht="14.25" customHeight="1" x14ac:dyDescent="0.25">
      <c r="A2117" s="564">
        <v>1527</v>
      </c>
      <c r="B2117" s="562" t="s">
        <v>790</v>
      </c>
      <c r="C2117" s="403">
        <v>1</v>
      </c>
      <c r="D2117" s="400"/>
      <c r="E2117" s="400"/>
      <c r="F2117" s="400"/>
      <c r="G2117" s="400"/>
      <c r="H2117" s="396"/>
    </row>
    <row r="2118" spans="1:8" s="401" customFormat="1" ht="14.25" customHeight="1" x14ac:dyDescent="0.25">
      <c r="A2118" s="564">
        <v>1530</v>
      </c>
      <c r="B2118" s="562" t="s">
        <v>790</v>
      </c>
      <c r="C2118" s="403">
        <v>1</v>
      </c>
      <c r="D2118" s="400"/>
      <c r="E2118" s="400"/>
      <c r="F2118" s="400"/>
      <c r="G2118" s="400"/>
      <c r="H2118" s="396"/>
    </row>
    <row r="2119" spans="1:8" s="401" customFormat="1" ht="14.25" customHeight="1" x14ac:dyDescent="0.25">
      <c r="A2119" s="564">
        <v>1536</v>
      </c>
      <c r="B2119" s="562" t="s">
        <v>790</v>
      </c>
      <c r="C2119" s="403">
        <v>402</v>
      </c>
      <c r="D2119" s="400"/>
      <c r="E2119" s="400"/>
      <c r="F2119" s="400"/>
      <c r="G2119" s="400"/>
      <c r="H2119" s="396"/>
    </row>
    <row r="2120" spans="1:8" s="401" customFormat="1" ht="14.25" customHeight="1" x14ac:dyDescent="0.25">
      <c r="A2120" s="564">
        <v>1538</v>
      </c>
      <c r="B2120" s="562" t="s">
        <v>790</v>
      </c>
      <c r="C2120" s="403">
        <v>402</v>
      </c>
      <c r="D2120" s="400"/>
      <c r="E2120" s="400"/>
      <c r="F2120" s="400"/>
      <c r="G2120" s="400"/>
      <c r="H2120" s="396"/>
    </row>
    <row r="2121" spans="1:8" s="401" customFormat="1" ht="14.25" customHeight="1" x14ac:dyDescent="0.25">
      <c r="A2121" s="564">
        <v>1540</v>
      </c>
      <c r="B2121" s="562" t="s">
        <v>790</v>
      </c>
      <c r="C2121" s="403">
        <v>402</v>
      </c>
      <c r="D2121" s="400"/>
      <c r="E2121" s="400"/>
      <c r="F2121" s="400"/>
      <c r="G2121" s="400"/>
      <c r="H2121" s="396"/>
    </row>
    <row r="2122" spans="1:8" s="401" customFormat="1" ht="14.25" customHeight="1" x14ac:dyDescent="0.25">
      <c r="A2122" s="564">
        <v>1541</v>
      </c>
      <c r="B2122" s="562" t="s">
        <v>790</v>
      </c>
      <c r="C2122" s="403">
        <v>402</v>
      </c>
      <c r="D2122" s="400"/>
      <c r="E2122" s="400"/>
      <c r="F2122" s="400"/>
      <c r="G2122" s="400"/>
      <c r="H2122" s="396"/>
    </row>
    <row r="2123" spans="1:8" s="401" customFormat="1" ht="14.25" customHeight="1" x14ac:dyDescent="0.25">
      <c r="A2123" s="564">
        <v>1543</v>
      </c>
      <c r="B2123" s="562" t="s">
        <v>790</v>
      </c>
      <c r="C2123" s="403">
        <v>402</v>
      </c>
      <c r="D2123" s="400"/>
      <c r="E2123" s="400"/>
      <c r="F2123" s="400"/>
      <c r="G2123" s="400"/>
      <c r="H2123" s="396"/>
    </row>
    <row r="2124" spans="1:8" s="401" customFormat="1" ht="14.25" customHeight="1" x14ac:dyDescent="0.25">
      <c r="A2124" s="564">
        <v>1546</v>
      </c>
      <c r="B2124" s="562" t="s">
        <v>785</v>
      </c>
      <c r="C2124" s="403">
        <v>172</v>
      </c>
      <c r="D2124" s="400"/>
      <c r="E2124" s="400"/>
      <c r="F2124" s="400"/>
      <c r="G2124" s="400"/>
      <c r="H2124" s="396"/>
    </row>
    <row r="2125" spans="1:8" s="401" customFormat="1" ht="14.25" customHeight="1" x14ac:dyDescent="0.25">
      <c r="A2125" s="564">
        <v>1548</v>
      </c>
      <c r="B2125" s="562" t="s">
        <v>785</v>
      </c>
      <c r="C2125" s="403">
        <v>172</v>
      </c>
      <c r="D2125" s="400"/>
      <c r="E2125" s="400"/>
      <c r="F2125" s="400"/>
      <c r="G2125" s="400"/>
      <c r="H2125" s="396"/>
    </row>
    <row r="2126" spans="1:8" s="401" customFormat="1" ht="14.25" customHeight="1" x14ac:dyDescent="0.25">
      <c r="A2126" s="564">
        <v>1555</v>
      </c>
      <c r="B2126" s="562" t="s">
        <v>785</v>
      </c>
      <c r="C2126" s="403">
        <v>172</v>
      </c>
      <c r="D2126" s="400"/>
      <c r="E2126" s="400"/>
      <c r="F2126" s="400"/>
      <c r="G2126" s="400"/>
      <c r="H2126" s="396"/>
    </row>
    <row r="2127" spans="1:8" s="401" customFormat="1" ht="14.25" customHeight="1" x14ac:dyDescent="0.25">
      <c r="A2127" s="564">
        <v>1558</v>
      </c>
      <c r="B2127" s="562" t="s">
        <v>785</v>
      </c>
      <c r="C2127" s="403">
        <v>172</v>
      </c>
      <c r="D2127" s="400"/>
      <c r="E2127" s="400"/>
      <c r="F2127" s="400"/>
      <c r="G2127" s="400"/>
      <c r="H2127" s="396"/>
    </row>
    <row r="2128" spans="1:8" s="401" customFormat="1" ht="14.25" customHeight="1" x14ac:dyDescent="0.25">
      <c r="A2128" s="564">
        <v>1559</v>
      </c>
      <c r="B2128" s="562" t="s">
        <v>785</v>
      </c>
      <c r="C2128" s="403">
        <v>172</v>
      </c>
      <c r="D2128" s="400"/>
      <c r="E2128" s="400"/>
      <c r="F2128" s="400"/>
      <c r="G2128" s="400"/>
      <c r="H2128" s="396"/>
    </row>
    <row r="2129" spans="1:8" s="401" customFormat="1" ht="14.25" customHeight="1" x14ac:dyDescent="0.25">
      <c r="A2129" s="564">
        <v>1560</v>
      </c>
      <c r="B2129" s="562" t="s">
        <v>785</v>
      </c>
      <c r="C2129" s="403">
        <v>172</v>
      </c>
      <c r="D2129" s="400"/>
      <c r="E2129" s="400"/>
      <c r="F2129" s="400"/>
      <c r="G2129" s="400"/>
      <c r="H2129" s="396"/>
    </row>
    <row r="2130" spans="1:8" s="401" customFormat="1" ht="14.25" customHeight="1" x14ac:dyDescent="0.25">
      <c r="A2130" s="564">
        <v>1562</v>
      </c>
      <c r="B2130" s="562" t="s">
        <v>785</v>
      </c>
      <c r="C2130" s="403">
        <v>172</v>
      </c>
      <c r="D2130" s="400"/>
      <c r="E2130" s="400"/>
      <c r="F2130" s="400"/>
      <c r="G2130" s="400"/>
      <c r="H2130" s="396"/>
    </row>
    <row r="2131" spans="1:8" s="401" customFormat="1" ht="14.25" customHeight="1" x14ac:dyDescent="0.25">
      <c r="A2131" s="564">
        <v>1565</v>
      </c>
      <c r="B2131" s="562" t="s">
        <v>785</v>
      </c>
      <c r="C2131" s="403">
        <v>172</v>
      </c>
      <c r="D2131" s="400"/>
      <c r="E2131" s="400"/>
      <c r="F2131" s="400"/>
      <c r="G2131" s="400"/>
      <c r="H2131" s="396"/>
    </row>
    <row r="2132" spans="1:8" s="401" customFormat="1" ht="14.25" customHeight="1" x14ac:dyDescent="0.25">
      <c r="A2132" s="564">
        <v>1566</v>
      </c>
      <c r="B2132" s="562" t="s">
        <v>785</v>
      </c>
      <c r="C2132" s="403">
        <v>172</v>
      </c>
      <c r="D2132" s="400"/>
      <c r="E2132" s="400"/>
      <c r="F2132" s="400"/>
      <c r="G2132" s="400"/>
      <c r="H2132" s="396"/>
    </row>
    <row r="2133" spans="1:8" s="401" customFormat="1" ht="14.25" customHeight="1" x14ac:dyDescent="0.25">
      <c r="A2133" s="564">
        <v>1569</v>
      </c>
      <c r="B2133" s="562" t="s">
        <v>785</v>
      </c>
      <c r="C2133" s="403">
        <v>172</v>
      </c>
      <c r="D2133" s="400"/>
      <c r="E2133" s="400"/>
      <c r="F2133" s="400"/>
      <c r="G2133" s="400"/>
      <c r="H2133" s="396"/>
    </row>
    <row r="2134" spans="1:8" s="401" customFormat="1" ht="14.25" customHeight="1" x14ac:dyDescent="0.25">
      <c r="A2134" s="564">
        <v>1571</v>
      </c>
      <c r="B2134" s="562" t="s">
        <v>785</v>
      </c>
      <c r="C2134" s="403">
        <v>172</v>
      </c>
      <c r="D2134" s="400"/>
      <c r="E2134" s="400"/>
      <c r="F2134" s="400"/>
      <c r="G2134" s="400"/>
      <c r="H2134" s="396"/>
    </row>
    <row r="2135" spans="1:8" s="401" customFormat="1" ht="14.25" customHeight="1" x14ac:dyDescent="0.25">
      <c r="A2135" s="564">
        <v>1573</v>
      </c>
      <c r="B2135" s="562" t="s">
        <v>785</v>
      </c>
      <c r="C2135" s="403">
        <v>172</v>
      </c>
      <c r="D2135" s="400"/>
      <c r="E2135" s="400"/>
      <c r="F2135" s="400"/>
      <c r="G2135" s="400"/>
      <c r="H2135" s="396"/>
    </row>
    <row r="2136" spans="1:8" s="401" customFormat="1" ht="14.25" customHeight="1" x14ac:dyDescent="0.25">
      <c r="A2136" s="564">
        <v>1580</v>
      </c>
      <c r="B2136" s="562" t="s">
        <v>785</v>
      </c>
      <c r="C2136" s="403">
        <v>172</v>
      </c>
      <c r="D2136" s="400"/>
      <c r="E2136" s="400"/>
      <c r="F2136" s="400"/>
      <c r="G2136" s="400"/>
      <c r="H2136" s="396"/>
    </row>
    <row r="2137" spans="1:8" s="401" customFormat="1" ht="14.25" customHeight="1" x14ac:dyDescent="0.25">
      <c r="A2137" s="564">
        <v>1583</v>
      </c>
      <c r="B2137" s="562" t="s">
        <v>785</v>
      </c>
      <c r="C2137" s="403">
        <v>172</v>
      </c>
      <c r="D2137" s="400"/>
      <c r="E2137" s="400"/>
      <c r="F2137" s="400"/>
      <c r="G2137" s="400"/>
      <c r="H2137" s="396"/>
    </row>
    <row r="2138" spans="1:8" s="401" customFormat="1" ht="14.25" customHeight="1" x14ac:dyDescent="0.25">
      <c r="A2138" s="564">
        <v>1585</v>
      </c>
      <c r="B2138" s="562" t="s">
        <v>785</v>
      </c>
      <c r="C2138" s="403">
        <v>172</v>
      </c>
      <c r="D2138" s="400"/>
      <c r="E2138" s="400"/>
      <c r="F2138" s="400"/>
      <c r="G2138" s="400"/>
      <c r="H2138" s="396"/>
    </row>
    <row r="2139" spans="1:8" s="401" customFormat="1" ht="14.25" customHeight="1" x14ac:dyDescent="0.25">
      <c r="A2139" s="564">
        <v>1587</v>
      </c>
      <c r="B2139" s="562" t="s">
        <v>785</v>
      </c>
      <c r="C2139" s="403">
        <v>172</v>
      </c>
      <c r="D2139" s="400"/>
      <c r="E2139" s="400"/>
      <c r="F2139" s="400"/>
      <c r="G2139" s="400"/>
      <c r="H2139" s="396"/>
    </row>
    <row r="2140" spans="1:8" s="401" customFormat="1" ht="14.25" customHeight="1" x14ac:dyDescent="0.25">
      <c r="A2140" s="564">
        <v>1589</v>
      </c>
      <c r="B2140" s="562" t="s">
        <v>785</v>
      </c>
      <c r="C2140" s="403">
        <v>172</v>
      </c>
      <c r="D2140" s="400"/>
      <c r="E2140" s="400"/>
      <c r="F2140" s="400"/>
      <c r="G2140" s="400"/>
      <c r="H2140" s="396"/>
    </row>
    <row r="2141" spans="1:8" s="401" customFormat="1" ht="14.25" customHeight="1" x14ac:dyDescent="0.25">
      <c r="A2141" s="564">
        <v>1594</v>
      </c>
      <c r="B2141" s="562" t="s">
        <v>785</v>
      </c>
      <c r="C2141" s="403">
        <v>172</v>
      </c>
      <c r="D2141" s="400"/>
      <c r="E2141" s="400"/>
      <c r="F2141" s="400"/>
      <c r="G2141" s="400"/>
      <c r="H2141" s="396"/>
    </row>
    <row r="2142" spans="1:8" s="401" customFormat="1" ht="14.25" customHeight="1" x14ac:dyDescent="0.25">
      <c r="A2142" s="564">
        <v>1596</v>
      </c>
      <c r="B2142" s="562" t="s">
        <v>785</v>
      </c>
      <c r="C2142" s="403">
        <v>172</v>
      </c>
      <c r="D2142" s="400"/>
      <c r="E2142" s="400"/>
      <c r="F2142" s="400"/>
      <c r="G2142" s="400"/>
      <c r="H2142" s="396"/>
    </row>
    <row r="2143" spans="1:8" s="401" customFormat="1" ht="14.25" customHeight="1" x14ac:dyDescent="0.25">
      <c r="A2143" s="564">
        <v>1600</v>
      </c>
      <c r="B2143" s="562" t="s">
        <v>785</v>
      </c>
      <c r="C2143" s="403">
        <v>172</v>
      </c>
      <c r="D2143" s="400"/>
      <c r="E2143" s="400"/>
      <c r="F2143" s="400"/>
      <c r="G2143" s="400"/>
      <c r="H2143" s="396"/>
    </row>
    <row r="2144" spans="1:8" s="401" customFormat="1" ht="14.25" customHeight="1" x14ac:dyDescent="0.25">
      <c r="A2144" s="564">
        <v>1604</v>
      </c>
      <c r="B2144" s="562" t="s">
        <v>785</v>
      </c>
      <c r="C2144" s="403">
        <v>115</v>
      </c>
      <c r="D2144" s="400"/>
      <c r="E2144" s="400"/>
      <c r="F2144" s="400"/>
      <c r="G2144" s="400"/>
      <c r="H2144" s="396"/>
    </row>
    <row r="2145" spans="1:8" s="401" customFormat="1" ht="14.25" customHeight="1" x14ac:dyDescent="0.25">
      <c r="A2145" s="564">
        <v>1606</v>
      </c>
      <c r="B2145" s="562" t="s">
        <v>785</v>
      </c>
      <c r="C2145" s="403">
        <v>115</v>
      </c>
      <c r="D2145" s="400"/>
      <c r="E2145" s="400"/>
      <c r="F2145" s="400"/>
      <c r="G2145" s="400"/>
      <c r="H2145" s="396"/>
    </row>
    <row r="2146" spans="1:8" s="401" customFormat="1" ht="14.25" customHeight="1" x14ac:dyDescent="0.25">
      <c r="A2146" s="564">
        <v>1609</v>
      </c>
      <c r="B2146" s="562" t="s">
        <v>785</v>
      </c>
      <c r="C2146" s="403">
        <v>115</v>
      </c>
      <c r="D2146" s="400"/>
      <c r="E2146" s="400"/>
      <c r="F2146" s="400"/>
      <c r="G2146" s="400"/>
      <c r="H2146" s="396"/>
    </row>
    <row r="2147" spans="1:8" s="401" customFormat="1" ht="14.25" customHeight="1" x14ac:dyDescent="0.25">
      <c r="A2147" s="564">
        <v>1612</v>
      </c>
      <c r="B2147" s="562" t="s">
        <v>785</v>
      </c>
      <c r="C2147" s="403">
        <v>115</v>
      </c>
      <c r="D2147" s="400"/>
      <c r="E2147" s="400"/>
      <c r="F2147" s="400"/>
      <c r="G2147" s="400"/>
      <c r="H2147" s="396"/>
    </row>
    <row r="2148" spans="1:8" s="401" customFormat="1" ht="14.25" customHeight="1" x14ac:dyDescent="0.25">
      <c r="A2148" s="564">
        <v>1615</v>
      </c>
      <c r="B2148" s="562" t="s">
        <v>785</v>
      </c>
      <c r="C2148" s="403">
        <v>115</v>
      </c>
      <c r="D2148" s="400"/>
      <c r="E2148" s="400"/>
      <c r="F2148" s="400"/>
      <c r="G2148" s="400"/>
      <c r="H2148" s="396"/>
    </row>
    <row r="2149" spans="1:8" s="401" customFormat="1" ht="14.25" customHeight="1" x14ac:dyDescent="0.25">
      <c r="A2149" s="564">
        <v>1621</v>
      </c>
      <c r="B2149" s="562" t="s">
        <v>785</v>
      </c>
      <c r="C2149" s="403">
        <v>115</v>
      </c>
      <c r="D2149" s="400"/>
      <c r="E2149" s="400"/>
      <c r="F2149" s="400"/>
      <c r="G2149" s="400"/>
      <c r="H2149" s="396"/>
    </row>
    <row r="2150" spans="1:8" s="401" customFormat="1" ht="14.25" customHeight="1" x14ac:dyDescent="0.25">
      <c r="A2150" s="564">
        <v>1624</v>
      </c>
      <c r="B2150" s="562" t="s">
        <v>785</v>
      </c>
      <c r="C2150" s="403">
        <v>115</v>
      </c>
      <c r="D2150" s="400"/>
      <c r="E2150" s="400"/>
      <c r="F2150" s="400"/>
      <c r="G2150" s="400"/>
      <c r="H2150" s="396"/>
    </row>
    <row r="2151" spans="1:8" s="401" customFormat="1" ht="14.25" customHeight="1" x14ac:dyDescent="0.25">
      <c r="A2151" s="564">
        <v>1629</v>
      </c>
      <c r="B2151" s="562" t="s">
        <v>785</v>
      </c>
      <c r="C2151" s="403">
        <v>115</v>
      </c>
      <c r="D2151" s="400"/>
      <c r="E2151" s="400"/>
      <c r="F2151" s="400"/>
      <c r="G2151" s="400"/>
      <c r="H2151" s="396"/>
    </row>
    <row r="2152" spans="1:8" s="401" customFormat="1" ht="14.25" customHeight="1" x14ac:dyDescent="0.25">
      <c r="A2152" s="564">
        <v>1633</v>
      </c>
      <c r="B2152" s="562" t="s">
        <v>785</v>
      </c>
      <c r="C2152" s="403">
        <v>115</v>
      </c>
      <c r="D2152" s="400"/>
      <c r="E2152" s="400"/>
      <c r="F2152" s="400"/>
      <c r="G2152" s="400"/>
      <c r="H2152" s="396"/>
    </row>
    <row r="2153" spans="1:8" s="401" customFormat="1" ht="14.25" customHeight="1" x14ac:dyDescent="0.25">
      <c r="A2153" s="564">
        <v>1643</v>
      </c>
      <c r="B2153" s="562" t="s">
        <v>785</v>
      </c>
      <c r="C2153" s="403">
        <v>115</v>
      </c>
      <c r="D2153" s="400"/>
      <c r="E2153" s="400"/>
      <c r="F2153" s="400"/>
      <c r="G2153" s="400"/>
      <c r="H2153" s="396"/>
    </row>
    <row r="2154" spans="1:8" s="401" customFormat="1" ht="14.25" customHeight="1" x14ac:dyDescent="0.25">
      <c r="A2154" s="564">
        <v>1646</v>
      </c>
      <c r="B2154" s="562" t="s">
        <v>785</v>
      </c>
      <c r="C2154" s="403">
        <v>115</v>
      </c>
      <c r="D2154" s="400"/>
      <c r="E2154" s="400"/>
      <c r="F2154" s="400"/>
      <c r="G2154" s="400"/>
      <c r="H2154" s="396"/>
    </row>
    <row r="2155" spans="1:8" s="401" customFormat="1" ht="14.25" customHeight="1" x14ac:dyDescent="0.25">
      <c r="A2155" s="564">
        <v>1649</v>
      </c>
      <c r="B2155" s="562" t="s">
        <v>785</v>
      </c>
      <c r="C2155" s="403">
        <v>115</v>
      </c>
      <c r="D2155" s="400"/>
      <c r="E2155" s="400"/>
      <c r="F2155" s="400"/>
      <c r="G2155" s="400"/>
      <c r="H2155" s="396"/>
    </row>
    <row r="2156" spans="1:8" s="401" customFormat="1" ht="14.25" customHeight="1" x14ac:dyDescent="0.25">
      <c r="A2156" s="564">
        <v>1651</v>
      </c>
      <c r="B2156" s="562" t="s">
        <v>785</v>
      </c>
      <c r="C2156" s="403">
        <v>115</v>
      </c>
      <c r="D2156" s="400"/>
      <c r="E2156" s="400"/>
      <c r="F2156" s="400"/>
      <c r="G2156" s="400"/>
      <c r="H2156" s="396"/>
    </row>
    <row r="2157" spans="1:8" s="401" customFormat="1" ht="14.25" customHeight="1" x14ac:dyDescent="0.25">
      <c r="A2157" s="564">
        <v>1654</v>
      </c>
      <c r="B2157" s="562" t="s">
        <v>785</v>
      </c>
      <c r="C2157" s="403">
        <v>115</v>
      </c>
      <c r="D2157" s="400"/>
      <c r="E2157" s="400"/>
      <c r="F2157" s="400"/>
      <c r="G2157" s="400"/>
      <c r="H2157" s="396"/>
    </row>
    <row r="2158" spans="1:8" s="401" customFormat="1" ht="14.25" customHeight="1" x14ac:dyDescent="0.25">
      <c r="A2158" s="564">
        <v>1656</v>
      </c>
      <c r="B2158" s="562" t="s">
        <v>785</v>
      </c>
      <c r="C2158" s="403">
        <v>115</v>
      </c>
      <c r="D2158" s="400"/>
      <c r="E2158" s="400"/>
      <c r="F2158" s="400"/>
      <c r="G2158" s="400"/>
      <c r="H2158" s="396"/>
    </row>
    <row r="2159" spans="1:8" s="401" customFormat="1" ht="14.25" customHeight="1" x14ac:dyDescent="0.25">
      <c r="A2159" s="564">
        <v>1657</v>
      </c>
      <c r="B2159" s="562" t="s">
        <v>785</v>
      </c>
      <c r="C2159" s="403">
        <v>115</v>
      </c>
      <c r="D2159" s="400"/>
      <c r="E2159" s="400"/>
      <c r="F2159" s="400"/>
      <c r="G2159" s="400"/>
      <c r="H2159" s="396"/>
    </row>
    <row r="2160" spans="1:8" s="401" customFormat="1" ht="14.25" customHeight="1" x14ac:dyDescent="0.25">
      <c r="A2160" s="564">
        <v>1659</v>
      </c>
      <c r="B2160" s="562" t="s">
        <v>785</v>
      </c>
      <c r="C2160" s="403">
        <v>115</v>
      </c>
      <c r="D2160" s="400"/>
      <c r="E2160" s="400"/>
      <c r="F2160" s="400"/>
      <c r="G2160" s="400"/>
      <c r="H2160" s="396"/>
    </row>
    <row r="2161" spans="1:8" s="401" customFormat="1" ht="14.25" customHeight="1" x14ac:dyDescent="0.25">
      <c r="A2161" s="564">
        <v>1661</v>
      </c>
      <c r="B2161" s="562" t="s">
        <v>785</v>
      </c>
      <c r="C2161" s="403">
        <v>115</v>
      </c>
      <c r="D2161" s="400"/>
      <c r="E2161" s="400"/>
      <c r="F2161" s="400"/>
      <c r="G2161" s="400"/>
      <c r="H2161" s="396"/>
    </row>
    <row r="2162" spans="1:8" s="401" customFormat="1" ht="14.25" customHeight="1" x14ac:dyDescent="0.25">
      <c r="A2162" s="564">
        <v>1664</v>
      </c>
      <c r="B2162" s="562" t="s">
        <v>785</v>
      </c>
      <c r="C2162" s="403">
        <v>115</v>
      </c>
      <c r="D2162" s="400"/>
      <c r="E2162" s="400"/>
      <c r="F2162" s="400"/>
      <c r="G2162" s="400"/>
      <c r="H2162" s="396"/>
    </row>
    <row r="2163" spans="1:8" s="401" customFormat="1" ht="14.25" customHeight="1" x14ac:dyDescent="0.25">
      <c r="A2163" s="564">
        <v>1666</v>
      </c>
      <c r="B2163" s="562" t="s">
        <v>785</v>
      </c>
      <c r="C2163" s="403">
        <v>115</v>
      </c>
      <c r="D2163" s="400"/>
      <c r="E2163" s="400"/>
      <c r="F2163" s="400"/>
      <c r="G2163" s="400"/>
      <c r="H2163" s="396"/>
    </row>
    <row r="2164" spans="1:8" s="401" customFormat="1" ht="14.25" customHeight="1" x14ac:dyDescent="0.25">
      <c r="A2164" s="564">
        <v>1672</v>
      </c>
      <c r="B2164" s="562" t="s">
        <v>785</v>
      </c>
      <c r="C2164" s="403">
        <v>1</v>
      </c>
      <c r="D2164" s="400"/>
      <c r="E2164" s="400"/>
      <c r="F2164" s="400"/>
      <c r="G2164" s="400"/>
      <c r="H2164" s="396"/>
    </row>
    <row r="2165" spans="1:8" s="401" customFormat="1" ht="14.25" customHeight="1" x14ac:dyDescent="0.25">
      <c r="A2165" s="564">
        <v>1675</v>
      </c>
      <c r="B2165" s="562" t="s">
        <v>785</v>
      </c>
      <c r="C2165" s="403">
        <v>1</v>
      </c>
      <c r="D2165" s="400"/>
      <c r="E2165" s="400"/>
      <c r="F2165" s="400"/>
      <c r="G2165" s="400"/>
      <c r="H2165" s="396"/>
    </row>
    <row r="2166" spans="1:8" s="401" customFormat="1" ht="14.25" customHeight="1" x14ac:dyDescent="0.25">
      <c r="A2166" s="564">
        <v>1678</v>
      </c>
      <c r="B2166" s="562" t="s">
        <v>785</v>
      </c>
      <c r="C2166" s="403">
        <v>1</v>
      </c>
      <c r="D2166" s="400"/>
      <c r="E2166" s="400"/>
      <c r="F2166" s="400"/>
      <c r="G2166" s="400"/>
      <c r="H2166" s="396"/>
    </row>
    <row r="2167" spans="1:8" s="401" customFormat="1" ht="14.25" customHeight="1" x14ac:dyDescent="0.25">
      <c r="A2167" s="564">
        <v>1703</v>
      </c>
      <c r="B2167" s="562" t="s">
        <v>785</v>
      </c>
      <c r="C2167" s="403">
        <v>1</v>
      </c>
      <c r="D2167" s="400"/>
      <c r="E2167" s="400"/>
      <c r="F2167" s="400"/>
      <c r="G2167" s="400"/>
      <c r="H2167" s="396"/>
    </row>
    <row r="2168" spans="1:8" s="401" customFormat="1" ht="14.25" customHeight="1" x14ac:dyDescent="0.25">
      <c r="A2168" s="564">
        <v>1712</v>
      </c>
      <c r="B2168" s="562" t="s">
        <v>785</v>
      </c>
      <c r="C2168" s="403">
        <v>1</v>
      </c>
      <c r="D2168" s="400"/>
      <c r="E2168" s="400"/>
      <c r="F2168" s="400"/>
      <c r="G2168" s="400"/>
      <c r="H2168" s="396"/>
    </row>
    <row r="2169" spans="1:8" s="401" customFormat="1" ht="14.25" customHeight="1" x14ac:dyDescent="0.25">
      <c r="A2169" s="564">
        <v>1714</v>
      </c>
      <c r="B2169" s="562" t="s">
        <v>785</v>
      </c>
      <c r="C2169" s="403">
        <v>1</v>
      </c>
      <c r="D2169" s="400"/>
      <c r="E2169" s="400"/>
      <c r="F2169" s="400"/>
      <c r="G2169" s="400"/>
      <c r="H2169" s="396"/>
    </row>
    <row r="2170" spans="1:8" s="401" customFormat="1" ht="14.25" customHeight="1" x14ac:dyDescent="0.25">
      <c r="A2170" s="564">
        <v>1715</v>
      </c>
      <c r="B2170" s="562" t="s">
        <v>785</v>
      </c>
      <c r="C2170" s="403">
        <v>1</v>
      </c>
      <c r="D2170" s="400"/>
      <c r="E2170" s="400"/>
      <c r="F2170" s="400"/>
      <c r="G2170" s="400"/>
      <c r="H2170" s="396"/>
    </row>
    <row r="2171" spans="1:8" s="401" customFormat="1" ht="14.25" customHeight="1" x14ac:dyDescent="0.25">
      <c r="A2171" s="564">
        <v>1718</v>
      </c>
      <c r="B2171" s="562" t="s">
        <v>785</v>
      </c>
      <c r="C2171" s="403">
        <v>1</v>
      </c>
      <c r="D2171" s="400"/>
      <c r="E2171" s="400"/>
      <c r="F2171" s="400"/>
      <c r="G2171" s="400"/>
      <c r="H2171" s="396"/>
    </row>
    <row r="2172" spans="1:8" s="401" customFormat="1" ht="14.25" customHeight="1" x14ac:dyDescent="0.25">
      <c r="A2172" s="564">
        <v>1720</v>
      </c>
      <c r="B2172" s="562" t="s">
        <v>785</v>
      </c>
      <c r="C2172" s="403">
        <v>1</v>
      </c>
      <c r="D2172" s="400"/>
      <c r="E2172" s="400"/>
      <c r="F2172" s="400"/>
      <c r="G2172" s="400"/>
      <c r="H2172" s="396"/>
    </row>
    <row r="2173" spans="1:8" s="401" customFormat="1" ht="14.25" customHeight="1" x14ac:dyDescent="0.25">
      <c r="A2173" s="564">
        <v>1723</v>
      </c>
      <c r="B2173" s="562" t="s">
        <v>785</v>
      </c>
      <c r="C2173" s="403">
        <v>1</v>
      </c>
      <c r="D2173" s="400"/>
      <c r="E2173" s="400"/>
      <c r="F2173" s="400"/>
      <c r="G2173" s="400"/>
      <c r="H2173" s="396"/>
    </row>
    <row r="2174" spans="1:8" s="401" customFormat="1" ht="14.25" customHeight="1" x14ac:dyDescent="0.25">
      <c r="A2174" s="564">
        <v>1725</v>
      </c>
      <c r="B2174" s="562" t="s">
        <v>785</v>
      </c>
      <c r="C2174" s="403">
        <v>1</v>
      </c>
      <c r="D2174" s="400"/>
      <c r="E2174" s="400"/>
      <c r="F2174" s="400"/>
      <c r="G2174" s="400"/>
      <c r="H2174" s="396"/>
    </row>
    <row r="2175" spans="1:8" s="401" customFormat="1" ht="14.25" customHeight="1" x14ac:dyDescent="0.25">
      <c r="A2175" s="564">
        <v>1728</v>
      </c>
      <c r="B2175" s="562" t="s">
        <v>785</v>
      </c>
      <c r="C2175" s="403">
        <v>1</v>
      </c>
      <c r="D2175" s="400"/>
      <c r="E2175" s="400"/>
      <c r="F2175" s="400"/>
      <c r="G2175" s="400"/>
      <c r="H2175" s="396"/>
    </row>
    <row r="2176" spans="1:8" s="401" customFormat="1" ht="14.25" customHeight="1" x14ac:dyDescent="0.25">
      <c r="A2176" s="564">
        <v>1731</v>
      </c>
      <c r="B2176" s="562" t="s">
        <v>785</v>
      </c>
      <c r="C2176" s="403">
        <v>1</v>
      </c>
      <c r="D2176" s="400"/>
      <c r="E2176" s="400"/>
      <c r="F2176" s="400"/>
      <c r="G2176" s="400"/>
      <c r="H2176" s="396"/>
    </row>
    <row r="2177" spans="1:8" s="401" customFormat="1" ht="14.25" customHeight="1" x14ac:dyDescent="0.25">
      <c r="A2177" s="564">
        <v>1732</v>
      </c>
      <c r="B2177" s="562" t="s">
        <v>785</v>
      </c>
      <c r="C2177" s="403">
        <v>1</v>
      </c>
      <c r="D2177" s="400"/>
      <c r="E2177" s="400"/>
      <c r="F2177" s="400"/>
      <c r="G2177" s="400"/>
      <c r="H2177" s="396"/>
    </row>
    <row r="2178" spans="1:8" s="401" customFormat="1" ht="14.25" customHeight="1" x14ac:dyDescent="0.25">
      <c r="A2178" s="564">
        <v>1734</v>
      </c>
      <c r="B2178" s="562" t="s">
        <v>785</v>
      </c>
      <c r="C2178" s="403">
        <v>1</v>
      </c>
      <c r="D2178" s="400"/>
      <c r="E2178" s="400"/>
      <c r="F2178" s="400"/>
      <c r="G2178" s="400"/>
      <c r="H2178" s="396"/>
    </row>
    <row r="2179" spans="1:8" s="401" customFormat="1" ht="14.25" customHeight="1" x14ac:dyDescent="0.25">
      <c r="A2179" s="564">
        <v>1736</v>
      </c>
      <c r="B2179" s="562" t="s">
        <v>785</v>
      </c>
      <c r="C2179" s="403">
        <v>1</v>
      </c>
      <c r="D2179" s="400"/>
      <c r="E2179" s="400"/>
      <c r="F2179" s="400"/>
      <c r="G2179" s="400"/>
      <c r="H2179" s="396"/>
    </row>
    <row r="2180" spans="1:8" s="401" customFormat="1" ht="14.25" customHeight="1" x14ac:dyDescent="0.25">
      <c r="A2180" s="564">
        <v>1739</v>
      </c>
      <c r="B2180" s="562" t="s">
        <v>785</v>
      </c>
      <c r="C2180" s="403">
        <v>1</v>
      </c>
      <c r="D2180" s="400"/>
      <c r="E2180" s="400"/>
      <c r="F2180" s="400"/>
      <c r="G2180" s="400"/>
      <c r="H2180" s="396"/>
    </row>
    <row r="2181" spans="1:8" s="401" customFormat="1" ht="14.25" customHeight="1" x14ac:dyDescent="0.25">
      <c r="A2181" s="564">
        <v>1742</v>
      </c>
      <c r="B2181" s="562" t="s">
        <v>785</v>
      </c>
      <c r="C2181" s="403">
        <v>1</v>
      </c>
      <c r="D2181" s="400"/>
      <c r="E2181" s="400"/>
      <c r="F2181" s="400"/>
      <c r="G2181" s="400"/>
      <c r="H2181" s="396"/>
    </row>
    <row r="2182" spans="1:8" s="401" customFormat="1" ht="14.25" customHeight="1" x14ac:dyDescent="0.25">
      <c r="A2182" s="564">
        <v>1744</v>
      </c>
      <c r="B2182" s="562" t="s">
        <v>785</v>
      </c>
      <c r="C2182" s="403">
        <v>1</v>
      </c>
      <c r="D2182" s="400"/>
      <c r="E2182" s="400"/>
      <c r="F2182" s="400"/>
      <c r="G2182" s="400"/>
      <c r="H2182" s="396"/>
    </row>
    <row r="2183" spans="1:8" s="401" customFormat="1" ht="14.25" customHeight="1" x14ac:dyDescent="0.25">
      <c r="A2183" s="564">
        <v>1748</v>
      </c>
      <c r="B2183" s="562" t="s">
        <v>785</v>
      </c>
      <c r="C2183" s="403">
        <v>1</v>
      </c>
      <c r="D2183" s="400"/>
      <c r="E2183" s="400"/>
      <c r="F2183" s="400"/>
      <c r="G2183" s="400"/>
      <c r="H2183" s="396"/>
    </row>
    <row r="2184" spans="1:8" s="401" customFormat="1" ht="14.25" customHeight="1" x14ac:dyDescent="0.25">
      <c r="A2184" s="564">
        <v>1750</v>
      </c>
      <c r="B2184" s="562" t="s">
        <v>785</v>
      </c>
      <c r="C2184" s="403">
        <v>1</v>
      </c>
      <c r="D2184" s="400"/>
      <c r="E2184" s="400"/>
      <c r="F2184" s="400"/>
      <c r="G2184" s="400"/>
      <c r="H2184" s="396"/>
    </row>
    <row r="2185" spans="1:8" s="401" customFormat="1" ht="14.25" customHeight="1" x14ac:dyDescent="0.25">
      <c r="A2185" s="564">
        <v>1753</v>
      </c>
      <c r="B2185" s="562" t="s">
        <v>785</v>
      </c>
      <c r="C2185" s="403">
        <v>1</v>
      </c>
      <c r="D2185" s="400"/>
      <c r="E2185" s="400"/>
      <c r="F2185" s="400"/>
      <c r="G2185" s="400"/>
      <c r="H2185" s="396"/>
    </row>
    <row r="2186" spans="1:8" s="401" customFormat="1" ht="14.25" customHeight="1" x14ac:dyDescent="0.25">
      <c r="A2186" s="564">
        <v>1755</v>
      </c>
      <c r="B2186" s="562" t="s">
        <v>785</v>
      </c>
      <c r="C2186" s="403">
        <v>1</v>
      </c>
      <c r="D2186" s="400"/>
      <c r="E2186" s="400"/>
      <c r="F2186" s="400"/>
      <c r="G2186" s="400"/>
      <c r="H2186" s="396"/>
    </row>
    <row r="2187" spans="1:8" s="401" customFormat="1" ht="14.25" customHeight="1" x14ac:dyDescent="0.25">
      <c r="A2187" s="564">
        <v>1758</v>
      </c>
      <c r="B2187" s="562" t="s">
        <v>785</v>
      </c>
      <c r="C2187" s="403">
        <v>1</v>
      </c>
      <c r="D2187" s="400"/>
      <c r="E2187" s="400"/>
      <c r="F2187" s="400"/>
      <c r="G2187" s="400"/>
      <c r="H2187" s="396"/>
    </row>
    <row r="2188" spans="1:8" s="401" customFormat="1" ht="14.25" customHeight="1" x14ac:dyDescent="0.25">
      <c r="A2188" s="564">
        <v>1762</v>
      </c>
      <c r="B2188" s="562" t="s">
        <v>818</v>
      </c>
      <c r="C2188" s="403">
        <v>1</v>
      </c>
      <c r="D2188" s="400"/>
      <c r="E2188" s="400"/>
      <c r="F2188" s="400"/>
      <c r="G2188" s="400"/>
      <c r="H2188" s="396"/>
    </row>
    <row r="2189" spans="1:8" s="401" customFormat="1" ht="14.25" customHeight="1" x14ac:dyDescent="0.25">
      <c r="A2189" s="564">
        <v>1766</v>
      </c>
      <c r="B2189" s="562" t="s">
        <v>819</v>
      </c>
      <c r="C2189" s="403">
        <v>1</v>
      </c>
      <c r="D2189" s="400"/>
      <c r="E2189" s="400"/>
      <c r="F2189" s="400"/>
      <c r="G2189" s="400"/>
      <c r="H2189" s="396"/>
    </row>
    <row r="2190" spans="1:8" s="401" customFormat="1" ht="14.25" customHeight="1" x14ac:dyDescent="0.25">
      <c r="A2190" s="564">
        <v>1768</v>
      </c>
      <c r="B2190" s="562" t="s">
        <v>819</v>
      </c>
      <c r="C2190" s="403">
        <v>1</v>
      </c>
      <c r="D2190" s="400"/>
      <c r="E2190" s="400"/>
      <c r="F2190" s="400"/>
      <c r="G2190" s="400"/>
      <c r="H2190" s="396"/>
    </row>
    <row r="2191" spans="1:8" s="401" customFormat="1" ht="14.25" customHeight="1" x14ac:dyDescent="0.25">
      <c r="A2191" s="564">
        <v>1913</v>
      </c>
      <c r="B2191" s="562" t="s">
        <v>819</v>
      </c>
      <c r="C2191" s="403">
        <v>1</v>
      </c>
      <c r="D2191" s="400"/>
      <c r="E2191" s="400"/>
      <c r="F2191" s="400"/>
      <c r="G2191" s="400"/>
      <c r="H2191" s="396"/>
    </row>
    <row r="2192" spans="1:8" s="401" customFormat="1" ht="14.25" customHeight="1" x14ac:dyDescent="0.25">
      <c r="A2192" s="564">
        <v>1915</v>
      </c>
      <c r="B2192" s="562" t="s">
        <v>819</v>
      </c>
      <c r="C2192" s="403">
        <v>1</v>
      </c>
      <c r="D2192" s="400"/>
      <c r="E2192" s="400"/>
      <c r="F2192" s="400"/>
      <c r="G2192" s="400"/>
      <c r="H2192" s="396"/>
    </row>
    <row r="2193" spans="1:8" s="401" customFormat="1" ht="14.25" customHeight="1" x14ac:dyDescent="0.25">
      <c r="A2193" s="564">
        <v>1917</v>
      </c>
      <c r="B2193" s="562" t="s">
        <v>819</v>
      </c>
      <c r="C2193" s="403">
        <v>1</v>
      </c>
      <c r="D2193" s="400"/>
      <c r="E2193" s="400"/>
      <c r="F2193" s="400"/>
      <c r="G2193" s="400"/>
      <c r="H2193" s="396"/>
    </row>
    <row r="2194" spans="1:8" s="401" customFormat="1" ht="14.25" customHeight="1" x14ac:dyDescent="0.25">
      <c r="A2194" s="564">
        <v>1918</v>
      </c>
      <c r="B2194" s="562" t="s">
        <v>819</v>
      </c>
      <c r="C2194" s="403">
        <v>1</v>
      </c>
      <c r="D2194" s="400"/>
      <c r="E2194" s="400"/>
      <c r="F2194" s="400"/>
      <c r="G2194" s="400"/>
      <c r="H2194" s="396"/>
    </row>
    <row r="2195" spans="1:8" s="401" customFormat="1" ht="14.25" customHeight="1" x14ac:dyDescent="0.25">
      <c r="A2195" s="564">
        <v>1925</v>
      </c>
      <c r="B2195" s="562" t="s">
        <v>798</v>
      </c>
      <c r="C2195" s="403">
        <v>1292</v>
      </c>
      <c r="D2195" s="400"/>
      <c r="E2195" s="400"/>
      <c r="F2195" s="400"/>
      <c r="G2195" s="400"/>
      <c r="H2195" s="396"/>
    </row>
    <row r="2196" spans="1:8" s="401" customFormat="1" ht="14.25" customHeight="1" x14ac:dyDescent="0.25">
      <c r="A2196" s="564">
        <v>1940</v>
      </c>
      <c r="B2196" s="562" t="s">
        <v>798</v>
      </c>
      <c r="C2196" s="403">
        <v>2242</v>
      </c>
      <c r="D2196" s="400"/>
      <c r="E2196" s="400"/>
      <c r="F2196" s="400"/>
      <c r="G2196" s="400"/>
      <c r="H2196" s="396"/>
    </row>
    <row r="2197" spans="1:8" s="401" customFormat="1" ht="14.25" customHeight="1" x14ac:dyDescent="0.25">
      <c r="A2197" s="564">
        <v>1943</v>
      </c>
      <c r="B2197" s="562" t="s">
        <v>828</v>
      </c>
      <c r="C2197" s="403">
        <v>1</v>
      </c>
      <c r="D2197" s="400"/>
      <c r="E2197" s="400"/>
      <c r="F2197" s="400"/>
      <c r="G2197" s="400"/>
      <c r="H2197" s="396"/>
    </row>
    <row r="2198" spans="1:8" s="401" customFormat="1" ht="14.25" customHeight="1" x14ac:dyDescent="0.25">
      <c r="A2198" s="564">
        <v>1946</v>
      </c>
      <c r="B2198" s="562" t="s">
        <v>828</v>
      </c>
      <c r="C2198" s="403">
        <v>1</v>
      </c>
      <c r="D2198" s="400"/>
      <c r="E2198" s="400"/>
      <c r="F2198" s="400"/>
      <c r="G2198" s="400"/>
      <c r="H2198" s="396"/>
    </row>
    <row r="2199" spans="1:8" s="401" customFormat="1" ht="14.25" customHeight="1" x14ac:dyDescent="0.25">
      <c r="A2199" s="564">
        <v>1952</v>
      </c>
      <c r="B2199" s="562" t="s">
        <v>828</v>
      </c>
      <c r="C2199" s="403">
        <v>1</v>
      </c>
      <c r="D2199" s="400"/>
      <c r="E2199" s="400"/>
      <c r="F2199" s="400"/>
      <c r="G2199" s="400"/>
      <c r="H2199" s="396"/>
    </row>
    <row r="2200" spans="1:8" s="401" customFormat="1" ht="14.25" customHeight="1" x14ac:dyDescent="0.25">
      <c r="A2200" s="564">
        <v>1965</v>
      </c>
      <c r="B2200" s="562" t="s">
        <v>828</v>
      </c>
      <c r="C2200" s="403">
        <v>1</v>
      </c>
      <c r="D2200" s="400"/>
      <c r="E2200" s="400"/>
      <c r="F2200" s="400"/>
      <c r="G2200" s="400"/>
      <c r="H2200" s="396"/>
    </row>
    <row r="2201" spans="1:8" s="401" customFormat="1" ht="14.25" customHeight="1" x14ac:dyDescent="0.25">
      <c r="A2201" s="564">
        <v>1968</v>
      </c>
      <c r="B2201" s="562" t="s">
        <v>828</v>
      </c>
      <c r="C2201" s="403">
        <v>1</v>
      </c>
      <c r="D2201" s="400"/>
      <c r="E2201" s="400"/>
      <c r="F2201" s="400"/>
      <c r="G2201" s="400"/>
      <c r="H2201" s="396"/>
    </row>
    <row r="2202" spans="1:8" s="401" customFormat="1" ht="14.25" customHeight="1" x14ac:dyDescent="0.25">
      <c r="A2202" s="564">
        <v>1973</v>
      </c>
      <c r="B2202" s="562" t="s">
        <v>828</v>
      </c>
      <c r="C2202" s="403">
        <v>1</v>
      </c>
      <c r="D2202" s="400"/>
      <c r="E2202" s="400"/>
      <c r="F2202" s="400"/>
      <c r="G2202" s="400"/>
      <c r="H2202" s="396"/>
    </row>
    <row r="2203" spans="1:8" s="401" customFormat="1" ht="14.25" customHeight="1" x14ac:dyDescent="0.25">
      <c r="A2203" s="564">
        <v>1975</v>
      </c>
      <c r="B2203" s="562" t="s">
        <v>828</v>
      </c>
      <c r="C2203" s="403">
        <v>1</v>
      </c>
      <c r="D2203" s="400"/>
      <c r="E2203" s="400"/>
      <c r="F2203" s="400"/>
      <c r="G2203" s="400"/>
      <c r="H2203" s="396"/>
    </row>
    <row r="2204" spans="1:8" s="401" customFormat="1" ht="14.25" customHeight="1" x14ac:dyDescent="0.25">
      <c r="A2204" s="564">
        <v>1978</v>
      </c>
      <c r="B2204" s="562" t="s">
        <v>828</v>
      </c>
      <c r="C2204" s="403">
        <v>1</v>
      </c>
      <c r="D2204" s="400"/>
      <c r="E2204" s="400"/>
      <c r="F2204" s="400"/>
      <c r="G2204" s="400"/>
      <c r="H2204" s="396"/>
    </row>
    <row r="2205" spans="1:8" s="401" customFormat="1" ht="14.25" customHeight="1" x14ac:dyDescent="0.25">
      <c r="A2205" s="564">
        <v>1981</v>
      </c>
      <c r="B2205" s="562" t="s">
        <v>804</v>
      </c>
      <c r="C2205" s="403">
        <v>1</v>
      </c>
      <c r="D2205" s="400"/>
      <c r="E2205" s="400"/>
      <c r="F2205" s="400"/>
      <c r="G2205" s="400"/>
      <c r="H2205" s="396"/>
    </row>
    <row r="2206" spans="1:8" s="401" customFormat="1" ht="14.25" customHeight="1" x14ac:dyDescent="0.25">
      <c r="A2206" s="564">
        <v>1985</v>
      </c>
      <c r="B2206" s="562" t="s">
        <v>790</v>
      </c>
      <c r="C2206" s="403">
        <v>279</v>
      </c>
      <c r="D2206" s="400"/>
      <c r="E2206" s="400"/>
      <c r="F2206" s="400"/>
      <c r="G2206" s="400"/>
      <c r="H2206" s="396"/>
    </row>
    <row r="2207" spans="1:8" s="401" customFormat="1" ht="14.25" customHeight="1" x14ac:dyDescent="0.25">
      <c r="A2207" s="564">
        <v>1988</v>
      </c>
      <c r="B2207" s="562" t="s">
        <v>790</v>
      </c>
      <c r="C2207" s="403">
        <v>279</v>
      </c>
      <c r="D2207" s="400"/>
      <c r="E2207" s="400"/>
      <c r="F2207" s="400"/>
      <c r="G2207" s="400"/>
      <c r="H2207" s="396"/>
    </row>
    <row r="2208" spans="1:8" s="401" customFormat="1" ht="14.25" customHeight="1" x14ac:dyDescent="0.25">
      <c r="A2208" s="564">
        <v>1991</v>
      </c>
      <c r="B2208" s="562" t="s">
        <v>790</v>
      </c>
      <c r="C2208" s="403">
        <v>279</v>
      </c>
      <c r="D2208" s="400"/>
      <c r="E2208" s="400"/>
      <c r="F2208" s="400"/>
      <c r="G2208" s="400"/>
      <c r="H2208" s="396"/>
    </row>
    <row r="2209" spans="1:8" s="401" customFormat="1" ht="14.25" customHeight="1" x14ac:dyDescent="0.25">
      <c r="A2209" s="564">
        <v>1996</v>
      </c>
      <c r="B2209" s="562" t="s">
        <v>790</v>
      </c>
      <c r="C2209" s="403">
        <v>279</v>
      </c>
      <c r="D2209" s="400"/>
      <c r="E2209" s="400"/>
      <c r="F2209" s="400"/>
      <c r="G2209" s="400"/>
      <c r="H2209" s="396"/>
    </row>
    <row r="2210" spans="1:8" s="401" customFormat="1" ht="14.25" customHeight="1" x14ac:dyDescent="0.25">
      <c r="A2210" s="564">
        <v>1999</v>
      </c>
      <c r="B2210" s="562" t="s">
        <v>790</v>
      </c>
      <c r="C2210" s="403">
        <v>279</v>
      </c>
      <c r="D2210" s="400"/>
      <c r="E2210" s="400"/>
      <c r="F2210" s="400"/>
      <c r="G2210" s="400"/>
      <c r="H2210" s="396"/>
    </row>
    <row r="2211" spans="1:8" s="401" customFormat="1" ht="14.25" customHeight="1" x14ac:dyDescent="0.25">
      <c r="A2211" s="564">
        <v>2002</v>
      </c>
      <c r="B2211" s="562" t="s">
        <v>790</v>
      </c>
      <c r="C2211" s="403">
        <v>279</v>
      </c>
      <c r="D2211" s="400"/>
      <c r="E2211" s="400"/>
      <c r="F2211" s="400"/>
      <c r="G2211" s="400"/>
      <c r="H2211" s="396"/>
    </row>
    <row r="2212" spans="1:8" s="401" customFormat="1" ht="14.25" customHeight="1" x14ac:dyDescent="0.25">
      <c r="A2212" s="564">
        <v>2004</v>
      </c>
      <c r="B2212" s="562" t="s">
        <v>790</v>
      </c>
      <c r="C2212" s="403">
        <v>279</v>
      </c>
      <c r="D2212" s="400"/>
      <c r="E2212" s="400"/>
      <c r="F2212" s="400"/>
      <c r="G2212" s="400"/>
      <c r="H2212" s="396"/>
    </row>
    <row r="2213" spans="1:8" s="401" customFormat="1" ht="14.25" customHeight="1" x14ac:dyDescent="0.25">
      <c r="A2213" s="564">
        <v>2007</v>
      </c>
      <c r="B2213" s="562" t="s">
        <v>790</v>
      </c>
      <c r="C2213" s="403">
        <v>212</v>
      </c>
      <c r="D2213" s="400"/>
      <c r="E2213" s="400"/>
      <c r="F2213" s="400"/>
      <c r="G2213" s="400"/>
      <c r="H2213" s="396"/>
    </row>
    <row r="2214" spans="1:8" s="401" customFormat="1" ht="14.25" customHeight="1" x14ac:dyDescent="0.25">
      <c r="A2214" s="564">
        <v>2011</v>
      </c>
      <c r="B2214" s="562" t="s">
        <v>790</v>
      </c>
      <c r="C2214" s="403">
        <v>212</v>
      </c>
      <c r="D2214" s="400"/>
      <c r="E2214" s="400"/>
      <c r="F2214" s="400"/>
      <c r="G2214" s="400"/>
      <c r="H2214" s="396"/>
    </row>
    <row r="2215" spans="1:8" s="401" customFormat="1" ht="14.25" customHeight="1" x14ac:dyDescent="0.25">
      <c r="A2215" s="564">
        <v>2014</v>
      </c>
      <c r="B2215" s="562" t="s">
        <v>790</v>
      </c>
      <c r="C2215" s="403">
        <v>212</v>
      </c>
      <c r="D2215" s="400"/>
      <c r="E2215" s="400"/>
      <c r="F2215" s="400"/>
      <c r="G2215" s="400"/>
      <c r="H2215" s="396"/>
    </row>
    <row r="2216" spans="1:8" s="401" customFormat="1" ht="14.25" customHeight="1" x14ac:dyDescent="0.25">
      <c r="A2216" s="564">
        <v>2016</v>
      </c>
      <c r="B2216" s="562" t="s">
        <v>790</v>
      </c>
      <c r="C2216" s="403">
        <v>212</v>
      </c>
      <c r="D2216" s="400"/>
      <c r="E2216" s="400"/>
      <c r="F2216" s="400"/>
      <c r="G2216" s="400"/>
      <c r="H2216" s="396"/>
    </row>
    <row r="2217" spans="1:8" s="401" customFormat="1" ht="14.25" customHeight="1" x14ac:dyDescent="0.25">
      <c r="A2217" s="564">
        <v>2017</v>
      </c>
      <c r="B2217" s="562" t="s">
        <v>790</v>
      </c>
      <c r="C2217" s="403">
        <v>212</v>
      </c>
      <c r="D2217" s="400"/>
      <c r="E2217" s="400"/>
      <c r="F2217" s="400"/>
      <c r="G2217" s="400"/>
      <c r="H2217" s="396"/>
    </row>
    <row r="2218" spans="1:8" s="401" customFormat="1" ht="14.25" customHeight="1" x14ac:dyDescent="0.25">
      <c r="A2218" s="564">
        <v>2018</v>
      </c>
      <c r="B2218" s="562" t="s">
        <v>790</v>
      </c>
      <c r="C2218" s="403">
        <v>212</v>
      </c>
      <c r="D2218" s="400"/>
      <c r="E2218" s="400"/>
      <c r="F2218" s="400"/>
      <c r="G2218" s="400"/>
      <c r="H2218" s="396"/>
    </row>
    <row r="2219" spans="1:8" s="401" customFormat="1" ht="14.25" customHeight="1" x14ac:dyDescent="0.25">
      <c r="A2219" s="564">
        <v>2020</v>
      </c>
      <c r="B2219" s="562" t="s">
        <v>785</v>
      </c>
      <c r="C2219" s="403">
        <v>135</v>
      </c>
      <c r="D2219" s="400"/>
      <c r="E2219" s="400"/>
      <c r="F2219" s="400"/>
      <c r="G2219" s="400"/>
      <c r="H2219" s="396"/>
    </row>
    <row r="2220" spans="1:8" s="401" customFormat="1" ht="14.25" customHeight="1" x14ac:dyDescent="0.25">
      <c r="A2220" s="564">
        <v>2021</v>
      </c>
      <c r="B2220" s="562" t="s">
        <v>785</v>
      </c>
      <c r="C2220" s="403">
        <v>135</v>
      </c>
      <c r="D2220" s="400"/>
      <c r="E2220" s="400"/>
      <c r="F2220" s="400"/>
      <c r="G2220" s="400"/>
      <c r="H2220" s="396"/>
    </row>
    <row r="2221" spans="1:8" s="401" customFormat="1" ht="14.25" customHeight="1" x14ac:dyDescent="0.25">
      <c r="A2221" s="564">
        <v>2022</v>
      </c>
      <c r="B2221" s="562" t="s">
        <v>785</v>
      </c>
      <c r="C2221" s="403">
        <v>135</v>
      </c>
      <c r="D2221" s="400"/>
      <c r="E2221" s="400"/>
      <c r="F2221" s="400"/>
      <c r="G2221" s="400"/>
      <c r="H2221" s="396"/>
    </row>
    <row r="2222" spans="1:8" s="401" customFormat="1" ht="14.25" customHeight="1" x14ac:dyDescent="0.25">
      <c r="A2222" s="564">
        <v>2025</v>
      </c>
      <c r="B2222" s="562" t="s">
        <v>785</v>
      </c>
      <c r="C2222" s="403">
        <v>135</v>
      </c>
      <c r="D2222" s="400"/>
      <c r="E2222" s="400"/>
      <c r="F2222" s="400"/>
      <c r="G2222" s="400"/>
      <c r="H2222" s="396"/>
    </row>
    <row r="2223" spans="1:8" s="401" customFormat="1" ht="14.25" customHeight="1" x14ac:dyDescent="0.25">
      <c r="A2223" s="564">
        <v>2031</v>
      </c>
      <c r="B2223" s="562" t="s">
        <v>785</v>
      </c>
      <c r="C2223" s="403">
        <v>135</v>
      </c>
      <c r="D2223" s="400"/>
      <c r="E2223" s="400"/>
      <c r="F2223" s="400"/>
      <c r="G2223" s="400"/>
      <c r="H2223" s="396"/>
    </row>
    <row r="2224" spans="1:8" s="401" customFormat="1" ht="14.25" customHeight="1" x14ac:dyDescent="0.25">
      <c r="A2224" s="564">
        <v>2034</v>
      </c>
      <c r="B2224" s="562" t="s">
        <v>785</v>
      </c>
      <c r="C2224" s="403">
        <v>135</v>
      </c>
      <c r="D2224" s="400"/>
      <c r="E2224" s="400"/>
      <c r="F2224" s="400"/>
      <c r="G2224" s="400"/>
      <c r="H2224" s="396"/>
    </row>
    <row r="2225" spans="1:8" s="401" customFormat="1" ht="14.25" customHeight="1" x14ac:dyDescent="0.25">
      <c r="A2225" s="564">
        <v>2041</v>
      </c>
      <c r="B2225" s="562" t="s">
        <v>785</v>
      </c>
      <c r="C2225" s="403">
        <v>135</v>
      </c>
      <c r="D2225" s="400"/>
      <c r="E2225" s="400"/>
      <c r="F2225" s="400"/>
      <c r="G2225" s="400"/>
      <c r="H2225" s="396"/>
    </row>
    <row r="2226" spans="1:8" s="401" customFormat="1" ht="14.25" customHeight="1" x14ac:dyDescent="0.25">
      <c r="A2226" s="564">
        <v>2042</v>
      </c>
      <c r="B2226" s="562" t="s">
        <v>785</v>
      </c>
      <c r="C2226" s="403">
        <v>135</v>
      </c>
      <c r="D2226" s="400"/>
      <c r="E2226" s="400"/>
      <c r="F2226" s="400"/>
      <c r="G2226" s="400"/>
      <c r="H2226" s="396"/>
    </row>
    <row r="2227" spans="1:8" s="401" customFormat="1" ht="14.25" customHeight="1" x14ac:dyDescent="0.25">
      <c r="A2227" s="564">
        <v>2043</v>
      </c>
      <c r="B2227" s="562" t="s">
        <v>785</v>
      </c>
      <c r="C2227" s="403">
        <v>135</v>
      </c>
      <c r="D2227" s="400"/>
      <c r="E2227" s="400"/>
      <c r="F2227" s="400"/>
      <c r="G2227" s="400"/>
      <c r="H2227" s="396"/>
    </row>
    <row r="2228" spans="1:8" s="401" customFormat="1" ht="14.25" customHeight="1" x14ac:dyDescent="0.25">
      <c r="A2228" s="564">
        <v>2045</v>
      </c>
      <c r="B2228" s="562" t="s">
        <v>785</v>
      </c>
      <c r="C2228" s="403">
        <v>135</v>
      </c>
      <c r="D2228" s="400"/>
      <c r="E2228" s="400"/>
      <c r="F2228" s="400"/>
      <c r="G2228" s="400"/>
      <c r="H2228" s="396"/>
    </row>
    <row r="2229" spans="1:8" s="401" customFormat="1" ht="14.25" customHeight="1" x14ac:dyDescent="0.25">
      <c r="A2229" s="564">
        <v>2048</v>
      </c>
      <c r="B2229" s="562" t="s">
        <v>785</v>
      </c>
      <c r="C2229" s="403">
        <v>135</v>
      </c>
      <c r="D2229" s="400"/>
      <c r="E2229" s="400"/>
      <c r="F2229" s="400"/>
      <c r="G2229" s="400"/>
      <c r="H2229" s="396"/>
    </row>
    <row r="2230" spans="1:8" s="401" customFormat="1" ht="14.25" customHeight="1" x14ac:dyDescent="0.25">
      <c r="A2230" s="564">
        <v>2049</v>
      </c>
      <c r="B2230" s="562" t="s">
        <v>785</v>
      </c>
      <c r="C2230" s="403">
        <v>135</v>
      </c>
      <c r="D2230" s="400"/>
      <c r="E2230" s="400"/>
      <c r="F2230" s="400"/>
      <c r="G2230" s="400"/>
      <c r="H2230" s="396"/>
    </row>
    <row r="2231" spans="1:8" s="401" customFormat="1" ht="14.25" customHeight="1" x14ac:dyDescent="0.25">
      <c r="A2231" s="564">
        <v>2051</v>
      </c>
      <c r="B2231" s="562" t="s">
        <v>785</v>
      </c>
      <c r="C2231" s="403">
        <v>135</v>
      </c>
      <c r="D2231" s="400"/>
      <c r="E2231" s="400"/>
      <c r="F2231" s="400"/>
      <c r="G2231" s="400"/>
      <c r="H2231" s="396"/>
    </row>
    <row r="2232" spans="1:8" s="401" customFormat="1" ht="14.25" customHeight="1" x14ac:dyDescent="0.25">
      <c r="A2232" s="564">
        <v>2053</v>
      </c>
      <c r="B2232" s="562" t="s">
        <v>785</v>
      </c>
      <c r="C2232" s="403">
        <v>1075</v>
      </c>
      <c r="D2232" s="400"/>
      <c r="E2232" s="400"/>
      <c r="F2232" s="400"/>
      <c r="G2232" s="400"/>
      <c r="H2232" s="396"/>
    </row>
    <row r="2233" spans="1:8" s="401" customFormat="1" ht="14.25" customHeight="1" x14ac:dyDescent="0.25">
      <c r="A2233" s="564">
        <v>2055</v>
      </c>
      <c r="B2233" s="562" t="s">
        <v>785</v>
      </c>
      <c r="C2233" s="403">
        <v>1075</v>
      </c>
      <c r="D2233" s="400"/>
      <c r="E2233" s="400"/>
      <c r="F2233" s="400"/>
      <c r="G2233" s="400"/>
      <c r="H2233" s="396"/>
    </row>
    <row r="2234" spans="1:8" s="401" customFormat="1" ht="14.25" customHeight="1" x14ac:dyDescent="0.25">
      <c r="A2234" s="564">
        <v>2058</v>
      </c>
      <c r="B2234" s="562" t="s">
        <v>785</v>
      </c>
      <c r="C2234" s="403">
        <v>1075</v>
      </c>
      <c r="D2234" s="400"/>
      <c r="E2234" s="400"/>
      <c r="F2234" s="400"/>
      <c r="G2234" s="400"/>
      <c r="H2234" s="396"/>
    </row>
    <row r="2235" spans="1:8" s="401" customFormat="1" ht="14.25" customHeight="1" x14ac:dyDescent="0.25">
      <c r="A2235" s="564">
        <v>2060</v>
      </c>
      <c r="B2235" s="562" t="s">
        <v>785</v>
      </c>
      <c r="C2235" s="403">
        <v>1075</v>
      </c>
      <c r="D2235" s="400"/>
      <c r="E2235" s="400"/>
      <c r="F2235" s="400"/>
      <c r="G2235" s="400"/>
      <c r="H2235" s="396"/>
    </row>
    <row r="2236" spans="1:8" s="401" customFormat="1" ht="14.25" customHeight="1" x14ac:dyDescent="0.25">
      <c r="A2236" s="564">
        <v>2065</v>
      </c>
      <c r="B2236" s="562" t="s">
        <v>785</v>
      </c>
      <c r="C2236" s="403">
        <v>1075</v>
      </c>
      <c r="D2236" s="400"/>
      <c r="E2236" s="400"/>
      <c r="F2236" s="400"/>
      <c r="G2236" s="400"/>
      <c r="H2236" s="396"/>
    </row>
    <row r="2237" spans="1:8" s="401" customFormat="1" ht="14.25" customHeight="1" x14ac:dyDescent="0.25">
      <c r="A2237" s="564">
        <v>2068</v>
      </c>
      <c r="B2237" s="562" t="s">
        <v>785</v>
      </c>
      <c r="C2237" s="403">
        <v>1075</v>
      </c>
      <c r="D2237" s="400"/>
      <c r="E2237" s="400"/>
      <c r="F2237" s="400"/>
      <c r="G2237" s="400"/>
      <c r="H2237" s="396"/>
    </row>
    <row r="2238" spans="1:8" s="401" customFormat="1" ht="14.25" customHeight="1" x14ac:dyDescent="0.25">
      <c r="A2238" s="564">
        <v>2071</v>
      </c>
      <c r="B2238" s="562" t="s">
        <v>785</v>
      </c>
      <c r="C2238" s="403">
        <v>1075</v>
      </c>
      <c r="D2238" s="400"/>
      <c r="E2238" s="400"/>
      <c r="F2238" s="400"/>
      <c r="G2238" s="400"/>
      <c r="H2238" s="396"/>
    </row>
    <row r="2239" spans="1:8" s="401" customFormat="1" ht="14.25" customHeight="1" x14ac:dyDescent="0.25">
      <c r="A2239" s="564">
        <v>2074</v>
      </c>
      <c r="B2239" s="562" t="s">
        <v>785</v>
      </c>
      <c r="C2239" s="403">
        <v>110</v>
      </c>
      <c r="D2239" s="400"/>
      <c r="E2239" s="400"/>
      <c r="F2239" s="400"/>
      <c r="G2239" s="400"/>
      <c r="H2239" s="396"/>
    </row>
    <row r="2240" spans="1:8" s="401" customFormat="1" ht="14.25" customHeight="1" x14ac:dyDescent="0.25">
      <c r="A2240" s="564">
        <v>2076</v>
      </c>
      <c r="B2240" s="562" t="s">
        <v>785</v>
      </c>
      <c r="C2240" s="403">
        <v>110</v>
      </c>
      <c r="D2240" s="400"/>
      <c r="E2240" s="400"/>
      <c r="F2240" s="400"/>
      <c r="G2240" s="400"/>
      <c r="H2240" s="396"/>
    </row>
    <row r="2241" spans="1:8" s="401" customFormat="1" ht="14.25" customHeight="1" x14ac:dyDescent="0.25">
      <c r="A2241" s="564">
        <v>2079</v>
      </c>
      <c r="B2241" s="562" t="s">
        <v>785</v>
      </c>
      <c r="C2241" s="403">
        <v>110</v>
      </c>
      <c r="D2241" s="400"/>
      <c r="E2241" s="400"/>
      <c r="F2241" s="400"/>
      <c r="G2241" s="400"/>
      <c r="H2241" s="396"/>
    </row>
    <row r="2242" spans="1:8" s="401" customFormat="1" ht="14.25" customHeight="1" x14ac:dyDescent="0.25">
      <c r="A2242" s="564">
        <v>2082</v>
      </c>
      <c r="B2242" s="562" t="s">
        <v>785</v>
      </c>
      <c r="C2242" s="403">
        <v>110</v>
      </c>
      <c r="D2242" s="400"/>
      <c r="E2242" s="400"/>
      <c r="F2242" s="400"/>
      <c r="G2242" s="400"/>
      <c r="H2242" s="396"/>
    </row>
    <row r="2243" spans="1:8" s="401" customFormat="1" ht="14.25" customHeight="1" x14ac:dyDescent="0.25">
      <c r="A2243" s="564">
        <v>2085</v>
      </c>
      <c r="B2243" s="562" t="s">
        <v>785</v>
      </c>
      <c r="C2243" s="403">
        <v>110</v>
      </c>
      <c r="D2243" s="400"/>
      <c r="E2243" s="400"/>
      <c r="F2243" s="400"/>
      <c r="G2243" s="400"/>
      <c r="H2243" s="396"/>
    </row>
    <row r="2244" spans="1:8" s="401" customFormat="1" ht="14.25" customHeight="1" x14ac:dyDescent="0.25">
      <c r="A2244" s="564">
        <v>2088</v>
      </c>
      <c r="B2244" s="562" t="s">
        <v>819</v>
      </c>
      <c r="C2244" s="403">
        <v>520</v>
      </c>
      <c r="D2244" s="400"/>
      <c r="E2244" s="400"/>
      <c r="F2244" s="400"/>
      <c r="G2244" s="400"/>
      <c r="H2244" s="396"/>
    </row>
    <row r="2245" spans="1:8" s="401" customFormat="1" ht="14.25" customHeight="1" x14ac:dyDescent="0.25">
      <c r="A2245" s="564">
        <v>2091</v>
      </c>
      <c r="B2245" s="562" t="s">
        <v>819</v>
      </c>
      <c r="C2245" s="403">
        <v>520</v>
      </c>
      <c r="D2245" s="400"/>
      <c r="E2245" s="400"/>
      <c r="F2245" s="400"/>
      <c r="G2245" s="400"/>
      <c r="H2245" s="396"/>
    </row>
    <row r="2246" spans="1:8" s="401" customFormat="1" ht="14.25" customHeight="1" x14ac:dyDescent="0.25">
      <c r="A2246" s="564">
        <v>2093</v>
      </c>
      <c r="B2246" s="562" t="s">
        <v>819</v>
      </c>
      <c r="C2246" s="403">
        <v>520</v>
      </c>
      <c r="D2246" s="400"/>
      <c r="E2246" s="400"/>
      <c r="F2246" s="400"/>
      <c r="G2246" s="400"/>
      <c r="H2246" s="396"/>
    </row>
    <row r="2247" spans="1:8" s="401" customFormat="1" ht="14.25" customHeight="1" x14ac:dyDescent="0.25">
      <c r="A2247" s="564">
        <v>2096</v>
      </c>
      <c r="B2247" s="562" t="s">
        <v>790</v>
      </c>
      <c r="C2247" s="403">
        <v>1</v>
      </c>
      <c r="D2247" s="400"/>
      <c r="E2247" s="400"/>
      <c r="F2247" s="400"/>
      <c r="G2247" s="400"/>
      <c r="H2247" s="396"/>
    </row>
    <row r="2248" spans="1:8" s="401" customFormat="1" ht="14.25" customHeight="1" x14ac:dyDescent="0.25">
      <c r="A2248" s="564">
        <v>2098</v>
      </c>
      <c r="B2248" s="562" t="s">
        <v>818</v>
      </c>
      <c r="C2248" s="403">
        <v>1</v>
      </c>
      <c r="D2248" s="400"/>
      <c r="E2248" s="400"/>
      <c r="F2248" s="400"/>
      <c r="G2248" s="400"/>
      <c r="H2248" s="396"/>
    </row>
    <row r="2249" spans="1:8" s="401" customFormat="1" ht="14.25" customHeight="1" x14ac:dyDescent="0.25">
      <c r="A2249" s="564">
        <v>2102</v>
      </c>
      <c r="B2249" s="562" t="s">
        <v>791</v>
      </c>
      <c r="C2249" s="403">
        <v>1874</v>
      </c>
      <c r="D2249" s="400"/>
      <c r="E2249" s="400"/>
      <c r="F2249" s="400"/>
      <c r="G2249" s="400"/>
      <c r="H2249" s="396"/>
    </row>
    <row r="2250" spans="1:8" s="401" customFormat="1" ht="14.25" customHeight="1" x14ac:dyDescent="0.25">
      <c r="A2250" s="564">
        <v>2104</v>
      </c>
      <c r="B2250" s="562" t="s">
        <v>787</v>
      </c>
      <c r="C2250" s="403">
        <v>1702</v>
      </c>
      <c r="D2250" s="400"/>
      <c r="E2250" s="400"/>
      <c r="F2250" s="400"/>
      <c r="G2250" s="400"/>
      <c r="H2250" s="396"/>
    </row>
    <row r="2251" spans="1:8" s="401" customFormat="1" ht="14.25" customHeight="1" x14ac:dyDescent="0.25">
      <c r="A2251" s="564">
        <v>2105</v>
      </c>
      <c r="B2251" s="562" t="s">
        <v>828</v>
      </c>
      <c r="C2251" s="403">
        <v>1</v>
      </c>
      <c r="D2251" s="400"/>
      <c r="E2251" s="400"/>
      <c r="F2251" s="400"/>
      <c r="G2251" s="400"/>
      <c r="H2251" s="396"/>
    </row>
    <row r="2252" spans="1:8" s="401" customFormat="1" ht="14.25" customHeight="1" x14ac:dyDescent="0.25">
      <c r="A2252" s="564">
        <v>2108</v>
      </c>
      <c r="B2252" s="562" t="s">
        <v>828</v>
      </c>
      <c r="C2252" s="403">
        <v>1</v>
      </c>
      <c r="D2252" s="400"/>
      <c r="E2252" s="400"/>
      <c r="F2252" s="400"/>
      <c r="G2252" s="400"/>
      <c r="H2252" s="396"/>
    </row>
    <row r="2253" spans="1:8" s="401" customFormat="1" ht="14.25" customHeight="1" x14ac:dyDescent="0.25">
      <c r="A2253" s="564">
        <v>2111</v>
      </c>
      <c r="B2253" s="562" t="s">
        <v>828</v>
      </c>
      <c r="C2253" s="403">
        <v>1</v>
      </c>
      <c r="D2253" s="400"/>
      <c r="E2253" s="400"/>
      <c r="F2253" s="400"/>
      <c r="G2253" s="400"/>
      <c r="H2253" s="396"/>
    </row>
    <row r="2254" spans="1:8" s="401" customFormat="1" ht="14.25" customHeight="1" x14ac:dyDescent="0.25">
      <c r="A2254" s="564">
        <v>2113</v>
      </c>
      <c r="B2254" s="562" t="s">
        <v>828</v>
      </c>
      <c r="C2254" s="403">
        <v>1</v>
      </c>
      <c r="D2254" s="400"/>
      <c r="E2254" s="400"/>
      <c r="F2254" s="400"/>
      <c r="G2254" s="400"/>
      <c r="H2254" s="396"/>
    </row>
    <row r="2255" spans="1:8" s="401" customFormat="1" ht="14.25" customHeight="1" x14ac:dyDescent="0.25">
      <c r="A2255" s="564">
        <v>2115</v>
      </c>
      <c r="B2255" s="562" t="s">
        <v>828</v>
      </c>
      <c r="C2255" s="403">
        <v>1</v>
      </c>
      <c r="D2255" s="400"/>
      <c r="E2255" s="400"/>
      <c r="F2255" s="400"/>
      <c r="G2255" s="400"/>
      <c r="H2255" s="396"/>
    </row>
    <row r="2256" spans="1:8" s="401" customFormat="1" ht="14.25" customHeight="1" x14ac:dyDescent="0.25">
      <c r="A2256" s="564">
        <v>2118</v>
      </c>
      <c r="B2256" s="562" t="s">
        <v>828</v>
      </c>
      <c r="C2256" s="403">
        <v>1</v>
      </c>
      <c r="D2256" s="400"/>
      <c r="E2256" s="400"/>
      <c r="F2256" s="400"/>
      <c r="G2256" s="400"/>
      <c r="H2256" s="396"/>
    </row>
    <row r="2257" spans="1:8" s="401" customFormat="1" ht="14.25" customHeight="1" x14ac:dyDescent="0.25">
      <c r="A2257" s="564">
        <v>2119</v>
      </c>
      <c r="B2257" s="562" t="s">
        <v>828</v>
      </c>
      <c r="C2257" s="403">
        <v>1</v>
      </c>
      <c r="D2257" s="400"/>
      <c r="E2257" s="400"/>
      <c r="F2257" s="400"/>
      <c r="G2257" s="400"/>
      <c r="H2257" s="396"/>
    </row>
    <row r="2258" spans="1:8" s="401" customFormat="1" ht="14.25" customHeight="1" x14ac:dyDescent="0.25">
      <c r="A2258" s="564">
        <v>2123</v>
      </c>
      <c r="B2258" s="562" t="s">
        <v>828</v>
      </c>
      <c r="C2258" s="403">
        <v>1</v>
      </c>
      <c r="D2258" s="400"/>
      <c r="E2258" s="400"/>
      <c r="F2258" s="400"/>
      <c r="G2258" s="400"/>
      <c r="H2258" s="396"/>
    </row>
    <row r="2259" spans="1:8" s="401" customFormat="1" ht="14.25" customHeight="1" x14ac:dyDescent="0.25">
      <c r="A2259" s="564">
        <v>2125</v>
      </c>
      <c r="B2259" s="562" t="s">
        <v>828</v>
      </c>
      <c r="C2259" s="403">
        <v>1</v>
      </c>
      <c r="D2259" s="400"/>
      <c r="E2259" s="400"/>
      <c r="F2259" s="400"/>
      <c r="G2259" s="400"/>
      <c r="H2259" s="396"/>
    </row>
    <row r="2260" spans="1:8" s="401" customFormat="1" ht="14.25" customHeight="1" x14ac:dyDescent="0.25">
      <c r="A2260" s="564">
        <v>2128</v>
      </c>
      <c r="B2260" s="562" t="s">
        <v>828</v>
      </c>
      <c r="C2260" s="403">
        <v>1</v>
      </c>
      <c r="D2260" s="400"/>
      <c r="E2260" s="400"/>
      <c r="F2260" s="400"/>
      <c r="G2260" s="400"/>
      <c r="H2260" s="396"/>
    </row>
    <row r="2261" spans="1:8" s="401" customFormat="1" ht="14.25" customHeight="1" x14ac:dyDescent="0.25">
      <c r="A2261" s="564">
        <v>2130</v>
      </c>
      <c r="B2261" s="562" t="s">
        <v>828</v>
      </c>
      <c r="C2261" s="403">
        <v>1</v>
      </c>
      <c r="D2261" s="400"/>
      <c r="E2261" s="400"/>
      <c r="F2261" s="400"/>
      <c r="G2261" s="400"/>
      <c r="H2261" s="396"/>
    </row>
    <row r="2262" spans="1:8" s="401" customFormat="1" ht="14.25" customHeight="1" x14ac:dyDescent="0.25">
      <c r="A2262" s="564">
        <v>2134</v>
      </c>
      <c r="B2262" s="562" t="s">
        <v>790</v>
      </c>
      <c r="C2262" s="403">
        <v>1</v>
      </c>
      <c r="D2262" s="400"/>
      <c r="E2262" s="400"/>
      <c r="F2262" s="400"/>
      <c r="G2262" s="400"/>
      <c r="H2262" s="396"/>
    </row>
    <row r="2263" spans="1:8" s="401" customFormat="1" ht="14.25" customHeight="1" x14ac:dyDescent="0.25">
      <c r="A2263" s="564">
        <v>2138</v>
      </c>
      <c r="B2263" s="562" t="s">
        <v>790</v>
      </c>
      <c r="C2263" s="403">
        <v>897</v>
      </c>
      <c r="D2263" s="400"/>
      <c r="E2263" s="400"/>
      <c r="F2263" s="400"/>
      <c r="G2263" s="400"/>
      <c r="H2263" s="396"/>
    </row>
    <row r="2264" spans="1:8" s="401" customFormat="1" ht="14.25" customHeight="1" x14ac:dyDescent="0.25">
      <c r="A2264" s="564">
        <v>2143</v>
      </c>
      <c r="B2264" s="562" t="s">
        <v>790</v>
      </c>
      <c r="C2264" s="403">
        <v>897</v>
      </c>
      <c r="D2264" s="400"/>
      <c r="E2264" s="400"/>
      <c r="F2264" s="400"/>
      <c r="G2264" s="400"/>
      <c r="H2264" s="396"/>
    </row>
    <row r="2265" spans="1:8" s="401" customFormat="1" ht="14.25" customHeight="1" x14ac:dyDescent="0.25">
      <c r="A2265" s="564">
        <v>2145</v>
      </c>
      <c r="B2265" s="562" t="s">
        <v>790</v>
      </c>
      <c r="C2265" s="403">
        <v>897</v>
      </c>
      <c r="D2265" s="400"/>
      <c r="E2265" s="400"/>
      <c r="F2265" s="400"/>
      <c r="G2265" s="400"/>
      <c r="H2265" s="396"/>
    </row>
    <row r="2266" spans="1:8" s="401" customFormat="1" ht="14.25" customHeight="1" x14ac:dyDescent="0.25">
      <c r="A2266" s="564">
        <v>2149</v>
      </c>
      <c r="B2266" s="562" t="s">
        <v>790</v>
      </c>
      <c r="C2266" s="403">
        <v>897</v>
      </c>
      <c r="D2266" s="400"/>
      <c r="E2266" s="400"/>
      <c r="F2266" s="400"/>
      <c r="G2266" s="400"/>
      <c r="H2266" s="396"/>
    </row>
    <row r="2267" spans="1:8" s="401" customFormat="1" ht="14.25" customHeight="1" x14ac:dyDescent="0.25">
      <c r="A2267" s="564">
        <v>2151</v>
      </c>
      <c r="B2267" s="562" t="s">
        <v>790</v>
      </c>
      <c r="C2267" s="403">
        <v>897</v>
      </c>
      <c r="D2267" s="400"/>
      <c r="E2267" s="400"/>
      <c r="F2267" s="400"/>
      <c r="G2267" s="400"/>
      <c r="H2267" s="396"/>
    </row>
    <row r="2268" spans="1:8" s="401" customFormat="1" ht="14.25" customHeight="1" x14ac:dyDescent="0.25">
      <c r="A2268" s="564">
        <v>2155</v>
      </c>
      <c r="B2268" s="562" t="s">
        <v>790</v>
      </c>
      <c r="C2268" s="403">
        <v>1</v>
      </c>
      <c r="D2268" s="400"/>
      <c r="E2268" s="400"/>
      <c r="F2268" s="400"/>
      <c r="G2268" s="400"/>
      <c r="H2268" s="396"/>
    </row>
    <row r="2269" spans="1:8" s="401" customFormat="1" ht="14.25" customHeight="1" x14ac:dyDescent="0.25">
      <c r="A2269" s="564">
        <v>2159</v>
      </c>
      <c r="B2269" s="562" t="s">
        <v>785</v>
      </c>
      <c r="C2269" s="403">
        <v>156</v>
      </c>
      <c r="D2269" s="400"/>
      <c r="E2269" s="400"/>
      <c r="F2269" s="400"/>
      <c r="G2269" s="400"/>
      <c r="H2269" s="396"/>
    </row>
    <row r="2270" spans="1:8" s="401" customFormat="1" ht="14.25" customHeight="1" x14ac:dyDescent="0.25">
      <c r="A2270" s="564">
        <v>2163</v>
      </c>
      <c r="B2270" s="562" t="s">
        <v>785</v>
      </c>
      <c r="C2270" s="403">
        <v>334</v>
      </c>
      <c r="D2270" s="400"/>
      <c r="E2270" s="400"/>
      <c r="F2270" s="400"/>
      <c r="G2270" s="400"/>
      <c r="H2270" s="396"/>
    </row>
    <row r="2271" spans="1:8" s="401" customFormat="1" ht="14.25" customHeight="1" x14ac:dyDescent="0.25">
      <c r="A2271" s="564">
        <v>2169</v>
      </c>
      <c r="B2271" s="562" t="s">
        <v>785</v>
      </c>
      <c r="C2271" s="403">
        <v>334</v>
      </c>
      <c r="D2271" s="400"/>
      <c r="E2271" s="400"/>
      <c r="F2271" s="400"/>
      <c r="G2271" s="400"/>
      <c r="H2271" s="396"/>
    </row>
    <row r="2272" spans="1:8" s="401" customFormat="1" ht="14.25" customHeight="1" x14ac:dyDescent="0.25">
      <c r="A2272" s="564">
        <v>2171</v>
      </c>
      <c r="B2272" s="562" t="s">
        <v>785</v>
      </c>
      <c r="C2272" s="403">
        <v>334</v>
      </c>
      <c r="D2272" s="400"/>
      <c r="E2272" s="400"/>
      <c r="F2272" s="400"/>
      <c r="G2272" s="400"/>
      <c r="H2272" s="396"/>
    </row>
    <row r="2273" spans="1:8" s="401" customFormat="1" ht="14.25" customHeight="1" x14ac:dyDescent="0.25">
      <c r="A2273" s="564">
        <v>2175</v>
      </c>
      <c r="B2273" s="562" t="s">
        <v>785</v>
      </c>
      <c r="C2273" s="403">
        <v>334</v>
      </c>
      <c r="D2273" s="400"/>
      <c r="E2273" s="400"/>
      <c r="F2273" s="400"/>
      <c r="G2273" s="400"/>
      <c r="H2273" s="396"/>
    </row>
    <row r="2274" spans="1:8" s="401" customFormat="1" ht="14.25" customHeight="1" x14ac:dyDescent="0.25">
      <c r="A2274" s="564">
        <v>2178</v>
      </c>
      <c r="B2274" s="562" t="s">
        <v>785</v>
      </c>
      <c r="C2274" s="403">
        <v>334</v>
      </c>
      <c r="D2274" s="400"/>
      <c r="E2274" s="400"/>
      <c r="F2274" s="400"/>
      <c r="G2274" s="400"/>
      <c r="H2274" s="396"/>
    </row>
    <row r="2275" spans="1:8" s="401" customFormat="1" ht="14.25" customHeight="1" x14ac:dyDescent="0.25">
      <c r="A2275" s="564">
        <v>2181</v>
      </c>
      <c r="B2275" s="562" t="s">
        <v>785</v>
      </c>
      <c r="C2275" s="403">
        <v>334</v>
      </c>
      <c r="D2275" s="400"/>
      <c r="E2275" s="400"/>
      <c r="F2275" s="400"/>
      <c r="G2275" s="400"/>
      <c r="H2275" s="396"/>
    </row>
    <row r="2276" spans="1:8" s="401" customFormat="1" ht="14.25" customHeight="1" x14ac:dyDescent="0.25">
      <c r="A2276" s="564">
        <v>2185</v>
      </c>
      <c r="B2276" s="562" t="s">
        <v>785</v>
      </c>
      <c r="C2276" s="403">
        <v>334</v>
      </c>
      <c r="D2276" s="400"/>
      <c r="E2276" s="400"/>
      <c r="F2276" s="400"/>
      <c r="G2276" s="400"/>
      <c r="H2276" s="396"/>
    </row>
    <row r="2277" spans="1:8" s="401" customFormat="1" ht="14.25" customHeight="1" x14ac:dyDescent="0.25">
      <c r="A2277" s="564">
        <v>2188</v>
      </c>
      <c r="B2277" s="562" t="s">
        <v>785</v>
      </c>
      <c r="C2277" s="403">
        <v>334</v>
      </c>
      <c r="D2277" s="400"/>
      <c r="E2277" s="400"/>
      <c r="F2277" s="400"/>
      <c r="G2277" s="400"/>
      <c r="H2277" s="396"/>
    </row>
    <row r="2278" spans="1:8" s="401" customFormat="1" ht="14.25" customHeight="1" x14ac:dyDescent="0.25">
      <c r="A2278" s="564">
        <v>2189</v>
      </c>
      <c r="B2278" s="562" t="s">
        <v>785</v>
      </c>
      <c r="C2278" s="403">
        <v>334</v>
      </c>
      <c r="D2278" s="400"/>
      <c r="E2278" s="400"/>
      <c r="F2278" s="400"/>
      <c r="G2278" s="400"/>
      <c r="H2278" s="396"/>
    </row>
    <row r="2279" spans="1:8" s="401" customFormat="1" ht="14.25" customHeight="1" x14ac:dyDescent="0.25">
      <c r="A2279" s="564">
        <v>2191</v>
      </c>
      <c r="B2279" s="562" t="s">
        <v>785</v>
      </c>
      <c r="C2279" s="403">
        <v>334</v>
      </c>
      <c r="D2279" s="400"/>
      <c r="E2279" s="400"/>
      <c r="F2279" s="400"/>
      <c r="G2279" s="400"/>
      <c r="H2279" s="396"/>
    </row>
    <row r="2280" spans="1:8" s="401" customFormat="1" ht="14.25" customHeight="1" x14ac:dyDescent="0.25">
      <c r="A2280" s="564">
        <v>2193</v>
      </c>
      <c r="B2280" s="562" t="s">
        <v>785</v>
      </c>
      <c r="C2280" s="403">
        <v>334</v>
      </c>
      <c r="D2280" s="400"/>
      <c r="E2280" s="400"/>
      <c r="F2280" s="400"/>
      <c r="G2280" s="400"/>
      <c r="H2280" s="396"/>
    </row>
    <row r="2281" spans="1:8" s="401" customFormat="1" ht="14.25" customHeight="1" x14ac:dyDescent="0.25">
      <c r="A2281" s="564">
        <v>2197</v>
      </c>
      <c r="B2281" s="562" t="s">
        <v>785</v>
      </c>
      <c r="C2281" s="403">
        <v>334</v>
      </c>
      <c r="D2281" s="400"/>
      <c r="E2281" s="400"/>
      <c r="F2281" s="400"/>
      <c r="G2281" s="400"/>
      <c r="H2281" s="396"/>
    </row>
    <row r="2282" spans="1:8" s="401" customFormat="1" ht="14.25" customHeight="1" x14ac:dyDescent="0.25">
      <c r="A2282" s="564">
        <v>2198</v>
      </c>
      <c r="B2282" s="562" t="s">
        <v>785</v>
      </c>
      <c r="C2282" s="403">
        <v>334</v>
      </c>
      <c r="D2282" s="400"/>
      <c r="E2282" s="400"/>
      <c r="F2282" s="400"/>
      <c r="G2282" s="400"/>
      <c r="H2282" s="396"/>
    </row>
    <row r="2283" spans="1:8" s="401" customFormat="1" ht="14.25" customHeight="1" x14ac:dyDescent="0.25">
      <c r="A2283" s="564">
        <v>2199</v>
      </c>
      <c r="B2283" s="562" t="s">
        <v>785</v>
      </c>
      <c r="C2283" s="403">
        <v>334</v>
      </c>
      <c r="D2283" s="400"/>
      <c r="E2283" s="400"/>
      <c r="F2283" s="400"/>
      <c r="G2283" s="400"/>
      <c r="H2283" s="396"/>
    </row>
    <row r="2284" spans="1:8" s="401" customFormat="1" ht="14.25" customHeight="1" x14ac:dyDescent="0.25">
      <c r="A2284" s="564">
        <v>2200</v>
      </c>
      <c r="B2284" s="562" t="s">
        <v>785</v>
      </c>
      <c r="C2284" s="403">
        <v>334</v>
      </c>
      <c r="D2284" s="400"/>
      <c r="E2284" s="400"/>
      <c r="F2284" s="400"/>
      <c r="G2284" s="400"/>
      <c r="H2284" s="396"/>
    </row>
    <row r="2285" spans="1:8" s="401" customFormat="1" ht="14.25" customHeight="1" x14ac:dyDescent="0.25">
      <c r="A2285" s="564">
        <v>2201</v>
      </c>
      <c r="B2285" s="562" t="s">
        <v>785</v>
      </c>
      <c r="C2285" s="403">
        <v>334</v>
      </c>
      <c r="D2285" s="400"/>
      <c r="E2285" s="400"/>
      <c r="F2285" s="400"/>
      <c r="G2285" s="400"/>
      <c r="H2285" s="396"/>
    </row>
    <row r="2286" spans="1:8" s="401" customFormat="1" ht="14.25" customHeight="1" x14ac:dyDescent="0.25">
      <c r="A2286" s="564">
        <v>2202</v>
      </c>
      <c r="B2286" s="562" t="s">
        <v>785</v>
      </c>
      <c r="C2286" s="403">
        <v>334</v>
      </c>
      <c r="D2286" s="400"/>
      <c r="E2286" s="400"/>
      <c r="F2286" s="400"/>
      <c r="G2286" s="400"/>
      <c r="H2286" s="396"/>
    </row>
    <row r="2287" spans="1:8" s="401" customFormat="1" ht="14.25" customHeight="1" x14ac:dyDescent="0.25">
      <c r="A2287" s="564">
        <v>2203</v>
      </c>
      <c r="B2287" s="562" t="s">
        <v>785</v>
      </c>
      <c r="C2287" s="403">
        <v>334</v>
      </c>
      <c r="D2287" s="400"/>
      <c r="E2287" s="400"/>
      <c r="F2287" s="400"/>
      <c r="G2287" s="400"/>
      <c r="H2287" s="396"/>
    </row>
    <row r="2288" spans="1:8" s="401" customFormat="1" ht="14.25" customHeight="1" x14ac:dyDescent="0.25">
      <c r="A2288" s="564">
        <v>2204</v>
      </c>
      <c r="B2288" s="562" t="s">
        <v>785</v>
      </c>
      <c r="C2288" s="403">
        <v>334</v>
      </c>
      <c r="D2288" s="400"/>
      <c r="E2288" s="400"/>
      <c r="F2288" s="400"/>
      <c r="G2288" s="400"/>
      <c r="H2288" s="396"/>
    </row>
    <row r="2289" spans="1:8" s="401" customFormat="1" ht="14.25" customHeight="1" x14ac:dyDescent="0.25">
      <c r="A2289" s="564">
        <v>2205</v>
      </c>
      <c r="B2289" s="562" t="s">
        <v>785</v>
      </c>
      <c r="C2289" s="403">
        <v>334</v>
      </c>
      <c r="D2289" s="400"/>
      <c r="E2289" s="400"/>
      <c r="F2289" s="400"/>
      <c r="G2289" s="400"/>
      <c r="H2289" s="396"/>
    </row>
    <row r="2290" spans="1:8" s="401" customFormat="1" ht="14.25" customHeight="1" x14ac:dyDescent="0.25">
      <c r="A2290" s="564">
        <v>2207</v>
      </c>
      <c r="B2290" s="562" t="s">
        <v>785</v>
      </c>
      <c r="C2290" s="403">
        <v>334</v>
      </c>
      <c r="D2290" s="400"/>
      <c r="E2290" s="400"/>
      <c r="F2290" s="400"/>
      <c r="G2290" s="400"/>
      <c r="H2290" s="396"/>
    </row>
    <row r="2291" spans="1:8" s="401" customFormat="1" ht="14.25" customHeight="1" x14ac:dyDescent="0.25">
      <c r="A2291" s="564">
        <v>2209</v>
      </c>
      <c r="B2291" s="562" t="s">
        <v>819</v>
      </c>
      <c r="C2291" s="403">
        <v>590</v>
      </c>
      <c r="D2291" s="400"/>
      <c r="E2291" s="400"/>
      <c r="F2291" s="400"/>
      <c r="G2291" s="400"/>
      <c r="H2291" s="396"/>
    </row>
    <row r="2292" spans="1:8" s="401" customFormat="1" ht="14.25" customHeight="1" x14ac:dyDescent="0.25">
      <c r="A2292" s="564">
        <v>2215</v>
      </c>
      <c r="B2292" s="562" t="s">
        <v>828</v>
      </c>
      <c r="C2292" s="403">
        <v>1</v>
      </c>
      <c r="D2292" s="400"/>
      <c r="E2292" s="400"/>
      <c r="F2292" s="400"/>
      <c r="G2292" s="400"/>
      <c r="H2292" s="396"/>
    </row>
    <row r="2293" spans="1:8" s="401" customFormat="1" ht="14.25" customHeight="1" x14ac:dyDescent="0.25">
      <c r="A2293" s="564">
        <v>2222</v>
      </c>
      <c r="B2293" s="562" t="s">
        <v>791</v>
      </c>
      <c r="C2293" s="403">
        <v>1</v>
      </c>
      <c r="D2293" s="400"/>
      <c r="E2293" s="400"/>
      <c r="F2293" s="400"/>
      <c r="G2293" s="400"/>
      <c r="H2293" s="396"/>
    </row>
    <row r="2294" spans="1:8" s="401" customFormat="1" ht="14.25" customHeight="1" x14ac:dyDescent="0.25">
      <c r="A2294" s="564">
        <v>2226</v>
      </c>
      <c r="B2294" s="562" t="s">
        <v>787</v>
      </c>
      <c r="C2294" s="403">
        <v>1</v>
      </c>
      <c r="D2294" s="400"/>
      <c r="E2294" s="400"/>
      <c r="F2294" s="400"/>
      <c r="G2294" s="400"/>
      <c r="H2294" s="396"/>
    </row>
    <row r="2295" spans="1:8" s="401" customFormat="1" ht="14.25" customHeight="1" x14ac:dyDescent="0.25">
      <c r="A2295" s="564">
        <v>2230</v>
      </c>
      <c r="B2295" s="562" t="s">
        <v>787</v>
      </c>
      <c r="C2295" s="403">
        <v>1</v>
      </c>
      <c r="D2295" s="400"/>
      <c r="E2295" s="400"/>
      <c r="F2295" s="400"/>
      <c r="G2295" s="400"/>
      <c r="H2295" s="396"/>
    </row>
    <row r="2296" spans="1:8" s="401" customFormat="1" ht="14.25" customHeight="1" x14ac:dyDescent="0.25">
      <c r="A2296" s="564">
        <v>2232</v>
      </c>
      <c r="B2296" s="562" t="s">
        <v>787</v>
      </c>
      <c r="C2296" s="403">
        <v>1</v>
      </c>
      <c r="D2296" s="400"/>
      <c r="E2296" s="400"/>
      <c r="F2296" s="400"/>
      <c r="G2296" s="400"/>
      <c r="H2296" s="396"/>
    </row>
    <row r="2297" spans="1:8" s="401" customFormat="1" ht="14.25" customHeight="1" x14ac:dyDescent="0.25">
      <c r="A2297" s="564">
        <v>2238</v>
      </c>
      <c r="B2297" s="562" t="s">
        <v>828</v>
      </c>
      <c r="C2297" s="403">
        <v>1</v>
      </c>
      <c r="D2297" s="400"/>
      <c r="E2297" s="400"/>
      <c r="F2297" s="400"/>
      <c r="G2297" s="400"/>
      <c r="H2297" s="396"/>
    </row>
    <row r="2298" spans="1:8" s="401" customFormat="1" ht="14.25" customHeight="1" x14ac:dyDescent="0.25">
      <c r="A2298" s="564">
        <v>2251</v>
      </c>
      <c r="B2298" s="562" t="s">
        <v>828</v>
      </c>
      <c r="C2298" s="403">
        <v>1</v>
      </c>
      <c r="D2298" s="400"/>
      <c r="E2298" s="400"/>
      <c r="F2298" s="400"/>
      <c r="G2298" s="400"/>
      <c r="H2298" s="396"/>
    </row>
    <row r="2299" spans="1:8" s="401" customFormat="1" ht="14.25" customHeight="1" x14ac:dyDescent="0.25">
      <c r="A2299" s="564">
        <v>2258</v>
      </c>
      <c r="B2299" s="562" t="s">
        <v>828</v>
      </c>
      <c r="C2299" s="403">
        <v>1</v>
      </c>
      <c r="D2299" s="400"/>
      <c r="E2299" s="400"/>
      <c r="F2299" s="400"/>
      <c r="G2299" s="400"/>
      <c r="H2299" s="396"/>
    </row>
    <row r="2300" spans="1:8" s="401" customFormat="1" ht="14.25" customHeight="1" x14ac:dyDescent="0.25">
      <c r="A2300" s="564">
        <v>2263</v>
      </c>
      <c r="B2300" s="562" t="s">
        <v>828</v>
      </c>
      <c r="C2300" s="403">
        <v>1</v>
      </c>
      <c r="D2300" s="400"/>
      <c r="E2300" s="400"/>
      <c r="F2300" s="400"/>
      <c r="G2300" s="400"/>
      <c r="H2300" s="396"/>
    </row>
    <row r="2301" spans="1:8" s="401" customFormat="1" ht="14.25" customHeight="1" x14ac:dyDescent="0.25">
      <c r="A2301" s="564">
        <v>2267</v>
      </c>
      <c r="B2301" s="562" t="s">
        <v>828</v>
      </c>
      <c r="C2301" s="403">
        <v>1</v>
      </c>
      <c r="D2301" s="400"/>
      <c r="E2301" s="400"/>
      <c r="F2301" s="400"/>
      <c r="G2301" s="400"/>
      <c r="H2301" s="396"/>
    </row>
    <row r="2302" spans="1:8" s="401" customFormat="1" ht="14.25" customHeight="1" x14ac:dyDescent="0.25">
      <c r="A2302" s="564">
        <v>2270</v>
      </c>
      <c r="B2302" s="562" t="s">
        <v>828</v>
      </c>
      <c r="C2302" s="403">
        <v>1</v>
      </c>
      <c r="D2302" s="400"/>
      <c r="E2302" s="400"/>
      <c r="F2302" s="400"/>
      <c r="G2302" s="400"/>
      <c r="H2302" s="396"/>
    </row>
    <row r="2303" spans="1:8" s="401" customFormat="1" ht="14.25" customHeight="1" x14ac:dyDescent="0.25">
      <c r="A2303" s="564">
        <v>2276</v>
      </c>
      <c r="B2303" s="562" t="s">
        <v>828</v>
      </c>
      <c r="C2303" s="403">
        <v>1</v>
      </c>
      <c r="D2303" s="400"/>
      <c r="E2303" s="400"/>
      <c r="F2303" s="400"/>
      <c r="G2303" s="400"/>
      <c r="H2303" s="396"/>
    </row>
    <row r="2304" spans="1:8" s="401" customFormat="1" ht="14.25" customHeight="1" x14ac:dyDescent="0.25">
      <c r="A2304" s="564">
        <v>2279</v>
      </c>
      <c r="B2304" s="562" t="s">
        <v>828</v>
      </c>
      <c r="C2304" s="403">
        <v>1</v>
      </c>
      <c r="D2304" s="400"/>
      <c r="E2304" s="400"/>
      <c r="F2304" s="400"/>
      <c r="G2304" s="400"/>
      <c r="H2304" s="396"/>
    </row>
    <row r="2305" spans="1:8" s="401" customFormat="1" ht="14.25" customHeight="1" x14ac:dyDescent="0.25">
      <c r="A2305" s="564">
        <v>2353</v>
      </c>
      <c r="B2305" s="562" t="s">
        <v>828</v>
      </c>
      <c r="C2305" s="403">
        <v>1</v>
      </c>
      <c r="D2305" s="400"/>
      <c r="E2305" s="400"/>
      <c r="F2305" s="400"/>
      <c r="G2305" s="400"/>
      <c r="H2305" s="396"/>
    </row>
    <row r="2306" spans="1:8" s="401" customFormat="1" ht="14.25" customHeight="1" x14ac:dyDescent="0.25">
      <c r="A2306" s="564">
        <v>2363</v>
      </c>
      <c r="B2306" s="562" t="s">
        <v>828</v>
      </c>
      <c r="C2306" s="403">
        <v>1</v>
      </c>
      <c r="D2306" s="400"/>
      <c r="E2306" s="400"/>
      <c r="F2306" s="400"/>
      <c r="G2306" s="400"/>
      <c r="H2306" s="396"/>
    </row>
    <row r="2307" spans="1:8" s="401" customFormat="1" ht="14.25" customHeight="1" x14ac:dyDescent="0.25">
      <c r="A2307" s="564">
        <v>2367</v>
      </c>
      <c r="B2307" s="562" t="s">
        <v>828</v>
      </c>
      <c r="C2307" s="403">
        <v>1</v>
      </c>
      <c r="D2307" s="400"/>
      <c r="E2307" s="400"/>
      <c r="F2307" s="400"/>
      <c r="G2307" s="400"/>
      <c r="H2307" s="396"/>
    </row>
    <row r="2308" spans="1:8" s="401" customFormat="1" ht="14.25" customHeight="1" x14ac:dyDescent="0.25">
      <c r="A2308" s="564">
        <v>2370</v>
      </c>
      <c r="B2308" s="562" t="s">
        <v>828</v>
      </c>
      <c r="C2308" s="403">
        <v>1</v>
      </c>
      <c r="D2308" s="400"/>
      <c r="E2308" s="400"/>
      <c r="F2308" s="400"/>
      <c r="G2308" s="400"/>
      <c r="H2308" s="396"/>
    </row>
    <row r="2309" spans="1:8" s="401" customFormat="1" ht="14.25" customHeight="1" x14ac:dyDescent="0.25">
      <c r="A2309" s="564">
        <v>2373</v>
      </c>
      <c r="B2309" s="562" t="s">
        <v>829</v>
      </c>
      <c r="C2309" s="403">
        <v>1</v>
      </c>
      <c r="D2309" s="400"/>
      <c r="E2309" s="400"/>
      <c r="F2309" s="400"/>
      <c r="G2309" s="400"/>
      <c r="H2309" s="396"/>
    </row>
    <row r="2310" spans="1:8" s="401" customFormat="1" ht="14.25" customHeight="1" x14ac:dyDescent="0.25">
      <c r="A2310" s="564">
        <v>2374</v>
      </c>
      <c r="B2310" s="562" t="s">
        <v>828</v>
      </c>
      <c r="C2310" s="403">
        <v>1</v>
      </c>
      <c r="D2310" s="400"/>
      <c r="E2310" s="400"/>
      <c r="F2310" s="400"/>
      <c r="G2310" s="400"/>
      <c r="H2310" s="396"/>
    </row>
    <row r="2311" spans="1:8" s="401" customFormat="1" ht="14.25" customHeight="1" x14ac:dyDescent="0.25">
      <c r="A2311" s="564">
        <v>2385</v>
      </c>
      <c r="B2311" s="562" t="s">
        <v>828</v>
      </c>
      <c r="C2311" s="403">
        <v>1</v>
      </c>
      <c r="D2311" s="400"/>
      <c r="E2311" s="400"/>
      <c r="F2311" s="400"/>
      <c r="G2311" s="400"/>
      <c r="H2311" s="396"/>
    </row>
    <row r="2312" spans="1:8" s="401" customFormat="1" ht="14.25" customHeight="1" x14ac:dyDescent="0.25">
      <c r="A2312" s="564">
        <v>2403</v>
      </c>
      <c r="B2312" s="562" t="s">
        <v>828</v>
      </c>
      <c r="C2312" s="403">
        <v>1</v>
      </c>
      <c r="D2312" s="400"/>
      <c r="E2312" s="400"/>
      <c r="F2312" s="400"/>
      <c r="G2312" s="400"/>
      <c r="H2312" s="396"/>
    </row>
    <row r="2313" spans="1:8" s="401" customFormat="1" ht="14.25" customHeight="1" x14ac:dyDescent="0.25">
      <c r="A2313" s="564">
        <v>2407</v>
      </c>
      <c r="B2313" s="562" t="s">
        <v>828</v>
      </c>
      <c r="C2313" s="403">
        <v>1</v>
      </c>
      <c r="D2313" s="400"/>
      <c r="E2313" s="400"/>
      <c r="F2313" s="400"/>
      <c r="G2313" s="400"/>
      <c r="H2313" s="396"/>
    </row>
    <row r="2314" spans="1:8" s="401" customFormat="1" ht="14.25" customHeight="1" x14ac:dyDescent="0.25">
      <c r="A2314" s="564">
        <v>2410</v>
      </c>
      <c r="B2314" s="562" t="s">
        <v>828</v>
      </c>
      <c r="C2314" s="403">
        <v>1</v>
      </c>
      <c r="D2314" s="400"/>
      <c r="E2314" s="400"/>
      <c r="F2314" s="400"/>
      <c r="G2314" s="400"/>
      <c r="H2314" s="396"/>
    </row>
    <row r="2315" spans="1:8" s="401" customFormat="1" ht="14.25" customHeight="1" x14ac:dyDescent="0.25">
      <c r="A2315" s="564">
        <v>2414</v>
      </c>
      <c r="B2315" s="562" t="s">
        <v>828</v>
      </c>
      <c r="C2315" s="403">
        <v>1</v>
      </c>
      <c r="D2315" s="400"/>
      <c r="E2315" s="400"/>
      <c r="F2315" s="400"/>
      <c r="G2315" s="400"/>
      <c r="H2315" s="396"/>
    </row>
    <row r="2316" spans="1:8" s="401" customFormat="1" ht="14.25" customHeight="1" x14ac:dyDescent="0.25">
      <c r="A2316" s="564">
        <v>2418</v>
      </c>
      <c r="B2316" s="562" t="s">
        <v>828</v>
      </c>
      <c r="C2316" s="403">
        <v>1</v>
      </c>
      <c r="D2316" s="400"/>
      <c r="E2316" s="400"/>
      <c r="F2316" s="400"/>
      <c r="G2316" s="400"/>
      <c r="H2316" s="396"/>
    </row>
    <row r="2317" spans="1:8" s="401" customFormat="1" ht="14.25" customHeight="1" x14ac:dyDescent="0.25">
      <c r="A2317" s="564">
        <v>2443</v>
      </c>
      <c r="B2317" s="562" t="s">
        <v>790</v>
      </c>
      <c r="C2317" s="403">
        <v>1</v>
      </c>
      <c r="D2317" s="400"/>
      <c r="E2317" s="400"/>
      <c r="F2317" s="400"/>
      <c r="G2317" s="400"/>
      <c r="H2317" s="396"/>
    </row>
    <row r="2318" spans="1:8" s="401" customFormat="1" ht="14.25" customHeight="1" x14ac:dyDescent="0.25">
      <c r="A2318" s="564">
        <v>2449</v>
      </c>
      <c r="B2318" s="562" t="s">
        <v>790</v>
      </c>
      <c r="C2318" s="403">
        <v>1</v>
      </c>
      <c r="D2318" s="400"/>
      <c r="E2318" s="400"/>
      <c r="F2318" s="400"/>
      <c r="G2318" s="400"/>
      <c r="H2318" s="396"/>
    </row>
    <row r="2319" spans="1:8" s="401" customFormat="1" ht="14.25" customHeight="1" x14ac:dyDescent="0.25">
      <c r="A2319" s="564">
        <v>2453</v>
      </c>
      <c r="B2319" s="562" t="s">
        <v>790</v>
      </c>
      <c r="C2319" s="403">
        <v>1</v>
      </c>
      <c r="D2319" s="400"/>
      <c r="E2319" s="400"/>
      <c r="F2319" s="400"/>
      <c r="G2319" s="400"/>
      <c r="H2319" s="396"/>
    </row>
    <row r="2320" spans="1:8" s="401" customFormat="1" ht="14.25" customHeight="1" x14ac:dyDescent="0.25">
      <c r="A2320" s="564">
        <v>2460</v>
      </c>
      <c r="B2320" s="562" t="s">
        <v>790</v>
      </c>
      <c r="C2320" s="403">
        <v>1</v>
      </c>
      <c r="D2320" s="400"/>
      <c r="E2320" s="400"/>
      <c r="F2320" s="400"/>
      <c r="G2320" s="400"/>
      <c r="H2320" s="396"/>
    </row>
    <row r="2321" spans="1:8" s="401" customFormat="1" ht="14.25" customHeight="1" x14ac:dyDescent="0.25">
      <c r="A2321" s="564">
        <v>2463</v>
      </c>
      <c r="B2321" s="562" t="s">
        <v>790</v>
      </c>
      <c r="C2321" s="403">
        <v>1</v>
      </c>
      <c r="D2321" s="400"/>
      <c r="E2321" s="400"/>
      <c r="F2321" s="400"/>
      <c r="G2321" s="400"/>
      <c r="H2321" s="396"/>
    </row>
    <row r="2322" spans="1:8" s="401" customFormat="1" ht="14.25" customHeight="1" x14ac:dyDescent="0.25">
      <c r="A2322" s="564">
        <v>2470</v>
      </c>
      <c r="B2322" s="562" t="s">
        <v>785</v>
      </c>
      <c r="C2322" s="403">
        <v>1</v>
      </c>
      <c r="D2322" s="400"/>
      <c r="E2322" s="400"/>
      <c r="F2322" s="400"/>
      <c r="G2322" s="400"/>
      <c r="H2322" s="396"/>
    </row>
    <row r="2323" spans="1:8" s="401" customFormat="1" ht="14.25" customHeight="1" x14ac:dyDescent="0.25">
      <c r="A2323" s="564">
        <v>2474</v>
      </c>
      <c r="B2323" s="562" t="s">
        <v>785</v>
      </c>
      <c r="C2323" s="403">
        <v>156</v>
      </c>
      <c r="D2323" s="400"/>
      <c r="E2323" s="400"/>
      <c r="F2323" s="400"/>
      <c r="G2323" s="400"/>
      <c r="H2323" s="396"/>
    </row>
    <row r="2324" spans="1:8" s="401" customFormat="1" ht="14.25" customHeight="1" x14ac:dyDescent="0.25">
      <c r="A2324" s="564">
        <v>2478</v>
      </c>
      <c r="B2324" s="562" t="s">
        <v>785</v>
      </c>
      <c r="C2324" s="403">
        <v>356</v>
      </c>
      <c r="D2324" s="400"/>
      <c r="E2324" s="400"/>
      <c r="F2324" s="400"/>
      <c r="G2324" s="400"/>
      <c r="H2324" s="396"/>
    </row>
    <row r="2325" spans="1:8" s="401" customFormat="1" ht="14.25" customHeight="1" x14ac:dyDescent="0.25">
      <c r="A2325" s="564">
        <v>2481</v>
      </c>
      <c r="B2325" s="562" t="s">
        <v>785</v>
      </c>
      <c r="C2325" s="403">
        <v>356</v>
      </c>
      <c r="D2325" s="400"/>
      <c r="E2325" s="400"/>
      <c r="F2325" s="400"/>
      <c r="G2325" s="400"/>
      <c r="H2325" s="396"/>
    </row>
    <row r="2326" spans="1:8" s="401" customFormat="1" ht="14.25" customHeight="1" x14ac:dyDescent="0.25">
      <c r="A2326" s="564">
        <v>2484</v>
      </c>
      <c r="B2326" s="562" t="s">
        <v>785</v>
      </c>
      <c r="C2326" s="403">
        <v>356</v>
      </c>
      <c r="D2326" s="400"/>
      <c r="E2326" s="400"/>
      <c r="F2326" s="400"/>
      <c r="G2326" s="400"/>
      <c r="H2326" s="396"/>
    </row>
    <row r="2327" spans="1:8" s="401" customFormat="1" ht="14.25" customHeight="1" x14ac:dyDescent="0.25">
      <c r="A2327" s="564">
        <v>2487</v>
      </c>
      <c r="B2327" s="562" t="s">
        <v>785</v>
      </c>
      <c r="C2327" s="403">
        <v>356</v>
      </c>
      <c r="D2327" s="400"/>
      <c r="E2327" s="400"/>
      <c r="F2327" s="400"/>
      <c r="G2327" s="400"/>
      <c r="H2327" s="396"/>
    </row>
    <row r="2328" spans="1:8" s="401" customFormat="1" ht="14.25" customHeight="1" x14ac:dyDescent="0.25">
      <c r="A2328" s="564">
        <v>2491</v>
      </c>
      <c r="B2328" s="562" t="s">
        <v>785</v>
      </c>
      <c r="C2328" s="403">
        <v>356</v>
      </c>
      <c r="D2328" s="400"/>
      <c r="E2328" s="400"/>
      <c r="F2328" s="400"/>
      <c r="G2328" s="400"/>
      <c r="H2328" s="396"/>
    </row>
    <row r="2329" spans="1:8" s="401" customFormat="1" ht="14.25" customHeight="1" x14ac:dyDescent="0.25">
      <c r="A2329" s="564">
        <v>2494</v>
      </c>
      <c r="B2329" s="562" t="s">
        <v>785</v>
      </c>
      <c r="C2329" s="403">
        <v>356</v>
      </c>
      <c r="D2329" s="400"/>
      <c r="E2329" s="400"/>
      <c r="F2329" s="400"/>
      <c r="G2329" s="400"/>
      <c r="H2329" s="396"/>
    </row>
    <row r="2330" spans="1:8" s="401" customFormat="1" ht="14.25" customHeight="1" x14ac:dyDescent="0.25">
      <c r="A2330" s="564">
        <v>2497</v>
      </c>
      <c r="B2330" s="562" t="s">
        <v>785</v>
      </c>
      <c r="C2330" s="403">
        <v>356</v>
      </c>
      <c r="D2330" s="400"/>
      <c r="E2330" s="400"/>
      <c r="F2330" s="400"/>
      <c r="G2330" s="400"/>
      <c r="H2330" s="396"/>
    </row>
    <row r="2331" spans="1:8" s="401" customFormat="1" ht="14.25" customHeight="1" x14ac:dyDescent="0.25">
      <c r="A2331" s="564">
        <v>2499</v>
      </c>
      <c r="B2331" s="562" t="s">
        <v>785</v>
      </c>
      <c r="C2331" s="403">
        <v>356</v>
      </c>
      <c r="D2331" s="400"/>
      <c r="E2331" s="400"/>
      <c r="F2331" s="400"/>
      <c r="G2331" s="400"/>
      <c r="H2331" s="396"/>
    </row>
    <row r="2332" spans="1:8" s="401" customFormat="1" ht="14.25" customHeight="1" x14ac:dyDescent="0.25">
      <c r="A2332" s="564">
        <v>2503</v>
      </c>
      <c r="B2332" s="562" t="s">
        <v>785</v>
      </c>
      <c r="C2332" s="403">
        <v>356</v>
      </c>
      <c r="D2332" s="400"/>
      <c r="E2332" s="400"/>
      <c r="F2332" s="400"/>
      <c r="G2332" s="400"/>
      <c r="H2332" s="396"/>
    </row>
    <row r="2333" spans="1:8" s="401" customFormat="1" ht="14.25" customHeight="1" x14ac:dyDescent="0.25">
      <c r="A2333" s="564">
        <v>2506</v>
      </c>
      <c r="B2333" s="562" t="s">
        <v>785</v>
      </c>
      <c r="C2333" s="403">
        <v>356</v>
      </c>
      <c r="D2333" s="400"/>
      <c r="E2333" s="400"/>
      <c r="F2333" s="400"/>
      <c r="G2333" s="400"/>
      <c r="H2333" s="396"/>
    </row>
    <row r="2334" spans="1:8" s="401" customFormat="1" ht="14.25" customHeight="1" x14ac:dyDescent="0.25">
      <c r="A2334" s="564">
        <v>2510</v>
      </c>
      <c r="B2334" s="562" t="s">
        <v>785</v>
      </c>
      <c r="C2334" s="403">
        <v>356</v>
      </c>
      <c r="D2334" s="400"/>
      <c r="E2334" s="400"/>
      <c r="F2334" s="400"/>
      <c r="G2334" s="400"/>
      <c r="H2334" s="396"/>
    </row>
    <row r="2335" spans="1:8" s="401" customFormat="1" ht="14.25" customHeight="1" x14ac:dyDescent="0.25">
      <c r="A2335" s="564">
        <v>2514</v>
      </c>
      <c r="B2335" s="562" t="s">
        <v>785</v>
      </c>
      <c r="C2335" s="403">
        <v>356</v>
      </c>
      <c r="D2335" s="400"/>
      <c r="E2335" s="400"/>
      <c r="F2335" s="400"/>
      <c r="G2335" s="400"/>
      <c r="H2335" s="396"/>
    </row>
    <row r="2336" spans="1:8" s="401" customFormat="1" ht="14.25" customHeight="1" x14ac:dyDescent="0.25">
      <c r="A2336" s="564">
        <v>2518</v>
      </c>
      <c r="B2336" s="562" t="s">
        <v>785</v>
      </c>
      <c r="C2336" s="403">
        <v>356</v>
      </c>
      <c r="D2336" s="400"/>
      <c r="E2336" s="400"/>
      <c r="F2336" s="400"/>
      <c r="G2336" s="400"/>
      <c r="H2336" s="396"/>
    </row>
    <row r="2337" spans="1:8" s="401" customFormat="1" ht="14.25" customHeight="1" x14ac:dyDescent="0.25">
      <c r="A2337" s="564">
        <v>2535</v>
      </c>
      <c r="B2337" s="562" t="s">
        <v>785</v>
      </c>
      <c r="C2337" s="403">
        <v>345</v>
      </c>
      <c r="D2337" s="400"/>
      <c r="E2337" s="400"/>
      <c r="F2337" s="400"/>
      <c r="G2337" s="400"/>
      <c r="H2337" s="396"/>
    </row>
    <row r="2338" spans="1:8" s="401" customFormat="1" ht="14.25" customHeight="1" x14ac:dyDescent="0.25">
      <c r="A2338" s="564">
        <v>2538</v>
      </c>
      <c r="B2338" s="562" t="s">
        <v>785</v>
      </c>
      <c r="C2338" s="403">
        <v>782</v>
      </c>
      <c r="D2338" s="400"/>
      <c r="E2338" s="400"/>
      <c r="F2338" s="400"/>
      <c r="G2338" s="400"/>
      <c r="H2338" s="396"/>
    </row>
    <row r="2339" spans="1:8" s="401" customFormat="1" ht="14.25" customHeight="1" x14ac:dyDescent="0.25">
      <c r="A2339" s="564">
        <v>2542</v>
      </c>
      <c r="B2339" s="562" t="s">
        <v>785</v>
      </c>
      <c r="C2339" s="403">
        <v>2185</v>
      </c>
      <c r="D2339" s="400"/>
      <c r="E2339" s="400"/>
      <c r="F2339" s="400"/>
      <c r="G2339" s="400"/>
      <c r="H2339" s="396"/>
    </row>
    <row r="2340" spans="1:8" s="401" customFormat="1" ht="14.25" customHeight="1" x14ac:dyDescent="0.25">
      <c r="A2340" s="564">
        <v>2545</v>
      </c>
      <c r="B2340" s="562" t="s">
        <v>818</v>
      </c>
      <c r="C2340" s="403">
        <v>1</v>
      </c>
      <c r="D2340" s="400"/>
      <c r="E2340" s="400"/>
      <c r="F2340" s="400"/>
      <c r="G2340" s="400"/>
      <c r="H2340" s="396"/>
    </row>
    <row r="2341" spans="1:8" s="401" customFormat="1" ht="14.25" customHeight="1" x14ac:dyDescent="0.25">
      <c r="A2341" s="564">
        <v>2549</v>
      </c>
      <c r="B2341" s="562" t="s">
        <v>819</v>
      </c>
      <c r="C2341" s="403">
        <v>1</v>
      </c>
      <c r="D2341" s="400"/>
      <c r="E2341" s="400"/>
      <c r="F2341" s="400"/>
      <c r="G2341" s="400"/>
      <c r="H2341" s="396"/>
    </row>
    <row r="2342" spans="1:8" s="401" customFormat="1" ht="14.25" customHeight="1" x14ac:dyDescent="0.25">
      <c r="A2342" s="564">
        <v>2552</v>
      </c>
      <c r="B2342" s="562" t="s">
        <v>819</v>
      </c>
      <c r="C2342" s="403">
        <v>1</v>
      </c>
      <c r="D2342" s="400"/>
      <c r="E2342" s="400"/>
      <c r="F2342" s="400"/>
      <c r="G2342" s="400"/>
      <c r="H2342" s="396"/>
    </row>
    <row r="2343" spans="1:8" s="401" customFormat="1" ht="14.25" customHeight="1" x14ac:dyDescent="0.25">
      <c r="A2343" s="564">
        <v>2557</v>
      </c>
      <c r="B2343" s="562" t="s">
        <v>819</v>
      </c>
      <c r="C2343" s="403">
        <v>1</v>
      </c>
      <c r="D2343" s="400"/>
      <c r="E2343" s="400"/>
      <c r="F2343" s="400"/>
      <c r="G2343" s="400"/>
      <c r="H2343" s="396"/>
    </row>
    <row r="2344" spans="1:8" s="401" customFormat="1" ht="14.25" customHeight="1" x14ac:dyDescent="0.25">
      <c r="A2344" s="564">
        <v>2567</v>
      </c>
      <c r="B2344" s="562" t="s">
        <v>788</v>
      </c>
      <c r="C2344" s="403">
        <v>1</v>
      </c>
      <c r="D2344" s="400"/>
      <c r="E2344" s="400"/>
      <c r="F2344" s="400"/>
      <c r="G2344" s="400"/>
      <c r="H2344" s="396"/>
    </row>
    <row r="2345" spans="1:8" s="401" customFormat="1" ht="14.25" customHeight="1" x14ac:dyDescent="0.25">
      <c r="A2345" s="564">
        <v>2571</v>
      </c>
      <c r="B2345" s="562" t="s">
        <v>785</v>
      </c>
      <c r="C2345" s="403">
        <v>1</v>
      </c>
      <c r="D2345" s="400"/>
      <c r="E2345" s="400"/>
      <c r="F2345" s="400"/>
      <c r="G2345" s="400"/>
      <c r="H2345" s="396"/>
    </row>
    <row r="2346" spans="1:8" s="401" customFormat="1" ht="14.25" customHeight="1" x14ac:dyDescent="0.25">
      <c r="A2346" s="564">
        <v>2575</v>
      </c>
      <c r="B2346" s="562" t="s">
        <v>785</v>
      </c>
      <c r="C2346" s="403">
        <v>1</v>
      </c>
      <c r="D2346" s="400"/>
      <c r="E2346" s="400"/>
      <c r="F2346" s="400"/>
      <c r="G2346" s="400"/>
      <c r="H2346" s="396"/>
    </row>
    <row r="2347" spans="1:8" s="401" customFormat="1" ht="14.25" customHeight="1" x14ac:dyDescent="0.25">
      <c r="A2347" s="564">
        <v>2581</v>
      </c>
      <c r="B2347" s="562" t="s">
        <v>785</v>
      </c>
      <c r="C2347" s="403">
        <v>1</v>
      </c>
      <c r="D2347" s="400"/>
      <c r="E2347" s="400"/>
      <c r="F2347" s="400"/>
      <c r="G2347" s="400"/>
      <c r="H2347" s="396"/>
    </row>
    <row r="2348" spans="1:8" s="401" customFormat="1" ht="14.25" customHeight="1" x14ac:dyDescent="0.25">
      <c r="A2348" s="564">
        <v>2596</v>
      </c>
      <c r="B2348" s="562" t="s">
        <v>785</v>
      </c>
      <c r="C2348" s="403">
        <v>1</v>
      </c>
      <c r="D2348" s="400"/>
      <c r="E2348" s="400"/>
      <c r="F2348" s="400"/>
      <c r="G2348" s="400"/>
      <c r="H2348" s="396"/>
    </row>
    <row r="2349" spans="1:8" s="401" customFormat="1" ht="14.25" customHeight="1" x14ac:dyDescent="0.25">
      <c r="A2349" s="564">
        <v>2599</v>
      </c>
      <c r="B2349" s="562" t="s">
        <v>785</v>
      </c>
      <c r="C2349" s="403">
        <v>1</v>
      </c>
      <c r="D2349" s="400"/>
      <c r="E2349" s="400"/>
      <c r="F2349" s="400"/>
      <c r="G2349" s="400"/>
      <c r="H2349" s="396"/>
    </row>
    <row r="2350" spans="1:8" s="401" customFormat="1" ht="14.25" customHeight="1" x14ac:dyDescent="0.25">
      <c r="A2350" s="564">
        <v>2602</v>
      </c>
      <c r="B2350" s="562" t="s">
        <v>819</v>
      </c>
      <c r="C2350" s="403">
        <v>1426</v>
      </c>
      <c r="D2350" s="400"/>
      <c r="E2350" s="400"/>
      <c r="F2350" s="400"/>
      <c r="G2350" s="400"/>
      <c r="H2350" s="396"/>
    </row>
    <row r="2351" spans="1:8" s="401" customFormat="1" ht="14.25" customHeight="1" x14ac:dyDescent="0.25">
      <c r="A2351" s="564">
        <v>2616</v>
      </c>
      <c r="B2351" s="562" t="s">
        <v>791</v>
      </c>
      <c r="C2351" s="403">
        <v>3487</v>
      </c>
      <c r="D2351" s="400"/>
      <c r="E2351" s="400"/>
      <c r="F2351" s="400"/>
      <c r="G2351" s="400"/>
      <c r="H2351" s="396"/>
    </row>
    <row r="2352" spans="1:8" s="401" customFormat="1" ht="14.25" customHeight="1" x14ac:dyDescent="0.25">
      <c r="A2352" s="564">
        <v>2621</v>
      </c>
      <c r="B2352" s="562" t="s">
        <v>787</v>
      </c>
      <c r="C2352" s="403">
        <v>2794</v>
      </c>
      <c r="D2352" s="400"/>
      <c r="E2352" s="400"/>
      <c r="F2352" s="400"/>
      <c r="G2352" s="400"/>
      <c r="H2352" s="396"/>
    </row>
    <row r="2353" spans="1:8" s="401" customFormat="1" ht="14.25" customHeight="1" x14ac:dyDescent="0.25">
      <c r="A2353" s="564">
        <v>2624</v>
      </c>
      <c r="B2353" s="562" t="s">
        <v>787</v>
      </c>
      <c r="C2353" s="403">
        <v>2794</v>
      </c>
      <c r="D2353" s="400"/>
      <c r="E2353" s="400"/>
      <c r="F2353" s="400"/>
      <c r="G2353" s="400"/>
      <c r="H2353" s="396"/>
    </row>
    <row r="2354" spans="1:8" s="401" customFormat="1" ht="14.25" customHeight="1" x14ac:dyDescent="0.25">
      <c r="A2354" s="564">
        <v>2648</v>
      </c>
      <c r="B2354" s="562" t="s">
        <v>787</v>
      </c>
      <c r="C2354" s="403">
        <v>1</v>
      </c>
      <c r="D2354" s="400"/>
      <c r="E2354" s="400"/>
      <c r="F2354" s="400"/>
      <c r="G2354" s="400"/>
      <c r="H2354" s="396"/>
    </row>
    <row r="2355" spans="1:8" s="401" customFormat="1" ht="14.25" customHeight="1" x14ac:dyDescent="0.25">
      <c r="A2355" s="564">
        <v>2652</v>
      </c>
      <c r="B2355" s="562" t="s">
        <v>787</v>
      </c>
      <c r="C2355" s="403">
        <v>1</v>
      </c>
      <c r="D2355" s="400"/>
      <c r="E2355" s="400"/>
      <c r="F2355" s="400"/>
      <c r="G2355" s="400"/>
      <c r="H2355" s="396"/>
    </row>
    <row r="2356" spans="1:8" s="401" customFormat="1" ht="14.25" customHeight="1" x14ac:dyDescent="0.25">
      <c r="A2356" s="564">
        <v>2658</v>
      </c>
      <c r="B2356" s="562" t="s">
        <v>787</v>
      </c>
      <c r="C2356" s="403">
        <v>1</v>
      </c>
      <c r="D2356" s="400"/>
      <c r="E2356" s="400"/>
      <c r="F2356" s="400"/>
      <c r="G2356" s="400"/>
      <c r="H2356" s="396"/>
    </row>
    <row r="2357" spans="1:8" s="401" customFormat="1" ht="14.25" customHeight="1" x14ac:dyDescent="0.25">
      <c r="A2357" s="564">
        <v>2661</v>
      </c>
      <c r="B2357" s="562" t="s">
        <v>787</v>
      </c>
      <c r="C2357" s="403">
        <v>1</v>
      </c>
      <c r="D2357" s="400"/>
      <c r="E2357" s="400"/>
      <c r="F2357" s="400"/>
      <c r="G2357" s="400"/>
      <c r="H2357" s="396"/>
    </row>
    <row r="2358" spans="1:8" s="401" customFormat="1" ht="14.25" customHeight="1" x14ac:dyDescent="0.25">
      <c r="A2358" s="564">
        <v>2668</v>
      </c>
      <c r="B2358" s="562" t="s">
        <v>790</v>
      </c>
      <c r="C2358" s="403">
        <v>1</v>
      </c>
      <c r="D2358" s="400"/>
      <c r="E2358" s="400"/>
      <c r="F2358" s="400"/>
      <c r="G2358" s="400"/>
      <c r="H2358" s="396"/>
    </row>
    <row r="2359" spans="1:8" s="401" customFormat="1" ht="14.25" customHeight="1" x14ac:dyDescent="0.25">
      <c r="A2359" s="564">
        <v>2675</v>
      </c>
      <c r="B2359" s="562" t="s">
        <v>785</v>
      </c>
      <c r="C2359" s="403">
        <v>1</v>
      </c>
      <c r="D2359" s="400"/>
      <c r="E2359" s="400"/>
      <c r="F2359" s="400"/>
      <c r="G2359" s="400"/>
      <c r="H2359" s="396"/>
    </row>
    <row r="2360" spans="1:8" s="401" customFormat="1" ht="14.25" customHeight="1" x14ac:dyDescent="0.25">
      <c r="A2360" s="564">
        <v>2685</v>
      </c>
      <c r="B2360" s="562" t="s">
        <v>785</v>
      </c>
      <c r="C2360" s="403">
        <v>575</v>
      </c>
      <c r="D2360" s="400"/>
      <c r="E2360" s="400"/>
      <c r="F2360" s="400"/>
      <c r="G2360" s="400"/>
      <c r="H2360" s="396"/>
    </row>
    <row r="2361" spans="1:8" s="401" customFormat="1" ht="14.25" customHeight="1" x14ac:dyDescent="0.25">
      <c r="A2361" s="564">
        <v>2688</v>
      </c>
      <c r="B2361" s="562" t="s">
        <v>785</v>
      </c>
      <c r="C2361" s="403">
        <v>782</v>
      </c>
      <c r="D2361" s="400"/>
      <c r="E2361" s="400"/>
      <c r="F2361" s="400"/>
      <c r="G2361" s="400"/>
      <c r="H2361" s="396"/>
    </row>
    <row r="2362" spans="1:8" s="401" customFormat="1" ht="14.25" customHeight="1" x14ac:dyDescent="0.25">
      <c r="A2362" s="564">
        <v>2692</v>
      </c>
      <c r="B2362" s="562" t="s">
        <v>785</v>
      </c>
      <c r="C2362" s="403">
        <v>1</v>
      </c>
      <c r="D2362" s="400"/>
      <c r="E2362" s="400"/>
      <c r="F2362" s="400"/>
      <c r="G2362" s="400"/>
      <c r="H2362" s="396"/>
    </row>
    <row r="2363" spans="1:8" s="401" customFormat="1" ht="14.25" customHeight="1" x14ac:dyDescent="0.25">
      <c r="A2363" s="564">
        <v>2693</v>
      </c>
      <c r="B2363" s="562" t="s">
        <v>785</v>
      </c>
      <c r="C2363" s="403">
        <v>1</v>
      </c>
      <c r="D2363" s="400"/>
      <c r="E2363" s="400"/>
      <c r="F2363" s="400"/>
      <c r="G2363" s="400"/>
      <c r="H2363" s="396"/>
    </row>
    <row r="2364" spans="1:8" s="401" customFormat="1" ht="14.25" customHeight="1" x14ac:dyDescent="0.25">
      <c r="A2364" s="564">
        <v>2697</v>
      </c>
      <c r="B2364" s="562" t="s">
        <v>785</v>
      </c>
      <c r="C2364" s="403">
        <v>1</v>
      </c>
      <c r="D2364" s="400"/>
      <c r="E2364" s="400"/>
      <c r="F2364" s="400"/>
      <c r="G2364" s="400"/>
      <c r="H2364" s="396"/>
    </row>
    <row r="2365" spans="1:8" s="401" customFormat="1" ht="14.25" customHeight="1" x14ac:dyDescent="0.25">
      <c r="A2365" s="564">
        <v>2700</v>
      </c>
      <c r="B2365" s="562" t="s">
        <v>785</v>
      </c>
      <c r="C2365" s="403">
        <v>1</v>
      </c>
      <c r="D2365" s="400"/>
      <c r="E2365" s="400"/>
      <c r="F2365" s="400"/>
      <c r="G2365" s="400"/>
      <c r="H2365" s="396"/>
    </row>
    <row r="2366" spans="1:8" s="401" customFormat="1" ht="14.25" customHeight="1" x14ac:dyDescent="0.25">
      <c r="A2366" s="564">
        <v>2704</v>
      </c>
      <c r="B2366" s="562" t="s">
        <v>785</v>
      </c>
      <c r="C2366" s="403">
        <v>1</v>
      </c>
      <c r="D2366" s="400"/>
      <c r="E2366" s="400"/>
      <c r="F2366" s="400"/>
      <c r="G2366" s="400"/>
      <c r="H2366" s="396"/>
    </row>
    <row r="2367" spans="1:8" s="401" customFormat="1" ht="14.25" customHeight="1" x14ac:dyDescent="0.25">
      <c r="A2367" s="564">
        <v>2709</v>
      </c>
      <c r="B2367" s="562" t="s">
        <v>826</v>
      </c>
      <c r="C2367" s="403">
        <v>682</v>
      </c>
      <c r="D2367" s="400"/>
      <c r="E2367" s="400"/>
      <c r="F2367" s="400"/>
      <c r="G2367" s="400"/>
      <c r="H2367" s="396"/>
    </row>
    <row r="2368" spans="1:8" s="401" customFormat="1" ht="14.25" customHeight="1" x14ac:dyDescent="0.25">
      <c r="A2368" s="564">
        <v>2714</v>
      </c>
      <c r="B2368" s="562" t="s">
        <v>785</v>
      </c>
      <c r="C2368" s="403">
        <v>1</v>
      </c>
      <c r="D2368" s="400"/>
      <c r="E2368" s="400"/>
      <c r="F2368" s="400"/>
      <c r="G2368" s="400"/>
      <c r="H2368" s="396"/>
    </row>
    <row r="2369" spans="1:8" s="401" customFormat="1" ht="14.25" customHeight="1" x14ac:dyDescent="0.25">
      <c r="A2369" s="564">
        <v>2718</v>
      </c>
      <c r="B2369" s="562" t="s">
        <v>785</v>
      </c>
      <c r="C2369" s="403">
        <v>908</v>
      </c>
      <c r="D2369" s="400"/>
      <c r="E2369" s="400"/>
      <c r="F2369" s="400"/>
      <c r="G2369" s="400"/>
      <c r="H2369" s="396"/>
    </row>
    <row r="2370" spans="1:8" s="401" customFormat="1" ht="14.25" customHeight="1" x14ac:dyDescent="0.25">
      <c r="A2370" s="564">
        <v>2722</v>
      </c>
      <c r="B2370" s="562" t="s">
        <v>790</v>
      </c>
      <c r="C2370" s="403">
        <v>552</v>
      </c>
      <c r="D2370" s="400"/>
      <c r="E2370" s="400"/>
      <c r="F2370" s="400"/>
      <c r="G2370" s="400"/>
      <c r="H2370" s="396"/>
    </row>
    <row r="2371" spans="1:8" s="401" customFormat="1" ht="14.25" customHeight="1" x14ac:dyDescent="0.25">
      <c r="A2371" s="564">
        <v>2726</v>
      </c>
      <c r="B2371" s="562" t="s">
        <v>791</v>
      </c>
      <c r="C2371" s="403">
        <v>1</v>
      </c>
      <c r="D2371" s="400"/>
      <c r="E2371" s="400"/>
      <c r="F2371" s="400"/>
      <c r="G2371" s="400"/>
      <c r="H2371" s="396"/>
    </row>
    <row r="2372" spans="1:8" s="401" customFormat="1" ht="14.25" customHeight="1" x14ac:dyDescent="0.25">
      <c r="A2372" s="564">
        <v>2729</v>
      </c>
      <c r="B2372" s="562" t="s">
        <v>785</v>
      </c>
      <c r="C2372" s="403">
        <v>1</v>
      </c>
      <c r="D2372" s="400"/>
      <c r="E2372" s="400"/>
      <c r="F2372" s="400"/>
      <c r="G2372" s="400"/>
      <c r="H2372" s="396"/>
    </row>
    <row r="2373" spans="1:8" s="401" customFormat="1" ht="14.25" customHeight="1" x14ac:dyDescent="0.25">
      <c r="A2373" s="564">
        <v>498</v>
      </c>
      <c r="B2373" s="562" t="s">
        <v>790</v>
      </c>
      <c r="C2373" s="403">
        <v>450</v>
      </c>
      <c r="D2373" s="400"/>
      <c r="E2373" s="400"/>
      <c r="F2373" s="400"/>
      <c r="G2373" s="400"/>
      <c r="H2373" s="396"/>
    </row>
    <row r="2374" spans="1:8" s="401" customFormat="1" ht="14.25" customHeight="1" x14ac:dyDescent="0.25">
      <c r="A2374" s="564">
        <v>502</v>
      </c>
      <c r="B2374" s="562" t="s">
        <v>785</v>
      </c>
      <c r="C2374" s="403">
        <v>1</v>
      </c>
      <c r="D2374" s="400"/>
      <c r="E2374" s="400"/>
      <c r="F2374" s="400"/>
      <c r="G2374" s="400"/>
      <c r="H2374" s="396"/>
    </row>
    <row r="2375" spans="1:8" s="401" customFormat="1" ht="14.25" customHeight="1" x14ac:dyDescent="0.25">
      <c r="A2375" s="564">
        <v>507</v>
      </c>
      <c r="B2375" s="562" t="s">
        <v>785</v>
      </c>
      <c r="C2375" s="403">
        <v>1</v>
      </c>
      <c r="D2375" s="400"/>
      <c r="E2375" s="400"/>
      <c r="F2375" s="400"/>
      <c r="G2375" s="400"/>
      <c r="H2375" s="396"/>
    </row>
    <row r="2376" spans="1:8" s="401" customFormat="1" ht="14.25" customHeight="1" x14ac:dyDescent="0.25">
      <c r="A2376" s="564">
        <v>524</v>
      </c>
      <c r="B2376" s="562" t="s">
        <v>785</v>
      </c>
      <c r="C2376" s="403">
        <v>1</v>
      </c>
      <c r="D2376" s="400"/>
      <c r="E2376" s="400"/>
      <c r="F2376" s="400"/>
      <c r="G2376" s="400"/>
      <c r="H2376" s="396"/>
    </row>
    <row r="2377" spans="1:8" s="401" customFormat="1" ht="14.25" customHeight="1" x14ac:dyDescent="0.25">
      <c r="A2377" s="564">
        <v>527</v>
      </c>
      <c r="B2377" s="562" t="s">
        <v>785</v>
      </c>
      <c r="C2377" s="403">
        <v>1</v>
      </c>
      <c r="D2377" s="400"/>
      <c r="E2377" s="400"/>
      <c r="F2377" s="400"/>
      <c r="G2377" s="400"/>
      <c r="H2377" s="396"/>
    </row>
    <row r="2378" spans="1:8" s="401" customFormat="1" ht="14.25" customHeight="1" x14ac:dyDescent="0.25">
      <c r="A2378" s="564">
        <v>534</v>
      </c>
      <c r="B2378" s="562" t="s">
        <v>785</v>
      </c>
      <c r="C2378" s="403">
        <v>1</v>
      </c>
      <c r="D2378" s="400"/>
      <c r="E2378" s="400"/>
      <c r="F2378" s="400"/>
      <c r="G2378" s="400"/>
      <c r="H2378" s="396"/>
    </row>
    <row r="2379" spans="1:8" s="401" customFormat="1" ht="14.25" customHeight="1" x14ac:dyDescent="0.25">
      <c r="A2379" s="564">
        <v>541</v>
      </c>
      <c r="B2379" s="562" t="s">
        <v>785</v>
      </c>
      <c r="C2379" s="403">
        <v>1</v>
      </c>
      <c r="D2379" s="400"/>
      <c r="E2379" s="400"/>
      <c r="F2379" s="400"/>
      <c r="G2379" s="400"/>
      <c r="H2379" s="396"/>
    </row>
    <row r="2380" spans="1:8" s="401" customFormat="1" ht="14.25" customHeight="1" x14ac:dyDescent="0.25">
      <c r="A2380" s="564">
        <v>556</v>
      </c>
      <c r="B2380" s="562" t="s">
        <v>791</v>
      </c>
      <c r="C2380" s="403">
        <v>1</v>
      </c>
      <c r="D2380" s="400"/>
      <c r="E2380" s="400"/>
      <c r="F2380" s="400"/>
      <c r="G2380" s="400"/>
      <c r="H2380" s="396"/>
    </row>
    <row r="2381" spans="1:8" s="401" customFormat="1" ht="14.25" customHeight="1" x14ac:dyDescent="0.25">
      <c r="A2381" s="564">
        <v>561</v>
      </c>
      <c r="B2381" s="562" t="s">
        <v>791</v>
      </c>
      <c r="C2381" s="403">
        <v>1</v>
      </c>
      <c r="D2381" s="400"/>
      <c r="E2381" s="400"/>
      <c r="F2381" s="400"/>
      <c r="G2381" s="400"/>
      <c r="H2381" s="396"/>
    </row>
    <row r="2382" spans="1:8" s="401" customFormat="1" ht="14.25" customHeight="1" x14ac:dyDescent="0.25">
      <c r="A2382" s="564">
        <v>566</v>
      </c>
      <c r="B2382" s="562" t="s">
        <v>791</v>
      </c>
      <c r="C2382" s="403">
        <v>1</v>
      </c>
      <c r="D2382" s="400"/>
      <c r="E2382" s="400"/>
      <c r="F2382" s="400"/>
      <c r="G2382" s="400"/>
      <c r="H2382" s="396"/>
    </row>
    <row r="2383" spans="1:8" s="401" customFormat="1" ht="14.25" customHeight="1" x14ac:dyDescent="0.25">
      <c r="A2383" s="564">
        <v>572</v>
      </c>
      <c r="B2383" s="562" t="s">
        <v>791</v>
      </c>
      <c r="C2383" s="403">
        <v>1469</v>
      </c>
      <c r="D2383" s="400"/>
      <c r="E2383" s="400"/>
      <c r="F2383" s="400"/>
      <c r="G2383" s="400"/>
      <c r="H2383" s="396"/>
    </row>
    <row r="2384" spans="1:8" s="401" customFormat="1" ht="14.25" customHeight="1" x14ac:dyDescent="0.25">
      <c r="A2384" s="564">
        <v>575</v>
      </c>
      <c r="B2384" s="562" t="s">
        <v>791</v>
      </c>
      <c r="C2384" s="403">
        <v>2128</v>
      </c>
      <c r="D2384" s="400"/>
      <c r="E2384" s="400"/>
      <c r="F2384" s="400"/>
      <c r="G2384" s="400"/>
      <c r="H2384" s="396"/>
    </row>
    <row r="2385" spans="1:8" s="401" customFormat="1" ht="14.25" customHeight="1" x14ac:dyDescent="0.25">
      <c r="A2385" s="564">
        <v>577</v>
      </c>
      <c r="B2385" s="562" t="s">
        <v>791</v>
      </c>
      <c r="C2385" s="403">
        <v>1898</v>
      </c>
      <c r="D2385" s="400"/>
      <c r="E2385" s="400"/>
      <c r="F2385" s="400"/>
      <c r="G2385" s="400"/>
      <c r="H2385" s="396"/>
    </row>
    <row r="2386" spans="1:8" s="401" customFormat="1" ht="14.25" customHeight="1" x14ac:dyDescent="0.25">
      <c r="A2386" s="564">
        <v>579</v>
      </c>
      <c r="B2386" s="562" t="s">
        <v>787</v>
      </c>
      <c r="C2386" s="403">
        <v>1</v>
      </c>
      <c r="D2386" s="400"/>
      <c r="E2386" s="400"/>
      <c r="F2386" s="400"/>
      <c r="G2386" s="400"/>
      <c r="H2386" s="396"/>
    </row>
    <row r="2387" spans="1:8" s="401" customFormat="1" ht="14.25" customHeight="1" x14ac:dyDescent="0.25">
      <c r="A2387" s="564">
        <v>582</v>
      </c>
      <c r="B2387" s="562" t="s">
        <v>787</v>
      </c>
      <c r="C2387" s="403">
        <v>1531</v>
      </c>
      <c r="D2387" s="400"/>
      <c r="E2387" s="400"/>
      <c r="F2387" s="400"/>
      <c r="G2387" s="400"/>
      <c r="H2387" s="396"/>
    </row>
    <row r="2388" spans="1:8" s="401" customFormat="1" ht="14.25" customHeight="1" x14ac:dyDescent="0.25">
      <c r="A2388" s="564">
        <v>584</v>
      </c>
      <c r="B2388" s="562" t="s">
        <v>787</v>
      </c>
      <c r="C2388" s="403">
        <v>1</v>
      </c>
      <c r="D2388" s="400"/>
      <c r="E2388" s="400"/>
      <c r="F2388" s="400"/>
      <c r="G2388" s="400"/>
      <c r="H2388" s="396"/>
    </row>
    <row r="2389" spans="1:8" s="401" customFormat="1" ht="14.25" customHeight="1" x14ac:dyDescent="0.25">
      <c r="A2389" s="564">
        <v>589</v>
      </c>
      <c r="B2389" s="562" t="s">
        <v>787</v>
      </c>
      <c r="C2389" s="403">
        <v>1</v>
      </c>
      <c r="D2389" s="400"/>
      <c r="E2389" s="400"/>
      <c r="F2389" s="400"/>
      <c r="G2389" s="400"/>
      <c r="H2389" s="396"/>
    </row>
    <row r="2390" spans="1:8" s="401" customFormat="1" ht="14.25" customHeight="1" x14ac:dyDescent="0.25">
      <c r="A2390" s="564">
        <v>593</v>
      </c>
      <c r="B2390" s="562" t="s">
        <v>853</v>
      </c>
      <c r="C2390" s="403">
        <v>742</v>
      </c>
      <c r="D2390" s="400"/>
      <c r="E2390" s="400"/>
      <c r="F2390" s="400"/>
      <c r="G2390" s="400"/>
      <c r="H2390" s="396"/>
    </row>
    <row r="2391" spans="1:8" s="401" customFormat="1" ht="14.25" customHeight="1" x14ac:dyDescent="0.25">
      <c r="A2391" s="564">
        <v>595</v>
      </c>
      <c r="B2391" s="562" t="s">
        <v>787</v>
      </c>
      <c r="C2391" s="403">
        <v>742</v>
      </c>
      <c r="D2391" s="400"/>
      <c r="E2391" s="400"/>
      <c r="F2391" s="400"/>
      <c r="G2391" s="400"/>
      <c r="H2391" s="396"/>
    </row>
    <row r="2392" spans="1:8" s="401" customFormat="1" ht="14.25" customHeight="1" x14ac:dyDescent="0.25">
      <c r="A2392" s="564">
        <v>598</v>
      </c>
      <c r="B2392" s="562" t="s">
        <v>787</v>
      </c>
      <c r="C2392" s="403">
        <v>742</v>
      </c>
      <c r="D2392" s="400"/>
      <c r="E2392" s="400"/>
      <c r="F2392" s="400"/>
      <c r="G2392" s="400"/>
      <c r="H2392" s="396"/>
    </row>
    <row r="2393" spans="1:8" s="401" customFormat="1" ht="14.25" customHeight="1" x14ac:dyDescent="0.25">
      <c r="A2393" s="564">
        <v>599</v>
      </c>
      <c r="B2393" s="562" t="s">
        <v>790</v>
      </c>
      <c r="C2393" s="403">
        <v>1</v>
      </c>
      <c r="D2393" s="400"/>
      <c r="E2393" s="400"/>
      <c r="F2393" s="400"/>
      <c r="G2393" s="400"/>
      <c r="H2393" s="396"/>
    </row>
    <row r="2394" spans="1:8" s="401" customFormat="1" ht="14.25" customHeight="1" x14ac:dyDescent="0.25">
      <c r="A2394" s="564">
        <v>600</v>
      </c>
      <c r="B2394" s="562" t="s">
        <v>790</v>
      </c>
      <c r="C2394" s="403">
        <v>1</v>
      </c>
      <c r="D2394" s="400"/>
      <c r="E2394" s="400"/>
      <c r="F2394" s="400"/>
      <c r="G2394" s="400"/>
      <c r="H2394" s="396"/>
    </row>
    <row r="2395" spans="1:8" s="401" customFormat="1" ht="14.25" customHeight="1" x14ac:dyDescent="0.25">
      <c r="A2395" s="564">
        <v>601</v>
      </c>
      <c r="B2395" s="562" t="s">
        <v>790</v>
      </c>
      <c r="C2395" s="403">
        <v>1</v>
      </c>
      <c r="D2395" s="400"/>
      <c r="E2395" s="400"/>
      <c r="F2395" s="400"/>
      <c r="G2395" s="400"/>
      <c r="H2395" s="396"/>
    </row>
    <row r="2396" spans="1:8" s="401" customFormat="1" ht="14.25" customHeight="1" x14ac:dyDescent="0.25">
      <c r="A2396" s="564">
        <v>602</v>
      </c>
      <c r="B2396" s="562" t="s">
        <v>790</v>
      </c>
      <c r="C2396" s="403">
        <v>1</v>
      </c>
      <c r="D2396" s="400"/>
      <c r="E2396" s="400"/>
      <c r="F2396" s="400"/>
      <c r="G2396" s="400"/>
      <c r="H2396" s="396"/>
    </row>
    <row r="2397" spans="1:8" s="401" customFormat="1" ht="14.25" customHeight="1" x14ac:dyDescent="0.25">
      <c r="A2397" s="564">
        <v>603</v>
      </c>
      <c r="B2397" s="562" t="s">
        <v>790</v>
      </c>
      <c r="C2397" s="403">
        <v>1</v>
      </c>
      <c r="D2397" s="400"/>
      <c r="E2397" s="400"/>
      <c r="F2397" s="400"/>
      <c r="G2397" s="400"/>
      <c r="H2397" s="396"/>
    </row>
    <row r="2398" spans="1:8" s="401" customFormat="1" ht="14.25" customHeight="1" x14ac:dyDescent="0.25">
      <c r="A2398" s="564">
        <v>627</v>
      </c>
      <c r="B2398" s="562" t="s">
        <v>790</v>
      </c>
      <c r="C2398" s="403">
        <v>1</v>
      </c>
      <c r="D2398" s="400"/>
      <c r="E2398" s="400"/>
      <c r="F2398" s="400"/>
      <c r="G2398" s="400"/>
      <c r="H2398" s="396"/>
    </row>
    <row r="2399" spans="1:8" s="401" customFormat="1" ht="14.25" customHeight="1" x14ac:dyDescent="0.25">
      <c r="A2399" s="564">
        <v>631</v>
      </c>
      <c r="B2399" s="562" t="s">
        <v>790</v>
      </c>
      <c r="C2399" s="403">
        <v>1</v>
      </c>
      <c r="D2399" s="400"/>
      <c r="E2399" s="400"/>
      <c r="F2399" s="400"/>
      <c r="G2399" s="400"/>
      <c r="H2399" s="396"/>
    </row>
    <row r="2400" spans="1:8" s="401" customFormat="1" ht="14.25" customHeight="1" x14ac:dyDescent="0.25">
      <c r="A2400" s="564">
        <v>634</v>
      </c>
      <c r="B2400" s="562" t="s">
        <v>785</v>
      </c>
      <c r="C2400" s="403">
        <v>1</v>
      </c>
      <c r="D2400" s="400"/>
      <c r="E2400" s="400"/>
      <c r="F2400" s="400"/>
      <c r="G2400" s="400"/>
      <c r="H2400" s="396"/>
    </row>
    <row r="2401" spans="1:8" s="401" customFormat="1" ht="14.25" customHeight="1" x14ac:dyDescent="0.25">
      <c r="A2401" s="564">
        <v>639</v>
      </c>
      <c r="B2401" s="562" t="s">
        <v>785</v>
      </c>
      <c r="C2401" s="403">
        <v>1</v>
      </c>
      <c r="D2401" s="400"/>
      <c r="E2401" s="400"/>
      <c r="F2401" s="400"/>
      <c r="G2401" s="400"/>
      <c r="H2401" s="396"/>
    </row>
    <row r="2402" spans="1:8" s="401" customFormat="1" ht="14.25" customHeight="1" x14ac:dyDescent="0.25">
      <c r="A2402" s="564">
        <v>642</v>
      </c>
      <c r="B2402" s="562" t="s">
        <v>785</v>
      </c>
      <c r="C2402" s="403">
        <v>1</v>
      </c>
      <c r="D2402" s="400"/>
      <c r="E2402" s="400"/>
      <c r="F2402" s="400"/>
      <c r="G2402" s="400"/>
      <c r="H2402" s="396"/>
    </row>
    <row r="2403" spans="1:8" s="401" customFormat="1" ht="14.25" customHeight="1" x14ac:dyDescent="0.25">
      <c r="A2403" s="564">
        <v>647</v>
      </c>
      <c r="B2403" s="562" t="s">
        <v>785</v>
      </c>
      <c r="C2403" s="403">
        <v>575</v>
      </c>
      <c r="D2403" s="400"/>
      <c r="E2403" s="400"/>
      <c r="F2403" s="400"/>
      <c r="G2403" s="400"/>
      <c r="H2403" s="396"/>
    </row>
    <row r="2404" spans="1:8" s="401" customFormat="1" ht="14.25" customHeight="1" x14ac:dyDescent="0.25">
      <c r="A2404" s="564">
        <v>650</v>
      </c>
      <c r="B2404" s="562" t="s">
        <v>785</v>
      </c>
      <c r="C2404" s="403">
        <v>632</v>
      </c>
      <c r="D2404" s="400"/>
      <c r="E2404" s="400"/>
      <c r="F2404" s="400"/>
      <c r="G2404" s="400"/>
      <c r="H2404" s="396"/>
    </row>
    <row r="2405" spans="1:8" s="401" customFormat="1" ht="14.25" customHeight="1" x14ac:dyDescent="0.25">
      <c r="A2405" s="564">
        <v>653</v>
      </c>
      <c r="B2405" s="562" t="s">
        <v>785</v>
      </c>
      <c r="C2405" s="403">
        <v>328</v>
      </c>
      <c r="D2405" s="400"/>
      <c r="E2405" s="400"/>
      <c r="F2405" s="400"/>
      <c r="G2405" s="400"/>
      <c r="H2405" s="396"/>
    </row>
    <row r="2406" spans="1:8" s="401" customFormat="1" ht="14.25" customHeight="1" x14ac:dyDescent="0.25">
      <c r="A2406" s="564">
        <v>655</v>
      </c>
      <c r="B2406" s="562" t="s">
        <v>785</v>
      </c>
      <c r="C2406" s="403">
        <v>782</v>
      </c>
      <c r="D2406" s="400"/>
      <c r="E2406" s="400"/>
      <c r="F2406" s="400"/>
      <c r="G2406" s="400"/>
      <c r="H2406" s="396"/>
    </row>
    <row r="2407" spans="1:8" s="401" customFormat="1" ht="14.25" customHeight="1" x14ac:dyDescent="0.25">
      <c r="A2407" s="564">
        <v>657</v>
      </c>
      <c r="B2407" s="562" t="s">
        <v>785</v>
      </c>
      <c r="C2407" s="403">
        <v>170</v>
      </c>
      <c r="D2407" s="400"/>
      <c r="E2407" s="400"/>
      <c r="F2407" s="400"/>
      <c r="G2407" s="400"/>
      <c r="H2407" s="396"/>
    </row>
    <row r="2408" spans="1:8" s="401" customFormat="1" ht="14.25" customHeight="1" x14ac:dyDescent="0.25">
      <c r="A2408" s="564">
        <v>658</v>
      </c>
      <c r="B2408" s="562" t="s">
        <v>785</v>
      </c>
      <c r="C2408" s="403">
        <v>170</v>
      </c>
      <c r="D2408" s="400"/>
      <c r="E2408" s="400"/>
      <c r="F2408" s="400"/>
      <c r="G2408" s="400"/>
      <c r="H2408" s="396"/>
    </row>
    <row r="2409" spans="1:8" s="401" customFormat="1" ht="14.25" customHeight="1" x14ac:dyDescent="0.25">
      <c r="A2409" s="564">
        <v>659</v>
      </c>
      <c r="B2409" s="562" t="s">
        <v>785</v>
      </c>
      <c r="C2409" s="403">
        <v>179</v>
      </c>
      <c r="D2409" s="400"/>
      <c r="E2409" s="400"/>
      <c r="F2409" s="400"/>
      <c r="G2409" s="400"/>
      <c r="H2409" s="396"/>
    </row>
    <row r="2410" spans="1:8" s="401" customFormat="1" ht="14.25" customHeight="1" x14ac:dyDescent="0.25">
      <c r="A2410" s="564">
        <v>660</v>
      </c>
      <c r="B2410" s="562" t="s">
        <v>785</v>
      </c>
      <c r="C2410" s="403">
        <v>1</v>
      </c>
      <c r="D2410" s="400"/>
      <c r="E2410" s="400"/>
      <c r="F2410" s="400"/>
      <c r="G2410" s="400"/>
      <c r="H2410" s="396"/>
    </row>
    <row r="2411" spans="1:8" s="401" customFormat="1" ht="14.25" customHeight="1" x14ac:dyDescent="0.25">
      <c r="A2411" s="564">
        <v>662</v>
      </c>
      <c r="B2411" s="562" t="s">
        <v>785</v>
      </c>
      <c r="C2411" s="403">
        <v>1</v>
      </c>
      <c r="D2411" s="400"/>
      <c r="E2411" s="400"/>
      <c r="F2411" s="400"/>
      <c r="G2411" s="400"/>
      <c r="H2411" s="396"/>
    </row>
    <row r="2412" spans="1:8" s="401" customFormat="1" ht="14.25" customHeight="1" x14ac:dyDescent="0.25">
      <c r="A2412" s="564">
        <v>664</v>
      </c>
      <c r="B2412" s="562" t="s">
        <v>785</v>
      </c>
      <c r="C2412" s="403">
        <v>1</v>
      </c>
      <c r="D2412" s="400"/>
      <c r="E2412" s="400"/>
      <c r="F2412" s="400"/>
      <c r="G2412" s="400"/>
      <c r="H2412" s="396"/>
    </row>
    <row r="2413" spans="1:8" s="401" customFormat="1" ht="14.25" customHeight="1" x14ac:dyDescent="0.25">
      <c r="A2413" s="564">
        <v>667</v>
      </c>
      <c r="B2413" s="562" t="s">
        <v>785</v>
      </c>
      <c r="C2413" s="403">
        <v>100</v>
      </c>
      <c r="D2413" s="400"/>
      <c r="E2413" s="400"/>
      <c r="F2413" s="400"/>
      <c r="G2413" s="400"/>
      <c r="H2413" s="396"/>
    </row>
    <row r="2414" spans="1:8" s="401" customFormat="1" ht="14.25" customHeight="1" x14ac:dyDescent="0.25">
      <c r="A2414" s="564">
        <v>671</v>
      </c>
      <c r="B2414" s="562" t="s">
        <v>785</v>
      </c>
      <c r="C2414" s="403">
        <v>100</v>
      </c>
      <c r="D2414" s="400"/>
      <c r="E2414" s="400"/>
      <c r="F2414" s="400"/>
      <c r="G2414" s="400"/>
      <c r="H2414" s="396"/>
    </row>
    <row r="2415" spans="1:8" s="401" customFormat="1" ht="14.25" customHeight="1" x14ac:dyDescent="0.25">
      <c r="A2415" s="564">
        <v>675</v>
      </c>
      <c r="B2415" s="562" t="s">
        <v>785</v>
      </c>
      <c r="C2415" s="403">
        <v>100</v>
      </c>
      <c r="D2415" s="400"/>
      <c r="E2415" s="400"/>
      <c r="F2415" s="400"/>
      <c r="G2415" s="400"/>
      <c r="H2415" s="396"/>
    </row>
    <row r="2416" spans="1:8" s="401" customFormat="1" ht="14.25" customHeight="1" x14ac:dyDescent="0.25">
      <c r="A2416" s="564">
        <v>680</v>
      </c>
      <c r="B2416" s="562" t="s">
        <v>819</v>
      </c>
      <c r="C2416" s="403">
        <v>1</v>
      </c>
      <c r="D2416" s="400"/>
      <c r="E2416" s="400"/>
      <c r="F2416" s="400"/>
      <c r="G2416" s="400"/>
      <c r="H2416" s="396"/>
    </row>
    <row r="2417" spans="1:8" s="401" customFormat="1" ht="14.25" customHeight="1" x14ac:dyDescent="0.25">
      <c r="A2417" s="564">
        <v>684</v>
      </c>
      <c r="B2417" s="562" t="s">
        <v>819</v>
      </c>
      <c r="C2417" s="403">
        <v>590</v>
      </c>
      <c r="D2417" s="400"/>
      <c r="E2417" s="400"/>
      <c r="F2417" s="400"/>
      <c r="G2417" s="400"/>
      <c r="H2417" s="396"/>
    </row>
    <row r="2418" spans="1:8" s="401" customFormat="1" ht="14.25" customHeight="1" x14ac:dyDescent="0.25">
      <c r="A2418" s="564">
        <v>689</v>
      </c>
      <c r="B2418" s="562" t="s">
        <v>819</v>
      </c>
      <c r="C2418" s="403">
        <v>1</v>
      </c>
      <c r="D2418" s="400"/>
      <c r="E2418" s="400"/>
      <c r="F2418" s="400"/>
      <c r="G2418" s="400"/>
      <c r="H2418" s="396"/>
    </row>
    <row r="2419" spans="1:8" s="401" customFormat="1" ht="14.25" customHeight="1" x14ac:dyDescent="0.25">
      <c r="A2419" s="564">
        <v>697</v>
      </c>
      <c r="B2419" s="562" t="s">
        <v>819</v>
      </c>
      <c r="C2419" s="403">
        <v>542</v>
      </c>
      <c r="D2419" s="400"/>
      <c r="E2419" s="400"/>
      <c r="F2419" s="400"/>
      <c r="G2419" s="400"/>
      <c r="H2419" s="396"/>
    </row>
    <row r="2420" spans="1:8" s="401" customFormat="1" ht="14.25" customHeight="1" x14ac:dyDescent="0.25">
      <c r="A2420" s="564">
        <v>705</v>
      </c>
      <c r="B2420" s="562" t="s">
        <v>819</v>
      </c>
      <c r="C2420" s="403">
        <v>542</v>
      </c>
      <c r="D2420" s="400"/>
      <c r="E2420" s="400"/>
      <c r="F2420" s="400"/>
      <c r="G2420" s="400"/>
      <c r="H2420" s="396"/>
    </row>
    <row r="2421" spans="1:8" s="401" customFormat="1" ht="14.25" customHeight="1" x14ac:dyDescent="0.25">
      <c r="A2421" s="564">
        <v>710</v>
      </c>
      <c r="B2421" s="562" t="s">
        <v>819</v>
      </c>
      <c r="C2421" s="403">
        <v>542</v>
      </c>
      <c r="D2421" s="400"/>
      <c r="E2421" s="400"/>
      <c r="F2421" s="400"/>
      <c r="G2421" s="400"/>
      <c r="H2421" s="396"/>
    </row>
    <row r="2422" spans="1:8" s="401" customFormat="1" ht="14.25" customHeight="1" x14ac:dyDescent="0.25">
      <c r="A2422" s="564">
        <v>714</v>
      </c>
      <c r="B2422" s="562" t="s">
        <v>819</v>
      </c>
      <c r="C2422" s="403">
        <v>542</v>
      </c>
      <c r="D2422" s="400"/>
      <c r="E2422" s="400"/>
      <c r="F2422" s="400"/>
      <c r="G2422" s="400"/>
      <c r="H2422" s="396"/>
    </row>
    <row r="2423" spans="1:8" s="401" customFormat="1" ht="14.25" customHeight="1" x14ac:dyDescent="0.25">
      <c r="A2423" s="564">
        <v>718</v>
      </c>
      <c r="B2423" s="562" t="s">
        <v>819</v>
      </c>
      <c r="C2423" s="403">
        <v>542</v>
      </c>
      <c r="D2423" s="400"/>
      <c r="E2423" s="400"/>
      <c r="F2423" s="400"/>
      <c r="G2423" s="400"/>
      <c r="H2423" s="396"/>
    </row>
    <row r="2424" spans="1:8" s="401" customFormat="1" ht="14.25" customHeight="1" x14ac:dyDescent="0.25">
      <c r="A2424" s="564">
        <v>724</v>
      </c>
      <c r="B2424" s="562" t="s">
        <v>819</v>
      </c>
      <c r="C2424" s="403">
        <v>542</v>
      </c>
      <c r="D2424" s="400"/>
      <c r="E2424" s="400"/>
      <c r="F2424" s="400"/>
      <c r="G2424" s="400"/>
      <c r="H2424" s="396"/>
    </row>
    <row r="2425" spans="1:8" s="401" customFormat="1" ht="14.25" customHeight="1" x14ac:dyDescent="0.25">
      <c r="A2425" s="564">
        <v>727</v>
      </c>
      <c r="B2425" s="562" t="s">
        <v>819</v>
      </c>
      <c r="C2425" s="403">
        <v>542</v>
      </c>
      <c r="D2425" s="400"/>
      <c r="E2425" s="400"/>
      <c r="F2425" s="400"/>
      <c r="G2425" s="400"/>
      <c r="H2425" s="396"/>
    </row>
    <row r="2426" spans="1:8" s="401" customFormat="1" ht="14.25" customHeight="1" x14ac:dyDescent="0.25">
      <c r="A2426" s="564">
        <v>731</v>
      </c>
      <c r="B2426" s="562" t="s">
        <v>819</v>
      </c>
      <c r="C2426" s="403">
        <v>542</v>
      </c>
      <c r="D2426" s="400"/>
      <c r="E2426" s="400"/>
      <c r="F2426" s="400"/>
      <c r="G2426" s="400"/>
      <c r="H2426" s="396"/>
    </row>
    <row r="2427" spans="1:8" s="401" customFormat="1" ht="14.25" customHeight="1" x14ac:dyDescent="0.25">
      <c r="A2427" s="564">
        <v>735</v>
      </c>
      <c r="B2427" s="562" t="s">
        <v>819</v>
      </c>
      <c r="C2427" s="403">
        <v>542</v>
      </c>
      <c r="D2427" s="400"/>
      <c r="E2427" s="400"/>
      <c r="F2427" s="400"/>
      <c r="G2427" s="400"/>
      <c r="H2427" s="396"/>
    </row>
    <row r="2428" spans="1:8" s="401" customFormat="1" ht="14.25" customHeight="1" x14ac:dyDescent="0.25">
      <c r="A2428" s="564">
        <v>739</v>
      </c>
      <c r="B2428" s="562" t="s">
        <v>819</v>
      </c>
      <c r="C2428" s="403">
        <v>542</v>
      </c>
      <c r="D2428" s="400"/>
      <c r="E2428" s="400"/>
      <c r="F2428" s="400"/>
      <c r="G2428" s="400"/>
      <c r="H2428" s="396"/>
    </row>
    <row r="2429" spans="1:8" s="401" customFormat="1" ht="14.25" customHeight="1" x14ac:dyDescent="0.25">
      <c r="A2429" s="564">
        <v>745</v>
      </c>
      <c r="B2429" s="562" t="s">
        <v>819</v>
      </c>
      <c r="C2429" s="403">
        <v>542</v>
      </c>
      <c r="D2429" s="400"/>
      <c r="E2429" s="400"/>
      <c r="F2429" s="400"/>
      <c r="G2429" s="400"/>
      <c r="H2429" s="396"/>
    </row>
    <row r="2430" spans="1:8" s="401" customFormat="1" ht="14.25" customHeight="1" x14ac:dyDescent="0.25">
      <c r="A2430" s="564">
        <v>750</v>
      </c>
      <c r="B2430" s="562" t="s">
        <v>819</v>
      </c>
      <c r="C2430" s="403">
        <v>789</v>
      </c>
      <c r="D2430" s="400"/>
      <c r="E2430" s="400"/>
      <c r="F2430" s="400"/>
      <c r="G2430" s="400"/>
      <c r="H2430" s="396"/>
    </row>
    <row r="2431" spans="1:8" s="401" customFormat="1" ht="14.25" customHeight="1" x14ac:dyDescent="0.25">
      <c r="A2431" s="564">
        <v>755</v>
      </c>
      <c r="B2431" s="562" t="s">
        <v>819</v>
      </c>
      <c r="C2431" s="403">
        <v>789</v>
      </c>
      <c r="D2431" s="400"/>
      <c r="E2431" s="400"/>
      <c r="F2431" s="400"/>
      <c r="G2431" s="400"/>
      <c r="H2431" s="396"/>
    </row>
    <row r="2432" spans="1:8" s="401" customFormat="1" ht="14.25" customHeight="1" x14ac:dyDescent="0.25">
      <c r="A2432" s="564">
        <v>756</v>
      </c>
      <c r="B2432" s="562" t="s">
        <v>819</v>
      </c>
      <c r="C2432" s="403">
        <v>789</v>
      </c>
      <c r="D2432" s="400"/>
      <c r="E2432" s="400"/>
      <c r="F2432" s="400"/>
      <c r="G2432" s="400"/>
      <c r="H2432" s="396"/>
    </row>
    <row r="2433" spans="1:8" s="401" customFormat="1" ht="14.25" customHeight="1" x14ac:dyDescent="0.25">
      <c r="A2433" s="564">
        <v>760</v>
      </c>
      <c r="B2433" s="562" t="s">
        <v>819</v>
      </c>
      <c r="C2433" s="403">
        <v>789</v>
      </c>
      <c r="D2433" s="400"/>
      <c r="E2433" s="400"/>
      <c r="F2433" s="400"/>
      <c r="G2433" s="400"/>
      <c r="H2433" s="396"/>
    </row>
    <row r="2434" spans="1:8" s="401" customFormat="1" ht="14.25" customHeight="1" x14ac:dyDescent="0.25">
      <c r="A2434" s="564">
        <v>763</v>
      </c>
      <c r="B2434" s="562" t="s">
        <v>819</v>
      </c>
      <c r="C2434" s="403">
        <v>789</v>
      </c>
      <c r="D2434" s="400"/>
      <c r="E2434" s="400"/>
      <c r="F2434" s="400"/>
      <c r="G2434" s="400"/>
      <c r="H2434" s="396"/>
    </row>
    <row r="2435" spans="1:8" s="401" customFormat="1" ht="14.25" customHeight="1" x14ac:dyDescent="0.25">
      <c r="A2435" s="564">
        <v>776</v>
      </c>
      <c r="B2435" s="562" t="s">
        <v>790</v>
      </c>
      <c r="C2435" s="403">
        <v>450</v>
      </c>
      <c r="D2435" s="400"/>
      <c r="E2435" s="400"/>
      <c r="F2435" s="400"/>
      <c r="G2435" s="400"/>
      <c r="H2435" s="396"/>
    </row>
    <row r="2436" spans="1:8" s="401" customFormat="1" ht="14.25" customHeight="1" x14ac:dyDescent="0.25">
      <c r="A2436" s="564">
        <v>779</v>
      </c>
      <c r="B2436" s="562" t="s">
        <v>790</v>
      </c>
      <c r="C2436" s="403">
        <v>450</v>
      </c>
      <c r="D2436" s="400"/>
      <c r="E2436" s="400"/>
      <c r="F2436" s="400"/>
      <c r="G2436" s="400"/>
      <c r="H2436" s="396"/>
    </row>
    <row r="2437" spans="1:8" s="401" customFormat="1" ht="14.25" customHeight="1" x14ac:dyDescent="0.25">
      <c r="A2437" s="564">
        <v>782</v>
      </c>
      <c r="B2437" s="562" t="s">
        <v>785</v>
      </c>
      <c r="C2437" s="403">
        <v>1</v>
      </c>
      <c r="D2437" s="400"/>
      <c r="E2437" s="400"/>
      <c r="F2437" s="400"/>
      <c r="G2437" s="400"/>
      <c r="H2437" s="396"/>
    </row>
    <row r="2438" spans="1:8" s="401" customFormat="1" ht="14.25" customHeight="1" x14ac:dyDescent="0.25">
      <c r="A2438" s="564">
        <v>788</v>
      </c>
      <c r="B2438" s="562" t="s">
        <v>785</v>
      </c>
      <c r="C2438" s="403">
        <v>1</v>
      </c>
      <c r="D2438" s="400"/>
      <c r="E2438" s="400"/>
      <c r="F2438" s="400"/>
      <c r="G2438" s="400"/>
      <c r="H2438" s="396"/>
    </row>
    <row r="2439" spans="1:8" s="401" customFormat="1" ht="14.25" customHeight="1" x14ac:dyDescent="0.25">
      <c r="A2439" s="564">
        <v>793</v>
      </c>
      <c r="B2439" s="562" t="s">
        <v>785</v>
      </c>
      <c r="C2439" s="403">
        <v>1</v>
      </c>
      <c r="D2439" s="400"/>
      <c r="E2439" s="400"/>
      <c r="F2439" s="400"/>
      <c r="G2439" s="400"/>
      <c r="H2439" s="396"/>
    </row>
    <row r="2440" spans="1:8" s="401" customFormat="1" ht="14.25" customHeight="1" x14ac:dyDescent="0.25">
      <c r="A2440" s="564">
        <v>796</v>
      </c>
      <c r="B2440" s="562" t="s">
        <v>786</v>
      </c>
      <c r="C2440" s="403">
        <v>1</v>
      </c>
      <c r="D2440" s="400"/>
      <c r="E2440" s="400"/>
      <c r="F2440" s="400"/>
      <c r="G2440" s="400"/>
      <c r="H2440" s="396"/>
    </row>
    <row r="2441" spans="1:8" s="401" customFormat="1" ht="14.25" customHeight="1" x14ac:dyDescent="0.25">
      <c r="A2441" s="564">
        <v>798</v>
      </c>
      <c r="B2441" s="562" t="s">
        <v>819</v>
      </c>
      <c r="C2441" s="403">
        <v>1</v>
      </c>
      <c r="D2441" s="400"/>
      <c r="E2441" s="400"/>
      <c r="F2441" s="400"/>
      <c r="G2441" s="400"/>
      <c r="H2441" s="396"/>
    </row>
    <row r="2442" spans="1:8" s="401" customFormat="1" ht="14.25" customHeight="1" x14ac:dyDescent="0.25">
      <c r="A2442" s="564">
        <v>885</v>
      </c>
      <c r="B2442" s="562" t="s">
        <v>792</v>
      </c>
      <c r="C2442" s="403">
        <v>629.88</v>
      </c>
      <c r="D2442" s="400"/>
      <c r="E2442" s="400"/>
      <c r="F2442" s="400"/>
      <c r="G2442" s="400"/>
      <c r="H2442" s="396"/>
    </row>
    <row r="2443" spans="1:8" s="401" customFormat="1" ht="14.25" customHeight="1" x14ac:dyDescent="0.25">
      <c r="A2443" s="564">
        <v>891</v>
      </c>
      <c r="B2443" s="562" t="s">
        <v>792</v>
      </c>
      <c r="C2443" s="403">
        <v>629.88</v>
      </c>
      <c r="D2443" s="400"/>
      <c r="E2443" s="400"/>
      <c r="F2443" s="400"/>
      <c r="G2443" s="400"/>
      <c r="H2443" s="396"/>
    </row>
    <row r="2444" spans="1:8" s="401" customFormat="1" ht="14.25" customHeight="1" x14ac:dyDescent="0.25">
      <c r="A2444" s="564">
        <v>910</v>
      </c>
      <c r="B2444" s="562" t="s">
        <v>787</v>
      </c>
      <c r="C2444" s="403">
        <v>1</v>
      </c>
      <c r="D2444" s="400"/>
      <c r="E2444" s="400"/>
      <c r="F2444" s="400"/>
      <c r="G2444" s="400"/>
      <c r="H2444" s="396"/>
    </row>
    <row r="2445" spans="1:8" s="401" customFormat="1" ht="14.25" customHeight="1" x14ac:dyDescent="0.25">
      <c r="A2445" s="564">
        <v>912</v>
      </c>
      <c r="B2445" s="562" t="s">
        <v>787</v>
      </c>
      <c r="C2445" s="403">
        <v>1</v>
      </c>
      <c r="D2445" s="400"/>
      <c r="E2445" s="400"/>
      <c r="F2445" s="400"/>
      <c r="G2445" s="400"/>
      <c r="H2445" s="396"/>
    </row>
    <row r="2446" spans="1:8" s="401" customFormat="1" ht="14.25" customHeight="1" x14ac:dyDescent="0.25">
      <c r="A2446" s="564">
        <v>914</v>
      </c>
      <c r="B2446" s="562" t="s">
        <v>787</v>
      </c>
      <c r="C2446" s="403">
        <v>1</v>
      </c>
      <c r="D2446" s="400"/>
      <c r="E2446" s="400"/>
      <c r="F2446" s="400"/>
      <c r="G2446" s="400"/>
      <c r="H2446" s="396"/>
    </row>
    <row r="2447" spans="1:8" s="401" customFormat="1" ht="14.25" customHeight="1" x14ac:dyDescent="0.25">
      <c r="A2447" s="564">
        <v>917</v>
      </c>
      <c r="B2447" s="562" t="s">
        <v>785</v>
      </c>
      <c r="C2447" s="403">
        <v>1</v>
      </c>
      <c r="D2447" s="400"/>
      <c r="E2447" s="400"/>
      <c r="F2447" s="400"/>
      <c r="G2447" s="400"/>
      <c r="H2447" s="396"/>
    </row>
    <row r="2448" spans="1:8" s="401" customFormat="1" ht="14.25" customHeight="1" x14ac:dyDescent="0.25">
      <c r="A2448" s="564">
        <v>920</v>
      </c>
      <c r="B2448" s="562" t="s">
        <v>791</v>
      </c>
      <c r="C2448" s="403">
        <v>1725</v>
      </c>
      <c r="D2448" s="400"/>
      <c r="E2448" s="400"/>
      <c r="F2448" s="400"/>
      <c r="G2448" s="400"/>
      <c r="H2448" s="396"/>
    </row>
    <row r="2449" spans="1:8" s="401" customFormat="1" ht="14.25" customHeight="1" x14ac:dyDescent="0.25">
      <c r="A2449" s="564">
        <v>922</v>
      </c>
      <c r="B2449" s="562" t="s">
        <v>791</v>
      </c>
      <c r="C2449" s="403">
        <v>1820</v>
      </c>
      <c r="D2449" s="400"/>
      <c r="E2449" s="400"/>
      <c r="F2449" s="400"/>
      <c r="G2449" s="400"/>
      <c r="H2449" s="396"/>
    </row>
    <row r="2450" spans="1:8" s="401" customFormat="1" ht="14.25" customHeight="1" x14ac:dyDescent="0.25">
      <c r="A2450" s="564">
        <v>924</v>
      </c>
      <c r="B2450" s="562" t="s">
        <v>791</v>
      </c>
      <c r="C2450" s="403">
        <v>2297</v>
      </c>
      <c r="D2450" s="400"/>
      <c r="E2450" s="400"/>
      <c r="F2450" s="400"/>
      <c r="G2450" s="400"/>
      <c r="H2450" s="396"/>
    </row>
    <row r="2451" spans="1:8" s="401" customFormat="1" ht="14.25" customHeight="1" x14ac:dyDescent="0.25">
      <c r="A2451" s="564">
        <v>927</v>
      </c>
      <c r="B2451" s="562" t="s">
        <v>790</v>
      </c>
      <c r="C2451" s="403">
        <v>1905</v>
      </c>
      <c r="D2451" s="400"/>
      <c r="E2451" s="400"/>
      <c r="F2451" s="400"/>
      <c r="G2451" s="400"/>
      <c r="H2451" s="396"/>
    </row>
    <row r="2452" spans="1:8" s="401" customFormat="1" ht="14.25" customHeight="1" x14ac:dyDescent="0.25">
      <c r="A2452" s="564">
        <v>929</v>
      </c>
      <c r="B2452" s="562" t="s">
        <v>790</v>
      </c>
      <c r="C2452" s="403">
        <v>825</v>
      </c>
      <c r="D2452" s="400"/>
      <c r="E2452" s="400"/>
      <c r="F2452" s="400"/>
      <c r="G2452" s="400"/>
      <c r="H2452" s="396"/>
    </row>
    <row r="2453" spans="1:8" s="401" customFormat="1" ht="14.25" customHeight="1" x14ac:dyDescent="0.25">
      <c r="A2453" s="564">
        <v>932</v>
      </c>
      <c r="B2453" s="562" t="s">
        <v>785</v>
      </c>
      <c r="C2453" s="403">
        <v>573</v>
      </c>
      <c r="D2453" s="400"/>
      <c r="E2453" s="400"/>
      <c r="F2453" s="400"/>
      <c r="G2453" s="400"/>
      <c r="H2453" s="396"/>
    </row>
    <row r="2454" spans="1:8" s="401" customFormat="1" ht="14.25" customHeight="1" x14ac:dyDescent="0.25">
      <c r="A2454" s="564">
        <v>937</v>
      </c>
      <c r="B2454" s="562" t="s">
        <v>785</v>
      </c>
      <c r="C2454" s="403">
        <v>573</v>
      </c>
      <c r="D2454" s="400"/>
      <c r="E2454" s="400"/>
      <c r="F2454" s="400"/>
      <c r="G2454" s="400"/>
      <c r="H2454" s="396"/>
    </row>
    <row r="2455" spans="1:8" s="401" customFormat="1" ht="14.25" customHeight="1" x14ac:dyDescent="0.25">
      <c r="A2455" s="564">
        <v>939</v>
      </c>
      <c r="B2455" s="562" t="s">
        <v>785</v>
      </c>
      <c r="C2455" s="403">
        <v>573</v>
      </c>
      <c r="D2455" s="400"/>
      <c r="E2455" s="400"/>
      <c r="F2455" s="400"/>
      <c r="G2455" s="400"/>
      <c r="H2455" s="396"/>
    </row>
    <row r="2456" spans="1:8" s="401" customFormat="1" ht="14.25" customHeight="1" x14ac:dyDescent="0.25">
      <c r="A2456" s="564">
        <v>940</v>
      </c>
      <c r="B2456" s="562" t="s">
        <v>785</v>
      </c>
      <c r="C2456" s="403">
        <v>573</v>
      </c>
      <c r="D2456" s="400"/>
      <c r="E2456" s="400"/>
      <c r="F2456" s="400"/>
      <c r="G2456" s="400"/>
      <c r="H2456" s="396"/>
    </row>
    <row r="2457" spans="1:8" s="401" customFormat="1" ht="14.25" customHeight="1" x14ac:dyDescent="0.25">
      <c r="A2457" s="564">
        <v>943</v>
      </c>
      <c r="B2457" s="562" t="s">
        <v>785</v>
      </c>
      <c r="C2457" s="403">
        <v>573</v>
      </c>
      <c r="D2457" s="400"/>
      <c r="E2457" s="400"/>
      <c r="F2457" s="400"/>
      <c r="G2457" s="400"/>
      <c r="H2457" s="396"/>
    </row>
    <row r="2458" spans="1:8" s="401" customFormat="1" ht="14.25" customHeight="1" x14ac:dyDescent="0.25">
      <c r="A2458" s="564">
        <v>946</v>
      </c>
      <c r="B2458" s="562" t="s">
        <v>785</v>
      </c>
      <c r="C2458" s="403">
        <v>573</v>
      </c>
      <c r="D2458" s="400"/>
      <c r="E2458" s="400"/>
      <c r="F2458" s="400"/>
      <c r="G2458" s="400"/>
      <c r="H2458" s="396"/>
    </row>
    <row r="2459" spans="1:8" s="401" customFormat="1" ht="14.25" customHeight="1" x14ac:dyDescent="0.25">
      <c r="A2459" s="564">
        <v>949</v>
      </c>
      <c r="B2459" s="562" t="s">
        <v>785</v>
      </c>
      <c r="C2459" s="403">
        <v>573</v>
      </c>
      <c r="D2459" s="400"/>
      <c r="E2459" s="400"/>
      <c r="F2459" s="400"/>
      <c r="G2459" s="400"/>
      <c r="H2459" s="396"/>
    </row>
    <row r="2460" spans="1:8" s="401" customFormat="1" ht="14.25" customHeight="1" x14ac:dyDescent="0.25">
      <c r="A2460" s="564">
        <v>950</v>
      </c>
      <c r="B2460" s="562" t="s">
        <v>785</v>
      </c>
      <c r="C2460" s="403">
        <v>573</v>
      </c>
      <c r="D2460" s="400"/>
      <c r="E2460" s="400"/>
      <c r="F2460" s="400"/>
      <c r="G2460" s="400"/>
      <c r="H2460" s="396"/>
    </row>
    <row r="2461" spans="1:8" s="401" customFormat="1" ht="14.25" customHeight="1" x14ac:dyDescent="0.25">
      <c r="A2461" s="564">
        <v>953</v>
      </c>
      <c r="B2461" s="562" t="s">
        <v>785</v>
      </c>
      <c r="C2461" s="403">
        <v>299</v>
      </c>
      <c r="D2461" s="400"/>
      <c r="E2461" s="400"/>
      <c r="F2461" s="400"/>
      <c r="G2461" s="400"/>
      <c r="H2461" s="396"/>
    </row>
    <row r="2462" spans="1:8" s="401" customFormat="1" ht="14.25" customHeight="1" x14ac:dyDescent="0.25">
      <c r="A2462" s="564">
        <v>956</v>
      </c>
      <c r="B2462" s="562" t="s">
        <v>785</v>
      </c>
      <c r="C2462" s="403">
        <v>299</v>
      </c>
      <c r="D2462" s="400"/>
      <c r="E2462" s="400"/>
      <c r="F2462" s="400"/>
      <c r="G2462" s="400"/>
      <c r="H2462" s="396"/>
    </row>
    <row r="2463" spans="1:8" s="401" customFormat="1" ht="14.25" customHeight="1" x14ac:dyDescent="0.25">
      <c r="A2463" s="564">
        <v>959</v>
      </c>
      <c r="B2463" s="562" t="s">
        <v>785</v>
      </c>
      <c r="C2463" s="403">
        <v>395</v>
      </c>
      <c r="D2463" s="400"/>
      <c r="E2463" s="400"/>
      <c r="F2463" s="400"/>
      <c r="G2463" s="400"/>
      <c r="H2463" s="396"/>
    </row>
    <row r="2464" spans="1:8" s="401" customFormat="1" ht="14.25" customHeight="1" x14ac:dyDescent="0.25">
      <c r="A2464" s="564">
        <v>964</v>
      </c>
      <c r="B2464" s="562" t="s">
        <v>785</v>
      </c>
      <c r="C2464" s="403">
        <v>395</v>
      </c>
      <c r="D2464" s="400"/>
      <c r="E2464" s="400"/>
      <c r="F2464" s="400"/>
      <c r="G2464" s="400"/>
      <c r="H2464" s="396"/>
    </row>
    <row r="2465" spans="1:8" s="401" customFormat="1" ht="14.25" customHeight="1" x14ac:dyDescent="0.25">
      <c r="A2465" s="564">
        <v>965</v>
      </c>
      <c r="B2465" s="562" t="s">
        <v>785</v>
      </c>
      <c r="C2465" s="403">
        <v>395</v>
      </c>
      <c r="D2465" s="400"/>
      <c r="E2465" s="400"/>
      <c r="F2465" s="400"/>
      <c r="G2465" s="400"/>
      <c r="H2465" s="396"/>
    </row>
    <row r="2466" spans="1:8" s="401" customFormat="1" ht="14.25" customHeight="1" x14ac:dyDescent="0.25">
      <c r="A2466" s="564">
        <v>968</v>
      </c>
      <c r="B2466" s="562" t="s">
        <v>785</v>
      </c>
      <c r="C2466" s="403">
        <v>395</v>
      </c>
      <c r="D2466" s="400"/>
      <c r="E2466" s="400"/>
      <c r="F2466" s="400"/>
      <c r="G2466" s="400"/>
      <c r="H2466" s="396"/>
    </row>
    <row r="2467" spans="1:8" s="401" customFormat="1" ht="14.25" customHeight="1" x14ac:dyDescent="0.25">
      <c r="A2467" s="564">
        <v>970</v>
      </c>
      <c r="B2467" s="562" t="s">
        <v>785</v>
      </c>
      <c r="C2467" s="403">
        <v>575</v>
      </c>
      <c r="D2467" s="400"/>
      <c r="E2467" s="400"/>
      <c r="F2467" s="400"/>
      <c r="G2467" s="400"/>
      <c r="H2467" s="396"/>
    </row>
    <row r="2468" spans="1:8" s="401" customFormat="1" ht="14.25" customHeight="1" x14ac:dyDescent="0.25">
      <c r="A2468" s="564">
        <v>1113</v>
      </c>
      <c r="B2468" s="562" t="s">
        <v>798</v>
      </c>
      <c r="C2468" s="403">
        <v>4658</v>
      </c>
      <c r="D2468" s="400"/>
      <c r="E2468" s="400"/>
      <c r="F2468" s="400"/>
      <c r="G2468" s="400"/>
      <c r="H2468" s="396"/>
    </row>
    <row r="2469" spans="1:8" s="401" customFormat="1" ht="14.25" customHeight="1" x14ac:dyDescent="0.25">
      <c r="A2469" s="564">
        <v>1114</v>
      </c>
      <c r="B2469" s="562" t="s">
        <v>813</v>
      </c>
      <c r="C2469" s="403">
        <v>216</v>
      </c>
      <c r="D2469" s="400"/>
      <c r="E2469" s="400"/>
      <c r="F2469" s="400"/>
      <c r="G2469" s="400"/>
      <c r="H2469" s="396"/>
    </row>
    <row r="2470" spans="1:8" s="401" customFormat="1" ht="14.25" customHeight="1" x14ac:dyDescent="0.25">
      <c r="A2470" s="564">
        <v>1116</v>
      </c>
      <c r="B2470" s="562" t="s">
        <v>785</v>
      </c>
      <c r="C2470" s="403">
        <v>822</v>
      </c>
      <c r="D2470" s="400"/>
      <c r="E2470" s="400"/>
      <c r="F2470" s="400"/>
      <c r="G2470" s="400"/>
      <c r="H2470" s="396"/>
    </row>
    <row r="2471" spans="1:8" s="401" customFormat="1" ht="14.25" customHeight="1" x14ac:dyDescent="0.25">
      <c r="A2471" s="564">
        <v>1123</v>
      </c>
      <c r="B2471" s="562" t="s">
        <v>791</v>
      </c>
      <c r="C2471" s="403">
        <v>3873</v>
      </c>
      <c r="D2471" s="400"/>
      <c r="E2471" s="400"/>
      <c r="F2471" s="400"/>
      <c r="G2471" s="400"/>
      <c r="H2471" s="396"/>
    </row>
    <row r="2472" spans="1:8" s="401" customFormat="1" ht="14.25" customHeight="1" x14ac:dyDescent="0.25">
      <c r="A2472" s="564">
        <v>1124</v>
      </c>
      <c r="B2472" s="562" t="s">
        <v>787</v>
      </c>
      <c r="C2472" s="403">
        <v>2794</v>
      </c>
      <c r="D2472" s="400"/>
      <c r="E2472" s="400"/>
      <c r="F2472" s="400"/>
      <c r="G2472" s="400"/>
      <c r="H2472" s="396"/>
    </row>
    <row r="2473" spans="1:8" s="401" customFormat="1" ht="14.25" customHeight="1" x14ac:dyDescent="0.25">
      <c r="A2473" s="564">
        <v>1125</v>
      </c>
      <c r="B2473" s="562" t="s">
        <v>787</v>
      </c>
      <c r="C2473" s="403">
        <v>2794</v>
      </c>
      <c r="D2473" s="400"/>
      <c r="E2473" s="400"/>
      <c r="F2473" s="400"/>
      <c r="G2473" s="400"/>
      <c r="H2473" s="396"/>
    </row>
    <row r="2474" spans="1:8" s="401" customFormat="1" ht="14.25" customHeight="1" x14ac:dyDescent="0.25">
      <c r="A2474" s="564">
        <v>1127</v>
      </c>
      <c r="B2474" s="562" t="s">
        <v>853</v>
      </c>
      <c r="C2474" s="403">
        <v>1</v>
      </c>
      <c r="D2474" s="400"/>
      <c r="E2474" s="400"/>
      <c r="F2474" s="400"/>
      <c r="G2474" s="400"/>
      <c r="H2474" s="396"/>
    </row>
    <row r="2475" spans="1:8" s="401" customFormat="1" ht="14.25" customHeight="1" x14ac:dyDescent="0.25">
      <c r="A2475" s="564">
        <v>1132</v>
      </c>
      <c r="B2475" s="562" t="s">
        <v>790</v>
      </c>
      <c r="C2475" s="403">
        <v>1</v>
      </c>
      <c r="D2475" s="400"/>
      <c r="E2475" s="400"/>
      <c r="F2475" s="400"/>
      <c r="G2475" s="400"/>
      <c r="H2475" s="396"/>
    </row>
    <row r="2476" spans="1:8" s="401" customFormat="1" ht="14.25" customHeight="1" x14ac:dyDescent="0.25">
      <c r="A2476" s="564">
        <v>1135</v>
      </c>
      <c r="B2476" s="562" t="s">
        <v>785</v>
      </c>
      <c r="C2476" s="403">
        <v>874</v>
      </c>
      <c r="D2476" s="400"/>
      <c r="E2476" s="400"/>
      <c r="F2476" s="400"/>
      <c r="G2476" s="400"/>
      <c r="H2476" s="396"/>
    </row>
    <row r="2477" spans="1:8" s="401" customFormat="1" ht="14.25" customHeight="1" x14ac:dyDescent="0.25">
      <c r="A2477" s="564">
        <v>1137</v>
      </c>
      <c r="B2477" s="562" t="s">
        <v>785</v>
      </c>
      <c r="C2477" s="403">
        <v>829</v>
      </c>
      <c r="D2477" s="400"/>
      <c r="E2477" s="400"/>
      <c r="F2477" s="400"/>
      <c r="G2477" s="400"/>
      <c r="H2477" s="396"/>
    </row>
    <row r="2478" spans="1:8" s="401" customFormat="1" ht="14.25" customHeight="1" x14ac:dyDescent="0.25">
      <c r="A2478" s="564">
        <v>1142</v>
      </c>
      <c r="B2478" s="562" t="s">
        <v>785</v>
      </c>
      <c r="C2478" s="403">
        <v>1683</v>
      </c>
      <c r="D2478" s="400"/>
      <c r="E2478" s="400"/>
      <c r="F2478" s="400"/>
      <c r="G2478" s="400"/>
      <c r="H2478" s="396"/>
    </row>
    <row r="2479" spans="1:8" s="401" customFormat="1" ht="14.25" customHeight="1" x14ac:dyDescent="0.25">
      <c r="A2479" s="564">
        <v>1145</v>
      </c>
      <c r="B2479" s="562" t="s">
        <v>785</v>
      </c>
      <c r="C2479" s="403">
        <v>1</v>
      </c>
      <c r="D2479" s="400"/>
      <c r="E2479" s="400"/>
      <c r="F2479" s="400"/>
      <c r="G2479" s="400"/>
      <c r="H2479" s="396"/>
    </row>
    <row r="2480" spans="1:8" s="401" customFormat="1" ht="14.25" customHeight="1" x14ac:dyDescent="0.25">
      <c r="A2480" s="564">
        <v>1151</v>
      </c>
      <c r="B2480" s="562" t="s">
        <v>785</v>
      </c>
      <c r="C2480" s="403">
        <v>1</v>
      </c>
      <c r="D2480" s="400"/>
      <c r="E2480" s="400"/>
      <c r="F2480" s="400"/>
      <c r="G2480" s="400"/>
      <c r="H2480" s="396"/>
    </row>
    <row r="2481" spans="1:8" s="401" customFormat="1" ht="14.25" customHeight="1" x14ac:dyDescent="0.25">
      <c r="A2481" s="564">
        <v>1158</v>
      </c>
      <c r="B2481" s="562" t="s">
        <v>785</v>
      </c>
      <c r="C2481" s="403">
        <v>1</v>
      </c>
      <c r="D2481" s="400"/>
      <c r="E2481" s="400"/>
      <c r="F2481" s="400"/>
      <c r="G2481" s="400"/>
      <c r="H2481" s="396"/>
    </row>
    <row r="2482" spans="1:8" s="401" customFormat="1" ht="14.25" customHeight="1" x14ac:dyDescent="0.25">
      <c r="A2482" s="564">
        <v>1161</v>
      </c>
      <c r="B2482" s="562" t="s">
        <v>785</v>
      </c>
      <c r="C2482" s="403">
        <v>1</v>
      </c>
      <c r="D2482" s="400"/>
      <c r="E2482" s="400"/>
      <c r="F2482" s="400"/>
      <c r="G2482" s="400"/>
      <c r="H2482" s="396"/>
    </row>
    <row r="2483" spans="1:8" s="401" customFormat="1" ht="14.25" customHeight="1" x14ac:dyDescent="0.25">
      <c r="A2483" s="564">
        <v>1164</v>
      </c>
      <c r="B2483" s="562" t="s">
        <v>785</v>
      </c>
      <c r="C2483" s="403">
        <v>1</v>
      </c>
      <c r="D2483" s="400"/>
      <c r="E2483" s="400"/>
      <c r="F2483" s="400"/>
      <c r="G2483" s="400"/>
      <c r="H2483" s="396"/>
    </row>
    <row r="2484" spans="1:8" s="401" customFormat="1" ht="14.25" customHeight="1" x14ac:dyDescent="0.25">
      <c r="A2484" s="564">
        <v>1166</v>
      </c>
      <c r="B2484" s="562" t="s">
        <v>786</v>
      </c>
      <c r="C2484" s="403">
        <v>1</v>
      </c>
      <c r="D2484" s="400"/>
      <c r="E2484" s="400"/>
      <c r="F2484" s="400"/>
      <c r="G2484" s="400"/>
      <c r="H2484" s="396"/>
    </row>
    <row r="2485" spans="1:8" s="401" customFormat="1" ht="14.25" customHeight="1" x14ac:dyDescent="0.25">
      <c r="A2485" s="564">
        <v>1173</v>
      </c>
      <c r="B2485" s="562" t="s">
        <v>785</v>
      </c>
      <c r="C2485" s="403">
        <v>829</v>
      </c>
      <c r="D2485" s="400"/>
      <c r="E2485" s="400"/>
      <c r="F2485" s="400"/>
      <c r="G2485" s="400"/>
      <c r="H2485" s="396"/>
    </row>
    <row r="2486" spans="1:8" s="401" customFormat="1" ht="14.25" customHeight="1" x14ac:dyDescent="0.25">
      <c r="A2486" s="564">
        <v>1761</v>
      </c>
      <c r="B2486" s="562" t="s">
        <v>792</v>
      </c>
      <c r="C2486" s="403">
        <v>630</v>
      </c>
      <c r="D2486" s="400"/>
      <c r="E2486" s="400"/>
      <c r="F2486" s="400"/>
      <c r="G2486" s="400"/>
      <c r="H2486" s="396"/>
    </row>
    <row r="2487" spans="1:8" s="401" customFormat="1" ht="14.25" customHeight="1" x14ac:dyDescent="0.25">
      <c r="A2487" s="564">
        <v>1989</v>
      </c>
      <c r="B2487" s="562" t="s">
        <v>854</v>
      </c>
      <c r="C2487" s="403">
        <v>1075</v>
      </c>
      <c r="D2487" s="400"/>
      <c r="E2487" s="400"/>
      <c r="F2487" s="400"/>
      <c r="G2487" s="400"/>
      <c r="H2487" s="396"/>
    </row>
    <row r="2488" spans="1:8" s="401" customFormat="1" ht="14.25" customHeight="1" x14ac:dyDescent="0.25">
      <c r="A2488" s="564">
        <v>4838</v>
      </c>
      <c r="B2488" s="562" t="s">
        <v>794</v>
      </c>
      <c r="C2488" s="403">
        <v>898</v>
      </c>
      <c r="D2488" s="400"/>
      <c r="E2488" s="400"/>
      <c r="F2488" s="400"/>
      <c r="G2488" s="400"/>
      <c r="H2488" s="396"/>
    </row>
    <row r="2489" spans="1:8" s="401" customFormat="1" ht="14.25" customHeight="1" x14ac:dyDescent="0.25">
      <c r="A2489" s="564">
        <v>2739</v>
      </c>
      <c r="B2489" s="562" t="s">
        <v>785</v>
      </c>
      <c r="C2489" s="403">
        <v>1</v>
      </c>
      <c r="D2489" s="400"/>
      <c r="E2489" s="400"/>
      <c r="F2489" s="400"/>
      <c r="G2489" s="400"/>
      <c r="H2489" s="396"/>
    </row>
    <row r="2490" spans="1:8" s="401" customFormat="1" ht="14.25" customHeight="1" x14ac:dyDescent="0.25">
      <c r="A2490" s="564">
        <v>2742</v>
      </c>
      <c r="B2490" s="562" t="s">
        <v>791</v>
      </c>
      <c r="C2490" s="403">
        <v>1</v>
      </c>
      <c r="D2490" s="400"/>
      <c r="E2490" s="400"/>
      <c r="F2490" s="400"/>
      <c r="G2490" s="400"/>
      <c r="H2490" s="396"/>
    </row>
    <row r="2491" spans="1:8" s="401" customFormat="1" ht="14.25" customHeight="1" x14ac:dyDescent="0.25">
      <c r="A2491" s="564">
        <v>2746</v>
      </c>
      <c r="B2491" s="562" t="s">
        <v>806</v>
      </c>
      <c r="C2491" s="403">
        <v>1</v>
      </c>
      <c r="D2491" s="400"/>
      <c r="E2491" s="400"/>
      <c r="F2491" s="400"/>
      <c r="G2491" s="400"/>
      <c r="H2491" s="396"/>
    </row>
    <row r="2492" spans="1:8" s="401" customFormat="1" ht="14.25" customHeight="1" x14ac:dyDescent="0.25">
      <c r="A2492" s="564">
        <v>2753</v>
      </c>
      <c r="B2492" s="562" t="s">
        <v>787</v>
      </c>
      <c r="C2492" s="403">
        <v>4306</v>
      </c>
      <c r="D2492" s="400"/>
      <c r="E2492" s="400"/>
      <c r="F2492" s="400"/>
      <c r="G2492" s="400"/>
      <c r="H2492" s="396"/>
    </row>
    <row r="2493" spans="1:8" s="401" customFormat="1" ht="14.25" customHeight="1" x14ac:dyDescent="0.25">
      <c r="A2493" s="564">
        <v>2757</v>
      </c>
      <c r="B2493" s="562" t="s">
        <v>790</v>
      </c>
      <c r="C2493" s="403">
        <v>1</v>
      </c>
      <c r="D2493" s="400"/>
      <c r="E2493" s="400"/>
      <c r="F2493" s="400"/>
      <c r="G2493" s="400"/>
      <c r="H2493" s="396"/>
    </row>
    <row r="2494" spans="1:8" s="401" customFormat="1" ht="14.25" customHeight="1" x14ac:dyDescent="0.25">
      <c r="A2494" s="564">
        <v>2760</v>
      </c>
      <c r="B2494" s="562" t="s">
        <v>785</v>
      </c>
      <c r="C2494" s="403">
        <v>573</v>
      </c>
      <c r="D2494" s="400"/>
      <c r="E2494" s="400"/>
      <c r="F2494" s="400"/>
      <c r="G2494" s="400"/>
      <c r="H2494" s="396"/>
    </row>
    <row r="2495" spans="1:8" s="401" customFormat="1" ht="14.25" customHeight="1" x14ac:dyDescent="0.25">
      <c r="A2495" s="564">
        <v>2788</v>
      </c>
      <c r="B2495" s="562" t="s">
        <v>785</v>
      </c>
      <c r="C2495" s="403">
        <v>1018</v>
      </c>
      <c r="D2495" s="400"/>
      <c r="E2495" s="400"/>
      <c r="F2495" s="400"/>
      <c r="G2495" s="400"/>
      <c r="H2495" s="396"/>
    </row>
    <row r="2496" spans="1:8" s="401" customFormat="1" ht="14.25" customHeight="1" x14ac:dyDescent="0.25">
      <c r="A2496" s="564">
        <v>2791</v>
      </c>
      <c r="B2496" s="562" t="s">
        <v>785</v>
      </c>
      <c r="C2496" s="403">
        <v>1</v>
      </c>
      <c r="D2496" s="400"/>
      <c r="E2496" s="400"/>
      <c r="F2496" s="400"/>
      <c r="G2496" s="400"/>
      <c r="H2496" s="396"/>
    </row>
    <row r="2497" spans="1:8" s="401" customFormat="1" ht="14.25" customHeight="1" x14ac:dyDescent="0.25">
      <c r="A2497" s="564">
        <v>2797</v>
      </c>
      <c r="B2497" s="562" t="s">
        <v>785</v>
      </c>
      <c r="C2497" s="403">
        <v>1</v>
      </c>
      <c r="D2497" s="400"/>
      <c r="E2497" s="400"/>
      <c r="F2497" s="400"/>
      <c r="G2497" s="400"/>
      <c r="H2497" s="396"/>
    </row>
    <row r="2498" spans="1:8" s="401" customFormat="1" ht="14.25" customHeight="1" x14ac:dyDescent="0.25">
      <c r="A2498" s="564">
        <v>2801</v>
      </c>
      <c r="B2498" s="562" t="s">
        <v>785</v>
      </c>
      <c r="C2498" s="403">
        <v>1</v>
      </c>
      <c r="D2498" s="400"/>
      <c r="E2498" s="400"/>
      <c r="F2498" s="400"/>
      <c r="G2498" s="400"/>
      <c r="H2498" s="396"/>
    </row>
    <row r="2499" spans="1:8" s="401" customFormat="1" ht="14.25" customHeight="1" x14ac:dyDescent="0.25">
      <c r="A2499" s="564">
        <v>2805</v>
      </c>
      <c r="B2499" s="562" t="s">
        <v>787</v>
      </c>
      <c r="C2499" s="403">
        <v>1</v>
      </c>
      <c r="D2499" s="400"/>
      <c r="E2499" s="400"/>
      <c r="F2499" s="400"/>
      <c r="G2499" s="400"/>
      <c r="H2499" s="396"/>
    </row>
    <row r="2500" spans="1:8" s="401" customFormat="1" ht="14.25" customHeight="1" x14ac:dyDescent="0.25">
      <c r="A2500" s="564">
        <v>2809</v>
      </c>
      <c r="B2500" s="562" t="s">
        <v>792</v>
      </c>
      <c r="C2500" s="403">
        <v>1</v>
      </c>
      <c r="D2500" s="400"/>
      <c r="E2500" s="400"/>
      <c r="F2500" s="400"/>
      <c r="G2500" s="400"/>
      <c r="H2500" s="396"/>
    </row>
    <row r="2501" spans="1:8" s="401" customFormat="1" ht="14.25" customHeight="1" x14ac:dyDescent="0.25">
      <c r="A2501" s="564">
        <v>2811</v>
      </c>
      <c r="B2501" s="562" t="s">
        <v>785</v>
      </c>
      <c r="C2501" s="403">
        <v>1</v>
      </c>
      <c r="D2501" s="400"/>
      <c r="E2501" s="400"/>
      <c r="F2501" s="400"/>
      <c r="G2501" s="400"/>
      <c r="H2501" s="396"/>
    </row>
    <row r="2502" spans="1:8" s="401" customFormat="1" ht="14.25" customHeight="1" x14ac:dyDescent="0.25">
      <c r="A2502" s="564">
        <v>150</v>
      </c>
      <c r="B2502" s="562" t="s">
        <v>787</v>
      </c>
      <c r="C2502" s="403">
        <v>2351</v>
      </c>
      <c r="D2502" s="400"/>
      <c r="E2502" s="400"/>
      <c r="F2502" s="400"/>
      <c r="G2502" s="400"/>
      <c r="H2502" s="396"/>
    </row>
    <row r="2503" spans="1:8" s="401" customFormat="1" ht="14.25" customHeight="1" x14ac:dyDescent="0.25">
      <c r="A2503" s="564">
        <v>154</v>
      </c>
      <c r="B2503" s="562" t="s">
        <v>787</v>
      </c>
      <c r="C2503" s="403">
        <v>2168</v>
      </c>
      <c r="D2503" s="400"/>
      <c r="E2503" s="400"/>
      <c r="F2503" s="400"/>
      <c r="G2503" s="400"/>
      <c r="H2503" s="396"/>
    </row>
    <row r="2504" spans="1:8" s="401" customFormat="1" ht="14.25" customHeight="1" x14ac:dyDescent="0.25">
      <c r="A2504" s="564">
        <v>159</v>
      </c>
      <c r="B2504" s="562" t="s">
        <v>788</v>
      </c>
      <c r="C2504" s="403">
        <v>1</v>
      </c>
      <c r="D2504" s="400"/>
      <c r="E2504" s="400"/>
      <c r="F2504" s="400"/>
      <c r="G2504" s="400"/>
      <c r="H2504" s="396"/>
    </row>
    <row r="2505" spans="1:8" s="401" customFormat="1" ht="14.25" customHeight="1" x14ac:dyDescent="0.25">
      <c r="A2505" s="564">
        <v>169</v>
      </c>
      <c r="B2505" s="562" t="s">
        <v>785</v>
      </c>
      <c r="C2505" s="403">
        <v>782</v>
      </c>
      <c r="D2505" s="400"/>
      <c r="E2505" s="400"/>
      <c r="F2505" s="400"/>
      <c r="G2505" s="400"/>
      <c r="H2505" s="396"/>
    </row>
    <row r="2506" spans="1:8" s="401" customFormat="1" ht="14.25" customHeight="1" x14ac:dyDescent="0.25">
      <c r="A2506" s="564">
        <v>183</v>
      </c>
      <c r="B2506" s="562" t="s">
        <v>785</v>
      </c>
      <c r="C2506" s="403">
        <v>361</v>
      </c>
      <c r="D2506" s="400"/>
      <c r="E2506" s="400"/>
      <c r="F2506" s="400"/>
      <c r="G2506" s="400"/>
      <c r="H2506" s="396"/>
    </row>
    <row r="2507" spans="1:8" s="401" customFormat="1" ht="14.25" customHeight="1" x14ac:dyDescent="0.25">
      <c r="A2507" s="564">
        <v>186</v>
      </c>
      <c r="B2507" s="562" t="s">
        <v>785</v>
      </c>
      <c r="C2507" s="403">
        <v>361</v>
      </c>
      <c r="D2507" s="400"/>
      <c r="E2507" s="400"/>
      <c r="F2507" s="400"/>
      <c r="G2507" s="400"/>
      <c r="H2507" s="396"/>
    </row>
    <row r="2508" spans="1:8" s="401" customFormat="1" ht="14.25" customHeight="1" x14ac:dyDescent="0.25">
      <c r="A2508" s="564">
        <v>192</v>
      </c>
      <c r="B2508" s="562" t="s">
        <v>785</v>
      </c>
      <c r="C2508" s="403">
        <v>276</v>
      </c>
      <c r="D2508" s="400"/>
      <c r="E2508" s="400"/>
      <c r="F2508" s="400"/>
      <c r="G2508" s="400"/>
      <c r="H2508" s="396"/>
    </row>
    <row r="2509" spans="1:8" s="401" customFormat="1" ht="14.25" customHeight="1" x14ac:dyDescent="0.25">
      <c r="A2509" s="564">
        <v>199</v>
      </c>
      <c r="B2509" s="562" t="s">
        <v>786</v>
      </c>
      <c r="C2509" s="403">
        <v>1328</v>
      </c>
      <c r="D2509" s="400"/>
      <c r="E2509" s="400"/>
      <c r="F2509" s="400"/>
      <c r="G2509" s="400"/>
      <c r="H2509" s="396"/>
    </row>
    <row r="2510" spans="1:8" s="401" customFormat="1" ht="14.25" customHeight="1" x14ac:dyDescent="0.25">
      <c r="A2510" s="564">
        <v>213</v>
      </c>
      <c r="B2510" s="562" t="s">
        <v>787</v>
      </c>
      <c r="C2510" s="403">
        <v>4106</v>
      </c>
      <c r="D2510" s="400"/>
      <c r="E2510" s="400"/>
      <c r="F2510" s="400"/>
      <c r="G2510" s="400"/>
      <c r="H2510" s="396"/>
    </row>
    <row r="2511" spans="1:8" s="401" customFormat="1" ht="14.25" customHeight="1" x14ac:dyDescent="0.25">
      <c r="A2511" s="564">
        <v>216</v>
      </c>
      <c r="B2511" s="562" t="s">
        <v>785</v>
      </c>
      <c r="C2511" s="403">
        <v>1232</v>
      </c>
      <c r="D2511" s="400"/>
      <c r="E2511" s="400"/>
      <c r="F2511" s="400"/>
      <c r="G2511" s="400"/>
      <c r="H2511" s="396"/>
    </row>
    <row r="2512" spans="1:8" s="401" customFormat="1" ht="14.25" customHeight="1" x14ac:dyDescent="0.25">
      <c r="A2512" s="564">
        <v>221</v>
      </c>
      <c r="B2512" s="562" t="s">
        <v>785</v>
      </c>
      <c r="C2512" s="403">
        <v>988</v>
      </c>
      <c r="D2512" s="400"/>
      <c r="E2512" s="400"/>
      <c r="F2512" s="400"/>
      <c r="G2512" s="400"/>
      <c r="H2512" s="396"/>
    </row>
    <row r="2513" spans="1:8" s="401" customFormat="1" ht="14.25" customHeight="1" x14ac:dyDescent="0.25">
      <c r="A2513" s="564">
        <v>273</v>
      </c>
      <c r="B2513" s="562" t="s">
        <v>790</v>
      </c>
      <c r="C2513" s="403">
        <v>11494</v>
      </c>
      <c r="D2513" s="400"/>
      <c r="E2513" s="400"/>
      <c r="F2513" s="400"/>
      <c r="G2513" s="400"/>
      <c r="H2513" s="396"/>
    </row>
    <row r="2514" spans="1:8" s="401" customFormat="1" ht="14.25" customHeight="1" x14ac:dyDescent="0.25">
      <c r="A2514" s="564">
        <v>164</v>
      </c>
      <c r="B2514" s="562" t="s">
        <v>785</v>
      </c>
      <c r="C2514" s="403">
        <v>276</v>
      </c>
      <c r="D2514" s="400"/>
      <c r="E2514" s="400"/>
      <c r="F2514" s="400"/>
      <c r="G2514" s="400"/>
      <c r="H2514" s="396"/>
    </row>
    <row r="2515" spans="1:8" s="401" customFormat="1" ht="14.25" customHeight="1" x14ac:dyDescent="0.25">
      <c r="A2515" s="564">
        <v>229</v>
      </c>
      <c r="B2515" s="562" t="s">
        <v>785</v>
      </c>
      <c r="C2515" s="403">
        <v>1018</v>
      </c>
      <c r="D2515" s="400"/>
      <c r="E2515" s="400"/>
      <c r="F2515" s="400"/>
      <c r="G2515" s="400"/>
      <c r="H2515" s="396"/>
    </row>
    <row r="2516" spans="1:8" s="401" customFormat="1" ht="14.25" customHeight="1" x14ac:dyDescent="0.25">
      <c r="A2516" s="564">
        <v>232</v>
      </c>
      <c r="B2516" s="562" t="s">
        <v>792</v>
      </c>
      <c r="C2516" s="403">
        <v>696</v>
      </c>
      <c r="D2516" s="400"/>
      <c r="E2516" s="400"/>
      <c r="F2516" s="400"/>
      <c r="G2516" s="400"/>
      <c r="H2516" s="396"/>
    </row>
    <row r="2517" spans="1:8" s="401" customFormat="1" ht="14.25" customHeight="1" x14ac:dyDescent="0.25">
      <c r="A2517" s="564">
        <v>255</v>
      </c>
      <c r="B2517" s="562" t="s">
        <v>855</v>
      </c>
      <c r="C2517" s="403">
        <v>1160</v>
      </c>
      <c r="D2517" s="400"/>
      <c r="E2517" s="400"/>
      <c r="F2517" s="400"/>
      <c r="G2517" s="400"/>
      <c r="H2517" s="396"/>
    </row>
    <row r="2518" spans="1:8" s="401" customFormat="1" ht="14.25" customHeight="1" x14ac:dyDescent="0.25">
      <c r="A2518" s="564">
        <v>258</v>
      </c>
      <c r="B2518" s="562" t="s">
        <v>855</v>
      </c>
      <c r="C2518" s="403">
        <v>1160</v>
      </c>
      <c r="D2518" s="400"/>
      <c r="E2518" s="400"/>
      <c r="F2518" s="400"/>
      <c r="G2518" s="400"/>
      <c r="H2518" s="396"/>
    </row>
    <row r="2519" spans="1:8" s="401" customFormat="1" ht="14.25" customHeight="1" x14ac:dyDescent="0.25">
      <c r="A2519" s="564">
        <v>268</v>
      </c>
      <c r="B2519" s="562" t="s">
        <v>787</v>
      </c>
      <c r="C2519" s="403">
        <v>1</v>
      </c>
      <c r="D2519" s="400"/>
      <c r="E2519" s="400"/>
      <c r="F2519" s="400"/>
      <c r="G2519" s="400"/>
      <c r="H2519" s="396"/>
    </row>
    <row r="2520" spans="1:8" s="401" customFormat="1" ht="14.25" customHeight="1" x14ac:dyDescent="0.25">
      <c r="A2520" s="564">
        <v>270</v>
      </c>
      <c r="B2520" s="562" t="s">
        <v>790</v>
      </c>
      <c r="C2520" s="403">
        <v>2874</v>
      </c>
      <c r="D2520" s="400"/>
      <c r="E2520" s="400"/>
      <c r="F2520" s="400"/>
      <c r="G2520" s="400"/>
      <c r="H2520" s="396"/>
    </row>
    <row r="2521" spans="1:8" s="401" customFormat="1" ht="14.25" customHeight="1" x14ac:dyDescent="0.25">
      <c r="A2521" s="564">
        <v>277</v>
      </c>
      <c r="B2521" s="562" t="s">
        <v>790</v>
      </c>
      <c r="C2521" s="403">
        <v>11494</v>
      </c>
      <c r="D2521" s="400"/>
      <c r="E2521" s="400"/>
      <c r="F2521" s="400"/>
      <c r="G2521" s="400"/>
      <c r="H2521" s="396"/>
    </row>
    <row r="2522" spans="1:8" s="401" customFormat="1" ht="14.25" customHeight="1" x14ac:dyDescent="0.25">
      <c r="A2522" s="564">
        <v>280</v>
      </c>
      <c r="B2522" s="562" t="s">
        <v>785</v>
      </c>
      <c r="C2522" s="403">
        <v>1</v>
      </c>
      <c r="D2522" s="400"/>
      <c r="E2522" s="400"/>
      <c r="F2522" s="400"/>
      <c r="G2522" s="400"/>
      <c r="H2522" s="396"/>
    </row>
    <row r="2523" spans="1:8" s="401" customFormat="1" ht="14.25" customHeight="1" x14ac:dyDescent="0.25">
      <c r="A2523" s="564">
        <v>283</v>
      </c>
      <c r="B2523" s="562" t="s">
        <v>785</v>
      </c>
      <c r="C2523" s="403">
        <v>1</v>
      </c>
      <c r="D2523" s="400"/>
      <c r="E2523" s="400"/>
      <c r="F2523" s="400"/>
      <c r="G2523" s="400"/>
      <c r="H2523" s="396"/>
    </row>
    <row r="2524" spans="1:8" s="401" customFormat="1" ht="14.25" customHeight="1" x14ac:dyDescent="0.25">
      <c r="A2524" s="564">
        <v>287</v>
      </c>
      <c r="B2524" s="562" t="s">
        <v>785</v>
      </c>
      <c r="C2524" s="403">
        <v>1238</v>
      </c>
      <c r="D2524" s="400"/>
      <c r="E2524" s="400"/>
      <c r="F2524" s="400"/>
      <c r="G2524" s="400"/>
      <c r="H2524" s="396"/>
    </row>
    <row r="2525" spans="1:8" s="401" customFormat="1" ht="14.25" customHeight="1" x14ac:dyDescent="0.25">
      <c r="A2525" s="564">
        <v>290</v>
      </c>
      <c r="B2525" s="562" t="s">
        <v>785</v>
      </c>
      <c r="C2525" s="403">
        <v>378</v>
      </c>
      <c r="D2525" s="400"/>
      <c r="E2525" s="400"/>
      <c r="F2525" s="400"/>
      <c r="G2525" s="400"/>
      <c r="H2525" s="396"/>
    </row>
    <row r="2526" spans="1:8" s="401" customFormat="1" ht="14.25" customHeight="1" x14ac:dyDescent="0.25">
      <c r="A2526" s="564">
        <v>293</v>
      </c>
      <c r="B2526" s="562" t="s">
        <v>785</v>
      </c>
      <c r="C2526" s="403">
        <v>690</v>
      </c>
      <c r="D2526" s="400"/>
      <c r="E2526" s="400"/>
      <c r="F2526" s="400"/>
      <c r="G2526" s="400"/>
      <c r="H2526" s="396"/>
    </row>
    <row r="2527" spans="1:8" s="401" customFormat="1" ht="14.25" customHeight="1" x14ac:dyDescent="0.25">
      <c r="A2527" s="564">
        <v>297</v>
      </c>
      <c r="B2527" s="562" t="s">
        <v>785</v>
      </c>
      <c r="C2527" s="403">
        <v>690</v>
      </c>
      <c r="D2527" s="400"/>
      <c r="E2527" s="400"/>
      <c r="F2527" s="400"/>
      <c r="G2527" s="400"/>
      <c r="H2527" s="396"/>
    </row>
    <row r="2528" spans="1:8" s="401" customFormat="1" ht="14.25" customHeight="1" x14ac:dyDescent="0.25">
      <c r="A2528" s="564">
        <v>300</v>
      </c>
      <c r="B2528" s="562" t="s">
        <v>813</v>
      </c>
      <c r="C2528" s="403">
        <v>575</v>
      </c>
      <c r="D2528" s="400"/>
      <c r="E2528" s="400"/>
      <c r="F2528" s="400"/>
      <c r="G2528" s="400"/>
      <c r="H2528" s="396"/>
    </row>
    <row r="2529" spans="1:8" s="401" customFormat="1" ht="14.25" customHeight="1" x14ac:dyDescent="0.25">
      <c r="A2529" s="564">
        <v>4204</v>
      </c>
      <c r="B2529" s="562" t="s">
        <v>789</v>
      </c>
      <c r="C2529" s="403">
        <v>1442</v>
      </c>
      <c r="D2529" s="400"/>
      <c r="E2529" s="400"/>
      <c r="F2529" s="400"/>
      <c r="G2529" s="400"/>
      <c r="H2529" s="396"/>
    </row>
    <row r="2530" spans="1:8" s="401" customFormat="1" ht="14.25" customHeight="1" x14ac:dyDescent="0.25">
      <c r="A2530" s="564">
        <v>4205</v>
      </c>
      <c r="B2530" s="562" t="s">
        <v>789</v>
      </c>
      <c r="C2530" s="403">
        <v>1442</v>
      </c>
      <c r="D2530" s="400"/>
      <c r="E2530" s="400"/>
      <c r="F2530" s="400"/>
      <c r="G2530" s="400"/>
      <c r="H2530" s="396"/>
    </row>
    <row r="2531" spans="1:8" s="401" customFormat="1" ht="14.25" customHeight="1" x14ac:dyDescent="0.25">
      <c r="A2531" s="564">
        <v>4584</v>
      </c>
      <c r="B2531" s="562" t="s">
        <v>821</v>
      </c>
      <c r="C2531" s="403">
        <v>367.25</v>
      </c>
      <c r="D2531" s="400"/>
      <c r="E2531" s="400"/>
      <c r="F2531" s="400"/>
      <c r="G2531" s="400"/>
      <c r="H2531" s="396"/>
    </row>
    <row r="2532" spans="1:8" s="401" customFormat="1" ht="14.25" customHeight="1" x14ac:dyDescent="0.25">
      <c r="A2532" s="564">
        <v>4585</v>
      </c>
      <c r="B2532" s="562" t="s">
        <v>821</v>
      </c>
      <c r="C2532" s="403">
        <v>367.25</v>
      </c>
      <c r="D2532" s="400"/>
      <c r="E2532" s="400"/>
      <c r="F2532" s="400"/>
      <c r="G2532" s="400"/>
      <c r="H2532" s="396"/>
    </row>
    <row r="2533" spans="1:8" s="401" customFormat="1" ht="14.25" customHeight="1" x14ac:dyDescent="0.25">
      <c r="A2533" s="564">
        <v>4586</v>
      </c>
      <c r="B2533" s="562" t="s">
        <v>821</v>
      </c>
      <c r="C2533" s="403">
        <v>367.25</v>
      </c>
      <c r="D2533" s="400"/>
      <c r="E2533" s="400"/>
      <c r="F2533" s="400"/>
      <c r="G2533" s="400"/>
      <c r="H2533" s="396"/>
    </row>
    <row r="2534" spans="1:8" s="401" customFormat="1" ht="14.25" customHeight="1" x14ac:dyDescent="0.25">
      <c r="A2534" s="564">
        <v>4588</v>
      </c>
      <c r="B2534" s="562" t="s">
        <v>821</v>
      </c>
      <c r="C2534" s="403">
        <v>367.25</v>
      </c>
      <c r="D2534" s="400"/>
      <c r="E2534" s="400"/>
      <c r="F2534" s="400"/>
      <c r="G2534" s="400"/>
      <c r="H2534" s="396"/>
    </row>
    <row r="2535" spans="1:8" s="401" customFormat="1" ht="14.25" customHeight="1" x14ac:dyDescent="0.25">
      <c r="A2535" s="564">
        <v>4589</v>
      </c>
      <c r="B2535" s="562" t="s">
        <v>821</v>
      </c>
      <c r="C2535" s="403">
        <v>367.25</v>
      </c>
      <c r="D2535" s="400"/>
      <c r="E2535" s="400"/>
      <c r="F2535" s="400"/>
      <c r="G2535" s="400"/>
      <c r="H2535" s="396"/>
    </row>
    <row r="2536" spans="1:8" s="401" customFormat="1" ht="14.25" customHeight="1" x14ac:dyDescent="0.25">
      <c r="A2536" s="564">
        <v>4590</v>
      </c>
      <c r="B2536" s="562" t="s">
        <v>821</v>
      </c>
      <c r="C2536" s="403">
        <v>367.25</v>
      </c>
      <c r="D2536" s="400"/>
      <c r="E2536" s="400"/>
      <c r="F2536" s="400"/>
      <c r="G2536" s="400"/>
      <c r="H2536" s="396"/>
    </row>
    <row r="2537" spans="1:8" s="401" customFormat="1" ht="14.25" customHeight="1" x14ac:dyDescent="0.25">
      <c r="A2537" s="564">
        <v>4591</v>
      </c>
      <c r="B2537" s="562" t="s">
        <v>821</v>
      </c>
      <c r="C2537" s="403">
        <v>367.25</v>
      </c>
      <c r="D2537" s="400"/>
      <c r="E2537" s="400"/>
      <c r="F2537" s="400"/>
      <c r="G2537" s="400"/>
      <c r="H2537" s="396"/>
    </row>
    <row r="2538" spans="1:8" s="401" customFormat="1" ht="14.25" customHeight="1" x14ac:dyDescent="0.25">
      <c r="A2538" s="564">
        <v>4592</v>
      </c>
      <c r="B2538" s="562" t="s">
        <v>821</v>
      </c>
      <c r="C2538" s="403">
        <v>367.25</v>
      </c>
      <c r="D2538" s="400"/>
      <c r="E2538" s="400"/>
      <c r="F2538" s="400"/>
      <c r="G2538" s="400"/>
      <c r="H2538" s="396"/>
    </row>
    <row r="2539" spans="1:8" s="401" customFormat="1" ht="14.25" customHeight="1" x14ac:dyDescent="0.25">
      <c r="A2539" s="564">
        <v>4593</v>
      </c>
      <c r="B2539" s="562" t="s">
        <v>821</v>
      </c>
      <c r="C2539" s="403">
        <v>367.25</v>
      </c>
      <c r="D2539" s="400"/>
      <c r="E2539" s="400"/>
      <c r="F2539" s="400"/>
      <c r="G2539" s="400"/>
      <c r="H2539" s="396"/>
    </row>
    <row r="2540" spans="1:8" s="401" customFormat="1" ht="14.25" customHeight="1" x14ac:dyDescent="0.25">
      <c r="A2540" s="564">
        <v>4595</v>
      </c>
      <c r="B2540" s="562" t="s">
        <v>821</v>
      </c>
      <c r="C2540" s="403">
        <v>367.25</v>
      </c>
      <c r="D2540" s="400"/>
      <c r="E2540" s="400"/>
      <c r="F2540" s="400"/>
      <c r="G2540" s="400"/>
      <c r="H2540" s="396"/>
    </row>
    <row r="2541" spans="1:8" s="401" customFormat="1" ht="14.25" customHeight="1" x14ac:dyDescent="0.25">
      <c r="A2541" s="564">
        <v>4598</v>
      </c>
      <c r="B2541" s="562" t="s">
        <v>856</v>
      </c>
      <c r="C2541" s="403">
        <v>428.64</v>
      </c>
      <c r="D2541" s="400"/>
      <c r="E2541" s="400"/>
      <c r="F2541" s="400"/>
      <c r="G2541" s="400"/>
      <c r="H2541" s="396"/>
    </row>
    <row r="2542" spans="1:8" s="401" customFormat="1" ht="14.25" customHeight="1" x14ac:dyDescent="0.25">
      <c r="A2542" s="564">
        <v>4600</v>
      </c>
      <c r="B2542" s="562" t="s">
        <v>819</v>
      </c>
      <c r="C2542" s="403">
        <v>428.64</v>
      </c>
      <c r="D2542" s="400"/>
      <c r="E2542" s="400"/>
      <c r="F2542" s="400"/>
      <c r="G2542" s="400"/>
      <c r="H2542" s="396"/>
    </row>
    <row r="2543" spans="1:8" s="401" customFormat="1" ht="14.25" customHeight="1" x14ac:dyDescent="0.25">
      <c r="A2543" s="564">
        <v>4602</v>
      </c>
      <c r="B2543" s="562" t="s">
        <v>819</v>
      </c>
      <c r="C2543" s="403">
        <v>428.64</v>
      </c>
      <c r="D2543" s="400"/>
      <c r="E2543" s="400"/>
      <c r="F2543" s="400"/>
      <c r="G2543" s="400"/>
      <c r="H2543" s="396"/>
    </row>
    <row r="2544" spans="1:8" s="401" customFormat="1" ht="14.25" customHeight="1" x14ac:dyDescent="0.25">
      <c r="A2544" s="564">
        <v>4604</v>
      </c>
      <c r="B2544" s="562" t="s">
        <v>819</v>
      </c>
      <c r="C2544" s="403">
        <v>428.64</v>
      </c>
      <c r="D2544" s="400"/>
      <c r="E2544" s="400"/>
      <c r="F2544" s="400"/>
      <c r="G2544" s="400"/>
      <c r="H2544" s="396"/>
    </row>
    <row r="2545" spans="1:8" s="401" customFormat="1" ht="14.25" customHeight="1" x14ac:dyDescent="0.25">
      <c r="A2545" s="564">
        <v>4606</v>
      </c>
      <c r="B2545" s="562" t="s">
        <v>822</v>
      </c>
      <c r="C2545" s="403">
        <v>919.68</v>
      </c>
      <c r="D2545" s="400"/>
      <c r="E2545" s="400"/>
      <c r="F2545" s="400"/>
      <c r="G2545" s="400"/>
      <c r="H2545" s="396"/>
    </row>
    <row r="2546" spans="1:8" s="401" customFormat="1" ht="14.25" customHeight="1" x14ac:dyDescent="0.25">
      <c r="A2546" s="564">
        <v>4608</v>
      </c>
      <c r="B2546" s="562" t="s">
        <v>822</v>
      </c>
      <c r="C2546" s="403">
        <v>919.68</v>
      </c>
      <c r="D2546" s="400"/>
      <c r="E2546" s="400"/>
      <c r="F2546" s="400"/>
      <c r="G2546" s="400"/>
      <c r="H2546" s="396"/>
    </row>
    <row r="2547" spans="1:8" s="401" customFormat="1" ht="14.25" customHeight="1" x14ac:dyDescent="0.25">
      <c r="A2547" s="564">
        <v>4609</v>
      </c>
      <c r="B2547" s="562" t="s">
        <v>822</v>
      </c>
      <c r="C2547" s="403">
        <v>919.68</v>
      </c>
      <c r="D2547" s="400"/>
      <c r="E2547" s="400"/>
      <c r="F2547" s="400"/>
      <c r="G2547" s="400"/>
      <c r="H2547" s="396"/>
    </row>
    <row r="2548" spans="1:8" s="401" customFormat="1" ht="14.25" customHeight="1" x14ac:dyDescent="0.25">
      <c r="A2548" s="564">
        <v>4610</v>
      </c>
      <c r="B2548" s="562" t="s">
        <v>822</v>
      </c>
      <c r="C2548" s="403">
        <v>919.68</v>
      </c>
      <c r="D2548" s="400"/>
      <c r="E2548" s="400"/>
      <c r="F2548" s="400"/>
      <c r="G2548" s="400"/>
      <c r="H2548" s="396"/>
    </row>
    <row r="2549" spans="1:8" s="401" customFormat="1" ht="14.25" customHeight="1" x14ac:dyDescent="0.25">
      <c r="A2549" s="564">
        <v>4612</v>
      </c>
      <c r="B2549" s="562" t="s">
        <v>822</v>
      </c>
      <c r="C2549" s="403">
        <v>919.68</v>
      </c>
      <c r="D2549" s="400"/>
      <c r="E2549" s="400"/>
      <c r="F2549" s="400"/>
      <c r="G2549" s="400"/>
      <c r="H2549" s="396"/>
    </row>
    <row r="2550" spans="1:8" s="401" customFormat="1" ht="14.25" customHeight="1" x14ac:dyDescent="0.25">
      <c r="A2550" s="564">
        <v>4614</v>
      </c>
      <c r="B2550" s="562" t="s">
        <v>822</v>
      </c>
      <c r="C2550" s="403">
        <v>919.68</v>
      </c>
      <c r="D2550" s="400"/>
      <c r="E2550" s="400"/>
      <c r="F2550" s="400"/>
      <c r="G2550" s="400"/>
      <c r="H2550" s="396"/>
    </row>
    <row r="2551" spans="1:8" s="401" customFormat="1" ht="14.25" customHeight="1" x14ac:dyDescent="0.25">
      <c r="A2551" s="564">
        <v>77</v>
      </c>
      <c r="B2551" s="562" t="s">
        <v>791</v>
      </c>
      <c r="C2551" s="403">
        <v>1</v>
      </c>
      <c r="D2551" s="400"/>
      <c r="E2551" s="400"/>
      <c r="F2551" s="400"/>
      <c r="G2551" s="400"/>
      <c r="H2551" s="396"/>
    </row>
    <row r="2552" spans="1:8" s="401" customFormat="1" ht="14.25" customHeight="1" x14ac:dyDescent="0.25">
      <c r="A2552" s="564">
        <v>129</v>
      </c>
      <c r="B2552" s="562" t="s">
        <v>787</v>
      </c>
      <c r="C2552" s="403">
        <v>2351</v>
      </c>
      <c r="D2552" s="400"/>
      <c r="E2552" s="400"/>
      <c r="F2552" s="400"/>
      <c r="G2552" s="400"/>
      <c r="H2552" s="396"/>
    </row>
    <row r="2553" spans="1:8" s="401" customFormat="1" ht="14.25" customHeight="1" x14ac:dyDescent="0.25">
      <c r="A2553" s="564">
        <v>156</v>
      </c>
      <c r="B2553" s="562" t="s">
        <v>788</v>
      </c>
      <c r="C2553" s="403">
        <v>1</v>
      </c>
      <c r="D2553" s="400"/>
      <c r="E2553" s="400"/>
      <c r="F2553" s="400"/>
      <c r="G2553" s="400"/>
      <c r="H2553" s="396"/>
    </row>
    <row r="2554" spans="1:8" s="401" customFormat="1" ht="14.25" customHeight="1" x14ac:dyDescent="0.25">
      <c r="A2554" s="564">
        <v>167</v>
      </c>
      <c r="B2554" s="562" t="s">
        <v>785</v>
      </c>
      <c r="C2554" s="403">
        <v>402</v>
      </c>
      <c r="D2554" s="400"/>
      <c r="E2554" s="400"/>
      <c r="F2554" s="400"/>
      <c r="G2554" s="400"/>
      <c r="H2554" s="396"/>
    </row>
    <row r="2555" spans="1:8" s="401" customFormat="1" ht="14.25" customHeight="1" x14ac:dyDescent="0.25">
      <c r="A2555" s="564">
        <v>173</v>
      </c>
      <c r="B2555" s="562" t="s">
        <v>785</v>
      </c>
      <c r="C2555" s="403">
        <v>361</v>
      </c>
      <c r="D2555" s="400"/>
      <c r="E2555" s="400"/>
      <c r="F2555" s="400"/>
      <c r="G2555" s="400"/>
      <c r="H2555" s="396"/>
    </row>
    <row r="2556" spans="1:8" s="401" customFormat="1" ht="14.25" customHeight="1" x14ac:dyDescent="0.25">
      <c r="A2556" s="564">
        <v>74</v>
      </c>
      <c r="B2556" s="562" t="s">
        <v>851</v>
      </c>
      <c r="C2556" s="403">
        <v>4572</v>
      </c>
      <c r="D2556" s="400"/>
      <c r="E2556" s="400"/>
      <c r="F2556" s="400"/>
      <c r="G2556" s="400"/>
      <c r="H2556" s="396"/>
    </row>
    <row r="2557" spans="1:8" s="401" customFormat="1" ht="14.25" customHeight="1" x14ac:dyDescent="0.25">
      <c r="A2557" s="564">
        <v>75</v>
      </c>
      <c r="B2557" s="562" t="s">
        <v>791</v>
      </c>
      <c r="C2557" s="403">
        <v>2875</v>
      </c>
      <c r="D2557" s="400"/>
      <c r="E2557" s="400"/>
      <c r="F2557" s="400"/>
      <c r="G2557" s="400"/>
      <c r="H2557" s="396"/>
    </row>
    <row r="2558" spans="1:8" s="401" customFormat="1" ht="14.25" customHeight="1" x14ac:dyDescent="0.25">
      <c r="A2558" s="564">
        <v>78</v>
      </c>
      <c r="B2558" s="562" t="s">
        <v>791</v>
      </c>
      <c r="C2558" s="403">
        <v>2185</v>
      </c>
      <c r="D2558" s="400"/>
      <c r="E2558" s="400"/>
      <c r="F2558" s="400"/>
      <c r="G2558" s="400"/>
      <c r="H2558" s="396"/>
    </row>
    <row r="2559" spans="1:8" s="401" customFormat="1" ht="14.25" customHeight="1" x14ac:dyDescent="0.25">
      <c r="A2559" s="564">
        <v>133</v>
      </c>
      <c r="B2559" s="562" t="s">
        <v>787</v>
      </c>
      <c r="C2559" s="403">
        <v>2351</v>
      </c>
      <c r="D2559" s="400"/>
      <c r="E2559" s="400"/>
      <c r="F2559" s="400"/>
      <c r="G2559" s="400"/>
      <c r="H2559" s="396"/>
    </row>
    <row r="2560" spans="1:8" s="401" customFormat="1" ht="14.25" customHeight="1" x14ac:dyDescent="0.25">
      <c r="A2560" s="564">
        <v>152</v>
      </c>
      <c r="B2560" s="562" t="s">
        <v>787</v>
      </c>
      <c r="C2560" s="403">
        <v>2350</v>
      </c>
      <c r="D2560" s="400"/>
      <c r="E2560" s="400"/>
      <c r="F2560" s="400"/>
      <c r="G2560" s="400"/>
      <c r="H2560" s="396"/>
    </row>
    <row r="2561" spans="1:8" s="401" customFormat="1" ht="14.25" customHeight="1" x14ac:dyDescent="0.25">
      <c r="A2561" s="564">
        <v>172</v>
      </c>
      <c r="B2561" s="562" t="s">
        <v>785</v>
      </c>
      <c r="C2561" s="403">
        <v>988</v>
      </c>
      <c r="D2561" s="400"/>
      <c r="E2561" s="400"/>
      <c r="F2561" s="400"/>
      <c r="G2561" s="400"/>
      <c r="H2561" s="396"/>
    </row>
    <row r="2562" spans="1:8" s="401" customFormat="1" ht="14.25" customHeight="1" x14ac:dyDescent="0.25">
      <c r="A2562" s="564">
        <v>190</v>
      </c>
      <c r="B2562" s="562" t="s">
        <v>785</v>
      </c>
      <c r="C2562" s="403">
        <v>361</v>
      </c>
      <c r="D2562" s="400"/>
      <c r="E2562" s="400"/>
      <c r="F2562" s="400"/>
      <c r="G2562" s="400"/>
      <c r="H2562" s="396"/>
    </row>
    <row r="2563" spans="1:8" s="401" customFormat="1" ht="14.25" customHeight="1" x14ac:dyDescent="0.25">
      <c r="A2563" s="564">
        <v>218</v>
      </c>
      <c r="B2563" s="562" t="s">
        <v>785</v>
      </c>
      <c r="C2563" s="403">
        <v>1232</v>
      </c>
      <c r="D2563" s="400"/>
      <c r="E2563" s="400"/>
      <c r="F2563" s="400"/>
      <c r="G2563" s="400"/>
      <c r="H2563" s="396"/>
    </row>
    <row r="2564" spans="1:8" s="401" customFormat="1" ht="14.25" customHeight="1" x14ac:dyDescent="0.25">
      <c r="A2564" s="564">
        <v>73</v>
      </c>
      <c r="B2564" s="562" t="s">
        <v>786</v>
      </c>
      <c r="C2564" s="403">
        <v>1</v>
      </c>
      <c r="D2564" s="400"/>
      <c r="E2564" s="400"/>
      <c r="F2564" s="400"/>
      <c r="G2564" s="400"/>
      <c r="H2564" s="396"/>
    </row>
    <row r="2565" spans="1:8" s="401" customFormat="1" ht="14.25" customHeight="1" x14ac:dyDescent="0.25">
      <c r="A2565" s="564">
        <v>79</v>
      </c>
      <c r="B2565" s="562" t="s">
        <v>791</v>
      </c>
      <c r="C2565" s="403">
        <v>1</v>
      </c>
      <c r="D2565" s="400"/>
      <c r="E2565" s="400"/>
      <c r="F2565" s="400"/>
      <c r="G2565" s="400"/>
      <c r="H2565" s="396"/>
    </row>
    <row r="2566" spans="1:8" s="401" customFormat="1" ht="14.25" customHeight="1" x14ac:dyDescent="0.25">
      <c r="A2566" s="564">
        <v>81</v>
      </c>
      <c r="B2566" s="562" t="s">
        <v>791</v>
      </c>
      <c r="C2566" s="403">
        <v>1</v>
      </c>
      <c r="D2566" s="400"/>
      <c r="E2566" s="400"/>
      <c r="F2566" s="400"/>
      <c r="G2566" s="400"/>
      <c r="H2566" s="396"/>
    </row>
    <row r="2567" spans="1:8" s="401" customFormat="1" ht="14.25" customHeight="1" x14ac:dyDescent="0.25">
      <c r="A2567" s="564">
        <v>86</v>
      </c>
      <c r="B2567" s="562" t="s">
        <v>791</v>
      </c>
      <c r="C2567" s="403">
        <v>1</v>
      </c>
      <c r="D2567" s="400"/>
      <c r="E2567" s="400"/>
      <c r="F2567" s="400"/>
      <c r="G2567" s="400"/>
      <c r="H2567" s="396"/>
    </row>
    <row r="2568" spans="1:8" s="401" customFormat="1" ht="14.25" customHeight="1" x14ac:dyDescent="0.25">
      <c r="A2568" s="564">
        <v>89</v>
      </c>
      <c r="B2568" s="562" t="s">
        <v>791</v>
      </c>
      <c r="C2568" s="403">
        <v>1</v>
      </c>
      <c r="D2568" s="400"/>
      <c r="E2568" s="400"/>
      <c r="F2568" s="400"/>
      <c r="G2568" s="400"/>
      <c r="H2568" s="396"/>
    </row>
    <row r="2569" spans="1:8" s="401" customFormat="1" ht="14.25" customHeight="1" x14ac:dyDescent="0.25">
      <c r="A2569" s="564">
        <v>90</v>
      </c>
      <c r="B2569" s="562" t="s">
        <v>791</v>
      </c>
      <c r="C2569" s="403">
        <v>1541</v>
      </c>
      <c r="D2569" s="400"/>
      <c r="E2569" s="400"/>
      <c r="F2569" s="400"/>
      <c r="G2569" s="400"/>
      <c r="H2569" s="396"/>
    </row>
    <row r="2570" spans="1:8" s="401" customFormat="1" ht="14.25" customHeight="1" x14ac:dyDescent="0.25">
      <c r="A2570" s="564">
        <v>93</v>
      </c>
      <c r="B2570" s="562" t="s">
        <v>806</v>
      </c>
      <c r="C2570" s="403">
        <v>1</v>
      </c>
      <c r="D2570" s="400"/>
      <c r="E2570" s="400"/>
      <c r="F2570" s="400"/>
      <c r="G2570" s="400"/>
      <c r="H2570" s="396"/>
    </row>
    <row r="2571" spans="1:8" s="401" customFormat="1" ht="14.25" customHeight="1" x14ac:dyDescent="0.25">
      <c r="A2571" s="564">
        <v>94</v>
      </c>
      <c r="B2571" s="562" t="s">
        <v>806</v>
      </c>
      <c r="C2571" s="403">
        <v>3850</v>
      </c>
      <c r="D2571" s="400"/>
      <c r="E2571" s="400"/>
      <c r="F2571" s="400"/>
      <c r="G2571" s="400"/>
      <c r="H2571" s="396"/>
    </row>
    <row r="2572" spans="1:8" s="401" customFormat="1" ht="14.25" customHeight="1" x14ac:dyDescent="0.25">
      <c r="A2572" s="564">
        <v>96</v>
      </c>
      <c r="B2572" s="562" t="s">
        <v>787</v>
      </c>
      <c r="C2572" s="403">
        <v>7659</v>
      </c>
      <c r="D2572" s="400"/>
      <c r="E2572" s="400"/>
      <c r="F2572" s="400"/>
      <c r="G2572" s="400"/>
      <c r="H2572" s="396"/>
    </row>
    <row r="2573" spans="1:8" s="401" customFormat="1" ht="14.25" customHeight="1" x14ac:dyDescent="0.25">
      <c r="A2573" s="564">
        <v>98</v>
      </c>
      <c r="B2573" s="562" t="s">
        <v>787</v>
      </c>
      <c r="C2573" s="403">
        <v>4336</v>
      </c>
      <c r="D2573" s="400"/>
      <c r="E2573" s="400"/>
      <c r="F2573" s="400"/>
      <c r="G2573" s="400"/>
      <c r="H2573" s="396"/>
    </row>
    <row r="2574" spans="1:8" s="401" customFormat="1" ht="14.25" customHeight="1" x14ac:dyDescent="0.25">
      <c r="A2574" s="564">
        <v>99</v>
      </c>
      <c r="B2574" s="562" t="s">
        <v>787</v>
      </c>
      <c r="C2574" s="403">
        <v>5716</v>
      </c>
      <c r="D2574" s="400"/>
      <c r="E2574" s="400"/>
      <c r="F2574" s="400"/>
      <c r="G2574" s="400"/>
      <c r="H2574" s="396"/>
    </row>
    <row r="2575" spans="1:8" s="401" customFormat="1" ht="14.25" customHeight="1" x14ac:dyDescent="0.25">
      <c r="A2575" s="564">
        <v>101</v>
      </c>
      <c r="B2575" s="562" t="s">
        <v>787</v>
      </c>
      <c r="C2575" s="403">
        <v>9856</v>
      </c>
      <c r="D2575" s="400"/>
      <c r="E2575" s="400"/>
      <c r="F2575" s="400"/>
      <c r="G2575" s="400"/>
      <c r="H2575" s="396"/>
    </row>
    <row r="2576" spans="1:8" s="401" customFormat="1" ht="14.25" customHeight="1" x14ac:dyDescent="0.25">
      <c r="A2576" s="564">
        <v>103</v>
      </c>
      <c r="B2576" s="562" t="s">
        <v>788</v>
      </c>
      <c r="C2576" s="403">
        <v>2777</v>
      </c>
      <c r="D2576" s="400"/>
      <c r="E2576" s="400"/>
      <c r="F2576" s="400"/>
      <c r="G2576" s="400"/>
      <c r="H2576" s="396"/>
    </row>
    <row r="2577" spans="1:8" s="401" customFormat="1" ht="14.25" customHeight="1" x14ac:dyDescent="0.25">
      <c r="A2577" s="564">
        <v>106</v>
      </c>
      <c r="B2577" s="562" t="s">
        <v>788</v>
      </c>
      <c r="C2577" s="403">
        <v>3080</v>
      </c>
      <c r="D2577" s="400"/>
      <c r="E2577" s="400"/>
      <c r="F2577" s="400"/>
      <c r="G2577" s="400"/>
      <c r="H2577" s="396"/>
    </row>
    <row r="2578" spans="1:8" s="401" customFormat="1" ht="14.25" customHeight="1" x14ac:dyDescent="0.25">
      <c r="A2578" s="564">
        <v>107</v>
      </c>
      <c r="B2578" s="562" t="s">
        <v>788</v>
      </c>
      <c r="C2578" s="403">
        <v>2185</v>
      </c>
      <c r="D2578" s="400"/>
      <c r="E2578" s="400"/>
      <c r="F2578" s="400"/>
      <c r="G2578" s="400"/>
      <c r="H2578" s="396"/>
    </row>
    <row r="2579" spans="1:8" s="401" customFormat="1" ht="14.25" customHeight="1" x14ac:dyDescent="0.25">
      <c r="A2579" s="564">
        <v>108</v>
      </c>
      <c r="B2579" s="562" t="s">
        <v>788</v>
      </c>
      <c r="C2579" s="403">
        <v>2588</v>
      </c>
      <c r="D2579" s="400"/>
      <c r="E2579" s="400"/>
      <c r="F2579" s="400"/>
      <c r="G2579" s="400"/>
      <c r="H2579" s="396"/>
    </row>
    <row r="2580" spans="1:8" s="401" customFormat="1" ht="14.25" customHeight="1" x14ac:dyDescent="0.25">
      <c r="A2580" s="564">
        <v>111</v>
      </c>
      <c r="B2580" s="562" t="s">
        <v>790</v>
      </c>
      <c r="C2580" s="403">
        <v>1</v>
      </c>
      <c r="D2580" s="400"/>
      <c r="E2580" s="400"/>
      <c r="F2580" s="400"/>
      <c r="G2580" s="400"/>
      <c r="H2580" s="396"/>
    </row>
    <row r="2581" spans="1:8" s="401" customFormat="1" ht="14.25" customHeight="1" x14ac:dyDescent="0.25">
      <c r="A2581" s="564">
        <v>113</v>
      </c>
      <c r="B2581" s="562" t="s">
        <v>790</v>
      </c>
      <c r="C2581" s="403">
        <v>1</v>
      </c>
      <c r="D2581" s="400"/>
      <c r="E2581" s="400"/>
      <c r="F2581" s="400"/>
      <c r="G2581" s="400"/>
      <c r="H2581" s="396"/>
    </row>
    <row r="2582" spans="1:8" s="401" customFormat="1" ht="14.25" customHeight="1" x14ac:dyDescent="0.25">
      <c r="A2582" s="564">
        <v>115</v>
      </c>
      <c r="B2582" s="562" t="s">
        <v>790</v>
      </c>
      <c r="C2582" s="403">
        <v>1</v>
      </c>
      <c r="D2582" s="400"/>
      <c r="E2582" s="400"/>
      <c r="F2582" s="400"/>
      <c r="G2582" s="400"/>
      <c r="H2582" s="396"/>
    </row>
    <row r="2583" spans="1:8" s="401" customFormat="1" ht="14.25" customHeight="1" x14ac:dyDescent="0.25">
      <c r="A2583" s="564">
        <v>117</v>
      </c>
      <c r="B2583" s="562" t="s">
        <v>785</v>
      </c>
      <c r="C2583" s="403">
        <v>882</v>
      </c>
      <c r="D2583" s="400"/>
      <c r="E2583" s="400"/>
      <c r="F2583" s="400"/>
      <c r="G2583" s="400"/>
      <c r="H2583" s="396"/>
    </row>
    <row r="2584" spans="1:8" s="401" customFormat="1" ht="14.25" customHeight="1" x14ac:dyDescent="0.25">
      <c r="A2584" s="564">
        <v>118</v>
      </c>
      <c r="B2584" s="562" t="s">
        <v>785</v>
      </c>
      <c r="C2584" s="403">
        <v>575</v>
      </c>
      <c r="D2584" s="400"/>
      <c r="E2584" s="400"/>
      <c r="F2584" s="400"/>
      <c r="G2584" s="400"/>
      <c r="H2584" s="396"/>
    </row>
    <row r="2585" spans="1:8" s="401" customFormat="1" ht="14.25" customHeight="1" x14ac:dyDescent="0.25">
      <c r="A2585" s="564">
        <v>119</v>
      </c>
      <c r="B2585" s="562" t="s">
        <v>785</v>
      </c>
      <c r="C2585" s="403">
        <v>1</v>
      </c>
      <c r="D2585" s="400"/>
      <c r="E2585" s="400"/>
      <c r="F2585" s="400"/>
      <c r="G2585" s="400"/>
      <c r="H2585" s="396"/>
    </row>
    <row r="2586" spans="1:8" s="401" customFormat="1" ht="14.25" customHeight="1" x14ac:dyDescent="0.25">
      <c r="A2586" s="564">
        <v>121</v>
      </c>
      <c r="B2586" s="562" t="s">
        <v>785</v>
      </c>
      <c r="C2586" s="403">
        <v>1</v>
      </c>
      <c r="D2586" s="400"/>
      <c r="E2586" s="400"/>
      <c r="F2586" s="400"/>
      <c r="G2586" s="400"/>
      <c r="H2586" s="396"/>
    </row>
    <row r="2587" spans="1:8" s="401" customFormat="1" ht="14.25" customHeight="1" x14ac:dyDescent="0.25">
      <c r="A2587" s="564">
        <v>123</v>
      </c>
      <c r="B2587" s="562" t="s">
        <v>785</v>
      </c>
      <c r="C2587" s="403">
        <v>1</v>
      </c>
      <c r="D2587" s="400"/>
      <c r="E2587" s="400"/>
      <c r="F2587" s="400"/>
      <c r="G2587" s="400"/>
      <c r="H2587" s="396"/>
    </row>
    <row r="2588" spans="1:8" s="401" customFormat="1" ht="14.25" customHeight="1" x14ac:dyDescent="0.25">
      <c r="A2588" s="564">
        <v>124</v>
      </c>
      <c r="B2588" s="562" t="s">
        <v>785</v>
      </c>
      <c r="C2588" s="403">
        <v>1</v>
      </c>
      <c r="D2588" s="400"/>
      <c r="E2588" s="400"/>
      <c r="F2588" s="400"/>
      <c r="G2588" s="400"/>
      <c r="H2588" s="396"/>
    </row>
    <row r="2589" spans="1:8" s="401" customFormat="1" ht="14.25" customHeight="1" x14ac:dyDescent="0.25">
      <c r="A2589" s="564">
        <v>127</v>
      </c>
      <c r="B2589" s="562" t="s">
        <v>785</v>
      </c>
      <c r="C2589" s="403">
        <v>1</v>
      </c>
      <c r="D2589" s="400"/>
      <c r="E2589" s="400"/>
      <c r="F2589" s="400"/>
      <c r="G2589" s="400"/>
      <c r="H2589" s="396"/>
    </row>
    <row r="2590" spans="1:8" s="401" customFormat="1" ht="14.25" customHeight="1" x14ac:dyDescent="0.25">
      <c r="A2590" s="564">
        <v>130</v>
      </c>
      <c r="B2590" s="562" t="s">
        <v>785</v>
      </c>
      <c r="C2590" s="403">
        <v>1</v>
      </c>
      <c r="D2590" s="400"/>
      <c r="E2590" s="400"/>
      <c r="F2590" s="400"/>
      <c r="G2590" s="400"/>
      <c r="H2590" s="396"/>
    </row>
    <row r="2591" spans="1:8" s="401" customFormat="1" ht="14.25" customHeight="1" x14ac:dyDescent="0.25">
      <c r="A2591" s="564">
        <v>132</v>
      </c>
      <c r="B2591" s="562" t="s">
        <v>785</v>
      </c>
      <c r="C2591" s="403">
        <v>1</v>
      </c>
      <c r="D2591" s="400"/>
      <c r="E2591" s="400"/>
      <c r="F2591" s="400"/>
      <c r="G2591" s="400"/>
      <c r="H2591" s="396"/>
    </row>
    <row r="2592" spans="1:8" s="401" customFormat="1" ht="14.25" customHeight="1" x14ac:dyDescent="0.25">
      <c r="A2592" s="564">
        <v>134</v>
      </c>
      <c r="B2592" s="562" t="s">
        <v>785</v>
      </c>
      <c r="C2592" s="403">
        <v>1</v>
      </c>
      <c r="D2592" s="400"/>
      <c r="E2592" s="400"/>
      <c r="F2592" s="400"/>
      <c r="G2592" s="400"/>
      <c r="H2592" s="396"/>
    </row>
    <row r="2593" spans="1:8" s="401" customFormat="1" ht="14.25" customHeight="1" x14ac:dyDescent="0.25">
      <c r="A2593" s="564">
        <v>136</v>
      </c>
      <c r="B2593" s="562" t="s">
        <v>785</v>
      </c>
      <c r="C2593" s="403">
        <v>1</v>
      </c>
      <c r="D2593" s="400"/>
      <c r="E2593" s="400"/>
      <c r="F2593" s="400"/>
      <c r="G2593" s="400"/>
      <c r="H2593" s="396"/>
    </row>
    <row r="2594" spans="1:8" s="401" customFormat="1" ht="14.25" customHeight="1" x14ac:dyDescent="0.25">
      <c r="A2594" s="564">
        <v>141</v>
      </c>
      <c r="B2594" s="562" t="s">
        <v>785</v>
      </c>
      <c r="C2594" s="403">
        <v>1</v>
      </c>
      <c r="D2594" s="400"/>
      <c r="E2594" s="400"/>
      <c r="F2594" s="400"/>
      <c r="G2594" s="400"/>
      <c r="H2594" s="396"/>
    </row>
    <row r="2595" spans="1:8" s="401" customFormat="1" ht="14.25" customHeight="1" x14ac:dyDescent="0.25">
      <c r="A2595" s="564">
        <v>144</v>
      </c>
      <c r="B2595" s="562" t="s">
        <v>785</v>
      </c>
      <c r="C2595" s="403">
        <v>1</v>
      </c>
      <c r="D2595" s="400"/>
      <c r="E2595" s="400"/>
      <c r="F2595" s="400"/>
      <c r="G2595" s="400"/>
      <c r="H2595" s="396"/>
    </row>
    <row r="2596" spans="1:8" s="401" customFormat="1" ht="14.25" customHeight="1" x14ac:dyDescent="0.25">
      <c r="A2596" s="564">
        <v>145</v>
      </c>
      <c r="B2596" s="562" t="s">
        <v>785</v>
      </c>
      <c r="C2596" s="403">
        <v>1</v>
      </c>
      <c r="D2596" s="400"/>
      <c r="E2596" s="400"/>
      <c r="F2596" s="400"/>
      <c r="G2596" s="400"/>
      <c r="H2596" s="396"/>
    </row>
    <row r="2597" spans="1:8" s="401" customFormat="1" ht="14.25" customHeight="1" x14ac:dyDescent="0.25">
      <c r="A2597" s="564">
        <v>146</v>
      </c>
      <c r="B2597" s="562" t="s">
        <v>785</v>
      </c>
      <c r="C2597" s="403">
        <v>1</v>
      </c>
      <c r="D2597" s="400"/>
      <c r="E2597" s="400"/>
      <c r="F2597" s="400"/>
      <c r="G2597" s="400"/>
      <c r="H2597" s="396"/>
    </row>
    <row r="2598" spans="1:8" s="401" customFormat="1" ht="14.25" customHeight="1" x14ac:dyDescent="0.25">
      <c r="A2598" s="564">
        <v>148</v>
      </c>
      <c r="B2598" s="562" t="s">
        <v>785</v>
      </c>
      <c r="C2598" s="403">
        <v>1</v>
      </c>
      <c r="D2598" s="400"/>
      <c r="E2598" s="400"/>
      <c r="F2598" s="400"/>
      <c r="G2598" s="400"/>
      <c r="H2598" s="396"/>
    </row>
    <row r="2599" spans="1:8" s="401" customFormat="1" ht="14.25" customHeight="1" x14ac:dyDescent="0.25">
      <c r="A2599" s="564">
        <v>158</v>
      </c>
      <c r="B2599" s="562" t="s">
        <v>785</v>
      </c>
      <c r="C2599" s="403">
        <v>1</v>
      </c>
      <c r="D2599" s="400"/>
      <c r="E2599" s="400"/>
      <c r="F2599" s="400"/>
      <c r="G2599" s="400"/>
      <c r="H2599" s="396"/>
    </row>
    <row r="2600" spans="1:8" s="401" customFormat="1" ht="14.25" customHeight="1" x14ac:dyDescent="0.25">
      <c r="A2600" s="564">
        <v>161</v>
      </c>
      <c r="B2600" s="562" t="s">
        <v>785</v>
      </c>
      <c r="C2600" s="403">
        <v>1237</v>
      </c>
      <c r="D2600" s="400"/>
      <c r="E2600" s="400"/>
      <c r="F2600" s="400"/>
      <c r="G2600" s="400"/>
      <c r="H2600" s="396"/>
    </row>
    <row r="2601" spans="1:8" s="401" customFormat="1" ht="14.25" customHeight="1" x14ac:dyDescent="0.25">
      <c r="A2601" s="564">
        <v>163</v>
      </c>
      <c r="B2601" s="562" t="s">
        <v>785</v>
      </c>
      <c r="C2601" s="403">
        <v>1237</v>
      </c>
      <c r="D2601" s="400"/>
      <c r="E2601" s="400"/>
      <c r="F2601" s="400"/>
      <c r="G2601" s="400"/>
      <c r="H2601" s="396"/>
    </row>
    <row r="2602" spans="1:8" s="401" customFormat="1" ht="14.25" customHeight="1" x14ac:dyDescent="0.25">
      <c r="A2602" s="564">
        <v>165</v>
      </c>
      <c r="B2602" s="562" t="s">
        <v>785</v>
      </c>
      <c r="C2602" s="403">
        <v>1237</v>
      </c>
      <c r="D2602" s="400"/>
      <c r="E2602" s="400"/>
      <c r="F2602" s="400"/>
      <c r="G2602" s="400"/>
      <c r="H2602" s="396"/>
    </row>
    <row r="2603" spans="1:8" s="401" customFormat="1" ht="14.25" customHeight="1" x14ac:dyDescent="0.25">
      <c r="A2603" s="564">
        <v>168</v>
      </c>
      <c r="B2603" s="562" t="s">
        <v>786</v>
      </c>
      <c r="C2603" s="403">
        <v>1</v>
      </c>
      <c r="D2603" s="400"/>
      <c r="E2603" s="400"/>
      <c r="F2603" s="400"/>
      <c r="G2603" s="400"/>
      <c r="H2603" s="396"/>
    </row>
    <row r="2604" spans="1:8" s="401" customFormat="1" ht="14.25" customHeight="1" x14ac:dyDescent="0.25">
      <c r="A2604" s="564">
        <v>171</v>
      </c>
      <c r="B2604" s="562" t="s">
        <v>786</v>
      </c>
      <c r="C2604" s="403">
        <v>1</v>
      </c>
      <c r="D2604" s="400"/>
      <c r="E2604" s="400"/>
      <c r="F2604" s="400"/>
      <c r="G2604" s="400"/>
      <c r="H2604" s="396"/>
    </row>
    <row r="2605" spans="1:8" s="401" customFormat="1" ht="14.25" customHeight="1" x14ac:dyDescent="0.25">
      <c r="A2605" s="564">
        <v>176</v>
      </c>
      <c r="B2605" s="562" t="s">
        <v>786</v>
      </c>
      <c r="C2605" s="403">
        <v>1</v>
      </c>
      <c r="D2605" s="400"/>
      <c r="E2605" s="400"/>
      <c r="F2605" s="400"/>
      <c r="G2605" s="400"/>
      <c r="H2605" s="396"/>
    </row>
    <row r="2606" spans="1:8" s="401" customFormat="1" ht="14.25" customHeight="1" x14ac:dyDescent="0.25">
      <c r="A2606" s="564">
        <v>180</v>
      </c>
      <c r="B2606" s="562" t="s">
        <v>786</v>
      </c>
      <c r="C2606" s="403">
        <v>1</v>
      </c>
      <c r="D2606" s="400"/>
      <c r="E2606" s="400"/>
      <c r="F2606" s="400"/>
      <c r="G2606" s="400"/>
      <c r="H2606" s="396"/>
    </row>
    <row r="2607" spans="1:8" s="401" customFormat="1" ht="14.25" customHeight="1" x14ac:dyDescent="0.25">
      <c r="A2607" s="564">
        <v>182</v>
      </c>
      <c r="B2607" s="562" t="s">
        <v>819</v>
      </c>
      <c r="C2607" s="403">
        <v>894.99</v>
      </c>
      <c r="D2607" s="400"/>
      <c r="E2607" s="400"/>
      <c r="F2607" s="400"/>
      <c r="G2607" s="400"/>
      <c r="H2607" s="396"/>
    </row>
    <row r="2608" spans="1:8" s="401" customFormat="1" ht="14.25" customHeight="1" x14ac:dyDescent="0.25">
      <c r="A2608" s="564">
        <v>193</v>
      </c>
      <c r="B2608" s="562" t="s">
        <v>826</v>
      </c>
      <c r="C2608" s="403">
        <v>404</v>
      </c>
      <c r="D2608" s="400"/>
      <c r="E2608" s="400"/>
      <c r="F2608" s="400"/>
      <c r="G2608" s="400"/>
      <c r="H2608" s="396"/>
    </row>
    <row r="2609" spans="1:8" s="401" customFormat="1" ht="14.25" customHeight="1" x14ac:dyDescent="0.25">
      <c r="A2609" s="564">
        <v>196</v>
      </c>
      <c r="B2609" s="562" t="s">
        <v>813</v>
      </c>
      <c r="C2609" s="403">
        <v>1</v>
      </c>
      <c r="D2609" s="400"/>
      <c r="E2609" s="400"/>
      <c r="F2609" s="400"/>
      <c r="G2609" s="400"/>
      <c r="H2609" s="396"/>
    </row>
    <row r="2610" spans="1:8" s="401" customFormat="1" ht="14.25" customHeight="1" x14ac:dyDescent="0.25">
      <c r="A2610" s="564">
        <v>197</v>
      </c>
      <c r="B2610" s="562" t="s">
        <v>857</v>
      </c>
      <c r="C2610" s="403">
        <v>1</v>
      </c>
      <c r="D2610" s="400"/>
      <c r="E2610" s="400"/>
      <c r="F2610" s="400"/>
      <c r="G2610" s="400"/>
      <c r="H2610" s="396"/>
    </row>
    <row r="2611" spans="1:8" s="401" customFormat="1" ht="14.25" customHeight="1" x14ac:dyDescent="0.25">
      <c r="A2611" s="564">
        <v>201</v>
      </c>
      <c r="B2611" s="562" t="s">
        <v>858</v>
      </c>
      <c r="C2611" s="403">
        <v>1</v>
      </c>
      <c r="D2611" s="400"/>
      <c r="E2611" s="400"/>
      <c r="F2611" s="400"/>
      <c r="G2611" s="400"/>
      <c r="H2611" s="396"/>
    </row>
    <row r="2612" spans="1:8" s="401" customFormat="1" ht="14.25" customHeight="1" x14ac:dyDescent="0.25">
      <c r="A2612" s="564">
        <v>205</v>
      </c>
      <c r="B2612" s="562" t="s">
        <v>787</v>
      </c>
      <c r="C2612" s="403">
        <v>1</v>
      </c>
      <c r="D2612" s="400"/>
      <c r="E2612" s="400"/>
      <c r="F2612" s="400"/>
      <c r="G2612" s="400"/>
      <c r="H2612" s="396"/>
    </row>
    <row r="2613" spans="1:8" s="401" customFormat="1" ht="14.25" customHeight="1" x14ac:dyDescent="0.25">
      <c r="A2613" s="564">
        <v>210</v>
      </c>
      <c r="B2613" s="562" t="s">
        <v>790</v>
      </c>
      <c r="C2613" s="403">
        <v>2277</v>
      </c>
      <c r="D2613" s="400"/>
      <c r="E2613" s="400"/>
      <c r="F2613" s="400"/>
      <c r="G2613" s="400"/>
      <c r="H2613" s="396"/>
    </row>
    <row r="2614" spans="1:8" s="401" customFormat="1" ht="14.25" customHeight="1" x14ac:dyDescent="0.25">
      <c r="A2614" s="564">
        <v>4178</v>
      </c>
      <c r="B2614" s="562" t="s">
        <v>820</v>
      </c>
      <c r="C2614" s="403">
        <v>2400</v>
      </c>
      <c r="D2614" s="400"/>
      <c r="E2614" s="400"/>
      <c r="F2614" s="400"/>
      <c r="G2614" s="400"/>
      <c r="H2614" s="396"/>
    </row>
    <row r="2615" spans="1:8" s="401" customFormat="1" ht="14.25" customHeight="1" x14ac:dyDescent="0.25">
      <c r="A2615" s="564">
        <v>4179</v>
      </c>
      <c r="B2615" s="562" t="s">
        <v>820</v>
      </c>
      <c r="C2615" s="403">
        <v>2400</v>
      </c>
      <c r="D2615" s="400"/>
      <c r="E2615" s="400"/>
      <c r="F2615" s="400"/>
      <c r="G2615" s="400"/>
      <c r="H2615" s="396"/>
    </row>
    <row r="2616" spans="1:8" s="401" customFormat="1" ht="14.25" customHeight="1" x14ac:dyDescent="0.25">
      <c r="A2616" s="564">
        <v>4181</v>
      </c>
      <c r="B2616" s="562" t="s">
        <v>820</v>
      </c>
      <c r="C2616" s="403">
        <v>2400</v>
      </c>
      <c r="D2616" s="400"/>
      <c r="E2616" s="400"/>
      <c r="F2616" s="400"/>
      <c r="G2616" s="400"/>
      <c r="H2616" s="396"/>
    </row>
    <row r="2617" spans="1:8" s="401" customFormat="1" ht="14.25" customHeight="1" x14ac:dyDescent="0.25">
      <c r="A2617" s="564">
        <v>4183</v>
      </c>
      <c r="B2617" s="562" t="s">
        <v>820</v>
      </c>
      <c r="C2617" s="403">
        <v>2400</v>
      </c>
      <c r="D2617" s="400"/>
      <c r="E2617" s="400"/>
      <c r="F2617" s="400"/>
      <c r="G2617" s="400"/>
      <c r="H2617" s="396"/>
    </row>
    <row r="2618" spans="1:8" s="401" customFormat="1" ht="14.25" customHeight="1" x14ac:dyDescent="0.25">
      <c r="A2618" s="564">
        <v>4185</v>
      </c>
      <c r="B2618" s="562" t="s">
        <v>820</v>
      </c>
      <c r="C2618" s="403">
        <v>2400</v>
      </c>
      <c r="D2618" s="400"/>
      <c r="E2618" s="400"/>
      <c r="F2618" s="400"/>
      <c r="G2618" s="400"/>
      <c r="H2618" s="396"/>
    </row>
    <row r="2619" spans="1:8" s="401" customFormat="1" ht="14.25" customHeight="1" x14ac:dyDescent="0.25">
      <c r="A2619" s="564">
        <v>4187</v>
      </c>
      <c r="B2619" s="562" t="s">
        <v>820</v>
      </c>
      <c r="C2619" s="403">
        <v>2400</v>
      </c>
      <c r="D2619" s="400"/>
      <c r="E2619" s="400"/>
      <c r="F2619" s="400"/>
      <c r="G2619" s="400"/>
      <c r="H2619" s="396"/>
    </row>
    <row r="2620" spans="1:8" s="401" customFormat="1" ht="14.25" customHeight="1" x14ac:dyDescent="0.25">
      <c r="A2620" s="564">
        <v>4189</v>
      </c>
      <c r="B2620" s="562" t="s">
        <v>820</v>
      </c>
      <c r="C2620" s="403">
        <v>2400</v>
      </c>
      <c r="D2620" s="400"/>
      <c r="E2620" s="400"/>
      <c r="F2620" s="400"/>
      <c r="G2620" s="400"/>
      <c r="H2620" s="396"/>
    </row>
    <row r="2621" spans="1:8" s="401" customFormat="1" ht="14.25" customHeight="1" x14ac:dyDescent="0.25">
      <c r="A2621" s="564">
        <v>4190</v>
      </c>
      <c r="B2621" s="562" t="s">
        <v>820</v>
      </c>
      <c r="C2621" s="403">
        <v>2400</v>
      </c>
      <c r="D2621" s="400"/>
      <c r="E2621" s="400"/>
      <c r="F2621" s="400"/>
      <c r="G2621" s="400"/>
      <c r="H2621" s="396"/>
    </row>
    <row r="2622" spans="1:8" s="401" customFormat="1" ht="14.25" customHeight="1" x14ac:dyDescent="0.25">
      <c r="A2622" s="564">
        <v>4192</v>
      </c>
      <c r="B2622" s="562" t="s">
        <v>820</v>
      </c>
      <c r="C2622" s="403">
        <v>2400</v>
      </c>
      <c r="D2622" s="400"/>
      <c r="E2622" s="400"/>
      <c r="F2622" s="400"/>
      <c r="G2622" s="400"/>
      <c r="H2622" s="396"/>
    </row>
    <row r="2623" spans="1:8" s="401" customFormat="1" ht="14.25" customHeight="1" x14ac:dyDescent="0.25">
      <c r="A2623" s="564">
        <v>4194</v>
      </c>
      <c r="B2623" s="562" t="s">
        <v>820</v>
      </c>
      <c r="C2623" s="403">
        <v>2400</v>
      </c>
      <c r="D2623" s="400"/>
      <c r="E2623" s="400"/>
      <c r="F2623" s="400"/>
      <c r="G2623" s="400"/>
      <c r="H2623" s="396"/>
    </row>
    <row r="2624" spans="1:8" s="401" customFormat="1" ht="14.25" customHeight="1" x14ac:dyDescent="0.25">
      <c r="A2624" s="564">
        <v>4197</v>
      </c>
      <c r="B2624" s="562" t="s">
        <v>820</v>
      </c>
      <c r="C2624" s="403">
        <v>2400</v>
      </c>
      <c r="D2624" s="400"/>
      <c r="E2624" s="400"/>
      <c r="F2624" s="400"/>
      <c r="G2624" s="400"/>
      <c r="H2624" s="396"/>
    </row>
    <row r="2625" spans="1:8" s="401" customFormat="1" ht="14.25" customHeight="1" x14ac:dyDescent="0.25">
      <c r="A2625" s="564">
        <v>4199</v>
      </c>
      <c r="B2625" s="562" t="s">
        <v>820</v>
      </c>
      <c r="C2625" s="403">
        <v>2400</v>
      </c>
      <c r="D2625" s="400"/>
      <c r="E2625" s="400"/>
      <c r="F2625" s="400"/>
      <c r="G2625" s="400"/>
      <c r="H2625" s="396"/>
    </row>
    <row r="2626" spans="1:8" s="401" customFormat="1" ht="14.25" customHeight="1" x14ac:dyDescent="0.25">
      <c r="A2626" s="564">
        <v>4200</v>
      </c>
      <c r="B2626" s="562" t="s">
        <v>820</v>
      </c>
      <c r="C2626" s="403">
        <v>2400</v>
      </c>
      <c r="D2626" s="400"/>
      <c r="E2626" s="400"/>
      <c r="F2626" s="400"/>
      <c r="G2626" s="400"/>
      <c r="H2626" s="396"/>
    </row>
    <row r="2627" spans="1:8" s="401" customFormat="1" ht="14.25" customHeight="1" x14ac:dyDescent="0.25">
      <c r="A2627" s="564">
        <v>4202</v>
      </c>
      <c r="B2627" s="562" t="s">
        <v>820</v>
      </c>
      <c r="C2627" s="403">
        <v>2400</v>
      </c>
      <c r="D2627" s="400"/>
      <c r="E2627" s="400"/>
      <c r="F2627" s="400"/>
      <c r="G2627" s="400"/>
      <c r="H2627" s="396"/>
    </row>
    <row r="2628" spans="1:8" s="401" customFormat="1" ht="14.25" customHeight="1" x14ac:dyDescent="0.25">
      <c r="A2628" s="564">
        <v>4203</v>
      </c>
      <c r="B2628" s="562" t="s">
        <v>820</v>
      </c>
      <c r="C2628" s="403">
        <v>2400</v>
      </c>
      <c r="D2628" s="400"/>
      <c r="E2628" s="400"/>
      <c r="F2628" s="400"/>
      <c r="G2628" s="400"/>
      <c r="H2628" s="396"/>
    </row>
    <row r="2629" spans="1:8" s="401" customFormat="1" ht="14.25" customHeight="1" x14ac:dyDescent="0.25">
      <c r="A2629" s="564">
        <v>580</v>
      </c>
      <c r="B2629" s="562" t="s">
        <v>859</v>
      </c>
      <c r="C2629" s="403">
        <v>192438</v>
      </c>
      <c r="D2629" s="400"/>
      <c r="E2629" s="400"/>
      <c r="F2629" s="400"/>
      <c r="G2629" s="400"/>
      <c r="H2629" s="396"/>
    </row>
    <row r="2630" spans="1:8" s="401" customFormat="1" ht="14.25" customHeight="1" x14ac:dyDescent="0.25">
      <c r="A2630" s="564">
        <v>1178</v>
      </c>
      <c r="B2630" s="562" t="s">
        <v>860</v>
      </c>
      <c r="C2630" s="403">
        <v>6732</v>
      </c>
      <c r="D2630" s="400"/>
      <c r="E2630" s="400"/>
      <c r="F2630" s="400"/>
      <c r="G2630" s="400"/>
      <c r="H2630" s="396"/>
    </row>
    <row r="2631" spans="1:8" s="401" customFormat="1" ht="14.25" customHeight="1" x14ac:dyDescent="0.25">
      <c r="A2631" s="564">
        <v>3856</v>
      </c>
      <c r="B2631" s="562" t="s">
        <v>859</v>
      </c>
      <c r="C2631" s="403">
        <v>48348</v>
      </c>
      <c r="D2631" s="400"/>
      <c r="E2631" s="400"/>
      <c r="F2631" s="400"/>
      <c r="G2631" s="400"/>
      <c r="H2631" s="396"/>
    </row>
    <row r="2632" spans="1:8" s="401" customFormat="1" ht="14.25" customHeight="1" x14ac:dyDescent="0.25">
      <c r="A2632" s="564">
        <v>3815</v>
      </c>
      <c r="B2632" s="562" t="s">
        <v>861</v>
      </c>
      <c r="C2632" s="403">
        <v>3457</v>
      </c>
      <c r="D2632" s="400"/>
      <c r="E2632" s="400"/>
      <c r="F2632" s="400"/>
      <c r="G2632" s="400"/>
      <c r="H2632" s="396"/>
    </row>
    <row r="2633" spans="1:8" s="401" customFormat="1" ht="14.25" customHeight="1" x14ac:dyDescent="0.25">
      <c r="A2633" s="564">
        <v>1812</v>
      </c>
      <c r="B2633" s="562" t="s">
        <v>862</v>
      </c>
      <c r="C2633" s="403">
        <v>497</v>
      </c>
      <c r="D2633" s="400"/>
      <c r="E2633" s="400"/>
      <c r="F2633" s="400"/>
      <c r="G2633" s="400"/>
      <c r="H2633" s="396"/>
    </row>
    <row r="2634" spans="1:8" s="401" customFormat="1" ht="14.25" customHeight="1" x14ac:dyDescent="0.25">
      <c r="A2634" s="564">
        <v>126</v>
      </c>
      <c r="B2634" s="562" t="s">
        <v>863</v>
      </c>
      <c r="C2634" s="403">
        <v>310</v>
      </c>
      <c r="D2634" s="400"/>
      <c r="E2634" s="400"/>
      <c r="F2634" s="400"/>
      <c r="G2634" s="400"/>
      <c r="H2634" s="396"/>
    </row>
    <row r="2635" spans="1:8" s="401" customFormat="1" ht="14.25" customHeight="1" x14ac:dyDescent="0.25">
      <c r="A2635" s="564">
        <v>1648</v>
      </c>
      <c r="B2635" s="562" t="s">
        <v>864</v>
      </c>
      <c r="C2635" s="403">
        <v>2178</v>
      </c>
      <c r="D2635" s="400"/>
      <c r="E2635" s="400"/>
      <c r="F2635" s="400"/>
      <c r="G2635" s="400"/>
      <c r="H2635" s="396"/>
    </row>
    <row r="2636" spans="1:8" s="401" customFormat="1" ht="14.25" customHeight="1" x14ac:dyDescent="0.25">
      <c r="A2636" s="564">
        <v>900</v>
      </c>
      <c r="B2636" s="562" t="s">
        <v>864</v>
      </c>
      <c r="C2636" s="403">
        <v>2178</v>
      </c>
      <c r="D2636" s="400"/>
      <c r="E2636" s="400"/>
      <c r="F2636" s="400"/>
      <c r="G2636" s="400"/>
      <c r="H2636" s="396"/>
    </row>
    <row r="2637" spans="1:8" s="401" customFormat="1" ht="14.25" customHeight="1" x14ac:dyDescent="0.25">
      <c r="A2637" s="564">
        <v>2190</v>
      </c>
      <c r="B2637" s="562" t="s">
        <v>865</v>
      </c>
      <c r="C2637" s="403">
        <v>5220</v>
      </c>
      <c r="D2637" s="400"/>
      <c r="E2637" s="400"/>
      <c r="F2637" s="400"/>
      <c r="G2637" s="400"/>
      <c r="H2637" s="396"/>
    </row>
    <row r="2638" spans="1:8" s="401" customFormat="1" ht="14.25" customHeight="1" x14ac:dyDescent="0.25">
      <c r="A2638" s="564">
        <v>2211</v>
      </c>
      <c r="B2638" s="562" t="s">
        <v>865</v>
      </c>
      <c r="C2638" s="403">
        <v>3480</v>
      </c>
      <c r="D2638" s="400"/>
      <c r="E2638" s="400"/>
      <c r="F2638" s="400"/>
      <c r="G2638" s="400"/>
      <c r="H2638" s="396"/>
    </row>
    <row r="2639" spans="1:8" s="401" customFormat="1" ht="14.25" customHeight="1" x14ac:dyDescent="0.25">
      <c r="A2639" s="564">
        <v>3307</v>
      </c>
      <c r="B2639" s="562" t="s">
        <v>864</v>
      </c>
      <c r="C2639" s="403">
        <v>1090</v>
      </c>
      <c r="D2639" s="400"/>
      <c r="E2639" s="400"/>
      <c r="F2639" s="400"/>
      <c r="G2639" s="400"/>
      <c r="H2639" s="396"/>
    </row>
    <row r="2640" spans="1:8" s="401" customFormat="1" ht="14.25" customHeight="1" x14ac:dyDescent="0.25">
      <c r="A2640" s="564">
        <v>2673</v>
      </c>
      <c r="B2640" s="562" t="s">
        <v>866</v>
      </c>
      <c r="C2640" s="403">
        <v>1</v>
      </c>
      <c r="D2640" s="400"/>
      <c r="E2640" s="400"/>
      <c r="F2640" s="400"/>
      <c r="G2640" s="400"/>
      <c r="H2640" s="396"/>
    </row>
    <row r="2641" spans="1:8" s="401" customFormat="1" ht="14.25" customHeight="1" x14ac:dyDescent="0.25">
      <c r="A2641" s="564">
        <v>162</v>
      </c>
      <c r="B2641" s="562" t="s">
        <v>864</v>
      </c>
      <c r="C2641" s="403">
        <v>1899</v>
      </c>
      <c r="D2641" s="400"/>
      <c r="E2641" s="400"/>
      <c r="F2641" s="400"/>
      <c r="G2641" s="400"/>
      <c r="H2641" s="396"/>
    </row>
    <row r="2642" spans="1:8" s="401" customFormat="1" ht="14.25" customHeight="1" x14ac:dyDescent="0.25">
      <c r="A2642" s="564">
        <v>1653</v>
      </c>
      <c r="B2642" s="562" t="s">
        <v>864</v>
      </c>
      <c r="C2642" s="403">
        <v>1</v>
      </c>
      <c r="D2642" s="400"/>
      <c r="E2642" s="400"/>
      <c r="F2642" s="400"/>
      <c r="G2642" s="400"/>
      <c r="H2642" s="396"/>
    </row>
    <row r="2643" spans="1:8" s="401" customFormat="1" ht="14.25" customHeight="1" x14ac:dyDescent="0.25">
      <c r="A2643" s="564">
        <v>1636</v>
      </c>
      <c r="B2643" s="562" t="s">
        <v>864</v>
      </c>
      <c r="C2643" s="403">
        <v>1</v>
      </c>
      <c r="D2643" s="400"/>
      <c r="E2643" s="400"/>
      <c r="F2643" s="400"/>
      <c r="G2643" s="400"/>
      <c r="H2643" s="396"/>
    </row>
    <row r="2644" spans="1:8" s="401" customFormat="1" ht="14.25" customHeight="1" x14ac:dyDescent="0.25">
      <c r="A2644" s="564">
        <v>1681</v>
      </c>
      <c r="B2644" s="562" t="s">
        <v>864</v>
      </c>
      <c r="C2644" s="403">
        <v>1</v>
      </c>
      <c r="D2644" s="400"/>
      <c r="E2644" s="400"/>
      <c r="F2644" s="400"/>
      <c r="G2644" s="400"/>
      <c r="H2644" s="396"/>
    </row>
    <row r="2645" spans="1:8" s="401" customFormat="1" ht="14.25" customHeight="1" x14ac:dyDescent="0.25">
      <c r="A2645" s="564">
        <v>1684</v>
      </c>
      <c r="B2645" s="562" t="s">
        <v>864</v>
      </c>
      <c r="C2645" s="403">
        <v>1</v>
      </c>
      <c r="D2645" s="400"/>
      <c r="E2645" s="400"/>
      <c r="F2645" s="400"/>
      <c r="G2645" s="400"/>
      <c r="H2645" s="396"/>
    </row>
    <row r="2646" spans="1:8" s="401" customFormat="1" ht="14.25" customHeight="1" x14ac:dyDescent="0.25">
      <c r="A2646" s="564">
        <v>1702</v>
      </c>
      <c r="B2646" s="562" t="s">
        <v>866</v>
      </c>
      <c r="C2646" s="403">
        <v>2590</v>
      </c>
      <c r="D2646" s="400"/>
      <c r="E2646" s="400"/>
      <c r="F2646" s="400"/>
      <c r="G2646" s="400"/>
      <c r="H2646" s="396"/>
    </row>
    <row r="2647" spans="1:8" s="401" customFormat="1" ht="14.25" customHeight="1" x14ac:dyDescent="0.25">
      <c r="A2647" s="564">
        <v>4872</v>
      </c>
      <c r="B2647" s="562" t="s">
        <v>867</v>
      </c>
      <c r="C2647" s="403">
        <v>400</v>
      </c>
      <c r="D2647" s="400"/>
      <c r="E2647" s="400"/>
      <c r="F2647" s="400"/>
      <c r="G2647" s="400"/>
      <c r="H2647" s="396"/>
    </row>
    <row r="2648" spans="1:8" s="401" customFormat="1" ht="14.25" customHeight="1" x14ac:dyDescent="0.25">
      <c r="A2648" s="564">
        <v>772</v>
      </c>
      <c r="B2648" s="562" t="s">
        <v>867</v>
      </c>
      <c r="C2648" s="403">
        <v>573.04</v>
      </c>
      <c r="D2648" s="400"/>
      <c r="E2648" s="400"/>
      <c r="F2648" s="400"/>
      <c r="G2648" s="400"/>
      <c r="H2648" s="396"/>
    </row>
    <row r="2649" spans="1:8" s="401" customFormat="1" ht="14.25" customHeight="1" x14ac:dyDescent="0.25">
      <c r="A2649" s="564">
        <v>1771</v>
      </c>
      <c r="B2649" s="562" t="s">
        <v>868</v>
      </c>
      <c r="C2649" s="403">
        <v>19912</v>
      </c>
      <c r="D2649" s="400"/>
      <c r="E2649" s="400"/>
      <c r="F2649" s="400"/>
      <c r="G2649" s="400"/>
      <c r="H2649" s="396"/>
    </row>
    <row r="2650" spans="1:8" s="401" customFormat="1" ht="14.25" customHeight="1" x14ac:dyDescent="0.25">
      <c r="A2650" s="564">
        <v>1795</v>
      </c>
      <c r="B2650" s="562" t="s">
        <v>868</v>
      </c>
      <c r="C2650" s="403">
        <v>5699</v>
      </c>
      <c r="D2650" s="400"/>
      <c r="E2650" s="400"/>
      <c r="F2650" s="400"/>
      <c r="G2650" s="400"/>
      <c r="H2650" s="396"/>
    </row>
    <row r="2651" spans="1:8" s="401" customFormat="1" ht="14.25" customHeight="1" x14ac:dyDescent="0.25">
      <c r="A2651" s="564">
        <v>1186</v>
      </c>
      <c r="B2651" s="562" t="s">
        <v>869</v>
      </c>
      <c r="C2651" s="403">
        <v>4184.99</v>
      </c>
      <c r="D2651" s="400"/>
      <c r="E2651" s="400"/>
      <c r="F2651" s="400"/>
      <c r="G2651" s="400"/>
      <c r="H2651" s="396"/>
    </row>
    <row r="2652" spans="1:8" s="401" customFormat="1" ht="14.25" customHeight="1" x14ac:dyDescent="0.25">
      <c r="A2652" s="564">
        <v>1191</v>
      </c>
      <c r="B2652" s="562" t="s">
        <v>869</v>
      </c>
      <c r="C2652" s="403">
        <v>4184.99</v>
      </c>
      <c r="D2652" s="400"/>
      <c r="E2652" s="400"/>
      <c r="F2652" s="400"/>
      <c r="G2652" s="400"/>
      <c r="H2652" s="396"/>
    </row>
    <row r="2653" spans="1:8" s="401" customFormat="1" ht="14.25" customHeight="1" x14ac:dyDescent="0.25">
      <c r="A2653" s="564">
        <v>1374</v>
      </c>
      <c r="B2653" s="562" t="s">
        <v>870</v>
      </c>
      <c r="C2653" s="403">
        <v>2461</v>
      </c>
      <c r="D2653" s="400"/>
      <c r="E2653" s="400"/>
      <c r="F2653" s="400"/>
      <c r="G2653" s="400"/>
      <c r="H2653" s="396"/>
    </row>
    <row r="2654" spans="1:8" s="401" customFormat="1" ht="14.25" customHeight="1" x14ac:dyDescent="0.25">
      <c r="A2654" s="564">
        <v>1398</v>
      </c>
      <c r="B2654" s="562" t="s">
        <v>869</v>
      </c>
      <c r="C2654" s="403">
        <v>4184.99</v>
      </c>
      <c r="D2654" s="400"/>
      <c r="E2654" s="400"/>
      <c r="F2654" s="400"/>
      <c r="G2654" s="400"/>
      <c r="H2654" s="396"/>
    </row>
    <row r="2655" spans="1:8" s="401" customFormat="1" ht="14.25" customHeight="1" x14ac:dyDescent="0.25">
      <c r="A2655" s="564">
        <v>1489</v>
      </c>
      <c r="B2655" s="562" t="s">
        <v>871</v>
      </c>
      <c r="C2655" s="403">
        <v>1</v>
      </c>
      <c r="D2655" s="400"/>
      <c r="E2655" s="400"/>
      <c r="F2655" s="400"/>
      <c r="G2655" s="400"/>
      <c r="H2655" s="396"/>
    </row>
    <row r="2656" spans="1:8" s="401" customFormat="1" ht="14.25" customHeight="1" x14ac:dyDescent="0.25">
      <c r="A2656" s="564">
        <v>1493</v>
      </c>
      <c r="B2656" s="562" t="s">
        <v>872</v>
      </c>
      <c r="C2656" s="403">
        <v>1</v>
      </c>
      <c r="D2656" s="400"/>
      <c r="E2656" s="400"/>
      <c r="F2656" s="400"/>
      <c r="G2656" s="400"/>
      <c r="H2656" s="396"/>
    </row>
    <row r="2657" spans="1:8" s="401" customFormat="1" ht="14.25" customHeight="1" x14ac:dyDescent="0.25">
      <c r="A2657" s="564">
        <v>1495</v>
      </c>
      <c r="B2657" s="562" t="s">
        <v>872</v>
      </c>
      <c r="C2657" s="403">
        <v>1</v>
      </c>
      <c r="D2657" s="400"/>
      <c r="E2657" s="400"/>
      <c r="F2657" s="400"/>
      <c r="G2657" s="400"/>
      <c r="H2657" s="396"/>
    </row>
    <row r="2658" spans="1:8" s="401" customFormat="1" ht="14.25" customHeight="1" x14ac:dyDescent="0.25">
      <c r="A2658" s="564">
        <v>5122</v>
      </c>
      <c r="B2658" s="562" t="s">
        <v>869</v>
      </c>
      <c r="C2658" s="403">
        <v>4184.99</v>
      </c>
      <c r="D2658" s="400"/>
      <c r="E2658" s="400"/>
      <c r="F2658" s="400"/>
      <c r="G2658" s="400"/>
      <c r="H2658" s="396"/>
    </row>
    <row r="2659" spans="1:8" s="401" customFormat="1" ht="14.25" customHeight="1" x14ac:dyDescent="0.25">
      <c r="A2659" s="564">
        <v>2702</v>
      </c>
      <c r="B2659" s="562" t="s">
        <v>873</v>
      </c>
      <c r="C2659" s="403">
        <v>6500</v>
      </c>
      <c r="D2659" s="400"/>
      <c r="E2659" s="400"/>
      <c r="F2659" s="400"/>
      <c r="G2659" s="400"/>
      <c r="H2659" s="396"/>
    </row>
    <row r="2660" spans="1:8" s="401" customFormat="1" ht="14.25" customHeight="1" x14ac:dyDescent="0.25">
      <c r="A2660" s="564">
        <v>2864</v>
      </c>
      <c r="B2660" s="562" t="s">
        <v>874</v>
      </c>
      <c r="C2660" s="403">
        <v>7762</v>
      </c>
      <c r="D2660" s="400"/>
      <c r="E2660" s="400"/>
      <c r="F2660" s="400"/>
      <c r="G2660" s="400"/>
      <c r="H2660" s="396"/>
    </row>
    <row r="2661" spans="1:8" s="401" customFormat="1" ht="14.25" customHeight="1" x14ac:dyDescent="0.25">
      <c r="A2661" s="564">
        <v>2865</v>
      </c>
      <c r="B2661" s="562" t="s">
        <v>874</v>
      </c>
      <c r="C2661" s="403">
        <v>7820</v>
      </c>
      <c r="D2661" s="400"/>
      <c r="E2661" s="400"/>
      <c r="F2661" s="400"/>
      <c r="G2661" s="400"/>
      <c r="H2661" s="396"/>
    </row>
    <row r="2662" spans="1:8" s="401" customFormat="1" ht="14.25" customHeight="1" x14ac:dyDescent="0.25">
      <c r="A2662" s="564">
        <v>2946</v>
      </c>
      <c r="B2662" s="562" t="s">
        <v>873</v>
      </c>
      <c r="C2662" s="403">
        <v>1</v>
      </c>
      <c r="D2662" s="400"/>
      <c r="E2662" s="400"/>
      <c r="F2662" s="400"/>
      <c r="G2662" s="400"/>
      <c r="H2662" s="396"/>
    </row>
    <row r="2663" spans="1:8" s="401" customFormat="1" ht="14.25" customHeight="1" x14ac:dyDescent="0.25">
      <c r="A2663" s="564">
        <v>1893</v>
      </c>
      <c r="B2663" s="562" t="s">
        <v>863</v>
      </c>
      <c r="C2663" s="403">
        <v>1</v>
      </c>
      <c r="D2663" s="400"/>
      <c r="E2663" s="400"/>
      <c r="F2663" s="400"/>
      <c r="G2663" s="400"/>
      <c r="H2663" s="396"/>
    </row>
    <row r="2664" spans="1:8" s="401" customFormat="1" ht="14.25" customHeight="1" x14ac:dyDescent="0.25">
      <c r="A2664" s="564">
        <v>2069</v>
      </c>
      <c r="B2664" s="562" t="s">
        <v>873</v>
      </c>
      <c r="C2664" s="403">
        <v>3314.15</v>
      </c>
      <c r="D2664" s="400"/>
      <c r="E2664" s="400"/>
      <c r="F2664" s="400"/>
      <c r="G2664" s="400"/>
      <c r="H2664" s="396"/>
    </row>
    <row r="2665" spans="1:8" s="401" customFormat="1" ht="14.25" customHeight="1" x14ac:dyDescent="0.25">
      <c r="A2665" s="564">
        <v>3066</v>
      </c>
      <c r="B2665" s="562" t="s">
        <v>875</v>
      </c>
      <c r="C2665" s="403">
        <v>2886</v>
      </c>
      <c r="D2665" s="400"/>
      <c r="E2665" s="400"/>
      <c r="F2665" s="400"/>
      <c r="G2665" s="400"/>
      <c r="H2665" s="396"/>
    </row>
    <row r="2666" spans="1:8" s="401" customFormat="1" ht="14.25" customHeight="1" x14ac:dyDescent="0.25">
      <c r="A2666" s="564">
        <v>3405</v>
      </c>
      <c r="B2666" s="562" t="s">
        <v>863</v>
      </c>
      <c r="C2666" s="403">
        <v>1</v>
      </c>
      <c r="D2666" s="400"/>
      <c r="E2666" s="400"/>
      <c r="F2666" s="400"/>
      <c r="G2666" s="400"/>
      <c r="H2666" s="396"/>
    </row>
    <row r="2667" spans="1:8" s="401" customFormat="1" ht="14.25" customHeight="1" x14ac:dyDescent="0.25">
      <c r="A2667" s="564">
        <v>3408</v>
      </c>
      <c r="B2667" s="562" t="s">
        <v>863</v>
      </c>
      <c r="C2667" s="403">
        <v>148</v>
      </c>
      <c r="D2667" s="400"/>
      <c r="E2667" s="400"/>
      <c r="F2667" s="400"/>
      <c r="G2667" s="400"/>
      <c r="H2667" s="396"/>
    </row>
    <row r="2668" spans="1:8" s="401" customFormat="1" ht="14.25" customHeight="1" x14ac:dyDescent="0.25">
      <c r="A2668" s="564">
        <v>3411</v>
      </c>
      <c r="B2668" s="562" t="s">
        <v>863</v>
      </c>
      <c r="C2668" s="403">
        <v>148</v>
      </c>
      <c r="D2668" s="400"/>
      <c r="E2668" s="400"/>
      <c r="F2668" s="400"/>
      <c r="G2668" s="400"/>
      <c r="H2668" s="396"/>
    </row>
    <row r="2669" spans="1:8" s="401" customFormat="1" ht="14.25" customHeight="1" x14ac:dyDescent="0.25">
      <c r="A2669" s="564">
        <v>3460</v>
      </c>
      <c r="B2669" s="562" t="s">
        <v>876</v>
      </c>
      <c r="C2669" s="403">
        <v>144</v>
      </c>
      <c r="D2669" s="400"/>
      <c r="E2669" s="400"/>
      <c r="F2669" s="400"/>
      <c r="G2669" s="400"/>
      <c r="H2669" s="396"/>
    </row>
    <row r="2670" spans="1:8" s="401" customFormat="1" ht="14.25" customHeight="1" x14ac:dyDescent="0.25">
      <c r="A2670" s="564">
        <v>767</v>
      </c>
      <c r="B2670" s="562" t="s">
        <v>877</v>
      </c>
      <c r="C2670" s="403">
        <v>1</v>
      </c>
      <c r="D2670" s="400"/>
      <c r="E2670" s="400"/>
      <c r="F2670" s="400"/>
      <c r="G2670" s="400"/>
      <c r="H2670" s="396"/>
    </row>
    <row r="2671" spans="1:8" s="401" customFormat="1" ht="14.25" customHeight="1" x14ac:dyDescent="0.25">
      <c r="A2671" s="564">
        <v>771</v>
      </c>
      <c r="B2671" s="562" t="s">
        <v>877</v>
      </c>
      <c r="C2671" s="403">
        <v>945</v>
      </c>
      <c r="D2671" s="400"/>
      <c r="E2671" s="400"/>
      <c r="F2671" s="400"/>
      <c r="G2671" s="400"/>
      <c r="H2671" s="396"/>
    </row>
    <row r="2672" spans="1:8" s="401" customFormat="1" ht="14.25" customHeight="1" x14ac:dyDescent="0.25">
      <c r="A2672" s="564">
        <v>774</v>
      </c>
      <c r="B2672" s="562" t="s">
        <v>877</v>
      </c>
      <c r="C2672" s="403">
        <v>1</v>
      </c>
      <c r="D2672" s="400"/>
      <c r="E2672" s="400"/>
      <c r="F2672" s="400"/>
      <c r="G2672" s="400"/>
      <c r="H2672" s="396"/>
    </row>
    <row r="2673" spans="1:8" s="401" customFormat="1" ht="14.25" customHeight="1" x14ac:dyDescent="0.25">
      <c r="A2673" s="564">
        <v>800</v>
      </c>
      <c r="B2673" s="562" t="s">
        <v>863</v>
      </c>
      <c r="C2673" s="403">
        <v>173.44</v>
      </c>
      <c r="D2673" s="400"/>
      <c r="E2673" s="400"/>
      <c r="F2673" s="400"/>
      <c r="G2673" s="400"/>
      <c r="H2673" s="396"/>
    </row>
    <row r="2674" spans="1:8" s="401" customFormat="1" ht="14.25" customHeight="1" x14ac:dyDescent="0.25">
      <c r="A2674" s="564">
        <v>802</v>
      </c>
      <c r="B2674" s="562" t="s">
        <v>863</v>
      </c>
      <c r="C2674" s="403">
        <v>174.44</v>
      </c>
      <c r="D2674" s="400"/>
      <c r="E2674" s="400"/>
      <c r="F2674" s="400"/>
      <c r="G2674" s="400"/>
      <c r="H2674" s="396"/>
    </row>
    <row r="2675" spans="1:8" s="401" customFormat="1" ht="14.25" customHeight="1" x14ac:dyDescent="0.25">
      <c r="A2675" s="564">
        <v>815</v>
      </c>
      <c r="B2675" s="562" t="s">
        <v>863</v>
      </c>
      <c r="C2675" s="403">
        <v>155.44</v>
      </c>
      <c r="D2675" s="400"/>
      <c r="E2675" s="400"/>
      <c r="F2675" s="400"/>
      <c r="G2675" s="400"/>
      <c r="H2675" s="396"/>
    </row>
    <row r="2676" spans="1:8" s="401" customFormat="1" ht="14.25" customHeight="1" x14ac:dyDescent="0.25">
      <c r="A2676" s="564">
        <v>822</v>
      </c>
      <c r="B2676" s="562" t="s">
        <v>863</v>
      </c>
      <c r="C2676" s="403">
        <v>156.44</v>
      </c>
      <c r="D2676" s="400"/>
      <c r="E2676" s="400"/>
      <c r="F2676" s="400"/>
      <c r="G2676" s="400"/>
      <c r="H2676" s="396"/>
    </row>
    <row r="2677" spans="1:8" s="401" customFormat="1" ht="14.25" customHeight="1" x14ac:dyDescent="0.25">
      <c r="A2677" s="564">
        <v>825</v>
      </c>
      <c r="B2677" s="562" t="s">
        <v>863</v>
      </c>
      <c r="C2677" s="403">
        <v>157.44</v>
      </c>
      <c r="D2677" s="400"/>
      <c r="E2677" s="400"/>
      <c r="F2677" s="400"/>
      <c r="G2677" s="400"/>
      <c r="H2677" s="396"/>
    </row>
    <row r="2678" spans="1:8" s="401" customFormat="1" ht="14.25" customHeight="1" x14ac:dyDescent="0.25">
      <c r="A2678" s="564">
        <v>828</v>
      </c>
      <c r="B2678" s="562" t="s">
        <v>863</v>
      </c>
      <c r="C2678" s="403">
        <v>158.44</v>
      </c>
      <c r="D2678" s="400"/>
      <c r="E2678" s="400"/>
      <c r="F2678" s="400"/>
      <c r="G2678" s="400"/>
      <c r="H2678" s="396"/>
    </row>
    <row r="2679" spans="1:8" s="401" customFormat="1" ht="14.25" customHeight="1" x14ac:dyDescent="0.25">
      <c r="A2679" s="564">
        <v>832</v>
      </c>
      <c r="B2679" s="562" t="s">
        <v>863</v>
      </c>
      <c r="C2679" s="403">
        <v>159.44</v>
      </c>
      <c r="D2679" s="400"/>
      <c r="E2679" s="400"/>
      <c r="F2679" s="400"/>
      <c r="G2679" s="400"/>
      <c r="H2679" s="396"/>
    </row>
    <row r="2680" spans="1:8" s="401" customFormat="1" ht="14.25" customHeight="1" x14ac:dyDescent="0.25">
      <c r="A2680" s="564">
        <v>836</v>
      </c>
      <c r="B2680" s="562" t="s">
        <v>863</v>
      </c>
      <c r="C2680" s="403">
        <v>160.44</v>
      </c>
      <c r="D2680" s="400"/>
      <c r="E2680" s="400"/>
      <c r="F2680" s="400"/>
      <c r="G2680" s="400"/>
      <c r="H2680" s="396"/>
    </row>
    <row r="2681" spans="1:8" s="401" customFormat="1" ht="14.25" customHeight="1" x14ac:dyDescent="0.25">
      <c r="A2681" s="564">
        <v>838</v>
      </c>
      <c r="B2681" s="562" t="s">
        <v>863</v>
      </c>
      <c r="C2681" s="403">
        <v>161.44</v>
      </c>
      <c r="D2681" s="400"/>
      <c r="E2681" s="400"/>
      <c r="F2681" s="400"/>
      <c r="G2681" s="400"/>
      <c r="H2681" s="396"/>
    </row>
    <row r="2682" spans="1:8" s="401" customFormat="1" ht="14.25" customHeight="1" x14ac:dyDescent="0.25">
      <c r="A2682" s="564">
        <v>842</v>
      </c>
      <c r="B2682" s="562" t="s">
        <v>863</v>
      </c>
      <c r="C2682" s="403">
        <v>162.44</v>
      </c>
      <c r="D2682" s="400"/>
      <c r="E2682" s="400"/>
      <c r="F2682" s="400"/>
      <c r="G2682" s="400"/>
      <c r="H2682" s="396"/>
    </row>
    <row r="2683" spans="1:8" s="401" customFormat="1" ht="14.25" customHeight="1" x14ac:dyDescent="0.25">
      <c r="A2683" s="564">
        <v>845</v>
      </c>
      <c r="B2683" s="562" t="s">
        <v>863</v>
      </c>
      <c r="C2683" s="403">
        <v>163.44</v>
      </c>
      <c r="D2683" s="400"/>
      <c r="E2683" s="400"/>
      <c r="F2683" s="400"/>
      <c r="G2683" s="400"/>
      <c r="H2683" s="396"/>
    </row>
    <row r="2684" spans="1:8" s="401" customFormat="1" ht="14.25" customHeight="1" x14ac:dyDescent="0.25">
      <c r="A2684" s="564">
        <v>848</v>
      </c>
      <c r="B2684" s="562" t="s">
        <v>863</v>
      </c>
      <c r="C2684" s="403">
        <v>164.44</v>
      </c>
      <c r="D2684" s="400"/>
      <c r="E2684" s="400"/>
      <c r="F2684" s="400"/>
      <c r="G2684" s="400"/>
      <c r="H2684" s="396"/>
    </row>
    <row r="2685" spans="1:8" s="401" customFormat="1" ht="14.25" customHeight="1" x14ac:dyDescent="0.25">
      <c r="A2685" s="564">
        <v>850</v>
      </c>
      <c r="B2685" s="562" t="s">
        <v>878</v>
      </c>
      <c r="C2685" s="403">
        <v>165.44</v>
      </c>
      <c r="D2685" s="400"/>
      <c r="E2685" s="400"/>
      <c r="F2685" s="400"/>
      <c r="G2685" s="400"/>
      <c r="H2685" s="396"/>
    </row>
    <row r="2686" spans="1:8" s="401" customFormat="1" ht="14.25" customHeight="1" x14ac:dyDescent="0.25">
      <c r="A2686" s="564">
        <v>853</v>
      </c>
      <c r="B2686" s="562" t="s">
        <v>863</v>
      </c>
      <c r="C2686" s="403">
        <v>166.44</v>
      </c>
      <c r="D2686" s="400"/>
      <c r="E2686" s="400"/>
      <c r="F2686" s="400"/>
      <c r="G2686" s="400"/>
      <c r="H2686" s="396"/>
    </row>
    <row r="2687" spans="1:8" s="401" customFormat="1" ht="14.25" customHeight="1" x14ac:dyDescent="0.25">
      <c r="A2687" s="564">
        <v>855</v>
      </c>
      <c r="B2687" s="562" t="s">
        <v>863</v>
      </c>
      <c r="C2687" s="403">
        <v>167.44</v>
      </c>
      <c r="D2687" s="400"/>
      <c r="E2687" s="400"/>
      <c r="F2687" s="400"/>
      <c r="G2687" s="400"/>
      <c r="H2687" s="396"/>
    </row>
    <row r="2688" spans="1:8" s="401" customFormat="1" ht="14.25" customHeight="1" x14ac:dyDescent="0.25">
      <c r="A2688" s="564">
        <v>857</v>
      </c>
      <c r="B2688" s="562" t="s">
        <v>863</v>
      </c>
      <c r="C2688" s="403">
        <v>168.44</v>
      </c>
      <c r="D2688" s="400"/>
      <c r="E2688" s="400"/>
      <c r="F2688" s="400"/>
      <c r="G2688" s="400"/>
      <c r="H2688" s="396"/>
    </row>
    <row r="2689" spans="1:8" s="401" customFormat="1" ht="14.25" customHeight="1" x14ac:dyDescent="0.25">
      <c r="A2689" s="564">
        <v>859</v>
      </c>
      <c r="B2689" s="562" t="s">
        <v>863</v>
      </c>
      <c r="C2689" s="403">
        <v>169.44</v>
      </c>
      <c r="D2689" s="400"/>
      <c r="E2689" s="400"/>
      <c r="F2689" s="400"/>
      <c r="G2689" s="400"/>
      <c r="H2689" s="396"/>
    </row>
    <row r="2690" spans="1:8" s="401" customFormat="1" ht="14.25" customHeight="1" x14ac:dyDescent="0.25">
      <c r="A2690" s="564">
        <v>861</v>
      </c>
      <c r="B2690" s="562" t="s">
        <v>863</v>
      </c>
      <c r="C2690" s="403">
        <v>170.44</v>
      </c>
      <c r="D2690" s="400"/>
      <c r="E2690" s="400"/>
      <c r="F2690" s="400"/>
      <c r="G2690" s="400"/>
      <c r="H2690" s="396"/>
    </row>
    <row r="2691" spans="1:8" s="401" customFormat="1" ht="14.25" customHeight="1" x14ac:dyDescent="0.25">
      <c r="A2691" s="564">
        <v>863</v>
      </c>
      <c r="B2691" s="562" t="s">
        <v>863</v>
      </c>
      <c r="C2691" s="403">
        <v>171.44</v>
      </c>
      <c r="D2691" s="400"/>
      <c r="E2691" s="400"/>
      <c r="F2691" s="400"/>
      <c r="G2691" s="400"/>
      <c r="H2691" s="396"/>
    </row>
    <row r="2692" spans="1:8" s="401" customFormat="1" ht="14.25" customHeight="1" x14ac:dyDescent="0.25">
      <c r="A2692" s="564">
        <v>864</v>
      </c>
      <c r="B2692" s="562" t="s">
        <v>863</v>
      </c>
      <c r="C2692" s="403">
        <v>172.44</v>
      </c>
      <c r="D2692" s="400"/>
      <c r="E2692" s="400"/>
      <c r="F2692" s="400"/>
      <c r="G2692" s="400"/>
      <c r="H2692" s="396"/>
    </row>
    <row r="2693" spans="1:8" s="401" customFormat="1" ht="14.25" customHeight="1" x14ac:dyDescent="0.25">
      <c r="A2693" s="564">
        <v>1121</v>
      </c>
      <c r="B2693" s="562" t="s">
        <v>867</v>
      </c>
      <c r="C2693" s="403">
        <v>794.6</v>
      </c>
      <c r="D2693" s="400"/>
      <c r="E2693" s="400"/>
      <c r="F2693" s="400"/>
      <c r="G2693" s="400"/>
      <c r="H2693" s="396"/>
    </row>
    <row r="2694" spans="1:8" s="401" customFormat="1" ht="14.25" customHeight="1" x14ac:dyDescent="0.25">
      <c r="A2694" s="564">
        <v>247</v>
      </c>
      <c r="B2694" s="562" t="s">
        <v>879</v>
      </c>
      <c r="C2694" s="403">
        <v>1450</v>
      </c>
      <c r="D2694" s="400"/>
      <c r="E2694" s="400"/>
      <c r="F2694" s="400"/>
      <c r="G2694" s="400"/>
      <c r="H2694" s="396"/>
    </row>
    <row r="2695" spans="1:8" s="401" customFormat="1" ht="14.25" customHeight="1" x14ac:dyDescent="0.25">
      <c r="A2695" s="564">
        <v>250</v>
      </c>
      <c r="B2695" s="562" t="s">
        <v>879</v>
      </c>
      <c r="C2695" s="403">
        <v>1450</v>
      </c>
      <c r="D2695" s="400"/>
      <c r="E2695" s="400"/>
      <c r="F2695" s="400"/>
      <c r="G2695" s="400"/>
      <c r="H2695" s="396"/>
    </row>
    <row r="2696" spans="1:8" s="401" customFormat="1" ht="14.25" customHeight="1" x14ac:dyDescent="0.25">
      <c r="A2696" s="564">
        <v>76</v>
      </c>
      <c r="B2696" s="562" t="s">
        <v>867</v>
      </c>
      <c r="C2696" s="403">
        <v>794.6</v>
      </c>
      <c r="D2696" s="400"/>
      <c r="E2696" s="400"/>
      <c r="F2696" s="400"/>
      <c r="G2696" s="400"/>
      <c r="H2696" s="396"/>
    </row>
    <row r="2697" spans="1:8" s="401" customFormat="1" ht="14.25" customHeight="1" x14ac:dyDescent="0.25">
      <c r="A2697" s="564">
        <v>4161</v>
      </c>
      <c r="B2697" s="562" t="s">
        <v>869</v>
      </c>
      <c r="C2697" s="403">
        <v>2960</v>
      </c>
      <c r="D2697" s="400"/>
      <c r="E2697" s="400"/>
      <c r="F2697" s="400"/>
      <c r="G2697" s="400"/>
      <c r="H2697" s="396"/>
    </row>
    <row r="2698" spans="1:8" s="401" customFormat="1" ht="14.25" customHeight="1" x14ac:dyDescent="0.25">
      <c r="A2698" s="564">
        <v>4162</v>
      </c>
      <c r="B2698" s="562" t="s">
        <v>869</v>
      </c>
      <c r="C2698" s="403">
        <v>2960</v>
      </c>
      <c r="D2698" s="400"/>
      <c r="E2698" s="400"/>
      <c r="F2698" s="400"/>
      <c r="G2698" s="400"/>
      <c r="H2698" s="396"/>
    </row>
    <row r="2699" spans="1:8" s="401" customFormat="1" ht="14.25" customHeight="1" x14ac:dyDescent="0.25">
      <c r="A2699" s="564">
        <v>4163</v>
      </c>
      <c r="B2699" s="562" t="s">
        <v>869</v>
      </c>
      <c r="C2699" s="403">
        <v>2960</v>
      </c>
      <c r="D2699" s="400"/>
      <c r="E2699" s="400"/>
      <c r="F2699" s="400"/>
      <c r="G2699" s="400"/>
      <c r="H2699" s="396"/>
    </row>
    <row r="2700" spans="1:8" s="401" customFormat="1" ht="14.25" customHeight="1" x14ac:dyDescent="0.25">
      <c r="A2700" s="564">
        <v>4164</v>
      </c>
      <c r="B2700" s="562" t="s">
        <v>869</v>
      </c>
      <c r="C2700" s="403">
        <v>2960</v>
      </c>
      <c r="D2700" s="400"/>
      <c r="E2700" s="400"/>
      <c r="F2700" s="400"/>
      <c r="G2700" s="400"/>
      <c r="H2700" s="396"/>
    </row>
    <row r="2701" spans="1:8" s="401" customFormat="1" ht="14.25" customHeight="1" x14ac:dyDescent="0.25">
      <c r="A2701" s="564">
        <v>4165</v>
      </c>
      <c r="B2701" s="562" t="s">
        <v>869</v>
      </c>
      <c r="C2701" s="403">
        <v>2960</v>
      </c>
      <c r="D2701" s="400"/>
      <c r="E2701" s="400"/>
      <c r="F2701" s="400"/>
      <c r="G2701" s="400"/>
      <c r="H2701" s="396"/>
    </row>
    <row r="2702" spans="1:8" s="401" customFormat="1" ht="14.25" customHeight="1" x14ac:dyDescent="0.25">
      <c r="A2702" s="564">
        <v>4166</v>
      </c>
      <c r="B2702" s="562" t="s">
        <v>869</v>
      </c>
      <c r="C2702" s="403">
        <v>2960</v>
      </c>
      <c r="D2702" s="400"/>
      <c r="E2702" s="400"/>
      <c r="F2702" s="400"/>
      <c r="G2702" s="400"/>
      <c r="H2702" s="396"/>
    </row>
    <row r="2703" spans="1:8" s="401" customFormat="1" ht="14.25" customHeight="1" x14ac:dyDescent="0.25">
      <c r="A2703" s="564">
        <v>4167</v>
      </c>
      <c r="B2703" s="562" t="s">
        <v>869</v>
      </c>
      <c r="C2703" s="403">
        <v>2960</v>
      </c>
      <c r="D2703" s="400"/>
      <c r="E2703" s="400"/>
      <c r="F2703" s="400"/>
      <c r="G2703" s="400"/>
      <c r="H2703" s="396"/>
    </row>
    <row r="2704" spans="1:8" s="401" customFormat="1" ht="14.25" customHeight="1" x14ac:dyDescent="0.25">
      <c r="A2704" s="564">
        <v>4168</v>
      </c>
      <c r="B2704" s="562" t="s">
        <v>869</v>
      </c>
      <c r="C2704" s="403">
        <v>2960</v>
      </c>
      <c r="D2704" s="400"/>
      <c r="E2704" s="400"/>
      <c r="F2704" s="400"/>
      <c r="G2704" s="400"/>
      <c r="H2704" s="396"/>
    </row>
    <row r="2705" spans="1:8" s="401" customFormat="1" ht="14.25" customHeight="1" x14ac:dyDescent="0.25">
      <c r="A2705" s="564">
        <v>4169</v>
      </c>
      <c r="B2705" s="562" t="s">
        <v>869</v>
      </c>
      <c r="C2705" s="403">
        <v>2960</v>
      </c>
      <c r="D2705" s="400"/>
      <c r="E2705" s="400"/>
      <c r="F2705" s="400"/>
      <c r="G2705" s="400"/>
      <c r="H2705" s="396"/>
    </row>
    <row r="2706" spans="1:8" s="401" customFormat="1" ht="14.25" customHeight="1" x14ac:dyDescent="0.25">
      <c r="A2706" s="564">
        <v>4170</v>
      </c>
      <c r="B2706" s="562" t="s">
        <v>869</v>
      </c>
      <c r="C2706" s="403">
        <v>2960</v>
      </c>
      <c r="D2706" s="400"/>
      <c r="E2706" s="400"/>
      <c r="F2706" s="400"/>
      <c r="G2706" s="400"/>
      <c r="H2706" s="396"/>
    </row>
    <row r="2707" spans="1:8" s="401" customFormat="1" ht="14.25" customHeight="1" x14ac:dyDescent="0.25">
      <c r="A2707" s="564">
        <v>4171</v>
      </c>
      <c r="B2707" s="562" t="s">
        <v>869</v>
      </c>
      <c r="C2707" s="403">
        <v>2960</v>
      </c>
      <c r="D2707" s="400"/>
      <c r="E2707" s="400"/>
      <c r="F2707" s="400"/>
      <c r="G2707" s="400"/>
      <c r="H2707" s="396"/>
    </row>
    <row r="2708" spans="1:8" s="401" customFormat="1" ht="14.25" customHeight="1" x14ac:dyDescent="0.25">
      <c r="A2708" s="564">
        <v>4172</v>
      </c>
      <c r="B2708" s="562" t="s">
        <v>869</v>
      </c>
      <c r="C2708" s="403">
        <v>2960</v>
      </c>
      <c r="D2708" s="400"/>
      <c r="E2708" s="400"/>
      <c r="F2708" s="400"/>
      <c r="G2708" s="400"/>
      <c r="H2708" s="396"/>
    </row>
    <row r="2709" spans="1:8" s="401" customFormat="1" ht="14.25" customHeight="1" x14ac:dyDescent="0.25">
      <c r="A2709" s="564">
        <v>4173</v>
      </c>
      <c r="B2709" s="562" t="s">
        <v>869</v>
      </c>
      <c r="C2709" s="403">
        <v>2960</v>
      </c>
      <c r="D2709" s="400"/>
      <c r="E2709" s="400"/>
      <c r="F2709" s="400"/>
      <c r="G2709" s="400"/>
      <c r="H2709" s="396"/>
    </row>
    <row r="2710" spans="1:8" s="401" customFormat="1" ht="14.25" customHeight="1" x14ac:dyDescent="0.25">
      <c r="A2710" s="564">
        <v>4174</v>
      </c>
      <c r="B2710" s="562" t="s">
        <v>869</v>
      </c>
      <c r="C2710" s="403">
        <v>2960</v>
      </c>
      <c r="D2710" s="400"/>
      <c r="E2710" s="400"/>
      <c r="F2710" s="400"/>
      <c r="G2710" s="400"/>
      <c r="H2710" s="396"/>
    </row>
    <row r="2711" spans="1:8" s="401" customFormat="1" ht="14.25" customHeight="1" x14ac:dyDescent="0.25">
      <c r="A2711" s="564">
        <v>4175</v>
      </c>
      <c r="B2711" s="562" t="s">
        <v>869</v>
      </c>
      <c r="C2711" s="403">
        <v>2960</v>
      </c>
      <c r="D2711" s="400"/>
      <c r="E2711" s="400"/>
      <c r="F2711" s="400"/>
      <c r="G2711" s="400"/>
      <c r="H2711" s="396"/>
    </row>
    <row r="2712" spans="1:8" s="401" customFormat="1" ht="14.25" customHeight="1" x14ac:dyDescent="0.25">
      <c r="A2712" s="564">
        <v>3488</v>
      </c>
      <c r="B2712" s="562" t="s">
        <v>880</v>
      </c>
      <c r="C2712" s="403">
        <v>208079</v>
      </c>
      <c r="D2712" s="400"/>
      <c r="E2712" s="400"/>
      <c r="F2712" s="400"/>
      <c r="G2712" s="400"/>
      <c r="H2712" s="396"/>
    </row>
    <row r="2713" spans="1:8" s="401" customFormat="1" ht="14.25" customHeight="1" x14ac:dyDescent="0.25">
      <c r="A2713" s="564">
        <v>3497</v>
      </c>
      <c r="B2713" s="562" t="s">
        <v>881</v>
      </c>
      <c r="C2713" s="403">
        <v>80385</v>
      </c>
      <c r="D2713" s="400"/>
      <c r="E2713" s="400"/>
      <c r="F2713" s="400"/>
      <c r="G2713" s="400"/>
      <c r="H2713" s="396"/>
    </row>
    <row r="2714" spans="1:8" s="401" customFormat="1" ht="14.25" customHeight="1" x14ac:dyDescent="0.25">
      <c r="A2714" s="564">
        <v>3512</v>
      </c>
      <c r="B2714" s="562" t="s">
        <v>880</v>
      </c>
      <c r="C2714" s="403">
        <v>208079</v>
      </c>
      <c r="D2714" s="400"/>
      <c r="E2714" s="400"/>
      <c r="F2714" s="400"/>
      <c r="G2714" s="400"/>
      <c r="H2714" s="396"/>
    </row>
    <row r="2715" spans="1:8" s="401" customFormat="1" ht="14.25" customHeight="1" x14ac:dyDescent="0.25">
      <c r="A2715" s="564">
        <v>3529</v>
      </c>
      <c r="B2715" s="562" t="s">
        <v>882</v>
      </c>
      <c r="C2715" s="403">
        <v>75417</v>
      </c>
      <c r="D2715" s="400"/>
      <c r="E2715" s="400"/>
      <c r="F2715" s="400"/>
      <c r="G2715" s="400"/>
      <c r="H2715" s="396"/>
    </row>
    <row r="2716" spans="1:8" s="401" customFormat="1" ht="14.25" customHeight="1" x14ac:dyDescent="0.25">
      <c r="A2716" s="564">
        <v>3642</v>
      </c>
      <c r="B2716" s="562" t="s">
        <v>883</v>
      </c>
      <c r="C2716" s="403">
        <v>28053</v>
      </c>
      <c r="D2716" s="400"/>
      <c r="E2716" s="400"/>
      <c r="F2716" s="400"/>
      <c r="G2716" s="400"/>
      <c r="H2716" s="396"/>
    </row>
    <row r="2717" spans="1:8" s="401" customFormat="1" ht="14.25" customHeight="1" x14ac:dyDescent="0.25">
      <c r="A2717" s="564">
        <v>3648</v>
      </c>
      <c r="B2717" s="562" t="s">
        <v>884</v>
      </c>
      <c r="C2717" s="403">
        <v>1376</v>
      </c>
      <c r="D2717" s="400"/>
      <c r="E2717" s="400"/>
      <c r="F2717" s="400"/>
      <c r="G2717" s="400"/>
      <c r="H2717" s="396"/>
    </row>
    <row r="2718" spans="1:8" s="401" customFormat="1" ht="14.25" customHeight="1" x14ac:dyDescent="0.25">
      <c r="A2718" s="564">
        <v>3651</v>
      </c>
      <c r="B2718" s="562" t="s">
        <v>884</v>
      </c>
      <c r="C2718" s="403">
        <v>1376</v>
      </c>
      <c r="D2718" s="400"/>
      <c r="E2718" s="400"/>
      <c r="F2718" s="400"/>
      <c r="G2718" s="400"/>
      <c r="H2718" s="396"/>
    </row>
    <row r="2719" spans="1:8" s="401" customFormat="1" ht="14.25" customHeight="1" x14ac:dyDescent="0.25">
      <c r="A2719" s="564">
        <v>382</v>
      </c>
      <c r="B2719" s="562" t="s">
        <v>885</v>
      </c>
      <c r="C2719" s="403">
        <v>1</v>
      </c>
      <c r="D2719" s="400"/>
      <c r="E2719" s="400"/>
      <c r="F2719" s="400"/>
      <c r="G2719" s="400"/>
      <c r="H2719" s="396"/>
    </row>
    <row r="2720" spans="1:8" s="401" customFormat="1" ht="14.25" customHeight="1" x14ac:dyDescent="0.25">
      <c r="A2720" s="564">
        <v>2794</v>
      </c>
      <c r="B2720" s="562" t="s">
        <v>885</v>
      </c>
      <c r="C2720" s="403">
        <v>5190</v>
      </c>
      <c r="D2720" s="400"/>
      <c r="E2720" s="400"/>
      <c r="F2720" s="400"/>
      <c r="G2720" s="400"/>
      <c r="H2720" s="396"/>
    </row>
    <row r="2721" spans="1:8" s="401" customFormat="1" ht="14.25" customHeight="1" x14ac:dyDescent="0.25">
      <c r="A2721" s="564">
        <v>4649</v>
      </c>
      <c r="B2721" s="562" t="s">
        <v>885</v>
      </c>
      <c r="C2721" s="403">
        <v>11355</v>
      </c>
      <c r="D2721" s="400"/>
      <c r="E2721" s="400"/>
      <c r="F2721" s="400"/>
      <c r="G2721" s="400"/>
      <c r="H2721" s="396"/>
    </row>
    <row r="2722" spans="1:8" s="401" customFormat="1" ht="14.25" customHeight="1" x14ac:dyDescent="0.25">
      <c r="A2722" s="564">
        <v>4652</v>
      </c>
      <c r="B2722" s="562" t="s">
        <v>885</v>
      </c>
      <c r="C2722" s="403">
        <v>11354.99</v>
      </c>
      <c r="D2722" s="400"/>
      <c r="E2722" s="400"/>
      <c r="F2722" s="400"/>
      <c r="G2722" s="400"/>
      <c r="H2722" s="396"/>
    </row>
    <row r="2723" spans="1:8" s="401" customFormat="1" ht="14.25" customHeight="1" x14ac:dyDescent="0.25">
      <c r="A2723" s="564">
        <v>4654</v>
      </c>
      <c r="B2723" s="562" t="s">
        <v>885</v>
      </c>
      <c r="C2723" s="403">
        <v>11354.99</v>
      </c>
      <c r="D2723" s="400"/>
      <c r="E2723" s="400"/>
      <c r="F2723" s="400"/>
      <c r="G2723" s="400"/>
      <c r="H2723" s="396"/>
    </row>
    <row r="2724" spans="1:8" s="401" customFormat="1" ht="14.25" customHeight="1" x14ac:dyDescent="0.25">
      <c r="A2724" s="564">
        <v>4656</v>
      </c>
      <c r="B2724" s="562" t="s">
        <v>885</v>
      </c>
      <c r="C2724" s="403">
        <v>11354.99</v>
      </c>
      <c r="D2724" s="400"/>
      <c r="E2724" s="400"/>
      <c r="F2724" s="400"/>
      <c r="G2724" s="400"/>
      <c r="H2724" s="396"/>
    </row>
    <row r="2725" spans="1:8" s="401" customFormat="1" ht="14.25" customHeight="1" x14ac:dyDescent="0.25">
      <c r="A2725" s="564">
        <v>5023</v>
      </c>
      <c r="B2725" s="562" t="s">
        <v>886</v>
      </c>
      <c r="C2725" s="403">
        <v>6999</v>
      </c>
      <c r="D2725" s="400"/>
      <c r="E2725" s="400"/>
      <c r="F2725" s="400"/>
      <c r="G2725" s="400"/>
      <c r="H2725" s="396"/>
    </row>
    <row r="2726" spans="1:8" s="401" customFormat="1" ht="14.25" customHeight="1" x14ac:dyDescent="0.25">
      <c r="A2726" s="564">
        <v>370</v>
      </c>
      <c r="B2726" s="562" t="s">
        <v>885</v>
      </c>
      <c r="C2726" s="403">
        <v>4890</v>
      </c>
      <c r="D2726" s="400"/>
      <c r="E2726" s="400"/>
      <c r="F2726" s="400"/>
      <c r="G2726" s="400"/>
      <c r="H2726" s="396"/>
    </row>
    <row r="2727" spans="1:8" s="401" customFormat="1" ht="14.25" customHeight="1" x14ac:dyDescent="0.25">
      <c r="A2727" s="564">
        <v>374</v>
      </c>
      <c r="B2727" s="562" t="s">
        <v>885</v>
      </c>
      <c r="C2727" s="403">
        <v>1890</v>
      </c>
      <c r="D2727" s="400"/>
      <c r="E2727" s="400"/>
      <c r="F2727" s="400"/>
      <c r="G2727" s="400"/>
      <c r="H2727" s="396"/>
    </row>
    <row r="2728" spans="1:8" s="401" customFormat="1" ht="14.25" customHeight="1" x14ac:dyDescent="0.25">
      <c r="A2728" s="564">
        <v>377</v>
      </c>
      <c r="B2728" s="562" t="s">
        <v>885</v>
      </c>
      <c r="C2728" s="403">
        <v>1890</v>
      </c>
      <c r="D2728" s="400"/>
      <c r="E2728" s="400"/>
      <c r="F2728" s="400"/>
      <c r="G2728" s="400"/>
      <c r="H2728" s="396"/>
    </row>
    <row r="2729" spans="1:8" s="401" customFormat="1" ht="14.25" customHeight="1" x14ac:dyDescent="0.25">
      <c r="A2729" s="564">
        <v>384</v>
      </c>
      <c r="B2729" s="562" t="s">
        <v>885</v>
      </c>
      <c r="C2729" s="403">
        <v>1995</v>
      </c>
      <c r="D2729" s="400"/>
      <c r="E2729" s="400"/>
      <c r="F2729" s="400"/>
      <c r="G2729" s="400"/>
      <c r="H2729" s="396"/>
    </row>
    <row r="2730" spans="1:8" s="401" customFormat="1" ht="14.25" customHeight="1" x14ac:dyDescent="0.25">
      <c r="A2730" s="564">
        <v>391</v>
      </c>
      <c r="B2730" s="562" t="s">
        <v>885</v>
      </c>
      <c r="C2730" s="403">
        <v>1995</v>
      </c>
      <c r="D2730" s="400"/>
      <c r="E2730" s="400"/>
      <c r="F2730" s="400"/>
      <c r="G2730" s="400"/>
      <c r="H2730" s="396"/>
    </row>
    <row r="2731" spans="1:8" s="401" customFormat="1" ht="14.25" customHeight="1" x14ac:dyDescent="0.25">
      <c r="A2731" s="564">
        <v>395</v>
      </c>
      <c r="B2731" s="562" t="s">
        <v>885</v>
      </c>
      <c r="C2731" s="403">
        <v>2490</v>
      </c>
      <c r="D2731" s="400"/>
      <c r="E2731" s="400"/>
      <c r="F2731" s="400"/>
      <c r="G2731" s="400"/>
      <c r="H2731" s="396"/>
    </row>
    <row r="2732" spans="1:8" s="401" customFormat="1" ht="14.25" customHeight="1" x14ac:dyDescent="0.25">
      <c r="A2732" s="564">
        <v>405</v>
      </c>
      <c r="B2732" s="562" t="s">
        <v>885</v>
      </c>
      <c r="C2732" s="403">
        <v>2999</v>
      </c>
      <c r="D2732" s="400"/>
      <c r="E2732" s="400"/>
      <c r="F2732" s="400"/>
      <c r="G2732" s="400"/>
      <c r="H2732" s="396"/>
    </row>
    <row r="2733" spans="1:8" s="401" customFormat="1" ht="14.25" customHeight="1" x14ac:dyDescent="0.25">
      <c r="A2733" s="564">
        <v>407</v>
      </c>
      <c r="B2733" s="562" t="s">
        <v>885</v>
      </c>
      <c r="C2733" s="403">
        <v>2999</v>
      </c>
      <c r="D2733" s="400"/>
      <c r="E2733" s="400"/>
      <c r="F2733" s="400"/>
      <c r="G2733" s="400"/>
      <c r="H2733" s="396"/>
    </row>
    <row r="2734" spans="1:8" s="401" customFormat="1" ht="14.25" customHeight="1" x14ac:dyDescent="0.25">
      <c r="A2734" s="564">
        <v>1040</v>
      </c>
      <c r="B2734" s="562" t="s">
        <v>886</v>
      </c>
      <c r="C2734" s="403">
        <v>1</v>
      </c>
      <c r="D2734" s="400"/>
      <c r="E2734" s="400"/>
      <c r="F2734" s="400"/>
      <c r="G2734" s="400"/>
      <c r="H2734" s="396"/>
    </row>
    <row r="2735" spans="1:8" s="401" customFormat="1" ht="14.25" customHeight="1" x14ac:dyDescent="0.25">
      <c r="A2735" s="564">
        <v>1050</v>
      </c>
      <c r="B2735" s="562" t="s">
        <v>885</v>
      </c>
      <c r="C2735" s="403">
        <v>80976</v>
      </c>
      <c r="D2735" s="400"/>
      <c r="E2735" s="400"/>
      <c r="F2735" s="400"/>
      <c r="G2735" s="400"/>
      <c r="H2735" s="396"/>
    </row>
    <row r="2736" spans="1:8" s="401" customFormat="1" ht="14.25" customHeight="1" x14ac:dyDescent="0.25">
      <c r="A2736" s="564">
        <v>1065</v>
      </c>
      <c r="B2736" s="562" t="s">
        <v>885</v>
      </c>
      <c r="C2736" s="403">
        <v>4195</v>
      </c>
      <c r="D2736" s="400"/>
      <c r="E2736" s="400"/>
      <c r="F2736" s="400"/>
      <c r="G2736" s="400"/>
      <c r="H2736" s="396"/>
    </row>
    <row r="2737" spans="1:8" s="401" customFormat="1" ht="14.25" customHeight="1" x14ac:dyDescent="0.25">
      <c r="A2737" s="564">
        <v>1074</v>
      </c>
      <c r="B2737" s="562" t="s">
        <v>885</v>
      </c>
      <c r="C2737" s="403">
        <v>1</v>
      </c>
      <c r="D2737" s="400"/>
      <c r="E2737" s="400"/>
      <c r="F2737" s="400"/>
      <c r="G2737" s="400"/>
      <c r="H2737" s="396"/>
    </row>
    <row r="2738" spans="1:8" s="401" customFormat="1" ht="14.25" customHeight="1" x14ac:dyDescent="0.25">
      <c r="A2738" s="564">
        <v>1896</v>
      </c>
      <c r="B2738" s="562" t="s">
        <v>885</v>
      </c>
      <c r="C2738" s="403">
        <v>1</v>
      </c>
      <c r="D2738" s="400"/>
      <c r="E2738" s="400"/>
      <c r="F2738" s="400"/>
      <c r="G2738" s="400"/>
      <c r="H2738" s="396"/>
    </row>
    <row r="2739" spans="1:8" s="401" customFormat="1" ht="14.25" customHeight="1" x14ac:dyDescent="0.25">
      <c r="A2739" s="564">
        <v>3424</v>
      </c>
      <c r="B2739" s="562" t="s">
        <v>885</v>
      </c>
      <c r="C2739" s="403">
        <v>1945</v>
      </c>
      <c r="D2739" s="400"/>
      <c r="E2739" s="400"/>
      <c r="F2739" s="400"/>
      <c r="G2739" s="400"/>
      <c r="H2739" s="396"/>
    </row>
    <row r="2740" spans="1:8" s="401" customFormat="1" ht="14.25" customHeight="1" x14ac:dyDescent="0.25">
      <c r="A2740" s="564">
        <v>1916</v>
      </c>
      <c r="B2740" s="562" t="s">
        <v>887</v>
      </c>
      <c r="C2740" s="403">
        <v>2881</v>
      </c>
      <c r="D2740" s="400"/>
      <c r="E2740" s="400"/>
      <c r="F2740" s="400"/>
      <c r="G2740" s="400"/>
      <c r="H2740" s="396"/>
    </row>
    <row r="2741" spans="1:8" s="401" customFormat="1" ht="14.25" customHeight="1" x14ac:dyDescent="0.25">
      <c r="A2741" s="564">
        <v>1919</v>
      </c>
      <c r="B2741" s="562" t="s">
        <v>887</v>
      </c>
      <c r="C2741" s="403">
        <v>2881</v>
      </c>
      <c r="D2741" s="400"/>
      <c r="E2741" s="400"/>
      <c r="F2741" s="400"/>
      <c r="G2741" s="400"/>
      <c r="H2741" s="396"/>
    </row>
    <row r="2742" spans="1:8" s="401" customFormat="1" ht="14.25" customHeight="1" x14ac:dyDescent="0.25">
      <c r="A2742" s="564">
        <v>1921</v>
      </c>
      <c r="B2742" s="562" t="s">
        <v>887</v>
      </c>
      <c r="C2742" s="403">
        <v>2881</v>
      </c>
      <c r="D2742" s="400"/>
      <c r="E2742" s="400"/>
      <c r="F2742" s="400"/>
      <c r="G2742" s="400"/>
      <c r="H2742" s="396"/>
    </row>
    <row r="2743" spans="1:8" s="401" customFormat="1" ht="14.25" customHeight="1" x14ac:dyDescent="0.25">
      <c r="A2743" s="564">
        <v>1911</v>
      </c>
      <c r="B2743" s="562" t="s">
        <v>885</v>
      </c>
      <c r="C2743" s="403">
        <v>1</v>
      </c>
      <c r="D2743" s="400"/>
      <c r="E2743" s="400"/>
      <c r="F2743" s="400"/>
      <c r="G2743" s="400"/>
      <c r="H2743" s="396"/>
    </row>
    <row r="2744" spans="1:8" s="401" customFormat="1" ht="14.25" customHeight="1" x14ac:dyDescent="0.25">
      <c r="A2744" s="564">
        <v>4750</v>
      </c>
      <c r="B2744" s="562" t="s">
        <v>888</v>
      </c>
      <c r="C2744" s="403">
        <v>86582.5</v>
      </c>
      <c r="D2744" s="400"/>
      <c r="E2744" s="400"/>
      <c r="F2744" s="400"/>
      <c r="G2744" s="400"/>
      <c r="H2744" s="396"/>
    </row>
    <row r="2745" spans="1:8" s="401" customFormat="1" ht="14.25" customHeight="1" x14ac:dyDescent="0.25">
      <c r="A2745" s="564">
        <v>4115</v>
      </c>
      <c r="B2745" s="562" t="s">
        <v>889</v>
      </c>
      <c r="C2745" s="403">
        <v>2645.22</v>
      </c>
      <c r="D2745" s="400"/>
      <c r="E2745" s="400"/>
      <c r="F2745" s="400"/>
      <c r="G2745" s="400"/>
      <c r="H2745" s="396"/>
    </row>
    <row r="2746" spans="1:8" s="401" customFormat="1" ht="14.25" customHeight="1" x14ac:dyDescent="0.25">
      <c r="A2746" s="564">
        <v>4118</v>
      </c>
      <c r="B2746" s="562" t="s">
        <v>889</v>
      </c>
      <c r="C2746" s="403">
        <v>2645.22</v>
      </c>
      <c r="D2746" s="400"/>
      <c r="E2746" s="400"/>
      <c r="F2746" s="400"/>
      <c r="G2746" s="400"/>
      <c r="H2746" s="396"/>
    </row>
    <row r="2747" spans="1:8" s="401" customFormat="1" ht="14.25" customHeight="1" x14ac:dyDescent="0.25">
      <c r="A2747" s="564">
        <v>4124</v>
      </c>
      <c r="B2747" s="562" t="s">
        <v>889</v>
      </c>
      <c r="C2747" s="403">
        <v>2645.22</v>
      </c>
      <c r="D2747" s="400"/>
      <c r="E2747" s="400"/>
      <c r="F2747" s="400"/>
      <c r="G2747" s="400"/>
      <c r="H2747" s="396"/>
    </row>
    <row r="2748" spans="1:8" s="401" customFormat="1" ht="14.25" customHeight="1" x14ac:dyDescent="0.25">
      <c r="A2748" s="564">
        <v>4129</v>
      </c>
      <c r="B2748" s="562" t="s">
        <v>889</v>
      </c>
      <c r="C2748" s="403">
        <v>2645.22</v>
      </c>
      <c r="D2748" s="400"/>
      <c r="E2748" s="400"/>
      <c r="F2748" s="400"/>
      <c r="G2748" s="400"/>
      <c r="H2748" s="396"/>
    </row>
    <row r="2749" spans="1:8" s="401" customFormat="1" ht="14.25" customHeight="1" x14ac:dyDescent="0.25">
      <c r="A2749" s="564">
        <v>1713</v>
      </c>
      <c r="B2749" s="562" t="s">
        <v>889</v>
      </c>
      <c r="C2749" s="403">
        <v>259</v>
      </c>
      <c r="D2749" s="400"/>
      <c r="E2749" s="400"/>
      <c r="F2749" s="400"/>
      <c r="G2749" s="400"/>
      <c r="H2749" s="396"/>
    </row>
    <row r="2750" spans="1:8" s="401" customFormat="1" ht="14.25" customHeight="1" x14ac:dyDescent="0.25">
      <c r="A2750" s="564">
        <v>1716</v>
      </c>
      <c r="B2750" s="562" t="s">
        <v>889</v>
      </c>
      <c r="C2750" s="403">
        <v>446</v>
      </c>
      <c r="D2750" s="400"/>
      <c r="E2750" s="400"/>
      <c r="F2750" s="400"/>
      <c r="G2750" s="400"/>
      <c r="H2750" s="396"/>
    </row>
    <row r="2751" spans="1:8" s="401" customFormat="1" ht="14.25" customHeight="1" x14ac:dyDescent="0.25">
      <c r="A2751" s="564">
        <v>294</v>
      </c>
      <c r="B2751" s="562" t="s">
        <v>889</v>
      </c>
      <c r="C2751" s="403">
        <v>452</v>
      </c>
      <c r="D2751" s="400"/>
      <c r="E2751" s="400"/>
      <c r="F2751" s="400"/>
      <c r="G2751" s="400"/>
      <c r="H2751" s="396"/>
    </row>
    <row r="2752" spans="1:8" s="401" customFormat="1" ht="14.25" customHeight="1" x14ac:dyDescent="0.25">
      <c r="A2752" s="564">
        <v>299</v>
      </c>
      <c r="B2752" s="562" t="s">
        <v>889</v>
      </c>
      <c r="C2752" s="403">
        <v>452.4</v>
      </c>
      <c r="D2752" s="400"/>
      <c r="E2752" s="400"/>
      <c r="F2752" s="400"/>
      <c r="G2752" s="400"/>
      <c r="H2752" s="396"/>
    </row>
    <row r="2753" spans="1:8" s="401" customFormat="1" ht="14.25" customHeight="1" x14ac:dyDescent="0.25">
      <c r="A2753" s="564">
        <v>302</v>
      </c>
      <c r="B2753" s="562" t="s">
        <v>889</v>
      </c>
      <c r="C2753" s="403">
        <v>452</v>
      </c>
      <c r="D2753" s="400"/>
      <c r="E2753" s="400"/>
      <c r="F2753" s="400"/>
      <c r="G2753" s="400"/>
      <c r="H2753" s="396"/>
    </row>
    <row r="2754" spans="1:8" s="401" customFormat="1" ht="14.25" customHeight="1" x14ac:dyDescent="0.25">
      <c r="A2754" s="564">
        <v>1647</v>
      </c>
      <c r="B2754" s="562" t="s">
        <v>889</v>
      </c>
      <c r="C2754" s="403">
        <v>265.45</v>
      </c>
      <c r="D2754" s="400"/>
      <c r="E2754" s="400"/>
      <c r="F2754" s="400"/>
      <c r="G2754" s="400"/>
      <c r="H2754" s="396"/>
    </row>
    <row r="2755" spans="1:8" s="401" customFormat="1" ht="14.25" customHeight="1" x14ac:dyDescent="0.25">
      <c r="A2755" s="564">
        <v>868</v>
      </c>
      <c r="B2755" s="562" t="s">
        <v>889</v>
      </c>
      <c r="C2755" s="403">
        <v>1195.96</v>
      </c>
      <c r="D2755" s="400"/>
      <c r="E2755" s="400"/>
      <c r="F2755" s="400"/>
      <c r="G2755" s="400"/>
      <c r="H2755" s="396"/>
    </row>
    <row r="2756" spans="1:8" s="401" customFormat="1" ht="14.25" customHeight="1" x14ac:dyDescent="0.25">
      <c r="A2756" s="564">
        <v>882</v>
      </c>
      <c r="B2756" s="562" t="s">
        <v>889</v>
      </c>
      <c r="C2756" s="403">
        <v>1195.96</v>
      </c>
      <c r="D2756" s="400"/>
      <c r="E2756" s="400"/>
      <c r="F2756" s="400"/>
      <c r="G2756" s="400"/>
      <c r="H2756" s="396"/>
    </row>
    <row r="2757" spans="1:8" s="401" customFormat="1" ht="14.25" customHeight="1" x14ac:dyDescent="0.25">
      <c r="A2757" s="564">
        <v>887</v>
      </c>
      <c r="B2757" s="562" t="s">
        <v>889</v>
      </c>
      <c r="C2757" s="403">
        <v>1195.96</v>
      </c>
      <c r="D2757" s="400"/>
      <c r="E2757" s="400"/>
      <c r="F2757" s="400"/>
      <c r="G2757" s="400"/>
      <c r="H2757" s="396"/>
    </row>
    <row r="2758" spans="1:8" s="401" customFormat="1" ht="14.25" customHeight="1" x14ac:dyDescent="0.25">
      <c r="A2758" s="564">
        <v>819</v>
      </c>
      <c r="B2758" s="562" t="s">
        <v>889</v>
      </c>
      <c r="C2758" s="403">
        <v>360</v>
      </c>
      <c r="D2758" s="400"/>
      <c r="E2758" s="400"/>
      <c r="F2758" s="400"/>
      <c r="G2758" s="400"/>
      <c r="H2758" s="396"/>
    </row>
    <row r="2759" spans="1:8" s="401" customFormat="1" ht="14.25" customHeight="1" x14ac:dyDescent="0.25">
      <c r="A2759" s="564">
        <v>2525</v>
      </c>
      <c r="B2759" s="562" t="s">
        <v>889</v>
      </c>
      <c r="C2759" s="403">
        <v>288</v>
      </c>
      <c r="D2759" s="400"/>
      <c r="E2759" s="400"/>
      <c r="F2759" s="400"/>
      <c r="G2759" s="400"/>
      <c r="H2759" s="396"/>
    </row>
    <row r="2760" spans="1:8" s="401" customFormat="1" ht="14.25" customHeight="1" x14ac:dyDescent="0.25">
      <c r="A2760" s="564">
        <v>2773</v>
      </c>
      <c r="B2760" s="562" t="s">
        <v>889</v>
      </c>
      <c r="C2760" s="403">
        <v>1</v>
      </c>
      <c r="D2760" s="400"/>
      <c r="E2760" s="400"/>
      <c r="F2760" s="400"/>
      <c r="G2760" s="400"/>
      <c r="H2760" s="396"/>
    </row>
    <row r="2761" spans="1:8" s="401" customFormat="1" ht="14.25" customHeight="1" x14ac:dyDescent="0.25">
      <c r="A2761" s="564">
        <v>2790</v>
      </c>
      <c r="B2761" s="562" t="s">
        <v>889</v>
      </c>
      <c r="C2761" s="403">
        <v>253.52</v>
      </c>
      <c r="D2761" s="400"/>
      <c r="E2761" s="400"/>
      <c r="F2761" s="400"/>
      <c r="G2761" s="400"/>
      <c r="H2761" s="396"/>
    </row>
    <row r="2762" spans="1:8" s="401" customFormat="1" ht="14.25" customHeight="1" x14ac:dyDescent="0.25">
      <c r="A2762" s="564">
        <v>2793</v>
      </c>
      <c r="B2762" s="562" t="s">
        <v>889</v>
      </c>
      <c r="C2762" s="403">
        <v>253.52</v>
      </c>
      <c r="D2762" s="400"/>
      <c r="E2762" s="400"/>
      <c r="F2762" s="400"/>
      <c r="G2762" s="400"/>
      <c r="H2762" s="396"/>
    </row>
    <row r="2763" spans="1:8" s="401" customFormat="1" ht="14.25" customHeight="1" x14ac:dyDescent="0.25">
      <c r="A2763" s="564">
        <v>2256</v>
      </c>
      <c r="B2763" s="562" t="s">
        <v>889</v>
      </c>
      <c r="C2763" s="403">
        <v>240</v>
      </c>
      <c r="D2763" s="400"/>
      <c r="E2763" s="400"/>
      <c r="F2763" s="400"/>
      <c r="G2763" s="400"/>
      <c r="H2763" s="396"/>
    </row>
    <row r="2764" spans="1:8" s="401" customFormat="1" ht="14.25" customHeight="1" x14ac:dyDescent="0.25">
      <c r="A2764" s="564">
        <v>2274</v>
      </c>
      <c r="B2764" s="562" t="s">
        <v>889</v>
      </c>
      <c r="C2764" s="403">
        <v>1</v>
      </c>
      <c r="D2764" s="400"/>
      <c r="E2764" s="400"/>
      <c r="F2764" s="400"/>
      <c r="G2764" s="400"/>
      <c r="H2764" s="396"/>
    </row>
    <row r="2765" spans="1:8" s="401" customFormat="1" ht="14.25" customHeight="1" x14ac:dyDescent="0.25">
      <c r="A2765" s="564">
        <v>2458</v>
      </c>
      <c r="B2765" s="562" t="s">
        <v>889</v>
      </c>
      <c r="C2765" s="403">
        <v>1</v>
      </c>
      <c r="D2765" s="400"/>
      <c r="E2765" s="400"/>
      <c r="F2765" s="400"/>
      <c r="G2765" s="400"/>
      <c r="H2765" s="396"/>
    </row>
    <row r="2766" spans="1:8" s="401" customFormat="1" ht="14.25" customHeight="1" x14ac:dyDescent="0.25">
      <c r="A2766" s="564">
        <v>2462</v>
      </c>
      <c r="B2766" s="562" t="s">
        <v>889</v>
      </c>
      <c r="C2766" s="403">
        <v>230</v>
      </c>
      <c r="D2766" s="400"/>
      <c r="E2766" s="400"/>
      <c r="F2766" s="400"/>
      <c r="G2766" s="400"/>
      <c r="H2766" s="396"/>
    </row>
    <row r="2767" spans="1:8" s="401" customFormat="1" ht="14.25" customHeight="1" x14ac:dyDescent="0.25">
      <c r="A2767" s="564">
        <v>2467</v>
      </c>
      <c r="B2767" s="562" t="s">
        <v>889</v>
      </c>
      <c r="C2767" s="403">
        <v>230</v>
      </c>
      <c r="D2767" s="400"/>
      <c r="E2767" s="400"/>
      <c r="F2767" s="400"/>
      <c r="G2767" s="400"/>
      <c r="H2767" s="396"/>
    </row>
    <row r="2768" spans="1:8" s="401" customFormat="1" ht="14.25" customHeight="1" x14ac:dyDescent="0.25">
      <c r="A2768" s="564">
        <v>2195</v>
      </c>
      <c r="B2768" s="562" t="s">
        <v>889</v>
      </c>
      <c r="C2768" s="403">
        <v>240</v>
      </c>
      <c r="D2768" s="400"/>
      <c r="E2768" s="400"/>
      <c r="F2768" s="400"/>
      <c r="G2768" s="400"/>
      <c r="H2768" s="396"/>
    </row>
    <row r="2769" spans="1:8" s="401" customFormat="1" ht="14.25" customHeight="1" x14ac:dyDescent="0.25">
      <c r="A2769" s="564">
        <v>2196</v>
      </c>
      <c r="B2769" s="562" t="s">
        <v>889</v>
      </c>
      <c r="C2769" s="403">
        <v>288</v>
      </c>
      <c r="D2769" s="400"/>
      <c r="E2769" s="400"/>
      <c r="F2769" s="400"/>
      <c r="G2769" s="400"/>
      <c r="H2769" s="396"/>
    </row>
    <row r="2770" spans="1:8" s="401" customFormat="1" ht="14.25" customHeight="1" x14ac:dyDescent="0.25">
      <c r="A2770" s="564">
        <v>2213</v>
      </c>
      <c r="B2770" s="562" t="s">
        <v>889</v>
      </c>
      <c r="C2770" s="403">
        <v>5220</v>
      </c>
      <c r="D2770" s="400"/>
      <c r="E2770" s="400"/>
      <c r="F2770" s="400"/>
      <c r="G2770" s="400"/>
      <c r="H2770" s="396"/>
    </row>
    <row r="2771" spans="1:8" s="401" customFormat="1" ht="14.25" customHeight="1" x14ac:dyDescent="0.25">
      <c r="A2771" s="564">
        <v>2860</v>
      </c>
      <c r="B2771" s="562" t="s">
        <v>889</v>
      </c>
      <c r="C2771" s="403">
        <v>1243.52</v>
      </c>
      <c r="D2771" s="400"/>
      <c r="E2771" s="400"/>
      <c r="F2771" s="400"/>
      <c r="G2771" s="400"/>
      <c r="H2771" s="396"/>
    </row>
    <row r="2772" spans="1:8" s="401" customFormat="1" ht="14.25" customHeight="1" x14ac:dyDescent="0.25">
      <c r="A2772" s="564">
        <v>3248</v>
      </c>
      <c r="B2772" s="562" t="s">
        <v>889</v>
      </c>
      <c r="C2772" s="403">
        <v>345</v>
      </c>
      <c r="D2772" s="400"/>
      <c r="E2772" s="400"/>
      <c r="F2772" s="400"/>
      <c r="G2772" s="400"/>
      <c r="H2772" s="396"/>
    </row>
    <row r="2773" spans="1:8" s="401" customFormat="1" ht="14.25" customHeight="1" x14ac:dyDescent="0.25">
      <c r="A2773" s="564">
        <v>3252</v>
      </c>
      <c r="B2773" s="562" t="s">
        <v>889</v>
      </c>
      <c r="C2773" s="403">
        <v>170</v>
      </c>
      <c r="D2773" s="400"/>
      <c r="E2773" s="400"/>
      <c r="F2773" s="400"/>
      <c r="G2773" s="400"/>
      <c r="H2773" s="396"/>
    </row>
    <row r="2774" spans="1:8" s="401" customFormat="1" ht="14.25" customHeight="1" x14ac:dyDescent="0.25">
      <c r="A2774" s="564">
        <v>3255</v>
      </c>
      <c r="B2774" s="562" t="s">
        <v>889</v>
      </c>
      <c r="C2774" s="403">
        <v>1</v>
      </c>
      <c r="D2774" s="400"/>
      <c r="E2774" s="400"/>
      <c r="F2774" s="400"/>
      <c r="G2774" s="400"/>
      <c r="H2774" s="396"/>
    </row>
    <row r="2775" spans="1:8" s="401" customFormat="1" ht="14.25" customHeight="1" x14ac:dyDescent="0.25">
      <c r="A2775" s="564">
        <v>2072</v>
      </c>
      <c r="B2775" s="562" t="s">
        <v>889</v>
      </c>
      <c r="C2775" s="403">
        <v>190</v>
      </c>
      <c r="D2775" s="400"/>
      <c r="E2775" s="400"/>
      <c r="F2775" s="400"/>
      <c r="G2775" s="400"/>
      <c r="H2775" s="396"/>
    </row>
    <row r="2776" spans="1:8" s="401" customFormat="1" ht="14.25" customHeight="1" x14ac:dyDescent="0.25">
      <c r="A2776" s="564">
        <v>3038</v>
      </c>
      <c r="B2776" s="562" t="s">
        <v>889</v>
      </c>
      <c r="C2776" s="403">
        <v>696</v>
      </c>
      <c r="D2776" s="400"/>
      <c r="E2776" s="400"/>
      <c r="F2776" s="400"/>
      <c r="G2776" s="400"/>
      <c r="H2776" s="396"/>
    </row>
    <row r="2777" spans="1:8" s="401" customFormat="1" ht="14.25" customHeight="1" x14ac:dyDescent="0.25">
      <c r="A2777" s="564">
        <v>3042</v>
      </c>
      <c r="B2777" s="562" t="s">
        <v>889</v>
      </c>
      <c r="C2777" s="403">
        <v>345</v>
      </c>
      <c r="D2777" s="400"/>
      <c r="E2777" s="400"/>
      <c r="F2777" s="400"/>
      <c r="G2777" s="400"/>
      <c r="H2777" s="396"/>
    </row>
    <row r="2778" spans="1:8" s="401" customFormat="1" ht="14.25" customHeight="1" x14ac:dyDescent="0.25">
      <c r="A2778" s="564">
        <v>3817</v>
      </c>
      <c r="B2778" s="562" t="s">
        <v>889</v>
      </c>
      <c r="C2778" s="403">
        <v>190</v>
      </c>
      <c r="D2778" s="400"/>
      <c r="E2778" s="400"/>
      <c r="F2778" s="400"/>
      <c r="G2778" s="400"/>
      <c r="H2778" s="396"/>
    </row>
    <row r="2779" spans="1:8" s="401" customFormat="1" ht="14.25" customHeight="1" x14ac:dyDescent="0.25">
      <c r="A2779" s="564">
        <v>3809</v>
      </c>
      <c r="B2779" s="562" t="s">
        <v>889</v>
      </c>
      <c r="C2779" s="403">
        <v>696</v>
      </c>
      <c r="D2779" s="400"/>
      <c r="E2779" s="400"/>
      <c r="F2779" s="400"/>
      <c r="G2779" s="400"/>
      <c r="H2779" s="396"/>
    </row>
    <row r="2780" spans="1:8" s="401" customFormat="1" ht="14.25" customHeight="1" x14ac:dyDescent="0.25">
      <c r="A2780" s="564">
        <v>3814</v>
      </c>
      <c r="B2780" s="562" t="s">
        <v>889</v>
      </c>
      <c r="C2780" s="403">
        <v>288</v>
      </c>
      <c r="D2780" s="400"/>
      <c r="E2780" s="400"/>
      <c r="F2780" s="400"/>
      <c r="G2780" s="400"/>
      <c r="H2780" s="396"/>
    </row>
    <row r="2781" spans="1:8" s="401" customFormat="1" ht="14.25" customHeight="1" x14ac:dyDescent="0.25">
      <c r="A2781" s="564">
        <v>3850</v>
      </c>
      <c r="B2781" s="562" t="s">
        <v>889</v>
      </c>
      <c r="C2781" s="403">
        <v>215</v>
      </c>
      <c r="D2781" s="400"/>
      <c r="E2781" s="400"/>
      <c r="F2781" s="400"/>
      <c r="G2781" s="400"/>
      <c r="H2781" s="396"/>
    </row>
    <row r="2782" spans="1:8" s="401" customFormat="1" ht="14.25" customHeight="1" x14ac:dyDescent="0.25">
      <c r="A2782" s="564">
        <v>3922</v>
      </c>
      <c r="B2782" s="562" t="s">
        <v>889</v>
      </c>
      <c r="C2782" s="403">
        <v>257</v>
      </c>
      <c r="D2782" s="400"/>
      <c r="E2782" s="400"/>
      <c r="F2782" s="400"/>
      <c r="G2782" s="400"/>
      <c r="H2782" s="396"/>
    </row>
    <row r="2783" spans="1:8" s="401" customFormat="1" ht="14.25" customHeight="1" x14ac:dyDescent="0.25">
      <c r="A2783" s="564">
        <v>3924</v>
      </c>
      <c r="B2783" s="562" t="s">
        <v>889</v>
      </c>
      <c r="C2783" s="403">
        <v>522</v>
      </c>
      <c r="D2783" s="400"/>
      <c r="E2783" s="400"/>
      <c r="F2783" s="400"/>
      <c r="G2783" s="400"/>
      <c r="H2783" s="396"/>
    </row>
    <row r="2784" spans="1:8" s="401" customFormat="1" ht="14.25" customHeight="1" x14ac:dyDescent="0.25">
      <c r="A2784" s="564">
        <v>4020</v>
      </c>
      <c r="B2784" s="562" t="s">
        <v>889</v>
      </c>
      <c r="C2784" s="403">
        <v>257</v>
      </c>
      <c r="D2784" s="400"/>
      <c r="E2784" s="400"/>
      <c r="F2784" s="400"/>
      <c r="G2784" s="400"/>
      <c r="H2784" s="396"/>
    </row>
    <row r="2785" spans="1:8" s="401" customFormat="1" ht="14.25" customHeight="1" x14ac:dyDescent="0.25">
      <c r="A2785" s="564">
        <v>4024</v>
      </c>
      <c r="B2785" s="562" t="s">
        <v>889</v>
      </c>
      <c r="C2785" s="403">
        <v>245</v>
      </c>
      <c r="D2785" s="400"/>
      <c r="E2785" s="400"/>
      <c r="F2785" s="400"/>
      <c r="G2785" s="400"/>
      <c r="H2785" s="396"/>
    </row>
    <row r="2786" spans="1:8" s="401" customFormat="1" ht="14.25" customHeight="1" x14ac:dyDescent="0.25">
      <c r="A2786" s="564">
        <v>4130</v>
      </c>
      <c r="B2786" s="562" t="s">
        <v>890</v>
      </c>
      <c r="C2786" s="403">
        <v>230</v>
      </c>
      <c r="D2786" s="400"/>
      <c r="E2786" s="400"/>
      <c r="F2786" s="400"/>
      <c r="G2786" s="400"/>
      <c r="H2786" s="396"/>
    </row>
    <row r="2787" spans="1:8" s="401" customFormat="1" ht="14.25" customHeight="1" x14ac:dyDescent="0.25">
      <c r="A2787" s="564">
        <v>4134</v>
      </c>
      <c r="B2787" s="562" t="s">
        <v>889</v>
      </c>
      <c r="C2787" s="403">
        <v>245</v>
      </c>
      <c r="D2787" s="400"/>
      <c r="E2787" s="400"/>
      <c r="F2787" s="400"/>
      <c r="G2787" s="400"/>
      <c r="H2787" s="396"/>
    </row>
    <row r="2788" spans="1:8" s="401" customFormat="1" ht="14.25" customHeight="1" x14ac:dyDescent="0.25">
      <c r="A2788" s="564">
        <v>3926</v>
      </c>
      <c r="B2788" s="562" t="s">
        <v>889</v>
      </c>
      <c r="C2788" s="403">
        <v>245</v>
      </c>
      <c r="D2788" s="400"/>
      <c r="E2788" s="400"/>
      <c r="F2788" s="400"/>
      <c r="G2788" s="400"/>
      <c r="H2788" s="396"/>
    </row>
    <row r="2789" spans="1:8" s="401" customFormat="1" ht="14.25" customHeight="1" x14ac:dyDescent="0.25">
      <c r="A2789" s="564">
        <v>3444</v>
      </c>
      <c r="B2789" s="562" t="s">
        <v>889</v>
      </c>
      <c r="C2789" s="403">
        <v>230</v>
      </c>
      <c r="D2789" s="400"/>
      <c r="E2789" s="400"/>
      <c r="F2789" s="400"/>
      <c r="G2789" s="400"/>
      <c r="H2789" s="396"/>
    </row>
    <row r="2790" spans="1:8" s="401" customFormat="1" ht="14.25" customHeight="1" x14ac:dyDescent="0.25">
      <c r="A2790" s="564">
        <v>3441</v>
      </c>
      <c r="B2790" s="562" t="s">
        <v>889</v>
      </c>
      <c r="C2790" s="403">
        <v>1</v>
      </c>
      <c r="D2790" s="400"/>
      <c r="E2790" s="400"/>
      <c r="F2790" s="400"/>
      <c r="G2790" s="400"/>
      <c r="H2790" s="396"/>
    </row>
    <row r="2791" spans="1:8" s="401" customFormat="1" ht="14.25" customHeight="1" x14ac:dyDescent="0.25">
      <c r="A2791" s="564">
        <v>3454</v>
      </c>
      <c r="B2791" s="562" t="s">
        <v>889</v>
      </c>
      <c r="C2791" s="403">
        <v>203</v>
      </c>
      <c r="D2791" s="400"/>
      <c r="E2791" s="400"/>
      <c r="F2791" s="400"/>
      <c r="G2791" s="400"/>
      <c r="H2791" s="396"/>
    </row>
    <row r="2792" spans="1:8" s="401" customFormat="1" ht="14.25" customHeight="1" x14ac:dyDescent="0.25">
      <c r="A2792" s="564">
        <v>3696</v>
      </c>
      <c r="B2792" s="562" t="s">
        <v>889</v>
      </c>
      <c r="C2792" s="403">
        <v>245</v>
      </c>
      <c r="D2792" s="400"/>
      <c r="E2792" s="400"/>
      <c r="F2792" s="400"/>
      <c r="G2792" s="400"/>
      <c r="H2792" s="396"/>
    </row>
    <row r="2793" spans="1:8" s="401" customFormat="1" ht="14.25" customHeight="1" x14ac:dyDescent="0.25">
      <c r="A2793" s="564">
        <v>3614</v>
      </c>
      <c r="B2793" s="562" t="s">
        <v>889</v>
      </c>
      <c r="C2793" s="403">
        <v>256.82</v>
      </c>
      <c r="D2793" s="400"/>
      <c r="E2793" s="400"/>
      <c r="F2793" s="400"/>
      <c r="G2793" s="400"/>
      <c r="H2793" s="396"/>
    </row>
    <row r="2794" spans="1:8" s="401" customFormat="1" ht="14.25" customHeight="1" x14ac:dyDescent="0.25">
      <c r="A2794" s="564">
        <v>3618</v>
      </c>
      <c r="B2794" s="562" t="s">
        <v>889</v>
      </c>
      <c r="C2794" s="403">
        <v>190</v>
      </c>
      <c r="D2794" s="400"/>
      <c r="E2794" s="400"/>
      <c r="F2794" s="400"/>
      <c r="G2794" s="400"/>
      <c r="H2794" s="396"/>
    </row>
    <row r="2795" spans="1:8" s="401" customFormat="1" ht="14.25" customHeight="1" x14ac:dyDescent="0.25">
      <c r="A2795" s="564">
        <v>3623</v>
      </c>
      <c r="B2795" s="562" t="s">
        <v>889</v>
      </c>
      <c r="C2795" s="403">
        <v>190</v>
      </c>
      <c r="D2795" s="400"/>
      <c r="E2795" s="400"/>
      <c r="F2795" s="400"/>
      <c r="G2795" s="400"/>
      <c r="H2795" s="396"/>
    </row>
    <row r="2796" spans="1:8" s="401" customFormat="1" ht="14.25" customHeight="1" x14ac:dyDescent="0.25">
      <c r="A2796" s="564">
        <v>3628</v>
      </c>
      <c r="B2796" s="562" t="s">
        <v>889</v>
      </c>
      <c r="C2796" s="403">
        <v>190</v>
      </c>
      <c r="D2796" s="400"/>
      <c r="E2796" s="400"/>
      <c r="F2796" s="400"/>
      <c r="G2796" s="400"/>
      <c r="H2796" s="396"/>
    </row>
    <row r="2797" spans="1:8" s="401" customFormat="1" ht="14.25" customHeight="1" x14ac:dyDescent="0.25">
      <c r="A2797" s="564">
        <v>3632</v>
      </c>
      <c r="B2797" s="562" t="s">
        <v>889</v>
      </c>
      <c r="C2797" s="403">
        <v>240</v>
      </c>
      <c r="D2797" s="400"/>
      <c r="E2797" s="400"/>
      <c r="F2797" s="400"/>
      <c r="G2797" s="400"/>
      <c r="H2797" s="396"/>
    </row>
    <row r="2798" spans="1:8" s="401" customFormat="1" ht="14.25" customHeight="1" x14ac:dyDescent="0.25">
      <c r="A2798" s="564">
        <v>3634</v>
      </c>
      <c r="B2798" s="562" t="s">
        <v>889</v>
      </c>
      <c r="C2798" s="403">
        <v>2359</v>
      </c>
      <c r="D2798" s="400"/>
      <c r="E2798" s="400"/>
      <c r="F2798" s="400"/>
      <c r="G2798" s="400"/>
      <c r="H2798" s="396"/>
    </row>
    <row r="2799" spans="1:8" s="401" customFormat="1" ht="14.25" customHeight="1" x14ac:dyDescent="0.25">
      <c r="A2799" s="564">
        <v>3644</v>
      </c>
      <c r="B2799" s="562" t="s">
        <v>889</v>
      </c>
      <c r="C2799" s="403">
        <v>288</v>
      </c>
      <c r="D2799" s="400"/>
      <c r="E2799" s="400"/>
      <c r="F2799" s="400"/>
      <c r="G2799" s="400"/>
      <c r="H2799" s="396"/>
    </row>
    <row r="2800" spans="1:8" s="401" customFormat="1" ht="14.25" customHeight="1" x14ac:dyDescent="0.25">
      <c r="A2800" s="564">
        <v>3647</v>
      </c>
      <c r="B2800" s="562" t="s">
        <v>889</v>
      </c>
      <c r="C2800" s="403">
        <v>245</v>
      </c>
      <c r="D2800" s="400"/>
      <c r="E2800" s="400"/>
      <c r="F2800" s="400"/>
      <c r="G2800" s="400"/>
      <c r="H2800" s="396"/>
    </row>
    <row r="2801" spans="1:8" s="401" customFormat="1" ht="14.25" customHeight="1" x14ac:dyDescent="0.25">
      <c r="A2801" s="564">
        <v>444</v>
      </c>
      <c r="B2801" s="562" t="s">
        <v>889</v>
      </c>
      <c r="C2801" s="403">
        <v>1</v>
      </c>
      <c r="D2801" s="400"/>
      <c r="E2801" s="400"/>
      <c r="F2801" s="400"/>
      <c r="G2801" s="400"/>
      <c r="H2801" s="396"/>
    </row>
    <row r="2802" spans="1:8" s="401" customFormat="1" ht="14.25" customHeight="1" x14ac:dyDescent="0.25">
      <c r="A2802" s="564">
        <v>2824</v>
      </c>
      <c r="B2802" s="562" t="s">
        <v>889</v>
      </c>
      <c r="C2802" s="403">
        <v>1</v>
      </c>
      <c r="D2802" s="400"/>
      <c r="E2802" s="400"/>
      <c r="F2802" s="400"/>
      <c r="G2802" s="400"/>
      <c r="H2802" s="396"/>
    </row>
    <row r="2803" spans="1:8" s="401" customFormat="1" ht="14.25" customHeight="1" x14ac:dyDescent="0.25">
      <c r="A2803" s="564">
        <v>3148</v>
      </c>
      <c r="B2803" s="562" t="s">
        <v>889</v>
      </c>
      <c r="C2803" s="403">
        <v>275.14999999999998</v>
      </c>
      <c r="D2803" s="400"/>
      <c r="E2803" s="400"/>
      <c r="F2803" s="400"/>
      <c r="G2803" s="400"/>
      <c r="H2803" s="396"/>
    </row>
    <row r="2804" spans="1:8" s="401" customFormat="1" ht="14.25" customHeight="1" x14ac:dyDescent="0.25">
      <c r="A2804" s="564">
        <v>3149</v>
      </c>
      <c r="B2804" s="562" t="s">
        <v>889</v>
      </c>
      <c r="C2804" s="403">
        <v>275.14999999999998</v>
      </c>
      <c r="D2804" s="400"/>
      <c r="E2804" s="400"/>
      <c r="F2804" s="400"/>
      <c r="G2804" s="400"/>
      <c r="H2804" s="396"/>
    </row>
    <row r="2805" spans="1:8" s="401" customFormat="1" ht="14.25" customHeight="1" x14ac:dyDescent="0.25">
      <c r="A2805" s="564">
        <v>3153</v>
      </c>
      <c r="B2805" s="562" t="s">
        <v>889</v>
      </c>
      <c r="C2805" s="403">
        <v>275.14999999999998</v>
      </c>
      <c r="D2805" s="400"/>
      <c r="E2805" s="400"/>
      <c r="F2805" s="400"/>
      <c r="G2805" s="400"/>
      <c r="H2805" s="396"/>
    </row>
    <row r="2806" spans="1:8" s="401" customFormat="1" ht="14.25" customHeight="1" x14ac:dyDescent="0.25">
      <c r="A2806" s="564">
        <v>3168</v>
      </c>
      <c r="B2806" s="562" t="s">
        <v>889</v>
      </c>
      <c r="C2806" s="403">
        <v>288</v>
      </c>
      <c r="D2806" s="400"/>
      <c r="E2806" s="400"/>
      <c r="F2806" s="400"/>
      <c r="G2806" s="400"/>
      <c r="H2806" s="396"/>
    </row>
    <row r="2807" spans="1:8" s="401" customFormat="1" ht="14.25" customHeight="1" x14ac:dyDescent="0.25">
      <c r="A2807" s="564">
        <v>3315</v>
      </c>
      <c r="B2807" s="562" t="s">
        <v>889</v>
      </c>
      <c r="C2807" s="403">
        <v>275.14999999999998</v>
      </c>
      <c r="D2807" s="400"/>
      <c r="E2807" s="400"/>
      <c r="F2807" s="400"/>
      <c r="G2807" s="400"/>
      <c r="H2807" s="396"/>
    </row>
    <row r="2808" spans="1:8" s="401" customFormat="1" ht="14.25" customHeight="1" x14ac:dyDescent="0.25">
      <c r="A2808" s="564">
        <v>4794</v>
      </c>
      <c r="B2808" s="562" t="s">
        <v>889</v>
      </c>
      <c r="C2808" s="403">
        <v>480</v>
      </c>
      <c r="D2808" s="400"/>
      <c r="E2808" s="400"/>
      <c r="F2808" s="400"/>
      <c r="G2808" s="400"/>
      <c r="H2808" s="396"/>
    </row>
    <row r="2809" spans="1:8" s="401" customFormat="1" ht="14.25" customHeight="1" x14ac:dyDescent="0.25">
      <c r="A2809" s="564">
        <v>4796</v>
      </c>
      <c r="B2809" s="562" t="s">
        <v>889</v>
      </c>
      <c r="C2809" s="403">
        <v>480</v>
      </c>
      <c r="D2809" s="400"/>
      <c r="E2809" s="400"/>
      <c r="F2809" s="400"/>
      <c r="G2809" s="400"/>
      <c r="H2809" s="396"/>
    </row>
    <row r="2810" spans="1:8" s="401" customFormat="1" ht="14.25" customHeight="1" x14ac:dyDescent="0.25">
      <c r="A2810" s="564">
        <v>4797</v>
      </c>
      <c r="B2810" s="562" t="s">
        <v>889</v>
      </c>
      <c r="C2810" s="403">
        <v>547</v>
      </c>
      <c r="D2810" s="400"/>
      <c r="E2810" s="400"/>
      <c r="F2810" s="400"/>
      <c r="G2810" s="400"/>
      <c r="H2810" s="396"/>
    </row>
    <row r="2811" spans="1:8" s="401" customFormat="1" ht="14.25" customHeight="1" x14ac:dyDescent="0.25">
      <c r="A2811" s="564">
        <v>4800</v>
      </c>
      <c r="B2811" s="562" t="s">
        <v>889</v>
      </c>
      <c r="C2811" s="403">
        <v>480</v>
      </c>
      <c r="D2811" s="400"/>
      <c r="E2811" s="400"/>
      <c r="F2811" s="400"/>
      <c r="G2811" s="400"/>
      <c r="H2811" s="396"/>
    </row>
    <row r="2812" spans="1:8" s="401" customFormat="1" ht="14.25" customHeight="1" x14ac:dyDescent="0.25">
      <c r="A2812" s="564">
        <v>4803</v>
      </c>
      <c r="B2812" s="562" t="s">
        <v>889</v>
      </c>
      <c r="C2812" s="403">
        <v>480</v>
      </c>
      <c r="D2812" s="400"/>
      <c r="E2812" s="400"/>
      <c r="F2812" s="400"/>
      <c r="G2812" s="400"/>
      <c r="H2812" s="396"/>
    </row>
    <row r="2813" spans="1:8" s="401" customFormat="1" ht="14.25" customHeight="1" x14ac:dyDescent="0.25">
      <c r="A2813" s="564">
        <v>4804</v>
      </c>
      <c r="B2813" s="562" t="s">
        <v>889</v>
      </c>
      <c r="C2813" s="403">
        <v>480</v>
      </c>
      <c r="D2813" s="400"/>
      <c r="E2813" s="400"/>
      <c r="F2813" s="400"/>
      <c r="G2813" s="400"/>
      <c r="H2813" s="396"/>
    </row>
    <row r="2814" spans="1:8" s="401" customFormat="1" ht="14.25" customHeight="1" x14ac:dyDescent="0.25">
      <c r="A2814" s="564">
        <v>4805</v>
      </c>
      <c r="B2814" s="562" t="s">
        <v>889</v>
      </c>
      <c r="C2814" s="403">
        <v>480</v>
      </c>
      <c r="D2814" s="400"/>
      <c r="E2814" s="400"/>
      <c r="F2814" s="400"/>
      <c r="G2814" s="400"/>
      <c r="H2814" s="396"/>
    </row>
    <row r="2815" spans="1:8" s="401" customFormat="1" ht="14.25" customHeight="1" x14ac:dyDescent="0.25">
      <c r="A2815" s="564">
        <v>4806</v>
      </c>
      <c r="B2815" s="562" t="s">
        <v>889</v>
      </c>
      <c r="C2815" s="403">
        <v>480</v>
      </c>
      <c r="D2815" s="400"/>
      <c r="E2815" s="400"/>
      <c r="F2815" s="400"/>
      <c r="G2815" s="400"/>
      <c r="H2815" s="396"/>
    </row>
    <row r="2816" spans="1:8" s="401" customFormat="1" ht="14.25" customHeight="1" x14ac:dyDescent="0.25">
      <c r="A2816" s="564">
        <v>4807</v>
      </c>
      <c r="B2816" s="562" t="s">
        <v>889</v>
      </c>
      <c r="C2816" s="403">
        <v>480</v>
      </c>
      <c r="D2816" s="400"/>
      <c r="E2816" s="400"/>
      <c r="F2816" s="400"/>
      <c r="G2816" s="400"/>
      <c r="H2816" s="396"/>
    </row>
    <row r="2817" spans="1:8" s="401" customFormat="1" ht="14.25" customHeight="1" x14ac:dyDescent="0.25">
      <c r="A2817" s="564">
        <v>4809</v>
      </c>
      <c r="B2817" s="562" t="s">
        <v>889</v>
      </c>
      <c r="C2817" s="403">
        <v>480</v>
      </c>
      <c r="D2817" s="400"/>
      <c r="E2817" s="400"/>
      <c r="F2817" s="400"/>
      <c r="G2817" s="400"/>
      <c r="H2817" s="396"/>
    </row>
    <row r="2818" spans="1:8" s="401" customFormat="1" ht="14.25" customHeight="1" x14ac:dyDescent="0.25">
      <c r="A2818" s="564">
        <v>4815</v>
      </c>
      <c r="B2818" s="562" t="s">
        <v>889</v>
      </c>
      <c r="C2818" s="403">
        <v>480</v>
      </c>
      <c r="D2818" s="400"/>
      <c r="E2818" s="400"/>
      <c r="F2818" s="400"/>
      <c r="G2818" s="400"/>
      <c r="H2818" s="396"/>
    </row>
    <row r="2819" spans="1:8" s="401" customFormat="1" ht="14.25" customHeight="1" x14ac:dyDescent="0.25">
      <c r="A2819" s="564">
        <v>4817</v>
      </c>
      <c r="B2819" s="562" t="s">
        <v>889</v>
      </c>
      <c r="C2819" s="403">
        <v>480</v>
      </c>
      <c r="D2819" s="400"/>
      <c r="E2819" s="400"/>
      <c r="F2819" s="400"/>
      <c r="G2819" s="400"/>
      <c r="H2819" s="396"/>
    </row>
    <row r="2820" spans="1:8" s="401" customFormat="1" ht="14.25" customHeight="1" x14ac:dyDescent="0.25">
      <c r="A2820" s="564">
        <v>4818</v>
      </c>
      <c r="B2820" s="562" t="s">
        <v>889</v>
      </c>
      <c r="C2820" s="403">
        <v>480</v>
      </c>
      <c r="D2820" s="400"/>
      <c r="E2820" s="400"/>
      <c r="F2820" s="400"/>
      <c r="G2820" s="400"/>
      <c r="H2820" s="396"/>
    </row>
    <row r="2821" spans="1:8" s="401" customFormat="1" ht="14.25" customHeight="1" x14ac:dyDescent="0.25">
      <c r="A2821" s="564">
        <v>4820</v>
      </c>
      <c r="B2821" s="562" t="s">
        <v>889</v>
      </c>
      <c r="C2821" s="403">
        <v>480</v>
      </c>
      <c r="D2821" s="400"/>
      <c r="E2821" s="400"/>
      <c r="F2821" s="400"/>
      <c r="G2821" s="400"/>
      <c r="H2821" s="396"/>
    </row>
    <row r="2822" spans="1:8" s="401" customFormat="1" ht="14.25" customHeight="1" x14ac:dyDescent="0.25">
      <c r="A2822" s="564">
        <v>4821</v>
      </c>
      <c r="B2822" s="562" t="s">
        <v>889</v>
      </c>
      <c r="C2822" s="403">
        <v>480</v>
      </c>
      <c r="D2822" s="400"/>
      <c r="E2822" s="400"/>
      <c r="F2822" s="400"/>
      <c r="G2822" s="400"/>
      <c r="H2822" s="396"/>
    </row>
    <row r="2823" spans="1:8" s="401" customFormat="1" ht="14.25" customHeight="1" x14ac:dyDescent="0.25">
      <c r="A2823" s="564">
        <v>2999</v>
      </c>
      <c r="B2823" s="562" t="s">
        <v>889</v>
      </c>
      <c r="C2823" s="403">
        <v>174</v>
      </c>
      <c r="D2823" s="400"/>
      <c r="E2823" s="400"/>
      <c r="F2823" s="400"/>
      <c r="G2823" s="400"/>
      <c r="H2823" s="396"/>
    </row>
    <row r="2824" spans="1:8" s="401" customFormat="1" ht="14.25" customHeight="1" x14ac:dyDescent="0.25">
      <c r="A2824" s="564">
        <v>3004</v>
      </c>
      <c r="B2824" s="562" t="s">
        <v>889</v>
      </c>
      <c r="C2824" s="403">
        <v>174</v>
      </c>
      <c r="D2824" s="400"/>
      <c r="E2824" s="400"/>
      <c r="F2824" s="400"/>
      <c r="G2824" s="400"/>
      <c r="H2824" s="396"/>
    </row>
    <row r="2825" spans="1:8" s="401" customFormat="1" ht="14.25" customHeight="1" x14ac:dyDescent="0.25">
      <c r="A2825" s="564">
        <v>3007</v>
      </c>
      <c r="B2825" s="562" t="s">
        <v>889</v>
      </c>
      <c r="C2825" s="403">
        <v>200</v>
      </c>
      <c r="D2825" s="400"/>
      <c r="E2825" s="400"/>
      <c r="F2825" s="400"/>
      <c r="G2825" s="400"/>
      <c r="H2825" s="396"/>
    </row>
    <row r="2826" spans="1:8" s="401" customFormat="1" ht="14.25" customHeight="1" x14ac:dyDescent="0.25">
      <c r="A2826" s="564">
        <v>3060</v>
      </c>
      <c r="B2826" s="562" t="s">
        <v>889</v>
      </c>
      <c r="C2826" s="403">
        <v>259</v>
      </c>
      <c r="D2826" s="400"/>
      <c r="E2826" s="400"/>
      <c r="F2826" s="400"/>
      <c r="G2826" s="400"/>
      <c r="H2826" s="396"/>
    </row>
    <row r="2827" spans="1:8" s="401" customFormat="1" ht="14.25" customHeight="1" x14ac:dyDescent="0.25">
      <c r="A2827" s="564">
        <v>2607</v>
      </c>
      <c r="B2827" s="562" t="s">
        <v>889</v>
      </c>
      <c r="C2827" s="403">
        <v>288</v>
      </c>
      <c r="D2827" s="400"/>
      <c r="E2827" s="400"/>
      <c r="F2827" s="400"/>
      <c r="G2827" s="400"/>
      <c r="H2827" s="396"/>
    </row>
    <row r="2828" spans="1:8" s="401" customFormat="1" ht="14.25" customHeight="1" x14ac:dyDescent="0.25">
      <c r="A2828" s="564">
        <v>4427</v>
      </c>
      <c r="B2828" s="562" t="s">
        <v>889</v>
      </c>
      <c r="C2828" s="403">
        <v>320</v>
      </c>
      <c r="D2828" s="400"/>
      <c r="E2828" s="400"/>
      <c r="F2828" s="400"/>
      <c r="G2828" s="400"/>
      <c r="H2828" s="396"/>
    </row>
    <row r="2829" spans="1:8" s="401" customFormat="1" ht="14.25" customHeight="1" x14ac:dyDescent="0.25">
      <c r="A2829" s="564">
        <v>212</v>
      </c>
      <c r="B2829" s="562" t="s">
        <v>891</v>
      </c>
      <c r="C2829" s="403">
        <v>10448</v>
      </c>
      <c r="D2829" s="400"/>
      <c r="E2829" s="400"/>
      <c r="F2829" s="400"/>
      <c r="G2829" s="400"/>
      <c r="H2829" s="396"/>
    </row>
    <row r="2830" spans="1:8" s="401" customFormat="1" ht="14.25" customHeight="1" x14ac:dyDescent="0.25">
      <c r="A2830" s="564">
        <v>5108</v>
      </c>
      <c r="B2830" s="562" t="s">
        <v>892</v>
      </c>
      <c r="C2830" s="403">
        <v>3750</v>
      </c>
      <c r="D2830" s="400"/>
      <c r="E2830" s="400"/>
      <c r="F2830" s="400"/>
      <c r="G2830" s="400"/>
      <c r="H2830" s="396"/>
    </row>
    <row r="2831" spans="1:8" s="401" customFormat="1" ht="14.25" customHeight="1" x14ac:dyDescent="0.25">
      <c r="A2831" s="564">
        <v>5110</v>
      </c>
      <c r="B2831" s="562" t="s">
        <v>893</v>
      </c>
      <c r="C2831" s="403">
        <v>1500</v>
      </c>
      <c r="D2831" s="400"/>
      <c r="E2831" s="400"/>
      <c r="F2831" s="400"/>
      <c r="G2831" s="400"/>
      <c r="H2831" s="396"/>
    </row>
    <row r="2832" spans="1:8" s="401" customFormat="1" ht="14.25" customHeight="1" x14ac:dyDescent="0.25">
      <c r="A2832" s="564">
        <v>5112</v>
      </c>
      <c r="B2832" s="562" t="s">
        <v>894</v>
      </c>
      <c r="C2832" s="403">
        <v>8912</v>
      </c>
      <c r="D2832" s="400"/>
      <c r="E2832" s="400"/>
      <c r="F2832" s="400"/>
      <c r="G2832" s="400"/>
      <c r="H2832" s="396"/>
    </row>
    <row r="2833" spans="1:8" s="401" customFormat="1" ht="14.25" customHeight="1" x14ac:dyDescent="0.25">
      <c r="A2833" s="564">
        <v>4570</v>
      </c>
      <c r="B2833" s="562" t="s">
        <v>895</v>
      </c>
      <c r="C2833" s="403">
        <v>4301</v>
      </c>
      <c r="D2833" s="400"/>
      <c r="E2833" s="400"/>
      <c r="F2833" s="400"/>
      <c r="G2833" s="400"/>
      <c r="H2833" s="396"/>
    </row>
    <row r="2834" spans="1:8" s="401" customFormat="1" ht="14.25" customHeight="1" x14ac:dyDescent="0.25">
      <c r="A2834" s="564">
        <v>5078</v>
      </c>
      <c r="B2834" s="562" t="s">
        <v>895</v>
      </c>
      <c r="C2834" s="403">
        <v>4301</v>
      </c>
      <c r="D2834" s="400"/>
      <c r="E2834" s="400"/>
      <c r="F2834" s="400"/>
      <c r="G2834" s="400"/>
      <c r="H2834" s="396"/>
    </row>
    <row r="2835" spans="1:8" s="401" customFormat="1" ht="14.25" customHeight="1" x14ac:dyDescent="0.25">
      <c r="A2835" s="564">
        <v>5082</v>
      </c>
      <c r="B2835" s="562" t="s">
        <v>895</v>
      </c>
      <c r="C2835" s="403">
        <v>1296</v>
      </c>
      <c r="D2835" s="400"/>
      <c r="E2835" s="400"/>
      <c r="F2835" s="400"/>
      <c r="G2835" s="400"/>
      <c r="H2835" s="396"/>
    </row>
    <row r="2836" spans="1:8" s="401" customFormat="1" ht="14.25" customHeight="1" x14ac:dyDescent="0.25">
      <c r="A2836" s="564">
        <v>5084</v>
      </c>
      <c r="B2836" s="562" t="s">
        <v>895</v>
      </c>
      <c r="C2836" s="403">
        <v>1296</v>
      </c>
      <c r="D2836" s="400"/>
      <c r="E2836" s="400"/>
      <c r="F2836" s="400"/>
      <c r="G2836" s="400"/>
      <c r="H2836" s="396"/>
    </row>
    <row r="2837" spans="1:8" s="401" customFormat="1" ht="14.25" customHeight="1" x14ac:dyDescent="0.25">
      <c r="A2837" s="564">
        <v>4987</v>
      </c>
      <c r="B2837" s="562" t="s">
        <v>896</v>
      </c>
      <c r="C2837" s="403">
        <v>568.4</v>
      </c>
      <c r="D2837" s="400"/>
      <c r="E2837" s="400"/>
      <c r="F2837" s="400"/>
      <c r="G2837" s="400"/>
      <c r="H2837" s="396"/>
    </row>
    <row r="2838" spans="1:8" s="401" customFormat="1" ht="14.25" customHeight="1" x14ac:dyDescent="0.25">
      <c r="A2838" s="564">
        <v>343</v>
      </c>
      <c r="B2838" s="562" t="s">
        <v>892</v>
      </c>
      <c r="C2838" s="403">
        <v>1001</v>
      </c>
      <c r="D2838" s="400"/>
      <c r="E2838" s="400"/>
      <c r="F2838" s="400"/>
      <c r="G2838" s="400"/>
      <c r="H2838" s="396"/>
    </row>
    <row r="2839" spans="1:8" s="401" customFormat="1" ht="14.25" customHeight="1" x14ac:dyDescent="0.25">
      <c r="A2839" s="564">
        <v>348</v>
      </c>
      <c r="B2839" s="562" t="s">
        <v>892</v>
      </c>
      <c r="C2839" s="403">
        <v>1119</v>
      </c>
      <c r="D2839" s="400"/>
      <c r="E2839" s="400"/>
      <c r="F2839" s="400"/>
      <c r="G2839" s="400"/>
      <c r="H2839" s="396"/>
    </row>
    <row r="2840" spans="1:8" s="401" customFormat="1" ht="14.25" customHeight="1" x14ac:dyDescent="0.25">
      <c r="A2840" s="564">
        <v>353</v>
      </c>
      <c r="B2840" s="562" t="s">
        <v>893</v>
      </c>
      <c r="C2840" s="403">
        <v>2559</v>
      </c>
      <c r="D2840" s="400"/>
      <c r="E2840" s="400"/>
      <c r="F2840" s="400"/>
      <c r="G2840" s="400"/>
      <c r="H2840" s="396"/>
    </row>
    <row r="2841" spans="1:8" s="401" customFormat="1" ht="14.25" customHeight="1" x14ac:dyDescent="0.25">
      <c r="A2841" s="564">
        <v>358</v>
      </c>
      <c r="B2841" s="562" t="s">
        <v>893</v>
      </c>
      <c r="C2841" s="403">
        <v>2559</v>
      </c>
      <c r="D2841" s="400"/>
      <c r="E2841" s="400"/>
      <c r="F2841" s="400"/>
      <c r="G2841" s="400"/>
      <c r="H2841" s="396"/>
    </row>
    <row r="2842" spans="1:8" s="401" customFormat="1" ht="14.25" customHeight="1" x14ac:dyDescent="0.25">
      <c r="A2842" s="564">
        <v>361</v>
      </c>
      <c r="B2842" s="562" t="s">
        <v>894</v>
      </c>
      <c r="C2842" s="403">
        <v>6124</v>
      </c>
      <c r="D2842" s="400"/>
      <c r="E2842" s="400"/>
      <c r="F2842" s="400"/>
      <c r="G2842" s="400"/>
      <c r="H2842" s="396"/>
    </row>
    <row r="2843" spans="1:8" s="401" customFormat="1" ht="14.25" customHeight="1" x14ac:dyDescent="0.25">
      <c r="A2843" s="564">
        <v>367</v>
      </c>
      <c r="B2843" s="562" t="s">
        <v>894</v>
      </c>
      <c r="C2843" s="403">
        <v>6124</v>
      </c>
      <c r="D2843" s="400"/>
      <c r="E2843" s="400"/>
      <c r="F2843" s="400"/>
      <c r="G2843" s="400"/>
      <c r="H2843" s="396"/>
    </row>
    <row r="2844" spans="1:8" s="401" customFormat="1" ht="14.25" customHeight="1" x14ac:dyDescent="0.25">
      <c r="A2844" s="564">
        <v>378</v>
      </c>
      <c r="B2844" s="562" t="s">
        <v>736</v>
      </c>
      <c r="C2844" s="403">
        <v>110</v>
      </c>
      <c r="D2844" s="400"/>
      <c r="E2844" s="400"/>
      <c r="F2844" s="400"/>
      <c r="G2844" s="400"/>
      <c r="H2844" s="396"/>
    </row>
    <row r="2845" spans="1:8" s="401" customFormat="1" ht="14.25" customHeight="1" x14ac:dyDescent="0.25">
      <c r="A2845" s="564">
        <v>4492</v>
      </c>
      <c r="B2845" s="562" t="s">
        <v>897</v>
      </c>
      <c r="C2845" s="403">
        <v>111.31</v>
      </c>
      <c r="D2845" s="400"/>
      <c r="E2845" s="400"/>
      <c r="F2845" s="400"/>
      <c r="G2845" s="400"/>
      <c r="H2845" s="396"/>
    </row>
    <row r="2846" spans="1:8" s="401" customFormat="1" ht="14.25" customHeight="1" x14ac:dyDescent="0.25">
      <c r="A2846" s="564">
        <v>325</v>
      </c>
      <c r="B2846" s="562" t="s">
        <v>892</v>
      </c>
      <c r="C2846" s="403">
        <v>7310</v>
      </c>
      <c r="D2846" s="400"/>
      <c r="E2846" s="400"/>
      <c r="F2846" s="400"/>
      <c r="G2846" s="400"/>
      <c r="H2846" s="396"/>
    </row>
    <row r="2847" spans="1:8" s="401" customFormat="1" ht="14.25" customHeight="1" x14ac:dyDescent="0.25">
      <c r="A2847" s="564">
        <v>328</v>
      </c>
      <c r="B2847" s="562" t="s">
        <v>898</v>
      </c>
      <c r="C2847" s="403">
        <v>1102</v>
      </c>
      <c r="D2847" s="400"/>
      <c r="E2847" s="400"/>
      <c r="F2847" s="400"/>
      <c r="G2847" s="400"/>
      <c r="H2847" s="396"/>
    </row>
    <row r="2848" spans="1:8" s="401" customFormat="1" ht="14.25" customHeight="1" x14ac:dyDescent="0.25">
      <c r="A2848" s="564">
        <v>369</v>
      </c>
      <c r="B2848" s="562" t="s">
        <v>894</v>
      </c>
      <c r="C2848" s="403">
        <v>7004</v>
      </c>
      <c r="D2848" s="400"/>
      <c r="E2848" s="400"/>
      <c r="F2848" s="400"/>
      <c r="G2848" s="400"/>
      <c r="H2848" s="396"/>
    </row>
    <row r="2849" spans="1:8" s="401" customFormat="1" ht="14.25" customHeight="1" x14ac:dyDescent="0.25">
      <c r="A2849" s="564">
        <v>372</v>
      </c>
      <c r="B2849" s="562" t="s">
        <v>736</v>
      </c>
      <c r="C2849" s="403">
        <v>1</v>
      </c>
      <c r="D2849" s="400"/>
      <c r="E2849" s="400"/>
      <c r="F2849" s="400"/>
      <c r="G2849" s="400"/>
      <c r="H2849" s="396"/>
    </row>
    <row r="2850" spans="1:8" s="401" customFormat="1" ht="14.25" customHeight="1" x14ac:dyDescent="0.25">
      <c r="A2850" s="564">
        <v>375</v>
      </c>
      <c r="B2850" s="562" t="s">
        <v>736</v>
      </c>
      <c r="C2850" s="403">
        <v>110</v>
      </c>
      <c r="D2850" s="400"/>
      <c r="E2850" s="400"/>
      <c r="F2850" s="400"/>
      <c r="G2850" s="400"/>
      <c r="H2850" s="396"/>
    </row>
    <row r="2851" spans="1:8" s="401" customFormat="1" ht="14.25" customHeight="1" x14ac:dyDescent="0.25">
      <c r="A2851" s="564">
        <v>481</v>
      </c>
      <c r="B2851" s="562" t="s">
        <v>896</v>
      </c>
      <c r="C2851" s="403">
        <v>348</v>
      </c>
      <c r="D2851" s="400"/>
      <c r="E2851" s="400"/>
      <c r="F2851" s="400"/>
      <c r="G2851" s="400"/>
      <c r="H2851" s="396"/>
    </row>
    <row r="2852" spans="1:8" s="401" customFormat="1" ht="14.25" customHeight="1" x14ac:dyDescent="0.25">
      <c r="A2852" s="564">
        <v>485</v>
      </c>
      <c r="B2852" s="562" t="s">
        <v>896</v>
      </c>
      <c r="C2852" s="403">
        <v>348</v>
      </c>
      <c r="D2852" s="400"/>
      <c r="E2852" s="400"/>
      <c r="F2852" s="400"/>
      <c r="G2852" s="400"/>
      <c r="H2852" s="396"/>
    </row>
    <row r="2853" spans="1:8" s="401" customFormat="1" ht="14.25" customHeight="1" x14ac:dyDescent="0.25">
      <c r="A2853" s="564">
        <v>578</v>
      </c>
      <c r="B2853" s="562" t="s">
        <v>892</v>
      </c>
      <c r="C2853" s="403">
        <v>1473</v>
      </c>
      <c r="D2853" s="400"/>
      <c r="E2853" s="400"/>
      <c r="F2853" s="400"/>
      <c r="G2853" s="400"/>
      <c r="H2853" s="396"/>
    </row>
    <row r="2854" spans="1:8" s="401" customFormat="1" ht="14.25" customHeight="1" x14ac:dyDescent="0.25">
      <c r="A2854" s="564">
        <v>587</v>
      </c>
      <c r="B2854" s="562" t="s">
        <v>894</v>
      </c>
      <c r="C2854" s="403">
        <v>6930</v>
      </c>
      <c r="D2854" s="400"/>
      <c r="E2854" s="400"/>
      <c r="F2854" s="400"/>
      <c r="G2854" s="400"/>
      <c r="H2854" s="396"/>
    </row>
    <row r="2855" spans="1:8" s="401" customFormat="1" ht="14.25" customHeight="1" x14ac:dyDescent="0.25">
      <c r="A2855" s="564">
        <v>590</v>
      </c>
      <c r="B2855" s="562" t="s">
        <v>894</v>
      </c>
      <c r="C2855" s="403">
        <v>6930</v>
      </c>
      <c r="D2855" s="400"/>
      <c r="E2855" s="400"/>
      <c r="F2855" s="400"/>
      <c r="G2855" s="400"/>
      <c r="H2855" s="396"/>
    </row>
    <row r="2856" spans="1:8" s="401" customFormat="1" ht="14.25" customHeight="1" x14ac:dyDescent="0.25">
      <c r="A2856" s="564">
        <v>529</v>
      </c>
      <c r="B2856" s="562" t="s">
        <v>899</v>
      </c>
      <c r="C2856" s="403">
        <v>1280</v>
      </c>
      <c r="D2856" s="400"/>
      <c r="E2856" s="400"/>
      <c r="F2856" s="400"/>
      <c r="G2856" s="400"/>
      <c r="H2856" s="396"/>
    </row>
    <row r="2857" spans="1:8" s="401" customFormat="1" ht="14.25" customHeight="1" x14ac:dyDescent="0.25">
      <c r="A2857" s="564">
        <v>554</v>
      </c>
      <c r="B2857" s="562" t="s">
        <v>892</v>
      </c>
      <c r="C2857" s="403">
        <v>1936</v>
      </c>
      <c r="D2857" s="400"/>
      <c r="E2857" s="400"/>
      <c r="F2857" s="400"/>
      <c r="G2857" s="400"/>
      <c r="H2857" s="396"/>
    </row>
    <row r="2858" spans="1:8" s="401" customFormat="1" ht="14.25" customHeight="1" x14ac:dyDescent="0.25">
      <c r="A2858" s="564">
        <v>568</v>
      </c>
      <c r="B2858" s="562" t="s">
        <v>894</v>
      </c>
      <c r="C2858" s="403">
        <v>6930</v>
      </c>
      <c r="D2858" s="400"/>
      <c r="E2858" s="400"/>
      <c r="F2858" s="400"/>
      <c r="G2858" s="400"/>
      <c r="H2858" s="396"/>
    </row>
    <row r="2859" spans="1:8" s="401" customFormat="1" ht="14.25" customHeight="1" x14ac:dyDescent="0.25">
      <c r="A2859" s="564">
        <v>617</v>
      </c>
      <c r="B2859" s="562" t="s">
        <v>894</v>
      </c>
      <c r="C2859" s="403">
        <v>6930</v>
      </c>
      <c r="D2859" s="400"/>
      <c r="E2859" s="400"/>
      <c r="F2859" s="400"/>
      <c r="G2859" s="400"/>
      <c r="H2859" s="396"/>
    </row>
    <row r="2860" spans="1:8" s="401" customFormat="1" ht="14.25" customHeight="1" x14ac:dyDescent="0.25">
      <c r="A2860" s="564">
        <v>708</v>
      </c>
      <c r="B2860" s="562" t="s">
        <v>894</v>
      </c>
      <c r="C2860" s="403">
        <v>1</v>
      </c>
      <c r="D2860" s="400"/>
      <c r="E2860" s="400"/>
      <c r="F2860" s="400"/>
      <c r="G2860" s="400"/>
      <c r="H2860" s="396"/>
    </row>
    <row r="2861" spans="1:8" s="401" customFormat="1" ht="14.25" customHeight="1" x14ac:dyDescent="0.25">
      <c r="A2861" s="564">
        <v>476</v>
      </c>
      <c r="B2861" s="562" t="s">
        <v>896</v>
      </c>
      <c r="C2861" s="403">
        <v>348</v>
      </c>
      <c r="D2861" s="400"/>
      <c r="E2861" s="400"/>
      <c r="F2861" s="400"/>
      <c r="G2861" s="400"/>
      <c r="H2861" s="396"/>
    </row>
    <row r="2862" spans="1:8" s="401" customFormat="1" ht="14.25" customHeight="1" x14ac:dyDescent="0.25">
      <c r="A2862" s="564">
        <v>513</v>
      </c>
      <c r="B2862" s="562" t="s">
        <v>893</v>
      </c>
      <c r="C2862" s="403">
        <v>2559</v>
      </c>
      <c r="D2862" s="400"/>
      <c r="E2862" s="400"/>
      <c r="F2862" s="400"/>
      <c r="G2862" s="400"/>
      <c r="H2862" s="396"/>
    </row>
    <row r="2863" spans="1:8" s="401" customFormat="1" ht="14.25" customHeight="1" x14ac:dyDescent="0.25">
      <c r="A2863" s="564">
        <v>526</v>
      </c>
      <c r="B2863" s="562" t="s">
        <v>892</v>
      </c>
      <c r="C2863" s="403">
        <v>1810</v>
      </c>
      <c r="D2863" s="400"/>
      <c r="E2863" s="400"/>
      <c r="F2863" s="400"/>
      <c r="G2863" s="400"/>
      <c r="H2863" s="396"/>
    </row>
    <row r="2864" spans="1:8" s="401" customFormat="1" ht="14.25" customHeight="1" x14ac:dyDescent="0.25">
      <c r="A2864" s="564">
        <v>533</v>
      </c>
      <c r="B2864" s="562" t="s">
        <v>893</v>
      </c>
      <c r="C2864" s="403">
        <v>2942</v>
      </c>
      <c r="D2864" s="400"/>
      <c r="E2864" s="400"/>
      <c r="F2864" s="400"/>
      <c r="G2864" s="400"/>
      <c r="H2864" s="396"/>
    </row>
    <row r="2865" spans="1:8" s="401" customFormat="1" ht="14.25" customHeight="1" x14ac:dyDescent="0.25">
      <c r="A2865" s="564">
        <v>543</v>
      </c>
      <c r="B2865" s="562" t="s">
        <v>893</v>
      </c>
      <c r="C2865" s="403">
        <v>1610</v>
      </c>
      <c r="D2865" s="400"/>
      <c r="E2865" s="400"/>
      <c r="F2865" s="400"/>
      <c r="G2865" s="400"/>
      <c r="H2865" s="396"/>
    </row>
    <row r="2866" spans="1:8" s="401" customFormat="1" ht="14.25" customHeight="1" x14ac:dyDescent="0.25">
      <c r="A2866" s="564">
        <v>547</v>
      </c>
      <c r="B2866" s="562" t="s">
        <v>892</v>
      </c>
      <c r="C2866" s="403">
        <v>1936</v>
      </c>
      <c r="D2866" s="400"/>
      <c r="E2866" s="400"/>
      <c r="F2866" s="400"/>
      <c r="G2866" s="400"/>
      <c r="H2866" s="396"/>
    </row>
    <row r="2867" spans="1:8" s="401" customFormat="1" ht="14.25" customHeight="1" x14ac:dyDescent="0.25">
      <c r="A2867" s="564">
        <v>559</v>
      </c>
      <c r="B2867" s="562" t="s">
        <v>893</v>
      </c>
      <c r="C2867" s="403">
        <v>3950</v>
      </c>
      <c r="D2867" s="400"/>
      <c r="E2867" s="400"/>
      <c r="F2867" s="400"/>
      <c r="G2867" s="400"/>
      <c r="H2867" s="396"/>
    </row>
    <row r="2868" spans="1:8" s="401" customFormat="1" ht="14.25" customHeight="1" x14ac:dyDescent="0.25">
      <c r="A2868" s="564">
        <v>563</v>
      </c>
      <c r="B2868" s="562" t="s">
        <v>894</v>
      </c>
      <c r="C2868" s="403">
        <v>6930</v>
      </c>
      <c r="D2868" s="400"/>
      <c r="E2868" s="400"/>
      <c r="F2868" s="400"/>
      <c r="G2868" s="400"/>
      <c r="H2868" s="396"/>
    </row>
    <row r="2869" spans="1:8" s="401" customFormat="1" ht="14.25" customHeight="1" x14ac:dyDescent="0.25">
      <c r="A2869" s="564">
        <v>740</v>
      </c>
      <c r="B2869" s="562" t="s">
        <v>889</v>
      </c>
      <c r="C2869" s="403">
        <v>1</v>
      </c>
      <c r="D2869" s="400"/>
      <c r="E2869" s="400"/>
      <c r="F2869" s="400"/>
      <c r="G2869" s="400"/>
      <c r="H2869" s="396"/>
    </row>
    <row r="2870" spans="1:8" s="401" customFormat="1" ht="14.25" customHeight="1" x14ac:dyDescent="0.25">
      <c r="A2870" s="564">
        <v>829</v>
      </c>
      <c r="B2870" s="562" t="s">
        <v>736</v>
      </c>
      <c r="C2870" s="403">
        <v>1</v>
      </c>
      <c r="D2870" s="400"/>
      <c r="E2870" s="400"/>
      <c r="F2870" s="400"/>
      <c r="G2870" s="400"/>
      <c r="H2870" s="396"/>
    </row>
    <row r="2871" spans="1:8" s="401" customFormat="1" ht="14.25" customHeight="1" x14ac:dyDescent="0.25">
      <c r="A2871" s="564">
        <v>835</v>
      </c>
      <c r="B2871" s="562" t="s">
        <v>736</v>
      </c>
      <c r="C2871" s="403">
        <v>1</v>
      </c>
      <c r="D2871" s="400"/>
      <c r="E2871" s="400"/>
      <c r="F2871" s="400"/>
      <c r="G2871" s="400"/>
      <c r="H2871" s="396"/>
    </row>
    <row r="2872" spans="1:8" s="401" customFormat="1" ht="14.25" customHeight="1" x14ac:dyDescent="0.25">
      <c r="A2872" s="564">
        <v>488</v>
      </c>
      <c r="B2872" s="562" t="s">
        <v>892</v>
      </c>
      <c r="C2872" s="403">
        <v>1151</v>
      </c>
      <c r="D2872" s="400"/>
      <c r="E2872" s="400"/>
      <c r="F2872" s="400"/>
      <c r="G2872" s="400"/>
      <c r="H2872" s="396"/>
    </row>
    <row r="2873" spans="1:8" s="401" customFormat="1" ht="14.25" customHeight="1" x14ac:dyDescent="0.25">
      <c r="A2873" s="564">
        <v>499</v>
      </c>
      <c r="B2873" s="562" t="s">
        <v>894</v>
      </c>
      <c r="C2873" s="403">
        <v>3828</v>
      </c>
      <c r="D2873" s="400"/>
      <c r="E2873" s="400"/>
      <c r="F2873" s="400"/>
      <c r="G2873" s="400"/>
      <c r="H2873" s="396"/>
    </row>
    <row r="2874" spans="1:8" s="401" customFormat="1" ht="14.25" customHeight="1" x14ac:dyDescent="0.25">
      <c r="A2874" s="564">
        <v>537</v>
      </c>
      <c r="B2874" s="562" t="s">
        <v>894</v>
      </c>
      <c r="C2874" s="403">
        <v>4162</v>
      </c>
      <c r="D2874" s="400"/>
      <c r="E2874" s="400"/>
      <c r="F2874" s="400"/>
      <c r="G2874" s="400"/>
      <c r="H2874" s="396"/>
    </row>
    <row r="2875" spans="1:8" s="401" customFormat="1" ht="14.25" customHeight="1" x14ac:dyDescent="0.25">
      <c r="A2875" s="564">
        <v>613</v>
      </c>
      <c r="B2875" s="562" t="s">
        <v>892</v>
      </c>
      <c r="C2875" s="403">
        <v>1936</v>
      </c>
      <c r="D2875" s="400"/>
      <c r="E2875" s="400"/>
      <c r="F2875" s="400"/>
      <c r="G2875" s="400"/>
      <c r="H2875" s="396"/>
    </row>
    <row r="2876" spans="1:8" s="401" customFormat="1" ht="14.25" customHeight="1" x14ac:dyDescent="0.25">
      <c r="A2876" s="564">
        <v>844</v>
      </c>
      <c r="B2876" s="562" t="s">
        <v>736</v>
      </c>
      <c r="C2876" s="403">
        <v>1</v>
      </c>
      <c r="D2876" s="400"/>
      <c r="E2876" s="400"/>
      <c r="F2876" s="400"/>
      <c r="G2876" s="400"/>
      <c r="H2876" s="396"/>
    </row>
    <row r="2877" spans="1:8" s="401" customFormat="1" ht="14.25" customHeight="1" x14ac:dyDescent="0.25">
      <c r="A2877" s="564">
        <v>1299</v>
      </c>
      <c r="B2877" s="562" t="s">
        <v>897</v>
      </c>
      <c r="C2877" s="403">
        <v>58</v>
      </c>
      <c r="D2877" s="400"/>
      <c r="E2877" s="400"/>
      <c r="F2877" s="400"/>
      <c r="G2877" s="400"/>
      <c r="H2877" s="396"/>
    </row>
    <row r="2878" spans="1:8" s="401" customFormat="1" ht="14.25" customHeight="1" x14ac:dyDescent="0.25">
      <c r="A2878" s="564">
        <v>2845</v>
      </c>
      <c r="B2878" s="562" t="s">
        <v>900</v>
      </c>
      <c r="C2878" s="403">
        <v>58000</v>
      </c>
      <c r="D2878" s="400"/>
      <c r="E2878" s="400"/>
      <c r="F2878" s="400"/>
      <c r="G2878" s="400"/>
      <c r="H2878" s="396"/>
    </row>
    <row r="2879" spans="1:8" s="401" customFormat="1" ht="14.25" customHeight="1" x14ac:dyDescent="0.25">
      <c r="A2879" s="564">
        <v>2869</v>
      </c>
      <c r="B2879" s="562" t="s">
        <v>892</v>
      </c>
      <c r="C2879" s="403">
        <v>5999</v>
      </c>
      <c r="D2879" s="400"/>
      <c r="E2879" s="400"/>
      <c r="F2879" s="400"/>
      <c r="G2879" s="400"/>
      <c r="H2879" s="396"/>
    </row>
    <row r="2880" spans="1:8" s="401" customFormat="1" ht="14.25" customHeight="1" x14ac:dyDescent="0.25">
      <c r="A2880" s="564">
        <v>2894</v>
      </c>
      <c r="B2880" s="562" t="s">
        <v>893</v>
      </c>
      <c r="C2880" s="403">
        <v>1</v>
      </c>
      <c r="D2880" s="400"/>
      <c r="E2880" s="400"/>
      <c r="F2880" s="400"/>
      <c r="G2880" s="400"/>
      <c r="H2880" s="396"/>
    </row>
    <row r="2881" spans="1:8" s="401" customFormat="1" ht="14.25" customHeight="1" x14ac:dyDescent="0.25">
      <c r="A2881" s="564">
        <v>2896</v>
      </c>
      <c r="B2881" s="562" t="s">
        <v>893</v>
      </c>
      <c r="C2881" s="403">
        <v>1750</v>
      </c>
      <c r="D2881" s="400"/>
      <c r="E2881" s="400"/>
      <c r="F2881" s="400"/>
      <c r="G2881" s="400"/>
      <c r="H2881" s="396"/>
    </row>
    <row r="2882" spans="1:8" s="401" customFormat="1" ht="14.25" customHeight="1" x14ac:dyDescent="0.25">
      <c r="A2882" s="564">
        <v>2899</v>
      </c>
      <c r="B2882" s="562" t="s">
        <v>894</v>
      </c>
      <c r="C2882" s="403">
        <v>11179</v>
      </c>
      <c r="D2882" s="400"/>
      <c r="E2882" s="400"/>
      <c r="F2882" s="400"/>
      <c r="G2882" s="400"/>
      <c r="H2882" s="396"/>
    </row>
    <row r="2883" spans="1:8" s="401" customFormat="1" ht="14.25" customHeight="1" x14ac:dyDescent="0.25">
      <c r="A2883" s="564">
        <v>2901</v>
      </c>
      <c r="B2883" s="562" t="s">
        <v>894</v>
      </c>
      <c r="C2883" s="403">
        <v>11179</v>
      </c>
      <c r="D2883" s="400"/>
      <c r="E2883" s="400"/>
      <c r="F2883" s="400"/>
      <c r="G2883" s="400"/>
      <c r="H2883" s="396"/>
    </row>
    <row r="2884" spans="1:8" s="401" customFormat="1" ht="14.25" customHeight="1" x14ac:dyDescent="0.25">
      <c r="A2884" s="564">
        <v>2988</v>
      </c>
      <c r="B2884" s="562" t="s">
        <v>890</v>
      </c>
      <c r="C2884" s="403">
        <v>1</v>
      </c>
      <c r="D2884" s="400"/>
      <c r="E2884" s="400"/>
      <c r="F2884" s="400"/>
      <c r="G2884" s="400"/>
      <c r="H2884" s="396"/>
    </row>
    <row r="2885" spans="1:8" s="401" customFormat="1" ht="14.25" customHeight="1" x14ac:dyDescent="0.25">
      <c r="A2885" s="564">
        <v>3013</v>
      </c>
      <c r="B2885" s="562" t="s">
        <v>736</v>
      </c>
      <c r="C2885" s="403">
        <v>1</v>
      </c>
      <c r="D2885" s="400"/>
      <c r="E2885" s="400"/>
      <c r="F2885" s="400"/>
      <c r="G2885" s="400"/>
      <c r="H2885" s="396"/>
    </row>
    <row r="2886" spans="1:8" s="401" customFormat="1" ht="14.25" customHeight="1" x14ac:dyDescent="0.25">
      <c r="A2886" s="564">
        <v>3015</v>
      </c>
      <c r="B2886" s="562" t="s">
        <v>736</v>
      </c>
      <c r="C2886" s="403">
        <v>110</v>
      </c>
      <c r="D2886" s="400"/>
      <c r="E2886" s="400"/>
      <c r="F2886" s="400"/>
      <c r="G2886" s="400"/>
      <c r="H2886" s="396"/>
    </row>
    <row r="2887" spans="1:8" s="401" customFormat="1" ht="14.25" customHeight="1" x14ac:dyDescent="0.25">
      <c r="A2887" s="564">
        <v>5100</v>
      </c>
      <c r="B2887" s="562" t="s">
        <v>736</v>
      </c>
      <c r="C2887" s="403">
        <v>329</v>
      </c>
      <c r="D2887" s="400"/>
      <c r="E2887" s="400"/>
      <c r="F2887" s="400"/>
      <c r="G2887" s="400"/>
      <c r="H2887" s="396"/>
    </row>
    <row r="2888" spans="1:8" s="401" customFormat="1" ht="14.25" customHeight="1" x14ac:dyDescent="0.25">
      <c r="A2888" s="564">
        <v>5101</v>
      </c>
      <c r="B2888" s="562" t="s">
        <v>897</v>
      </c>
      <c r="C2888" s="403">
        <v>329</v>
      </c>
      <c r="D2888" s="400"/>
      <c r="E2888" s="400"/>
      <c r="F2888" s="400"/>
      <c r="G2888" s="400"/>
      <c r="H2888" s="396"/>
    </row>
    <row r="2889" spans="1:8" s="401" customFormat="1" ht="14.25" customHeight="1" x14ac:dyDescent="0.25">
      <c r="A2889" s="564">
        <v>5102</v>
      </c>
      <c r="B2889" s="562" t="s">
        <v>894</v>
      </c>
      <c r="C2889" s="403">
        <v>9280</v>
      </c>
      <c r="D2889" s="400"/>
      <c r="E2889" s="400"/>
      <c r="F2889" s="400"/>
      <c r="G2889" s="400"/>
      <c r="H2889" s="396"/>
    </row>
    <row r="2890" spans="1:8" s="401" customFormat="1" ht="14.25" customHeight="1" x14ac:dyDescent="0.25">
      <c r="A2890" s="564">
        <v>5103</v>
      </c>
      <c r="B2890" s="562" t="s">
        <v>736</v>
      </c>
      <c r="C2890" s="403">
        <v>329</v>
      </c>
      <c r="D2890" s="400"/>
      <c r="E2890" s="400"/>
      <c r="F2890" s="400"/>
      <c r="G2890" s="400"/>
      <c r="H2890" s="396"/>
    </row>
    <row r="2891" spans="1:8" s="401" customFormat="1" ht="14.25" customHeight="1" x14ac:dyDescent="0.25">
      <c r="A2891" s="564">
        <v>5104</v>
      </c>
      <c r="B2891" s="562" t="s">
        <v>897</v>
      </c>
      <c r="C2891" s="403">
        <v>329</v>
      </c>
      <c r="D2891" s="400"/>
      <c r="E2891" s="400"/>
      <c r="F2891" s="400"/>
      <c r="G2891" s="400"/>
      <c r="H2891" s="396"/>
    </row>
    <row r="2892" spans="1:8" s="401" customFormat="1" ht="14.25" customHeight="1" x14ac:dyDescent="0.25">
      <c r="A2892" s="564">
        <v>2880</v>
      </c>
      <c r="B2892" s="562" t="s">
        <v>901</v>
      </c>
      <c r="C2892" s="403">
        <v>8699</v>
      </c>
      <c r="D2892" s="400"/>
      <c r="E2892" s="400"/>
      <c r="F2892" s="400"/>
      <c r="G2892" s="400"/>
      <c r="H2892" s="396"/>
    </row>
    <row r="2893" spans="1:8" s="401" customFormat="1" ht="14.25" customHeight="1" x14ac:dyDescent="0.25">
      <c r="A2893" s="564">
        <v>2992</v>
      </c>
      <c r="B2893" s="562" t="s">
        <v>890</v>
      </c>
      <c r="C2893" s="403">
        <v>1</v>
      </c>
      <c r="D2893" s="400"/>
      <c r="E2893" s="400"/>
      <c r="F2893" s="400"/>
      <c r="G2893" s="400"/>
      <c r="H2893" s="396"/>
    </row>
    <row r="2894" spans="1:8" s="401" customFormat="1" ht="14.25" customHeight="1" x14ac:dyDescent="0.25">
      <c r="A2894" s="564">
        <v>2916</v>
      </c>
      <c r="B2894" s="562" t="s">
        <v>892</v>
      </c>
      <c r="C2894" s="403">
        <v>5295</v>
      </c>
      <c r="D2894" s="400"/>
      <c r="E2894" s="400"/>
      <c r="F2894" s="400"/>
      <c r="G2894" s="400"/>
      <c r="H2894" s="396"/>
    </row>
    <row r="2895" spans="1:8" s="401" customFormat="1" ht="14.25" customHeight="1" x14ac:dyDescent="0.25">
      <c r="A2895" s="564">
        <v>2922</v>
      </c>
      <c r="B2895" s="562" t="s">
        <v>893</v>
      </c>
      <c r="C2895" s="403">
        <v>2559</v>
      </c>
      <c r="D2895" s="400"/>
      <c r="E2895" s="400"/>
      <c r="F2895" s="400"/>
      <c r="G2895" s="400"/>
      <c r="H2895" s="396"/>
    </row>
    <row r="2896" spans="1:8" s="401" customFormat="1" ht="14.25" customHeight="1" x14ac:dyDescent="0.25">
      <c r="A2896" s="564">
        <v>2872</v>
      </c>
      <c r="B2896" s="562" t="s">
        <v>892</v>
      </c>
      <c r="C2896" s="403">
        <v>5999</v>
      </c>
      <c r="D2896" s="400"/>
      <c r="E2896" s="400"/>
      <c r="F2896" s="400"/>
      <c r="G2896" s="400"/>
      <c r="H2896" s="396"/>
    </row>
    <row r="2897" spans="1:8" s="401" customFormat="1" ht="14.25" customHeight="1" x14ac:dyDescent="0.25">
      <c r="A2897" s="564">
        <v>2913</v>
      </c>
      <c r="B2897" s="562" t="s">
        <v>898</v>
      </c>
      <c r="C2897" s="403">
        <v>720</v>
      </c>
      <c r="D2897" s="400"/>
      <c r="E2897" s="400"/>
      <c r="F2897" s="400"/>
      <c r="G2897" s="400"/>
      <c r="H2897" s="396"/>
    </row>
    <row r="2898" spans="1:8" s="401" customFormat="1" ht="14.25" customHeight="1" x14ac:dyDescent="0.25">
      <c r="A2898" s="564">
        <v>2919</v>
      </c>
      <c r="B2898" s="562" t="s">
        <v>893</v>
      </c>
      <c r="C2898" s="403">
        <v>2559</v>
      </c>
      <c r="D2898" s="400"/>
      <c r="E2898" s="400"/>
      <c r="F2898" s="400"/>
      <c r="G2898" s="400"/>
      <c r="H2898" s="396"/>
    </row>
    <row r="2899" spans="1:8" s="401" customFormat="1" ht="14.25" customHeight="1" x14ac:dyDescent="0.25">
      <c r="A2899" s="564">
        <v>2926</v>
      </c>
      <c r="B2899" s="562" t="s">
        <v>894</v>
      </c>
      <c r="C2899" s="403">
        <v>6124</v>
      </c>
      <c r="D2899" s="400"/>
      <c r="E2899" s="400"/>
      <c r="F2899" s="400"/>
      <c r="G2899" s="400"/>
      <c r="H2899" s="396"/>
    </row>
    <row r="2900" spans="1:8" s="401" customFormat="1" ht="14.25" customHeight="1" x14ac:dyDescent="0.25">
      <c r="A2900" s="564">
        <v>2929</v>
      </c>
      <c r="B2900" s="562" t="s">
        <v>894</v>
      </c>
      <c r="C2900" s="403">
        <v>6124</v>
      </c>
      <c r="D2900" s="400"/>
      <c r="E2900" s="400"/>
      <c r="F2900" s="400"/>
      <c r="G2900" s="400"/>
      <c r="H2900" s="396"/>
    </row>
    <row r="2901" spans="1:8" s="401" customFormat="1" ht="14.25" customHeight="1" x14ac:dyDescent="0.25">
      <c r="A2901" s="564">
        <v>2978</v>
      </c>
      <c r="B2901" s="562" t="s">
        <v>897</v>
      </c>
      <c r="C2901" s="403">
        <v>138</v>
      </c>
      <c r="D2901" s="400"/>
      <c r="E2901" s="400"/>
      <c r="F2901" s="400"/>
      <c r="G2901" s="400"/>
      <c r="H2901" s="396"/>
    </row>
    <row r="2902" spans="1:8" s="401" customFormat="1" ht="14.25" customHeight="1" x14ac:dyDescent="0.25">
      <c r="A2902" s="564">
        <v>2995</v>
      </c>
      <c r="B2902" s="562" t="s">
        <v>890</v>
      </c>
      <c r="C2902" s="403">
        <v>464</v>
      </c>
      <c r="D2902" s="400"/>
      <c r="E2902" s="400"/>
      <c r="F2902" s="400"/>
      <c r="G2902" s="400"/>
      <c r="H2902" s="396"/>
    </row>
    <row r="2903" spans="1:8" s="401" customFormat="1" ht="14.25" customHeight="1" x14ac:dyDescent="0.25">
      <c r="A2903" s="564">
        <v>3019</v>
      </c>
      <c r="B2903" s="562" t="s">
        <v>736</v>
      </c>
      <c r="C2903" s="403">
        <v>319</v>
      </c>
      <c r="D2903" s="400"/>
      <c r="E2903" s="400"/>
      <c r="F2903" s="400"/>
      <c r="G2903" s="400"/>
      <c r="H2903" s="396"/>
    </row>
    <row r="2904" spans="1:8" s="401" customFormat="1" ht="14.25" customHeight="1" x14ac:dyDescent="0.25">
      <c r="A2904" s="564">
        <v>3021</v>
      </c>
      <c r="B2904" s="562" t="s">
        <v>736</v>
      </c>
      <c r="C2904" s="403">
        <v>1</v>
      </c>
      <c r="D2904" s="400"/>
      <c r="E2904" s="400"/>
      <c r="F2904" s="400"/>
      <c r="G2904" s="400"/>
      <c r="H2904" s="396"/>
    </row>
    <row r="2905" spans="1:8" s="401" customFormat="1" ht="14.25" customHeight="1" x14ac:dyDescent="0.25">
      <c r="A2905" s="564">
        <v>2850</v>
      </c>
      <c r="B2905" s="562" t="s">
        <v>898</v>
      </c>
      <c r="C2905" s="403">
        <v>1914</v>
      </c>
      <c r="D2905" s="400"/>
      <c r="E2905" s="400"/>
      <c r="F2905" s="400"/>
      <c r="G2905" s="400"/>
      <c r="H2905" s="396"/>
    </row>
    <row r="2906" spans="1:8" s="401" customFormat="1" ht="14.25" customHeight="1" x14ac:dyDescent="0.25">
      <c r="A2906" s="564">
        <v>2853</v>
      </c>
      <c r="B2906" s="562" t="s">
        <v>896</v>
      </c>
      <c r="C2906" s="403">
        <v>232</v>
      </c>
      <c r="D2906" s="400"/>
      <c r="E2906" s="400"/>
      <c r="F2906" s="400"/>
      <c r="G2906" s="400"/>
      <c r="H2906" s="396"/>
    </row>
    <row r="2907" spans="1:8" s="401" customFormat="1" ht="14.25" customHeight="1" x14ac:dyDescent="0.25">
      <c r="A2907" s="564">
        <v>2859</v>
      </c>
      <c r="B2907" s="562" t="s">
        <v>896</v>
      </c>
      <c r="C2907" s="403">
        <v>232</v>
      </c>
      <c r="D2907" s="400"/>
      <c r="E2907" s="400"/>
      <c r="F2907" s="400"/>
      <c r="G2907" s="400"/>
      <c r="H2907" s="396"/>
    </row>
    <row r="2908" spans="1:8" s="401" customFormat="1" ht="14.25" customHeight="1" x14ac:dyDescent="0.25">
      <c r="A2908" s="564">
        <v>3017</v>
      </c>
      <c r="B2908" s="562" t="s">
        <v>736</v>
      </c>
      <c r="C2908" s="403">
        <v>319</v>
      </c>
      <c r="D2908" s="400"/>
      <c r="E2908" s="400"/>
      <c r="F2908" s="400"/>
      <c r="G2908" s="400"/>
      <c r="H2908" s="396"/>
    </row>
    <row r="2909" spans="1:8" s="401" customFormat="1" ht="14.25" customHeight="1" x14ac:dyDescent="0.25">
      <c r="A2909" s="564">
        <v>3024</v>
      </c>
      <c r="B2909" s="562" t="s">
        <v>736</v>
      </c>
      <c r="C2909" s="403">
        <v>1</v>
      </c>
      <c r="D2909" s="400"/>
      <c r="E2909" s="400"/>
      <c r="F2909" s="400"/>
      <c r="G2909" s="400"/>
      <c r="H2909" s="396"/>
    </row>
    <row r="2910" spans="1:8" s="401" customFormat="1" ht="14.25" customHeight="1" x14ac:dyDescent="0.25">
      <c r="A2910" s="564">
        <v>4575</v>
      </c>
      <c r="B2910" s="562" t="s">
        <v>902</v>
      </c>
      <c r="C2910" s="403">
        <v>1392</v>
      </c>
      <c r="D2910" s="400"/>
      <c r="E2910" s="400"/>
      <c r="F2910" s="400"/>
      <c r="G2910" s="400"/>
      <c r="H2910" s="396"/>
    </row>
    <row r="2911" spans="1:8" s="401" customFormat="1" ht="14.25" customHeight="1" x14ac:dyDescent="0.25">
      <c r="A2911" s="564">
        <v>2933</v>
      </c>
      <c r="B2911" s="562" t="s">
        <v>893</v>
      </c>
      <c r="C2911" s="403">
        <v>2559</v>
      </c>
      <c r="D2911" s="400"/>
      <c r="E2911" s="400"/>
      <c r="F2911" s="400"/>
      <c r="G2911" s="400"/>
      <c r="H2911" s="396"/>
    </row>
    <row r="2912" spans="1:8" s="401" customFormat="1" ht="14.25" customHeight="1" x14ac:dyDescent="0.25">
      <c r="A2912" s="564">
        <v>2938</v>
      </c>
      <c r="B2912" s="562" t="s">
        <v>893</v>
      </c>
      <c r="C2912" s="403">
        <v>11980</v>
      </c>
      <c r="D2912" s="400"/>
      <c r="E2912" s="400"/>
      <c r="F2912" s="400"/>
      <c r="G2912" s="400"/>
      <c r="H2912" s="396"/>
    </row>
    <row r="2913" spans="1:8" s="401" customFormat="1" ht="14.25" customHeight="1" x14ac:dyDescent="0.25">
      <c r="A2913" s="564">
        <v>2941</v>
      </c>
      <c r="B2913" s="562" t="s">
        <v>893</v>
      </c>
      <c r="C2913" s="403">
        <v>4025</v>
      </c>
      <c r="D2913" s="400"/>
      <c r="E2913" s="400"/>
      <c r="F2913" s="400"/>
      <c r="G2913" s="400"/>
      <c r="H2913" s="396"/>
    </row>
    <row r="2914" spans="1:8" s="401" customFormat="1" ht="14.25" customHeight="1" x14ac:dyDescent="0.25">
      <c r="A2914" s="564">
        <v>2945</v>
      </c>
      <c r="B2914" s="562" t="s">
        <v>894</v>
      </c>
      <c r="C2914" s="403">
        <v>6124</v>
      </c>
      <c r="D2914" s="400"/>
      <c r="E2914" s="400"/>
      <c r="F2914" s="400"/>
      <c r="G2914" s="400"/>
      <c r="H2914" s="396"/>
    </row>
    <row r="2915" spans="1:8" s="401" customFormat="1" ht="14.25" customHeight="1" x14ac:dyDescent="0.25">
      <c r="A2915" s="564">
        <v>2948</v>
      </c>
      <c r="B2915" s="562" t="s">
        <v>894</v>
      </c>
      <c r="C2915" s="403">
        <v>1</v>
      </c>
      <c r="D2915" s="400"/>
      <c r="E2915" s="400"/>
      <c r="F2915" s="400"/>
      <c r="G2915" s="400"/>
      <c r="H2915" s="396"/>
    </row>
    <row r="2916" spans="1:8" s="401" customFormat="1" ht="14.25" customHeight="1" x14ac:dyDescent="0.25">
      <c r="A2916" s="564">
        <v>2951</v>
      </c>
      <c r="B2916" s="562" t="s">
        <v>894</v>
      </c>
      <c r="C2916" s="403">
        <v>7111</v>
      </c>
      <c r="D2916" s="400"/>
      <c r="E2916" s="400"/>
      <c r="F2916" s="400"/>
      <c r="G2916" s="400"/>
      <c r="H2916" s="396"/>
    </row>
    <row r="2917" spans="1:8" s="401" customFormat="1" ht="14.25" customHeight="1" x14ac:dyDescent="0.25">
      <c r="A2917" s="564">
        <v>2984</v>
      </c>
      <c r="B2917" s="562" t="s">
        <v>890</v>
      </c>
      <c r="C2917" s="403">
        <v>288</v>
      </c>
      <c r="D2917" s="400"/>
      <c r="E2917" s="400"/>
      <c r="F2917" s="400"/>
      <c r="G2917" s="400"/>
      <c r="H2917" s="396"/>
    </row>
    <row r="2918" spans="1:8" s="401" customFormat="1" ht="14.25" customHeight="1" x14ac:dyDescent="0.25">
      <c r="A2918" s="564">
        <v>2985</v>
      </c>
      <c r="B2918" s="562" t="s">
        <v>890</v>
      </c>
      <c r="C2918" s="403">
        <v>1</v>
      </c>
      <c r="D2918" s="400"/>
      <c r="E2918" s="400"/>
      <c r="F2918" s="400"/>
      <c r="G2918" s="400"/>
      <c r="H2918" s="396"/>
    </row>
    <row r="2919" spans="1:8" s="401" customFormat="1" ht="14.25" customHeight="1" x14ac:dyDescent="0.25">
      <c r="A2919" s="564">
        <v>2987</v>
      </c>
      <c r="B2919" s="562" t="s">
        <v>890</v>
      </c>
      <c r="C2919" s="403">
        <v>1</v>
      </c>
      <c r="D2919" s="400"/>
      <c r="E2919" s="400"/>
      <c r="F2919" s="400"/>
      <c r="G2919" s="400"/>
      <c r="H2919" s="396"/>
    </row>
    <row r="2920" spans="1:8" s="401" customFormat="1" ht="14.25" customHeight="1" x14ac:dyDescent="0.25">
      <c r="A2920" s="564">
        <v>3003</v>
      </c>
      <c r="B2920" s="562" t="s">
        <v>736</v>
      </c>
      <c r="C2920" s="403">
        <v>1</v>
      </c>
      <c r="D2920" s="400"/>
      <c r="E2920" s="400"/>
      <c r="F2920" s="400"/>
      <c r="G2920" s="400"/>
      <c r="H2920" s="396"/>
    </row>
    <row r="2921" spans="1:8" s="401" customFormat="1" ht="14.25" customHeight="1" x14ac:dyDescent="0.25">
      <c r="A2921" s="564">
        <v>3006</v>
      </c>
      <c r="B2921" s="562" t="s">
        <v>736</v>
      </c>
      <c r="C2921" s="403">
        <v>1</v>
      </c>
      <c r="D2921" s="400"/>
      <c r="E2921" s="400"/>
      <c r="F2921" s="400"/>
      <c r="G2921" s="400"/>
      <c r="H2921" s="396"/>
    </row>
    <row r="2922" spans="1:8" s="401" customFormat="1" ht="14.25" customHeight="1" x14ac:dyDescent="0.25">
      <c r="A2922" s="564">
        <v>3011</v>
      </c>
      <c r="B2922" s="562" t="s">
        <v>736</v>
      </c>
      <c r="C2922" s="403">
        <v>1</v>
      </c>
      <c r="D2922" s="400"/>
      <c r="E2922" s="400"/>
      <c r="F2922" s="400"/>
      <c r="G2922" s="400"/>
      <c r="H2922" s="396"/>
    </row>
    <row r="2923" spans="1:8" s="401" customFormat="1" ht="14.25" customHeight="1" x14ac:dyDescent="0.25">
      <c r="A2923" s="564">
        <v>2959</v>
      </c>
      <c r="B2923" s="562" t="s">
        <v>892</v>
      </c>
      <c r="C2923" s="403">
        <v>5504</v>
      </c>
      <c r="D2923" s="400"/>
      <c r="E2923" s="400"/>
      <c r="F2923" s="400"/>
      <c r="G2923" s="400"/>
      <c r="H2923" s="396"/>
    </row>
    <row r="2924" spans="1:8" s="401" customFormat="1" ht="14.25" customHeight="1" x14ac:dyDescent="0.25">
      <c r="A2924" s="564">
        <v>2960</v>
      </c>
      <c r="B2924" s="562" t="s">
        <v>893</v>
      </c>
      <c r="C2924" s="403">
        <v>2243</v>
      </c>
      <c r="D2924" s="400"/>
      <c r="E2924" s="400"/>
      <c r="F2924" s="400"/>
      <c r="G2924" s="400"/>
      <c r="H2924" s="396"/>
    </row>
    <row r="2925" spans="1:8" s="401" customFormat="1" ht="14.25" customHeight="1" x14ac:dyDescent="0.25">
      <c r="A2925" s="564">
        <v>2961</v>
      </c>
      <c r="B2925" s="562" t="s">
        <v>893</v>
      </c>
      <c r="C2925" s="403">
        <v>3434</v>
      </c>
      <c r="D2925" s="400"/>
      <c r="E2925" s="400"/>
      <c r="F2925" s="400"/>
      <c r="G2925" s="400"/>
      <c r="H2925" s="396"/>
    </row>
    <row r="2926" spans="1:8" s="401" customFormat="1" ht="14.25" customHeight="1" x14ac:dyDescent="0.25">
      <c r="A2926" s="564">
        <v>2973</v>
      </c>
      <c r="B2926" s="562" t="s">
        <v>894</v>
      </c>
      <c r="C2926" s="403">
        <v>4485</v>
      </c>
      <c r="D2926" s="400"/>
      <c r="E2926" s="400"/>
      <c r="F2926" s="400"/>
      <c r="G2926" s="400"/>
      <c r="H2926" s="396"/>
    </row>
    <row r="2927" spans="1:8" s="401" customFormat="1" ht="14.25" customHeight="1" x14ac:dyDescent="0.25">
      <c r="A2927" s="564">
        <v>2975</v>
      </c>
      <c r="B2927" s="562" t="s">
        <v>894</v>
      </c>
      <c r="C2927" s="403">
        <v>5023</v>
      </c>
      <c r="D2927" s="400"/>
      <c r="E2927" s="400"/>
      <c r="F2927" s="400"/>
      <c r="G2927" s="400"/>
      <c r="H2927" s="396"/>
    </row>
    <row r="2928" spans="1:8" s="401" customFormat="1" ht="14.25" customHeight="1" x14ac:dyDescent="0.25">
      <c r="A2928" s="564">
        <v>2977</v>
      </c>
      <c r="B2928" s="562" t="s">
        <v>903</v>
      </c>
      <c r="C2928" s="403">
        <v>1234</v>
      </c>
      <c r="D2928" s="400"/>
      <c r="E2928" s="400"/>
      <c r="F2928" s="400"/>
      <c r="G2928" s="400"/>
      <c r="H2928" s="396"/>
    </row>
    <row r="2929" spans="1:8" s="401" customFormat="1" ht="14.25" customHeight="1" x14ac:dyDescent="0.25">
      <c r="A2929" s="564">
        <v>2980</v>
      </c>
      <c r="B2929" s="562" t="s">
        <v>904</v>
      </c>
      <c r="C2929" s="403">
        <v>1</v>
      </c>
      <c r="D2929" s="400"/>
      <c r="E2929" s="400"/>
      <c r="F2929" s="400"/>
      <c r="G2929" s="400"/>
      <c r="H2929" s="396"/>
    </row>
    <row r="2930" spans="1:8" s="401" customFormat="1" ht="14.25" customHeight="1" x14ac:dyDescent="0.25">
      <c r="A2930" s="564">
        <v>2981</v>
      </c>
      <c r="B2930" s="562" t="s">
        <v>890</v>
      </c>
      <c r="C2930" s="403">
        <v>1</v>
      </c>
      <c r="D2930" s="400"/>
      <c r="E2930" s="400"/>
      <c r="F2930" s="400"/>
      <c r="G2930" s="400"/>
      <c r="H2930" s="396"/>
    </row>
    <row r="2931" spans="1:8" s="401" customFormat="1" ht="14.25" customHeight="1" x14ac:dyDescent="0.25">
      <c r="A2931" s="564">
        <v>2997</v>
      </c>
      <c r="B2931" s="562" t="s">
        <v>736</v>
      </c>
      <c r="C2931" s="403">
        <v>104</v>
      </c>
      <c r="D2931" s="400"/>
      <c r="E2931" s="400"/>
      <c r="F2931" s="400"/>
      <c r="G2931" s="400"/>
      <c r="H2931" s="396"/>
    </row>
    <row r="2932" spans="1:8" s="401" customFormat="1" ht="14.25" customHeight="1" x14ac:dyDescent="0.25">
      <c r="A2932" s="564">
        <v>3000</v>
      </c>
      <c r="B2932" s="562" t="s">
        <v>736</v>
      </c>
      <c r="C2932" s="403">
        <v>104.4</v>
      </c>
      <c r="D2932" s="400"/>
      <c r="E2932" s="400"/>
      <c r="F2932" s="400"/>
      <c r="G2932" s="400"/>
      <c r="H2932" s="396"/>
    </row>
    <row r="2933" spans="1:8" s="401" customFormat="1" ht="14.25" customHeight="1" x14ac:dyDescent="0.25">
      <c r="A2933" s="564">
        <v>3001</v>
      </c>
      <c r="B2933" s="562" t="s">
        <v>736</v>
      </c>
      <c r="C2933" s="403">
        <v>174</v>
      </c>
      <c r="D2933" s="400"/>
      <c r="E2933" s="400"/>
      <c r="F2933" s="400"/>
      <c r="G2933" s="400"/>
      <c r="H2933" s="396"/>
    </row>
    <row r="2934" spans="1:8" s="401" customFormat="1" ht="14.25" customHeight="1" x14ac:dyDescent="0.25">
      <c r="A2934" s="564">
        <v>4596</v>
      </c>
      <c r="B2934" s="562" t="s">
        <v>905</v>
      </c>
      <c r="C2934" s="403">
        <v>1044</v>
      </c>
      <c r="D2934" s="400"/>
      <c r="E2934" s="400"/>
      <c r="F2934" s="400"/>
      <c r="G2934" s="400"/>
      <c r="H2934" s="396"/>
    </row>
    <row r="2935" spans="1:8" s="401" customFormat="1" ht="14.25" customHeight="1" x14ac:dyDescent="0.25">
      <c r="A2935" s="564">
        <v>2889</v>
      </c>
      <c r="B2935" s="562" t="s">
        <v>892</v>
      </c>
      <c r="C2935" s="403">
        <v>5600</v>
      </c>
      <c r="D2935" s="400"/>
      <c r="E2935" s="400"/>
      <c r="F2935" s="400"/>
      <c r="G2935" s="400"/>
      <c r="H2935" s="396"/>
    </row>
    <row r="2936" spans="1:8" s="401" customFormat="1" ht="14.25" customHeight="1" x14ac:dyDescent="0.25">
      <c r="A2936" s="564">
        <v>2891</v>
      </c>
      <c r="B2936" s="562" t="s">
        <v>893</v>
      </c>
      <c r="C2936" s="403">
        <v>4025</v>
      </c>
      <c r="D2936" s="400"/>
      <c r="E2936" s="400"/>
      <c r="F2936" s="400"/>
      <c r="G2936" s="400"/>
      <c r="H2936" s="396"/>
    </row>
    <row r="2937" spans="1:8" s="401" customFormat="1" ht="14.25" customHeight="1" x14ac:dyDescent="0.25">
      <c r="A2937" s="564">
        <v>2905</v>
      </c>
      <c r="B2937" s="562" t="s">
        <v>894</v>
      </c>
      <c r="C2937" s="403">
        <v>8210</v>
      </c>
      <c r="D2937" s="400"/>
      <c r="E2937" s="400"/>
      <c r="F2937" s="400"/>
      <c r="G2937" s="400"/>
      <c r="H2937" s="396"/>
    </row>
    <row r="2938" spans="1:8" s="401" customFormat="1" ht="14.25" customHeight="1" x14ac:dyDescent="0.25">
      <c r="A2938" s="564">
        <v>2993</v>
      </c>
      <c r="B2938" s="562" t="s">
        <v>889</v>
      </c>
      <c r="C2938" s="403">
        <v>1</v>
      </c>
      <c r="D2938" s="400"/>
      <c r="E2938" s="400"/>
      <c r="F2938" s="400"/>
      <c r="G2938" s="400"/>
      <c r="H2938" s="396"/>
    </row>
    <row r="2939" spans="1:8" s="401" customFormat="1" ht="14.25" customHeight="1" x14ac:dyDescent="0.25">
      <c r="A2939" s="564">
        <v>4979</v>
      </c>
      <c r="B2939" s="562" t="s">
        <v>892</v>
      </c>
      <c r="C2939" s="403">
        <v>799</v>
      </c>
      <c r="D2939" s="400"/>
      <c r="E2939" s="400"/>
      <c r="F2939" s="400"/>
      <c r="G2939" s="400"/>
      <c r="H2939" s="396"/>
    </row>
    <row r="2940" spans="1:8" s="401" customFormat="1" ht="14.25" customHeight="1" x14ac:dyDescent="0.25">
      <c r="A2940" s="564">
        <v>411</v>
      </c>
      <c r="B2940" s="562" t="s">
        <v>906</v>
      </c>
      <c r="C2940" s="403">
        <v>137</v>
      </c>
      <c r="D2940" s="400"/>
      <c r="E2940" s="400"/>
      <c r="F2940" s="400"/>
      <c r="G2940" s="400"/>
      <c r="H2940" s="396"/>
    </row>
    <row r="2941" spans="1:8" s="401" customFormat="1" ht="14.25" customHeight="1" x14ac:dyDescent="0.25">
      <c r="A2941" s="564">
        <v>416</v>
      </c>
      <c r="B2941" s="562" t="s">
        <v>906</v>
      </c>
      <c r="C2941" s="403">
        <v>137</v>
      </c>
      <c r="D2941" s="400"/>
      <c r="E2941" s="400"/>
      <c r="F2941" s="400"/>
      <c r="G2941" s="400"/>
      <c r="H2941" s="396"/>
    </row>
    <row r="2942" spans="1:8" s="401" customFormat="1" ht="14.25" customHeight="1" x14ac:dyDescent="0.25">
      <c r="A2942" s="564">
        <v>417</v>
      </c>
      <c r="B2942" s="562" t="s">
        <v>906</v>
      </c>
      <c r="C2942" s="403">
        <v>137</v>
      </c>
      <c r="D2942" s="400"/>
      <c r="E2942" s="400"/>
      <c r="F2942" s="400"/>
      <c r="G2942" s="400"/>
      <c r="H2942" s="396"/>
    </row>
    <row r="2943" spans="1:8" s="401" customFormat="1" ht="14.25" customHeight="1" x14ac:dyDescent="0.25">
      <c r="A2943" s="564">
        <v>418</v>
      </c>
      <c r="B2943" s="562" t="s">
        <v>906</v>
      </c>
      <c r="C2943" s="403">
        <v>589</v>
      </c>
      <c r="D2943" s="400"/>
      <c r="E2943" s="400"/>
      <c r="F2943" s="400"/>
      <c r="G2943" s="400"/>
      <c r="H2943" s="396"/>
    </row>
    <row r="2944" spans="1:8" s="401" customFormat="1" ht="14.25" customHeight="1" x14ac:dyDescent="0.25">
      <c r="A2944" s="564">
        <v>420</v>
      </c>
      <c r="B2944" s="562" t="s">
        <v>906</v>
      </c>
      <c r="C2944" s="403">
        <v>589</v>
      </c>
      <c r="D2944" s="400"/>
      <c r="E2944" s="400"/>
      <c r="F2944" s="400"/>
      <c r="G2944" s="400"/>
      <c r="H2944" s="396"/>
    </row>
    <row r="2945" spans="1:8" s="401" customFormat="1" ht="14.25" customHeight="1" x14ac:dyDescent="0.25">
      <c r="A2945" s="564">
        <v>501</v>
      </c>
      <c r="B2945" s="562" t="s">
        <v>906</v>
      </c>
      <c r="C2945" s="403">
        <v>589</v>
      </c>
      <c r="D2945" s="400"/>
      <c r="E2945" s="400"/>
      <c r="F2945" s="400"/>
      <c r="G2945" s="400"/>
      <c r="H2945" s="396"/>
    </row>
    <row r="2946" spans="1:8" s="401" customFormat="1" ht="14.25" customHeight="1" x14ac:dyDescent="0.25">
      <c r="A2946" s="564">
        <v>503</v>
      </c>
      <c r="B2946" s="562" t="s">
        <v>906</v>
      </c>
      <c r="C2946" s="403">
        <v>589</v>
      </c>
      <c r="D2946" s="400"/>
      <c r="E2946" s="400"/>
      <c r="F2946" s="400"/>
      <c r="G2946" s="400"/>
      <c r="H2946" s="396"/>
    </row>
    <row r="2947" spans="1:8" s="401" customFormat="1" ht="14.25" customHeight="1" x14ac:dyDescent="0.25">
      <c r="A2947" s="564">
        <v>504</v>
      </c>
      <c r="B2947" s="562" t="s">
        <v>906</v>
      </c>
      <c r="C2947" s="403">
        <v>589</v>
      </c>
      <c r="D2947" s="400"/>
      <c r="E2947" s="400"/>
      <c r="F2947" s="400"/>
      <c r="G2947" s="400"/>
      <c r="H2947" s="396"/>
    </row>
    <row r="2948" spans="1:8" s="401" customFormat="1" ht="14.25" customHeight="1" x14ac:dyDescent="0.25">
      <c r="A2948" s="564">
        <v>508</v>
      </c>
      <c r="B2948" s="562" t="s">
        <v>900</v>
      </c>
      <c r="C2948" s="403">
        <v>23161</v>
      </c>
      <c r="D2948" s="400"/>
      <c r="E2948" s="400"/>
      <c r="F2948" s="400"/>
      <c r="G2948" s="400"/>
      <c r="H2948" s="396"/>
    </row>
    <row r="2949" spans="1:8" s="401" customFormat="1" ht="14.25" customHeight="1" x14ac:dyDescent="0.25">
      <c r="A2949" s="564">
        <v>514</v>
      </c>
      <c r="B2949" s="562" t="s">
        <v>893</v>
      </c>
      <c r="C2949" s="403">
        <v>2559</v>
      </c>
      <c r="D2949" s="400"/>
      <c r="E2949" s="400"/>
      <c r="F2949" s="400"/>
      <c r="G2949" s="400"/>
      <c r="H2949" s="396"/>
    </row>
    <row r="2950" spans="1:8" s="401" customFormat="1" ht="14.25" customHeight="1" x14ac:dyDescent="0.25">
      <c r="A2950" s="564">
        <v>516</v>
      </c>
      <c r="B2950" s="562" t="s">
        <v>893</v>
      </c>
      <c r="C2950" s="403">
        <v>2559</v>
      </c>
      <c r="D2950" s="400"/>
      <c r="E2950" s="400"/>
      <c r="F2950" s="400"/>
      <c r="G2950" s="400"/>
      <c r="H2950" s="396"/>
    </row>
    <row r="2951" spans="1:8" s="401" customFormat="1" ht="14.25" customHeight="1" x14ac:dyDescent="0.25">
      <c r="A2951" s="564">
        <v>518</v>
      </c>
      <c r="B2951" s="562" t="s">
        <v>893</v>
      </c>
      <c r="C2951" s="403">
        <v>2738</v>
      </c>
      <c r="D2951" s="400"/>
      <c r="E2951" s="400"/>
      <c r="F2951" s="400"/>
      <c r="G2951" s="400"/>
      <c r="H2951" s="396"/>
    </row>
    <row r="2952" spans="1:8" s="401" customFormat="1" ht="14.25" customHeight="1" x14ac:dyDescent="0.25">
      <c r="A2952" s="564">
        <v>520</v>
      </c>
      <c r="B2952" s="562" t="s">
        <v>893</v>
      </c>
      <c r="C2952" s="403">
        <v>3016</v>
      </c>
      <c r="D2952" s="400"/>
      <c r="E2952" s="400"/>
      <c r="F2952" s="400"/>
      <c r="G2952" s="400"/>
      <c r="H2952" s="396"/>
    </row>
    <row r="2953" spans="1:8" s="401" customFormat="1" ht="14.25" customHeight="1" x14ac:dyDescent="0.25">
      <c r="A2953" s="564">
        <v>522</v>
      </c>
      <c r="B2953" s="562" t="s">
        <v>894</v>
      </c>
      <c r="C2953" s="403">
        <v>4106</v>
      </c>
      <c r="D2953" s="400"/>
      <c r="E2953" s="400"/>
      <c r="F2953" s="400"/>
      <c r="G2953" s="400"/>
      <c r="H2953" s="396"/>
    </row>
    <row r="2954" spans="1:8" s="401" customFormat="1" ht="14.25" customHeight="1" x14ac:dyDescent="0.25">
      <c r="A2954" s="564">
        <v>528</v>
      </c>
      <c r="B2954" s="562" t="s">
        <v>894</v>
      </c>
      <c r="C2954" s="403">
        <v>4524</v>
      </c>
      <c r="D2954" s="400"/>
      <c r="E2954" s="400"/>
      <c r="F2954" s="400"/>
      <c r="G2954" s="400"/>
      <c r="H2954" s="396"/>
    </row>
    <row r="2955" spans="1:8" s="401" customFormat="1" ht="14.25" customHeight="1" x14ac:dyDescent="0.25">
      <c r="A2955" s="564">
        <v>536</v>
      </c>
      <c r="B2955" s="562" t="s">
        <v>892</v>
      </c>
      <c r="C2955" s="403">
        <v>2237</v>
      </c>
      <c r="D2955" s="400"/>
      <c r="E2955" s="400"/>
      <c r="F2955" s="400"/>
      <c r="G2955" s="400"/>
      <c r="H2955" s="396"/>
    </row>
    <row r="2956" spans="1:8" s="401" customFormat="1" ht="14.25" customHeight="1" x14ac:dyDescent="0.25">
      <c r="A2956" s="564">
        <v>539</v>
      </c>
      <c r="B2956" s="562" t="s">
        <v>892</v>
      </c>
      <c r="C2956" s="403">
        <v>1806</v>
      </c>
      <c r="D2956" s="400"/>
      <c r="E2956" s="400"/>
      <c r="F2956" s="400"/>
      <c r="G2956" s="400"/>
      <c r="H2956" s="396"/>
    </row>
    <row r="2957" spans="1:8" s="401" customFormat="1" ht="14.25" customHeight="1" x14ac:dyDescent="0.25">
      <c r="A2957" s="564">
        <v>544</v>
      </c>
      <c r="B2957" s="562" t="s">
        <v>893</v>
      </c>
      <c r="C2957" s="403">
        <v>1</v>
      </c>
      <c r="D2957" s="400"/>
      <c r="E2957" s="400"/>
      <c r="F2957" s="400"/>
      <c r="G2957" s="400"/>
      <c r="H2957" s="396"/>
    </row>
    <row r="2958" spans="1:8" s="401" customFormat="1" ht="14.25" customHeight="1" x14ac:dyDescent="0.25">
      <c r="A2958" s="564">
        <v>545</v>
      </c>
      <c r="B2958" s="562" t="s">
        <v>893</v>
      </c>
      <c r="C2958" s="403">
        <v>1</v>
      </c>
      <c r="D2958" s="400"/>
      <c r="E2958" s="400"/>
      <c r="F2958" s="400"/>
      <c r="G2958" s="400"/>
      <c r="H2958" s="396"/>
    </row>
    <row r="2959" spans="1:8" s="401" customFormat="1" ht="14.25" customHeight="1" x14ac:dyDescent="0.25">
      <c r="A2959" s="564">
        <v>548</v>
      </c>
      <c r="B2959" s="562" t="s">
        <v>897</v>
      </c>
      <c r="C2959" s="403">
        <v>97.56</v>
      </c>
      <c r="D2959" s="400"/>
      <c r="E2959" s="400"/>
      <c r="F2959" s="400"/>
      <c r="G2959" s="400"/>
      <c r="H2959" s="396"/>
    </row>
    <row r="2960" spans="1:8" s="401" customFormat="1" ht="14.25" customHeight="1" x14ac:dyDescent="0.25">
      <c r="A2960" s="564">
        <v>555</v>
      </c>
      <c r="B2960" s="562" t="s">
        <v>889</v>
      </c>
      <c r="C2960" s="403">
        <v>1</v>
      </c>
      <c r="D2960" s="400"/>
      <c r="E2960" s="400"/>
      <c r="F2960" s="400"/>
      <c r="G2960" s="400"/>
      <c r="H2960" s="396"/>
    </row>
    <row r="2961" spans="1:8" s="401" customFormat="1" ht="14.25" customHeight="1" x14ac:dyDescent="0.25">
      <c r="A2961" s="564">
        <v>560</v>
      </c>
      <c r="B2961" s="562" t="s">
        <v>889</v>
      </c>
      <c r="C2961" s="403">
        <v>452.4</v>
      </c>
      <c r="D2961" s="400"/>
      <c r="E2961" s="400"/>
      <c r="F2961" s="400"/>
      <c r="G2961" s="400"/>
      <c r="H2961" s="396"/>
    </row>
    <row r="2962" spans="1:8" s="401" customFormat="1" ht="14.25" customHeight="1" x14ac:dyDescent="0.25">
      <c r="A2962" s="564">
        <v>564</v>
      </c>
      <c r="B2962" s="562" t="s">
        <v>736</v>
      </c>
      <c r="C2962" s="403">
        <v>110</v>
      </c>
      <c r="D2962" s="400"/>
      <c r="E2962" s="400"/>
      <c r="F2962" s="400"/>
      <c r="G2962" s="400"/>
      <c r="H2962" s="396"/>
    </row>
    <row r="2963" spans="1:8" s="401" customFormat="1" ht="14.25" customHeight="1" x14ac:dyDescent="0.25">
      <c r="A2963" s="564">
        <v>581</v>
      </c>
      <c r="B2963" s="562" t="s">
        <v>893</v>
      </c>
      <c r="C2963" s="403">
        <v>3950</v>
      </c>
      <c r="D2963" s="400"/>
      <c r="E2963" s="400"/>
      <c r="F2963" s="400"/>
      <c r="G2963" s="400"/>
      <c r="H2963" s="396"/>
    </row>
    <row r="2964" spans="1:8" s="401" customFormat="1" ht="14.25" customHeight="1" x14ac:dyDescent="0.25">
      <c r="A2964" s="564">
        <v>583</v>
      </c>
      <c r="B2964" s="562" t="s">
        <v>893</v>
      </c>
      <c r="C2964" s="403">
        <v>3950</v>
      </c>
      <c r="D2964" s="400"/>
      <c r="E2964" s="400"/>
      <c r="F2964" s="400"/>
      <c r="G2964" s="400"/>
      <c r="H2964" s="396"/>
    </row>
    <row r="2965" spans="1:8" s="401" customFormat="1" ht="14.25" customHeight="1" x14ac:dyDescent="0.25">
      <c r="A2965" s="564">
        <v>637</v>
      </c>
      <c r="B2965" s="562" t="s">
        <v>893</v>
      </c>
      <c r="C2965" s="403">
        <v>3950</v>
      </c>
      <c r="D2965" s="400"/>
      <c r="E2965" s="400"/>
      <c r="F2965" s="400"/>
      <c r="G2965" s="400"/>
      <c r="H2965" s="396"/>
    </row>
    <row r="2966" spans="1:8" s="401" customFormat="1" ht="14.25" customHeight="1" x14ac:dyDescent="0.25">
      <c r="A2966" s="564">
        <v>673</v>
      </c>
      <c r="B2966" s="562" t="s">
        <v>893</v>
      </c>
      <c r="C2966" s="403">
        <v>1</v>
      </c>
      <c r="D2966" s="400"/>
      <c r="E2966" s="400"/>
      <c r="F2966" s="400"/>
      <c r="G2966" s="400"/>
      <c r="H2966" s="396"/>
    </row>
    <row r="2967" spans="1:8" s="401" customFormat="1" ht="14.25" customHeight="1" x14ac:dyDescent="0.25">
      <c r="A2967" s="564">
        <v>682</v>
      </c>
      <c r="B2967" s="562" t="s">
        <v>893</v>
      </c>
      <c r="C2967" s="403">
        <v>1</v>
      </c>
      <c r="D2967" s="400"/>
      <c r="E2967" s="400"/>
      <c r="F2967" s="400"/>
      <c r="G2967" s="400"/>
      <c r="H2967" s="396"/>
    </row>
    <row r="2968" spans="1:8" s="401" customFormat="1" ht="14.25" customHeight="1" x14ac:dyDescent="0.25">
      <c r="A2968" s="564">
        <v>687</v>
      </c>
      <c r="B2968" s="562" t="s">
        <v>897</v>
      </c>
      <c r="C2968" s="403">
        <v>1</v>
      </c>
      <c r="D2968" s="400"/>
      <c r="E2968" s="400"/>
      <c r="F2968" s="400"/>
      <c r="G2968" s="400"/>
      <c r="H2968" s="396"/>
    </row>
    <row r="2969" spans="1:8" s="401" customFormat="1" ht="14.25" customHeight="1" x14ac:dyDescent="0.25">
      <c r="A2969" s="564">
        <v>690</v>
      </c>
      <c r="B2969" s="562" t="s">
        <v>897</v>
      </c>
      <c r="C2969" s="403">
        <v>1</v>
      </c>
      <c r="D2969" s="400"/>
      <c r="E2969" s="400"/>
      <c r="F2969" s="400"/>
      <c r="G2969" s="400"/>
      <c r="H2969" s="396"/>
    </row>
    <row r="2970" spans="1:8" s="401" customFormat="1" ht="14.25" customHeight="1" x14ac:dyDescent="0.25">
      <c r="A2970" s="564">
        <v>691</v>
      </c>
      <c r="B2970" s="562" t="s">
        <v>897</v>
      </c>
      <c r="C2970" s="403">
        <v>99.58</v>
      </c>
      <c r="D2970" s="400"/>
      <c r="E2970" s="400"/>
      <c r="F2970" s="400"/>
      <c r="G2970" s="400"/>
      <c r="H2970" s="396"/>
    </row>
    <row r="2971" spans="1:8" s="401" customFormat="1" ht="14.25" customHeight="1" x14ac:dyDescent="0.25">
      <c r="A2971" s="564">
        <v>694</v>
      </c>
      <c r="B2971" s="562" t="s">
        <v>897</v>
      </c>
      <c r="C2971" s="403">
        <v>99.58</v>
      </c>
      <c r="D2971" s="400"/>
      <c r="E2971" s="400"/>
      <c r="F2971" s="400"/>
      <c r="G2971" s="400"/>
      <c r="H2971" s="396"/>
    </row>
    <row r="2972" spans="1:8" s="401" customFormat="1" ht="14.25" customHeight="1" x14ac:dyDescent="0.25">
      <c r="A2972" s="564">
        <v>711</v>
      </c>
      <c r="B2972" s="562" t="s">
        <v>894</v>
      </c>
      <c r="C2972" s="403">
        <v>1</v>
      </c>
      <c r="D2972" s="400"/>
      <c r="E2972" s="400"/>
      <c r="F2972" s="400"/>
      <c r="G2972" s="400"/>
      <c r="H2972" s="396"/>
    </row>
    <row r="2973" spans="1:8" s="401" customFormat="1" ht="14.25" customHeight="1" x14ac:dyDescent="0.25">
      <c r="A2973" s="564">
        <v>713</v>
      </c>
      <c r="B2973" s="562" t="s">
        <v>894</v>
      </c>
      <c r="C2973" s="403">
        <v>5750</v>
      </c>
      <c r="D2973" s="400"/>
      <c r="E2973" s="400"/>
      <c r="F2973" s="400"/>
      <c r="G2973" s="400"/>
      <c r="H2973" s="396"/>
    </row>
    <row r="2974" spans="1:8" s="401" customFormat="1" ht="14.25" customHeight="1" x14ac:dyDescent="0.25">
      <c r="A2974" s="564">
        <v>721</v>
      </c>
      <c r="B2974" s="562" t="s">
        <v>894</v>
      </c>
      <c r="C2974" s="403">
        <v>1</v>
      </c>
      <c r="D2974" s="400"/>
      <c r="E2974" s="400"/>
      <c r="F2974" s="400"/>
      <c r="G2974" s="400"/>
      <c r="H2974" s="396"/>
    </row>
    <row r="2975" spans="1:8" s="401" customFormat="1" ht="14.25" customHeight="1" x14ac:dyDescent="0.25">
      <c r="A2975" s="564">
        <v>738</v>
      </c>
      <c r="B2975" s="562" t="s">
        <v>894</v>
      </c>
      <c r="C2975" s="403">
        <v>1</v>
      </c>
      <c r="D2975" s="400"/>
      <c r="E2975" s="400"/>
      <c r="F2975" s="400"/>
      <c r="G2975" s="400"/>
      <c r="H2975" s="396"/>
    </row>
    <row r="2976" spans="1:8" s="401" customFormat="1" ht="14.25" customHeight="1" x14ac:dyDescent="0.25">
      <c r="A2976" s="564">
        <v>743</v>
      </c>
      <c r="B2976" s="562" t="s">
        <v>889</v>
      </c>
      <c r="C2976" s="403">
        <v>1</v>
      </c>
      <c r="D2976" s="400"/>
      <c r="E2976" s="400"/>
      <c r="F2976" s="400"/>
      <c r="G2976" s="400"/>
      <c r="H2976" s="396"/>
    </row>
    <row r="2977" spans="1:8" s="401" customFormat="1" ht="14.25" customHeight="1" x14ac:dyDescent="0.25">
      <c r="A2977" s="564">
        <v>754</v>
      </c>
      <c r="B2977" s="562" t="s">
        <v>889</v>
      </c>
      <c r="C2977" s="403">
        <v>1</v>
      </c>
      <c r="D2977" s="400"/>
      <c r="E2977" s="400"/>
      <c r="F2977" s="400"/>
      <c r="G2977" s="400"/>
      <c r="H2977" s="396"/>
    </row>
    <row r="2978" spans="1:8" s="401" customFormat="1" ht="14.25" customHeight="1" x14ac:dyDescent="0.25">
      <c r="A2978" s="564">
        <v>757</v>
      </c>
      <c r="B2978" s="562" t="s">
        <v>889</v>
      </c>
      <c r="C2978" s="403">
        <v>1</v>
      </c>
      <c r="D2978" s="400"/>
      <c r="E2978" s="400"/>
      <c r="F2978" s="400"/>
      <c r="G2978" s="400"/>
      <c r="H2978" s="396"/>
    </row>
    <row r="2979" spans="1:8" s="401" customFormat="1" ht="14.25" customHeight="1" x14ac:dyDescent="0.25">
      <c r="A2979" s="564">
        <v>761</v>
      </c>
      <c r="B2979" s="562" t="s">
        <v>889</v>
      </c>
      <c r="C2979" s="403">
        <v>1</v>
      </c>
      <c r="D2979" s="400"/>
      <c r="E2979" s="400"/>
      <c r="F2979" s="400"/>
      <c r="G2979" s="400"/>
      <c r="H2979" s="396"/>
    </row>
    <row r="2980" spans="1:8" s="401" customFormat="1" ht="14.25" customHeight="1" x14ac:dyDescent="0.25">
      <c r="A2980" s="564">
        <v>764</v>
      </c>
      <c r="B2980" s="562" t="s">
        <v>889</v>
      </c>
      <c r="C2980" s="403">
        <v>1</v>
      </c>
      <c r="D2980" s="400"/>
      <c r="E2980" s="400"/>
      <c r="F2980" s="400"/>
      <c r="G2980" s="400"/>
      <c r="H2980" s="396"/>
    </row>
    <row r="2981" spans="1:8" s="401" customFormat="1" ht="14.25" customHeight="1" x14ac:dyDescent="0.25">
      <c r="A2981" s="564">
        <v>770</v>
      </c>
      <c r="B2981" s="562" t="s">
        <v>889</v>
      </c>
      <c r="C2981" s="403">
        <v>1</v>
      </c>
      <c r="D2981" s="400"/>
      <c r="E2981" s="400"/>
      <c r="F2981" s="400"/>
      <c r="G2981" s="400"/>
      <c r="H2981" s="396"/>
    </row>
    <row r="2982" spans="1:8" s="401" customFormat="1" ht="14.25" customHeight="1" x14ac:dyDescent="0.25">
      <c r="A2982" s="564">
        <v>821</v>
      </c>
      <c r="B2982" s="562" t="s">
        <v>889</v>
      </c>
      <c r="C2982" s="403">
        <v>480.08</v>
      </c>
      <c r="D2982" s="400"/>
      <c r="E2982" s="400"/>
      <c r="F2982" s="400"/>
      <c r="G2982" s="400"/>
      <c r="H2982" s="396"/>
    </row>
    <row r="2983" spans="1:8" s="401" customFormat="1" ht="14.25" customHeight="1" x14ac:dyDescent="0.25">
      <c r="A2983" s="564">
        <v>839</v>
      </c>
      <c r="B2983" s="562" t="s">
        <v>736</v>
      </c>
      <c r="C2983" s="403">
        <v>1</v>
      </c>
      <c r="D2983" s="400"/>
      <c r="E2983" s="400"/>
      <c r="F2983" s="400"/>
      <c r="G2983" s="400"/>
      <c r="H2983" s="396"/>
    </row>
    <row r="2984" spans="1:8" s="401" customFormat="1" ht="14.25" customHeight="1" x14ac:dyDescent="0.25">
      <c r="A2984" s="564">
        <v>841</v>
      </c>
      <c r="B2984" s="562" t="s">
        <v>736</v>
      </c>
      <c r="C2984" s="403">
        <v>104.4</v>
      </c>
      <c r="D2984" s="400"/>
      <c r="E2984" s="400"/>
      <c r="F2984" s="400"/>
      <c r="G2984" s="400"/>
      <c r="H2984" s="396"/>
    </row>
    <row r="2985" spans="1:8" s="401" customFormat="1" ht="14.25" customHeight="1" x14ac:dyDescent="0.25">
      <c r="A2985" s="564">
        <v>4503</v>
      </c>
      <c r="B2985" s="562" t="s">
        <v>897</v>
      </c>
      <c r="C2985" s="403">
        <v>406</v>
      </c>
      <c r="D2985" s="400"/>
      <c r="E2985" s="400"/>
      <c r="F2985" s="400"/>
      <c r="G2985" s="400"/>
      <c r="H2985" s="396"/>
    </row>
    <row r="2986" spans="1:8" s="401" customFormat="1" ht="14.25" customHeight="1" x14ac:dyDescent="0.25">
      <c r="A2986" s="564">
        <v>4513</v>
      </c>
      <c r="B2986" s="562" t="s">
        <v>897</v>
      </c>
      <c r="C2986" s="403">
        <v>406</v>
      </c>
      <c r="D2986" s="400"/>
      <c r="E2986" s="400"/>
      <c r="F2986" s="400"/>
      <c r="G2986" s="400"/>
      <c r="H2986" s="396"/>
    </row>
    <row r="2987" spans="1:8" s="401" customFormat="1" ht="14.25" customHeight="1" x14ac:dyDescent="0.25">
      <c r="A2987" s="564">
        <v>4515</v>
      </c>
      <c r="B2987" s="562" t="s">
        <v>897</v>
      </c>
      <c r="C2987" s="403">
        <v>406</v>
      </c>
      <c r="D2987" s="400"/>
      <c r="E2987" s="400"/>
      <c r="F2987" s="400"/>
      <c r="G2987" s="400"/>
      <c r="H2987" s="396"/>
    </row>
    <row r="2988" spans="1:8" s="401" customFormat="1" ht="14.25" customHeight="1" x14ac:dyDescent="0.25">
      <c r="A2988" s="564">
        <v>4517</v>
      </c>
      <c r="B2988" s="562" t="s">
        <v>897</v>
      </c>
      <c r="C2988" s="403">
        <v>406</v>
      </c>
      <c r="D2988" s="400"/>
      <c r="E2988" s="400"/>
      <c r="F2988" s="400"/>
      <c r="G2988" s="400"/>
      <c r="H2988" s="396"/>
    </row>
    <row r="2989" spans="1:8" s="401" customFormat="1" ht="14.25" customHeight="1" x14ac:dyDescent="0.25">
      <c r="A2989" s="564">
        <v>4518</v>
      </c>
      <c r="B2989" s="562" t="s">
        <v>897</v>
      </c>
      <c r="C2989" s="403">
        <v>406</v>
      </c>
      <c r="D2989" s="400"/>
      <c r="E2989" s="400"/>
      <c r="F2989" s="400"/>
      <c r="G2989" s="400"/>
      <c r="H2989" s="396"/>
    </row>
    <row r="2990" spans="1:8" s="401" customFormat="1" ht="14.25" customHeight="1" x14ac:dyDescent="0.25">
      <c r="A2990" s="564">
        <v>4993</v>
      </c>
      <c r="B2990" s="562" t="s">
        <v>897</v>
      </c>
      <c r="C2990" s="403">
        <v>406</v>
      </c>
      <c r="D2990" s="400"/>
      <c r="E2990" s="400"/>
      <c r="F2990" s="400"/>
      <c r="G2990" s="400"/>
      <c r="H2990" s="396"/>
    </row>
    <row r="2991" spans="1:8" s="401" customFormat="1" ht="14.25" customHeight="1" x14ac:dyDescent="0.25">
      <c r="A2991" s="564">
        <v>4994</v>
      </c>
      <c r="B2991" s="562" t="s">
        <v>897</v>
      </c>
      <c r="C2991" s="403">
        <v>406</v>
      </c>
      <c r="D2991" s="400"/>
      <c r="E2991" s="400"/>
      <c r="F2991" s="400"/>
      <c r="G2991" s="400"/>
      <c r="H2991" s="396"/>
    </row>
    <row r="2992" spans="1:8" s="401" customFormat="1" ht="14.25" customHeight="1" x14ac:dyDescent="0.25">
      <c r="A2992" s="564">
        <v>4996</v>
      </c>
      <c r="B2992" s="562" t="s">
        <v>897</v>
      </c>
      <c r="C2992" s="403">
        <v>406</v>
      </c>
      <c r="D2992" s="400"/>
      <c r="E2992" s="400"/>
      <c r="F2992" s="400"/>
      <c r="G2992" s="400"/>
      <c r="H2992" s="396"/>
    </row>
    <row r="2993" spans="1:8" s="401" customFormat="1" ht="14.25" customHeight="1" x14ac:dyDescent="0.25">
      <c r="A2993" s="564">
        <v>4997</v>
      </c>
      <c r="B2993" s="562" t="s">
        <v>897</v>
      </c>
      <c r="C2993" s="403">
        <v>406</v>
      </c>
      <c r="D2993" s="400"/>
      <c r="E2993" s="400"/>
      <c r="F2993" s="400"/>
      <c r="G2993" s="400"/>
      <c r="H2993" s="396"/>
    </row>
    <row r="2994" spans="1:8" s="401" customFormat="1" ht="14.25" customHeight="1" x14ac:dyDescent="0.25">
      <c r="A2994" s="564">
        <v>4999</v>
      </c>
      <c r="B2994" s="562" t="s">
        <v>897</v>
      </c>
      <c r="C2994" s="403">
        <v>406</v>
      </c>
      <c r="D2994" s="400"/>
      <c r="E2994" s="400"/>
      <c r="F2994" s="400"/>
      <c r="G2994" s="400"/>
      <c r="H2994" s="396"/>
    </row>
    <row r="2995" spans="1:8" s="401" customFormat="1" ht="14.25" customHeight="1" x14ac:dyDescent="0.25">
      <c r="A2995" s="564">
        <v>5000</v>
      </c>
      <c r="B2995" s="562" t="s">
        <v>897</v>
      </c>
      <c r="C2995" s="403">
        <v>406</v>
      </c>
      <c r="D2995" s="400"/>
      <c r="E2995" s="400"/>
      <c r="F2995" s="400"/>
      <c r="G2995" s="400"/>
      <c r="H2995" s="396"/>
    </row>
    <row r="2996" spans="1:8" s="401" customFormat="1" ht="14.25" customHeight="1" x14ac:dyDescent="0.25">
      <c r="A2996" s="564">
        <v>596</v>
      </c>
      <c r="B2996" s="562" t="s">
        <v>893</v>
      </c>
      <c r="C2996" s="403">
        <v>3950</v>
      </c>
      <c r="D2996" s="400"/>
      <c r="E2996" s="400"/>
      <c r="F2996" s="400"/>
      <c r="G2996" s="400"/>
      <c r="H2996" s="396"/>
    </row>
    <row r="2997" spans="1:8" s="401" customFormat="1" ht="14.25" customHeight="1" x14ac:dyDescent="0.25">
      <c r="A2997" s="564">
        <v>605</v>
      </c>
      <c r="B2997" s="562" t="s">
        <v>893</v>
      </c>
      <c r="C2997" s="403">
        <v>3950</v>
      </c>
      <c r="D2997" s="400"/>
      <c r="E2997" s="400"/>
      <c r="F2997" s="400"/>
      <c r="G2997" s="400"/>
      <c r="H2997" s="396"/>
    </row>
    <row r="2998" spans="1:8" s="401" customFormat="1" ht="14.25" customHeight="1" x14ac:dyDescent="0.25">
      <c r="A2998" s="564">
        <v>610</v>
      </c>
      <c r="B2998" s="562" t="s">
        <v>893</v>
      </c>
      <c r="C2998" s="403">
        <v>3950</v>
      </c>
      <c r="D2998" s="400"/>
      <c r="E2998" s="400"/>
      <c r="F2998" s="400"/>
      <c r="G2998" s="400"/>
      <c r="H2998" s="396"/>
    </row>
    <row r="2999" spans="1:8" s="401" customFormat="1" ht="14.25" customHeight="1" x14ac:dyDescent="0.25">
      <c r="A2999" s="564">
        <v>616</v>
      </c>
      <c r="B2999" s="562" t="s">
        <v>893</v>
      </c>
      <c r="C2999" s="403">
        <v>3950</v>
      </c>
      <c r="D2999" s="400"/>
      <c r="E2999" s="400"/>
      <c r="F2999" s="400"/>
      <c r="G2999" s="400"/>
      <c r="H2999" s="396"/>
    </row>
    <row r="3000" spans="1:8" s="401" customFormat="1" ht="14.25" customHeight="1" x14ac:dyDescent="0.25">
      <c r="A3000" s="564">
        <v>621</v>
      </c>
      <c r="B3000" s="562" t="s">
        <v>893</v>
      </c>
      <c r="C3000" s="403">
        <v>1760</v>
      </c>
      <c r="D3000" s="400"/>
      <c r="E3000" s="400"/>
      <c r="F3000" s="400"/>
      <c r="G3000" s="400"/>
      <c r="H3000" s="396"/>
    </row>
    <row r="3001" spans="1:8" s="401" customFormat="1" ht="14.25" customHeight="1" x14ac:dyDescent="0.25">
      <c r="A3001" s="564">
        <v>624</v>
      </c>
      <c r="B3001" s="562" t="s">
        <v>893</v>
      </c>
      <c r="C3001" s="403">
        <v>2291</v>
      </c>
      <c r="D3001" s="400"/>
      <c r="E3001" s="400"/>
      <c r="F3001" s="400"/>
      <c r="G3001" s="400"/>
      <c r="H3001" s="396"/>
    </row>
    <row r="3002" spans="1:8" s="401" customFormat="1" ht="14.25" customHeight="1" x14ac:dyDescent="0.25">
      <c r="A3002" s="564">
        <v>626</v>
      </c>
      <c r="B3002" s="562" t="s">
        <v>893</v>
      </c>
      <c r="C3002" s="403">
        <v>3950</v>
      </c>
      <c r="D3002" s="400"/>
      <c r="E3002" s="400"/>
      <c r="F3002" s="400"/>
      <c r="G3002" s="400"/>
      <c r="H3002" s="396"/>
    </row>
    <row r="3003" spans="1:8" s="401" customFormat="1" ht="14.25" customHeight="1" x14ac:dyDescent="0.25">
      <c r="A3003" s="564">
        <v>629</v>
      </c>
      <c r="B3003" s="562" t="s">
        <v>894</v>
      </c>
      <c r="C3003" s="403">
        <v>6930</v>
      </c>
      <c r="D3003" s="400"/>
      <c r="E3003" s="400"/>
      <c r="F3003" s="400"/>
      <c r="G3003" s="400"/>
      <c r="H3003" s="396"/>
    </row>
    <row r="3004" spans="1:8" s="401" customFormat="1" ht="14.25" customHeight="1" x14ac:dyDescent="0.25">
      <c r="A3004" s="564">
        <v>632</v>
      </c>
      <c r="B3004" s="562" t="s">
        <v>892</v>
      </c>
      <c r="C3004" s="403">
        <v>1936</v>
      </c>
      <c r="D3004" s="400"/>
      <c r="E3004" s="400"/>
      <c r="F3004" s="400"/>
      <c r="G3004" s="400"/>
      <c r="H3004" s="396"/>
    </row>
    <row r="3005" spans="1:8" s="401" customFormat="1" ht="14.25" customHeight="1" x14ac:dyDescent="0.25">
      <c r="A3005" s="564">
        <v>695</v>
      </c>
      <c r="B3005" s="562" t="s">
        <v>897</v>
      </c>
      <c r="C3005" s="403">
        <v>1</v>
      </c>
      <c r="D3005" s="400"/>
      <c r="E3005" s="400"/>
      <c r="F3005" s="400"/>
      <c r="G3005" s="400"/>
      <c r="H3005" s="396"/>
    </row>
    <row r="3006" spans="1:8" s="401" customFormat="1" ht="14.25" customHeight="1" x14ac:dyDescent="0.25">
      <c r="A3006" s="564">
        <v>698</v>
      </c>
      <c r="B3006" s="562" t="s">
        <v>897</v>
      </c>
      <c r="C3006" s="403">
        <v>1</v>
      </c>
      <c r="D3006" s="400"/>
      <c r="E3006" s="400"/>
      <c r="F3006" s="400"/>
      <c r="G3006" s="400"/>
      <c r="H3006" s="396"/>
    </row>
    <row r="3007" spans="1:8" s="401" customFormat="1" ht="14.25" customHeight="1" x14ac:dyDescent="0.25">
      <c r="A3007" s="564">
        <v>702</v>
      </c>
      <c r="B3007" s="562" t="s">
        <v>897</v>
      </c>
      <c r="C3007" s="403">
        <v>1</v>
      </c>
      <c r="D3007" s="400"/>
      <c r="E3007" s="400"/>
      <c r="F3007" s="400"/>
      <c r="G3007" s="400"/>
      <c r="H3007" s="396"/>
    </row>
    <row r="3008" spans="1:8" s="401" customFormat="1" ht="14.25" customHeight="1" x14ac:dyDescent="0.25">
      <c r="A3008" s="564">
        <v>719</v>
      </c>
      <c r="B3008" s="562" t="s">
        <v>894</v>
      </c>
      <c r="C3008" s="403">
        <v>1</v>
      </c>
      <c r="D3008" s="400"/>
      <c r="E3008" s="400"/>
      <c r="F3008" s="400"/>
      <c r="G3008" s="400"/>
      <c r="H3008" s="396"/>
    </row>
    <row r="3009" spans="1:8" s="401" customFormat="1" ht="14.25" customHeight="1" x14ac:dyDescent="0.25">
      <c r="A3009" s="564">
        <v>730</v>
      </c>
      <c r="B3009" s="562" t="s">
        <v>894</v>
      </c>
      <c r="C3009" s="403">
        <v>1</v>
      </c>
      <c r="D3009" s="400"/>
      <c r="E3009" s="400"/>
      <c r="F3009" s="400"/>
      <c r="G3009" s="400"/>
      <c r="H3009" s="396"/>
    </row>
    <row r="3010" spans="1:8" s="401" customFormat="1" ht="14.25" customHeight="1" x14ac:dyDescent="0.25">
      <c r="A3010" s="564">
        <v>734</v>
      </c>
      <c r="B3010" s="562" t="s">
        <v>894</v>
      </c>
      <c r="C3010" s="403">
        <v>1</v>
      </c>
      <c r="D3010" s="400"/>
      <c r="E3010" s="400"/>
      <c r="F3010" s="400"/>
      <c r="G3010" s="400"/>
      <c r="H3010" s="396"/>
    </row>
    <row r="3011" spans="1:8" s="401" customFormat="1" ht="14.25" customHeight="1" x14ac:dyDescent="0.25">
      <c r="A3011" s="564">
        <v>747</v>
      </c>
      <c r="B3011" s="562" t="s">
        <v>889</v>
      </c>
      <c r="C3011" s="403">
        <v>1</v>
      </c>
      <c r="D3011" s="400"/>
      <c r="E3011" s="400"/>
      <c r="F3011" s="400"/>
      <c r="G3011" s="400"/>
      <c r="H3011" s="396"/>
    </row>
    <row r="3012" spans="1:8" s="401" customFormat="1" ht="14.25" customHeight="1" x14ac:dyDescent="0.25">
      <c r="A3012" s="564">
        <v>751</v>
      </c>
      <c r="B3012" s="562" t="s">
        <v>889</v>
      </c>
      <c r="C3012" s="403">
        <v>1</v>
      </c>
      <c r="D3012" s="400"/>
      <c r="E3012" s="400"/>
      <c r="F3012" s="400"/>
      <c r="G3012" s="400"/>
      <c r="H3012" s="396"/>
    </row>
    <row r="3013" spans="1:8" s="401" customFormat="1" ht="14.25" customHeight="1" x14ac:dyDescent="0.25">
      <c r="A3013" s="564">
        <v>773</v>
      </c>
      <c r="B3013" s="562" t="s">
        <v>889</v>
      </c>
      <c r="C3013" s="403">
        <v>1</v>
      </c>
      <c r="D3013" s="400"/>
      <c r="E3013" s="400"/>
      <c r="F3013" s="400"/>
      <c r="G3013" s="400"/>
      <c r="H3013" s="396"/>
    </row>
    <row r="3014" spans="1:8" s="401" customFormat="1" ht="14.25" customHeight="1" x14ac:dyDescent="0.25">
      <c r="A3014" s="564">
        <v>780</v>
      </c>
      <c r="B3014" s="562" t="s">
        <v>889</v>
      </c>
      <c r="C3014" s="403">
        <v>1</v>
      </c>
      <c r="D3014" s="400"/>
      <c r="E3014" s="400"/>
      <c r="F3014" s="400"/>
      <c r="G3014" s="400"/>
      <c r="H3014" s="396"/>
    </row>
    <row r="3015" spans="1:8" s="401" customFormat="1" ht="14.25" customHeight="1" x14ac:dyDescent="0.25">
      <c r="A3015" s="564">
        <v>783</v>
      </c>
      <c r="B3015" s="562" t="s">
        <v>889</v>
      </c>
      <c r="C3015" s="403">
        <v>1</v>
      </c>
      <c r="D3015" s="400"/>
      <c r="E3015" s="400"/>
      <c r="F3015" s="400"/>
      <c r="G3015" s="400"/>
      <c r="H3015" s="396"/>
    </row>
    <row r="3016" spans="1:8" s="401" customFormat="1" ht="14.25" customHeight="1" x14ac:dyDescent="0.25">
      <c r="A3016" s="564">
        <v>786</v>
      </c>
      <c r="B3016" s="562" t="s">
        <v>889</v>
      </c>
      <c r="C3016" s="403">
        <v>1</v>
      </c>
      <c r="D3016" s="400"/>
      <c r="E3016" s="400"/>
      <c r="F3016" s="400"/>
      <c r="G3016" s="400"/>
      <c r="H3016" s="396"/>
    </row>
    <row r="3017" spans="1:8" s="401" customFormat="1" ht="14.25" customHeight="1" x14ac:dyDescent="0.25">
      <c r="A3017" s="564">
        <v>791</v>
      </c>
      <c r="B3017" s="562" t="s">
        <v>889</v>
      </c>
      <c r="C3017" s="403">
        <v>1</v>
      </c>
      <c r="D3017" s="400"/>
      <c r="E3017" s="400"/>
      <c r="F3017" s="400"/>
      <c r="G3017" s="400"/>
      <c r="H3017" s="396"/>
    </row>
    <row r="3018" spans="1:8" s="401" customFormat="1" ht="14.25" customHeight="1" x14ac:dyDescent="0.25">
      <c r="A3018" s="564">
        <v>794</v>
      </c>
      <c r="B3018" s="562" t="s">
        <v>889</v>
      </c>
      <c r="C3018" s="403">
        <v>904.8</v>
      </c>
      <c r="D3018" s="400"/>
      <c r="E3018" s="400"/>
      <c r="F3018" s="400"/>
      <c r="G3018" s="400"/>
      <c r="H3018" s="396"/>
    </row>
    <row r="3019" spans="1:8" s="401" customFormat="1" ht="14.25" customHeight="1" x14ac:dyDescent="0.25">
      <c r="A3019" s="564">
        <v>797</v>
      </c>
      <c r="B3019" s="562" t="s">
        <v>889</v>
      </c>
      <c r="C3019" s="403">
        <v>904.8</v>
      </c>
      <c r="D3019" s="400"/>
      <c r="E3019" s="400"/>
      <c r="F3019" s="400"/>
      <c r="G3019" s="400"/>
      <c r="H3019" s="396"/>
    </row>
    <row r="3020" spans="1:8" s="401" customFormat="1" ht="14.25" customHeight="1" x14ac:dyDescent="0.25">
      <c r="A3020" s="564">
        <v>812</v>
      </c>
      <c r="B3020" s="562" t="s">
        <v>889</v>
      </c>
      <c r="C3020" s="403">
        <v>904.8</v>
      </c>
      <c r="D3020" s="400"/>
      <c r="E3020" s="400"/>
      <c r="F3020" s="400"/>
      <c r="G3020" s="400"/>
      <c r="H3020" s="396"/>
    </row>
    <row r="3021" spans="1:8" s="401" customFormat="1" ht="14.25" customHeight="1" x14ac:dyDescent="0.25">
      <c r="A3021" s="564">
        <v>866</v>
      </c>
      <c r="B3021" s="562" t="s">
        <v>736</v>
      </c>
      <c r="C3021" s="403">
        <v>1</v>
      </c>
      <c r="D3021" s="400"/>
      <c r="E3021" s="400"/>
      <c r="F3021" s="400"/>
      <c r="G3021" s="400"/>
      <c r="H3021" s="396"/>
    </row>
    <row r="3022" spans="1:8" s="401" customFormat="1" ht="14.25" customHeight="1" x14ac:dyDescent="0.25">
      <c r="A3022" s="564">
        <v>867</v>
      </c>
      <c r="B3022" s="562" t="s">
        <v>736</v>
      </c>
      <c r="C3022" s="403">
        <v>104.4</v>
      </c>
      <c r="D3022" s="400"/>
      <c r="E3022" s="400"/>
      <c r="F3022" s="400"/>
      <c r="G3022" s="400"/>
      <c r="H3022" s="396"/>
    </row>
    <row r="3023" spans="1:8" s="401" customFormat="1" ht="14.25" customHeight="1" x14ac:dyDescent="0.25">
      <c r="A3023" s="564">
        <v>869</v>
      </c>
      <c r="B3023" s="562" t="s">
        <v>736</v>
      </c>
      <c r="C3023" s="403">
        <v>104.4</v>
      </c>
      <c r="D3023" s="400"/>
      <c r="E3023" s="400"/>
      <c r="F3023" s="400"/>
      <c r="G3023" s="400"/>
      <c r="H3023" s="396"/>
    </row>
    <row r="3024" spans="1:8" s="401" customFormat="1" ht="14.25" customHeight="1" x14ac:dyDescent="0.25">
      <c r="A3024" s="564">
        <v>1085</v>
      </c>
      <c r="B3024" s="562" t="s">
        <v>736</v>
      </c>
      <c r="C3024" s="403">
        <v>1</v>
      </c>
      <c r="D3024" s="400"/>
      <c r="E3024" s="400"/>
      <c r="F3024" s="400"/>
      <c r="G3024" s="400"/>
      <c r="H3024" s="396"/>
    </row>
    <row r="3025" spans="1:8" s="401" customFormat="1" ht="14.25" customHeight="1" x14ac:dyDescent="0.25">
      <c r="A3025" s="564">
        <v>1088</v>
      </c>
      <c r="B3025" s="562" t="s">
        <v>893</v>
      </c>
      <c r="C3025" s="403">
        <v>1</v>
      </c>
      <c r="D3025" s="400"/>
      <c r="E3025" s="400"/>
      <c r="F3025" s="400"/>
      <c r="G3025" s="400"/>
      <c r="H3025" s="396"/>
    </row>
    <row r="3026" spans="1:8" s="401" customFormat="1" ht="14.25" customHeight="1" x14ac:dyDescent="0.25">
      <c r="A3026" s="564">
        <v>1090</v>
      </c>
      <c r="B3026" s="562" t="s">
        <v>894</v>
      </c>
      <c r="C3026" s="403">
        <v>1</v>
      </c>
      <c r="D3026" s="400"/>
      <c r="E3026" s="400"/>
      <c r="F3026" s="400"/>
      <c r="G3026" s="400"/>
      <c r="H3026" s="396"/>
    </row>
    <row r="3027" spans="1:8" s="401" customFormat="1" ht="14.25" customHeight="1" x14ac:dyDescent="0.25">
      <c r="A3027" s="564">
        <v>1202</v>
      </c>
      <c r="B3027" s="562" t="s">
        <v>894</v>
      </c>
      <c r="C3027" s="403">
        <v>6124</v>
      </c>
      <c r="D3027" s="400"/>
      <c r="E3027" s="400"/>
      <c r="F3027" s="400"/>
      <c r="G3027" s="400"/>
      <c r="H3027" s="396"/>
    </row>
    <row r="3028" spans="1:8" s="401" customFormat="1" ht="14.25" customHeight="1" x14ac:dyDescent="0.25">
      <c r="A3028" s="564">
        <v>1218</v>
      </c>
      <c r="B3028" s="562" t="s">
        <v>892</v>
      </c>
      <c r="C3028" s="403">
        <v>1875</v>
      </c>
      <c r="D3028" s="400"/>
      <c r="E3028" s="400"/>
      <c r="F3028" s="400"/>
      <c r="G3028" s="400"/>
      <c r="H3028" s="396"/>
    </row>
    <row r="3029" spans="1:8" s="401" customFormat="1" ht="14.25" customHeight="1" x14ac:dyDescent="0.25">
      <c r="A3029" s="564">
        <v>1267</v>
      </c>
      <c r="B3029" s="562" t="s">
        <v>892</v>
      </c>
      <c r="C3029" s="403">
        <v>1119</v>
      </c>
      <c r="D3029" s="400"/>
      <c r="E3029" s="400"/>
      <c r="F3029" s="400"/>
      <c r="G3029" s="400"/>
      <c r="H3029" s="396"/>
    </row>
    <row r="3030" spans="1:8" s="401" customFormat="1" ht="14.25" customHeight="1" x14ac:dyDescent="0.25">
      <c r="A3030" s="564">
        <v>1126</v>
      </c>
      <c r="B3030" s="562" t="s">
        <v>892</v>
      </c>
      <c r="C3030" s="403">
        <v>5637</v>
      </c>
      <c r="D3030" s="400"/>
      <c r="E3030" s="400"/>
      <c r="F3030" s="400"/>
      <c r="G3030" s="400"/>
      <c r="H3030" s="396"/>
    </row>
    <row r="3031" spans="1:8" s="401" customFormat="1" ht="14.25" customHeight="1" x14ac:dyDescent="0.25">
      <c r="A3031" s="564">
        <v>1229</v>
      </c>
      <c r="B3031" s="562" t="s">
        <v>893</v>
      </c>
      <c r="C3031" s="403">
        <v>1592</v>
      </c>
      <c r="D3031" s="400"/>
      <c r="E3031" s="400"/>
      <c r="F3031" s="400"/>
      <c r="G3031" s="400"/>
      <c r="H3031" s="396"/>
    </row>
    <row r="3032" spans="1:8" s="401" customFormat="1" ht="14.25" customHeight="1" x14ac:dyDescent="0.25">
      <c r="A3032" s="564">
        <v>1271</v>
      </c>
      <c r="B3032" s="562" t="s">
        <v>900</v>
      </c>
      <c r="C3032" s="403">
        <v>8340</v>
      </c>
      <c r="D3032" s="400"/>
      <c r="E3032" s="400"/>
      <c r="F3032" s="400"/>
      <c r="G3032" s="400"/>
      <c r="H3032" s="396"/>
    </row>
    <row r="3033" spans="1:8" s="401" customFormat="1" ht="14.25" customHeight="1" x14ac:dyDescent="0.25">
      <c r="A3033" s="564">
        <v>1118</v>
      </c>
      <c r="B3033" s="562" t="s">
        <v>892</v>
      </c>
      <c r="C3033" s="403">
        <v>2262</v>
      </c>
      <c r="D3033" s="400"/>
      <c r="E3033" s="400"/>
      <c r="F3033" s="400"/>
      <c r="G3033" s="400"/>
      <c r="H3033" s="396"/>
    </row>
    <row r="3034" spans="1:8" s="401" customFormat="1" ht="14.25" customHeight="1" x14ac:dyDescent="0.25">
      <c r="A3034" s="564">
        <v>1120</v>
      </c>
      <c r="B3034" s="562" t="s">
        <v>893</v>
      </c>
      <c r="C3034" s="403">
        <v>2076</v>
      </c>
      <c r="D3034" s="400"/>
      <c r="E3034" s="400"/>
      <c r="F3034" s="400"/>
      <c r="G3034" s="400"/>
      <c r="H3034" s="396"/>
    </row>
    <row r="3035" spans="1:8" s="401" customFormat="1" ht="14.25" customHeight="1" x14ac:dyDescent="0.25">
      <c r="A3035" s="564">
        <v>1249</v>
      </c>
      <c r="B3035" s="562" t="s">
        <v>892</v>
      </c>
      <c r="C3035" s="403">
        <v>1164</v>
      </c>
      <c r="D3035" s="400"/>
      <c r="E3035" s="400"/>
      <c r="F3035" s="400"/>
      <c r="G3035" s="400"/>
      <c r="H3035" s="396"/>
    </row>
    <row r="3036" spans="1:8" s="401" customFormat="1" ht="14.25" customHeight="1" x14ac:dyDescent="0.25">
      <c r="A3036" s="564">
        <v>1252</v>
      </c>
      <c r="B3036" s="562" t="s">
        <v>893</v>
      </c>
      <c r="C3036" s="403">
        <v>4025</v>
      </c>
      <c r="D3036" s="400"/>
      <c r="E3036" s="400"/>
      <c r="F3036" s="400"/>
      <c r="G3036" s="400"/>
      <c r="H3036" s="396"/>
    </row>
    <row r="3037" spans="1:8" s="401" customFormat="1" ht="14.25" customHeight="1" x14ac:dyDescent="0.25">
      <c r="A3037" s="564">
        <v>1260</v>
      </c>
      <c r="B3037" s="562" t="s">
        <v>894</v>
      </c>
      <c r="C3037" s="403">
        <v>11179</v>
      </c>
      <c r="D3037" s="400"/>
      <c r="E3037" s="400"/>
      <c r="F3037" s="400"/>
      <c r="G3037" s="400"/>
      <c r="H3037" s="396"/>
    </row>
    <row r="3038" spans="1:8" s="401" customFormat="1" ht="14.25" customHeight="1" x14ac:dyDescent="0.25">
      <c r="A3038" s="564">
        <v>1264</v>
      </c>
      <c r="B3038" s="562" t="s">
        <v>894</v>
      </c>
      <c r="C3038" s="403">
        <v>11179</v>
      </c>
      <c r="D3038" s="400"/>
      <c r="E3038" s="400"/>
      <c r="F3038" s="400"/>
      <c r="G3038" s="400"/>
      <c r="H3038" s="396"/>
    </row>
    <row r="3039" spans="1:8" s="401" customFormat="1" ht="14.25" customHeight="1" x14ac:dyDescent="0.25">
      <c r="A3039" s="564">
        <v>1340</v>
      </c>
      <c r="B3039" s="562" t="s">
        <v>889</v>
      </c>
      <c r="C3039" s="403">
        <v>319</v>
      </c>
      <c r="D3039" s="400"/>
      <c r="E3039" s="400"/>
      <c r="F3039" s="400"/>
      <c r="G3039" s="400"/>
      <c r="H3039" s="396"/>
    </row>
    <row r="3040" spans="1:8" s="401" customFormat="1" ht="14.25" customHeight="1" x14ac:dyDescent="0.25">
      <c r="A3040" s="564">
        <v>1081</v>
      </c>
      <c r="B3040" s="562" t="s">
        <v>896</v>
      </c>
      <c r="C3040" s="403">
        <v>268</v>
      </c>
      <c r="D3040" s="400"/>
      <c r="E3040" s="400"/>
      <c r="F3040" s="400"/>
      <c r="G3040" s="400"/>
      <c r="H3040" s="396"/>
    </row>
    <row r="3041" spans="1:8" s="401" customFormat="1" ht="14.25" customHeight="1" x14ac:dyDescent="0.25">
      <c r="A3041" s="564">
        <v>1233</v>
      </c>
      <c r="B3041" s="562" t="s">
        <v>892</v>
      </c>
      <c r="C3041" s="403">
        <v>1972</v>
      </c>
      <c r="D3041" s="400"/>
      <c r="E3041" s="400"/>
      <c r="F3041" s="400"/>
      <c r="G3041" s="400"/>
      <c r="H3041" s="396"/>
    </row>
    <row r="3042" spans="1:8" s="401" customFormat="1" ht="14.25" customHeight="1" x14ac:dyDescent="0.25">
      <c r="A3042" s="564">
        <v>1241</v>
      </c>
      <c r="B3042" s="562" t="s">
        <v>892</v>
      </c>
      <c r="C3042" s="403">
        <v>599</v>
      </c>
      <c r="D3042" s="400"/>
      <c r="E3042" s="400"/>
      <c r="F3042" s="400"/>
      <c r="G3042" s="400"/>
      <c r="H3042" s="396"/>
    </row>
    <row r="3043" spans="1:8" s="401" customFormat="1" ht="14.25" customHeight="1" x14ac:dyDescent="0.25">
      <c r="A3043" s="564">
        <v>1369</v>
      </c>
      <c r="B3043" s="562" t="s">
        <v>736</v>
      </c>
      <c r="C3043" s="403">
        <v>260</v>
      </c>
      <c r="D3043" s="400"/>
      <c r="E3043" s="400"/>
      <c r="F3043" s="400"/>
      <c r="G3043" s="400"/>
      <c r="H3043" s="396"/>
    </row>
    <row r="3044" spans="1:8" s="401" customFormat="1" ht="14.25" customHeight="1" x14ac:dyDescent="0.25">
      <c r="A3044" s="564">
        <v>1246</v>
      </c>
      <c r="B3044" s="562" t="s">
        <v>892</v>
      </c>
      <c r="C3044" s="403">
        <v>1902</v>
      </c>
      <c r="D3044" s="400"/>
      <c r="E3044" s="400"/>
      <c r="F3044" s="400"/>
      <c r="G3044" s="400"/>
      <c r="H3044" s="396"/>
    </row>
    <row r="3045" spans="1:8" s="401" customFormat="1" ht="14.25" customHeight="1" x14ac:dyDescent="0.25">
      <c r="A3045" s="564">
        <v>1111</v>
      </c>
      <c r="B3045" s="562" t="s">
        <v>892</v>
      </c>
      <c r="C3045" s="403">
        <v>1119</v>
      </c>
      <c r="D3045" s="400"/>
      <c r="E3045" s="400"/>
      <c r="F3045" s="400"/>
      <c r="G3045" s="400"/>
      <c r="H3045" s="396"/>
    </row>
    <row r="3046" spans="1:8" s="401" customFormat="1" ht="14.25" customHeight="1" x14ac:dyDescent="0.25">
      <c r="A3046" s="564">
        <v>1157</v>
      </c>
      <c r="B3046" s="562" t="s">
        <v>892</v>
      </c>
      <c r="C3046" s="403">
        <v>587</v>
      </c>
      <c r="D3046" s="400"/>
      <c r="E3046" s="400"/>
      <c r="F3046" s="400"/>
      <c r="G3046" s="400"/>
      <c r="H3046" s="396"/>
    </row>
    <row r="3047" spans="1:8" s="401" customFormat="1" ht="14.25" customHeight="1" x14ac:dyDescent="0.25">
      <c r="A3047" s="564">
        <v>1165</v>
      </c>
      <c r="B3047" s="562" t="s">
        <v>893</v>
      </c>
      <c r="C3047" s="403">
        <v>2100</v>
      </c>
      <c r="D3047" s="400"/>
      <c r="E3047" s="400"/>
      <c r="F3047" s="400"/>
      <c r="G3047" s="400"/>
      <c r="H3047" s="396"/>
    </row>
    <row r="3048" spans="1:8" s="401" customFormat="1" ht="14.25" customHeight="1" x14ac:dyDescent="0.25">
      <c r="A3048" s="564">
        <v>1167</v>
      </c>
      <c r="B3048" s="562" t="s">
        <v>893</v>
      </c>
      <c r="C3048" s="403">
        <v>4025</v>
      </c>
      <c r="D3048" s="400"/>
      <c r="E3048" s="400"/>
      <c r="F3048" s="400"/>
      <c r="G3048" s="400"/>
      <c r="H3048" s="396"/>
    </row>
    <row r="3049" spans="1:8" s="401" customFormat="1" ht="14.25" customHeight="1" x14ac:dyDescent="0.25">
      <c r="A3049" s="564">
        <v>1168</v>
      </c>
      <c r="B3049" s="562" t="s">
        <v>894</v>
      </c>
      <c r="C3049" s="403">
        <v>4200</v>
      </c>
      <c r="D3049" s="400"/>
      <c r="E3049" s="400"/>
      <c r="F3049" s="400"/>
      <c r="G3049" s="400"/>
      <c r="H3049" s="396"/>
    </row>
    <row r="3050" spans="1:8" s="401" customFormat="1" ht="14.25" customHeight="1" x14ac:dyDescent="0.25">
      <c r="A3050" s="564">
        <v>1172</v>
      </c>
      <c r="B3050" s="562" t="s">
        <v>894</v>
      </c>
      <c r="C3050" s="403">
        <v>11179</v>
      </c>
      <c r="D3050" s="400"/>
      <c r="E3050" s="400"/>
      <c r="F3050" s="400"/>
      <c r="G3050" s="400"/>
      <c r="H3050" s="396"/>
    </row>
    <row r="3051" spans="1:8" s="401" customFormat="1" ht="14.25" customHeight="1" x14ac:dyDescent="0.25">
      <c r="A3051" s="564">
        <v>1314</v>
      </c>
      <c r="B3051" s="562" t="s">
        <v>892</v>
      </c>
      <c r="C3051" s="403">
        <v>1806</v>
      </c>
      <c r="D3051" s="400"/>
      <c r="E3051" s="400"/>
      <c r="F3051" s="400"/>
      <c r="G3051" s="400"/>
      <c r="H3051" s="396"/>
    </row>
    <row r="3052" spans="1:8" s="401" customFormat="1" ht="14.25" customHeight="1" x14ac:dyDescent="0.25">
      <c r="A3052" s="564">
        <v>4523</v>
      </c>
      <c r="B3052" s="562" t="s">
        <v>894</v>
      </c>
      <c r="C3052" s="403">
        <v>8957.19</v>
      </c>
      <c r="D3052" s="400"/>
      <c r="E3052" s="400"/>
      <c r="F3052" s="400"/>
      <c r="G3052" s="400"/>
      <c r="H3052" s="396"/>
    </row>
    <row r="3053" spans="1:8" s="401" customFormat="1" ht="14.25" customHeight="1" x14ac:dyDescent="0.25">
      <c r="A3053" s="564">
        <v>4529</v>
      </c>
      <c r="B3053" s="562" t="s">
        <v>736</v>
      </c>
      <c r="C3053" s="403">
        <v>280.27</v>
      </c>
      <c r="D3053" s="400"/>
      <c r="E3053" s="400"/>
      <c r="F3053" s="400"/>
      <c r="G3053" s="400"/>
      <c r="H3053" s="396"/>
    </row>
    <row r="3054" spans="1:8" s="401" customFormat="1" ht="14.25" customHeight="1" x14ac:dyDescent="0.25">
      <c r="A3054" s="564">
        <v>5028</v>
      </c>
      <c r="B3054" s="562" t="s">
        <v>893</v>
      </c>
      <c r="C3054" s="403">
        <v>2361</v>
      </c>
      <c r="D3054" s="400"/>
      <c r="E3054" s="400"/>
      <c r="F3054" s="400"/>
      <c r="G3054" s="400"/>
      <c r="H3054" s="396"/>
    </row>
    <row r="3055" spans="1:8" s="401" customFormat="1" ht="14.25" customHeight="1" x14ac:dyDescent="0.25">
      <c r="A3055" s="564">
        <v>1190</v>
      </c>
      <c r="B3055" s="562" t="s">
        <v>892</v>
      </c>
      <c r="C3055" s="403">
        <v>1990</v>
      </c>
      <c r="D3055" s="400"/>
      <c r="E3055" s="400"/>
      <c r="F3055" s="400"/>
      <c r="G3055" s="400"/>
      <c r="H3055" s="396"/>
    </row>
    <row r="3056" spans="1:8" s="401" customFormat="1" ht="14.25" customHeight="1" x14ac:dyDescent="0.25">
      <c r="A3056" s="564">
        <v>1194</v>
      </c>
      <c r="B3056" s="562" t="s">
        <v>893</v>
      </c>
      <c r="C3056" s="403">
        <v>2559</v>
      </c>
      <c r="D3056" s="400"/>
      <c r="E3056" s="400"/>
      <c r="F3056" s="400"/>
      <c r="G3056" s="400"/>
      <c r="H3056" s="396"/>
    </row>
    <row r="3057" spans="1:8" s="401" customFormat="1" ht="14.25" customHeight="1" x14ac:dyDescent="0.25">
      <c r="A3057" s="564">
        <v>1198</v>
      </c>
      <c r="B3057" s="562" t="s">
        <v>893</v>
      </c>
      <c r="C3057" s="403">
        <v>2559</v>
      </c>
      <c r="D3057" s="400"/>
      <c r="E3057" s="400"/>
      <c r="F3057" s="400"/>
      <c r="G3057" s="400"/>
      <c r="H3057" s="396"/>
    </row>
    <row r="3058" spans="1:8" s="401" customFormat="1" ht="14.25" customHeight="1" x14ac:dyDescent="0.25">
      <c r="A3058" s="564">
        <v>1207</v>
      </c>
      <c r="B3058" s="562" t="s">
        <v>894</v>
      </c>
      <c r="C3058" s="403">
        <v>6124</v>
      </c>
      <c r="D3058" s="400"/>
      <c r="E3058" s="400"/>
      <c r="F3058" s="400"/>
      <c r="G3058" s="400"/>
      <c r="H3058" s="396"/>
    </row>
    <row r="3059" spans="1:8" s="401" customFormat="1" ht="14.25" customHeight="1" x14ac:dyDescent="0.25">
      <c r="A3059" s="564">
        <v>1209</v>
      </c>
      <c r="B3059" s="562" t="s">
        <v>894</v>
      </c>
      <c r="C3059" s="403">
        <v>6124</v>
      </c>
      <c r="D3059" s="400"/>
      <c r="E3059" s="400"/>
      <c r="F3059" s="400"/>
      <c r="G3059" s="400"/>
      <c r="H3059" s="396"/>
    </row>
    <row r="3060" spans="1:8" s="401" customFormat="1" ht="14.25" customHeight="1" x14ac:dyDescent="0.25">
      <c r="A3060" s="564">
        <v>1212</v>
      </c>
      <c r="B3060" s="562" t="s">
        <v>899</v>
      </c>
      <c r="C3060" s="403">
        <v>5160</v>
      </c>
      <c r="D3060" s="400"/>
      <c r="E3060" s="400"/>
      <c r="F3060" s="400"/>
      <c r="G3060" s="400"/>
      <c r="H3060" s="396"/>
    </row>
    <row r="3061" spans="1:8" s="401" customFormat="1" ht="14.25" customHeight="1" x14ac:dyDescent="0.25">
      <c r="A3061" s="564">
        <v>1319</v>
      </c>
      <c r="B3061" s="562" t="s">
        <v>893</v>
      </c>
      <c r="C3061" s="403">
        <v>1</v>
      </c>
      <c r="D3061" s="400"/>
      <c r="E3061" s="400"/>
      <c r="F3061" s="400"/>
      <c r="G3061" s="400"/>
      <c r="H3061" s="396"/>
    </row>
    <row r="3062" spans="1:8" s="401" customFormat="1" ht="14.25" customHeight="1" x14ac:dyDescent="0.25">
      <c r="A3062" s="564">
        <v>1323</v>
      </c>
      <c r="B3062" s="562" t="s">
        <v>897</v>
      </c>
      <c r="C3062" s="403">
        <v>138</v>
      </c>
      <c r="D3062" s="400"/>
      <c r="E3062" s="400"/>
      <c r="F3062" s="400"/>
      <c r="G3062" s="400"/>
      <c r="H3062" s="396"/>
    </row>
    <row r="3063" spans="1:8" s="401" customFormat="1" ht="14.25" customHeight="1" x14ac:dyDescent="0.25">
      <c r="A3063" s="564">
        <v>1347</v>
      </c>
      <c r="B3063" s="562" t="s">
        <v>889</v>
      </c>
      <c r="C3063" s="403">
        <v>1</v>
      </c>
      <c r="D3063" s="400"/>
      <c r="E3063" s="400"/>
      <c r="F3063" s="400"/>
      <c r="G3063" s="400"/>
      <c r="H3063" s="396"/>
    </row>
    <row r="3064" spans="1:8" s="401" customFormat="1" ht="14.25" customHeight="1" x14ac:dyDescent="0.25">
      <c r="A3064" s="564">
        <v>1115</v>
      </c>
      <c r="B3064" s="562" t="s">
        <v>892</v>
      </c>
      <c r="C3064" s="403">
        <v>1119</v>
      </c>
      <c r="D3064" s="400"/>
      <c r="E3064" s="400"/>
      <c r="F3064" s="400"/>
      <c r="G3064" s="400"/>
      <c r="H3064" s="396"/>
    </row>
    <row r="3065" spans="1:8" s="401" customFormat="1" ht="14.25" customHeight="1" x14ac:dyDescent="0.25">
      <c r="A3065" s="564">
        <v>1106</v>
      </c>
      <c r="B3065" s="562" t="s">
        <v>894</v>
      </c>
      <c r="C3065" s="403">
        <v>6930</v>
      </c>
      <c r="D3065" s="400"/>
      <c r="E3065" s="400"/>
      <c r="F3065" s="400"/>
      <c r="G3065" s="400"/>
      <c r="H3065" s="396"/>
    </row>
    <row r="3066" spans="1:8" s="401" customFormat="1" ht="14.25" customHeight="1" x14ac:dyDescent="0.25">
      <c r="A3066" s="564">
        <v>1147</v>
      </c>
      <c r="B3066" s="562" t="s">
        <v>893</v>
      </c>
      <c r="C3066" s="403">
        <v>3950</v>
      </c>
      <c r="D3066" s="400"/>
      <c r="E3066" s="400"/>
      <c r="F3066" s="400"/>
      <c r="G3066" s="400"/>
      <c r="H3066" s="396"/>
    </row>
    <row r="3067" spans="1:8" s="401" customFormat="1" ht="14.25" customHeight="1" x14ac:dyDescent="0.25">
      <c r="A3067" s="564">
        <v>1150</v>
      </c>
      <c r="B3067" s="562" t="s">
        <v>894</v>
      </c>
      <c r="C3067" s="403">
        <v>6930</v>
      </c>
      <c r="D3067" s="400"/>
      <c r="E3067" s="400"/>
      <c r="F3067" s="400"/>
      <c r="G3067" s="400"/>
      <c r="H3067" s="396"/>
    </row>
    <row r="3068" spans="1:8" s="401" customFormat="1" ht="14.25" customHeight="1" x14ac:dyDescent="0.25">
      <c r="A3068" s="564">
        <v>1275</v>
      </c>
      <c r="B3068" s="562" t="s">
        <v>907</v>
      </c>
      <c r="C3068" s="403">
        <v>1</v>
      </c>
      <c r="D3068" s="400"/>
      <c r="E3068" s="400"/>
      <c r="F3068" s="400"/>
      <c r="G3068" s="400"/>
      <c r="H3068" s="396"/>
    </row>
    <row r="3069" spans="1:8" s="401" customFormat="1" ht="14.25" customHeight="1" x14ac:dyDescent="0.25">
      <c r="A3069" s="564">
        <v>1278</v>
      </c>
      <c r="B3069" s="562" t="s">
        <v>907</v>
      </c>
      <c r="C3069" s="403">
        <v>1</v>
      </c>
      <c r="D3069" s="400"/>
      <c r="E3069" s="400"/>
      <c r="F3069" s="400"/>
      <c r="G3069" s="400"/>
      <c r="H3069" s="396"/>
    </row>
    <row r="3070" spans="1:8" s="401" customFormat="1" ht="14.25" customHeight="1" x14ac:dyDescent="0.25">
      <c r="A3070" s="564">
        <v>1281</v>
      </c>
      <c r="B3070" s="562" t="s">
        <v>897</v>
      </c>
      <c r="C3070" s="403">
        <v>1</v>
      </c>
      <c r="D3070" s="400"/>
      <c r="E3070" s="400"/>
      <c r="F3070" s="400"/>
      <c r="G3070" s="400"/>
      <c r="H3070" s="396"/>
    </row>
    <row r="3071" spans="1:8" s="401" customFormat="1" ht="14.25" customHeight="1" x14ac:dyDescent="0.25">
      <c r="A3071" s="564">
        <v>1286</v>
      </c>
      <c r="B3071" s="562" t="s">
        <v>897</v>
      </c>
      <c r="C3071" s="403">
        <v>1</v>
      </c>
      <c r="D3071" s="400"/>
      <c r="E3071" s="400"/>
      <c r="F3071" s="400"/>
      <c r="G3071" s="400"/>
      <c r="H3071" s="396"/>
    </row>
    <row r="3072" spans="1:8" s="401" customFormat="1" ht="14.25" customHeight="1" x14ac:dyDescent="0.25">
      <c r="A3072" s="564">
        <v>1292</v>
      </c>
      <c r="B3072" s="562" t="s">
        <v>897</v>
      </c>
      <c r="C3072" s="403">
        <v>1</v>
      </c>
      <c r="D3072" s="400"/>
      <c r="E3072" s="400"/>
      <c r="F3072" s="400"/>
      <c r="G3072" s="400"/>
      <c r="H3072" s="396"/>
    </row>
    <row r="3073" spans="1:8" s="401" customFormat="1" ht="14.25" customHeight="1" x14ac:dyDescent="0.25">
      <c r="A3073" s="564">
        <v>1103</v>
      </c>
      <c r="B3073" s="562" t="s">
        <v>893</v>
      </c>
      <c r="C3073" s="403">
        <v>3950</v>
      </c>
      <c r="D3073" s="400"/>
      <c r="E3073" s="400"/>
      <c r="F3073" s="400"/>
      <c r="G3073" s="400"/>
      <c r="H3073" s="396"/>
    </row>
    <row r="3074" spans="1:8" s="401" customFormat="1" ht="14.25" customHeight="1" x14ac:dyDescent="0.25">
      <c r="A3074" s="564">
        <v>1109</v>
      </c>
      <c r="B3074" s="562" t="s">
        <v>892</v>
      </c>
      <c r="C3074" s="403">
        <v>6138</v>
      </c>
      <c r="D3074" s="400"/>
      <c r="E3074" s="400"/>
      <c r="F3074" s="400"/>
      <c r="G3074" s="400"/>
      <c r="H3074" s="396"/>
    </row>
    <row r="3075" spans="1:8" s="401" customFormat="1" ht="14.25" customHeight="1" x14ac:dyDescent="0.25">
      <c r="A3075" s="564">
        <v>1130</v>
      </c>
      <c r="B3075" s="562" t="s">
        <v>899</v>
      </c>
      <c r="C3075" s="403">
        <v>1064</v>
      </c>
      <c r="D3075" s="400"/>
      <c r="E3075" s="400"/>
      <c r="F3075" s="400"/>
      <c r="G3075" s="400"/>
      <c r="H3075" s="396"/>
    </row>
    <row r="3076" spans="1:8" s="401" customFormat="1" ht="14.25" customHeight="1" x14ac:dyDescent="0.25">
      <c r="A3076" s="564">
        <v>1138</v>
      </c>
      <c r="B3076" s="562" t="s">
        <v>892</v>
      </c>
      <c r="C3076" s="403">
        <v>600</v>
      </c>
      <c r="D3076" s="400"/>
      <c r="E3076" s="400"/>
      <c r="F3076" s="400"/>
      <c r="G3076" s="400"/>
      <c r="H3076" s="396"/>
    </row>
    <row r="3077" spans="1:8" s="401" customFormat="1" ht="14.25" customHeight="1" x14ac:dyDescent="0.25">
      <c r="A3077" s="564">
        <v>1140</v>
      </c>
      <c r="B3077" s="562" t="s">
        <v>892</v>
      </c>
      <c r="C3077" s="403">
        <v>1936</v>
      </c>
      <c r="D3077" s="400"/>
      <c r="E3077" s="400"/>
      <c r="F3077" s="400"/>
      <c r="G3077" s="400"/>
      <c r="H3077" s="396"/>
    </row>
    <row r="3078" spans="1:8" s="401" customFormat="1" ht="14.25" customHeight="1" x14ac:dyDescent="0.25">
      <c r="A3078" s="564">
        <v>1154</v>
      </c>
      <c r="B3078" s="562" t="s">
        <v>894</v>
      </c>
      <c r="C3078" s="403">
        <v>6930</v>
      </c>
      <c r="D3078" s="400"/>
      <c r="E3078" s="400"/>
      <c r="F3078" s="400"/>
      <c r="G3078" s="400"/>
      <c r="H3078" s="396"/>
    </row>
    <row r="3079" spans="1:8" s="401" customFormat="1" ht="14.25" customHeight="1" x14ac:dyDescent="0.25">
      <c r="A3079" s="564">
        <v>1284</v>
      </c>
      <c r="B3079" s="562" t="s">
        <v>897</v>
      </c>
      <c r="C3079" s="403">
        <v>1</v>
      </c>
      <c r="D3079" s="400"/>
      <c r="E3079" s="400"/>
      <c r="F3079" s="400"/>
      <c r="G3079" s="400"/>
      <c r="H3079" s="396"/>
    </row>
    <row r="3080" spans="1:8" s="401" customFormat="1" ht="14.25" customHeight="1" x14ac:dyDescent="0.25">
      <c r="A3080" s="564">
        <v>2038</v>
      </c>
      <c r="B3080" s="562" t="s">
        <v>892</v>
      </c>
      <c r="C3080" s="403">
        <v>1217</v>
      </c>
      <c r="D3080" s="400"/>
      <c r="E3080" s="400"/>
      <c r="F3080" s="400"/>
      <c r="G3080" s="400"/>
      <c r="H3080" s="396"/>
    </row>
    <row r="3081" spans="1:8" s="401" customFormat="1" ht="14.25" customHeight="1" x14ac:dyDescent="0.25">
      <c r="A3081" s="564">
        <v>2061</v>
      </c>
      <c r="B3081" s="562" t="s">
        <v>897</v>
      </c>
      <c r="C3081" s="403">
        <v>81</v>
      </c>
      <c r="D3081" s="400"/>
      <c r="E3081" s="400"/>
      <c r="F3081" s="400"/>
      <c r="G3081" s="400"/>
      <c r="H3081" s="396"/>
    </row>
    <row r="3082" spans="1:8" s="401" customFormat="1" ht="14.25" customHeight="1" x14ac:dyDescent="0.25">
      <c r="A3082" s="564">
        <v>2064</v>
      </c>
      <c r="B3082" s="562" t="s">
        <v>897</v>
      </c>
      <c r="C3082" s="403">
        <v>81</v>
      </c>
      <c r="D3082" s="400"/>
      <c r="E3082" s="400"/>
      <c r="F3082" s="400"/>
      <c r="G3082" s="400"/>
      <c r="H3082" s="396"/>
    </row>
    <row r="3083" spans="1:8" s="401" customFormat="1" ht="14.25" customHeight="1" x14ac:dyDescent="0.25">
      <c r="A3083" s="564">
        <v>2092</v>
      </c>
      <c r="B3083" s="562" t="s">
        <v>893</v>
      </c>
      <c r="C3083" s="403">
        <v>2554</v>
      </c>
      <c r="D3083" s="400"/>
      <c r="E3083" s="400"/>
      <c r="F3083" s="400"/>
      <c r="G3083" s="400"/>
      <c r="H3083" s="396"/>
    </row>
    <row r="3084" spans="1:8" s="401" customFormat="1" ht="14.25" customHeight="1" x14ac:dyDescent="0.25">
      <c r="A3084" s="564">
        <v>2112</v>
      </c>
      <c r="B3084" s="562" t="s">
        <v>894</v>
      </c>
      <c r="C3084" s="403">
        <v>6930</v>
      </c>
      <c r="D3084" s="400"/>
      <c r="E3084" s="400"/>
      <c r="F3084" s="400"/>
      <c r="G3084" s="400"/>
      <c r="H3084" s="396"/>
    </row>
    <row r="3085" spans="1:8" s="401" customFormat="1" ht="14.25" customHeight="1" x14ac:dyDescent="0.25">
      <c r="A3085" s="564">
        <v>2132</v>
      </c>
      <c r="B3085" s="562" t="s">
        <v>908</v>
      </c>
      <c r="C3085" s="403">
        <v>10440</v>
      </c>
      <c r="D3085" s="400"/>
      <c r="E3085" s="400"/>
      <c r="F3085" s="400"/>
      <c r="G3085" s="400"/>
      <c r="H3085" s="396"/>
    </row>
    <row r="3086" spans="1:8" s="401" customFormat="1" ht="14.25" customHeight="1" x14ac:dyDescent="0.25">
      <c r="A3086" s="564">
        <v>2140</v>
      </c>
      <c r="B3086" s="562" t="s">
        <v>909</v>
      </c>
      <c r="C3086" s="403">
        <v>10440</v>
      </c>
      <c r="D3086" s="400"/>
      <c r="E3086" s="400"/>
      <c r="F3086" s="400"/>
      <c r="G3086" s="400"/>
      <c r="H3086" s="396"/>
    </row>
    <row r="3087" spans="1:8" s="401" customFormat="1" ht="14.25" customHeight="1" x14ac:dyDescent="0.25">
      <c r="A3087" s="564">
        <v>2144</v>
      </c>
      <c r="B3087" s="562" t="s">
        <v>909</v>
      </c>
      <c r="C3087" s="403">
        <v>10440</v>
      </c>
      <c r="D3087" s="400"/>
      <c r="E3087" s="400"/>
      <c r="F3087" s="400"/>
      <c r="G3087" s="400"/>
      <c r="H3087" s="396"/>
    </row>
    <row r="3088" spans="1:8" s="401" customFormat="1" ht="14.25" customHeight="1" x14ac:dyDescent="0.25">
      <c r="A3088" s="564">
        <v>2148</v>
      </c>
      <c r="B3088" s="562" t="s">
        <v>909</v>
      </c>
      <c r="C3088" s="403">
        <v>10440</v>
      </c>
      <c r="D3088" s="400"/>
      <c r="E3088" s="400"/>
      <c r="F3088" s="400"/>
      <c r="G3088" s="400"/>
      <c r="H3088" s="396"/>
    </row>
    <row r="3089" spans="1:8" s="401" customFormat="1" ht="14.25" customHeight="1" x14ac:dyDescent="0.25">
      <c r="A3089" s="564">
        <v>2176</v>
      </c>
      <c r="B3089" s="562" t="s">
        <v>893</v>
      </c>
      <c r="C3089" s="403">
        <v>1738.84</v>
      </c>
      <c r="D3089" s="400"/>
      <c r="E3089" s="400"/>
      <c r="F3089" s="400"/>
      <c r="G3089" s="400"/>
      <c r="H3089" s="396"/>
    </row>
    <row r="3090" spans="1:8" s="401" customFormat="1" ht="14.25" customHeight="1" x14ac:dyDescent="0.25">
      <c r="A3090" s="564">
        <v>2179</v>
      </c>
      <c r="B3090" s="562" t="s">
        <v>736</v>
      </c>
      <c r="C3090" s="403">
        <v>171.68</v>
      </c>
      <c r="D3090" s="400"/>
      <c r="E3090" s="400"/>
      <c r="F3090" s="400"/>
      <c r="G3090" s="400"/>
      <c r="H3090" s="396"/>
    </row>
    <row r="3091" spans="1:8" s="401" customFormat="1" ht="14.25" customHeight="1" x14ac:dyDescent="0.25">
      <c r="A3091" s="564">
        <v>2182</v>
      </c>
      <c r="B3091" s="562" t="s">
        <v>897</v>
      </c>
      <c r="C3091" s="403">
        <v>99.58</v>
      </c>
      <c r="D3091" s="400"/>
      <c r="E3091" s="400"/>
      <c r="F3091" s="400"/>
      <c r="G3091" s="400"/>
      <c r="H3091" s="396"/>
    </row>
    <row r="3092" spans="1:8" s="401" customFormat="1" ht="14.25" customHeight="1" x14ac:dyDescent="0.25">
      <c r="A3092" s="564">
        <v>2186</v>
      </c>
      <c r="B3092" s="562" t="s">
        <v>894</v>
      </c>
      <c r="C3092" s="403">
        <v>8468</v>
      </c>
      <c r="D3092" s="400"/>
      <c r="E3092" s="400"/>
      <c r="F3092" s="400"/>
      <c r="G3092" s="400"/>
      <c r="H3092" s="396"/>
    </row>
    <row r="3093" spans="1:8" s="401" customFormat="1" ht="14.25" customHeight="1" x14ac:dyDescent="0.25">
      <c r="A3093" s="564">
        <v>2206</v>
      </c>
      <c r="B3093" s="562" t="s">
        <v>893</v>
      </c>
      <c r="C3093" s="403">
        <v>2076.4</v>
      </c>
      <c r="D3093" s="400"/>
      <c r="E3093" s="400"/>
      <c r="F3093" s="400"/>
      <c r="G3093" s="400"/>
      <c r="H3093" s="396"/>
    </row>
    <row r="3094" spans="1:8" s="401" customFormat="1" ht="14.25" customHeight="1" x14ac:dyDescent="0.25">
      <c r="A3094" s="564">
        <v>2208</v>
      </c>
      <c r="B3094" s="562" t="s">
        <v>736</v>
      </c>
      <c r="C3094" s="403">
        <v>104.4</v>
      </c>
      <c r="D3094" s="400"/>
      <c r="E3094" s="400"/>
      <c r="F3094" s="400"/>
      <c r="G3094" s="400"/>
      <c r="H3094" s="396"/>
    </row>
    <row r="3095" spans="1:8" s="401" customFormat="1" ht="14.25" customHeight="1" x14ac:dyDescent="0.25">
      <c r="A3095" s="564">
        <v>2210</v>
      </c>
      <c r="B3095" s="562" t="s">
        <v>897</v>
      </c>
      <c r="C3095" s="403">
        <v>99.58</v>
      </c>
      <c r="D3095" s="400"/>
      <c r="E3095" s="400"/>
      <c r="F3095" s="400"/>
      <c r="G3095" s="400"/>
      <c r="H3095" s="396"/>
    </row>
    <row r="3096" spans="1:8" s="401" customFormat="1" ht="14.25" customHeight="1" x14ac:dyDescent="0.25">
      <c r="A3096" s="564">
        <v>2218</v>
      </c>
      <c r="B3096" s="562" t="s">
        <v>893</v>
      </c>
      <c r="C3096" s="403">
        <v>1738.84</v>
      </c>
      <c r="D3096" s="400"/>
      <c r="E3096" s="400"/>
      <c r="F3096" s="400"/>
      <c r="G3096" s="400"/>
      <c r="H3096" s="396"/>
    </row>
    <row r="3097" spans="1:8" s="401" customFormat="1" ht="14.25" customHeight="1" x14ac:dyDescent="0.25">
      <c r="A3097" s="564">
        <v>2220</v>
      </c>
      <c r="B3097" s="562" t="s">
        <v>736</v>
      </c>
      <c r="C3097" s="403">
        <v>104.4</v>
      </c>
      <c r="D3097" s="400"/>
      <c r="E3097" s="400"/>
      <c r="F3097" s="400"/>
      <c r="G3097" s="400"/>
      <c r="H3097" s="396"/>
    </row>
    <row r="3098" spans="1:8" s="401" customFormat="1" ht="14.25" customHeight="1" x14ac:dyDescent="0.25">
      <c r="A3098" s="564">
        <v>2223</v>
      </c>
      <c r="B3098" s="562" t="s">
        <v>897</v>
      </c>
      <c r="C3098" s="403">
        <v>99.58</v>
      </c>
      <c r="D3098" s="400"/>
      <c r="E3098" s="400"/>
      <c r="F3098" s="400"/>
      <c r="G3098" s="400"/>
      <c r="H3098" s="396"/>
    </row>
    <row r="3099" spans="1:8" s="401" customFormat="1" ht="14.25" customHeight="1" x14ac:dyDescent="0.25">
      <c r="A3099" s="564">
        <v>2290</v>
      </c>
      <c r="B3099" s="562" t="s">
        <v>892</v>
      </c>
      <c r="C3099" s="403">
        <v>1119</v>
      </c>
      <c r="D3099" s="400"/>
      <c r="E3099" s="400"/>
      <c r="F3099" s="400"/>
      <c r="G3099" s="400"/>
      <c r="H3099" s="396"/>
    </row>
    <row r="3100" spans="1:8" s="401" customFormat="1" ht="14.25" customHeight="1" x14ac:dyDescent="0.25">
      <c r="A3100" s="564">
        <v>2294</v>
      </c>
      <c r="B3100" s="562" t="s">
        <v>892</v>
      </c>
      <c r="C3100" s="403">
        <v>10579</v>
      </c>
      <c r="D3100" s="400"/>
      <c r="E3100" s="400"/>
      <c r="F3100" s="400"/>
      <c r="G3100" s="400"/>
      <c r="H3100" s="396"/>
    </row>
    <row r="3101" spans="1:8" s="401" customFormat="1" ht="14.25" customHeight="1" x14ac:dyDescent="0.25">
      <c r="A3101" s="564">
        <v>2297</v>
      </c>
      <c r="B3101" s="562" t="s">
        <v>892</v>
      </c>
      <c r="C3101" s="403">
        <v>10579</v>
      </c>
      <c r="D3101" s="400"/>
      <c r="E3101" s="400"/>
      <c r="F3101" s="400"/>
      <c r="G3101" s="400"/>
      <c r="H3101" s="396"/>
    </row>
    <row r="3102" spans="1:8" s="401" customFormat="1" ht="14.25" customHeight="1" x14ac:dyDescent="0.25">
      <c r="A3102" s="564">
        <v>2299</v>
      </c>
      <c r="B3102" s="562" t="s">
        <v>892</v>
      </c>
      <c r="C3102" s="403">
        <v>10579</v>
      </c>
      <c r="D3102" s="400"/>
      <c r="E3102" s="400"/>
      <c r="F3102" s="400"/>
      <c r="G3102" s="400"/>
      <c r="H3102" s="396"/>
    </row>
    <row r="3103" spans="1:8" s="401" customFormat="1" ht="14.25" customHeight="1" x14ac:dyDescent="0.25">
      <c r="A3103" s="564">
        <v>2302</v>
      </c>
      <c r="B3103" s="562" t="s">
        <v>892</v>
      </c>
      <c r="C3103" s="403">
        <v>8352</v>
      </c>
      <c r="D3103" s="400"/>
      <c r="E3103" s="400"/>
      <c r="F3103" s="400"/>
      <c r="G3103" s="400"/>
      <c r="H3103" s="396"/>
    </row>
    <row r="3104" spans="1:8" s="401" customFormat="1" ht="14.25" customHeight="1" x14ac:dyDescent="0.25">
      <c r="A3104" s="564">
        <v>2307</v>
      </c>
      <c r="B3104" s="562" t="s">
        <v>893</v>
      </c>
      <c r="C3104" s="403">
        <v>2622</v>
      </c>
      <c r="D3104" s="400"/>
      <c r="E3104" s="400"/>
      <c r="F3104" s="400"/>
      <c r="G3104" s="400"/>
      <c r="H3104" s="396"/>
    </row>
    <row r="3105" spans="1:8" s="401" customFormat="1" ht="14.25" customHeight="1" x14ac:dyDescent="0.25">
      <c r="A3105" s="564">
        <v>2309</v>
      </c>
      <c r="B3105" s="562" t="s">
        <v>893</v>
      </c>
      <c r="C3105" s="403">
        <v>2504</v>
      </c>
      <c r="D3105" s="400"/>
      <c r="E3105" s="400"/>
      <c r="F3105" s="400"/>
      <c r="G3105" s="400"/>
      <c r="H3105" s="396"/>
    </row>
    <row r="3106" spans="1:8" s="401" customFormat="1" ht="14.25" customHeight="1" x14ac:dyDescent="0.25">
      <c r="A3106" s="564">
        <v>2311</v>
      </c>
      <c r="B3106" s="562" t="s">
        <v>893</v>
      </c>
      <c r="C3106" s="403">
        <v>2076</v>
      </c>
      <c r="D3106" s="400"/>
      <c r="E3106" s="400"/>
      <c r="F3106" s="400"/>
      <c r="G3106" s="400"/>
      <c r="H3106" s="396"/>
    </row>
    <row r="3107" spans="1:8" s="401" customFormat="1" ht="14.25" customHeight="1" x14ac:dyDescent="0.25">
      <c r="A3107" s="564">
        <v>2315</v>
      </c>
      <c r="B3107" s="562" t="s">
        <v>893</v>
      </c>
      <c r="C3107" s="403">
        <v>2558</v>
      </c>
      <c r="D3107" s="400"/>
      <c r="E3107" s="400"/>
      <c r="F3107" s="400"/>
      <c r="G3107" s="400"/>
      <c r="H3107" s="396"/>
    </row>
    <row r="3108" spans="1:8" s="401" customFormat="1" ht="14.25" customHeight="1" x14ac:dyDescent="0.25">
      <c r="A3108" s="564">
        <v>2317</v>
      </c>
      <c r="B3108" s="562" t="s">
        <v>893</v>
      </c>
      <c r="C3108" s="403">
        <v>3000</v>
      </c>
      <c r="D3108" s="400"/>
      <c r="E3108" s="400"/>
      <c r="F3108" s="400"/>
      <c r="G3108" s="400"/>
      <c r="H3108" s="396"/>
    </row>
    <row r="3109" spans="1:8" s="401" customFormat="1" ht="14.25" customHeight="1" x14ac:dyDescent="0.25">
      <c r="A3109" s="564">
        <v>2320</v>
      </c>
      <c r="B3109" s="562" t="s">
        <v>893</v>
      </c>
      <c r="C3109" s="403">
        <v>1966</v>
      </c>
      <c r="D3109" s="400"/>
      <c r="E3109" s="400"/>
      <c r="F3109" s="400"/>
      <c r="G3109" s="400"/>
      <c r="H3109" s="396"/>
    </row>
    <row r="3110" spans="1:8" s="401" customFormat="1" ht="14.25" customHeight="1" x14ac:dyDescent="0.25">
      <c r="A3110" s="564">
        <v>2323</v>
      </c>
      <c r="B3110" s="562" t="s">
        <v>893</v>
      </c>
      <c r="C3110" s="403">
        <v>1966</v>
      </c>
      <c r="D3110" s="400"/>
      <c r="E3110" s="400"/>
      <c r="F3110" s="400"/>
      <c r="G3110" s="400"/>
      <c r="H3110" s="396"/>
    </row>
    <row r="3111" spans="1:8" s="401" customFormat="1" ht="14.25" customHeight="1" x14ac:dyDescent="0.25">
      <c r="A3111" s="564">
        <v>2327</v>
      </c>
      <c r="B3111" s="562" t="s">
        <v>893</v>
      </c>
      <c r="C3111" s="403">
        <v>1966</v>
      </c>
      <c r="D3111" s="400"/>
      <c r="E3111" s="400"/>
      <c r="F3111" s="400"/>
      <c r="G3111" s="400"/>
      <c r="H3111" s="396"/>
    </row>
    <row r="3112" spans="1:8" s="401" customFormat="1" ht="14.25" customHeight="1" x14ac:dyDescent="0.25">
      <c r="A3112" s="564">
        <v>2364</v>
      </c>
      <c r="B3112" s="562" t="s">
        <v>894</v>
      </c>
      <c r="C3112" s="403">
        <v>5092</v>
      </c>
      <c r="D3112" s="400"/>
      <c r="E3112" s="400"/>
      <c r="F3112" s="400"/>
      <c r="G3112" s="400"/>
      <c r="H3112" s="396"/>
    </row>
    <row r="3113" spans="1:8" s="401" customFormat="1" ht="14.25" customHeight="1" x14ac:dyDescent="0.25">
      <c r="A3113" s="564">
        <v>2386</v>
      </c>
      <c r="B3113" s="562" t="s">
        <v>894</v>
      </c>
      <c r="C3113" s="403">
        <v>5910</v>
      </c>
      <c r="D3113" s="400"/>
      <c r="E3113" s="400"/>
      <c r="F3113" s="400"/>
      <c r="G3113" s="400"/>
      <c r="H3113" s="396"/>
    </row>
    <row r="3114" spans="1:8" s="401" customFormat="1" ht="14.25" customHeight="1" x14ac:dyDescent="0.25">
      <c r="A3114" s="564">
        <v>2388</v>
      </c>
      <c r="B3114" s="562" t="s">
        <v>894</v>
      </c>
      <c r="C3114" s="403">
        <v>2800</v>
      </c>
      <c r="D3114" s="400"/>
      <c r="E3114" s="400"/>
      <c r="F3114" s="400"/>
      <c r="G3114" s="400"/>
      <c r="H3114" s="396"/>
    </row>
    <row r="3115" spans="1:8" s="401" customFormat="1" ht="14.25" customHeight="1" x14ac:dyDescent="0.25">
      <c r="A3115" s="564">
        <v>2391</v>
      </c>
      <c r="B3115" s="562" t="s">
        <v>894</v>
      </c>
      <c r="C3115" s="403">
        <v>5910</v>
      </c>
      <c r="D3115" s="400"/>
      <c r="E3115" s="400"/>
      <c r="F3115" s="400"/>
      <c r="G3115" s="400"/>
      <c r="H3115" s="396"/>
    </row>
    <row r="3116" spans="1:8" s="401" customFormat="1" ht="14.25" customHeight="1" x14ac:dyDescent="0.25">
      <c r="A3116" s="564">
        <v>2393</v>
      </c>
      <c r="B3116" s="562" t="s">
        <v>894</v>
      </c>
      <c r="C3116" s="403">
        <v>5910</v>
      </c>
      <c r="D3116" s="400"/>
      <c r="E3116" s="400"/>
      <c r="F3116" s="400"/>
      <c r="G3116" s="400"/>
      <c r="H3116" s="396"/>
    </row>
    <row r="3117" spans="1:8" s="401" customFormat="1" ht="14.25" customHeight="1" x14ac:dyDescent="0.25">
      <c r="A3117" s="564">
        <v>2404</v>
      </c>
      <c r="B3117" s="562" t="s">
        <v>894</v>
      </c>
      <c r="C3117" s="403">
        <v>5336</v>
      </c>
      <c r="D3117" s="400"/>
      <c r="E3117" s="400"/>
      <c r="F3117" s="400"/>
      <c r="G3117" s="400"/>
      <c r="H3117" s="396"/>
    </row>
    <row r="3118" spans="1:8" s="401" customFormat="1" ht="14.25" customHeight="1" x14ac:dyDescent="0.25">
      <c r="A3118" s="564">
        <v>2409</v>
      </c>
      <c r="B3118" s="562" t="s">
        <v>894</v>
      </c>
      <c r="C3118" s="403">
        <v>5910</v>
      </c>
      <c r="D3118" s="400"/>
      <c r="E3118" s="400"/>
      <c r="F3118" s="400"/>
      <c r="G3118" s="400"/>
      <c r="H3118" s="396"/>
    </row>
    <row r="3119" spans="1:8" s="401" customFormat="1" ht="14.25" customHeight="1" x14ac:dyDescent="0.25">
      <c r="A3119" s="564">
        <v>2411</v>
      </c>
      <c r="B3119" s="562" t="s">
        <v>736</v>
      </c>
      <c r="C3119" s="403">
        <v>160</v>
      </c>
      <c r="D3119" s="400"/>
      <c r="E3119" s="400"/>
      <c r="F3119" s="400"/>
      <c r="G3119" s="400"/>
      <c r="H3119" s="396"/>
    </row>
    <row r="3120" spans="1:8" s="401" customFormat="1" ht="14.25" customHeight="1" x14ac:dyDescent="0.25">
      <c r="A3120" s="564">
        <v>2464</v>
      </c>
      <c r="B3120" s="562" t="s">
        <v>893</v>
      </c>
      <c r="C3120" s="403">
        <v>2559</v>
      </c>
      <c r="D3120" s="400"/>
      <c r="E3120" s="400"/>
      <c r="F3120" s="400"/>
      <c r="G3120" s="400"/>
      <c r="H3120" s="396"/>
    </row>
    <row r="3121" spans="1:8" s="401" customFormat="1" ht="14.25" customHeight="1" x14ac:dyDescent="0.25">
      <c r="A3121" s="564">
        <v>2539</v>
      </c>
      <c r="B3121" s="562" t="s">
        <v>892</v>
      </c>
      <c r="C3121" s="403">
        <v>9294</v>
      </c>
      <c r="D3121" s="400"/>
      <c r="E3121" s="400"/>
      <c r="F3121" s="400"/>
      <c r="G3121" s="400"/>
      <c r="H3121" s="396"/>
    </row>
    <row r="3122" spans="1:8" s="401" customFormat="1" ht="14.25" customHeight="1" x14ac:dyDescent="0.25">
      <c r="A3122" s="564">
        <v>2543</v>
      </c>
      <c r="B3122" s="562" t="s">
        <v>892</v>
      </c>
      <c r="C3122" s="403">
        <v>10856</v>
      </c>
      <c r="D3122" s="400"/>
      <c r="E3122" s="400"/>
      <c r="F3122" s="400"/>
      <c r="G3122" s="400"/>
      <c r="H3122" s="396"/>
    </row>
    <row r="3123" spans="1:8" s="401" customFormat="1" ht="14.25" customHeight="1" x14ac:dyDescent="0.25">
      <c r="A3123" s="564">
        <v>2548</v>
      </c>
      <c r="B3123" s="562" t="s">
        <v>892</v>
      </c>
      <c r="C3123" s="403">
        <v>6133</v>
      </c>
      <c r="D3123" s="400"/>
      <c r="E3123" s="400"/>
      <c r="F3123" s="400"/>
      <c r="G3123" s="400"/>
      <c r="H3123" s="396"/>
    </row>
    <row r="3124" spans="1:8" s="401" customFormat="1" ht="14.25" customHeight="1" x14ac:dyDescent="0.25">
      <c r="A3124" s="564">
        <v>2564</v>
      </c>
      <c r="B3124" s="562" t="s">
        <v>893</v>
      </c>
      <c r="C3124" s="403">
        <v>2559</v>
      </c>
      <c r="D3124" s="400"/>
      <c r="E3124" s="400"/>
      <c r="F3124" s="400"/>
      <c r="G3124" s="400"/>
      <c r="H3124" s="396"/>
    </row>
    <row r="3125" spans="1:8" s="401" customFormat="1" ht="14.25" customHeight="1" x14ac:dyDescent="0.25">
      <c r="A3125" s="564">
        <v>2566</v>
      </c>
      <c r="B3125" s="562" t="s">
        <v>893</v>
      </c>
      <c r="C3125" s="403">
        <v>2539</v>
      </c>
      <c r="D3125" s="400"/>
      <c r="E3125" s="400"/>
      <c r="F3125" s="400"/>
      <c r="G3125" s="400"/>
      <c r="H3125" s="396"/>
    </row>
    <row r="3126" spans="1:8" s="401" customFormat="1" ht="14.25" customHeight="1" x14ac:dyDescent="0.25">
      <c r="A3126" s="564">
        <v>2570</v>
      </c>
      <c r="B3126" s="562" t="s">
        <v>893</v>
      </c>
      <c r="C3126" s="403">
        <v>1900</v>
      </c>
      <c r="D3126" s="400"/>
      <c r="E3126" s="400"/>
      <c r="F3126" s="400"/>
      <c r="G3126" s="400"/>
      <c r="H3126" s="396"/>
    </row>
    <row r="3127" spans="1:8" s="401" customFormat="1" ht="14.25" customHeight="1" x14ac:dyDescent="0.25">
      <c r="A3127" s="564">
        <v>2574</v>
      </c>
      <c r="B3127" s="562" t="s">
        <v>893</v>
      </c>
      <c r="C3127" s="403">
        <v>1</v>
      </c>
      <c r="D3127" s="400"/>
      <c r="E3127" s="400"/>
      <c r="F3127" s="400"/>
      <c r="G3127" s="400"/>
      <c r="H3127" s="396"/>
    </row>
    <row r="3128" spans="1:8" s="401" customFormat="1" ht="14.25" customHeight="1" x14ac:dyDescent="0.25">
      <c r="A3128" s="564">
        <v>2626</v>
      </c>
      <c r="B3128" s="562" t="s">
        <v>892</v>
      </c>
      <c r="C3128" s="403">
        <v>2030</v>
      </c>
      <c r="D3128" s="400"/>
      <c r="E3128" s="400"/>
      <c r="F3128" s="400"/>
      <c r="G3128" s="400"/>
      <c r="H3128" s="396"/>
    </row>
    <row r="3129" spans="1:8" s="401" customFormat="1" ht="14.25" customHeight="1" x14ac:dyDescent="0.25">
      <c r="A3129" s="564">
        <v>2629</v>
      </c>
      <c r="B3129" s="562" t="s">
        <v>893</v>
      </c>
      <c r="C3129" s="403">
        <v>3250</v>
      </c>
      <c r="D3129" s="400"/>
      <c r="E3129" s="400"/>
      <c r="F3129" s="400"/>
      <c r="G3129" s="400"/>
      <c r="H3129" s="396"/>
    </row>
    <row r="3130" spans="1:8" s="401" customFormat="1" ht="14.25" customHeight="1" x14ac:dyDescent="0.25">
      <c r="A3130" s="564">
        <v>2636</v>
      </c>
      <c r="B3130" s="562" t="s">
        <v>894</v>
      </c>
      <c r="C3130" s="403">
        <v>5750</v>
      </c>
      <c r="D3130" s="400"/>
      <c r="E3130" s="400"/>
      <c r="F3130" s="400"/>
      <c r="G3130" s="400"/>
      <c r="H3130" s="396"/>
    </row>
    <row r="3131" spans="1:8" s="401" customFormat="1" ht="14.25" customHeight="1" x14ac:dyDescent="0.25">
      <c r="A3131" s="564">
        <v>2638</v>
      </c>
      <c r="B3131" s="562" t="s">
        <v>897</v>
      </c>
      <c r="C3131" s="403">
        <v>184</v>
      </c>
      <c r="D3131" s="400"/>
      <c r="E3131" s="400"/>
      <c r="F3131" s="400"/>
      <c r="G3131" s="400"/>
      <c r="H3131" s="396"/>
    </row>
    <row r="3132" spans="1:8" s="401" customFormat="1" ht="14.25" customHeight="1" x14ac:dyDescent="0.25">
      <c r="A3132" s="564">
        <v>2641</v>
      </c>
      <c r="B3132" s="562" t="s">
        <v>897</v>
      </c>
      <c r="C3132" s="403">
        <v>184</v>
      </c>
      <c r="D3132" s="400"/>
      <c r="E3132" s="400"/>
      <c r="F3132" s="400"/>
      <c r="G3132" s="400"/>
      <c r="H3132" s="396"/>
    </row>
    <row r="3133" spans="1:8" s="401" customFormat="1" ht="14.25" customHeight="1" x14ac:dyDescent="0.25">
      <c r="A3133" s="564">
        <v>2644</v>
      </c>
      <c r="B3133" s="562" t="s">
        <v>736</v>
      </c>
      <c r="C3133" s="403">
        <v>300</v>
      </c>
      <c r="D3133" s="400"/>
      <c r="E3133" s="400"/>
      <c r="F3133" s="400"/>
      <c r="G3133" s="400"/>
      <c r="H3133" s="396"/>
    </row>
    <row r="3134" spans="1:8" s="401" customFormat="1" ht="14.25" customHeight="1" x14ac:dyDescent="0.25">
      <c r="A3134" s="564">
        <v>2672</v>
      </c>
      <c r="B3134" s="562" t="s">
        <v>892</v>
      </c>
      <c r="C3134" s="403">
        <v>10579</v>
      </c>
      <c r="D3134" s="400"/>
      <c r="E3134" s="400"/>
      <c r="F3134" s="400"/>
      <c r="G3134" s="400"/>
      <c r="H3134" s="396"/>
    </row>
    <row r="3135" spans="1:8" s="401" customFormat="1" ht="14.25" customHeight="1" x14ac:dyDescent="0.25">
      <c r="A3135" s="564">
        <v>2677</v>
      </c>
      <c r="B3135" s="562" t="s">
        <v>893</v>
      </c>
      <c r="C3135" s="403">
        <v>1</v>
      </c>
      <c r="D3135" s="400"/>
      <c r="E3135" s="400"/>
      <c r="F3135" s="400"/>
      <c r="G3135" s="400"/>
      <c r="H3135" s="396"/>
    </row>
    <row r="3136" spans="1:8" s="401" customFormat="1" ht="14.25" customHeight="1" x14ac:dyDescent="0.25">
      <c r="A3136" s="564">
        <v>2689</v>
      </c>
      <c r="B3136" s="562" t="s">
        <v>897</v>
      </c>
      <c r="C3136" s="403">
        <v>93</v>
      </c>
      <c r="D3136" s="400"/>
      <c r="E3136" s="400"/>
      <c r="F3136" s="400"/>
      <c r="G3136" s="400"/>
      <c r="H3136" s="396"/>
    </row>
    <row r="3137" spans="1:8" s="401" customFormat="1" ht="14.25" customHeight="1" x14ac:dyDescent="0.25">
      <c r="A3137" s="564">
        <v>2690</v>
      </c>
      <c r="B3137" s="562" t="s">
        <v>894</v>
      </c>
      <c r="C3137" s="403">
        <v>4716</v>
      </c>
      <c r="D3137" s="400"/>
      <c r="E3137" s="400"/>
      <c r="F3137" s="400"/>
      <c r="G3137" s="400"/>
      <c r="H3137" s="396"/>
    </row>
    <row r="3138" spans="1:8" s="401" customFormat="1" ht="14.25" customHeight="1" x14ac:dyDescent="0.25">
      <c r="A3138" s="564">
        <v>2705</v>
      </c>
      <c r="B3138" s="562" t="s">
        <v>889</v>
      </c>
      <c r="C3138" s="403">
        <v>1</v>
      </c>
      <c r="D3138" s="400"/>
      <c r="E3138" s="400"/>
      <c r="F3138" s="400"/>
      <c r="G3138" s="400"/>
      <c r="H3138" s="396"/>
    </row>
    <row r="3139" spans="1:8" s="401" customFormat="1" ht="14.25" customHeight="1" x14ac:dyDescent="0.25">
      <c r="A3139" s="564">
        <v>2707</v>
      </c>
      <c r="B3139" s="562" t="s">
        <v>890</v>
      </c>
      <c r="C3139" s="403">
        <v>1</v>
      </c>
      <c r="D3139" s="400"/>
      <c r="E3139" s="400"/>
      <c r="F3139" s="400"/>
      <c r="G3139" s="400"/>
      <c r="H3139" s="396"/>
    </row>
    <row r="3140" spans="1:8" s="401" customFormat="1" ht="14.25" customHeight="1" x14ac:dyDescent="0.25">
      <c r="A3140" s="564">
        <v>2711</v>
      </c>
      <c r="B3140" s="562" t="s">
        <v>890</v>
      </c>
      <c r="C3140" s="403">
        <v>288</v>
      </c>
      <c r="D3140" s="400"/>
      <c r="E3140" s="400"/>
      <c r="F3140" s="400"/>
      <c r="G3140" s="400"/>
      <c r="H3140" s="396"/>
    </row>
    <row r="3141" spans="1:8" s="401" customFormat="1" ht="14.25" customHeight="1" x14ac:dyDescent="0.25">
      <c r="A3141" s="564">
        <v>2713</v>
      </c>
      <c r="B3141" s="562" t="s">
        <v>890</v>
      </c>
      <c r="C3141" s="403">
        <v>1</v>
      </c>
      <c r="D3141" s="400"/>
      <c r="E3141" s="400"/>
      <c r="F3141" s="400"/>
      <c r="G3141" s="400"/>
      <c r="H3141" s="396"/>
    </row>
    <row r="3142" spans="1:8" s="401" customFormat="1" ht="14.25" customHeight="1" x14ac:dyDescent="0.25">
      <c r="A3142" s="564">
        <v>2717</v>
      </c>
      <c r="B3142" s="562" t="s">
        <v>890</v>
      </c>
      <c r="C3142" s="403">
        <v>172</v>
      </c>
      <c r="D3142" s="400"/>
      <c r="E3142" s="400"/>
      <c r="F3142" s="400"/>
      <c r="G3142" s="400"/>
      <c r="H3142" s="396"/>
    </row>
    <row r="3143" spans="1:8" s="401" customFormat="1" ht="14.25" customHeight="1" x14ac:dyDescent="0.25">
      <c r="A3143" s="564">
        <v>2721</v>
      </c>
      <c r="B3143" s="562" t="s">
        <v>890</v>
      </c>
      <c r="C3143" s="403">
        <v>1</v>
      </c>
      <c r="D3143" s="400"/>
      <c r="E3143" s="400"/>
      <c r="F3143" s="400"/>
      <c r="G3143" s="400"/>
      <c r="H3143" s="396"/>
    </row>
    <row r="3144" spans="1:8" s="401" customFormat="1" ht="14.25" customHeight="1" x14ac:dyDescent="0.25">
      <c r="A3144" s="564">
        <v>2724</v>
      </c>
      <c r="B3144" s="562" t="s">
        <v>890</v>
      </c>
      <c r="C3144" s="403">
        <v>418</v>
      </c>
      <c r="D3144" s="400"/>
      <c r="E3144" s="400"/>
      <c r="F3144" s="400"/>
      <c r="G3144" s="400"/>
      <c r="H3144" s="396"/>
    </row>
    <row r="3145" spans="1:8" s="401" customFormat="1" ht="14.25" customHeight="1" x14ac:dyDescent="0.25">
      <c r="A3145" s="564">
        <v>2725</v>
      </c>
      <c r="B3145" s="562" t="s">
        <v>889</v>
      </c>
      <c r="C3145" s="403">
        <v>230</v>
      </c>
      <c r="D3145" s="400"/>
      <c r="E3145" s="400"/>
      <c r="F3145" s="400"/>
      <c r="G3145" s="400"/>
      <c r="H3145" s="396"/>
    </row>
    <row r="3146" spans="1:8" s="401" customFormat="1" ht="14.25" customHeight="1" x14ac:dyDescent="0.25">
      <c r="A3146" s="564">
        <v>2730</v>
      </c>
      <c r="B3146" s="562" t="s">
        <v>890</v>
      </c>
      <c r="C3146" s="403">
        <v>1</v>
      </c>
      <c r="D3146" s="400"/>
      <c r="E3146" s="400"/>
      <c r="F3146" s="400"/>
      <c r="G3146" s="400"/>
      <c r="H3146" s="396"/>
    </row>
    <row r="3147" spans="1:8" s="401" customFormat="1" ht="14.25" customHeight="1" x14ac:dyDescent="0.25">
      <c r="A3147" s="564">
        <v>2732</v>
      </c>
      <c r="B3147" s="562" t="s">
        <v>890</v>
      </c>
      <c r="C3147" s="403">
        <v>1</v>
      </c>
      <c r="D3147" s="400"/>
      <c r="E3147" s="400"/>
      <c r="F3147" s="400"/>
      <c r="G3147" s="400"/>
      <c r="H3147" s="396"/>
    </row>
    <row r="3148" spans="1:8" s="401" customFormat="1" ht="14.25" customHeight="1" x14ac:dyDescent="0.25">
      <c r="A3148" s="564">
        <v>2734</v>
      </c>
      <c r="B3148" s="562" t="s">
        <v>890</v>
      </c>
      <c r="C3148" s="403">
        <v>1</v>
      </c>
      <c r="D3148" s="400"/>
      <c r="E3148" s="400"/>
      <c r="F3148" s="400"/>
      <c r="G3148" s="400"/>
      <c r="H3148" s="396"/>
    </row>
    <row r="3149" spans="1:8" s="401" customFormat="1" ht="14.25" customHeight="1" x14ac:dyDescent="0.25">
      <c r="A3149" s="564">
        <v>2737</v>
      </c>
      <c r="B3149" s="562" t="s">
        <v>890</v>
      </c>
      <c r="C3149" s="403">
        <v>1</v>
      </c>
      <c r="D3149" s="400"/>
      <c r="E3149" s="400"/>
      <c r="F3149" s="400"/>
      <c r="G3149" s="400"/>
      <c r="H3149" s="396"/>
    </row>
    <row r="3150" spans="1:8" s="401" customFormat="1" ht="14.25" customHeight="1" x14ac:dyDescent="0.25">
      <c r="A3150" s="564">
        <v>2782</v>
      </c>
      <c r="B3150" s="562" t="s">
        <v>736</v>
      </c>
      <c r="C3150" s="403">
        <v>104.4</v>
      </c>
      <c r="D3150" s="400"/>
      <c r="E3150" s="400"/>
      <c r="F3150" s="400"/>
      <c r="G3150" s="400"/>
      <c r="H3150" s="396"/>
    </row>
    <row r="3151" spans="1:8" s="401" customFormat="1" ht="14.25" customHeight="1" x14ac:dyDescent="0.25">
      <c r="A3151" s="564">
        <v>2785</v>
      </c>
      <c r="B3151" s="562" t="s">
        <v>736</v>
      </c>
      <c r="C3151" s="403">
        <v>104.4</v>
      </c>
      <c r="D3151" s="400"/>
      <c r="E3151" s="400"/>
      <c r="F3151" s="400"/>
      <c r="G3151" s="400"/>
      <c r="H3151" s="396"/>
    </row>
    <row r="3152" spans="1:8" s="401" customFormat="1" ht="14.25" customHeight="1" x14ac:dyDescent="0.25">
      <c r="A3152" s="564">
        <v>2787</v>
      </c>
      <c r="B3152" s="562" t="s">
        <v>736</v>
      </c>
      <c r="C3152" s="403">
        <v>171.68</v>
      </c>
      <c r="D3152" s="400"/>
      <c r="E3152" s="400"/>
      <c r="F3152" s="400"/>
      <c r="G3152" s="400"/>
      <c r="H3152" s="396"/>
    </row>
    <row r="3153" spans="1:8" s="401" customFormat="1" ht="14.25" customHeight="1" x14ac:dyDescent="0.25">
      <c r="A3153" s="564">
        <v>2792</v>
      </c>
      <c r="B3153" s="562" t="s">
        <v>736</v>
      </c>
      <c r="C3153" s="403">
        <v>110</v>
      </c>
      <c r="D3153" s="400"/>
      <c r="E3153" s="400"/>
      <c r="F3153" s="400"/>
      <c r="G3153" s="400"/>
      <c r="H3153" s="396"/>
    </row>
    <row r="3154" spans="1:8" s="401" customFormat="1" ht="14.25" customHeight="1" x14ac:dyDescent="0.25">
      <c r="A3154" s="564">
        <v>2796</v>
      </c>
      <c r="B3154" s="562" t="s">
        <v>736</v>
      </c>
      <c r="C3154" s="403">
        <v>1</v>
      </c>
      <c r="D3154" s="400"/>
      <c r="E3154" s="400"/>
      <c r="F3154" s="400"/>
      <c r="G3154" s="400"/>
      <c r="H3154" s="396"/>
    </row>
    <row r="3155" spans="1:8" s="401" customFormat="1" ht="14.25" customHeight="1" x14ac:dyDescent="0.25">
      <c r="A3155" s="564">
        <v>2799</v>
      </c>
      <c r="B3155" s="562" t="s">
        <v>736</v>
      </c>
      <c r="C3155" s="403">
        <v>114</v>
      </c>
      <c r="D3155" s="400"/>
      <c r="E3155" s="400"/>
      <c r="F3155" s="400"/>
      <c r="G3155" s="400"/>
      <c r="H3155" s="396"/>
    </row>
    <row r="3156" spans="1:8" s="401" customFormat="1" ht="14.25" customHeight="1" x14ac:dyDescent="0.25">
      <c r="A3156" s="564">
        <v>4108</v>
      </c>
      <c r="B3156" s="562" t="s">
        <v>893</v>
      </c>
      <c r="C3156" s="403">
        <v>1</v>
      </c>
      <c r="D3156" s="400"/>
      <c r="E3156" s="400"/>
      <c r="F3156" s="400"/>
      <c r="G3156" s="400"/>
      <c r="H3156" s="396"/>
    </row>
    <row r="3157" spans="1:8" s="401" customFormat="1" ht="14.25" customHeight="1" x14ac:dyDescent="0.25">
      <c r="A3157" s="564">
        <v>4110</v>
      </c>
      <c r="B3157" s="562" t="s">
        <v>893</v>
      </c>
      <c r="C3157" s="403">
        <v>1</v>
      </c>
      <c r="D3157" s="400"/>
      <c r="E3157" s="400"/>
      <c r="F3157" s="400"/>
      <c r="G3157" s="400"/>
      <c r="H3157" s="396"/>
    </row>
    <row r="3158" spans="1:8" s="401" customFormat="1" ht="14.25" customHeight="1" x14ac:dyDescent="0.25">
      <c r="A3158" s="564">
        <v>2090</v>
      </c>
      <c r="B3158" s="562" t="s">
        <v>893</v>
      </c>
      <c r="C3158" s="403">
        <v>2554</v>
      </c>
      <c r="D3158" s="400"/>
      <c r="E3158" s="400"/>
      <c r="F3158" s="400"/>
      <c r="G3158" s="400"/>
      <c r="H3158" s="396"/>
    </row>
    <row r="3159" spans="1:8" s="401" customFormat="1" ht="14.25" customHeight="1" x14ac:dyDescent="0.25">
      <c r="A3159" s="564">
        <v>2109</v>
      </c>
      <c r="B3159" s="562" t="s">
        <v>894</v>
      </c>
      <c r="C3159" s="403">
        <v>6930</v>
      </c>
      <c r="D3159" s="400"/>
      <c r="E3159" s="400"/>
      <c r="F3159" s="400"/>
      <c r="G3159" s="400"/>
      <c r="H3159" s="396"/>
    </row>
    <row r="3160" spans="1:8" s="401" customFormat="1" ht="14.25" customHeight="1" x14ac:dyDescent="0.25">
      <c r="A3160" s="564">
        <v>2173</v>
      </c>
      <c r="B3160" s="562" t="s">
        <v>894</v>
      </c>
      <c r="C3160" s="403">
        <v>8468</v>
      </c>
      <c r="D3160" s="400"/>
      <c r="E3160" s="400"/>
      <c r="F3160" s="400"/>
      <c r="G3160" s="400"/>
      <c r="H3160" s="396"/>
    </row>
    <row r="3161" spans="1:8" s="401" customFormat="1" ht="14.25" customHeight="1" x14ac:dyDescent="0.25">
      <c r="A3161" s="564">
        <v>2214</v>
      </c>
      <c r="B3161" s="562" t="s">
        <v>894</v>
      </c>
      <c r="C3161" s="403">
        <v>8468</v>
      </c>
      <c r="D3161" s="400"/>
      <c r="E3161" s="400"/>
      <c r="F3161" s="400"/>
      <c r="G3161" s="400"/>
      <c r="H3161" s="396"/>
    </row>
    <row r="3162" spans="1:8" s="401" customFormat="1" ht="14.25" customHeight="1" x14ac:dyDescent="0.25">
      <c r="A3162" s="564">
        <v>2269</v>
      </c>
      <c r="B3162" s="562" t="s">
        <v>892</v>
      </c>
      <c r="C3162" s="403">
        <v>8352</v>
      </c>
      <c r="D3162" s="400"/>
      <c r="E3162" s="400"/>
      <c r="F3162" s="400"/>
      <c r="G3162" s="400"/>
      <c r="H3162" s="396"/>
    </row>
    <row r="3163" spans="1:8" s="401" customFormat="1" ht="14.25" customHeight="1" x14ac:dyDescent="0.25">
      <c r="A3163" s="564">
        <v>2273</v>
      </c>
      <c r="B3163" s="562" t="s">
        <v>893</v>
      </c>
      <c r="C3163" s="403">
        <v>1966</v>
      </c>
      <c r="D3163" s="400"/>
      <c r="E3163" s="400"/>
      <c r="F3163" s="400"/>
      <c r="G3163" s="400"/>
      <c r="H3163" s="396"/>
    </row>
    <row r="3164" spans="1:8" s="401" customFormat="1" ht="14.25" customHeight="1" x14ac:dyDescent="0.25">
      <c r="A3164" s="564">
        <v>2360</v>
      </c>
      <c r="B3164" s="562" t="s">
        <v>894</v>
      </c>
      <c r="C3164" s="403">
        <v>4878</v>
      </c>
      <c r="D3164" s="400"/>
      <c r="E3164" s="400"/>
      <c r="F3164" s="400"/>
      <c r="G3164" s="400"/>
      <c r="H3164" s="396"/>
    </row>
    <row r="3165" spans="1:8" s="401" customFormat="1" ht="14.25" customHeight="1" x14ac:dyDescent="0.25">
      <c r="A3165" s="564">
        <v>2383</v>
      </c>
      <c r="B3165" s="562" t="s">
        <v>894</v>
      </c>
      <c r="C3165" s="403">
        <v>6068</v>
      </c>
      <c r="D3165" s="400"/>
      <c r="E3165" s="400"/>
      <c r="F3165" s="400"/>
      <c r="G3165" s="400"/>
      <c r="H3165" s="396"/>
    </row>
    <row r="3166" spans="1:8" s="401" customFormat="1" ht="14.25" customHeight="1" x14ac:dyDescent="0.25">
      <c r="A3166" s="564">
        <v>2415</v>
      </c>
      <c r="B3166" s="562" t="s">
        <v>736</v>
      </c>
      <c r="C3166" s="403">
        <v>160</v>
      </c>
      <c r="D3166" s="400"/>
      <c r="E3166" s="400"/>
      <c r="F3166" s="400"/>
      <c r="G3166" s="400"/>
      <c r="H3166" s="396"/>
    </row>
    <row r="3167" spans="1:8" s="401" customFormat="1" ht="14.25" customHeight="1" x14ac:dyDescent="0.25">
      <c r="A3167" s="564">
        <v>2417</v>
      </c>
      <c r="B3167" s="562" t="s">
        <v>736</v>
      </c>
      <c r="C3167" s="403">
        <v>104.4</v>
      </c>
      <c r="D3167" s="400"/>
      <c r="E3167" s="400"/>
      <c r="F3167" s="400"/>
      <c r="G3167" s="400"/>
      <c r="H3167" s="396"/>
    </row>
    <row r="3168" spans="1:8" s="401" customFormat="1" ht="14.25" customHeight="1" x14ac:dyDescent="0.25">
      <c r="A3168" s="564">
        <v>2423</v>
      </c>
      <c r="B3168" s="562" t="s">
        <v>892</v>
      </c>
      <c r="C3168" s="403">
        <v>6334</v>
      </c>
      <c r="D3168" s="400"/>
      <c r="E3168" s="400"/>
      <c r="F3168" s="400"/>
      <c r="G3168" s="400"/>
      <c r="H3168" s="396"/>
    </row>
    <row r="3169" spans="1:8" s="401" customFormat="1" ht="14.25" customHeight="1" x14ac:dyDescent="0.25">
      <c r="A3169" s="564">
        <v>2432</v>
      </c>
      <c r="B3169" s="562" t="s">
        <v>910</v>
      </c>
      <c r="C3169" s="403">
        <v>12419</v>
      </c>
      <c r="D3169" s="400"/>
      <c r="E3169" s="400"/>
      <c r="F3169" s="400"/>
      <c r="G3169" s="400"/>
      <c r="H3169" s="396"/>
    </row>
    <row r="3170" spans="1:8" s="401" customFormat="1" ht="14.25" customHeight="1" x14ac:dyDescent="0.25">
      <c r="A3170" s="564">
        <v>2435</v>
      </c>
      <c r="B3170" s="562" t="s">
        <v>893</v>
      </c>
      <c r="C3170" s="403">
        <v>2559</v>
      </c>
      <c r="D3170" s="400"/>
      <c r="E3170" s="400"/>
      <c r="F3170" s="400"/>
      <c r="G3170" s="400"/>
      <c r="H3170" s="396"/>
    </row>
    <row r="3171" spans="1:8" s="401" customFormat="1" ht="14.25" customHeight="1" x14ac:dyDescent="0.25">
      <c r="A3171" s="564">
        <v>2438</v>
      </c>
      <c r="B3171" s="562" t="s">
        <v>894</v>
      </c>
      <c r="C3171" s="403">
        <v>6124</v>
      </c>
      <c r="D3171" s="400"/>
      <c r="E3171" s="400"/>
      <c r="F3171" s="400"/>
      <c r="G3171" s="400"/>
      <c r="H3171" s="396"/>
    </row>
    <row r="3172" spans="1:8" s="401" customFormat="1" ht="14.25" customHeight="1" x14ac:dyDescent="0.25">
      <c r="A3172" s="564">
        <v>2466</v>
      </c>
      <c r="B3172" s="562" t="s">
        <v>892</v>
      </c>
      <c r="C3172" s="403">
        <v>3910</v>
      </c>
      <c r="D3172" s="400"/>
      <c r="E3172" s="400"/>
      <c r="F3172" s="400"/>
      <c r="G3172" s="400"/>
      <c r="H3172" s="396"/>
    </row>
    <row r="3173" spans="1:8" s="401" customFormat="1" ht="14.25" customHeight="1" x14ac:dyDescent="0.25">
      <c r="A3173" s="564">
        <v>2469</v>
      </c>
      <c r="B3173" s="562" t="s">
        <v>892</v>
      </c>
      <c r="C3173" s="403">
        <v>4651</v>
      </c>
      <c r="D3173" s="400"/>
      <c r="E3173" s="400"/>
      <c r="F3173" s="400"/>
      <c r="G3173" s="400"/>
      <c r="H3173" s="396"/>
    </row>
    <row r="3174" spans="1:8" s="401" customFormat="1" ht="14.25" customHeight="1" x14ac:dyDescent="0.25">
      <c r="A3174" s="564">
        <v>2473</v>
      </c>
      <c r="B3174" s="562" t="s">
        <v>892</v>
      </c>
      <c r="C3174" s="403">
        <v>4651</v>
      </c>
      <c r="D3174" s="400"/>
      <c r="E3174" s="400"/>
      <c r="F3174" s="400"/>
      <c r="G3174" s="400"/>
      <c r="H3174" s="396"/>
    </row>
    <row r="3175" spans="1:8" s="401" customFormat="1" ht="14.25" customHeight="1" x14ac:dyDescent="0.25">
      <c r="A3175" s="564">
        <v>2477</v>
      </c>
      <c r="B3175" s="562" t="s">
        <v>892</v>
      </c>
      <c r="C3175" s="403">
        <v>6445</v>
      </c>
      <c r="D3175" s="400"/>
      <c r="E3175" s="400"/>
      <c r="F3175" s="400"/>
      <c r="G3175" s="400"/>
      <c r="H3175" s="396"/>
    </row>
    <row r="3176" spans="1:8" s="401" customFormat="1" ht="14.25" customHeight="1" x14ac:dyDescent="0.25">
      <c r="A3176" s="564">
        <v>2482</v>
      </c>
      <c r="B3176" s="562" t="s">
        <v>892</v>
      </c>
      <c r="C3176" s="403">
        <v>4242</v>
      </c>
      <c r="D3176" s="400"/>
      <c r="E3176" s="400"/>
      <c r="F3176" s="400"/>
      <c r="G3176" s="400"/>
      <c r="H3176" s="396"/>
    </row>
    <row r="3177" spans="1:8" s="401" customFormat="1" ht="14.25" customHeight="1" x14ac:dyDescent="0.25">
      <c r="A3177" s="564">
        <v>2486</v>
      </c>
      <c r="B3177" s="562" t="s">
        <v>893</v>
      </c>
      <c r="C3177" s="403">
        <v>2559</v>
      </c>
      <c r="D3177" s="400"/>
      <c r="E3177" s="400"/>
      <c r="F3177" s="400"/>
      <c r="G3177" s="400"/>
      <c r="H3177" s="396"/>
    </row>
    <row r="3178" spans="1:8" s="401" customFormat="1" ht="14.25" customHeight="1" x14ac:dyDescent="0.25">
      <c r="A3178" s="564">
        <v>2490</v>
      </c>
      <c r="B3178" s="562" t="s">
        <v>893</v>
      </c>
      <c r="C3178" s="403">
        <v>1725</v>
      </c>
      <c r="D3178" s="400"/>
      <c r="E3178" s="400"/>
      <c r="F3178" s="400"/>
      <c r="G3178" s="400"/>
      <c r="H3178" s="396"/>
    </row>
    <row r="3179" spans="1:8" s="401" customFormat="1" ht="14.25" customHeight="1" x14ac:dyDescent="0.25">
      <c r="A3179" s="564">
        <v>2597</v>
      </c>
      <c r="B3179" s="562" t="s">
        <v>897</v>
      </c>
      <c r="C3179" s="403">
        <v>1</v>
      </c>
      <c r="D3179" s="400"/>
      <c r="E3179" s="400"/>
      <c r="F3179" s="400"/>
      <c r="G3179" s="400"/>
      <c r="H3179" s="396"/>
    </row>
    <row r="3180" spans="1:8" s="401" customFormat="1" ht="14.25" customHeight="1" x14ac:dyDescent="0.25">
      <c r="A3180" s="564">
        <v>2603</v>
      </c>
      <c r="B3180" s="562" t="s">
        <v>894</v>
      </c>
      <c r="C3180" s="403">
        <v>6124</v>
      </c>
      <c r="D3180" s="400"/>
      <c r="E3180" s="400"/>
      <c r="F3180" s="400"/>
      <c r="G3180" s="400"/>
      <c r="H3180" s="396"/>
    </row>
    <row r="3181" spans="1:8" s="401" customFormat="1" ht="14.25" customHeight="1" x14ac:dyDescent="0.25">
      <c r="A3181" s="564">
        <v>2605</v>
      </c>
      <c r="B3181" s="562" t="s">
        <v>894</v>
      </c>
      <c r="C3181" s="403">
        <v>6555</v>
      </c>
      <c r="D3181" s="400"/>
      <c r="E3181" s="400"/>
      <c r="F3181" s="400"/>
      <c r="G3181" s="400"/>
      <c r="H3181" s="396"/>
    </row>
    <row r="3182" spans="1:8" s="401" customFormat="1" ht="14.25" customHeight="1" x14ac:dyDescent="0.25">
      <c r="A3182" s="564">
        <v>2608</v>
      </c>
      <c r="B3182" s="562" t="s">
        <v>894</v>
      </c>
      <c r="C3182" s="403">
        <v>6555</v>
      </c>
      <c r="D3182" s="400"/>
      <c r="E3182" s="400"/>
      <c r="F3182" s="400"/>
      <c r="G3182" s="400"/>
      <c r="H3182" s="396"/>
    </row>
    <row r="3183" spans="1:8" s="401" customFormat="1" ht="14.25" customHeight="1" x14ac:dyDescent="0.25">
      <c r="A3183" s="564">
        <v>2623</v>
      </c>
      <c r="B3183" s="562" t="s">
        <v>736</v>
      </c>
      <c r="C3183" s="403">
        <v>1</v>
      </c>
      <c r="D3183" s="400"/>
      <c r="E3183" s="400"/>
      <c r="F3183" s="400"/>
      <c r="G3183" s="400"/>
      <c r="H3183" s="396"/>
    </row>
    <row r="3184" spans="1:8" s="401" customFormat="1" ht="14.25" customHeight="1" x14ac:dyDescent="0.25">
      <c r="A3184" s="564">
        <v>2684</v>
      </c>
      <c r="B3184" s="562" t="s">
        <v>897</v>
      </c>
      <c r="C3184" s="403">
        <v>138</v>
      </c>
      <c r="D3184" s="400"/>
      <c r="E3184" s="400"/>
      <c r="F3184" s="400"/>
      <c r="G3184" s="400"/>
      <c r="H3184" s="396"/>
    </row>
    <row r="3185" spans="1:8" s="401" customFormat="1" ht="14.25" customHeight="1" x14ac:dyDescent="0.25">
      <c r="A3185" s="564">
        <v>2686</v>
      </c>
      <c r="B3185" s="562" t="s">
        <v>897</v>
      </c>
      <c r="C3185" s="403">
        <v>1</v>
      </c>
      <c r="D3185" s="400"/>
      <c r="E3185" s="400"/>
      <c r="F3185" s="400"/>
      <c r="G3185" s="400"/>
      <c r="H3185" s="396"/>
    </row>
    <row r="3186" spans="1:8" s="401" customFormat="1" ht="14.25" customHeight="1" x14ac:dyDescent="0.25">
      <c r="A3186" s="564">
        <v>2699</v>
      </c>
      <c r="B3186" s="562" t="s">
        <v>889</v>
      </c>
      <c r="C3186" s="403">
        <v>1</v>
      </c>
      <c r="D3186" s="400"/>
      <c r="E3186" s="400"/>
      <c r="F3186" s="400"/>
      <c r="G3186" s="400"/>
      <c r="H3186" s="396"/>
    </row>
    <row r="3187" spans="1:8" s="401" customFormat="1" ht="14.25" customHeight="1" x14ac:dyDescent="0.25">
      <c r="A3187" s="564">
        <v>2703</v>
      </c>
      <c r="B3187" s="562" t="s">
        <v>890</v>
      </c>
      <c r="C3187" s="403">
        <v>1</v>
      </c>
      <c r="D3187" s="400"/>
      <c r="E3187" s="400"/>
      <c r="F3187" s="400"/>
      <c r="G3187" s="400"/>
      <c r="H3187" s="396"/>
    </row>
    <row r="3188" spans="1:8" s="401" customFormat="1" ht="14.25" customHeight="1" x14ac:dyDescent="0.25">
      <c r="A3188" s="564">
        <v>2776</v>
      </c>
      <c r="B3188" s="562" t="s">
        <v>736</v>
      </c>
      <c r="C3188" s="403">
        <v>104.4</v>
      </c>
      <c r="D3188" s="400"/>
      <c r="E3188" s="400"/>
      <c r="F3188" s="400"/>
      <c r="G3188" s="400"/>
      <c r="H3188" s="396"/>
    </row>
    <row r="3189" spans="1:8" s="401" customFormat="1" ht="14.25" customHeight="1" x14ac:dyDescent="0.25">
      <c r="A3189" s="564">
        <v>2777</v>
      </c>
      <c r="B3189" s="562" t="s">
        <v>736</v>
      </c>
      <c r="C3189" s="403">
        <v>114</v>
      </c>
      <c r="D3189" s="400"/>
      <c r="E3189" s="400"/>
      <c r="F3189" s="400"/>
      <c r="G3189" s="400"/>
      <c r="H3189" s="396"/>
    </row>
    <row r="3190" spans="1:8" s="401" customFormat="1" ht="14.25" customHeight="1" x14ac:dyDescent="0.25">
      <c r="A3190" s="564">
        <v>2780</v>
      </c>
      <c r="B3190" s="562" t="s">
        <v>736</v>
      </c>
      <c r="C3190" s="403">
        <v>1</v>
      </c>
      <c r="D3190" s="400"/>
      <c r="E3190" s="400"/>
      <c r="F3190" s="400"/>
      <c r="G3190" s="400"/>
      <c r="H3190" s="396"/>
    </row>
    <row r="3191" spans="1:8" s="401" customFormat="1" ht="14.25" customHeight="1" x14ac:dyDescent="0.25">
      <c r="A3191" s="564">
        <v>5105</v>
      </c>
      <c r="B3191" s="562" t="s">
        <v>898</v>
      </c>
      <c r="C3191" s="403">
        <v>1200</v>
      </c>
      <c r="D3191" s="400"/>
      <c r="E3191" s="400"/>
      <c r="F3191" s="400"/>
      <c r="G3191" s="400"/>
      <c r="H3191" s="396"/>
    </row>
    <row r="3192" spans="1:8" s="401" customFormat="1" ht="14.25" customHeight="1" x14ac:dyDescent="0.25">
      <c r="A3192" s="564">
        <v>5106</v>
      </c>
      <c r="B3192" s="562" t="s">
        <v>911</v>
      </c>
      <c r="C3192" s="403">
        <v>51105</v>
      </c>
      <c r="D3192" s="400"/>
      <c r="E3192" s="400"/>
      <c r="F3192" s="400"/>
      <c r="G3192" s="400"/>
      <c r="H3192" s="396"/>
    </row>
    <row r="3193" spans="1:8" s="401" customFormat="1" ht="14.25" customHeight="1" x14ac:dyDescent="0.25">
      <c r="A3193" s="564">
        <v>5111</v>
      </c>
      <c r="B3193" s="562" t="s">
        <v>895</v>
      </c>
      <c r="C3193" s="403">
        <v>6776</v>
      </c>
      <c r="D3193" s="400"/>
      <c r="E3193" s="400"/>
      <c r="F3193" s="400"/>
      <c r="G3193" s="400"/>
      <c r="H3193" s="396"/>
    </row>
    <row r="3194" spans="1:8" s="401" customFormat="1" ht="14.25" customHeight="1" x14ac:dyDescent="0.25">
      <c r="A3194" s="564">
        <v>2084</v>
      </c>
      <c r="B3194" s="562" t="s">
        <v>893</v>
      </c>
      <c r="C3194" s="403">
        <v>2554</v>
      </c>
      <c r="D3194" s="400"/>
      <c r="E3194" s="400"/>
      <c r="F3194" s="400"/>
      <c r="G3194" s="400"/>
      <c r="H3194" s="396"/>
    </row>
    <row r="3195" spans="1:8" s="401" customFormat="1" ht="14.25" customHeight="1" x14ac:dyDescent="0.25">
      <c r="A3195" s="564">
        <v>2107</v>
      </c>
      <c r="B3195" s="562" t="s">
        <v>894</v>
      </c>
      <c r="C3195" s="403">
        <v>6930</v>
      </c>
      <c r="D3195" s="400"/>
      <c r="E3195" s="400"/>
      <c r="F3195" s="400"/>
      <c r="G3195" s="400"/>
      <c r="H3195" s="396"/>
    </row>
    <row r="3196" spans="1:8" s="401" customFormat="1" ht="14.25" customHeight="1" x14ac:dyDescent="0.25">
      <c r="A3196" s="564">
        <v>2246</v>
      </c>
      <c r="B3196" s="562" t="s">
        <v>898</v>
      </c>
      <c r="C3196" s="403">
        <v>2552</v>
      </c>
      <c r="D3196" s="400"/>
      <c r="E3196" s="400"/>
      <c r="F3196" s="400"/>
      <c r="G3196" s="400"/>
      <c r="H3196" s="396"/>
    </row>
    <row r="3197" spans="1:8" s="401" customFormat="1" ht="14.25" customHeight="1" x14ac:dyDescent="0.25">
      <c r="A3197" s="564">
        <v>2249</v>
      </c>
      <c r="B3197" s="562" t="s">
        <v>898</v>
      </c>
      <c r="C3197" s="403">
        <v>2204</v>
      </c>
      <c r="D3197" s="400"/>
      <c r="E3197" s="400"/>
      <c r="F3197" s="400"/>
      <c r="G3197" s="400"/>
      <c r="H3197" s="396"/>
    </row>
    <row r="3198" spans="1:8" s="401" customFormat="1" ht="14.25" customHeight="1" x14ac:dyDescent="0.25">
      <c r="A3198" s="564">
        <v>2253</v>
      </c>
      <c r="B3198" s="562" t="s">
        <v>892</v>
      </c>
      <c r="C3198" s="403">
        <v>1119</v>
      </c>
      <c r="D3198" s="400"/>
      <c r="E3198" s="400"/>
      <c r="F3198" s="400"/>
      <c r="G3198" s="400"/>
      <c r="H3198" s="396"/>
    </row>
    <row r="3199" spans="1:8" s="401" customFormat="1" ht="14.25" customHeight="1" x14ac:dyDescent="0.25">
      <c r="A3199" s="564">
        <v>2255</v>
      </c>
      <c r="B3199" s="562" t="s">
        <v>892</v>
      </c>
      <c r="C3199" s="403">
        <v>6252</v>
      </c>
      <c r="D3199" s="400"/>
      <c r="E3199" s="400"/>
      <c r="F3199" s="400"/>
      <c r="G3199" s="400"/>
      <c r="H3199" s="396"/>
    </row>
    <row r="3200" spans="1:8" s="401" customFormat="1" ht="14.25" customHeight="1" x14ac:dyDescent="0.25">
      <c r="A3200" s="564">
        <v>2260</v>
      </c>
      <c r="B3200" s="562" t="s">
        <v>893</v>
      </c>
      <c r="C3200" s="403">
        <v>2076</v>
      </c>
      <c r="D3200" s="400"/>
      <c r="E3200" s="400"/>
      <c r="F3200" s="400"/>
      <c r="G3200" s="400"/>
      <c r="H3200" s="396"/>
    </row>
    <row r="3201" spans="1:8" s="401" customFormat="1" ht="14.25" customHeight="1" x14ac:dyDescent="0.25">
      <c r="A3201" s="564">
        <v>2264</v>
      </c>
      <c r="B3201" s="562" t="s">
        <v>893</v>
      </c>
      <c r="C3201" s="403">
        <v>3445</v>
      </c>
      <c r="D3201" s="400"/>
      <c r="E3201" s="400"/>
      <c r="F3201" s="400"/>
      <c r="G3201" s="400"/>
      <c r="H3201" s="396"/>
    </row>
    <row r="3202" spans="1:8" s="401" customFormat="1" ht="14.25" customHeight="1" x14ac:dyDescent="0.25">
      <c r="A3202" s="564">
        <v>2358</v>
      </c>
      <c r="B3202" s="562" t="s">
        <v>894</v>
      </c>
      <c r="C3202" s="403">
        <v>4937</v>
      </c>
      <c r="D3202" s="400"/>
      <c r="E3202" s="400"/>
      <c r="F3202" s="400"/>
      <c r="G3202" s="400"/>
      <c r="H3202" s="396"/>
    </row>
    <row r="3203" spans="1:8" s="401" customFormat="1" ht="14.25" customHeight="1" x14ac:dyDescent="0.25">
      <c r="A3203" s="564">
        <v>2369</v>
      </c>
      <c r="B3203" s="562" t="s">
        <v>894</v>
      </c>
      <c r="C3203" s="403">
        <v>5023</v>
      </c>
      <c r="D3203" s="400"/>
      <c r="E3203" s="400"/>
      <c r="F3203" s="400"/>
      <c r="G3203" s="400"/>
      <c r="H3203" s="396"/>
    </row>
    <row r="3204" spans="1:8" s="401" customFormat="1" ht="14.25" customHeight="1" x14ac:dyDescent="0.25">
      <c r="A3204" s="564">
        <v>2600</v>
      </c>
      <c r="B3204" s="562" t="s">
        <v>894</v>
      </c>
      <c r="C3204" s="403">
        <v>6124</v>
      </c>
      <c r="D3204" s="400"/>
      <c r="E3204" s="400"/>
      <c r="F3204" s="400"/>
      <c r="G3204" s="400"/>
      <c r="H3204" s="396"/>
    </row>
    <row r="3205" spans="1:8" s="401" customFormat="1" ht="14.25" customHeight="1" x14ac:dyDescent="0.25">
      <c r="A3205" s="564">
        <v>2740</v>
      </c>
      <c r="B3205" s="562" t="s">
        <v>890</v>
      </c>
      <c r="C3205" s="403">
        <v>348</v>
      </c>
      <c r="D3205" s="400"/>
      <c r="E3205" s="400"/>
      <c r="F3205" s="400"/>
      <c r="G3205" s="400"/>
      <c r="H3205" s="396"/>
    </row>
    <row r="3206" spans="1:8" s="401" customFormat="1" ht="14.25" customHeight="1" x14ac:dyDescent="0.25">
      <c r="A3206" s="564">
        <v>2745</v>
      </c>
      <c r="B3206" s="562" t="s">
        <v>890</v>
      </c>
      <c r="C3206" s="403">
        <v>348</v>
      </c>
      <c r="D3206" s="400"/>
      <c r="E3206" s="400"/>
      <c r="F3206" s="400"/>
      <c r="G3206" s="400"/>
      <c r="H3206" s="396"/>
    </row>
    <row r="3207" spans="1:8" s="401" customFormat="1" ht="14.25" customHeight="1" x14ac:dyDescent="0.25">
      <c r="A3207" s="564">
        <v>2748</v>
      </c>
      <c r="B3207" s="562" t="s">
        <v>889</v>
      </c>
      <c r="C3207" s="403">
        <v>1</v>
      </c>
      <c r="D3207" s="400"/>
      <c r="E3207" s="400"/>
      <c r="F3207" s="400"/>
      <c r="G3207" s="400"/>
      <c r="H3207" s="396"/>
    </row>
    <row r="3208" spans="1:8" s="401" customFormat="1" ht="14.25" customHeight="1" x14ac:dyDescent="0.25">
      <c r="A3208" s="564">
        <v>2802</v>
      </c>
      <c r="B3208" s="562" t="s">
        <v>736</v>
      </c>
      <c r="C3208" s="403">
        <v>104</v>
      </c>
      <c r="D3208" s="400"/>
      <c r="E3208" s="400"/>
      <c r="F3208" s="400"/>
      <c r="G3208" s="400"/>
      <c r="H3208" s="396"/>
    </row>
    <row r="3209" spans="1:8" s="401" customFormat="1" ht="14.25" customHeight="1" x14ac:dyDescent="0.25">
      <c r="A3209" s="564">
        <v>2806</v>
      </c>
      <c r="B3209" s="562" t="s">
        <v>736</v>
      </c>
      <c r="C3209" s="403">
        <v>151</v>
      </c>
      <c r="D3209" s="400"/>
      <c r="E3209" s="400"/>
      <c r="F3209" s="400"/>
      <c r="G3209" s="400"/>
      <c r="H3209" s="396"/>
    </row>
    <row r="3210" spans="1:8" s="401" customFormat="1" ht="14.25" customHeight="1" x14ac:dyDescent="0.25">
      <c r="A3210" s="564">
        <v>2808</v>
      </c>
      <c r="B3210" s="562" t="s">
        <v>736</v>
      </c>
      <c r="C3210" s="403">
        <v>1</v>
      </c>
      <c r="D3210" s="400"/>
      <c r="E3210" s="400"/>
      <c r="F3210" s="400"/>
      <c r="G3210" s="400"/>
      <c r="H3210" s="396"/>
    </row>
    <row r="3211" spans="1:8" s="401" customFormat="1" ht="14.25" customHeight="1" x14ac:dyDescent="0.25">
      <c r="A3211" s="564">
        <v>2812</v>
      </c>
      <c r="B3211" s="562" t="s">
        <v>736</v>
      </c>
      <c r="C3211" s="403">
        <v>104</v>
      </c>
      <c r="D3211" s="400"/>
      <c r="E3211" s="400"/>
      <c r="F3211" s="400"/>
      <c r="G3211" s="400"/>
      <c r="H3211" s="396"/>
    </row>
    <row r="3212" spans="1:8" s="401" customFormat="1" ht="14.25" customHeight="1" x14ac:dyDescent="0.25">
      <c r="A3212" s="564">
        <v>2095</v>
      </c>
      <c r="B3212" s="562" t="s">
        <v>893</v>
      </c>
      <c r="C3212" s="403">
        <v>2554</v>
      </c>
      <c r="D3212" s="400"/>
      <c r="E3212" s="400"/>
      <c r="F3212" s="400"/>
      <c r="G3212" s="400"/>
      <c r="H3212" s="396"/>
    </row>
    <row r="3213" spans="1:8" s="401" customFormat="1" ht="14.25" customHeight="1" x14ac:dyDescent="0.25">
      <c r="A3213" s="564">
        <v>2117</v>
      </c>
      <c r="B3213" s="562" t="s">
        <v>894</v>
      </c>
      <c r="C3213" s="403">
        <v>6930</v>
      </c>
      <c r="D3213" s="400"/>
      <c r="E3213" s="400"/>
      <c r="F3213" s="400"/>
      <c r="G3213" s="400"/>
      <c r="H3213" s="396"/>
    </row>
    <row r="3214" spans="1:8" s="401" customFormat="1" ht="14.25" customHeight="1" x14ac:dyDescent="0.25">
      <c r="A3214" s="564">
        <v>2330</v>
      </c>
      <c r="B3214" s="562" t="s">
        <v>898</v>
      </c>
      <c r="C3214" s="403">
        <v>1223</v>
      </c>
      <c r="D3214" s="400"/>
      <c r="E3214" s="400"/>
      <c r="F3214" s="400"/>
      <c r="G3214" s="400"/>
      <c r="H3214" s="396"/>
    </row>
    <row r="3215" spans="1:8" s="401" customFormat="1" ht="14.25" customHeight="1" x14ac:dyDescent="0.25">
      <c r="A3215" s="564">
        <v>2334</v>
      </c>
      <c r="B3215" s="562" t="s">
        <v>892</v>
      </c>
      <c r="C3215" s="403">
        <v>6525</v>
      </c>
      <c r="D3215" s="400"/>
      <c r="E3215" s="400"/>
      <c r="F3215" s="400"/>
      <c r="G3215" s="400"/>
      <c r="H3215" s="396"/>
    </row>
    <row r="3216" spans="1:8" s="401" customFormat="1" ht="14.25" customHeight="1" x14ac:dyDescent="0.25">
      <c r="A3216" s="564">
        <v>2337</v>
      </c>
      <c r="B3216" s="562" t="s">
        <v>892</v>
      </c>
      <c r="C3216" s="403">
        <v>2897</v>
      </c>
      <c r="D3216" s="400"/>
      <c r="E3216" s="400"/>
      <c r="F3216" s="400"/>
      <c r="G3216" s="400"/>
      <c r="H3216" s="396"/>
    </row>
    <row r="3217" spans="1:8" s="401" customFormat="1" ht="14.25" customHeight="1" x14ac:dyDescent="0.25">
      <c r="A3217" s="564">
        <v>2341</v>
      </c>
      <c r="B3217" s="562" t="s">
        <v>892</v>
      </c>
      <c r="C3217" s="403">
        <v>1972</v>
      </c>
      <c r="D3217" s="400"/>
      <c r="E3217" s="400"/>
      <c r="F3217" s="400"/>
      <c r="G3217" s="400"/>
      <c r="H3217" s="396"/>
    </row>
    <row r="3218" spans="1:8" s="401" customFormat="1" ht="14.25" customHeight="1" x14ac:dyDescent="0.25">
      <c r="A3218" s="564">
        <v>2346</v>
      </c>
      <c r="B3218" s="562" t="s">
        <v>892</v>
      </c>
      <c r="C3218" s="403">
        <v>6542</v>
      </c>
      <c r="D3218" s="400"/>
      <c r="E3218" s="400"/>
      <c r="F3218" s="400"/>
      <c r="G3218" s="400"/>
      <c r="H3218" s="396"/>
    </row>
    <row r="3219" spans="1:8" s="401" customFormat="1" ht="14.25" customHeight="1" x14ac:dyDescent="0.25">
      <c r="A3219" s="564">
        <v>2349</v>
      </c>
      <c r="B3219" s="562" t="s">
        <v>893</v>
      </c>
      <c r="C3219" s="403">
        <v>1966</v>
      </c>
      <c r="D3219" s="400"/>
      <c r="E3219" s="400"/>
      <c r="F3219" s="400"/>
      <c r="G3219" s="400"/>
      <c r="H3219" s="396"/>
    </row>
    <row r="3220" spans="1:8" s="401" customFormat="1" ht="14.25" customHeight="1" x14ac:dyDescent="0.25">
      <c r="A3220" s="564">
        <v>2366</v>
      </c>
      <c r="B3220" s="562" t="s">
        <v>894</v>
      </c>
      <c r="C3220" s="403">
        <v>3538</v>
      </c>
      <c r="D3220" s="400"/>
      <c r="E3220" s="400"/>
      <c r="F3220" s="400"/>
      <c r="G3220" s="400"/>
      <c r="H3220" s="396"/>
    </row>
    <row r="3221" spans="1:8" s="401" customFormat="1" ht="14.25" customHeight="1" x14ac:dyDescent="0.25">
      <c r="A3221" s="564">
        <v>2377</v>
      </c>
      <c r="B3221" s="562" t="s">
        <v>894</v>
      </c>
      <c r="C3221" s="403">
        <v>4878</v>
      </c>
      <c r="D3221" s="400"/>
      <c r="E3221" s="400"/>
      <c r="F3221" s="400"/>
      <c r="G3221" s="400"/>
      <c r="H3221" s="396"/>
    </row>
    <row r="3222" spans="1:8" s="401" customFormat="1" ht="14.25" customHeight="1" x14ac:dyDescent="0.25">
      <c r="A3222" s="564">
        <v>2378</v>
      </c>
      <c r="B3222" s="562" t="s">
        <v>894</v>
      </c>
      <c r="C3222" s="403">
        <v>4878</v>
      </c>
      <c r="D3222" s="400"/>
      <c r="E3222" s="400"/>
      <c r="F3222" s="400"/>
      <c r="G3222" s="400"/>
      <c r="H3222" s="396"/>
    </row>
    <row r="3223" spans="1:8" s="401" customFormat="1" ht="14.25" customHeight="1" x14ac:dyDescent="0.25">
      <c r="A3223" s="564">
        <v>2382</v>
      </c>
      <c r="B3223" s="562" t="s">
        <v>894</v>
      </c>
      <c r="C3223" s="403">
        <v>8062</v>
      </c>
      <c r="D3223" s="400"/>
      <c r="E3223" s="400"/>
      <c r="F3223" s="400"/>
      <c r="G3223" s="400"/>
      <c r="H3223" s="396"/>
    </row>
    <row r="3224" spans="1:8" s="401" customFormat="1" ht="14.25" customHeight="1" x14ac:dyDescent="0.25">
      <c r="A3224" s="564">
        <v>2441</v>
      </c>
      <c r="B3224" s="562" t="s">
        <v>892</v>
      </c>
      <c r="C3224" s="403">
        <v>4510</v>
      </c>
      <c r="D3224" s="400"/>
      <c r="E3224" s="400"/>
      <c r="F3224" s="400"/>
      <c r="G3224" s="400"/>
      <c r="H3224" s="396"/>
    </row>
    <row r="3225" spans="1:8" s="401" customFormat="1" ht="14.25" customHeight="1" x14ac:dyDescent="0.25">
      <c r="A3225" s="564">
        <v>2578</v>
      </c>
      <c r="B3225" s="562" t="s">
        <v>892</v>
      </c>
      <c r="C3225" s="403">
        <v>5590</v>
      </c>
      <c r="D3225" s="400"/>
      <c r="E3225" s="400"/>
      <c r="F3225" s="400"/>
      <c r="G3225" s="400"/>
      <c r="H3225" s="396"/>
    </row>
    <row r="3226" spans="1:8" s="401" customFormat="1" ht="14.25" customHeight="1" x14ac:dyDescent="0.25">
      <c r="A3226" s="564">
        <v>2579</v>
      </c>
      <c r="B3226" s="562" t="s">
        <v>893</v>
      </c>
      <c r="C3226" s="403">
        <v>1</v>
      </c>
      <c r="D3226" s="400"/>
      <c r="E3226" s="400"/>
      <c r="F3226" s="400"/>
      <c r="G3226" s="400"/>
      <c r="H3226" s="396"/>
    </row>
    <row r="3227" spans="1:8" s="401" customFormat="1" ht="14.25" customHeight="1" x14ac:dyDescent="0.25">
      <c r="A3227" s="564">
        <v>2584</v>
      </c>
      <c r="B3227" s="562" t="s">
        <v>893</v>
      </c>
      <c r="C3227" s="403">
        <v>2559</v>
      </c>
      <c r="D3227" s="400"/>
      <c r="E3227" s="400"/>
      <c r="F3227" s="400"/>
      <c r="G3227" s="400"/>
      <c r="H3227" s="396"/>
    </row>
    <row r="3228" spans="1:8" s="401" customFormat="1" ht="14.25" customHeight="1" x14ac:dyDescent="0.25">
      <c r="A3228" s="564">
        <v>2611</v>
      </c>
      <c r="B3228" s="562" t="s">
        <v>894</v>
      </c>
      <c r="C3228" s="403">
        <v>1</v>
      </c>
      <c r="D3228" s="400"/>
      <c r="E3228" s="400"/>
      <c r="F3228" s="400"/>
      <c r="G3228" s="400"/>
      <c r="H3228" s="396"/>
    </row>
    <row r="3229" spans="1:8" s="401" customFormat="1" ht="14.25" customHeight="1" x14ac:dyDescent="0.25">
      <c r="A3229" s="564">
        <v>2613</v>
      </c>
      <c r="B3229" s="562" t="s">
        <v>912</v>
      </c>
      <c r="C3229" s="403">
        <v>321</v>
      </c>
      <c r="D3229" s="400"/>
      <c r="E3229" s="400"/>
      <c r="F3229" s="400"/>
      <c r="G3229" s="400"/>
      <c r="H3229" s="396"/>
    </row>
    <row r="3230" spans="1:8" s="401" customFormat="1" ht="14.25" customHeight="1" x14ac:dyDescent="0.25">
      <c r="A3230" s="564">
        <v>2615</v>
      </c>
      <c r="B3230" s="562" t="s">
        <v>894</v>
      </c>
      <c r="C3230" s="403">
        <v>6124</v>
      </c>
      <c r="D3230" s="400"/>
      <c r="E3230" s="400"/>
      <c r="F3230" s="400"/>
      <c r="G3230" s="400"/>
      <c r="H3230" s="396"/>
    </row>
    <row r="3231" spans="1:8" s="401" customFormat="1" ht="14.25" customHeight="1" x14ac:dyDescent="0.25">
      <c r="A3231" s="564">
        <v>2619</v>
      </c>
      <c r="B3231" s="562" t="s">
        <v>894</v>
      </c>
      <c r="C3231" s="403">
        <v>17448</v>
      </c>
      <c r="D3231" s="400"/>
      <c r="E3231" s="400"/>
      <c r="F3231" s="400"/>
      <c r="G3231" s="400"/>
      <c r="H3231" s="396"/>
    </row>
    <row r="3232" spans="1:8" s="401" customFormat="1" ht="14.25" customHeight="1" x14ac:dyDescent="0.25">
      <c r="A3232" s="564">
        <v>2759</v>
      </c>
      <c r="B3232" s="562" t="s">
        <v>889</v>
      </c>
      <c r="C3232" s="403">
        <v>1</v>
      </c>
      <c r="D3232" s="400"/>
      <c r="E3232" s="400"/>
      <c r="F3232" s="400"/>
      <c r="G3232" s="400"/>
      <c r="H3232" s="396"/>
    </row>
    <row r="3233" spans="1:8" s="401" customFormat="1" ht="14.25" customHeight="1" x14ac:dyDescent="0.25">
      <c r="A3233" s="564">
        <v>2761</v>
      </c>
      <c r="B3233" s="562" t="s">
        <v>890</v>
      </c>
      <c r="C3233" s="403">
        <v>1</v>
      </c>
      <c r="D3233" s="400"/>
      <c r="E3233" s="400"/>
      <c r="F3233" s="400"/>
      <c r="G3233" s="400"/>
      <c r="H3233" s="396"/>
    </row>
    <row r="3234" spans="1:8" s="401" customFormat="1" ht="14.25" customHeight="1" x14ac:dyDescent="0.25">
      <c r="A3234" s="564">
        <v>2763</v>
      </c>
      <c r="B3234" s="562" t="s">
        <v>890</v>
      </c>
      <c r="C3234" s="403">
        <v>288</v>
      </c>
      <c r="D3234" s="400"/>
      <c r="E3234" s="400"/>
      <c r="F3234" s="400"/>
      <c r="G3234" s="400"/>
      <c r="H3234" s="396"/>
    </row>
    <row r="3235" spans="1:8" s="401" customFormat="1" ht="14.25" customHeight="1" x14ac:dyDescent="0.25">
      <c r="A3235" s="564">
        <v>2765</v>
      </c>
      <c r="B3235" s="562" t="s">
        <v>890</v>
      </c>
      <c r="C3235" s="403">
        <v>1</v>
      </c>
      <c r="D3235" s="400"/>
      <c r="E3235" s="400"/>
      <c r="F3235" s="400"/>
      <c r="G3235" s="400"/>
      <c r="H3235" s="396"/>
    </row>
    <row r="3236" spans="1:8" s="401" customFormat="1" ht="14.25" customHeight="1" x14ac:dyDescent="0.25">
      <c r="A3236" s="564">
        <v>2767</v>
      </c>
      <c r="B3236" s="562" t="s">
        <v>890</v>
      </c>
      <c r="C3236" s="403">
        <v>1</v>
      </c>
      <c r="D3236" s="400"/>
      <c r="E3236" s="400"/>
      <c r="F3236" s="400"/>
      <c r="G3236" s="400"/>
      <c r="H3236" s="396"/>
    </row>
    <row r="3237" spans="1:8" s="401" customFormat="1" ht="14.25" customHeight="1" x14ac:dyDescent="0.25">
      <c r="A3237" s="564">
        <v>2774</v>
      </c>
      <c r="B3237" s="562" t="s">
        <v>889</v>
      </c>
      <c r="C3237" s="403">
        <v>1</v>
      </c>
      <c r="D3237" s="400"/>
      <c r="E3237" s="400"/>
      <c r="F3237" s="400"/>
      <c r="G3237" s="400"/>
      <c r="H3237" s="396"/>
    </row>
    <row r="3238" spans="1:8" s="401" customFormat="1" ht="14.25" customHeight="1" x14ac:dyDescent="0.25">
      <c r="A3238" s="564">
        <v>2826</v>
      </c>
      <c r="B3238" s="562" t="s">
        <v>736</v>
      </c>
      <c r="C3238" s="403">
        <v>1</v>
      </c>
      <c r="D3238" s="400"/>
      <c r="E3238" s="400"/>
      <c r="F3238" s="400"/>
      <c r="G3238" s="400"/>
      <c r="H3238" s="396"/>
    </row>
    <row r="3239" spans="1:8" s="401" customFormat="1" ht="14.25" customHeight="1" x14ac:dyDescent="0.25">
      <c r="A3239" s="564">
        <v>2829</v>
      </c>
      <c r="B3239" s="562" t="s">
        <v>736</v>
      </c>
      <c r="C3239" s="403">
        <v>1</v>
      </c>
      <c r="D3239" s="400"/>
      <c r="E3239" s="400"/>
      <c r="F3239" s="400"/>
      <c r="G3239" s="400"/>
      <c r="H3239" s="396"/>
    </row>
    <row r="3240" spans="1:8" s="401" customFormat="1" ht="14.25" customHeight="1" x14ac:dyDescent="0.25">
      <c r="A3240" s="564">
        <v>2832</v>
      </c>
      <c r="B3240" s="562" t="s">
        <v>736</v>
      </c>
      <c r="C3240" s="403">
        <v>114</v>
      </c>
      <c r="D3240" s="400"/>
      <c r="E3240" s="400"/>
      <c r="F3240" s="400"/>
      <c r="G3240" s="400"/>
      <c r="H3240" s="396"/>
    </row>
    <row r="3241" spans="1:8" s="401" customFormat="1" ht="14.25" customHeight="1" x14ac:dyDescent="0.25">
      <c r="A3241" s="564">
        <v>2835</v>
      </c>
      <c r="B3241" s="562" t="s">
        <v>736</v>
      </c>
      <c r="C3241" s="403">
        <v>110</v>
      </c>
      <c r="D3241" s="400"/>
      <c r="E3241" s="400"/>
      <c r="F3241" s="400"/>
      <c r="G3241" s="400"/>
      <c r="H3241" s="396"/>
    </row>
    <row r="3242" spans="1:8" s="401" customFormat="1" ht="14.25" customHeight="1" x14ac:dyDescent="0.25">
      <c r="A3242" s="564">
        <v>2012</v>
      </c>
      <c r="B3242" s="562" t="s">
        <v>736</v>
      </c>
      <c r="C3242" s="403">
        <v>110</v>
      </c>
      <c r="D3242" s="400"/>
      <c r="E3242" s="400"/>
      <c r="F3242" s="400"/>
      <c r="G3242" s="400"/>
      <c r="H3242" s="396"/>
    </row>
    <row r="3243" spans="1:8" s="401" customFormat="1" ht="14.25" customHeight="1" x14ac:dyDescent="0.25">
      <c r="A3243" s="564">
        <v>2015</v>
      </c>
      <c r="B3243" s="562" t="s">
        <v>736</v>
      </c>
      <c r="C3243" s="403">
        <v>110</v>
      </c>
      <c r="D3243" s="400"/>
      <c r="E3243" s="400"/>
      <c r="F3243" s="400"/>
      <c r="G3243" s="400"/>
      <c r="H3243" s="396"/>
    </row>
    <row r="3244" spans="1:8" s="401" customFormat="1" ht="14.25" customHeight="1" x14ac:dyDescent="0.25">
      <c r="A3244" s="564">
        <v>2070</v>
      </c>
      <c r="B3244" s="562" t="s">
        <v>893</v>
      </c>
      <c r="C3244" s="403">
        <v>2554</v>
      </c>
      <c r="D3244" s="400"/>
      <c r="E3244" s="400"/>
      <c r="F3244" s="400"/>
      <c r="G3244" s="400"/>
      <c r="H3244" s="396"/>
    </row>
    <row r="3245" spans="1:8" s="401" customFormat="1" ht="14.25" customHeight="1" x14ac:dyDescent="0.25">
      <c r="A3245" s="564">
        <v>2075</v>
      </c>
      <c r="B3245" s="562" t="s">
        <v>894</v>
      </c>
      <c r="C3245" s="403">
        <v>6930</v>
      </c>
      <c r="D3245" s="400"/>
      <c r="E3245" s="400"/>
      <c r="F3245" s="400"/>
      <c r="G3245" s="400"/>
      <c r="H3245" s="396"/>
    </row>
    <row r="3246" spans="1:8" s="401" customFormat="1" ht="14.25" customHeight="1" x14ac:dyDescent="0.25">
      <c r="A3246" s="564">
        <v>2233</v>
      </c>
      <c r="B3246" s="562" t="s">
        <v>892</v>
      </c>
      <c r="C3246" s="403">
        <v>1119</v>
      </c>
      <c r="D3246" s="400"/>
      <c r="E3246" s="400"/>
      <c r="F3246" s="400"/>
      <c r="G3246" s="400"/>
      <c r="H3246" s="396"/>
    </row>
    <row r="3247" spans="1:8" s="401" customFormat="1" ht="14.25" customHeight="1" x14ac:dyDescent="0.25">
      <c r="A3247" s="564">
        <v>2236</v>
      </c>
      <c r="B3247" s="562" t="s">
        <v>892</v>
      </c>
      <c r="C3247" s="403">
        <v>2030</v>
      </c>
      <c r="D3247" s="400"/>
      <c r="E3247" s="400"/>
      <c r="F3247" s="400"/>
      <c r="G3247" s="400"/>
      <c r="H3247" s="396"/>
    </row>
    <row r="3248" spans="1:8" s="401" customFormat="1" ht="14.25" customHeight="1" x14ac:dyDescent="0.25">
      <c r="A3248" s="564">
        <v>2446</v>
      </c>
      <c r="B3248" s="562" t="s">
        <v>893</v>
      </c>
      <c r="C3248" s="403">
        <v>2559</v>
      </c>
      <c r="D3248" s="400"/>
      <c r="E3248" s="400"/>
      <c r="F3248" s="400"/>
      <c r="G3248" s="400"/>
      <c r="H3248" s="396"/>
    </row>
    <row r="3249" spans="1:8" s="401" customFormat="1" ht="14.25" customHeight="1" x14ac:dyDescent="0.25">
      <c r="A3249" s="564">
        <v>2450</v>
      </c>
      <c r="B3249" s="562" t="s">
        <v>893</v>
      </c>
      <c r="C3249" s="403">
        <v>2559</v>
      </c>
      <c r="D3249" s="400"/>
      <c r="E3249" s="400"/>
      <c r="F3249" s="400"/>
      <c r="G3249" s="400"/>
      <c r="H3249" s="396"/>
    </row>
    <row r="3250" spans="1:8" s="401" customFormat="1" ht="14.25" customHeight="1" x14ac:dyDescent="0.25">
      <c r="A3250" s="564">
        <v>2452</v>
      </c>
      <c r="B3250" s="562" t="s">
        <v>894</v>
      </c>
      <c r="C3250" s="403">
        <v>6124</v>
      </c>
      <c r="D3250" s="400"/>
      <c r="E3250" s="400"/>
      <c r="F3250" s="400"/>
      <c r="G3250" s="400"/>
      <c r="H3250" s="396"/>
    </row>
    <row r="3251" spans="1:8" s="401" customFormat="1" ht="14.25" customHeight="1" x14ac:dyDescent="0.25">
      <c r="A3251" s="564">
        <v>2455</v>
      </c>
      <c r="B3251" s="562" t="s">
        <v>894</v>
      </c>
      <c r="C3251" s="403">
        <v>6124</v>
      </c>
      <c r="D3251" s="400"/>
      <c r="E3251" s="400"/>
      <c r="F3251" s="400"/>
      <c r="G3251" s="400"/>
      <c r="H3251" s="396"/>
    </row>
    <row r="3252" spans="1:8" s="401" customFormat="1" ht="14.25" customHeight="1" x14ac:dyDescent="0.25">
      <c r="A3252" s="564">
        <v>2772</v>
      </c>
      <c r="B3252" s="562" t="s">
        <v>890</v>
      </c>
      <c r="C3252" s="403">
        <v>1</v>
      </c>
      <c r="D3252" s="400"/>
      <c r="E3252" s="400"/>
      <c r="F3252" s="400"/>
      <c r="G3252" s="400"/>
      <c r="H3252" s="396"/>
    </row>
    <row r="3253" spans="1:8" s="401" customFormat="1" ht="14.25" customHeight="1" x14ac:dyDescent="0.25">
      <c r="A3253" s="564">
        <v>2819</v>
      </c>
      <c r="B3253" s="562" t="s">
        <v>736</v>
      </c>
      <c r="C3253" s="403">
        <v>104.4</v>
      </c>
      <c r="D3253" s="400"/>
      <c r="E3253" s="400"/>
      <c r="F3253" s="400"/>
      <c r="G3253" s="400"/>
      <c r="H3253" s="396"/>
    </row>
    <row r="3254" spans="1:8" s="401" customFormat="1" ht="14.25" customHeight="1" x14ac:dyDescent="0.25">
      <c r="A3254" s="564">
        <v>4990</v>
      </c>
      <c r="B3254" s="562" t="s">
        <v>736</v>
      </c>
      <c r="C3254" s="403">
        <v>340</v>
      </c>
      <c r="D3254" s="400"/>
      <c r="E3254" s="400"/>
      <c r="F3254" s="400"/>
      <c r="G3254" s="400"/>
      <c r="H3254" s="396"/>
    </row>
    <row r="3255" spans="1:8" s="401" customFormat="1" ht="14.25" customHeight="1" x14ac:dyDescent="0.25">
      <c r="A3255" s="564">
        <v>4991</v>
      </c>
      <c r="B3255" s="562" t="s">
        <v>897</v>
      </c>
      <c r="C3255" s="403">
        <v>240</v>
      </c>
      <c r="D3255" s="400"/>
      <c r="E3255" s="400"/>
      <c r="F3255" s="400"/>
      <c r="G3255" s="400"/>
      <c r="H3255" s="396"/>
    </row>
    <row r="3256" spans="1:8" s="401" customFormat="1" ht="14.25" customHeight="1" x14ac:dyDescent="0.25">
      <c r="A3256" s="564">
        <v>2100</v>
      </c>
      <c r="B3256" s="562" t="s">
        <v>894</v>
      </c>
      <c r="C3256" s="403">
        <v>6930</v>
      </c>
      <c r="D3256" s="400"/>
      <c r="E3256" s="400"/>
      <c r="F3256" s="400"/>
      <c r="G3256" s="400"/>
      <c r="H3256" s="396"/>
    </row>
    <row r="3257" spans="1:8" s="401" customFormat="1" ht="14.25" customHeight="1" x14ac:dyDescent="0.25">
      <c r="A3257" s="564">
        <v>2121</v>
      </c>
      <c r="B3257" s="562" t="s">
        <v>896</v>
      </c>
      <c r="C3257" s="403">
        <v>290</v>
      </c>
      <c r="D3257" s="400"/>
      <c r="E3257" s="400"/>
      <c r="F3257" s="400"/>
      <c r="G3257" s="400"/>
      <c r="H3257" s="396"/>
    </row>
    <row r="3258" spans="1:8" s="401" customFormat="1" ht="14.25" customHeight="1" x14ac:dyDescent="0.25">
      <c r="A3258" s="564">
        <v>2352</v>
      </c>
      <c r="B3258" s="562" t="s">
        <v>892</v>
      </c>
      <c r="C3258" s="403">
        <v>1119</v>
      </c>
      <c r="D3258" s="400"/>
      <c r="E3258" s="400"/>
      <c r="F3258" s="400"/>
      <c r="G3258" s="400"/>
      <c r="H3258" s="396"/>
    </row>
    <row r="3259" spans="1:8" s="401" customFormat="1" ht="14.25" customHeight="1" x14ac:dyDescent="0.25">
      <c r="A3259" s="564">
        <v>2589</v>
      </c>
      <c r="B3259" s="562" t="s">
        <v>892</v>
      </c>
      <c r="C3259" s="403">
        <v>3699</v>
      </c>
      <c r="D3259" s="400"/>
      <c r="E3259" s="400"/>
      <c r="F3259" s="400"/>
      <c r="G3259" s="400"/>
      <c r="H3259" s="396"/>
    </row>
    <row r="3260" spans="1:8" s="401" customFormat="1" ht="14.25" customHeight="1" x14ac:dyDescent="0.25">
      <c r="A3260" s="564">
        <v>2591</v>
      </c>
      <c r="B3260" s="562" t="s">
        <v>892</v>
      </c>
      <c r="C3260" s="403">
        <v>5165</v>
      </c>
      <c r="D3260" s="400"/>
      <c r="E3260" s="400"/>
      <c r="F3260" s="400"/>
      <c r="G3260" s="400"/>
      <c r="H3260" s="396"/>
    </row>
    <row r="3261" spans="1:8" s="401" customFormat="1" ht="14.25" customHeight="1" x14ac:dyDescent="0.25">
      <c r="A3261" s="564">
        <v>2592</v>
      </c>
      <c r="B3261" s="562" t="s">
        <v>893</v>
      </c>
      <c r="C3261" s="403">
        <v>1</v>
      </c>
      <c r="D3261" s="400"/>
      <c r="E3261" s="400"/>
      <c r="F3261" s="400"/>
      <c r="G3261" s="400"/>
      <c r="H3261" s="396"/>
    </row>
    <row r="3262" spans="1:8" s="401" customFormat="1" ht="14.25" customHeight="1" x14ac:dyDescent="0.25">
      <c r="A3262" s="564">
        <v>2594</v>
      </c>
      <c r="B3262" s="562" t="s">
        <v>893</v>
      </c>
      <c r="C3262" s="403">
        <v>4400</v>
      </c>
      <c r="D3262" s="400"/>
      <c r="E3262" s="400"/>
      <c r="F3262" s="400"/>
      <c r="G3262" s="400"/>
      <c r="H3262" s="396"/>
    </row>
    <row r="3263" spans="1:8" s="401" customFormat="1" ht="14.25" customHeight="1" x14ac:dyDescent="0.25">
      <c r="A3263" s="564">
        <v>2617</v>
      </c>
      <c r="B3263" s="562" t="s">
        <v>894</v>
      </c>
      <c r="C3263" s="403">
        <v>6465</v>
      </c>
      <c r="D3263" s="400"/>
      <c r="E3263" s="400"/>
      <c r="F3263" s="400"/>
      <c r="G3263" s="400"/>
      <c r="H3263" s="396"/>
    </row>
    <row r="3264" spans="1:8" s="401" customFormat="1" ht="14.25" customHeight="1" x14ac:dyDescent="0.25">
      <c r="A3264" s="564">
        <v>2822</v>
      </c>
      <c r="B3264" s="562" t="s">
        <v>736</v>
      </c>
      <c r="C3264" s="403">
        <v>115</v>
      </c>
      <c r="D3264" s="400"/>
      <c r="E3264" s="400"/>
      <c r="F3264" s="400"/>
      <c r="G3264" s="400"/>
      <c r="H3264" s="396"/>
    </row>
    <row r="3265" spans="1:8" s="401" customFormat="1" ht="14.25" customHeight="1" x14ac:dyDescent="0.25">
      <c r="A3265" s="564">
        <v>2019</v>
      </c>
      <c r="B3265" s="562" t="s">
        <v>736</v>
      </c>
      <c r="C3265" s="403">
        <v>110</v>
      </c>
      <c r="D3265" s="400"/>
      <c r="E3265" s="400"/>
      <c r="F3265" s="400"/>
      <c r="G3265" s="400"/>
      <c r="H3265" s="396"/>
    </row>
    <row r="3266" spans="1:8" s="401" customFormat="1" ht="14.25" customHeight="1" x14ac:dyDescent="0.25">
      <c r="A3266" s="564">
        <v>2056</v>
      </c>
      <c r="B3266" s="562" t="s">
        <v>894</v>
      </c>
      <c r="C3266" s="403">
        <v>1</v>
      </c>
      <c r="D3266" s="400"/>
      <c r="E3266" s="400"/>
      <c r="F3266" s="400"/>
      <c r="G3266" s="400"/>
      <c r="H3266" s="396"/>
    </row>
    <row r="3267" spans="1:8" s="401" customFormat="1" ht="14.25" customHeight="1" x14ac:dyDescent="0.25">
      <c r="A3267" s="564">
        <v>2227</v>
      </c>
      <c r="B3267" s="562" t="s">
        <v>892</v>
      </c>
      <c r="C3267" s="403">
        <v>2035</v>
      </c>
      <c r="D3267" s="400"/>
      <c r="E3267" s="400"/>
      <c r="F3267" s="400"/>
      <c r="G3267" s="400"/>
      <c r="H3267" s="396"/>
    </row>
    <row r="3268" spans="1:8" s="401" customFormat="1" ht="14.25" customHeight="1" x14ac:dyDescent="0.25">
      <c r="A3268" s="564">
        <v>2240</v>
      </c>
      <c r="B3268" s="562" t="s">
        <v>894</v>
      </c>
      <c r="C3268" s="403">
        <v>5028</v>
      </c>
      <c r="D3268" s="400"/>
      <c r="E3268" s="400"/>
      <c r="F3268" s="400"/>
      <c r="G3268" s="400"/>
      <c r="H3268" s="396"/>
    </row>
    <row r="3269" spans="1:8" s="401" customFormat="1" ht="14.25" customHeight="1" x14ac:dyDescent="0.25">
      <c r="A3269" s="564">
        <v>2242</v>
      </c>
      <c r="B3269" s="562" t="s">
        <v>893</v>
      </c>
      <c r="C3269" s="403">
        <v>1616</v>
      </c>
      <c r="D3269" s="400"/>
      <c r="E3269" s="400"/>
      <c r="F3269" s="400"/>
      <c r="G3269" s="400"/>
      <c r="H3269" s="396"/>
    </row>
    <row r="3270" spans="1:8" s="401" customFormat="1" ht="14.25" customHeight="1" x14ac:dyDescent="0.25">
      <c r="A3270" s="564">
        <v>2356</v>
      </c>
      <c r="B3270" s="562" t="s">
        <v>894</v>
      </c>
      <c r="C3270" s="403">
        <v>5040</v>
      </c>
      <c r="D3270" s="400"/>
      <c r="E3270" s="400"/>
      <c r="F3270" s="400"/>
      <c r="G3270" s="400"/>
      <c r="H3270" s="396"/>
    </row>
    <row r="3271" spans="1:8" s="401" customFormat="1" ht="14.25" customHeight="1" x14ac:dyDescent="0.25">
      <c r="A3271" s="564">
        <v>2457</v>
      </c>
      <c r="B3271" s="562" t="s">
        <v>893</v>
      </c>
      <c r="C3271" s="403">
        <v>2559</v>
      </c>
      <c r="D3271" s="400"/>
      <c r="E3271" s="400"/>
      <c r="F3271" s="400"/>
      <c r="G3271" s="400"/>
      <c r="H3271" s="396"/>
    </row>
    <row r="3272" spans="1:8" s="401" customFormat="1" ht="14.25" customHeight="1" x14ac:dyDescent="0.25">
      <c r="A3272" s="564">
        <v>2657</v>
      </c>
      <c r="B3272" s="562" t="s">
        <v>892</v>
      </c>
      <c r="C3272" s="403">
        <v>1</v>
      </c>
      <c r="D3272" s="400"/>
      <c r="E3272" s="400"/>
      <c r="F3272" s="400"/>
      <c r="G3272" s="400"/>
      <c r="H3272" s="396"/>
    </row>
    <row r="3273" spans="1:8" s="401" customFormat="1" ht="14.25" customHeight="1" x14ac:dyDescent="0.25">
      <c r="A3273" s="564">
        <v>2678</v>
      </c>
      <c r="B3273" s="562" t="s">
        <v>893</v>
      </c>
      <c r="C3273" s="403">
        <v>1</v>
      </c>
      <c r="D3273" s="400"/>
      <c r="E3273" s="400"/>
      <c r="F3273" s="400"/>
      <c r="G3273" s="400"/>
      <c r="H3273" s="396"/>
    </row>
    <row r="3274" spans="1:8" s="401" customFormat="1" ht="14.25" customHeight="1" x14ac:dyDescent="0.25">
      <c r="A3274" s="564">
        <v>2681</v>
      </c>
      <c r="B3274" s="562" t="s">
        <v>893</v>
      </c>
      <c r="C3274" s="403">
        <v>2559</v>
      </c>
      <c r="D3274" s="400"/>
      <c r="E3274" s="400"/>
      <c r="F3274" s="400"/>
      <c r="G3274" s="400"/>
      <c r="H3274" s="396"/>
    </row>
    <row r="3275" spans="1:8" s="401" customFormat="1" ht="14.25" customHeight="1" x14ac:dyDescent="0.25">
      <c r="A3275" s="564">
        <v>2696</v>
      </c>
      <c r="B3275" s="562" t="s">
        <v>894</v>
      </c>
      <c r="C3275" s="403">
        <v>1</v>
      </c>
      <c r="D3275" s="400"/>
      <c r="E3275" s="400"/>
      <c r="F3275" s="400"/>
      <c r="G3275" s="400"/>
      <c r="H3275" s="396"/>
    </row>
    <row r="3276" spans="1:8" s="401" customFormat="1" ht="14.25" customHeight="1" x14ac:dyDescent="0.25">
      <c r="A3276" s="564">
        <v>2751</v>
      </c>
      <c r="B3276" s="562" t="s">
        <v>890</v>
      </c>
      <c r="C3276" s="403">
        <v>1400</v>
      </c>
      <c r="D3276" s="400"/>
      <c r="E3276" s="400"/>
      <c r="F3276" s="400"/>
      <c r="G3276" s="400"/>
      <c r="H3276" s="396"/>
    </row>
    <row r="3277" spans="1:8" s="401" customFormat="1" ht="14.25" customHeight="1" x14ac:dyDescent="0.25">
      <c r="A3277" s="564">
        <v>2755</v>
      </c>
      <c r="B3277" s="562" t="s">
        <v>890</v>
      </c>
      <c r="C3277" s="403">
        <v>1</v>
      </c>
      <c r="D3277" s="400"/>
      <c r="E3277" s="400"/>
      <c r="F3277" s="400"/>
      <c r="G3277" s="400"/>
      <c r="H3277" s="396"/>
    </row>
    <row r="3278" spans="1:8" s="401" customFormat="1" ht="14.25" customHeight="1" x14ac:dyDescent="0.25">
      <c r="A3278" s="564">
        <v>2813</v>
      </c>
      <c r="B3278" s="562" t="s">
        <v>736</v>
      </c>
      <c r="C3278" s="403">
        <v>1</v>
      </c>
      <c r="D3278" s="400"/>
      <c r="E3278" s="400"/>
      <c r="F3278" s="400"/>
      <c r="G3278" s="400"/>
      <c r="H3278" s="396"/>
    </row>
    <row r="3279" spans="1:8" s="401" customFormat="1" ht="14.25" customHeight="1" x14ac:dyDescent="0.25">
      <c r="A3279" s="564">
        <v>2816</v>
      </c>
      <c r="B3279" s="562" t="s">
        <v>736</v>
      </c>
      <c r="C3279" s="403">
        <v>110</v>
      </c>
      <c r="D3279" s="400"/>
      <c r="E3279" s="400"/>
      <c r="F3279" s="400"/>
      <c r="G3279" s="400"/>
      <c r="H3279" s="396"/>
    </row>
    <row r="3280" spans="1:8" s="401" customFormat="1" ht="14.25" customHeight="1" x14ac:dyDescent="0.25">
      <c r="A3280" s="564">
        <v>5096</v>
      </c>
      <c r="B3280" s="562" t="s">
        <v>902</v>
      </c>
      <c r="C3280" s="403">
        <v>3074</v>
      </c>
      <c r="D3280" s="400"/>
      <c r="E3280" s="400"/>
      <c r="F3280" s="400"/>
      <c r="G3280" s="400"/>
      <c r="H3280" s="396"/>
    </row>
    <row r="3281" spans="1:8" s="401" customFormat="1" ht="14.25" customHeight="1" x14ac:dyDescent="0.25">
      <c r="A3281" s="564">
        <v>3945</v>
      </c>
      <c r="B3281" s="562" t="s">
        <v>892</v>
      </c>
      <c r="C3281" s="403">
        <v>1128</v>
      </c>
      <c r="D3281" s="400"/>
      <c r="E3281" s="400"/>
      <c r="F3281" s="400"/>
      <c r="G3281" s="400"/>
      <c r="H3281" s="396"/>
    </row>
    <row r="3282" spans="1:8" s="401" customFormat="1" ht="14.25" customHeight="1" x14ac:dyDescent="0.25">
      <c r="A3282" s="564">
        <v>3549</v>
      </c>
      <c r="B3282" s="562" t="s">
        <v>892</v>
      </c>
      <c r="C3282" s="403">
        <v>5679</v>
      </c>
      <c r="D3282" s="400"/>
      <c r="E3282" s="400"/>
      <c r="F3282" s="400"/>
      <c r="G3282" s="400"/>
      <c r="H3282" s="396"/>
    </row>
    <row r="3283" spans="1:8" s="401" customFormat="1" ht="14.25" customHeight="1" x14ac:dyDescent="0.25">
      <c r="A3283" s="564">
        <v>3564</v>
      </c>
      <c r="B3283" s="562" t="s">
        <v>894</v>
      </c>
      <c r="C3283" s="403">
        <v>1</v>
      </c>
      <c r="D3283" s="400"/>
      <c r="E3283" s="400"/>
      <c r="F3283" s="400"/>
      <c r="G3283" s="400"/>
      <c r="H3283" s="396"/>
    </row>
    <row r="3284" spans="1:8" s="401" customFormat="1" ht="14.25" customHeight="1" x14ac:dyDescent="0.25">
      <c r="A3284" s="564">
        <v>3664</v>
      </c>
      <c r="B3284" s="562" t="s">
        <v>893</v>
      </c>
      <c r="C3284" s="403">
        <v>1</v>
      </c>
      <c r="D3284" s="400"/>
      <c r="E3284" s="400"/>
      <c r="F3284" s="400"/>
      <c r="G3284" s="400"/>
      <c r="H3284" s="396"/>
    </row>
    <row r="3285" spans="1:8" s="401" customFormat="1" ht="14.25" customHeight="1" x14ac:dyDescent="0.25">
      <c r="A3285" s="564">
        <v>3666</v>
      </c>
      <c r="B3285" s="562" t="s">
        <v>893</v>
      </c>
      <c r="C3285" s="403">
        <v>1</v>
      </c>
      <c r="D3285" s="400"/>
      <c r="E3285" s="400"/>
      <c r="F3285" s="400"/>
      <c r="G3285" s="400"/>
      <c r="H3285" s="396"/>
    </row>
    <row r="3286" spans="1:8" s="401" customFormat="1" ht="14.25" customHeight="1" x14ac:dyDescent="0.25">
      <c r="A3286" s="564">
        <v>3669</v>
      </c>
      <c r="B3286" s="562" t="s">
        <v>897</v>
      </c>
      <c r="C3286" s="403">
        <v>200</v>
      </c>
      <c r="D3286" s="400"/>
      <c r="E3286" s="400"/>
      <c r="F3286" s="400"/>
      <c r="G3286" s="400"/>
      <c r="H3286" s="396"/>
    </row>
    <row r="3287" spans="1:8" s="401" customFormat="1" ht="14.25" customHeight="1" x14ac:dyDescent="0.25">
      <c r="A3287" s="564">
        <v>3684</v>
      </c>
      <c r="B3287" s="562" t="s">
        <v>889</v>
      </c>
      <c r="C3287" s="403">
        <v>1</v>
      </c>
      <c r="D3287" s="400"/>
      <c r="E3287" s="400"/>
      <c r="F3287" s="400"/>
      <c r="G3287" s="400"/>
      <c r="H3287" s="396"/>
    </row>
    <row r="3288" spans="1:8" s="401" customFormat="1" ht="14.25" customHeight="1" x14ac:dyDescent="0.25">
      <c r="A3288" s="564">
        <v>3692</v>
      </c>
      <c r="B3288" s="562" t="s">
        <v>736</v>
      </c>
      <c r="C3288" s="403">
        <v>1</v>
      </c>
      <c r="D3288" s="400"/>
      <c r="E3288" s="400"/>
      <c r="F3288" s="400"/>
      <c r="G3288" s="400"/>
      <c r="H3288" s="396"/>
    </row>
    <row r="3289" spans="1:8" s="401" customFormat="1" ht="14.25" customHeight="1" x14ac:dyDescent="0.25">
      <c r="A3289" s="564">
        <v>3605</v>
      </c>
      <c r="B3289" s="562" t="s">
        <v>897</v>
      </c>
      <c r="C3289" s="403">
        <v>37</v>
      </c>
      <c r="D3289" s="400"/>
      <c r="E3289" s="400"/>
      <c r="F3289" s="400"/>
      <c r="G3289" s="400"/>
      <c r="H3289" s="396"/>
    </row>
    <row r="3290" spans="1:8" s="401" customFormat="1" ht="14.25" customHeight="1" x14ac:dyDescent="0.25">
      <c r="A3290" s="564">
        <v>3609</v>
      </c>
      <c r="B3290" s="562" t="s">
        <v>736</v>
      </c>
      <c r="C3290" s="403">
        <v>70</v>
      </c>
      <c r="D3290" s="400"/>
      <c r="E3290" s="400"/>
      <c r="F3290" s="400"/>
      <c r="G3290" s="400"/>
      <c r="H3290" s="396"/>
    </row>
    <row r="3291" spans="1:8" s="401" customFormat="1" ht="14.25" customHeight="1" x14ac:dyDescent="0.25">
      <c r="A3291" s="564">
        <v>3612</v>
      </c>
      <c r="B3291" s="562" t="s">
        <v>893</v>
      </c>
      <c r="C3291" s="403">
        <v>1</v>
      </c>
      <c r="D3291" s="400"/>
      <c r="E3291" s="400"/>
      <c r="F3291" s="400"/>
      <c r="G3291" s="400"/>
      <c r="H3291" s="396"/>
    </row>
    <row r="3292" spans="1:8" s="401" customFormat="1" ht="14.25" customHeight="1" x14ac:dyDescent="0.25">
      <c r="A3292" s="564">
        <v>3617</v>
      </c>
      <c r="B3292" s="562" t="s">
        <v>893</v>
      </c>
      <c r="C3292" s="403">
        <v>4025</v>
      </c>
      <c r="D3292" s="400"/>
      <c r="E3292" s="400"/>
      <c r="F3292" s="400"/>
      <c r="G3292" s="400"/>
      <c r="H3292" s="396"/>
    </row>
    <row r="3293" spans="1:8" s="401" customFormat="1" ht="14.25" customHeight="1" x14ac:dyDescent="0.25">
      <c r="A3293" s="564">
        <v>3619</v>
      </c>
      <c r="B3293" s="562" t="s">
        <v>894</v>
      </c>
      <c r="C3293" s="403">
        <v>1</v>
      </c>
      <c r="D3293" s="400"/>
      <c r="E3293" s="400"/>
      <c r="F3293" s="400"/>
      <c r="G3293" s="400"/>
      <c r="H3293" s="396"/>
    </row>
    <row r="3294" spans="1:8" s="401" customFormat="1" ht="14.25" customHeight="1" x14ac:dyDescent="0.25">
      <c r="A3294" s="564">
        <v>3622</v>
      </c>
      <c r="B3294" s="562" t="s">
        <v>894</v>
      </c>
      <c r="C3294" s="403">
        <v>11179</v>
      </c>
      <c r="D3294" s="400"/>
      <c r="E3294" s="400"/>
      <c r="F3294" s="400"/>
      <c r="G3294" s="400"/>
      <c r="H3294" s="396"/>
    </row>
    <row r="3295" spans="1:8" s="401" customFormat="1" ht="14.25" customHeight="1" x14ac:dyDescent="0.25">
      <c r="A3295" s="564">
        <v>3652</v>
      </c>
      <c r="B3295" s="562" t="s">
        <v>892</v>
      </c>
      <c r="C3295" s="403">
        <v>1</v>
      </c>
      <c r="D3295" s="400"/>
      <c r="E3295" s="400"/>
      <c r="F3295" s="400"/>
      <c r="G3295" s="400"/>
      <c r="H3295" s="396"/>
    </row>
    <row r="3296" spans="1:8" s="401" customFormat="1" ht="14.25" customHeight="1" x14ac:dyDescent="0.25">
      <c r="A3296" s="564">
        <v>3570</v>
      </c>
      <c r="B3296" s="562" t="s">
        <v>892</v>
      </c>
      <c r="C3296" s="403">
        <v>4715</v>
      </c>
      <c r="D3296" s="400"/>
      <c r="E3296" s="400"/>
      <c r="F3296" s="400"/>
      <c r="G3296" s="400"/>
      <c r="H3296" s="396"/>
    </row>
    <row r="3297" spans="1:8" s="401" customFormat="1" ht="14.25" customHeight="1" x14ac:dyDescent="0.25">
      <c r="A3297" s="564">
        <v>3575</v>
      </c>
      <c r="B3297" s="562" t="s">
        <v>893</v>
      </c>
      <c r="C3297" s="403">
        <v>4025</v>
      </c>
      <c r="D3297" s="400"/>
      <c r="E3297" s="400"/>
      <c r="F3297" s="400"/>
      <c r="G3297" s="400"/>
      <c r="H3297" s="396"/>
    </row>
    <row r="3298" spans="1:8" s="401" customFormat="1" ht="14.25" customHeight="1" x14ac:dyDescent="0.25">
      <c r="A3298" s="564">
        <v>3583</v>
      </c>
      <c r="B3298" s="562" t="s">
        <v>894</v>
      </c>
      <c r="C3298" s="403">
        <v>11179</v>
      </c>
      <c r="D3298" s="400"/>
      <c r="E3298" s="400"/>
      <c r="F3298" s="400"/>
      <c r="G3298" s="400"/>
      <c r="H3298" s="396"/>
    </row>
    <row r="3299" spans="1:8" s="401" customFormat="1" ht="14.25" customHeight="1" x14ac:dyDescent="0.25">
      <c r="A3299" s="564">
        <v>3678</v>
      </c>
      <c r="B3299" s="562" t="s">
        <v>889</v>
      </c>
      <c r="C3299" s="403">
        <v>1</v>
      </c>
      <c r="D3299" s="400"/>
      <c r="E3299" s="400"/>
      <c r="F3299" s="400"/>
      <c r="G3299" s="400"/>
      <c r="H3299" s="396"/>
    </row>
    <row r="3300" spans="1:8" s="401" customFormat="1" ht="14.25" customHeight="1" x14ac:dyDescent="0.25">
      <c r="A3300" s="564">
        <v>3680</v>
      </c>
      <c r="B3300" s="562" t="s">
        <v>889</v>
      </c>
      <c r="C3300" s="403">
        <v>288</v>
      </c>
      <c r="D3300" s="400"/>
      <c r="E3300" s="400"/>
      <c r="F3300" s="400"/>
      <c r="G3300" s="400"/>
      <c r="H3300" s="396"/>
    </row>
    <row r="3301" spans="1:8" s="401" customFormat="1" ht="14.25" customHeight="1" x14ac:dyDescent="0.25">
      <c r="A3301" s="564">
        <v>3690</v>
      </c>
      <c r="B3301" s="562" t="s">
        <v>736</v>
      </c>
      <c r="C3301" s="403">
        <v>99</v>
      </c>
      <c r="D3301" s="400"/>
      <c r="E3301" s="400"/>
      <c r="F3301" s="400"/>
      <c r="G3301" s="400"/>
      <c r="H3301" s="396"/>
    </row>
    <row r="3302" spans="1:8" s="401" customFormat="1" ht="14.25" customHeight="1" x14ac:dyDescent="0.25">
      <c r="A3302" s="564">
        <v>3533</v>
      </c>
      <c r="B3302" s="562" t="s">
        <v>893</v>
      </c>
      <c r="C3302" s="403">
        <v>2504</v>
      </c>
      <c r="D3302" s="400"/>
      <c r="E3302" s="400"/>
      <c r="F3302" s="400"/>
      <c r="G3302" s="400"/>
      <c r="H3302" s="396"/>
    </row>
    <row r="3303" spans="1:8" s="401" customFormat="1" ht="14.25" customHeight="1" x14ac:dyDescent="0.25">
      <c r="A3303" s="564">
        <v>3539</v>
      </c>
      <c r="B3303" s="562" t="s">
        <v>894</v>
      </c>
      <c r="C3303" s="403">
        <v>4804</v>
      </c>
      <c r="D3303" s="400"/>
      <c r="E3303" s="400"/>
      <c r="F3303" s="400"/>
      <c r="G3303" s="400"/>
      <c r="H3303" s="396"/>
    </row>
    <row r="3304" spans="1:8" s="401" customFormat="1" ht="14.25" customHeight="1" x14ac:dyDescent="0.25">
      <c r="A3304" s="564">
        <v>3541</v>
      </c>
      <c r="B3304" s="562" t="s">
        <v>897</v>
      </c>
      <c r="C3304" s="403">
        <v>99.58</v>
      </c>
      <c r="D3304" s="400"/>
      <c r="E3304" s="400"/>
      <c r="F3304" s="400"/>
      <c r="G3304" s="400"/>
      <c r="H3304" s="396"/>
    </row>
    <row r="3305" spans="1:8" s="401" customFormat="1" ht="14.25" customHeight="1" x14ac:dyDescent="0.25">
      <c r="A3305" s="564">
        <v>3543</v>
      </c>
      <c r="B3305" s="562" t="s">
        <v>736</v>
      </c>
      <c r="C3305" s="403">
        <v>104.4</v>
      </c>
      <c r="D3305" s="400"/>
      <c r="E3305" s="400"/>
      <c r="F3305" s="400"/>
      <c r="G3305" s="400"/>
      <c r="H3305" s="396"/>
    </row>
    <row r="3306" spans="1:8" s="401" customFormat="1" ht="14.25" customHeight="1" x14ac:dyDescent="0.25">
      <c r="A3306" s="564">
        <v>3545</v>
      </c>
      <c r="B3306" s="562" t="s">
        <v>892</v>
      </c>
      <c r="C3306" s="403">
        <v>4358</v>
      </c>
      <c r="D3306" s="400"/>
      <c r="E3306" s="400"/>
      <c r="F3306" s="400"/>
      <c r="G3306" s="400"/>
      <c r="H3306" s="396"/>
    </row>
    <row r="3307" spans="1:8" s="401" customFormat="1" ht="14.25" customHeight="1" x14ac:dyDescent="0.25">
      <c r="A3307" s="564">
        <v>3555</v>
      </c>
      <c r="B3307" s="562" t="s">
        <v>893</v>
      </c>
      <c r="C3307" s="403">
        <v>2559</v>
      </c>
      <c r="D3307" s="400"/>
      <c r="E3307" s="400"/>
      <c r="F3307" s="400"/>
      <c r="G3307" s="400"/>
      <c r="H3307" s="396"/>
    </row>
    <row r="3308" spans="1:8" s="401" customFormat="1" ht="14.25" customHeight="1" x14ac:dyDescent="0.25">
      <c r="A3308" s="564">
        <v>3587</v>
      </c>
      <c r="B3308" s="562" t="s">
        <v>900</v>
      </c>
      <c r="C3308" s="403">
        <v>23161</v>
      </c>
      <c r="D3308" s="400"/>
      <c r="E3308" s="400"/>
      <c r="F3308" s="400"/>
      <c r="G3308" s="400"/>
      <c r="H3308" s="396"/>
    </row>
    <row r="3309" spans="1:8" s="401" customFormat="1" ht="14.25" customHeight="1" x14ac:dyDescent="0.25">
      <c r="A3309" s="564">
        <v>3594</v>
      </c>
      <c r="B3309" s="562" t="s">
        <v>893</v>
      </c>
      <c r="C3309" s="403">
        <v>2559</v>
      </c>
      <c r="D3309" s="400"/>
      <c r="E3309" s="400"/>
      <c r="F3309" s="400"/>
      <c r="G3309" s="400"/>
      <c r="H3309" s="396"/>
    </row>
    <row r="3310" spans="1:8" s="401" customFormat="1" ht="14.25" customHeight="1" x14ac:dyDescent="0.25">
      <c r="A3310" s="564">
        <v>3596</v>
      </c>
      <c r="B3310" s="562" t="s">
        <v>894</v>
      </c>
      <c r="C3310" s="403">
        <v>6124</v>
      </c>
      <c r="D3310" s="400"/>
      <c r="E3310" s="400"/>
      <c r="F3310" s="400"/>
      <c r="G3310" s="400"/>
      <c r="H3310" s="396"/>
    </row>
    <row r="3311" spans="1:8" s="401" customFormat="1" ht="14.25" customHeight="1" x14ac:dyDescent="0.25">
      <c r="A3311" s="564">
        <v>3599</v>
      </c>
      <c r="B3311" s="562" t="s">
        <v>894</v>
      </c>
      <c r="C3311" s="403">
        <v>6124</v>
      </c>
      <c r="D3311" s="400"/>
      <c r="E3311" s="400"/>
      <c r="F3311" s="400"/>
      <c r="G3311" s="400"/>
      <c r="H3311" s="396"/>
    </row>
    <row r="3312" spans="1:8" s="401" customFormat="1" ht="14.25" customHeight="1" x14ac:dyDescent="0.25">
      <c r="A3312" s="564">
        <v>3602</v>
      </c>
      <c r="B3312" s="562" t="s">
        <v>893</v>
      </c>
      <c r="C3312" s="403">
        <v>2140</v>
      </c>
      <c r="D3312" s="400"/>
      <c r="E3312" s="400"/>
      <c r="F3312" s="400"/>
      <c r="G3312" s="400"/>
      <c r="H3312" s="396"/>
    </row>
    <row r="3313" spans="1:8" s="401" customFormat="1" ht="14.25" customHeight="1" x14ac:dyDescent="0.25">
      <c r="A3313" s="564">
        <v>3682</v>
      </c>
      <c r="B3313" s="562" t="s">
        <v>889</v>
      </c>
      <c r="C3313" s="403">
        <v>1</v>
      </c>
      <c r="D3313" s="400"/>
      <c r="E3313" s="400"/>
      <c r="F3313" s="400"/>
      <c r="G3313" s="400"/>
      <c r="H3313" s="396"/>
    </row>
    <row r="3314" spans="1:8" s="401" customFormat="1" ht="14.25" customHeight="1" x14ac:dyDescent="0.25">
      <c r="A3314" s="564">
        <v>3683</v>
      </c>
      <c r="B3314" s="562" t="s">
        <v>889</v>
      </c>
      <c r="C3314" s="403">
        <v>288</v>
      </c>
      <c r="D3314" s="400"/>
      <c r="E3314" s="400"/>
      <c r="F3314" s="400"/>
      <c r="G3314" s="400"/>
      <c r="H3314" s="396"/>
    </row>
    <row r="3315" spans="1:8" s="401" customFormat="1" ht="14.25" customHeight="1" x14ac:dyDescent="0.25">
      <c r="A3315" s="564">
        <v>3688</v>
      </c>
      <c r="B3315" s="562" t="s">
        <v>889</v>
      </c>
      <c r="C3315" s="403">
        <v>288</v>
      </c>
      <c r="D3315" s="400"/>
      <c r="E3315" s="400"/>
      <c r="F3315" s="400"/>
      <c r="G3315" s="400"/>
      <c r="H3315" s="396"/>
    </row>
    <row r="3316" spans="1:8" s="401" customFormat="1" ht="14.25" customHeight="1" x14ac:dyDescent="0.25">
      <c r="A3316" s="564">
        <v>3694</v>
      </c>
      <c r="B3316" s="562" t="s">
        <v>736</v>
      </c>
      <c r="C3316" s="403">
        <v>110</v>
      </c>
      <c r="D3316" s="400"/>
      <c r="E3316" s="400"/>
      <c r="F3316" s="400"/>
      <c r="G3316" s="400"/>
      <c r="H3316" s="396"/>
    </row>
    <row r="3317" spans="1:8" s="401" customFormat="1" ht="14.25" customHeight="1" x14ac:dyDescent="0.25">
      <c r="A3317" s="564">
        <v>3521</v>
      </c>
      <c r="B3317" s="562" t="s">
        <v>893</v>
      </c>
      <c r="C3317" s="403">
        <v>2554</v>
      </c>
      <c r="D3317" s="400"/>
      <c r="E3317" s="400"/>
      <c r="F3317" s="400"/>
      <c r="G3317" s="400"/>
      <c r="H3317" s="396"/>
    </row>
    <row r="3318" spans="1:8" s="401" customFormat="1" ht="14.25" customHeight="1" x14ac:dyDescent="0.25">
      <c r="A3318" s="564">
        <v>3528</v>
      </c>
      <c r="B3318" s="562" t="s">
        <v>892</v>
      </c>
      <c r="C3318" s="403">
        <v>1269</v>
      </c>
      <c r="D3318" s="400"/>
      <c r="E3318" s="400"/>
      <c r="F3318" s="400"/>
      <c r="G3318" s="400"/>
      <c r="H3318" s="396"/>
    </row>
    <row r="3319" spans="1:8" s="401" customFormat="1" ht="14.25" customHeight="1" x14ac:dyDescent="0.25">
      <c r="A3319" s="564">
        <v>3553</v>
      </c>
      <c r="B3319" s="562" t="s">
        <v>893</v>
      </c>
      <c r="C3319" s="403">
        <v>4082</v>
      </c>
      <c r="D3319" s="400"/>
      <c r="E3319" s="400"/>
      <c r="F3319" s="400"/>
      <c r="G3319" s="400"/>
      <c r="H3319" s="396"/>
    </row>
    <row r="3320" spans="1:8" s="401" customFormat="1" ht="14.25" customHeight="1" x14ac:dyDescent="0.25">
      <c r="A3320" s="564">
        <v>3557</v>
      </c>
      <c r="B3320" s="562" t="s">
        <v>894</v>
      </c>
      <c r="C3320" s="403">
        <v>15109</v>
      </c>
      <c r="D3320" s="400"/>
      <c r="E3320" s="400"/>
      <c r="F3320" s="400"/>
      <c r="G3320" s="400"/>
      <c r="H3320" s="396"/>
    </row>
    <row r="3321" spans="1:8" s="401" customFormat="1" ht="14.25" customHeight="1" x14ac:dyDescent="0.25">
      <c r="A3321" s="564">
        <v>3629</v>
      </c>
      <c r="B3321" s="562" t="s">
        <v>892</v>
      </c>
      <c r="C3321" s="403">
        <v>2050</v>
      </c>
      <c r="D3321" s="400"/>
      <c r="E3321" s="400"/>
      <c r="F3321" s="400"/>
      <c r="G3321" s="400"/>
      <c r="H3321" s="396"/>
    </row>
    <row r="3322" spans="1:8" s="401" customFormat="1" ht="14.25" customHeight="1" x14ac:dyDescent="0.25">
      <c r="A3322" s="564">
        <v>3633</v>
      </c>
      <c r="B3322" s="562" t="s">
        <v>892</v>
      </c>
      <c r="C3322" s="403">
        <v>745</v>
      </c>
      <c r="D3322" s="400"/>
      <c r="E3322" s="400"/>
      <c r="F3322" s="400"/>
      <c r="G3322" s="400"/>
      <c r="H3322" s="396"/>
    </row>
    <row r="3323" spans="1:8" s="401" customFormat="1" ht="14.25" customHeight="1" x14ac:dyDescent="0.25">
      <c r="A3323" s="564">
        <v>3636</v>
      </c>
      <c r="B3323" s="562" t="s">
        <v>893</v>
      </c>
      <c r="C3323" s="403">
        <v>1798</v>
      </c>
      <c r="D3323" s="400"/>
      <c r="E3323" s="400"/>
      <c r="F3323" s="400"/>
      <c r="G3323" s="400"/>
      <c r="H3323" s="396"/>
    </row>
    <row r="3324" spans="1:8" s="401" customFormat="1" ht="14.25" customHeight="1" x14ac:dyDescent="0.25">
      <c r="A3324" s="564">
        <v>3639</v>
      </c>
      <c r="B3324" s="562" t="s">
        <v>894</v>
      </c>
      <c r="C3324" s="403">
        <v>11179</v>
      </c>
      <c r="D3324" s="400"/>
      <c r="E3324" s="400"/>
      <c r="F3324" s="400"/>
      <c r="G3324" s="400"/>
      <c r="H3324" s="396"/>
    </row>
    <row r="3325" spans="1:8" s="401" customFormat="1" ht="14.25" customHeight="1" x14ac:dyDescent="0.25">
      <c r="A3325" s="564">
        <v>3655</v>
      </c>
      <c r="B3325" s="562" t="s">
        <v>893</v>
      </c>
      <c r="C3325" s="403">
        <v>1</v>
      </c>
      <c r="D3325" s="400"/>
      <c r="E3325" s="400"/>
      <c r="F3325" s="400"/>
      <c r="G3325" s="400"/>
      <c r="H3325" s="396"/>
    </row>
    <row r="3326" spans="1:8" s="401" customFormat="1" ht="14.25" customHeight="1" x14ac:dyDescent="0.25">
      <c r="A3326" s="564">
        <v>3671</v>
      </c>
      <c r="B3326" s="562" t="s">
        <v>894</v>
      </c>
      <c r="C3326" s="403">
        <v>1</v>
      </c>
      <c r="D3326" s="400"/>
      <c r="E3326" s="400"/>
      <c r="F3326" s="400"/>
      <c r="G3326" s="400"/>
      <c r="H3326" s="396"/>
    </row>
    <row r="3327" spans="1:8" s="401" customFormat="1" ht="14.25" customHeight="1" x14ac:dyDescent="0.25">
      <c r="A3327" s="564">
        <v>3675</v>
      </c>
      <c r="B3327" s="562" t="s">
        <v>889</v>
      </c>
      <c r="C3327" s="403">
        <v>1</v>
      </c>
      <c r="D3327" s="400"/>
      <c r="E3327" s="400"/>
      <c r="F3327" s="400"/>
      <c r="G3327" s="400"/>
      <c r="H3327" s="396"/>
    </row>
    <row r="3328" spans="1:8" s="401" customFormat="1" ht="14.25" customHeight="1" x14ac:dyDescent="0.25">
      <c r="A3328" s="564">
        <v>3676</v>
      </c>
      <c r="B3328" s="562" t="s">
        <v>889</v>
      </c>
      <c r="C3328" s="403">
        <v>1</v>
      </c>
      <c r="D3328" s="400"/>
      <c r="E3328" s="400"/>
      <c r="F3328" s="400"/>
      <c r="G3328" s="400"/>
      <c r="H3328" s="396"/>
    </row>
    <row r="3329" spans="1:8" s="401" customFormat="1" ht="14.25" customHeight="1" x14ac:dyDescent="0.25">
      <c r="A3329" s="564">
        <v>3816</v>
      </c>
      <c r="B3329" s="562" t="s">
        <v>899</v>
      </c>
      <c r="C3329" s="403">
        <v>7562</v>
      </c>
      <c r="D3329" s="400"/>
      <c r="E3329" s="400"/>
      <c r="F3329" s="400"/>
      <c r="G3329" s="400"/>
      <c r="H3329" s="396"/>
    </row>
    <row r="3330" spans="1:8" s="401" customFormat="1" ht="14.25" customHeight="1" x14ac:dyDescent="0.25">
      <c r="A3330" s="564">
        <v>3825</v>
      </c>
      <c r="B3330" s="562" t="s">
        <v>910</v>
      </c>
      <c r="C3330" s="403">
        <v>13400</v>
      </c>
      <c r="D3330" s="400"/>
      <c r="E3330" s="400"/>
      <c r="F3330" s="400"/>
      <c r="G3330" s="400"/>
      <c r="H3330" s="396"/>
    </row>
    <row r="3331" spans="1:8" s="401" customFormat="1" ht="14.25" customHeight="1" x14ac:dyDescent="0.25">
      <c r="A3331" s="564">
        <v>3828</v>
      </c>
      <c r="B3331" s="562" t="s">
        <v>893</v>
      </c>
      <c r="C3331" s="403">
        <v>2559</v>
      </c>
      <c r="D3331" s="400"/>
      <c r="E3331" s="400"/>
      <c r="F3331" s="400"/>
      <c r="G3331" s="400"/>
      <c r="H3331" s="396"/>
    </row>
    <row r="3332" spans="1:8" s="401" customFormat="1" ht="14.25" customHeight="1" x14ac:dyDescent="0.25">
      <c r="A3332" s="564">
        <v>3832</v>
      </c>
      <c r="B3332" s="562" t="s">
        <v>894</v>
      </c>
      <c r="C3332" s="403">
        <v>6124</v>
      </c>
      <c r="D3332" s="400"/>
      <c r="E3332" s="400"/>
      <c r="F3332" s="400"/>
      <c r="G3332" s="400"/>
      <c r="H3332" s="396"/>
    </row>
    <row r="3333" spans="1:8" s="401" customFormat="1" ht="14.25" customHeight="1" x14ac:dyDescent="0.25">
      <c r="A3333" s="564">
        <v>3852</v>
      </c>
      <c r="B3333" s="562" t="s">
        <v>736</v>
      </c>
      <c r="C3333" s="403">
        <v>230</v>
      </c>
      <c r="D3333" s="400"/>
      <c r="E3333" s="400"/>
      <c r="F3333" s="400"/>
      <c r="G3333" s="400"/>
      <c r="H3333" s="396"/>
    </row>
    <row r="3334" spans="1:8" s="401" customFormat="1" ht="14.25" customHeight="1" x14ac:dyDescent="0.25">
      <c r="A3334" s="564">
        <v>3886</v>
      </c>
      <c r="B3334" s="562" t="s">
        <v>892</v>
      </c>
      <c r="C3334" s="403">
        <v>4988</v>
      </c>
      <c r="D3334" s="400"/>
      <c r="E3334" s="400"/>
      <c r="F3334" s="400"/>
      <c r="G3334" s="400"/>
      <c r="H3334" s="396"/>
    </row>
    <row r="3335" spans="1:8" s="401" customFormat="1" ht="14.25" customHeight="1" x14ac:dyDescent="0.25">
      <c r="A3335" s="564">
        <v>3890</v>
      </c>
      <c r="B3335" s="562" t="s">
        <v>892</v>
      </c>
      <c r="C3335" s="403">
        <v>6612</v>
      </c>
      <c r="D3335" s="400"/>
      <c r="E3335" s="400"/>
      <c r="F3335" s="400"/>
      <c r="G3335" s="400"/>
      <c r="H3335" s="396"/>
    </row>
    <row r="3336" spans="1:8" s="401" customFormat="1" ht="14.25" customHeight="1" x14ac:dyDescent="0.25">
      <c r="A3336" s="564">
        <v>3822</v>
      </c>
      <c r="B3336" s="562" t="s">
        <v>892</v>
      </c>
      <c r="C3336" s="403">
        <v>2213</v>
      </c>
      <c r="D3336" s="400"/>
      <c r="E3336" s="400"/>
      <c r="F3336" s="400"/>
      <c r="G3336" s="400"/>
      <c r="H3336" s="396"/>
    </row>
    <row r="3337" spans="1:8" s="401" customFormat="1" ht="14.25" customHeight="1" x14ac:dyDescent="0.25">
      <c r="A3337" s="564">
        <v>3843</v>
      </c>
      <c r="B3337" s="562" t="s">
        <v>897</v>
      </c>
      <c r="C3337" s="403">
        <v>138</v>
      </c>
      <c r="D3337" s="400"/>
      <c r="E3337" s="400"/>
      <c r="F3337" s="400"/>
      <c r="G3337" s="400"/>
      <c r="H3337" s="396"/>
    </row>
    <row r="3338" spans="1:8" s="401" customFormat="1" ht="14.25" customHeight="1" x14ac:dyDescent="0.25">
      <c r="A3338" s="564">
        <v>3849</v>
      </c>
      <c r="B3338" s="562" t="s">
        <v>736</v>
      </c>
      <c r="C3338" s="403">
        <v>230</v>
      </c>
      <c r="D3338" s="400"/>
      <c r="E3338" s="400"/>
      <c r="F3338" s="400"/>
      <c r="G3338" s="400"/>
      <c r="H3338" s="396"/>
    </row>
    <row r="3339" spans="1:8" s="401" customFormat="1" ht="14.25" customHeight="1" x14ac:dyDescent="0.25">
      <c r="A3339" s="564">
        <v>3853</v>
      </c>
      <c r="B3339" s="562" t="s">
        <v>736</v>
      </c>
      <c r="C3339" s="403">
        <v>88</v>
      </c>
      <c r="D3339" s="400"/>
      <c r="E3339" s="400"/>
      <c r="F3339" s="400"/>
      <c r="G3339" s="400"/>
      <c r="H3339" s="396"/>
    </row>
    <row r="3340" spans="1:8" s="401" customFormat="1" ht="14.25" customHeight="1" x14ac:dyDescent="0.25">
      <c r="A3340" s="564">
        <v>3858</v>
      </c>
      <c r="B3340" s="562" t="s">
        <v>892</v>
      </c>
      <c r="C3340" s="403">
        <v>2777</v>
      </c>
      <c r="D3340" s="400"/>
      <c r="E3340" s="400"/>
      <c r="F3340" s="400"/>
      <c r="G3340" s="400"/>
      <c r="H3340" s="396"/>
    </row>
    <row r="3341" spans="1:8" s="401" customFormat="1" ht="14.25" customHeight="1" x14ac:dyDescent="0.25">
      <c r="A3341" s="564">
        <v>3860</v>
      </c>
      <c r="B3341" s="562" t="s">
        <v>892</v>
      </c>
      <c r="C3341" s="403">
        <v>1</v>
      </c>
      <c r="D3341" s="400"/>
      <c r="E3341" s="400"/>
      <c r="F3341" s="400"/>
      <c r="G3341" s="400"/>
      <c r="H3341" s="396"/>
    </row>
    <row r="3342" spans="1:8" s="401" customFormat="1" ht="14.25" customHeight="1" x14ac:dyDescent="0.25">
      <c r="A3342" s="564">
        <v>3861</v>
      </c>
      <c r="B3342" s="562" t="s">
        <v>893</v>
      </c>
      <c r="C3342" s="403">
        <v>2559</v>
      </c>
      <c r="D3342" s="400"/>
      <c r="E3342" s="400"/>
      <c r="F3342" s="400"/>
      <c r="G3342" s="400"/>
      <c r="H3342" s="396"/>
    </row>
    <row r="3343" spans="1:8" s="401" customFormat="1" ht="14.25" customHeight="1" x14ac:dyDescent="0.25">
      <c r="A3343" s="564">
        <v>3862</v>
      </c>
      <c r="B3343" s="562" t="s">
        <v>894</v>
      </c>
      <c r="C3343" s="403">
        <v>7800</v>
      </c>
      <c r="D3343" s="400"/>
      <c r="E3343" s="400"/>
      <c r="F3343" s="400"/>
      <c r="G3343" s="400"/>
      <c r="H3343" s="396"/>
    </row>
    <row r="3344" spans="1:8" s="401" customFormat="1" ht="14.25" customHeight="1" x14ac:dyDescent="0.25">
      <c r="A3344" s="564">
        <v>3863</v>
      </c>
      <c r="B3344" s="562" t="s">
        <v>894</v>
      </c>
      <c r="C3344" s="403">
        <v>6124</v>
      </c>
      <c r="D3344" s="400"/>
      <c r="E3344" s="400"/>
      <c r="F3344" s="400"/>
      <c r="G3344" s="400"/>
      <c r="H3344" s="396"/>
    </row>
    <row r="3345" spans="1:8" s="401" customFormat="1" ht="14.25" customHeight="1" x14ac:dyDescent="0.25">
      <c r="A3345" s="564">
        <v>3864</v>
      </c>
      <c r="B3345" s="562" t="s">
        <v>892</v>
      </c>
      <c r="C3345" s="403">
        <v>6844</v>
      </c>
      <c r="D3345" s="400"/>
      <c r="E3345" s="400"/>
      <c r="F3345" s="400"/>
      <c r="G3345" s="400"/>
      <c r="H3345" s="396"/>
    </row>
    <row r="3346" spans="1:8" s="401" customFormat="1" ht="14.25" customHeight="1" x14ac:dyDescent="0.25">
      <c r="A3346" s="564">
        <v>3868</v>
      </c>
      <c r="B3346" s="562" t="s">
        <v>893</v>
      </c>
      <c r="C3346" s="403">
        <v>5578</v>
      </c>
      <c r="D3346" s="400"/>
      <c r="E3346" s="400"/>
      <c r="F3346" s="400"/>
      <c r="G3346" s="400"/>
      <c r="H3346" s="396"/>
    </row>
    <row r="3347" spans="1:8" s="401" customFormat="1" ht="14.25" customHeight="1" x14ac:dyDescent="0.25">
      <c r="A3347" s="564">
        <v>4135</v>
      </c>
      <c r="B3347" s="562" t="s">
        <v>889</v>
      </c>
      <c r="C3347" s="403">
        <v>1</v>
      </c>
      <c r="D3347" s="400"/>
      <c r="E3347" s="400"/>
      <c r="F3347" s="400"/>
      <c r="G3347" s="400"/>
      <c r="H3347" s="396"/>
    </row>
    <row r="3348" spans="1:8" s="401" customFormat="1" ht="14.25" customHeight="1" x14ac:dyDescent="0.25">
      <c r="A3348" s="564">
        <v>5091</v>
      </c>
      <c r="B3348" s="562" t="s">
        <v>736</v>
      </c>
      <c r="C3348" s="403">
        <v>290</v>
      </c>
      <c r="D3348" s="400"/>
      <c r="E3348" s="400"/>
      <c r="F3348" s="400"/>
      <c r="G3348" s="400"/>
      <c r="H3348" s="396"/>
    </row>
    <row r="3349" spans="1:8" s="401" customFormat="1" ht="14.25" customHeight="1" x14ac:dyDescent="0.25">
      <c r="A3349" s="564">
        <v>5092</v>
      </c>
      <c r="B3349" s="562" t="s">
        <v>897</v>
      </c>
      <c r="C3349" s="403">
        <v>174</v>
      </c>
      <c r="D3349" s="400"/>
      <c r="E3349" s="400"/>
      <c r="F3349" s="400"/>
      <c r="G3349" s="400"/>
      <c r="H3349" s="396"/>
    </row>
    <row r="3350" spans="1:8" s="401" customFormat="1" ht="14.25" customHeight="1" x14ac:dyDescent="0.25">
      <c r="A3350" s="564">
        <v>5094</v>
      </c>
      <c r="B3350" s="562" t="s">
        <v>897</v>
      </c>
      <c r="C3350" s="403">
        <v>174</v>
      </c>
      <c r="D3350" s="400"/>
      <c r="E3350" s="400"/>
      <c r="F3350" s="400"/>
      <c r="G3350" s="400"/>
      <c r="H3350" s="396"/>
    </row>
    <row r="3351" spans="1:8" s="401" customFormat="1" ht="14.25" customHeight="1" x14ac:dyDescent="0.25">
      <c r="A3351" s="564">
        <v>3866</v>
      </c>
      <c r="B3351" s="562" t="s">
        <v>736</v>
      </c>
      <c r="C3351" s="403">
        <v>230</v>
      </c>
      <c r="D3351" s="400"/>
      <c r="E3351" s="400"/>
      <c r="F3351" s="400"/>
      <c r="G3351" s="400"/>
      <c r="H3351" s="396"/>
    </row>
    <row r="3352" spans="1:8" s="401" customFormat="1" ht="14.25" customHeight="1" x14ac:dyDescent="0.25">
      <c r="A3352" s="564">
        <v>3990</v>
      </c>
      <c r="B3352" s="562" t="s">
        <v>736</v>
      </c>
      <c r="C3352" s="403">
        <v>100</v>
      </c>
      <c r="D3352" s="400"/>
      <c r="E3352" s="400"/>
      <c r="F3352" s="400"/>
      <c r="G3352" s="400"/>
      <c r="H3352" s="396"/>
    </row>
    <row r="3353" spans="1:8" s="401" customFormat="1" ht="14.25" customHeight="1" x14ac:dyDescent="0.25">
      <c r="A3353" s="564">
        <v>4017</v>
      </c>
      <c r="B3353" s="562" t="s">
        <v>900</v>
      </c>
      <c r="C3353" s="403">
        <v>33530</v>
      </c>
      <c r="D3353" s="400"/>
      <c r="E3353" s="400"/>
      <c r="F3353" s="400"/>
      <c r="G3353" s="400"/>
      <c r="H3353" s="396"/>
    </row>
    <row r="3354" spans="1:8" s="401" customFormat="1" ht="14.25" customHeight="1" x14ac:dyDescent="0.25">
      <c r="A3354" s="564">
        <v>4021</v>
      </c>
      <c r="B3354" s="562" t="s">
        <v>893</v>
      </c>
      <c r="C3354" s="403">
        <v>2300</v>
      </c>
      <c r="D3354" s="400"/>
      <c r="E3354" s="400"/>
      <c r="F3354" s="400"/>
      <c r="G3354" s="400"/>
      <c r="H3354" s="396"/>
    </row>
    <row r="3355" spans="1:8" s="401" customFormat="1" ht="14.25" customHeight="1" x14ac:dyDescent="0.25">
      <c r="A3355" s="564">
        <v>4023</v>
      </c>
      <c r="B3355" s="562" t="s">
        <v>893</v>
      </c>
      <c r="C3355" s="403">
        <v>5578</v>
      </c>
      <c r="D3355" s="400"/>
      <c r="E3355" s="400"/>
      <c r="F3355" s="400"/>
      <c r="G3355" s="400"/>
      <c r="H3355" s="396"/>
    </row>
    <row r="3356" spans="1:8" s="401" customFormat="1" ht="14.25" customHeight="1" x14ac:dyDescent="0.25">
      <c r="A3356" s="564">
        <v>4027</v>
      </c>
      <c r="B3356" s="562" t="s">
        <v>894</v>
      </c>
      <c r="C3356" s="403">
        <v>8665</v>
      </c>
      <c r="D3356" s="400"/>
      <c r="E3356" s="400"/>
      <c r="F3356" s="400"/>
      <c r="G3356" s="400"/>
      <c r="H3356" s="396"/>
    </row>
    <row r="3357" spans="1:8" s="401" customFormat="1" ht="14.25" customHeight="1" x14ac:dyDescent="0.25">
      <c r="A3357" s="564">
        <v>4063</v>
      </c>
      <c r="B3357" s="562" t="s">
        <v>893</v>
      </c>
      <c r="C3357" s="403">
        <v>2274</v>
      </c>
      <c r="D3357" s="400"/>
      <c r="E3357" s="400"/>
      <c r="F3357" s="400"/>
      <c r="G3357" s="400"/>
      <c r="H3357" s="396"/>
    </row>
    <row r="3358" spans="1:8" s="401" customFormat="1" ht="14.25" customHeight="1" x14ac:dyDescent="0.25">
      <c r="A3358" s="564">
        <v>4139</v>
      </c>
      <c r="B3358" s="562" t="s">
        <v>889</v>
      </c>
      <c r="C3358" s="403">
        <v>950</v>
      </c>
      <c r="D3358" s="400"/>
      <c r="E3358" s="400"/>
      <c r="F3358" s="400"/>
      <c r="G3358" s="400"/>
      <c r="H3358" s="396"/>
    </row>
    <row r="3359" spans="1:8" s="401" customFormat="1" ht="14.25" customHeight="1" x14ac:dyDescent="0.25">
      <c r="A3359" s="564">
        <v>4461</v>
      </c>
      <c r="B3359" s="562" t="s">
        <v>892</v>
      </c>
      <c r="C3359" s="403">
        <v>2262</v>
      </c>
      <c r="D3359" s="400"/>
      <c r="E3359" s="400"/>
      <c r="F3359" s="400"/>
      <c r="G3359" s="400"/>
      <c r="H3359" s="396"/>
    </row>
    <row r="3360" spans="1:8" s="401" customFormat="1" ht="14.25" customHeight="1" x14ac:dyDescent="0.25">
      <c r="A3360" s="564">
        <v>4980</v>
      </c>
      <c r="B3360" s="562" t="s">
        <v>892</v>
      </c>
      <c r="C3360" s="403">
        <v>2262</v>
      </c>
      <c r="D3360" s="400"/>
      <c r="E3360" s="400"/>
      <c r="F3360" s="400"/>
      <c r="G3360" s="400"/>
      <c r="H3360" s="396"/>
    </row>
    <row r="3361" spans="1:8" s="401" customFormat="1" ht="14.25" customHeight="1" x14ac:dyDescent="0.25">
      <c r="A3361" s="564">
        <v>5098</v>
      </c>
      <c r="B3361" s="562" t="s">
        <v>892</v>
      </c>
      <c r="C3361" s="403">
        <v>2262</v>
      </c>
      <c r="D3361" s="400"/>
      <c r="E3361" s="400"/>
      <c r="F3361" s="400"/>
      <c r="G3361" s="400"/>
      <c r="H3361" s="396"/>
    </row>
    <row r="3362" spans="1:8" s="401" customFormat="1" ht="14.25" customHeight="1" x14ac:dyDescent="0.25">
      <c r="A3362" s="564">
        <v>3813</v>
      </c>
      <c r="B3362" s="562" t="s">
        <v>913</v>
      </c>
      <c r="C3362" s="403">
        <v>696</v>
      </c>
      <c r="D3362" s="400"/>
      <c r="E3362" s="400"/>
      <c r="F3362" s="400"/>
      <c r="G3362" s="400"/>
      <c r="H3362" s="396"/>
    </row>
    <row r="3363" spans="1:8" s="401" customFormat="1" ht="14.25" customHeight="1" x14ac:dyDescent="0.25">
      <c r="A3363" s="564">
        <v>3836</v>
      </c>
      <c r="B3363" s="562" t="s">
        <v>897</v>
      </c>
      <c r="C3363" s="403">
        <v>150</v>
      </c>
      <c r="D3363" s="400"/>
      <c r="E3363" s="400"/>
      <c r="F3363" s="400"/>
      <c r="G3363" s="400"/>
      <c r="H3363" s="396"/>
    </row>
    <row r="3364" spans="1:8" s="401" customFormat="1" ht="14.25" customHeight="1" x14ac:dyDescent="0.25">
      <c r="A3364" s="564">
        <v>3839</v>
      </c>
      <c r="B3364" s="562" t="s">
        <v>897</v>
      </c>
      <c r="C3364" s="403">
        <v>1</v>
      </c>
      <c r="D3364" s="400"/>
      <c r="E3364" s="400"/>
      <c r="F3364" s="400"/>
      <c r="G3364" s="400"/>
      <c r="H3364" s="396"/>
    </row>
    <row r="3365" spans="1:8" s="401" customFormat="1" ht="14.25" customHeight="1" x14ac:dyDescent="0.25">
      <c r="A3365" s="564">
        <v>3854</v>
      </c>
      <c r="B3365" s="562" t="s">
        <v>897</v>
      </c>
      <c r="C3365" s="403">
        <v>352</v>
      </c>
      <c r="D3365" s="400"/>
      <c r="E3365" s="400"/>
      <c r="F3365" s="400"/>
      <c r="G3365" s="400"/>
      <c r="H3365" s="396"/>
    </row>
    <row r="3366" spans="1:8" s="401" customFormat="1" ht="14.25" customHeight="1" x14ac:dyDescent="0.25">
      <c r="A3366" s="564">
        <v>3894</v>
      </c>
      <c r="B3366" s="562" t="s">
        <v>736</v>
      </c>
      <c r="C3366" s="403">
        <v>105</v>
      </c>
      <c r="D3366" s="400"/>
      <c r="E3366" s="400"/>
      <c r="F3366" s="400"/>
      <c r="G3366" s="400"/>
      <c r="H3366" s="396"/>
    </row>
    <row r="3367" spans="1:8" s="401" customFormat="1" ht="14.25" customHeight="1" x14ac:dyDescent="0.25">
      <c r="A3367" s="564">
        <v>3942</v>
      </c>
      <c r="B3367" s="562" t="s">
        <v>894</v>
      </c>
      <c r="C3367" s="403">
        <v>5578</v>
      </c>
      <c r="D3367" s="400"/>
      <c r="E3367" s="400"/>
      <c r="F3367" s="400"/>
      <c r="G3367" s="400"/>
      <c r="H3367" s="396"/>
    </row>
    <row r="3368" spans="1:8" s="401" customFormat="1" ht="14.25" customHeight="1" x14ac:dyDescent="0.25">
      <c r="A3368" s="564">
        <v>4012</v>
      </c>
      <c r="B3368" s="562" t="s">
        <v>892</v>
      </c>
      <c r="C3368" s="403">
        <v>4301</v>
      </c>
      <c r="D3368" s="400"/>
      <c r="E3368" s="400"/>
      <c r="F3368" s="400"/>
      <c r="G3368" s="400"/>
      <c r="H3368" s="396"/>
    </row>
    <row r="3369" spans="1:8" s="401" customFormat="1" ht="14.25" customHeight="1" x14ac:dyDescent="0.25">
      <c r="A3369" s="564">
        <v>4015</v>
      </c>
      <c r="B3369" s="562" t="s">
        <v>736</v>
      </c>
      <c r="C3369" s="403">
        <v>126</v>
      </c>
      <c r="D3369" s="400"/>
      <c r="E3369" s="400"/>
      <c r="F3369" s="400"/>
      <c r="G3369" s="400"/>
      <c r="H3369" s="396"/>
    </row>
    <row r="3370" spans="1:8" s="401" customFormat="1" ht="14.25" customHeight="1" x14ac:dyDescent="0.25">
      <c r="A3370" s="564">
        <v>4031</v>
      </c>
      <c r="B3370" s="562" t="s">
        <v>894</v>
      </c>
      <c r="C3370" s="403">
        <v>2285</v>
      </c>
      <c r="D3370" s="400"/>
      <c r="E3370" s="400"/>
      <c r="F3370" s="400"/>
      <c r="G3370" s="400"/>
      <c r="H3370" s="396"/>
    </row>
    <row r="3371" spans="1:8" s="401" customFormat="1" ht="14.25" customHeight="1" x14ac:dyDescent="0.25">
      <c r="A3371" s="564">
        <v>4060</v>
      </c>
      <c r="B3371" s="562" t="s">
        <v>894</v>
      </c>
      <c r="C3371" s="403">
        <v>6194</v>
      </c>
      <c r="D3371" s="400"/>
      <c r="E3371" s="400"/>
      <c r="F3371" s="400"/>
      <c r="G3371" s="400"/>
      <c r="H3371" s="396"/>
    </row>
    <row r="3372" spans="1:8" s="401" customFormat="1" ht="14.25" customHeight="1" x14ac:dyDescent="0.25">
      <c r="A3372" s="564">
        <v>4123</v>
      </c>
      <c r="B3372" s="562" t="s">
        <v>897</v>
      </c>
      <c r="C3372" s="403">
        <v>97.56</v>
      </c>
      <c r="D3372" s="400"/>
      <c r="E3372" s="400"/>
      <c r="F3372" s="400"/>
      <c r="G3372" s="400"/>
      <c r="H3372" s="396"/>
    </row>
    <row r="3373" spans="1:8" s="401" customFormat="1" ht="14.25" customHeight="1" x14ac:dyDescent="0.25">
      <c r="A3373" s="564">
        <v>3841</v>
      </c>
      <c r="B3373" s="562" t="s">
        <v>892</v>
      </c>
      <c r="C3373" s="403">
        <v>5593</v>
      </c>
      <c r="D3373" s="400"/>
      <c r="E3373" s="400"/>
      <c r="F3373" s="400"/>
      <c r="G3373" s="400"/>
      <c r="H3373" s="396"/>
    </row>
    <row r="3374" spans="1:8" s="401" customFormat="1" ht="14.25" customHeight="1" x14ac:dyDescent="0.25">
      <c r="A3374" s="564">
        <v>3996</v>
      </c>
      <c r="B3374" s="562" t="s">
        <v>893</v>
      </c>
      <c r="C3374" s="403">
        <v>4025</v>
      </c>
      <c r="D3374" s="400"/>
      <c r="E3374" s="400"/>
      <c r="F3374" s="400"/>
      <c r="G3374" s="400"/>
      <c r="H3374" s="396"/>
    </row>
    <row r="3375" spans="1:8" s="401" customFormat="1" ht="14.25" customHeight="1" x14ac:dyDescent="0.25">
      <c r="A3375" s="564">
        <v>3999</v>
      </c>
      <c r="B3375" s="562" t="s">
        <v>894</v>
      </c>
      <c r="C3375" s="403">
        <v>12667</v>
      </c>
      <c r="D3375" s="400"/>
      <c r="E3375" s="400"/>
      <c r="F3375" s="400"/>
      <c r="G3375" s="400"/>
      <c r="H3375" s="396"/>
    </row>
    <row r="3376" spans="1:8" s="401" customFormat="1" ht="14.25" customHeight="1" x14ac:dyDescent="0.25">
      <c r="A3376" s="564">
        <v>4002</v>
      </c>
      <c r="B3376" s="562" t="s">
        <v>894</v>
      </c>
      <c r="C3376" s="403">
        <v>12667</v>
      </c>
      <c r="D3376" s="400"/>
      <c r="E3376" s="400"/>
      <c r="F3376" s="400"/>
      <c r="G3376" s="400"/>
      <c r="H3376" s="396"/>
    </row>
    <row r="3377" spans="1:8" s="401" customFormat="1" ht="14.25" customHeight="1" x14ac:dyDescent="0.25">
      <c r="A3377" s="564">
        <v>4005</v>
      </c>
      <c r="B3377" s="562" t="s">
        <v>736</v>
      </c>
      <c r="C3377" s="403">
        <v>288</v>
      </c>
      <c r="D3377" s="400"/>
      <c r="E3377" s="400"/>
      <c r="F3377" s="400"/>
      <c r="G3377" s="400"/>
      <c r="H3377" s="396"/>
    </row>
    <row r="3378" spans="1:8" s="401" customFormat="1" ht="14.25" customHeight="1" x14ac:dyDescent="0.25">
      <c r="A3378" s="564">
        <v>4009</v>
      </c>
      <c r="B3378" s="562" t="s">
        <v>736</v>
      </c>
      <c r="C3378" s="403">
        <v>288</v>
      </c>
      <c r="D3378" s="400"/>
      <c r="E3378" s="400"/>
      <c r="F3378" s="400"/>
      <c r="G3378" s="400"/>
      <c r="H3378" s="396"/>
    </row>
    <row r="3379" spans="1:8" s="401" customFormat="1" ht="14.25" customHeight="1" x14ac:dyDescent="0.25">
      <c r="A3379" s="564">
        <v>3873</v>
      </c>
      <c r="B3379" s="562" t="s">
        <v>736</v>
      </c>
      <c r="C3379" s="403">
        <v>88</v>
      </c>
      <c r="D3379" s="400"/>
      <c r="E3379" s="400"/>
      <c r="F3379" s="400"/>
      <c r="G3379" s="400"/>
      <c r="H3379" s="396"/>
    </row>
    <row r="3380" spans="1:8" s="401" customFormat="1" ht="14.25" customHeight="1" x14ac:dyDescent="0.25">
      <c r="A3380" s="564">
        <v>4018</v>
      </c>
      <c r="B3380" s="562" t="s">
        <v>893</v>
      </c>
      <c r="C3380" s="403">
        <v>2300</v>
      </c>
      <c r="D3380" s="400"/>
      <c r="E3380" s="400"/>
      <c r="F3380" s="400"/>
      <c r="G3380" s="400"/>
      <c r="H3380" s="396"/>
    </row>
    <row r="3381" spans="1:8" s="401" customFormat="1" ht="14.25" customHeight="1" x14ac:dyDescent="0.25">
      <c r="A3381" s="564">
        <v>4029</v>
      </c>
      <c r="B3381" s="562" t="s">
        <v>894</v>
      </c>
      <c r="C3381" s="403">
        <v>7800</v>
      </c>
      <c r="D3381" s="400"/>
      <c r="E3381" s="400"/>
      <c r="F3381" s="400"/>
      <c r="G3381" s="400"/>
      <c r="H3381" s="396"/>
    </row>
    <row r="3382" spans="1:8" s="401" customFormat="1" ht="14.25" customHeight="1" x14ac:dyDescent="0.25">
      <c r="A3382" s="564">
        <v>3910</v>
      </c>
      <c r="B3382" s="562" t="s">
        <v>893</v>
      </c>
      <c r="C3382" s="403">
        <v>5577</v>
      </c>
      <c r="D3382" s="400"/>
      <c r="E3382" s="400"/>
      <c r="F3382" s="400"/>
      <c r="G3382" s="400"/>
      <c r="H3382" s="396"/>
    </row>
    <row r="3383" spans="1:8" s="401" customFormat="1" ht="14.25" customHeight="1" x14ac:dyDescent="0.25">
      <c r="A3383" s="564">
        <v>3916</v>
      </c>
      <c r="B3383" s="562" t="s">
        <v>894</v>
      </c>
      <c r="C3383" s="403">
        <v>7800</v>
      </c>
      <c r="D3383" s="400"/>
      <c r="E3383" s="400"/>
      <c r="F3383" s="400"/>
      <c r="G3383" s="400"/>
      <c r="H3383" s="396"/>
    </row>
    <row r="3384" spans="1:8" s="401" customFormat="1" ht="14.25" customHeight="1" x14ac:dyDescent="0.25">
      <c r="A3384" s="564">
        <v>3925</v>
      </c>
      <c r="B3384" s="562" t="s">
        <v>894</v>
      </c>
      <c r="C3384" s="403">
        <v>6930</v>
      </c>
      <c r="D3384" s="400"/>
      <c r="E3384" s="400"/>
      <c r="F3384" s="400"/>
      <c r="G3384" s="400"/>
      <c r="H3384" s="396"/>
    </row>
    <row r="3385" spans="1:8" s="401" customFormat="1" ht="14.25" customHeight="1" x14ac:dyDescent="0.25">
      <c r="A3385" s="564">
        <v>3870</v>
      </c>
      <c r="B3385" s="562" t="s">
        <v>736</v>
      </c>
      <c r="C3385" s="403">
        <v>230</v>
      </c>
      <c r="D3385" s="400"/>
      <c r="E3385" s="400"/>
      <c r="F3385" s="400"/>
      <c r="G3385" s="400"/>
      <c r="H3385" s="396"/>
    </row>
    <row r="3386" spans="1:8" s="401" customFormat="1" ht="14.25" customHeight="1" x14ac:dyDescent="0.25">
      <c r="A3386" s="564">
        <v>3881</v>
      </c>
      <c r="B3386" s="562" t="s">
        <v>736</v>
      </c>
      <c r="C3386" s="403">
        <v>88</v>
      </c>
      <c r="D3386" s="400"/>
      <c r="E3386" s="400"/>
      <c r="F3386" s="400"/>
      <c r="G3386" s="400"/>
      <c r="H3386" s="396"/>
    </row>
    <row r="3387" spans="1:8" s="401" customFormat="1" ht="14.25" customHeight="1" x14ac:dyDescent="0.25">
      <c r="A3387" s="564">
        <v>3897</v>
      </c>
      <c r="B3387" s="562" t="s">
        <v>892</v>
      </c>
      <c r="C3387" s="403">
        <v>2284</v>
      </c>
      <c r="D3387" s="400"/>
      <c r="E3387" s="400"/>
      <c r="F3387" s="400"/>
      <c r="G3387" s="400"/>
      <c r="H3387" s="396"/>
    </row>
    <row r="3388" spans="1:8" s="401" customFormat="1" ht="14.25" customHeight="1" x14ac:dyDescent="0.25">
      <c r="A3388" s="564">
        <v>3899</v>
      </c>
      <c r="B3388" s="562" t="s">
        <v>892</v>
      </c>
      <c r="C3388" s="403">
        <v>2196</v>
      </c>
      <c r="D3388" s="400"/>
      <c r="E3388" s="400"/>
      <c r="F3388" s="400"/>
      <c r="G3388" s="400"/>
      <c r="H3388" s="396"/>
    </row>
    <row r="3389" spans="1:8" s="401" customFormat="1" ht="14.25" customHeight="1" x14ac:dyDescent="0.25">
      <c r="A3389" s="564">
        <v>3903</v>
      </c>
      <c r="B3389" s="562" t="s">
        <v>892</v>
      </c>
      <c r="C3389" s="403">
        <v>5223</v>
      </c>
      <c r="D3389" s="400"/>
      <c r="E3389" s="400"/>
      <c r="F3389" s="400"/>
      <c r="G3389" s="400"/>
      <c r="H3389" s="396"/>
    </row>
    <row r="3390" spans="1:8" s="401" customFormat="1" ht="14.25" customHeight="1" x14ac:dyDescent="0.25">
      <c r="A3390" s="564">
        <v>3905</v>
      </c>
      <c r="B3390" s="562" t="s">
        <v>892</v>
      </c>
      <c r="C3390" s="403">
        <v>1119</v>
      </c>
      <c r="D3390" s="400"/>
      <c r="E3390" s="400"/>
      <c r="F3390" s="400"/>
      <c r="G3390" s="400"/>
      <c r="H3390" s="396"/>
    </row>
    <row r="3391" spans="1:8" s="401" customFormat="1" ht="14.25" customHeight="1" x14ac:dyDescent="0.25">
      <c r="A3391" s="564">
        <v>3907</v>
      </c>
      <c r="B3391" s="562" t="s">
        <v>893</v>
      </c>
      <c r="C3391" s="403">
        <v>2300</v>
      </c>
      <c r="D3391" s="400"/>
      <c r="E3391" s="400"/>
      <c r="F3391" s="400"/>
      <c r="G3391" s="400"/>
      <c r="H3391" s="396"/>
    </row>
    <row r="3392" spans="1:8" s="401" customFormat="1" ht="14.25" customHeight="1" x14ac:dyDescent="0.25">
      <c r="A3392" s="564">
        <v>3913</v>
      </c>
      <c r="B3392" s="562" t="s">
        <v>893</v>
      </c>
      <c r="C3392" s="403">
        <v>4005</v>
      </c>
      <c r="D3392" s="400"/>
      <c r="E3392" s="400"/>
      <c r="F3392" s="400"/>
      <c r="G3392" s="400"/>
      <c r="H3392" s="396"/>
    </row>
    <row r="3393" spans="1:8" s="401" customFormat="1" ht="14.25" customHeight="1" x14ac:dyDescent="0.25">
      <c r="A3393" s="564">
        <v>3914</v>
      </c>
      <c r="B3393" s="562" t="s">
        <v>893</v>
      </c>
      <c r="C3393" s="403">
        <v>3434</v>
      </c>
      <c r="D3393" s="400"/>
      <c r="E3393" s="400"/>
      <c r="F3393" s="400"/>
      <c r="G3393" s="400"/>
      <c r="H3393" s="396"/>
    </row>
    <row r="3394" spans="1:8" s="401" customFormat="1" ht="14.25" customHeight="1" x14ac:dyDescent="0.25">
      <c r="A3394" s="564">
        <v>3993</v>
      </c>
      <c r="B3394" s="562" t="s">
        <v>893</v>
      </c>
      <c r="C3394" s="403">
        <v>4025</v>
      </c>
      <c r="D3394" s="400"/>
      <c r="E3394" s="400"/>
      <c r="F3394" s="400"/>
      <c r="G3394" s="400"/>
      <c r="H3394" s="396"/>
    </row>
    <row r="3395" spans="1:8" s="401" customFormat="1" ht="14.25" customHeight="1" x14ac:dyDescent="0.25">
      <c r="A3395" s="564">
        <v>4035</v>
      </c>
      <c r="B3395" s="562" t="s">
        <v>894</v>
      </c>
      <c r="C3395" s="403">
        <v>7130</v>
      </c>
      <c r="D3395" s="400"/>
      <c r="E3395" s="400"/>
      <c r="F3395" s="400"/>
      <c r="G3395" s="400"/>
      <c r="H3395" s="396"/>
    </row>
    <row r="3396" spans="1:8" s="401" customFormat="1" ht="14.25" customHeight="1" x14ac:dyDescent="0.25">
      <c r="A3396" s="564">
        <v>4563</v>
      </c>
      <c r="B3396" s="562" t="s">
        <v>895</v>
      </c>
      <c r="C3396" s="403">
        <v>9236</v>
      </c>
      <c r="D3396" s="400"/>
      <c r="E3396" s="400"/>
      <c r="F3396" s="400"/>
      <c r="G3396" s="400"/>
      <c r="H3396" s="396"/>
    </row>
    <row r="3397" spans="1:8" s="401" customFormat="1" ht="14.25" customHeight="1" x14ac:dyDescent="0.25">
      <c r="A3397" s="564">
        <v>4565</v>
      </c>
      <c r="B3397" s="562" t="s">
        <v>895</v>
      </c>
      <c r="C3397" s="403">
        <v>9236</v>
      </c>
      <c r="D3397" s="400"/>
      <c r="E3397" s="400"/>
      <c r="F3397" s="400"/>
      <c r="G3397" s="400"/>
      <c r="H3397" s="396"/>
    </row>
    <row r="3398" spans="1:8" s="401" customFormat="1" ht="14.25" customHeight="1" x14ac:dyDescent="0.25">
      <c r="A3398" s="564">
        <v>4572</v>
      </c>
      <c r="B3398" s="562" t="s">
        <v>895</v>
      </c>
      <c r="C3398" s="403">
        <v>4960</v>
      </c>
      <c r="D3398" s="400"/>
      <c r="E3398" s="400"/>
      <c r="F3398" s="400"/>
      <c r="G3398" s="400"/>
      <c r="H3398" s="396"/>
    </row>
    <row r="3399" spans="1:8" s="401" customFormat="1" ht="14.25" customHeight="1" x14ac:dyDescent="0.25">
      <c r="A3399" s="564">
        <v>3929</v>
      </c>
      <c r="B3399" s="562" t="s">
        <v>897</v>
      </c>
      <c r="C3399" s="403">
        <v>250</v>
      </c>
      <c r="D3399" s="400"/>
      <c r="E3399" s="400"/>
      <c r="F3399" s="400"/>
      <c r="G3399" s="400"/>
      <c r="H3399" s="396"/>
    </row>
    <row r="3400" spans="1:8" s="401" customFormat="1" ht="14.25" customHeight="1" x14ac:dyDescent="0.25">
      <c r="A3400" s="564">
        <v>3895</v>
      </c>
      <c r="B3400" s="562" t="s">
        <v>736</v>
      </c>
      <c r="C3400" s="403">
        <v>110</v>
      </c>
      <c r="D3400" s="400"/>
      <c r="E3400" s="400"/>
      <c r="F3400" s="400"/>
      <c r="G3400" s="400"/>
      <c r="H3400" s="396"/>
    </row>
    <row r="3401" spans="1:8" s="401" customFormat="1" ht="14.25" customHeight="1" x14ac:dyDescent="0.25">
      <c r="A3401" s="564">
        <v>3928</v>
      </c>
      <c r="B3401" s="562" t="s">
        <v>893</v>
      </c>
      <c r="C3401" s="403">
        <v>1</v>
      </c>
      <c r="D3401" s="400"/>
      <c r="E3401" s="400"/>
      <c r="F3401" s="400"/>
      <c r="G3401" s="400"/>
      <c r="H3401" s="396"/>
    </row>
    <row r="3402" spans="1:8" s="401" customFormat="1" ht="14.25" customHeight="1" x14ac:dyDescent="0.25">
      <c r="A3402" s="564">
        <v>3934</v>
      </c>
      <c r="B3402" s="562" t="s">
        <v>894</v>
      </c>
      <c r="C3402" s="403">
        <v>1</v>
      </c>
      <c r="D3402" s="400"/>
      <c r="E3402" s="400"/>
      <c r="F3402" s="400"/>
      <c r="G3402" s="400"/>
      <c r="H3402" s="396"/>
    </row>
    <row r="3403" spans="1:8" s="401" customFormat="1" ht="14.25" customHeight="1" x14ac:dyDescent="0.25">
      <c r="A3403" s="564">
        <v>4133</v>
      </c>
      <c r="B3403" s="562" t="s">
        <v>889</v>
      </c>
      <c r="C3403" s="403">
        <v>950</v>
      </c>
      <c r="D3403" s="400"/>
      <c r="E3403" s="400"/>
      <c r="F3403" s="400"/>
      <c r="G3403" s="400"/>
      <c r="H3403" s="396"/>
    </row>
    <row r="3404" spans="1:8" s="401" customFormat="1" ht="14.25" customHeight="1" x14ac:dyDescent="0.25">
      <c r="A3404" s="564">
        <v>3876</v>
      </c>
      <c r="B3404" s="562" t="s">
        <v>892</v>
      </c>
      <c r="C3404" s="403">
        <v>2213</v>
      </c>
      <c r="D3404" s="400"/>
      <c r="E3404" s="400"/>
      <c r="F3404" s="400"/>
      <c r="G3404" s="400"/>
      <c r="H3404" s="396"/>
    </row>
    <row r="3405" spans="1:8" s="401" customFormat="1" ht="14.25" customHeight="1" x14ac:dyDescent="0.25">
      <c r="A3405" s="564">
        <v>3883</v>
      </c>
      <c r="B3405" s="562" t="s">
        <v>892</v>
      </c>
      <c r="C3405" s="403">
        <v>4390</v>
      </c>
      <c r="D3405" s="400"/>
      <c r="E3405" s="400"/>
      <c r="F3405" s="400"/>
      <c r="G3405" s="400"/>
      <c r="H3405" s="396"/>
    </row>
    <row r="3406" spans="1:8" s="401" customFormat="1" ht="14.25" customHeight="1" x14ac:dyDescent="0.25">
      <c r="A3406" s="564">
        <v>3947</v>
      </c>
      <c r="B3406" s="562" t="s">
        <v>893</v>
      </c>
      <c r="C3406" s="403">
        <v>5578</v>
      </c>
      <c r="D3406" s="400"/>
      <c r="E3406" s="400"/>
      <c r="F3406" s="400"/>
      <c r="G3406" s="400"/>
      <c r="H3406" s="396"/>
    </row>
    <row r="3407" spans="1:8" s="401" customFormat="1" ht="14.25" customHeight="1" x14ac:dyDescent="0.25">
      <c r="A3407" s="564">
        <v>3950</v>
      </c>
      <c r="B3407" s="562" t="s">
        <v>893</v>
      </c>
      <c r="C3407" s="403">
        <v>5578</v>
      </c>
      <c r="D3407" s="400"/>
      <c r="E3407" s="400"/>
      <c r="F3407" s="400"/>
      <c r="G3407" s="400"/>
      <c r="H3407" s="396"/>
    </row>
    <row r="3408" spans="1:8" s="401" customFormat="1" ht="14.25" customHeight="1" x14ac:dyDescent="0.25">
      <c r="A3408" s="564">
        <v>3954</v>
      </c>
      <c r="B3408" s="562" t="s">
        <v>894</v>
      </c>
      <c r="C3408" s="403">
        <v>7800</v>
      </c>
      <c r="D3408" s="400"/>
      <c r="E3408" s="400"/>
      <c r="F3408" s="400"/>
      <c r="G3408" s="400"/>
      <c r="H3408" s="396"/>
    </row>
    <row r="3409" spans="1:8" s="401" customFormat="1" ht="14.25" customHeight="1" x14ac:dyDescent="0.25">
      <c r="A3409" s="564">
        <v>3955</v>
      </c>
      <c r="B3409" s="562" t="s">
        <v>894</v>
      </c>
      <c r="C3409" s="403">
        <v>7800</v>
      </c>
      <c r="D3409" s="400"/>
      <c r="E3409" s="400"/>
      <c r="F3409" s="400"/>
      <c r="G3409" s="400"/>
      <c r="H3409" s="396"/>
    </row>
    <row r="3410" spans="1:8" s="401" customFormat="1" ht="14.25" customHeight="1" x14ac:dyDescent="0.25">
      <c r="A3410" s="564">
        <v>3969</v>
      </c>
      <c r="B3410" s="562" t="s">
        <v>892</v>
      </c>
      <c r="C3410" s="403">
        <v>1912</v>
      </c>
      <c r="D3410" s="400"/>
      <c r="E3410" s="400"/>
      <c r="F3410" s="400"/>
      <c r="G3410" s="400"/>
      <c r="H3410" s="396"/>
    </row>
    <row r="3411" spans="1:8" s="401" customFormat="1" ht="14.25" customHeight="1" x14ac:dyDescent="0.25">
      <c r="A3411" s="564">
        <v>3971</v>
      </c>
      <c r="B3411" s="562" t="s">
        <v>893</v>
      </c>
      <c r="C3411" s="403">
        <v>2769</v>
      </c>
      <c r="D3411" s="400"/>
      <c r="E3411" s="400"/>
      <c r="F3411" s="400"/>
      <c r="G3411" s="400"/>
      <c r="H3411" s="396"/>
    </row>
    <row r="3412" spans="1:8" s="401" customFormat="1" ht="14.25" customHeight="1" x14ac:dyDescent="0.25">
      <c r="A3412" s="564">
        <v>3974</v>
      </c>
      <c r="B3412" s="562" t="s">
        <v>893</v>
      </c>
      <c r="C3412" s="403">
        <v>2680</v>
      </c>
      <c r="D3412" s="400"/>
      <c r="E3412" s="400"/>
      <c r="F3412" s="400"/>
      <c r="G3412" s="400"/>
      <c r="H3412" s="396"/>
    </row>
    <row r="3413" spans="1:8" s="401" customFormat="1" ht="14.25" customHeight="1" x14ac:dyDescent="0.25">
      <c r="A3413" s="564">
        <v>3975</v>
      </c>
      <c r="B3413" s="562" t="s">
        <v>893</v>
      </c>
      <c r="C3413" s="403">
        <v>2300</v>
      </c>
      <c r="D3413" s="400"/>
      <c r="E3413" s="400"/>
      <c r="F3413" s="400"/>
      <c r="G3413" s="400"/>
      <c r="H3413" s="396"/>
    </row>
    <row r="3414" spans="1:8" s="401" customFormat="1" ht="14.25" customHeight="1" x14ac:dyDescent="0.25">
      <c r="A3414" s="564">
        <v>3985</v>
      </c>
      <c r="B3414" s="562" t="s">
        <v>893</v>
      </c>
      <c r="C3414" s="403">
        <v>2680</v>
      </c>
      <c r="D3414" s="400"/>
      <c r="E3414" s="400"/>
      <c r="F3414" s="400"/>
      <c r="G3414" s="400"/>
      <c r="H3414" s="396"/>
    </row>
    <row r="3415" spans="1:8" s="401" customFormat="1" ht="14.25" customHeight="1" x14ac:dyDescent="0.25">
      <c r="A3415" s="564">
        <v>4025</v>
      </c>
      <c r="B3415" s="562" t="s">
        <v>893</v>
      </c>
      <c r="C3415" s="403">
        <v>2680</v>
      </c>
      <c r="D3415" s="400"/>
      <c r="E3415" s="400"/>
      <c r="F3415" s="400"/>
      <c r="G3415" s="400"/>
      <c r="H3415" s="396"/>
    </row>
    <row r="3416" spans="1:8" s="401" customFormat="1" ht="14.25" customHeight="1" x14ac:dyDescent="0.25">
      <c r="A3416" s="564">
        <v>4033</v>
      </c>
      <c r="B3416" s="562" t="s">
        <v>893</v>
      </c>
      <c r="C3416" s="403">
        <v>2680</v>
      </c>
      <c r="D3416" s="400"/>
      <c r="E3416" s="400"/>
      <c r="F3416" s="400"/>
      <c r="G3416" s="400"/>
      <c r="H3416" s="396"/>
    </row>
    <row r="3417" spans="1:8" s="401" customFormat="1" ht="14.25" customHeight="1" x14ac:dyDescent="0.25">
      <c r="A3417" s="564">
        <v>4034</v>
      </c>
      <c r="B3417" s="562" t="s">
        <v>893</v>
      </c>
      <c r="C3417" s="403">
        <v>2680</v>
      </c>
      <c r="D3417" s="400"/>
      <c r="E3417" s="400"/>
      <c r="F3417" s="400"/>
      <c r="G3417" s="400"/>
      <c r="H3417" s="396"/>
    </row>
    <row r="3418" spans="1:8" s="401" customFormat="1" ht="14.25" customHeight="1" x14ac:dyDescent="0.25">
      <c r="A3418" s="564">
        <v>4037</v>
      </c>
      <c r="B3418" s="562" t="s">
        <v>894</v>
      </c>
      <c r="C3418" s="403">
        <v>3800</v>
      </c>
      <c r="D3418" s="400"/>
      <c r="E3418" s="400"/>
      <c r="F3418" s="400"/>
      <c r="G3418" s="400"/>
      <c r="H3418" s="396"/>
    </row>
    <row r="3419" spans="1:8" s="401" customFormat="1" ht="14.25" customHeight="1" x14ac:dyDescent="0.25">
      <c r="A3419" s="564">
        <v>4038</v>
      </c>
      <c r="B3419" s="562" t="s">
        <v>894</v>
      </c>
      <c r="C3419" s="403">
        <v>3800</v>
      </c>
      <c r="D3419" s="400"/>
      <c r="E3419" s="400"/>
      <c r="F3419" s="400"/>
      <c r="G3419" s="400"/>
      <c r="H3419" s="396"/>
    </row>
    <row r="3420" spans="1:8" s="401" customFormat="1" ht="14.25" customHeight="1" x14ac:dyDescent="0.25">
      <c r="A3420" s="564">
        <v>4040</v>
      </c>
      <c r="B3420" s="562" t="s">
        <v>894</v>
      </c>
      <c r="C3420" s="403">
        <v>3800</v>
      </c>
      <c r="D3420" s="400"/>
      <c r="E3420" s="400"/>
      <c r="F3420" s="400"/>
      <c r="G3420" s="400"/>
      <c r="H3420" s="396"/>
    </row>
    <row r="3421" spans="1:8" s="401" customFormat="1" ht="14.25" customHeight="1" x14ac:dyDescent="0.25">
      <c r="A3421" s="564">
        <v>4043</v>
      </c>
      <c r="B3421" s="562" t="s">
        <v>894</v>
      </c>
      <c r="C3421" s="403">
        <v>3800</v>
      </c>
      <c r="D3421" s="400"/>
      <c r="E3421" s="400"/>
      <c r="F3421" s="400"/>
      <c r="G3421" s="400"/>
      <c r="H3421" s="396"/>
    </row>
    <row r="3422" spans="1:8" s="401" customFormat="1" ht="14.25" customHeight="1" x14ac:dyDescent="0.25">
      <c r="A3422" s="564">
        <v>4045</v>
      </c>
      <c r="B3422" s="562" t="s">
        <v>894</v>
      </c>
      <c r="C3422" s="403">
        <v>3800</v>
      </c>
      <c r="D3422" s="400"/>
      <c r="E3422" s="400"/>
      <c r="F3422" s="400"/>
      <c r="G3422" s="400"/>
      <c r="H3422" s="396"/>
    </row>
    <row r="3423" spans="1:8" s="401" customFormat="1" ht="14.25" customHeight="1" x14ac:dyDescent="0.25">
      <c r="A3423" s="564">
        <v>4048</v>
      </c>
      <c r="B3423" s="562" t="s">
        <v>897</v>
      </c>
      <c r="C3423" s="403">
        <v>250</v>
      </c>
      <c r="D3423" s="400"/>
      <c r="E3423" s="400"/>
      <c r="F3423" s="400"/>
      <c r="G3423" s="400"/>
      <c r="H3423" s="396"/>
    </row>
    <row r="3424" spans="1:8" s="401" customFormat="1" ht="14.25" customHeight="1" x14ac:dyDescent="0.25">
      <c r="A3424" s="564">
        <v>4051</v>
      </c>
      <c r="B3424" s="562" t="s">
        <v>736</v>
      </c>
      <c r="C3424" s="403">
        <v>88</v>
      </c>
      <c r="D3424" s="400"/>
      <c r="E3424" s="400"/>
      <c r="F3424" s="400"/>
      <c r="G3424" s="400"/>
      <c r="H3424" s="396"/>
    </row>
    <row r="3425" spans="1:8" s="401" customFormat="1" ht="14.25" customHeight="1" x14ac:dyDescent="0.25">
      <c r="A3425" s="564">
        <v>4053</v>
      </c>
      <c r="B3425" s="562" t="s">
        <v>736</v>
      </c>
      <c r="C3425" s="403">
        <v>88</v>
      </c>
      <c r="D3425" s="400"/>
      <c r="E3425" s="400"/>
      <c r="F3425" s="400"/>
      <c r="G3425" s="400"/>
      <c r="H3425" s="396"/>
    </row>
    <row r="3426" spans="1:8" s="401" customFormat="1" ht="14.25" customHeight="1" x14ac:dyDescent="0.25">
      <c r="A3426" s="564">
        <v>4056</v>
      </c>
      <c r="B3426" s="562" t="s">
        <v>897</v>
      </c>
      <c r="C3426" s="403">
        <v>34</v>
      </c>
      <c r="D3426" s="400"/>
      <c r="E3426" s="400"/>
      <c r="F3426" s="400"/>
      <c r="G3426" s="400"/>
      <c r="H3426" s="396"/>
    </row>
    <row r="3427" spans="1:8" s="401" customFormat="1" ht="14.25" customHeight="1" x14ac:dyDescent="0.25">
      <c r="A3427" s="564">
        <v>4112</v>
      </c>
      <c r="B3427" s="562" t="s">
        <v>897</v>
      </c>
      <c r="C3427" s="403">
        <v>1</v>
      </c>
      <c r="D3427" s="400"/>
      <c r="E3427" s="400"/>
      <c r="F3427" s="400"/>
      <c r="G3427" s="400"/>
      <c r="H3427" s="396"/>
    </row>
    <row r="3428" spans="1:8" s="401" customFormat="1" ht="14.25" customHeight="1" x14ac:dyDescent="0.25">
      <c r="A3428" s="564">
        <v>4113</v>
      </c>
      <c r="B3428" s="562" t="s">
        <v>897</v>
      </c>
      <c r="C3428" s="403">
        <v>1</v>
      </c>
      <c r="D3428" s="400"/>
      <c r="E3428" s="400"/>
      <c r="F3428" s="400"/>
      <c r="G3428" s="400"/>
      <c r="H3428" s="396"/>
    </row>
    <row r="3429" spans="1:8" s="401" customFormat="1" ht="14.25" customHeight="1" x14ac:dyDescent="0.25">
      <c r="A3429" s="564">
        <v>4117</v>
      </c>
      <c r="B3429" s="562" t="s">
        <v>897</v>
      </c>
      <c r="C3429" s="403">
        <v>1</v>
      </c>
      <c r="D3429" s="400"/>
      <c r="E3429" s="400"/>
      <c r="F3429" s="400"/>
      <c r="G3429" s="400"/>
      <c r="H3429" s="396"/>
    </row>
    <row r="3430" spans="1:8" s="401" customFormat="1" ht="14.25" customHeight="1" x14ac:dyDescent="0.25">
      <c r="A3430" s="564">
        <v>4120</v>
      </c>
      <c r="B3430" s="562" t="s">
        <v>897</v>
      </c>
      <c r="C3430" s="403">
        <v>1</v>
      </c>
      <c r="D3430" s="400"/>
      <c r="E3430" s="400"/>
      <c r="F3430" s="400"/>
      <c r="G3430" s="400"/>
      <c r="H3430" s="396"/>
    </row>
    <row r="3431" spans="1:8" s="401" customFormat="1" ht="14.25" customHeight="1" x14ac:dyDescent="0.25">
      <c r="A3431" s="564">
        <v>4126</v>
      </c>
      <c r="B3431" s="562" t="s">
        <v>889</v>
      </c>
      <c r="C3431" s="403">
        <v>950</v>
      </c>
      <c r="D3431" s="400"/>
      <c r="E3431" s="400"/>
      <c r="F3431" s="400"/>
      <c r="G3431" s="400"/>
      <c r="H3431" s="396"/>
    </row>
    <row r="3432" spans="1:8" s="401" customFormat="1" ht="14.25" customHeight="1" x14ac:dyDescent="0.25">
      <c r="A3432" s="564">
        <v>4131</v>
      </c>
      <c r="B3432" s="562" t="s">
        <v>889</v>
      </c>
      <c r="C3432" s="403">
        <v>257</v>
      </c>
      <c r="D3432" s="400"/>
      <c r="E3432" s="400"/>
      <c r="F3432" s="400"/>
      <c r="G3432" s="400"/>
      <c r="H3432" s="396"/>
    </row>
    <row r="3433" spans="1:8" s="401" customFormat="1" ht="14.25" customHeight="1" x14ac:dyDescent="0.25">
      <c r="A3433" s="564">
        <v>4140</v>
      </c>
      <c r="B3433" s="562" t="s">
        <v>736</v>
      </c>
      <c r="C3433" s="403">
        <v>1</v>
      </c>
      <c r="D3433" s="400"/>
      <c r="E3433" s="400"/>
      <c r="F3433" s="400"/>
      <c r="G3433" s="400"/>
      <c r="H3433" s="396"/>
    </row>
    <row r="3434" spans="1:8" s="401" customFormat="1" ht="14.25" customHeight="1" x14ac:dyDescent="0.25">
      <c r="A3434" s="564">
        <v>4142</v>
      </c>
      <c r="B3434" s="562" t="s">
        <v>736</v>
      </c>
      <c r="C3434" s="403">
        <v>1</v>
      </c>
      <c r="D3434" s="400"/>
      <c r="E3434" s="400"/>
      <c r="F3434" s="400"/>
      <c r="G3434" s="400"/>
      <c r="H3434" s="396"/>
    </row>
    <row r="3435" spans="1:8" s="401" customFormat="1" ht="14.25" customHeight="1" x14ac:dyDescent="0.25">
      <c r="A3435" s="564">
        <v>4144</v>
      </c>
      <c r="B3435" s="562" t="s">
        <v>736</v>
      </c>
      <c r="C3435" s="403">
        <v>1</v>
      </c>
      <c r="D3435" s="400"/>
      <c r="E3435" s="400"/>
      <c r="F3435" s="400"/>
      <c r="G3435" s="400"/>
      <c r="H3435" s="396"/>
    </row>
    <row r="3436" spans="1:8" s="401" customFormat="1" ht="14.25" customHeight="1" x14ac:dyDescent="0.25">
      <c r="A3436" s="564">
        <v>4147</v>
      </c>
      <c r="B3436" s="562" t="s">
        <v>736</v>
      </c>
      <c r="C3436" s="403">
        <v>1</v>
      </c>
      <c r="D3436" s="400"/>
      <c r="E3436" s="400"/>
      <c r="F3436" s="400"/>
      <c r="G3436" s="400"/>
      <c r="H3436" s="396"/>
    </row>
    <row r="3437" spans="1:8" s="401" customFormat="1" ht="14.25" customHeight="1" x14ac:dyDescent="0.25">
      <c r="A3437" s="564">
        <v>4151</v>
      </c>
      <c r="B3437" s="562" t="s">
        <v>736</v>
      </c>
      <c r="C3437" s="403">
        <v>1</v>
      </c>
      <c r="D3437" s="400"/>
      <c r="E3437" s="400"/>
      <c r="F3437" s="400"/>
      <c r="G3437" s="400"/>
      <c r="H3437" s="396"/>
    </row>
    <row r="3438" spans="1:8" s="401" customFormat="1" ht="14.25" customHeight="1" x14ac:dyDescent="0.25">
      <c r="A3438" s="564">
        <v>4154</v>
      </c>
      <c r="B3438" s="562" t="s">
        <v>736</v>
      </c>
      <c r="C3438" s="403">
        <v>1</v>
      </c>
      <c r="D3438" s="400"/>
      <c r="E3438" s="400"/>
      <c r="F3438" s="400"/>
      <c r="G3438" s="400"/>
      <c r="H3438" s="396"/>
    </row>
    <row r="3439" spans="1:8" s="401" customFormat="1" ht="14.25" customHeight="1" x14ac:dyDescent="0.25">
      <c r="A3439" s="564">
        <v>3714</v>
      </c>
      <c r="B3439" s="562" t="s">
        <v>893</v>
      </c>
      <c r="C3439" s="403">
        <v>1</v>
      </c>
      <c r="D3439" s="400"/>
      <c r="E3439" s="400"/>
      <c r="F3439" s="400"/>
      <c r="G3439" s="400"/>
      <c r="H3439" s="396"/>
    </row>
    <row r="3440" spans="1:8" s="401" customFormat="1" ht="14.25" customHeight="1" x14ac:dyDescent="0.25">
      <c r="A3440" s="564">
        <v>3716</v>
      </c>
      <c r="B3440" s="562" t="s">
        <v>897</v>
      </c>
      <c r="C3440" s="403">
        <v>1</v>
      </c>
      <c r="D3440" s="400"/>
      <c r="E3440" s="400"/>
      <c r="F3440" s="400"/>
      <c r="G3440" s="400"/>
      <c r="H3440" s="396"/>
    </row>
    <row r="3441" spans="1:8" s="401" customFormat="1" ht="14.25" customHeight="1" x14ac:dyDescent="0.25">
      <c r="A3441" s="564">
        <v>3718</v>
      </c>
      <c r="B3441" s="562" t="s">
        <v>897</v>
      </c>
      <c r="C3441" s="403">
        <v>1</v>
      </c>
      <c r="D3441" s="400"/>
      <c r="E3441" s="400"/>
      <c r="F3441" s="400"/>
      <c r="G3441" s="400"/>
      <c r="H3441" s="396"/>
    </row>
    <row r="3442" spans="1:8" s="401" customFormat="1" ht="14.25" customHeight="1" x14ac:dyDescent="0.25">
      <c r="A3442" s="564">
        <v>3710</v>
      </c>
      <c r="B3442" s="562" t="s">
        <v>892</v>
      </c>
      <c r="C3442" s="403">
        <v>1119</v>
      </c>
      <c r="D3442" s="400"/>
      <c r="E3442" s="400"/>
      <c r="F3442" s="400"/>
      <c r="G3442" s="400"/>
      <c r="H3442" s="396"/>
    </row>
    <row r="3443" spans="1:8" s="401" customFormat="1" ht="14.25" customHeight="1" x14ac:dyDescent="0.25">
      <c r="A3443" s="564">
        <v>3722</v>
      </c>
      <c r="B3443" s="562" t="s">
        <v>894</v>
      </c>
      <c r="C3443" s="403">
        <v>1</v>
      </c>
      <c r="D3443" s="400"/>
      <c r="E3443" s="400"/>
      <c r="F3443" s="400"/>
      <c r="G3443" s="400"/>
      <c r="H3443" s="396"/>
    </row>
    <row r="3444" spans="1:8" s="401" customFormat="1" ht="14.25" customHeight="1" x14ac:dyDescent="0.25">
      <c r="A3444" s="564">
        <v>3838</v>
      </c>
      <c r="B3444" s="562" t="s">
        <v>736</v>
      </c>
      <c r="C3444" s="403">
        <v>110</v>
      </c>
      <c r="D3444" s="400"/>
      <c r="E3444" s="400"/>
      <c r="F3444" s="400"/>
      <c r="G3444" s="400"/>
      <c r="H3444" s="396"/>
    </row>
    <row r="3445" spans="1:8" s="401" customFormat="1" ht="14.25" customHeight="1" x14ac:dyDescent="0.25">
      <c r="A3445" s="564">
        <v>3757</v>
      </c>
      <c r="B3445" s="562" t="s">
        <v>892</v>
      </c>
      <c r="C3445" s="403">
        <v>1119</v>
      </c>
      <c r="D3445" s="400"/>
      <c r="E3445" s="400"/>
      <c r="F3445" s="400"/>
      <c r="G3445" s="400"/>
      <c r="H3445" s="396"/>
    </row>
    <row r="3446" spans="1:8" s="401" customFormat="1" ht="14.25" customHeight="1" x14ac:dyDescent="0.25">
      <c r="A3446" s="564">
        <v>3789</v>
      </c>
      <c r="B3446" s="562" t="s">
        <v>897</v>
      </c>
      <c r="C3446" s="403">
        <v>58</v>
      </c>
      <c r="D3446" s="400"/>
      <c r="E3446" s="400"/>
      <c r="F3446" s="400"/>
      <c r="G3446" s="400"/>
      <c r="H3446" s="396"/>
    </row>
    <row r="3447" spans="1:8" s="401" customFormat="1" ht="14.25" customHeight="1" x14ac:dyDescent="0.25">
      <c r="A3447" s="564">
        <v>3792</v>
      </c>
      <c r="B3447" s="562" t="s">
        <v>894</v>
      </c>
      <c r="C3447" s="403">
        <v>11179</v>
      </c>
      <c r="D3447" s="400"/>
      <c r="E3447" s="400"/>
      <c r="F3447" s="400"/>
      <c r="G3447" s="400"/>
      <c r="H3447" s="396"/>
    </row>
    <row r="3448" spans="1:8" s="401" customFormat="1" ht="14.25" customHeight="1" x14ac:dyDescent="0.25">
      <c r="A3448" s="564">
        <v>3795</v>
      </c>
      <c r="B3448" s="562" t="s">
        <v>736</v>
      </c>
      <c r="C3448" s="403">
        <v>115</v>
      </c>
      <c r="D3448" s="400"/>
      <c r="E3448" s="400"/>
      <c r="F3448" s="400"/>
      <c r="G3448" s="400"/>
      <c r="H3448" s="396"/>
    </row>
    <row r="3449" spans="1:8" s="401" customFormat="1" ht="14.25" customHeight="1" x14ac:dyDescent="0.25">
      <c r="A3449" s="564">
        <v>3798</v>
      </c>
      <c r="B3449" s="562" t="s">
        <v>893</v>
      </c>
      <c r="C3449" s="403">
        <v>2559</v>
      </c>
      <c r="D3449" s="400"/>
      <c r="E3449" s="400"/>
      <c r="F3449" s="400"/>
      <c r="G3449" s="400"/>
      <c r="H3449" s="396"/>
    </row>
    <row r="3450" spans="1:8" s="401" customFormat="1" ht="14.25" customHeight="1" x14ac:dyDescent="0.25">
      <c r="A3450" s="564">
        <v>3801</v>
      </c>
      <c r="B3450" s="562" t="s">
        <v>897</v>
      </c>
      <c r="C3450" s="403">
        <v>138</v>
      </c>
      <c r="D3450" s="400"/>
      <c r="E3450" s="400"/>
      <c r="F3450" s="400"/>
      <c r="G3450" s="400"/>
      <c r="H3450" s="396"/>
    </row>
    <row r="3451" spans="1:8" s="401" customFormat="1" ht="14.25" customHeight="1" x14ac:dyDescent="0.25">
      <c r="A3451" s="564">
        <v>3804</v>
      </c>
      <c r="B3451" s="562" t="s">
        <v>894</v>
      </c>
      <c r="C3451" s="403">
        <v>6124</v>
      </c>
      <c r="D3451" s="400"/>
      <c r="E3451" s="400"/>
      <c r="F3451" s="400"/>
      <c r="G3451" s="400"/>
      <c r="H3451" s="396"/>
    </row>
    <row r="3452" spans="1:8" s="401" customFormat="1" ht="14.25" customHeight="1" x14ac:dyDescent="0.25">
      <c r="A3452" s="564">
        <v>3805</v>
      </c>
      <c r="B3452" s="562" t="s">
        <v>736</v>
      </c>
      <c r="C3452" s="403">
        <v>110</v>
      </c>
      <c r="D3452" s="400"/>
      <c r="E3452" s="400"/>
      <c r="F3452" s="400"/>
      <c r="G3452" s="400"/>
      <c r="H3452" s="396"/>
    </row>
    <row r="3453" spans="1:8" s="401" customFormat="1" ht="14.25" customHeight="1" x14ac:dyDescent="0.25">
      <c r="A3453" s="564">
        <v>3821</v>
      </c>
      <c r="B3453" s="562" t="s">
        <v>893</v>
      </c>
      <c r="C3453" s="403">
        <v>1</v>
      </c>
      <c r="D3453" s="400"/>
      <c r="E3453" s="400"/>
      <c r="F3453" s="400"/>
      <c r="G3453" s="400"/>
      <c r="H3453" s="396"/>
    </row>
    <row r="3454" spans="1:8" s="401" customFormat="1" ht="14.25" customHeight="1" x14ac:dyDescent="0.25">
      <c r="A3454" s="564">
        <v>3830</v>
      </c>
      <c r="B3454" s="562" t="s">
        <v>897</v>
      </c>
      <c r="C3454" s="403">
        <v>172</v>
      </c>
      <c r="D3454" s="400"/>
      <c r="E3454" s="400"/>
      <c r="F3454" s="400"/>
      <c r="G3454" s="400"/>
      <c r="H3454" s="396"/>
    </row>
    <row r="3455" spans="1:8" s="401" customFormat="1" ht="14.25" customHeight="1" x14ac:dyDescent="0.25">
      <c r="A3455" s="564">
        <v>4580</v>
      </c>
      <c r="B3455" s="562" t="s">
        <v>905</v>
      </c>
      <c r="C3455" s="403">
        <v>1160</v>
      </c>
      <c r="D3455" s="400"/>
      <c r="E3455" s="400"/>
      <c r="F3455" s="400"/>
      <c r="G3455" s="400"/>
      <c r="H3455" s="396"/>
    </row>
    <row r="3456" spans="1:8" s="401" customFormat="1" ht="14.25" customHeight="1" x14ac:dyDescent="0.25">
      <c r="A3456" s="564">
        <v>4988</v>
      </c>
      <c r="B3456" s="562" t="s">
        <v>892</v>
      </c>
      <c r="C3456" s="403">
        <v>1554.4</v>
      </c>
      <c r="D3456" s="400"/>
      <c r="E3456" s="400"/>
      <c r="F3456" s="400"/>
      <c r="G3456" s="400"/>
      <c r="H3456" s="396"/>
    </row>
    <row r="3457" spans="1:8" s="401" customFormat="1" ht="14.25" customHeight="1" x14ac:dyDescent="0.25">
      <c r="A3457" s="564">
        <v>4989</v>
      </c>
      <c r="B3457" s="562" t="s">
        <v>736</v>
      </c>
      <c r="C3457" s="403">
        <v>171.68</v>
      </c>
      <c r="D3457" s="400"/>
      <c r="E3457" s="400"/>
      <c r="F3457" s="400"/>
      <c r="G3457" s="400"/>
      <c r="H3457" s="396"/>
    </row>
    <row r="3458" spans="1:8" s="401" customFormat="1" ht="14.25" customHeight="1" x14ac:dyDescent="0.25">
      <c r="A3458" s="564">
        <v>3712</v>
      </c>
      <c r="B3458" s="562" t="s">
        <v>893</v>
      </c>
      <c r="C3458" s="403">
        <v>2559</v>
      </c>
      <c r="D3458" s="400"/>
      <c r="E3458" s="400"/>
      <c r="F3458" s="400"/>
      <c r="G3458" s="400"/>
      <c r="H3458" s="396"/>
    </row>
    <row r="3459" spans="1:8" s="401" customFormat="1" ht="14.25" customHeight="1" x14ac:dyDescent="0.25">
      <c r="A3459" s="564">
        <v>3759</v>
      </c>
      <c r="B3459" s="562" t="s">
        <v>892</v>
      </c>
      <c r="C3459" s="403">
        <v>745</v>
      </c>
      <c r="D3459" s="400"/>
      <c r="E3459" s="400"/>
      <c r="F3459" s="400"/>
      <c r="G3459" s="400"/>
      <c r="H3459" s="396"/>
    </row>
    <row r="3460" spans="1:8" s="401" customFormat="1" ht="14.25" customHeight="1" x14ac:dyDescent="0.25">
      <c r="A3460" s="564">
        <v>3775</v>
      </c>
      <c r="B3460" s="562" t="s">
        <v>897</v>
      </c>
      <c r="C3460" s="403">
        <v>1</v>
      </c>
      <c r="D3460" s="400"/>
      <c r="E3460" s="400"/>
      <c r="F3460" s="400"/>
      <c r="G3460" s="400"/>
      <c r="H3460" s="396"/>
    </row>
    <row r="3461" spans="1:8" s="401" customFormat="1" ht="14.25" customHeight="1" x14ac:dyDescent="0.25">
      <c r="A3461" s="564">
        <v>3812</v>
      </c>
      <c r="B3461" s="562" t="s">
        <v>894</v>
      </c>
      <c r="C3461" s="403">
        <v>7894</v>
      </c>
      <c r="D3461" s="400"/>
      <c r="E3461" s="400"/>
      <c r="F3461" s="400"/>
      <c r="G3461" s="400"/>
      <c r="H3461" s="396"/>
    </row>
    <row r="3462" spans="1:8" s="401" customFormat="1" ht="14.25" customHeight="1" x14ac:dyDescent="0.25">
      <c r="A3462" s="564">
        <v>4553</v>
      </c>
      <c r="B3462" s="562" t="s">
        <v>893</v>
      </c>
      <c r="C3462" s="403">
        <v>1160</v>
      </c>
      <c r="D3462" s="400"/>
      <c r="E3462" s="400"/>
      <c r="F3462" s="400"/>
      <c r="G3462" s="400"/>
      <c r="H3462" s="396"/>
    </row>
    <row r="3463" spans="1:8" s="401" customFormat="1" ht="14.25" customHeight="1" x14ac:dyDescent="0.25">
      <c r="A3463" s="564">
        <v>5043</v>
      </c>
      <c r="B3463" s="562" t="s">
        <v>893</v>
      </c>
      <c r="C3463" s="403">
        <v>1160</v>
      </c>
      <c r="D3463" s="400"/>
      <c r="E3463" s="400"/>
      <c r="F3463" s="400"/>
      <c r="G3463" s="400"/>
      <c r="H3463" s="396"/>
    </row>
    <row r="3464" spans="1:8" s="401" customFormat="1" ht="14.25" customHeight="1" x14ac:dyDescent="0.25">
      <c r="A3464" s="564">
        <v>5050</v>
      </c>
      <c r="B3464" s="562" t="s">
        <v>894</v>
      </c>
      <c r="C3464" s="403">
        <v>6670</v>
      </c>
      <c r="D3464" s="400"/>
      <c r="E3464" s="400"/>
      <c r="F3464" s="400"/>
      <c r="G3464" s="400"/>
      <c r="H3464" s="396"/>
    </row>
    <row r="3465" spans="1:8" s="401" customFormat="1" ht="14.25" customHeight="1" x14ac:dyDescent="0.25">
      <c r="A3465" s="564">
        <v>5053</v>
      </c>
      <c r="B3465" s="562" t="s">
        <v>897</v>
      </c>
      <c r="C3465" s="403">
        <v>116</v>
      </c>
      <c r="D3465" s="400"/>
      <c r="E3465" s="400"/>
      <c r="F3465" s="400"/>
      <c r="G3465" s="400"/>
      <c r="H3465" s="396"/>
    </row>
    <row r="3466" spans="1:8" s="401" customFormat="1" ht="14.25" customHeight="1" x14ac:dyDescent="0.25">
      <c r="A3466" s="564">
        <v>5058</v>
      </c>
      <c r="B3466" s="562" t="s">
        <v>892</v>
      </c>
      <c r="C3466" s="403">
        <v>5266</v>
      </c>
      <c r="D3466" s="400"/>
      <c r="E3466" s="400"/>
      <c r="F3466" s="400"/>
      <c r="G3466" s="400"/>
      <c r="H3466" s="396"/>
    </row>
    <row r="3467" spans="1:8" s="401" customFormat="1" ht="14.25" customHeight="1" x14ac:dyDescent="0.25">
      <c r="A3467" s="564">
        <v>5062</v>
      </c>
      <c r="B3467" s="562" t="s">
        <v>736</v>
      </c>
      <c r="C3467" s="403">
        <v>116</v>
      </c>
      <c r="D3467" s="400"/>
      <c r="E3467" s="400"/>
      <c r="F3467" s="400"/>
      <c r="G3467" s="400"/>
      <c r="H3467" s="396"/>
    </row>
    <row r="3468" spans="1:8" s="401" customFormat="1" ht="14.25" customHeight="1" x14ac:dyDescent="0.25">
      <c r="A3468" s="564">
        <v>3707</v>
      </c>
      <c r="B3468" s="562" t="s">
        <v>893</v>
      </c>
      <c r="C3468" s="403">
        <v>1617</v>
      </c>
      <c r="D3468" s="400"/>
      <c r="E3468" s="400"/>
      <c r="F3468" s="400"/>
      <c r="G3468" s="400"/>
      <c r="H3468" s="396"/>
    </row>
    <row r="3469" spans="1:8" s="401" customFormat="1" ht="14.25" customHeight="1" x14ac:dyDescent="0.25">
      <c r="A3469" s="564">
        <v>3749</v>
      </c>
      <c r="B3469" s="562" t="s">
        <v>892</v>
      </c>
      <c r="C3469" s="403">
        <v>698</v>
      </c>
      <c r="D3469" s="400"/>
      <c r="E3469" s="400"/>
      <c r="F3469" s="400"/>
      <c r="G3469" s="400"/>
      <c r="H3469" s="396"/>
    </row>
    <row r="3470" spans="1:8" s="401" customFormat="1" ht="14.25" customHeight="1" x14ac:dyDescent="0.25">
      <c r="A3470" s="564">
        <v>3751</v>
      </c>
      <c r="B3470" s="562" t="s">
        <v>897</v>
      </c>
      <c r="C3470" s="403">
        <v>139</v>
      </c>
      <c r="D3470" s="400"/>
      <c r="E3470" s="400"/>
      <c r="F3470" s="400"/>
      <c r="G3470" s="400"/>
      <c r="H3470" s="396"/>
    </row>
    <row r="3471" spans="1:8" s="401" customFormat="1" ht="14.25" customHeight="1" x14ac:dyDescent="0.25">
      <c r="A3471" s="564">
        <v>3754</v>
      </c>
      <c r="B3471" s="562" t="s">
        <v>894</v>
      </c>
      <c r="C3471" s="403">
        <v>6124</v>
      </c>
      <c r="D3471" s="400"/>
      <c r="E3471" s="400"/>
      <c r="F3471" s="400"/>
      <c r="G3471" s="400"/>
      <c r="H3471" s="396"/>
    </row>
    <row r="3472" spans="1:8" s="401" customFormat="1" ht="14.25" customHeight="1" x14ac:dyDescent="0.25">
      <c r="A3472" s="564">
        <v>4985</v>
      </c>
      <c r="B3472" s="562" t="s">
        <v>892</v>
      </c>
      <c r="C3472" s="403">
        <v>3828</v>
      </c>
      <c r="D3472" s="400"/>
      <c r="E3472" s="400"/>
      <c r="F3472" s="400"/>
      <c r="G3472" s="400"/>
      <c r="H3472" s="396"/>
    </row>
    <row r="3473" spans="1:8" s="401" customFormat="1" ht="14.25" customHeight="1" x14ac:dyDescent="0.25">
      <c r="A3473" s="564">
        <v>4986</v>
      </c>
      <c r="B3473" s="562" t="s">
        <v>892</v>
      </c>
      <c r="C3473" s="403">
        <v>3828</v>
      </c>
      <c r="D3473" s="400"/>
      <c r="E3473" s="400"/>
      <c r="F3473" s="400"/>
      <c r="G3473" s="400"/>
      <c r="H3473" s="396"/>
    </row>
    <row r="3474" spans="1:8" s="401" customFormat="1" ht="14.25" customHeight="1" x14ac:dyDescent="0.25">
      <c r="A3474" s="564">
        <v>3760</v>
      </c>
      <c r="B3474" s="562" t="s">
        <v>892</v>
      </c>
      <c r="C3474" s="403">
        <v>1</v>
      </c>
      <c r="D3474" s="400"/>
      <c r="E3474" s="400"/>
      <c r="F3474" s="400"/>
      <c r="G3474" s="400"/>
      <c r="H3474" s="396"/>
    </row>
    <row r="3475" spans="1:8" s="401" customFormat="1" ht="14.25" customHeight="1" x14ac:dyDescent="0.25">
      <c r="A3475" s="564">
        <v>3762</v>
      </c>
      <c r="B3475" s="562" t="s">
        <v>892</v>
      </c>
      <c r="C3475" s="403">
        <v>1119</v>
      </c>
      <c r="D3475" s="400"/>
      <c r="E3475" s="400"/>
      <c r="F3475" s="400"/>
      <c r="G3475" s="400"/>
      <c r="H3475" s="396"/>
    </row>
    <row r="3476" spans="1:8" s="401" customFormat="1" ht="14.25" customHeight="1" x14ac:dyDescent="0.25">
      <c r="A3476" s="564">
        <v>3765</v>
      </c>
      <c r="B3476" s="562" t="s">
        <v>893</v>
      </c>
      <c r="C3476" s="403">
        <v>2559</v>
      </c>
      <c r="D3476" s="400"/>
      <c r="E3476" s="400"/>
      <c r="F3476" s="400"/>
      <c r="G3476" s="400"/>
      <c r="H3476" s="396"/>
    </row>
    <row r="3477" spans="1:8" s="401" customFormat="1" ht="14.25" customHeight="1" x14ac:dyDescent="0.25">
      <c r="A3477" s="564">
        <v>3767</v>
      </c>
      <c r="B3477" s="562" t="s">
        <v>893</v>
      </c>
      <c r="C3477" s="403">
        <v>4025</v>
      </c>
      <c r="D3477" s="400"/>
      <c r="E3477" s="400"/>
      <c r="F3477" s="400"/>
      <c r="G3477" s="400"/>
      <c r="H3477" s="396"/>
    </row>
    <row r="3478" spans="1:8" s="401" customFormat="1" ht="14.25" customHeight="1" x14ac:dyDescent="0.25">
      <c r="A3478" s="564">
        <v>3771</v>
      </c>
      <c r="B3478" s="562" t="s">
        <v>897</v>
      </c>
      <c r="C3478" s="403">
        <v>1</v>
      </c>
      <c r="D3478" s="400"/>
      <c r="E3478" s="400"/>
      <c r="F3478" s="400"/>
      <c r="G3478" s="400"/>
      <c r="H3478" s="396"/>
    </row>
    <row r="3479" spans="1:8" s="401" customFormat="1" ht="14.25" customHeight="1" x14ac:dyDescent="0.25">
      <c r="A3479" s="564">
        <v>3773</v>
      </c>
      <c r="B3479" s="562" t="s">
        <v>897</v>
      </c>
      <c r="C3479" s="403">
        <v>138</v>
      </c>
      <c r="D3479" s="400"/>
      <c r="E3479" s="400"/>
      <c r="F3479" s="400"/>
      <c r="G3479" s="400"/>
      <c r="H3479" s="396"/>
    </row>
    <row r="3480" spans="1:8" s="401" customFormat="1" ht="14.25" customHeight="1" x14ac:dyDescent="0.25">
      <c r="A3480" s="564">
        <v>3777</v>
      </c>
      <c r="B3480" s="562" t="s">
        <v>894</v>
      </c>
      <c r="C3480" s="403">
        <v>6124</v>
      </c>
      <c r="D3480" s="400"/>
      <c r="E3480" s="400"/>
      <c r="F3480" s="400"/>
      <c r="G3480" s="400"/>
      <c r="H3480" s="396"/>
    </row>
    <row r="3481" spans="1:8" s="401" customFormat="1" ht="14.25" customHeight="1" x14ac:dyDescent="0.25">
      <c r="A3481" s="564">
        <v>3781</v>
      </c>
      <c r="B3481" s="562" t="s">
        <v>894</v>
      </c>
      <c r="C3481" s="403">
        <v>11179</v>
      </c>
      <c r="D3481" s="400"/>
      <c r="E3481" s="400"/>
      <c r="F3481" s="400"/>
      <c r="G3481" s="400"/>
      <c r="H3481" s="396"/>
    </row>
    <row r="3482" spans="1:8" s="401" customFormat="1" ht="14.25" customHeight="1" x14ac:dyDescent="0.25">
      <c r="A3482" s="564">
        <v>3783</v>
      </c>
      <c r="B3482" s="562" t="s">
        <v>736</v>
      </c>
      <c r="C3482" s="403">
        <v>288</v>
      </c>
      <c r="D3482" s="400"/>
      <c r="E3482" s="400"/>
      <c r="F3482" s="400"/>
      <c r="G3482" s="400"/>
      <c r="H3482" s="396"/>
    </row>
    <row r="3483" spans="1:8" s="401" customFormat="1" ht="14.25" customHeight="1" x14ac:dyDescent="0.25">
      <c r="A3483" s="564">
        <v>3786</v>
      </c>
      <c r="B3483" s="562" t="s">
        <v>736</v>
      </c>
      <c r="C3483" s="403">
        <v>110</v>
      </c>
      <c r="D3483" s="400"/>
      <c r="E3483" s="400"/>
      <c r="F3483" s="400"/>
      <c r="G3483" s="400"/>
      <c r="H3483" s="396"/>
    </row>
    <row r="3484" spans="1:8" s="401" customFormat="1" ht="14.25" customHeight="1" x14ac:dyDescent="0.25">
      <c r="A3484" s="564">
        <v>3788</v>
      </c>
      <c r="B3484" s="562" t="s">
        <v>893</v>
      </c>
      <c r="C3484" s="403">
        <v>1</v>
      </c>
      <c r="D3484" s="400"/>
      <c r="E3484" s="400"/>
      <c r="F3484" s="400"/>
      <c r="G3484" s="400"/>
      <c r="H3484" s="396"/>
    </row>
    <row r="3485" spans="1:8" s="401" customFormat="1" ht="14.25" customHeight="1" x14ac:dyDescent="0.25">
      <c r="A3485" s="564">
        <v>3725</v>
      </c>
      <c r="B3485" s="562" t="s">
        <v>892</v>
      </c>
      <c r="C3485" s="403">
        <v>1</v>
      </c>
      <c r="D3485" s="400"/>
      <c r="E3485" s="400"/>
      <c r="F3485" s="400"/>
      <c r="G3485" s="400"/>
      <c r="H3485" s="396"/>
    </row>
    <row r="3486" spans="1:8" s="401" customFormat="1" ht="14.25" customHeight="1" x14ac:dyDescent="0.25">
      <c r="A3486" s="564">
        <v>3728</v>
      </c>
      <c r="B3486" s="562" t="s">
        <v>893</v>
      </c>
      <c r="C3486" s="403">
        <v>1</v>
      </c>
      <c r="D3486" s="400"/>
      <c r="E3486" s="400"/>
      <c r="F3486" s="400"/>
      <c r="G3486" s="400"/>
      <c r="H3486" s="396"/>
    </row>
    <row r="3487" spans="1:8" s="401" customFormat="1" ht="14.25" customHeight="1" x14ac:dyDescent="0.25">
      <c r="A3487" s="564">
        <v>3731</v>
      </c>
      <c r="B3487" s="562" t="s">
        <v>893</v>
      </c>
      <c r="C3487" s="403">
        <v>1</v>
      </c>
      <c r="D3487" s="400"/>
      <c r="E3487" s="400"/>
      <c r="F3487" s="400"/>
      <c r="G3487" s="400"/>
      <c r="H3487" s="396"/>
    </row>
    <row r="3488" spans="1:8" s="401" customFormat="1" ht="14.25" customHeight="1" x14ac:dyDescent="0.25">
      <c r="A3488" s="564">
        <v>3733</v>
      </c>
      <c r="B3488" s="562" t="s">
        <v>897</v>
      </c>
      <c r="C3488" s="403">
        <v>138</v>
      </c>
      <c r="D3488" s="400"/>
      <c r="E3488" s="400"/>
      <c r="F3488" s="400"/>
      <c r="G3488" s="400"/>
      <c r="H3488" s="396"/>
    </row>
    <row r="3489" spans="1:8" s="401" customFormat="1" ht="14.25" customHeight="1" x14ac:dyDescent="0.25">
      <c r="A3489" s="564">
        <v>3735</v>
      </c>
      <c r="B3489" s="562" t="s">
        <v>897</v>
      </c>
      <c r="C3489" s="403">
        <v>1</v>
      </c>
      <c r="D3489" s="400"/>
      <c r="E3489" s="400"/>
      <c r="F3489" s="400"/>
      <c r="G3489" s="400"/>
      <c r="H3489" s="396"/>
    </row>
    <row r="3490" spans="1:8" s="401" customFormat="1" ht="14.25" customHeight="1" x14ac:dyDescent="0.25">
      <c r="A3490" s="564">
        <v>3737</v>
      </c>
      <c r="B3490" s="562" t="s">
        <v>894</v>
      </c>
      <c r="C3490" s="403">
        <v>6124</v>
      </c>
      <c r="D3490" s="400"/>
      <c r="E3490" s="400"/>
      <c r="F3490" s="400"/>
      <c r="G3490" s="400"/>
      <c r="H3490" s="396"/>
    </row>
    <row r="3491" spans="1:8" s="401" customFormat="1" ht="14.25" customHeight="1" x14ac:dyDescent="0.25">
      <c r="A3491" s="564">
        <v>3739</v>
      </c>
      <c r="B3491" s="562" t="s">
        <v>894</v>
      </c>
      <c r="C3491" s="403">
        <v>1</v>
      </c>
      <c r="D3491" s="400"/>
      <c r="E3491" s="400"/>
      <c r="F3491" s="400"/>
      <c r="G3491" s="400"/>
      <c r="H3491" s="396"/>
    </row>
    <row r="3492" spans="1:8" s="401" customFormat="1" ht="14.25" customHeight="1" x14ac:dyDescent="0.25">
      <c r="A3492" s="564">
        <v>3741</v>
      </c>
      <c r="B3492" s="562" t="s">
        <v>736</v>
      </c>
      <c r="C3492" s="403">
        <v>239</v>
      </c>
      <c r="D3492" s="400"/>
      <c r="E3492" s="400"/>
      <c r="F3492" s="400"/>
      <c r="G3492" s="400"/>
      <c r="H3492" s="396"/>
    </row>
    <row r="3493" spans="1:8" s="401" customFormat="1" ht="14.25" customHeight="1" x14ac:dyDescent="0.25">
      <c r="A3493" s="564">
        <v>3744</v>
      </c>
      <c r="B3493" s="562" t="s">
        <v>736</v>
      </c>
      <c r="C3493" s="403">
        <v>110</v>
      </c>
      <c r="D3493" s="400"/>
      <c r="E3493" s="400"/>
      <c r="F3493" s="400"/>
      <c r="G3493" s="400"/>
      <c r="H3493" s="396"/>
    </row>
    <row r="3494" spans="1:8" s="401" customFormat="1" ht="14.25" customHeight="1" x14ac:dyDescent="0.25">
      <c r="A3494" s="564">
        <v>3746</v>
      </c>
      <c r="B3494" s="562" t="s">
        <v>736</v>
      </c>
      <c r="C3494" s="403">
        <v>1</v>
      </c>
      <c r="D3494" s="400"/>
      <c r="E3494" s="400"/>
      <c r="F3494" s="400"/>
      <c r="G3494" s="400"/>
      <c r="H3494" s="396"/>
    </row>
    <row r="3495" spans="1:8" s="401" customFormat="1" ht="14.25" customHeight="1" x14ac:dyDescent="0.25">
      <c r="A3495" s="564">
        <v>3826</v>
      </c>
      <c r="B3495" s="562" t="s">
        <v>897</v>
      </c>
      <c r="C3495" s="403">
        <v>120</v>
      </c>
      <c r="D3495" s="400"/>
      <c r="E3495" s="400"/>
      <c r="F3495" s="400"/>
      <c r="G3495" s="400"/>
      <c r="H3495" s="396"/>
    </row>
    <row r="3496" spans="1:8" s="401" customFormat="1" ht="14.25" customHeight="1" x14ac:dyDescent="0.25">
      <c r="A3496" s="564">
        <v>3833</v>
      </c>
      <c r="B3496" s="562" t="s">
        <v>889</v>
      </c>
      <c r="C3496" s="403">
        <v>264</v>
      </c>
      <c r="D3496" s="400"/>
      <c r="E3496" s="400"/>
      <c r="F3496" s="400"/>
      <c r="G3496" s="400"/>
      <c r="H3496" s="396"/>
    </row>
    <row r="3497" spans="1:8" s="401" customFormat="1" ht="14.25" customHeight="1" x14ac:dyDescent="0.25">
      <c r="A3497" s="564">
        <v>3808</v>
      </c>
      <c r="B3497" s="562" t="s">
        <v>892</v>
      </c>
      <c r="C3497" s="403">
        <v>5246</v>
      </c>
      <c r="D3497" s="400"/>
      <c r="E3497" s="400"/>
      <c r="F3497" s="400"/>
      <c r="G3497" s="400"/>
      <c r="H3497" s="396"/>
    </row>
    <row r="3498" spans="1:8" s="401" customFormat="1" ht="14.25" customHeight="1" x14ac:dyDescent="0.25">
      <c r="A3498" s="564">
        <v>3824</v>
      </c>
      <c r="B3498" s="562" t="s">
        <v>893</v>
      </c>
      <c r="C3498" s="403">
        <v>1</v>
      </c>
      <c r="D3498" s="400"/>
      <c r="E3498" s="400"/>
      <c r="F3498" s="400"/>
      <c r="G3498" s="400"/>
      <c r="H3498" s="396"/>
    </row>
    <row r="3499" spans="1:8" s="401" customFormat="1" ht="14.25" customHeight="1" x14ac:dyDescent="0.25">
      <c r="A3499" s="564">
        <v>3835</v>
      </c>
      <c r="B3499" s="562" t="s">
        <v>889</v>
      </c>
      <c r="C3499" s="403">
        <v>1</v>
      </c>
      <c r="D3499" s="400"/>
      <c r="E3499" s="400"/>
      <c r="F3499" s="400"/>
      <c r="G3499" s="400"/>
      <c r="H3499" s="396"/>
    </row>
    <row r="3500" spans="1:8" s="401" customFormat="1" ht="14.25" customHeight="1" x14ac:dyDescent="0.25">
      <c r="A3500" s="564">
        <v>4467</v>
      </c>
      <c r="B3500" s="562" t="s">
        <v>892</v>
      </c>
      <c r="C3500" s="403">
        <v>3828</v>
      </c>
      <c r="D3500" s="400"/>
      <c r="E3500" s="400"/>
      <c r="F3500" s="400"/>
      <c r="G3500" s="400"/>
      <c r="H3500" s="396"/>
    </row>
    <row r="3501" spans="1:8" s="401" customFormat="1" ht="14.25" customHeight="1" x14ac:dyDescent="0.25">
      <c r="A3501" s="564">
        <v>321</v>
      </c>
      <c r="B3501" s="562" t="s">
        <v>910</v>
      </c>
      <c r="C3501" s="403">
        <v>8688</v>
      </c>
      <c r="D3501" s="400"/>
      <c r="E3501" s="400"/>
      <c r="F3501" s="400"/>
      <c r="G3501" s="400"/>
      <c r="H3501" s="396"/>
    </row>
    <row r="3502" spans="1:8" s="401" customFormat="1" ht="14.25" customHeight="1" x14ac:dyDescent="0.25">
      <c r="A3502" s="564">
        <v>373</v>
      </c>
      <c r="B3502" s="562" t="s">
        <v>892</v>
      </c>
      <c r="C3502" s="403">
        <v>4301</v>
      </c>
      <c r="D3502" s="400"/>
      <c r="E3502" s="400"/>
      <c r="F3502" s="400"/>
      <c r="G3502" s="400"/>
      <c r="H3502" s="396"/>
    </row>
    <row r="3503" spans="1:8" s="401" customFormat="1" ht="14.25" customHeight="1" x14ac:dyDescent="0.25">
      <c r="A3503" s="564">
        <v>387</v>
      </c>
      <c r="B3503" s="562" t="s">
        <v>893</v>
      </c>
      <c r="C3503" s="403">
        <v>2559</v>
      </c>
      <c r="D3503" s="400"/>
      <c r="E3503" s="400"/>
      <c r="F3503" s="400"/>
      <c r="G3503" s="400"/>
      <c r="H3503" s="396"/>
    </row>
    <row r="3504" spans="1:8" s="401" customFormat="1" ht="14.25" customHeight="1" x14ac:dyDescent="0.25">
      <c r="A3504" s="564">
        <v>389</v>
      </c>
      <c r="B3504" s="562" t="s">
        <v>893</v>
      </c>
      <c r="C3504" s="403">
        <v>2559</v>
      </c>
      <c r="D3504" s="400"/>
      <c r="E3504" s="400"/>
      <c r="F3504" s="400"/>
      <c r="G3504" s="400"/>
      <c r="H3504" s="396"/>
    </row>
    <row r="3505" spans="1:8" s="401" customFormat="1" ht="14.25" customHeight="1" x14ac:dyDescent="0.25">
      <c r="A3505" s="564">
        <v>1818</v>
      </c>
      <c r="B3505" s="562" t="s">
        <v>898</v>
      </c>
      <c r="C3505" s="403">
        <v>1960</v>
      </c>
      <c r="D3505" s="400"/>
      <c r="E3505" s="400"/>
      <c r="F3505" s="400"/>
      <c r="G3505" s="400"/>
      <c r="H3505" s="396"/>
    </row>
    <row r="3506" spans="1:8" s="401" customFormat="1" ht="14.25" customHeight="1" x14ac:dyDescent="0.25">
      <c r="A3506" s="564">
        <v>1819</v>
      </c>
      <c r="B3506" s="562" t="s">
        <v>893</v>
      </c>
      <c r="C3506" s="403">
        <v>1739</v>
      </c>
      <c r="D3506" s="400"/>
      <c r="E3506" s="400"/>
      <c r="F3506" s="400"/>
      <c r="G3506" s="400"/>
      <c r="H3506" s="396"/>
    </row>
    <row r="3507" spans="1:8" s="401" customFormat="1" ht="14.25" customHeight="1" x14ac:dyDescent="0.25">
      <c r="A3507" s="564">
        <v>1832</v>
      </c>
      <c r="B3507" s="562" t="s">
        <v>897</v>
      </c>
      <c r="C3507" s="403">
        <v>99.58</v>
      </c>
      <c r="D3507" s="400"/>
      <c r="E3507" s="400"/>
      <c r="F3507" s="400"/>
      <c r="G3507" s="400"/>
      <c r="H3507" s="396"/>
    </row>
    <row r="3508" spans="1:8" s="401" customFormat="1" ht="14.25" customHeight="1" x14ac:dyDescent="0.25">
      <c r="A3508" s="564">
        <v>1833</v>
      </c>
      <c r="B3508" s="562" t="s">
        <v>897</v>
      </c>
      <c r="C3508" s="403">
        <v>138</v>
      </c>
      <c r="D3508" s="400"/>
      <c r="E3508" s="400"/>
      <c r="F3508" s="400"/>
      <c r="G3508" s="400"/>
      <c r="H3508" s="396"/>
    </row>
    <row r="3509" spans="1:8" s="401" customFormat="1" ht="14.25" customHeight="1" x14ac:dyDescent="0.25">
      <c r="A3509" s="564">
        <v>1839</v>
      </c>
      <c r="B3509" s="562" t="s">
        <v>736</v>
      </c>
      <c r="C3509" s="403">
        <v>104.4</v>
      </c>
      <c r="D3509" s="400"/>
      <c r="E3509" s="400"/>
      <c r="F3509" s="400"/>
      <c r="G3509" s="400"/>
      <c r="H3509" s="396"/>
    </row>
    <row r="3510" spans="1:8" s="401" customFormat="1" ht="14.25" customHeight="1" x14ac:dyDescent="0.25">
      <c r="A3510" s="564">
        <v>1840</v>
      </c>
      <c r="B3510" s="562" t="s">
        <v>736</v>
      </c>
      <c r="C3510" s="403">
        <v>1</v>
      </c>
      <c r="D3510" s="400"/>
      <c r="E3510" s="400"/>
      <c r="F3510" s="400"/>
      <c r="G3510" s="400"/>
      <c r="H3510" s="396"/>
    </row>
    <row r="3511" spans="1:8" s="401" customFormat="1" ht="14.25" customHeight="1" x14ac:dyDescent="0.25">
      <c r="A3511" s="564">
        <v>1841</v>
      </c>
      <c r="B3511" s="562" t="s">
        <v>736</v>
      </c>
      <c r="C3511" s="403">
        <v>110</v>
      </c>
      <c r="D3511" s="400"/>
      <c r="E3511" s="400"/>
      <c r="F3511" s="400"/>
      <c r="G3511" s="400"/>
      <c r="H3511" s="396"/>
    </row>
    <row r="3512" spans="1:8" s="401" customFormat="1" ht="14.25" customHeight="1" x14ac:dyDescent="0.25">
      <c r="A3512" s="564">
        <v>1842</v>
      </c>
      <c r="B3512" s="562" t="s">
        <v>736</v>
      </c>
      <c r="C3512" s="403">
        <v>148</v>
      </c>
      <c r="D3512" s="400"/>
      <c r="E3512" s="400"/>
      <c r="F3512" s="400"/>
      <c r="G3512" s="400"/>
      <c r="H3512" s="396"/>
    </row>
    <row r="3513" spans="1:8" s="401" customFormat="1" ht="14.25" customHeight="1" x14ac:dyDescent="0.25">
      <c r="A3513" s="564">
        <v>1843</v>
      </c>
      <c r="B3513" s="562" t="s">
        <v>736</v>
      </c>
      <c r="C3513" s="403">
        <v>114</v>
      </c>
      <c r="D3513" s="400"/>
      <c r="E3513" s="400"/>
      <c r="F3513" s="400"/>
      <c r="G3513" s="400"/>
      <c r="H3513" s="396"/>
    </row>
    <row r="3514" spans="1:8" s="401" customFormat="1" ht="14.25" customHeight="1" x14ac:dyDescent="0.25">
      <c r="A3514" s="564">
        <v>5109</v>
      </c>
      <c r="B3514" s="562" t="s">
        <v>892</v>
      </c>
      <c r="C3514" s="403">
        <v>999</v>
      </c>
      <c r="D3514" s="400"/>
      <c r="E3514" s="400"/>
      <c r="F3514" s="400"/>
      <c r="G3514" s="400"/>
      <c r="H3514" s="396"/>
    </row>
    <row r="3515" spans="1:8" s="401" customFormat="1" ht="14.25" customHeight="1" x14ac:dyDescent="0.25">
      <c r="A3515" s="564">
        <v>331</v>
      </c>
      <c r="B3515" s="562" t="s">
        <v>913</v>
      </c>
      <c r="C3515" s="403">
        <v>116</v>
      </c>
      <c r="D3515" s="400"/>
      <c r="E3515" s="400"/>
      <c r="F3515" s="400"/>
      <c r="G3515" s="400"/>
      <c r="H3515" s="396"/>
    </row>
    <row r="3516" spans="1:8" s="401" customFormat="1" ht="14.25" customHeight="1" x14ac:dyDescent="0.25">
      <c r="A3516" s="564">
        <v>334</v>
      </c>
      <c r="B3516" s="562" t="s">
        <v>913</v>
      </c>
      <c r="C3516" s="403">
        <v>116</v>
      </c>
      <c r="D3516" s="400"/>
      <c r="E3516" s="400"/>
      <c r="F3516" s="400"/>
      <c r="G3516" s="400"/>
      <c r="H3516" s="396"/>
    </row>
    <row r="3517" spans="1:8" s="401" customFormat="1" ht="14.25" customHeight="1" x14ac:dyDescent="0.25">
      <c r="A3517" s="564">
        <v>337</v>
      </c>
      <c r="B3517" s="562" t="s">
        <v>913</v>
      </c>
      <c r="C3517" s="403">
        <v>116</v>
      </c>
      <c r="D3517" s="400"/>
      <c r="E3517" s="400"/>
      <c r="F3517" s="400"/>
      <c r="G3517" s="400"/>
      <c r="H3517" s="396"/>
    </row>
    <row r="3518" spans="1:8" s="401" customFormat="1" ht="14.25" customHeight="1" x14ac:dyDescent="0.25">
      <c r="A3518" s="564">
        <v>340</v>
      </c>
      <c r="B3518" s="562" t="s">
        <v>913</v>
      </c>
      <c r="C3518" s="403">
        <v>116</v>
      </c>
      <c r="D3518" s="400"/>
      <c r="E3518" s="400"/>
      <c r="F3518" s="400"/>
      <c r="G3518" s="400"/>
      <c r="H3518" s="396"/>
    </row>
    <row r="3519" spans="1:8" s="401" customFormat="1" ht="14.25" customHeight="1" x14ac:dyDescent="0.25">
      <c r="A3519" s="564">
        <v>344</v>
      </c>
      <c r="B3519" s="562" t="s">
        <v>913</v>
      </c>
      <c r="C3519" s="403">
        <v>116</v>
      </c>
      <c r="D3519" s="400"/>
      <c r="E3519" s="400"/>
      <c r="F3519" s="400"/>
      <c r="G3519" s="400"/>
      <c r="H3519" s="396"/>
    </row>
    <row r="3520" spans="1:8" s="401" customFormat="1" ht="14.25" customHeight="1" x14ac:dyDescent="0.25">
      <c r="A3520" s="564">
        <v>347</v>
      </c>
      <c r="B3520" s="562" t="s">
        <v>913</v>
      </c>
      <c r="C3520" s="403">
        <v>116</v>
      </c>
      <c r="D3520" s="400"/>
      <c r="E3520" s="400"/>
      <c r="F3520" s="400"/>
      <c r="G3520" s="400"/>
      <c r="H3520" s="396"/>
    </row>
    <row r="3521" spans="1:8" s="401" customFormat="1" ht="14.25" customHeight="1" x14ac:dyDescent="0.25">
      <c r="A3521" s="564">
        <v>351</v>
      </c>
      <c r="B3521" s="562" t="s">
        <v>913</v>
      </c>
      <c r="C3521" s="403">
        <v>116</v>
      </c>
      <c r="D3521" s="400"/>
      <c r="E3521" s="400"/>
      <c r="F3521" s="400"/>
      <c r="G3521" s="400"/>
      <c r="H3521" s="396"/>
    </row>
    <row r="3522" spans="1:8" s="401" customFormat="1" ht="14.25" customHeight="1" x14ac:dyDescent="0.25">
      <c r="A3522" s="564">
        <v>354</v>
      </c>
      <c r="B3522" s="562" t="s">
        <v>913</v>
      </c>
      <c r="C3522" s="403">
        <v>116</v>
      </c>
      <c r="D3522" s="400"/>
      <c r="E3522" s="400"/>
      <c r="F3522" s="400"/>
      <c r="G3522" s="400"/>
      <c r="H3522" s="396"/>
    </row>
    <row r="3523" spans="1:8" s="401" customFormat="1" ht="14.25" customHeight="1" x14ac:dyDescent="0.25">
      <c r="A3523" s="564">
        <v>362</v>
      </c>
      <c r="B3523" s="562" t="s">
        <v>911</v>
      </c>
      <c r="C3523" s="403">
        <v>204856</v>
      </c>
      <c r="D3523" s="400"/>
      <c r="E3523" s="400"/>
      <c r="F3523" s="400"/>
      <c r="G3523" s="400"/>
      <c r="H3523" s="396"/>
    </row>
    <row r="3524" spans="1:8" s="401" customFormat="1" ht="14.25" customHeight="1" x14ac:dyDescent="0.25">
      <c r="A3524" s="564">
        <v>1813</v>
      </c>
      <c r="B3524" s="562" t="s">
        <v>893</v>
      </c>
      <c r="C3524" s="403">
        <v>1966</v>
      </c>
      <c r="D3524" s="400"/>
      <c r="E3524" s="400"/>
      <c r="F3524" s="400"/>
      <c r="G3524" s="400"/>
      <c r="H3524" s="396"/>
    </row>
    <row r="3525" spans="1:8" s="401" customFormat="1" ht="14.25" customHeight="1" x14ac:dyDescent="0.25">
      <c r="A3525" s="564">
        <v>1814</v>
      </c>
      <c r="B3525" s="562" t="s">
        <v>894</v>
      </c>
      <c r="C3525" s="403">
        <v>6954</v>
      </c>
      <c r="D3525" s="400"/>
      <c r="E3525" s="400"/>
      <c r="F3525" s="400"/>
      <c r="G3525" s="400"/>
      <c r="H3525" s="396"/>
    </row>
    <row r="3526" spans="1:8" s="401" customFormat="1" ht="14.25" customHeight="1" x14ac:dyDescent="0.25">
      <c r="A3526" s="564">
        <v>1816</v>
      </c>
      <c r="B3526" s="562" t="s">
        <v>894</v>
      </c>
      <c r="C3526" s="403">
        <v>5910</v>
      </c>
      <c r="D3526" s="400"/>
      <c r="E3526" s="400"/>
      <c r="F3526" s="400"/>
      <c r="G3526" s="400"/>
      <c r="H3526" s="396"/>
    </row>
    <row r="3527" spans="1:8" s="401" customFormat="1" ht="14.25" customHeight="1" x14ac:dyDescent="0.25">
      <c r="A3527" s="564">
        <v>1817</v>
      </c>
      <c r="B3527" s="562" t="s">
        <v>893</v>
      </c>
      <c r="C3527" s="403">
        <v>1966</v>
      </c>
      <c r="D3527" s="400"/>
      <c r="E3527" s="400"/>
      <c r="F3527" s="400"/>
      <c r="G3527" s="400"/>
      <c r="H3527" s="396"/>
    </row>
    <row r="3528" spans="1:8" s="401" customFormat="1" ht="14.25" customHeight="1" x14ac:dyDescent="0.25">
      <c r="A3528" s="564">
        <v>1825</v>
      </c>
      <c r="B3528" s="562" t="s">
        <v>894</v>
      </c>
      <c r="C3528" s="403">
        <v>35045</v>
      </c>
      <c r="D3528" s="400"/>
      <c r="E3528" s="400"/>
      <c r="F3528" s="400"/>
      <c r="G3528" s="400"/>
      <c r="H3528" s="396"/>
    </row>
    <row r="3529" spans="1:8" s="401" customFormat="1" ht="14.25" customHeight="1" x14ac:dyDescent="0.25">
      <c r="A3529" s="564">
        <v>1826</v>
      </c>
      <c r="B3529" s="562" t="s">
        <v>914</v>
      </c>
      <c r="C3529" s="403">
        <v>365</v>
      </c>
      <c r="D3529" s="400"/>
      <c r="E3529" s="400"/>
      <c r="F3529" s="400"/>
      <c r="G3529" s="400"/>
      <c r="H3529" s="396"/>
    </row>
    <row r="3530" spans="1:8" s="401" customFormat="1" ht="14.25" customHeight="1" x14ac:dyDescent="0.25">
      <c r="A3530" s="564">
        <v>1834</v>
      </c>
      <c r="B3530" s="562" t="s">
        <v>894</v>
      </c>
      <c r="C3530" s="403">
        <v>11286</v>
      </c>
      <c r="D3530" s="400"/>
      <c r="E3530" s="400"/>
      <c r="F3530" s="400"/>
      <c r="G3530" s="400"/>
      <c r="H3530" s="396"/>
    </row>
    <row r="3531" spans="1:8" s="401" customFormat="1" ht="14.25" customHeight="1" x14ac:dyDescent="0.25">
      <c r="A3531" s="564">
        <v>1835</v>
      </c>
      <c r="B3531" s="562" t="s">
        <v>889</v>
      </c>
      <c r="C3531" s="403">
        <v>1</v>
      </c>
      <c r="D3531" s="400"/>
      <c r="E3531" s="400"/>
      <c r="F3531" s="400"/>
      <c r="G3531" s="400"/>
      <c r="H3531" s="396"/>
    </row>
    <row r="3532" spans="1:8" s="401" customFormat="1" ht="14.25" customHeight="1" x14ac:dyDescent="0.25">
      <c r="A3532" s="564">
        <v>1836</v>
      </c>
      <c r="B3532" s="562" t="s">
        <v>889</v>
      </c>
      <c r="C3532" s="403">
        <v>1</v>
      </c>
      <c r="D3532" s="400"/>
      <c r="E3532" s="400"/>
      <c r="F3532" s="400"/>
      <c r="G3532" s="400"/>
      <c r="H3532" s="396"/>
    </row>
    <row r="3533" spans="1:8" s="401" customFormat="1" ht="14.25" customHeight="1" x14ac:dyDescent="0.25">
      <c r="A3533" s="564">
        <v>1837</v>
      </c>
      <c r="B3533" s="562" t="s">
        <v>889</v>
      </c>
      <c r="C3533" s="403">
        <v>1</v>
      </c>
      <c r="D3533" s="400"/>
      <c r="E3533" s="400"/>
      <c r="F3533" s="400"/>
      <c r="G3533" s="400"/>
      <c r="H3533" s="396"/>
    </row>
    <row r="3534" spans="1:8" s="401" customFormat="1" ht="14.25" customHeight="1" x14ac:dyDescent="0.25">
      <c r="A3534" s="564">
        <v>1838</v>
      </c>
      <c r="B3534" s="562" t="s">
        <v>911</v>
      </c>
      <c r="C3534" s="403">
        <v>1</v>
      </c>
      <c r="D3534" s="400"/>
      <c r="E3534" s="400"/>
      <c r="F3534" s="400"/>
      <c r="G3534" s="400"/>
      <c r="H3534" s="396"/>
    </row>
    <row r="3535" spans="1:8" s="401" customFormat="1" ht="14.25" customHeight="1" x14ac:dyDescent="0.25">
      <c r="A3535" s="564">
        <v>1844</v>
      </c>
      <c r="B3535" s="562" t="s">
        <v>736</v>
      </c>
      <c r="C3535" s="403">
        <v>171.68</v>
      </c>
      <c r="D3535" s="400"/>
      <c r="E3535" s="400"/>
      <c r="F3535" s="400"/>
      <c r="G3535" s="400"/>
      <c r="H3535" s="396"/>
    </row>
    <row r="3536" spans="1:8" s="401" customFormat="1" ht="14.25" customHeight="1" x14ac:dyDescent="0.25">
      <c r="A3536" s="564">
        <v>393</v>
      </c>
      <c r="B3536" s="562" t="s">
        <v>893</v>
      </c>
      <c r="C3536" s="403">
        <v>4025</v>
      </c>
      <c r="D3536" s="400"/>
      <c r="E3536" s="400"/>
      <c r="F3536" s="400"/>
      <c r="G3536" s="400"/>
      <c r="H3536" s="396"/>
    </row>
    <row r="3537" spans="1:8" s="401" customFormat="1" ht="14.25" customHeight="1" x14ac:dyDescent="0.25">
      <c r="A3537" s="564">
        <v>396</v>
      </c>
      <c r="B3537" s="562" t="s">
        <v>894</v>
      </c>
      <c r="C3537" s="403">
        <v>6124</v>
      </c>
      <c r="D3537" s="400"/>
      <c r="E3537" s="400"/>
      <c r="F3537" s="400"/>
      <c r="G3537" s="400"/>
      <c r="H3537" s="396"/>
    </row>
    <row r="3538" spans="1:8" s="401" customFormat="1" ht="14.25" customHeight="1" x14ac:dyDescent="0.25">
      <c r="A3538" s="564">
        <v>400</v>
      </c>
      <c r="B3538" s="562" t="s">
        <v>894</v>
      </c>
      <c r="C3538" s="403">
        <v>6124</v>
      </c>
      <c r="D3538" s="400"/>
      <c r="E3538" s="400"/>
      <c r="F3538" s="400"/>
      <c r="G3538" s="400"/>
      <c r="H3538" s="396"/>
    </row>
    <row r="3539" spans="1:8" s="401" customFormat="1" ht="14.25" customHeight="1" x14ac:dyDescent="0.25">
      <c r="A3539" s="564">
        <v>403</v>
      </c>
      <c r="B3539" s="562" t="s">
        <v>894</v>
      </c>
      <c r="C3539" s="403">
        <v>6124</v>
      </c>
      <c r="D3539" s="400"/>
      <c r="E3539" s="400"/>
      <c r="F3539" s="400"/>
      <c r="G3539" s="400"/>
      <c r="H3539" s="396"/>
    </row>
    <row r="3540" spans="1:8" s="401" customFormat="1" ht="14.25" customHeight="1" x14ac:dyDescent="0.25">
      <c r="A3540" s="564">
        <v>408</v>
      </c>
      <c r="B3540" s="562" t="s">
        <v>894</v>
      </c>
      <c r="C3540" s="403">
        <v>13566.55</v>
      </c>
      <c r="D3540" s="400"/>
      <c r="E3540" s="400"/>
      <c r="F3540" s="400"/>
      <c r="G3540" s="400"/>
      <c r="H3540" s="396"/>
    </row>
    <row r="3541" spans="1:8" s="401" customFormat="1" ht="14.25" customHeight="1" x14ac:dyDescent="0.25">
      <c r="A3541" s="564">
        <v>259</v>
      </c>
      <c r="B3541" s="562" t="s">
        <v>892</v>
      </c>
      <c r="C3541" s="403">
        <v>1119</v>
      </c>
      <c r="D3541" s="400"/>
      <c r="E3541" s="400"/>
      <c r="F3541" s="400"/>
      <c r="G3541" s="400"/>
      <c r="H3541" s="396"/>
    </row>
    <row r="3542" spans="1:8" s="401" customFormat="1" ht="14.25" customHeight="1" x14ac:dyDescent="0.25">
      <c r="A3542" s="564">
        <v>262</v>
      </c>
      <c r="B3542" s="562" t="s">
        <v>910</v>
      </c>
      <c r="C3542" s="403">
        <v>12419</v>
      </c>
      <c r="D3542" s="400"/>
      <c r="E3542" s="400"/>
      <c r="F3542" s="400"/>
      <c r="G3542" s="400"/>
      <c r="H3542" s="396"/>
    </row>
    <row r="3543" spans="1:8" s="401" customFormat="1" ht="14.25" customHeight="1" x14ac:dyDescent="0.25">
      <c r="A3543" s="564">
        <v>267</v>
      </c>
      <c r="B3543" s="562" t="s">
        <v>893</v>
      </c>
      <c r="C3543" s="403">
        <v>2559</v>
      </c>
      <c r="D3543" s="400"/>
      <c r="E3543" s="400"/>
      <c r="F3543" s="400"/>
      <c r="G3543" s="400"/>
      <c r="H3543" s="396"/>
    </row>
    <row r="3544" spans="1:8" s="401" customFormat="1" ht="14.25" customHeight="1" x14ac:dyDescent="0.25">
      <c r="A3544" s="564">
        <v>269</v>
      </c>
      <c r="B3544" s="562" t="s">
        <v>893</v>
      </c>
      <c r="C3544" s="403">
        <v>1</v>
      </c>
      <c r="D3544" s="400"/>
      <c r="E3544" s="400"/>
      <c r="F3544" s="400"/>
      <c r="G3544" s="400"/>
      <c r="H3544" s="396"/>
    </row>
    <row r="3545" spans="1:8" s="401" customFormat="1" ht="14.25" customHeight="1" x14ac:dyDescent="0.25">
      <c r="A3545" s="564">
        <v>274</v>
      </c>
      <c r="B3545" s="562" t="s">
        <v>893</v>
      </c>
      <c r="C3545" s="403">
        <v>1</v>
      </c>
      <c r="D3545" s="400"/>
      <c r="E3545" s="400"/>
      <c r="F3545" s="400"/>
      <c r="G3545" s="400"/>
      <c r="H3545" s="396"/>
    </row>
    <row r="3546" spans="1:8" s="401" customFormat="1" ht="14.25" customHeight="1" x14ac:dyDescent="0.25">
      <c r="A3546" s="564">
        <v>279</v>
      </c>
      <c r="B3546" s="562" t="s">
        <v>894</v>
      </c>
      <c r="C3546" s="403">
        <v>1</v>
      </c>
      <c r="D3546" s="400"/>
      <c r="E3546" s="400"/>
      <c r="F3546" s="400"/>
      <c r="G3546" s="400"/>
      <c r="H3546" s="396"/>
    </row>
    <row r="3547" spans="1:8" s="401" customFormat="1" ht="14.25" customHeight="1" x14ac:dyDescent="0.25">
      <c r="A3547" s="564">
        <v>285</v>
      </c>
      <c r="B3547" s="562" t="s">
        <v>894</v>
      </c>
      <c r="C3547" s="403">
        <v>1</v>
      </c>
      <c r="D3547" s="400"/>
      <c r="E3547" s="400"/>
      <c r="F3547" s="400"/>
      <c r="G3547" s="400"/>
      <c r="H3547" s="396"/>
    </row>
    <row r="3548" spans="1:8" s="401" customFormat="1" ht="14.25" customHeight="1" x14ac:dyDescent="0.25">
      <c r="A3548" s="564">
        <v>292</v>
      </c>
      <c r="B3548" s="562" t="s">
        <v>897</v>
      </c>
      <c r="C3548" s="403">
        <v>97.56</v>
      </c>
      <c r="D3548" s="400"/>
      <c r="E3548" s="400"/>
      <c r="F3548" s="400"/>
      <c r="G3548" s="400"/>
      <c r="H3548" s="396"/>
    </row>
    <row r="3549" spans="1:8" s="401" customFormat="1" ht="14.25" customHeight="1" x14ac:dyDescent="0.25">
      <c r="A3549" s="564">
        <v>295</v>
      </c>
      <c r="B3549" s="562" t="s">
        <v>889</v>
      </c>
      <c r="C3549" s="403">
        <v>1</v>
      </c>
      <c r="D3549" s="400"/>
      <c r="E3549" s="400"/>
      <c r="F3549" s="400"/>
      <c r="G3549" s="400"/>
      <c r="H3549" s="396"/>
    </row>
    <row r="3550" spans="1:8" s="401" customFormat="1" ht="14.25" customHeight="1" x14ac:dyDescent="0.25">
      <c r="A3550" s="564">
        <v>5093</v>
      </c>
      <c r="B3550" s="562" t="s">
        <v>896</v>
      </c>
      <c r="C3550" s="403">
        <v>136</v>
      </c>
      <c r="D3550" s="400"/>
      <c r="E3550" s="400"/>
      <c r="F3550" s="400"/>
      <c r="G3550" s="400"/>
      <c r="H3550" s="396"/>
    </row>
    <row r="3551" spans="1:8" s="401" customFormat="1" ht="14.25" customHeight="1" x14ac:dyDescent="0.25">
      <c r="A3551" s="564">
        <v>5089</v>
      </c>
      <c r="B3551" s="562" t="s">
        <v>895</v>
      </c>
      <c r="C3551" s="403">
        <v>150800</v>
      </c>
      <c r="D3551" s="400"/>
      <c r="E3551" s="400"/>
      <c r="F3551" s="400"/>
      <c r="G3551" s="400"/>
      <c r="H3551" s="396"/>
    </row>
    <row r="3552" spans="1:8" s="401" customFormat="1" ht="14.25" customHeight="1" x14ac:dyDescent="0.25">
      <c r="A3552" s="564">
        <v>5099</v>
      </c>
      <c r="B3552" s="562" t="s">
        <v>894</v>
      </c>
      <c r="C3552" s="403">
        <v>9280</v>
      </c>
      <c r="D3552" s="400"/>
      <c r="E3552" s="400"/>
      <c r="F3552" s="400"/>
      <c r="G3552" s="400"/>
      <c r="H3552" s="396"/>
    </row>
    <row r="3553" spans="1:8" s="401" customFormat="1" ht="14.25" customHeight="1" x14ac:dyDescent="0.25">
      <c r="A3553" s="564">
        <v>298</v>
      </c>
      <c r="B3553" s="562" t="s">
        <v>893</v>
      </c>
      <c r="C3553" s="403">
        <v>1508</v>
      </c>
      <c r="D3553" s="400"/>
      <c r="E3553" s="400"/>
      <c r="F3553" s="400"/>
      <c r="G3553" s="400"/>
      <c r="H3553" s="396"/>
    </row>
    <row r="3554" spans="1:8" s="401" customFormat="1" ht="14.25" customHeight="1" x14ac:dyDescent="0.25">
      <c r="A3554" s="564">
        <v>4655</v>
      </c>
      <c r="B3554" s="562" t="s">
        <v>893</v>
      </c>
      <c r="C3554" s="403">
        <v>1508</v>
      </c>
      <c r="D3554" s="400"/>
      <c r="E3554" s="400"/>
      <c r="F3554" s="400"/>
      <c r="G3554" s="400"/>
      <c r="H3554" s="396"/>
    </row>
    <row r="3555" spans="1:8" s="401" customFormat="1" ht="14.25" customHeight="1" x14ac:dyDescent="0.25">
      <c r="A3555" s="564">
        <v>4992</v>
      </c>
      <c r="B3555" s="562" t="s">
        <v>897</v>
      </c>
      <c r="C3555" s="403">
        <v>116</v>
      </c>
      <c r="D3555" s="400"/>
      <c r="E3555" s="400"/>
      <c r="F3555" s="400"/>
      <c r="G3555" s="400"/>
      <c r="H3555" s="396"/>
    </row>
    <row r="3556" spans="1:8" s="401" customFormat="1" ht="14.25" customHeight="1" x14ac:dyDescent="0.25">
      <c r="A3556" s="564">
        <v>4995</v>
      </c>
      <c r="B3556" s="562" t="s">
        <v>894</v>
      </c>
      <c r="C3556" s="403">
        <v>14334.42</v>
      </c>
      <c r="D3556" s="400"/>
      <c r="E3556" s="400"/>
      <c r="F3556" s="400"/>
      <c r="G3556" s="400"/>
      <c r="H3556" s="396"/>
    </row>
    <row r="3557" spans="1:8" s="401" customFormat="1" ht="14.25" customHeight="1" x14ac:dyDescent="0.25">
      <c r="A3557" s="564">
        <v>4998</v>
      </c>
      <c r="B3557" s="562" t="s">
        <v>736</v>
      </c>
      <c r="C3557" s="403">
        <v>232</v>
      </c>
      <c r="D3557" s="400"/>
      <c r="E3557" s="400"/>
      <c r="F3557" s="400"/>
      <c r="G3557" s="400"/>
      <c r="H3557" s="396"/>
    </row>
    <row r="3558" spans="1:8" s="401" customFormat="1" ht="14.25" customHeight="1" x14ac:dyDescent="0.25">
      <c r="A3558" s="564">
        <v>5001</v>
      </c>
      <c r="B3558" s="562" t="s">
        <v>897</v>
      </c>
      <c r="C3558" s="403">
        <v>116</v>
      </c>
      <c r="D3558" s="400"/>
      <c r="E3558" s="400"/>
      <c r="F3558" s="400"/>
      <c r="G3558" s="400"/>
      <c r="H3558" s="396"/>
    </row>
    <row r="3559" spans="1:8" s="401" customFormat="1" ht="14.25" customHeight="1" x14ac:dyDescent="0.25">
      <c r="A3559" s="564">
        <v>5006</v>
      </c>
      <c r="B3559" s="562" t="s">
        <v>894</v>
      </c>
      <c r="C3559" s="403">
        <v>14334.89</v>
      </c>
      <c r="D3559" s="400"/>
      <c r="E3559" s="400"/>
      <c r="F3559" s="400"/>
      <c r="G3559" s="400"/>
      <c r="H3559" s="396"/>
    </row>
    <row r="3560" spans="1:8" s="401" customFormat="1" ht="14.25" customHeight="1" x14ac:dyDescent="0.25">
      <c r="A3560" s="564">
        <v>5007</v>
      </c>
      <c r="B3560" s="562" t="s">
        <v>736</v>
      </c>
      <c r="C3560" s="403">
        <v>232</v>
      </c>
      <c r="D3560" s="400"/>
      <c r="E3560" s="400"/>
      <c r="F3560" s="400"/>
      <c r="G3560" s="400"/>
      <c r="H3560" s="396"/>
    </row>
    <row r="3561" spans="1:8" s="401" customFormat="1" ht="14.25" customHeight="1" x14ac:dyDescent="0.25">
      <c r="A3561" s="564">
        <v>5008</v>
      </c>
      <c r="B3561" s="562" t="s">
        <v>897</v>
      </c>
      <c r="C3561" s="403">
        <v>116</v>
      </c>
      <c r="D3561" s="400"/>
      <c r="E3561" s="400"/>
      <c r="F3561" s="400"/>
      <c r="G3561" s="400"/>
      <c r="H3561" s="396"/>
    </row>
    <row r="3562" spans="1:8" s="401" customFormat="1" ht="14.25" customHeight="1" x14ac:dyDescent="0.25">
      <c r="A3562" s="564">
        <v>5009</v>
      </c>
      <c r="B3562" s="562" t="s">
        <v>893</v>
      </c>
      <c r="C3562" s="403">
        <v>1508</v>
      </c>
      <c r="D3562" s="400"/>
      <c r="E3562" s="400"/>
      <c r="F3562" s="400"/>
      <c r="G3562" s="400"/>
      <c r="H3562" s="396"/>
    </row>
    <row r="3563" spans="1:8" s="401" customFormat="1" ht="14.25" customHeight="1" x14ac:dyDescent="0.25">
      <c r="A3563" s="564">
        <v>5014</v>
      </c>
      <c r="B3563" s="562" t="s">
        <v>894</v>
      </c>
      <c r="C3563" s="403">
        <v>14334</v>
      </c>
      <c r="D3563" s="400"/>
      <c r="E3563" s="400"/>
      <c r="F3563" s="400"/>
      <c r="G3563" s="400"/>
      <c r="H3563" s="396"/>
    </row>
    <row r="3564" spans="1:8" s="401" customFormat="1" ht="14.25" customHeight="1" x14ac:dyDescent="0.25">
      <c r="A3564" s="564">
        <v>5017</v>
      </c>
      <c r="B3564" s="562" t="s">
        <v>736</v>
      </c>
      <c r="C3564" s="403">
        <v>232</v>
      </c>
      <c r="D3564" s="400"/>
      <c r="E3564" s="400"/>
      <c r="F3564" s="400"/>
      <c r="G3564" s="400"/>
      <c r="H3564" s="396"/>
    </row>
    <row r="3565" spans="1:8" s="401" customFormat="1" ht="14.25" customHeight="1" x14ac:dyDescent="0.25">
      <c r="A3565" s="564">
        <v>5019</v>
      </c>
      <c r="B3565" s="562" t="s">
        <v>897</v>
      </c>
      <c r="C3565" s="403">
        <v>116</v>
      </c>
      <c r="D3565" s="400"/>
      <c r="E3565" s="400"/>
      <c r="F3565" s="400"/>
      <c r="G3565" s="400"/>
      <c r="H3565" s="396"/>
    </row>
    <row r="3566" spans="1:8" s="401" customFormat="1" ht="14.25" customHeight="1" x14ac:dyDescent="0.25">
      <c r="A3566" s="564">
        <v>5020</v>
      </c>
      <c r="B3566" s="562" t="s">
        <v>893</v>
      </c>
      <c r="C3566" s="403">
        <v>1508</v>
      </c>
      <c r="D3566" s="400"/>
      <c r="E3566" s="400"/>
      <c r="F3566" s="400"/>
      <c r="G3566" s="400"/>
      <c r="H3566" s="396"/>
    </row>
    <row r="3567" spans="1:8" s="401" customFormat="1" ht="14.25" customHeight="1" x14ac:dyDescent="0.25">
      <c r="A3567" s="564">
        <v>5022</v>
      </c>
      <c r="B3567" s="562" t="s">
        <v>894</v>
      </c>
      <c r="C3567" s="403">
        <v>14334</v>
      </c>
      <c r="D3567" s="400"/>
      <c r="E3567" s="400"/>
      <c r="F3567" s="400"/>
      <c r="G3567" s="400"/>
      <c r="H3567" s="396"/>
    </row>
    <row r="3568" spans="1:8" s="401" customFormat="1" ht="14.25" customHeight="1" x14ac:dyDescent="0.25">
      <c r="A3568" s="564">
        <v>5037</v>
      </c>
      <c r="B3568" s="562" t="s">
        <v>736</v>
      </c>
      <c r="C3568" s="403">
        <v>232</v>
      </c>
      <c r="D3568" s="400"/>
      <c r="E3568" s="400"/>
      <c r="F3568" s="400"/>
      <c r="G3568" s="400"/>
      <c r="H3568" s="396"/>
    </row>
    <row r="3569" spans="1:8" s="401" customFormat="1" ht="14.25" customHeight="1" x14ac:dyDescent="0.25">
      <c r="A3569" s="564">
        <v>5038</v>
      </c>
      <c r="B3569" s="562" t="s">
        <v>897</v>
      </c>
      <c r="C3569" s="403">
        <v>116</v>
      </c>
      <c r="D3569" s="400"/>
      <c r="E3569" s="400"/>
      <c r="F3569" s="400"/>
      <c r="G3569" s="400"/>
      <c r="H3569" s="396"/>
    </row>
    <row r="3570" spans="1:8" s="401" customFormat="1" ht="14.25" customHeight="1" x14ac:dyDescent="0.25">
      <c r="A3570" s="564">
        <v>5041</v>
      </c>
      <c r="B3570" s="562" t="s">
        <v>893</v>
      </c>
      <c r="C3570" s="403">
        <v>1508</v>
      </c>
      <c r="D3570" s="400"/>
      <c r="E3570" s="400"/>
      <c r="F3570" s="400"/>
      <c r="G3570" s="400"/>
      <c r="H3570" s="396"/>
    </row>
    <row r="3571" spans="1:8" s="401" customFormat="1" ht="14.25" customHeight="1" x14ac:dyDescent="0.25">
      <c r="A3571" s="564">
        <v>5044</v>
      </c>
      <c r="B3571" s="562" t="s">
        <v>894</v>
      </c>
      <c r="C3571" s="403">
        <v>14334</v>
      </c>
      <c r="D3571" s="400"/>
      <c r="E3571" s="400"/>
      <c r="F3571" s="400"/>
      <c r="G3571" s="400"/>
      <c r="H3571" s="396"/>
    </row>
    <row r="3572" spans="1:8" s="401" customFormat="1" ht="14.25" customHeight="1" x14ac:dyDescent="0.25">
      <c r="A3572" s="564">
        <v>5046</v>
      </c>
      <c r="B3572" s="562" t="s">
        <v>736</v>
      </c>
      <c r="C3572" s="403">
        <v>232</v>
      </c>
      <c r="D3572" s="400"/>
      <c r="E3572" s="400"/>
      <c r="F3572" s="400"/>
      <c r="G3572" s="400"/>
      <c r="H3572" s="396"/>
    </row>
    <row r="3573" spans="1:8" s="401" customFormat="1" ht="14.25" customHeight="1" x14ac:dyDescent="0.25">
      <c r="A3573" s="564">
        <v>5047</v>
      </c>
      <c r="B3573" s="562" t="s">
        <v>897</v>
      </c>
      <c r="C3573" s="403">
        <v>116</v>
      </c>
      <c r="D3573" s="400"/>
      <c r="E3573" s="400"/>
      <c r="F3573" s="400"/>
      <c r="G3573" s="400"/>
      <c r="H3573" s="396"/>
    </row>
    <row r="3574" spans="1:8" s="401" customFormat="1" ht="14.25" customHeight="1" x14ac:dyDescent="0.25">
      <c r="A3574" s="564">
        <v>5051</v>
      </c>
      <c r="B3574" s="562" t="s">
        <v>893</v>
      </c>
      <c r="C3574" s="403">
        <v>1508</v>
      </c>
      <c r="D3574" s="400"/>
      <c r="E3574" s="400"/>
      <c r="F3574" s="400"/>
      <c r="G3574" s="400"/>
      <c r="H3574" s="396"/>
    </row>
    <row r="3575" spans="1:8" s="401" customFormat="1" ht="14.25" customHeight="1" x14ac:dyDescent="0.25">
      <c r="A3575" s="564">
        <v>5054</v>
      </c>
      <c r="B3575" s="562" t="s">
        <v>894</v>
      </c>
      <c r="C3575" s="403">
        <v>14334</v>
      </c>
      <c r="D3575" s="400"/>
      <c r="E3575" s="400"/>
      <c r="F3575" s="400"/>
      <c r="G3575" s="400"/>
      <c r="H3575" s="396"/>
    </row>
    <row r="3576" spans="1:8" s="401" customFormat="1" ht="14.25" customHeight="1" x14ac:dyDescent="0.25">
      <c r="A3576" s="564">
        <v>5055</v>
      </c>
      <c r="B3576" s="562" t="s">
        <v>736</v>
      </c>
      <c r="C3576" s="403">
        <v>232</v>
      </c>
      <c r="D3576" s="400"/>
      <c r="E3576" s="400"/>
      <c r="F3576" s="400"/>
      <c r="G3576" s="400"/>
      <c r="H3576" s="396"/>
    </row>
    <row r="3577" spans="1:8" s="401" customFormat="1" ht="14.25" customHeight="1" x14ac:dyDescent="0.25">
      <c r="A3577" s="564">
        <v>5021</v>
      </c>
      <c r="B3577" s="562" t="s">
        <v>893</v>
      </c>
      <c r="C3577" s="403">
        <v>1740</v>
      </c>
      <c r="D3577" s="400"/>
      <c r="E3577" s="400"/>
      <c r="F3577" s="400"/>
      <c r="G3577" s="400"/>
      <c r="H3577" s="396"/>
    </row>
    <row r="3578" spans="1:8" s="401" customFormat="1" ht="14.25" customHeight="1" x14ac:dyDescent="0.25">
      <c r="A3578" s="564">
        <v>5024</v>
      </c>
      <c r="B3578" s="562" t="s">
        <v>894</v>
      </c>
      <c r="C3578" s="403">
        <v>19951.84</v>
      </c>
      <c r="D3578" s="400"/>
      <c r="E3578" s="400"/>
      <c r="F3578" s="400"/>
      <c r="G3578" s="400"/>
      <c r="H3578" s="396"/>
    </row>
    <row r="3579" spans="1:8" s="401" customFormat="1" ht="14.25" customHeight="1" x14ac:dyDescent="0.25">
      <c r="A3579" s="564">
        <v>5025</v>
      </c>
      <c r="B3579" s="562" t="s">
        <v>736</v>
      </c>
      <c r="C3579" s="403">
        <v>232</v>
      </c>
      <c r="D3579" s="400"/>
      <c r="E3579" s="400"/>
      <c r="F3579" s="400"/>
      <c r="G3579" s="400"/>
      <c r="H3579" s="396"/>
    </row>
    <row r="3580" spans="1:8" s="401" customFormat="1" ht="14.25" customHeight="1" x14ac:dyDescent="0.25">
      <c r="A3580" s="564">
        <v>5026</v>
      </c>
      <c r="B3580" s="562" t="s">
        <v>897</v>
      </c>
      <c r="C3580" s="403">
        <v>116</v>
      </c>
      <c r="D3580" s="400"/>
      <c r="E3580" s="400"/>
      <c r="F3580" s="400"/>
      <c r="G3580" s="400"/>
      <c r="H3580" s="396"/>
    </row>
    <row r="3581" spans="1:8" s="401" customFormat="1" ht="14.25" customHeight="1" x14ac:dyDescent="0.25">
      <c r="A3581" s="564">
        <v>5035</v>
      </c>
      <c r="B3581" s="562" t="s">
        <v>894</v>
      </c>
      <c r="C3581" s="403">
        <v>19951.84</v>
      </c>
      <c r="D3581" s="400"/>
      <c r="E3581" s="400"/>
      <c r="F3581" s="400"/>
      <c r="G3581" s="400"/>
      <c r="H3581" s="396"/>
    </row>
    <row r="3582" spans="1:8" s="401" customFormat="1" ht="14.25" customHeight="1" x14ac:dyDescent="0.25">
      <c r="A3582" s="564">
        <v>5040</v>
      </c>
      <c r="B3582" s="562" t="s">
        <v>736</v>
      </c>
      <c r="C3582" s="403">
        <v>232</v>
      </c>
      <c r="D3582" s="400"/>
      <c r="E3582" s="400"/>
      <c r="F3582" s="400"/>
      <c r="G3582" s="400"/>
      <c r="H3582" s="396"/>
    </row>
    <row r="3583" spans="1:8" s="401" customFormat="1" ht="14.25" customHeight="1" x14ac:dyDescent="0.25">
      <c r="A3583" s="564">
        <v>4615</v>
      </c>
      <c r="B3583" s="562" t="s">
        <v>894</v>
      </c>
      <c r="C3583" s="403">
        <v>14334.89</v>
      </c>
      <c r="D3583" s="400"/>
      <c r="E3583" s="400"/>
      <c r="F3583" s="400"/>
      <c r="G3583" s="400"/>
      <c r="H3583" s="396"/>
    </row>
    <row r="3584" spans="1:8" s="401" customFormat="1" ht="14.25" customHeight="1" x14ac:dyDescent="0.25">
      <c r="A3584" s="564">
        <v>5065</v>
      </c>
      <c r="B3584" s="562" t="s">
        <v>893</v>
      </c>
      <c r="C3584" s="403">
        <v>1508</v>
      </c>
      <c r="D3584" s="400"/>
      <c r="E3584" s="400"/>
      <c r="F3584" s="400"/>
      <c r="G3584" s="400"/>
      <c r="H3584" s="396"/>
    </row>
    <row r="3585" spans="1:8" s="401" customFormat="1" ht="14.25" customHeight="1" x14ac:dyDescent="0.25">
      <c r="A3585" s="564">
        <v>5066</v>
      </c>
      <c r="B3585" s="562" t="s">
        <v>894</v>
      </c>
      <c r="C3585" s="403">
        <v>14334</v>
      </c>
      <c r="D3585" s="400"/>
      <c r="E3585" s="400"/>
      <c r="F3585" s="400"/>
      <c r="G3585" s="400"/>
      <c r="H3585" s="396"/>
    </row>
    <row r="3586" spans="1:8" s="401" customFormat="1" ht="14.25" customHeight="1" x14ac:dyDescent="0.25">
      <c r="A3586" s="564">
        <v>5069</v>
      </c>
      <c r="B3586" s="562" t="s">
        <v>736</v>
      </c>
      <c r="C3586" s="403">
        <v>232</v>
      </c>
      <c r="D3586" s="400"/>
      <c r="E3586" s="400"/>
      <c r="F3586" s="400"/>
      <c r="G3586" s="400"/>
      <c r="H3586" s="396"/>
    </row>
    <row r="3587" spans="1:8" s="401" customFormat="1" ht="14.25" customHeight="1" x14ac:dyDescent="0.25">
      <c r="A3587" s="564">
        <v>5071</v>
      </c>
      <c r="B3587" s="562" t="s">
        <v>897</v>
      </c>
      <c r="C3587" s="403">
        <v>116</v>
      </c>
      <c r="D3587" s="400"/>
      <c r="E3587" s="400"/>
      <c r="F3587" s="400"/>
      <c r="G3587" s="400"/>
      <c r="H3587" s="396"/>
    </row>
    <row r="3588" spans="1:8" s="401" customFormat="1" ht="14.25" customHeight="1" x14ac:dyDescent="0.25">
      <c r="A3588" s="564">
        <v>282</v>
      </c>
      <c r="B3588" s="562" t="s">
        <v>736</v>
      </c>
      <c r="C3588" s="403">
        <v>232</v>
      </c>
      <c r="D3588" s="400"/>
      <c r="E3588" s="400"/>
      <c r="F3588" s="400"/>
      <c r="G3588" s="400"/>
      <c r="H3588" s="396"/>
    </row>
    <row r="3589" spans="1:8" s="401" customFormat="1" ht="14.25" customHeight="1" x14ac:dyDescent="0.25">
      <c r="A3589" s="564">
        <v>4626</v>
      </c>
      <c r="B3589" s="562" t="s">
        <v>893</v>
      </c>
      <c r="C3589" s="403">
        <v>1740</v>
      </c>
      <c r="D3589" s="400"/>
      <c r="E3589" s="400"/>
      <c r="F3589" s="400"/>
      <c r="G3589" s="400"/>
      <c r="H3589" s="396"/>
    </row>
    <row r="3590" spans="1:8" s="401" customFormat="1" ht="14.25" customHeight="1" x14ac:dyDescent="0.25">
      <c r="A3590" s="564">
        <v>4627</v>
      </c>
      <c r="B3590" s="562" t="s">
        <v>736</v>
      </c>
      <c r="C3590" s="403">
        <v>232</v>
      </c>
      <c r="D3590" s="400"/>
      <c r="E3590" s="400"/>
      <c r="F3590" s="400"/>
      <c r="G3590" s="400"/>
      <c r="H3590" s="396"/>
    </row>
    <row r="3591" spans="1:8" s="401" customFormat="1" ht="14.25" customHeight="1" x14ac:dyDescent="0.25">
      <c r="A3591" s="564">
        <v>4648</v>
      </c>
      <c r="B3591" s="562" t="s">
        <v>893</v>
      </c>
      <c r="C3591" s="403">
        <v>1508</v>
      </c>
      <c r="D3591" s="400"/>
      <c r="E3591" s="400"/>
      <c r="F3591" s="400"/>
      <c r="G3591" s="400"/>
      <c r="H3591" s="396"/>
    </row>
    <row r="3592" spans="1:8" s="401" customFormat="1" ht="14.25" customHeight="1" x14ac:dyDescent="0.25">
      <c r="A3592" s="564">
        <v>5010</v>
      </c>
      <c r="B3592" s="562" t="s">
        <v>893</v>
      </c>
      <c r="C3592" s="403">
        <v>1740</v>
      </c>
      <c r="D3592" s="400"/>
      <c r="E3592" s="400"/>
      <c r="F3592" s="400"/>
      <c r="G3592" s="400"/>
      <c r="H3592" s="396"/>
    </row>
    <row r="3593" spans="1:8" s="401" customFormat="1" ht="14.25" customHeight="1" x14ac:dyDescent="0.25">
      <c r="A3593" s="564">
        <v>5016</v>
      </c>
      <c r="B3593" s="562" t="s">
        <v>736</v>
      </c>
      <c r="C3593" s="403">
        <v>232</v>
      </c>
      <c r="D3593" s="400"/>
      <c r="E3593" s="400"/>
      <c r="F3593" s="400"/>
      <c r="G3593" s="400"/>
      <c r="H3593" s="396"/>
    </row>
    <row r="3594" spans="1:8" s="401" customFormat="1" ht="14.25" customHeight="1" x14ac:dyDescent="0.25">
      <c r="A3594" s="564">
        <v>5018</v>
      </c>
      <c r="B3594" s="562" t="s">
        <v>897</v>
      </c>
      <c r="C3594" s="403">
        <v>116</v>
      </c>
      <c r="D3594" s="400"/>
      <c r="E3594" s="400"/>
      <c r="F3594" s="400"/>
      <c r="G3594" s="400"/>
      <c r="H3594" s="396"/>
    </row>
    <row r="3595" spans="1:8" s="401" customFormat="1" ht="14.25" customHeight="1" x14ac:dyDescent="0.25">
      <c r="A3595" s="564">
        <v>5031</v>
      </c>
      <c r="B3595" s="562" t="s">
        <v>893</v>
      </c>
      <c r="C3595" s="403">
        <v>1740</v>
      </c>
      <c r="D3595" s="400"/>
      <c r="E3595" s="400"/>
      <c r="F3595" s="400"/>
      <c r="G3595" s="400"/>
      <c r="H3595" s="396"/>
    </row>
    <row r="3596" spans="1:8" s="401" customFormat="1" ht="14.25" customHeight="1" x14ac:dyDescent="0.25">
      <c r="A3596" s="564">
        <v>5036</v>
      </c>
      <c r="B3596" s="562" t="s">
        <v>893</v>
      </c>
      <c r="C3596" s="403">
        <v>1508</v>
      </c>
      <c r="D3596" s="400"/>
      <c r="E3596" s="400"/>
      <c r="F3596" s="400"/>
      <c r="G3596" s="400"/>
      <c r="H3596" s="396"/>
    </row>
    <row r="3597" spans="1:8" s="401" customFormat="1" ht="14.25" customHeight="1" x14ac:dyDescent="0.25">
      <c r="A3597" s="564">
        <v>5039</v>
      </c>
      <c r="B3597" s="562" t="s">
        <v>894</v>
      </c>
      <c r="C3597" s="403">
        <v>16294.52</v>
      </c>
      <c r="D3597" s="400"/>
      <c r="E3597" s="400"/>
      <c r="F3597" s="400"/>
      <c r="G3597" s="400"/>
      <c r="H3597" s="396"/>
    </row>
    <row r="3598" spans="1:8" s="401" customFormat="1" ht="14.25" customHeight="1" x14ac:dyDescent="0.25">
      <c r="A3598" s="564">
        <v>5042</v>
      </c>
      <c r="B3598" s="562" t="s">
        <v>736</v>
      </c>
      <c r="C3598" s="403">
        <v>232</v>
      </c>
      <c r="D3598" s="400"/>
      <c r="E3598" s="400"/>
      <c r="F3598" s="400"/>
      <c r="G3598" s="400"/>
      <c r="H3598" s="396"/>
    </row>
    <row r="3599" spans="1:8" s="401" customFormat="1" ht="14.25" customHeight="1" x14ac:dyDescent="0.25">
      <c r="A3599" s="564">
        <v>5045</v>
      </c>
      <c r="B3599" s="562" t="s">
        <v>897</v>
      </c>
      <c r="C3599" s="403">
        <v>116</v>
      </c>
      <c r="D3599" s="400"/>
      <c r="E3599" s="400"/>
      <c r="F3599" s="400"/>
      <c r="G3599" s="400"/>
      <c r="H3599" s="396"/>
    </row>
    <row r="3600" spans="1:8" s="401" customFormat="1" ht="14.25" customHeight="1" x14ac:dyDescent="0.25">
      <c r="A3600" s="564">
        <v>5048</v>
      </c>
      <c r="B3600" s="562" t="s">
        <v>897</v>
      </c>
      <c r="C3600" s="403">
        <v>116</v>
      </c>
      <c r="D3600" s="400"/>
      <c r="E3600" s="400"/>
      <c r="F3600" s="400"/>
      <c r="G3600" s="400"/>
      <c r="H3600" s="396"/>
    </row>
    <row r="3601" spans="1:8" s="401" customFormat="1" ht="14.25" customHeight="1" x14ac:dyDescent="0.25">
      <c r="A3601" s="564">
        <v>5049</v>
      </c>
      <c r="B3601" s="562" t="s">
        <v>893</v>
      </c>
      <c r="C3601" s="403">
        <v>1508</v>
      </c>
      <c r="D3601" s="400"/>
      <c r="E3601" s="400"/>
      <c r="F3601" s="400"/>
      <c r="G3601" s="400"/>
      <c r="H3601" s="396"/>
    </row>
    <row r="3602" spans="1:8" s="401" customFormat="1" ht="14.25" customHeight="1" x14ac:dyDescent="0.25">
      <c r="A3602" s="564">
        <v>5052</v>
      </c>
      <c r="B3602" s="562" t="s">
        <v>893</v>
      </c>
      <c r="C3602" s="403">
        <v>1740</v>
      </c>
      <c r="D3602" s="400"/>
      <c r="E3602" s="400"/>
      <c r="F3602" s="400"/>
      <c r="G3602" s="400"/>
      <c r="H3602" s="396"/>
    </row>
    <row r="3603" spans="1:8" s="401" customFormat="1" ht="14.25" customHeight="1" x14ac:dyDescent="0.25">
      <c r="A3603" s="564">
        <v>5056</v>
      </c>
      <c r="B3603" s="562" t="s">
        <v>894</v>
      </c>
      <c r="C3603" s="403">
        <v>19951.84</v>
      </c>
      <c r="D3603" s="400"/>
      <c r="E3603" s="400"/>
      <c r="F3603" s="400"/>
      <c r="G3603" s="400"/>
      <c r="H3603" s="396"/>
    </row>
    <row r="3604" spans="1:8" s="401" customFormat="1" ht="14.25" customHeight="1" x14ac:dyDescent="0.25">
      <c r="A3604" s="564">
        <v>5057</v>
      </c>
      <c r="B3604" s="562" t="s">
        <v>894</v>
      </c>
      <c r="C3604" s="403">
        <v>16295.52</v>
      </c>
      <c r="D3604" s="400"/>
      <c r="E3604" s="400"/>
      <c r="F3604" s="400"/>
      <c r="G3604" s="400"/>
      <c r="H3604" s="396"/>
    </row>
    <row r="3605" spans="1:8" s="401" customFormat="1" ht="14.25" customHeight="1" x14ac:dyDescent="0.25">
      <c r="A3605" s="564">
        <v>5059</v>
      </c>
      <c r="B3605" s="562" t="s">
        <v>736</v>
      </c>
      <c r="C3605" s="403">
        <v>232</v>
      </c>
      <c r="D3605" s="400"/>
      <c r="E3605" s="400"/>
      <c r="F3605" s="400"/>
      <c r="G3605" s="400"/>
      <c r="H3605" s="396"/>
    </row>
    <row r="3606" spans="1:8" s="401" customFormat="1" ht="14.25" customHeight="1" x14ac:dyDescent="0.25">
      <c r="A3606" s="564">
        <v>5060</v>
      </c>
      <c r="B3606" s="562" t="s">
        <v>736</v>
      </c>
      <c r="C3606" s="403">
        <v>232</v>
      </c>
      <c r="D3606" s="400"/>
      <c r="E3606" s="400"/>
      <c r="F3606" s="400"/>
      <c r="G3606" s="400"/>
      <c r="H3606" s="396"/>
    </row>
    <row r="3607" spans="1:8" s="401" customFormat="1" ht="14.25" customHeight="1" x14ac:dyDescent="0.25">
      <c r="A3607" s="564">
        <v>5061</v>
      </c>
      <c r="B3607" s="562" t="s">
        <v>897</v>
      </c>
      <c r="C3607" s="403">
        <v>116</v>
      </c>
      <c r="D3607" s="400"/>
      <c r="E3607" s="400"/>
      <c r="F3607" s="400"/>
      <c r="G3607" s="400"/>
      <c r="H3607" s="396"/>
    </row>
    <row r="3608" spans="1:8" s="401" customFormat="1" ht="14.25" customHeight="1" x14ac:dyDescent="0.25">
      <c r="A3608" s="564">
        <v>5063</v>
      </c>
      <c r="B3608" s="562" t="s">
        <v>897</v>
      </c>
      <c r="C3608" s="403">
        <v>116</v>
      </c>
      <c r="D3608" s="400"/>
      <c r="E3608" s="400"/>
      <c r="F3608" s="400"/>
      <c r="G3608" s="400"/>
      <c r="H3608" s="396"/>
    </row>
    <row r="3609" spans="1:8" s="401" customFormat="1" ht="14.25" customHeight="1" x14ac:dyDescent="0.25">
      <c r="A3609" s="564">
        <v>5064</v>
      </c>
      <c r="B3609" s="562" t="s">
        <v>893</v>
      </c>
      <c r="C3609" s="403">
        <v>1508</v>
      </c>
      <c r="D3609" s="400"/>
      <c r="E3609" s="400"/>
      <c r="F3609" s="400"/>
      <c r="G3609" s="400"/>
      <c r="H3609" s="396"/>
    </row>
    <row r="3610" spans="1:8" s="401" customFormat="1" ht="14.25" customHeight="1" x14ac:dyDescent="0.25">
      <c r="A3610" s="564">
        <v>5068</v>
      </c>
      <c r="B3610" s="562" t="s">
        <v>894</v>
      </c>
      <c r="C3610" s="403">
        <v>16295.52</v>
      </c>
      <c r="D3610" s="400"/>
      <c r="E3610" s="400"/>
      <c r="F3610" s="400"/>
      <c r="G3610" s="400"/>
      <c r="H3610" s="396"/>
    </row>
    <row r="3611" spans="1:8" s="401" customFormat="1" ht="14.25" customHeight="1" x14ac:dyDescent="0.25">
      <c r="A3611" s="564">
        <v>5072</v>
      </c>
      <c r="B3611" s="562" t="s">
        <v>893</v>
      </c>
      <c r="C3611" s="403">
        <v>1508</v>
      </c>
      <c r="D3611" s="400"/>
      <c r="E3611" s="400"/>
      <c r="F3611" s="400"/>
      <c r="G3611" s="400"/>
      <c r="H3611" s="396"/>
    </row>
    <row r="3612" spans="1:8" s="401" customFormat="1" ht="14.25" customHeight="1" x14ac:dyDescent="0.25">
      <c r="A3612" s="564">
        <v>5073</v>
      </c>
      <c r="B3612" s="562" t="s">
        <v>736</v>
      </c>
      <c r="C3612" s="403">
        <v>232</v>
      </c>
      <c r="D3612" s="400"/>
      <c r="E3612" s="400"/>
      <c r="F3612" s="400"/>
      <c r="G3612" s="400"/>
      <c r="H3612" s="396"/>
    </row>
    <row r="3613" spans="1:8" s="401" customFormat="1" ht="14.25" customHeight="1" x14ac:dyDescent="0.25">
      <c r="A3613" s="564">
        <v>5074</v>
      </c>
      <c r="B3613" s="562" t="s">
        <v>894</v>
      </c>
      <c r="C3613" s="403">
        <v>14334.89</v>
      </c>
      <c r="D3613" s="400"/>
      <c r="E3613" s="400"/>
      <c r="F3613" s="400"/>
      <c r="G3613" s="400"/>
      <c r="H3613" s="396"/>
    </row>
    <row r="3614" spans="1:8" s="401" customFormat="1" ht="14.25" customHeight="1" x14ac:dyDescent="0.25">
      <c r="A3614" s="564">
        <v>5076</v>
      </c>
      <c r="B3614" s="562" t="s">
        <v>897</v>
      </c>
      <c r="C3614" s="403">
        <v>116</v>
      </c>
      <c r="D3614" s="400"/>
      <c r="E3614" s="400"/>
      <c r="F3614" s="400"/>
      <c r="G3614" s="400"/>
      <c r="H3614" s="396"/>
    </row>
    <row r="3615" spans="1:8" s="401" customFormat="1" ht="14.25" customHeight="1" x14ac:dyDescent="0.25">
      <c r="A3615" s="564">
        <v>5077</v>
      </c>
      <c r="B3615" s="562" t="s">
        <v>736</v>
      </c>
      <c r="C3615" s="403">
        <v>232</v>
      </c>
      <c r="D3615" s="400"/>
      <c r="E3615" s="400"/>
      <c r="F3615" s="400"/>
      <c r="G3615" s="400"/>
      <c r="H3615" s="396"/>
    </row>
    <row r="3616" spans="1:8" s="401" customFormat="1" ht="14.25" customHeight="1" x14ac:dyDescent="0.25">
      <c r="A3616" s="564">
        <v>5079</v>
      </c>
      <c r="B3616" s="562" t="s">
        <v>897</v>
      </c>
      <c r="C3616" s="403">
        <v>116</v>
      </c>
      <c r="D3616" s="400"/>
      <c r="E3616" s="400"/>
      <c r="F3616" s="400"/>
      <c r="G3616" s="400"/>
      <c r="H3616" s="396"/>
    </row>
    <row r="3617" spans="1:8" s="401" customFormat="1" ht="14.25" customHeight="1" x14ac:dyDescent="0.25">
      <c r="A3617" s="564">
        <v>5080</v>
      </c>
      <c r="B3617" s="562" t="s">
        <v>893</v>
      </c>
      <c r="C3617" s="403">
        <v>1508</v>
      </c>
      <c r="D3617" s="400"/>
      <c r="E3617" s="400"/>
      <c r="F3617" s="400"/>
      <c r="G3617" s="400"/>
      <c r="H3617" s="396"/>
    </row>
    <row r="3618" spans="1:8" s="401" customFormat="1" ht="14.25" customHeight="1" x14ac:dyDescent="0.25">
      <c r="A3618" s="564">
        <v>5081</v>
      </c>
      <c r="B3618" s="562" t="s">
        <v>894</v>
      </c>
      <c r="C3618" s="403">
        <v>16294.52</v>
      </c>
      <c r="D3618" s="400"/>
      <c r="E3618" s="400"/>
      <c r="F3618" s="400"/>
      <c r="G3618" s="400"/>
      <c r="H3618" s="396"/>
    </row>
    <row r="3619" spans="1:8" s="401" customFormat="1" ht="14.25" customHeight="1" x14ac:dyDescent="0.25">
      <c r="A3619" s="564">
        <v>5083</v>
      </c>
      <c r="B3619" s="562" t="s">
        <v>736</v>
      </c>
      <c r="C3619" s="403">
        <v>232</v>
      </c>
      <c r="D3619" s="400"/>
      <c r="E3619" s="400"/>
      <c r="F3619" s="400"/>
      <c r="G3619" s="400"/>
      <c r="H3619" s="396"/>
    </row>
    <row r="3620" spans="1:8" s="401" customFormat="1" ht="14.25" customHeight="1" x14ac:dyDescent="0.25">
      <c r="A3620" s="564">
        <v>5085</v>
      </c>
      <c r="B3620" s="562" t="s">
        <v>897</v>
      </c>
      <c r="C3620" s="403">
        <v>116</v>
      </c>
      <c r="D3620" s="400"/>
      <c r="E3620" s="400"/>
      <c r="F3620" s="400"/>
      <c r="G3620" s="400"/>
      <c r="H3620" s="396"/>
    </row>
    <row r="3621" spans="1:8" s="401" customFormat="1" ht="14.25" customHeight="1" x14ac:dyDescent="0.25">
      <c r="A3621" s="564">
        <v>5136</v>
      </c>
      <c r="B3621" s="562" t="s">
        <v>894</v>
      </c>
      <c r="C3621" s="403">
        <v>17199</v>
      </c>
      <c r="D3621" s="400"/>
      <c r="E3621" s="400"/>
      <c r="F3621" s="400"/>
      <c r="G3621" s="400"/>
      <c r="H3621" s="396"/>
    </row>
    <row r="3622" spans="1:8" s="401" customFormat="1" ht="14.25" customHeight="1" x14ac:dyDescent="0.25">
      <c r="A3622" s="564">
        <v>4859</v>
      </c>
      <c r="B3622" s="562" t="s">
        <v>907</v>
      </c>
      <c r="C3622" s="403">
        <v>2499</v>
      </c>
      <c r="D3622" s="400"/>
      <c r="E3622" s="400"/>
      <c r="F3622" s="400"/>
      <c r="G3622" s="400"/>
      <c r="H3622" s="396"/>
    </row>
    <row r="3623" spans="1:8" s="401" customFormat="1" ht="14.25" customHeight="1" x14ac:dyDescent="0.25">
      <c r="A3623" s="564">
        <v>4861</v>
      </c>
      <c r="B3623" s="562" t="s">
        <v>907</v>
      </c>
      <c r="C3623" s="403">
        <v>2499</v>
      </c>
      <c r="D3623" s="400"/>
      <c r="E3623" s="400"/>
      <c r="F3623" s="400"/>
      <c r="G3623" s="400"/>
      <c r="H3623" s="396"/>
    </row>
    <row r="3624" spans="1:8" s="401" customFormat="1" ht="14.25" customHeight="1" x14ac:dyDescent="0.25">
      <c r="A3624" s="564">
        <v>4953</v>
      </c>
      <c r="B3624" s="562" t="s">
        <v>891</v>
      </c>
      <c r="C3624" s="403">
        <v>1</v>
      </c>
      <c r="D3624" s="400"/>
      <c r="E3624" s="400"/>
      <c r="F3624" s="400"/>
      <c r="G3624" s="400"/>
      <c r="H3624" s="396"/>
    </row>
    <row r="3625" spans="1:8" s="401" customFormat="1" ht="14.25" customHeight="1" x14ac:dyDescent="0.25">
      <c r="A3625" s="564">
        <v>4675</v>
      </c>
      <c r="B3625" s="562" t="s">
        <v>915</v>
      </c>
      <c r="C3625" s="403">
        <v>1682</v>
      </c>
      <c r="D3625" s="400"/>
      <c r="E3625" s="400"/>
      <c r="F3625" s="400"/>
      <c r="G3625" s="400"/>
      <c r="H3625" s="396"/>
    </row>
    <row r="3626" spans="1:8" s="401" customFormat="1" ht="14.25" customHeight="1" x14ac:dyDescent="0.25">
      <c r="A3626" s="564">
        <v>1912</v>
      </c>
      <c r="B3626" s="562" t="s">
        <v>907</v>
      </c>
      <c r="C3626" s="403">
        <v>7778</v>
      </c>
      <c r="D3626" s="400"/>
      <c r="E3626" s="400"/>
      <c r="F3626" s="400"/>
      <c r="G3626" s="400"/>
      <c r="H3626" s="396"/>
    </row>
    <row r="3627" spans="1:8" s="401" customFormat="1" ht="14.25" customHeight="1" x14ac:dyDescent="0.25">
      <c r="A3627" s="564">
        <v>1914</v>
      </c>
      <c r="B3627" s="562" t="s">
        <v>907</v>
      </c>
      <c r="C3627" s="403">
        <v>7778</v>
      </c>
      <c r="D3627" s="400"/>
      <c r="E3627" s="400"/>
      <c r="F3627" s="400"/>
      <c r="G3627" s="400"/>
      <c r="H3627" s="396"/>
    </row>
    <row r="3628" spans="1:8" s="401" customFormat="1" ht="14.25" customHeight="1" x14ac:dyDescent="0.25">
      <c r="A3628" s="564">
        <v>1706</v>
      </c>
      <c r="B3628" s="562" t="s">
        <v>916</v>
      </c>
      <c r="C3628" s="403">
        <v>4176</v>
      </c>
      <c r="D3628" s="400"/>
      <c r="E3628" s="400"/>
      <c r="F3628" s="400"/>
      <c r="G3628" s="400"/>
      <c r="H3628" s="396"/>
    </row>
    <row r="3629" spans="1:8" s="401" customFormat="1" ht="14.25" customHeight="1" x14ac:dyDescent="0.25">
      <c r="A3629" s="564">
        <v>1711</v>
      </c>
      <c r="B3629" s="562" t="s">
        <v>916</v>
      </c>
      <c r="C3629" s="403">
        <v>5850</v>
      </c>
      <c r="D3629" s="400"/>
      <c r="E3629" s="400"/>
      <c r="F3629" s="400"/>
      <c r="G3629" s="400"/>
      <c r="H3629" s="396"/>
    </row>
    <row r="3630" spans="1:8" s="401" customFormat="1" ht="14.25" customHeight="1" x14ac:dyDescent="0.25">
      <c r="A3630" s="564">
        <v>1729</v>
      </c>
      <c r="B3630" s="562" t="s">
        <v>917</v>
      </c>
      <c r="C3630" s="403">
        <v>4756</v>
      </c>
      <c r="D3630" s="400"/>
      <c r="E3630" s="400"/>
      <c r="F3630" s="400"/>
      <c r="G3630" s="400"/>
      <c r="H3630" s="396"/>
    </row>
    <row r="3631" spans="1:8" s="401" customFormat="1" ht="14.25" customHeight="1" x14ac:dyDescent="0.25">
      <c r="A3631" s="564">
        <v>1735</v>
      </c>
      <c r="B3631" s="562" t="s">
        <v>917</v>
      </c>
      <c r="C3631" s="403">
        <v>4176</v>
      </c>
      <c r="D3631" s="400"/>
      <c r="E3631" s="400"/>
      <c r="F3631" s="400"/>
      <c r="G3631" s="400"/>
      <c r="H3631" s="396"/>
    </row>
    <row r="3632" spans="1:8" s="401" customFormat="1" ht="14.25" customHeight="1" x14ac:dyDescent="0.25">
      <c r="A3632" s="564">
        <v>1741</v>
      </c>
      <c r="B3632" s="562" t="s">
        <v>917</v>
      </c>
      <c r="C3632" s="403">
        <v>4176</v>
      </c>
      <c r="D3632" s="400"/>
      <c r="E3632" s="400"/>
      <c r="F3632" s="400"/>
      <c r="G3632" s="400"/>
      <c r="H3632" s="396"/>
    </row>
    <row r="3633" spans="1:8" s="401" customFormat="1" ht="14.25" customHeight="1" x14ac:dyDescent="0.25">
      <c r="A3633" s="564">
        <v>1745</v>
      </c>
      <c r="B3633" s="562" t="s">
        <v>907</v>
      </c>
      <c r="C3633" s="403">
        <v>4176</v>
      </c>
      <c r="D3633" s="400"/>
      <c r="E3633" s="400"/>
      <c r="F3633" s="400"/>
      <c r="G3633" s="400"/>
      <c r="H3633" s="396"/>
    </row>
    <row r="3634" spans="1:8" s="401" customFormat="1" ht="14.25" customHeight="1" x14ac:dyDescent="0.25">
      <c r="A3634" s="564">
        <v>1749</v>
      </c>
      <c r="B3634" s="562" t="s">
        <v>916</v>
      </c>
      <c r="C3634" s="403">
        <v>4176</v>
      </c>
      <c r="D3634" s="400"/>
      <c r="E3634" s="400"/>
      <c r="F3634" s="400"/>
      <c r="G3634" s="400"/>
      <c r="H3634" s="396"/>
    </row>
    <row r="3635" spans="1:8" s="401" customFormat="1" ht="14.25" customHeight="1" x14ac:dyDescent="0.25">
      <c r="A3635" s="564">
        <v>1754</v>
      </c>
      <c r="B3635" s="562" t="s">
        <v>916</v>
      </c>
      <c r="C3635" s="403">
        <v>4176</v>
      </c>
      <c r="D3635" s="400"/>
      <c r="E3635" s="400"/>
      <c r="F3635" s="400"/>
      <c r="G3635" s="400"/>
      <c r="H3635" s="396"/>
    </row>
    <row r="3636" spans="1:8" s="401" customFormat="1" ht="14.25" customHeight="1" x14ac:dyDescent="0.25">
      <c r="A3636" s="564">
        <v>1760</v>
      </c>
      <c r="B3636" s="562" t="s">
        <v>916</v>
      </c>
      <c r="C3636" s="403">
        <v>4176</v>
      </c>
      <c r="D3636" s="400"/>
      <c r="E3636" s="400"/>
      <c r="F3636" s="400"/>
      <c r="G3636" s="400"/>
      <c r="H3636" s="396"/>
    </row>
    <row r="3637" spans="1:8" s="401" customFormat="1" ht="14.25" customHeight="1" x14ac:dyDescent="0.25">
      <c r="A3637" s="564">
        <v>1927</v>
      </c>
      <c r="B3637" s="562" t="s">
        <v>917</v>
      </c>
      <c r="C3637" s="403">
        <v>4400</v>
      </c>
      <c r="D3637" s="400"/>
      <c r="E3637" s="400"/>
      <c r="F3637" s="400"/>
      <c r="G3637" s="400"/>
      <c r="H3637" s="396"/>
    </row>
    <row r="3638" spans="1:8" s="401" customFormat="1" ht="14.25" customHeight="1" x14ac:dyDescent="0.25">
      <c r="A3638" s="564">
        <v>1928</v>
      </c>
      <c r="B3638" s="562" t="s">
        <v>916</v>
      </c>
      <c r="C3638" s="403">
        <v>4176</v>
      </c>
      <c r="D3638" s="400"/>
      <c r="E3638" s="400"/>
      <c r="F3638" s="400"/>
      <c r="G3638" s="400"/>
      <c r="H3638" s="396"/>
    </row>
    <row r="3639" spans="1:8" s="401" customFormat="1" ht="14.25" customHeight="1" x14ac:dyDescent="0.25">
      <c r="A3639" s="564">
        <v>1930</v>
      </c>
      <c r="B3639" s="562" t="s">
        <v>916</v>
      </c>
      <c r="C3639" s="403">
        <v>4756</v>
      </c>
      <c r="D3639" s="400"/>
      <c r="E3639" s="400"/>
      <c r="F3639" s="400"/>
      <c r="G3639" s="400"/>
      <c r="H3639" s="396"/>
    </row>
    <row r="3640" spans="1:8" s="401" customFormat="1" ht="14.25" customHeight="1" x14ac:dyDescent="0.25">
      <c r="A3640" s="564">
        <v>1950</v>
      </c>
      <c r="B3640" s="562" t="s">
        <v>916</v>
      </c>
      <c r="C3640" s="403">
        <v>4176</v>
      </c>
      <c r="D3640" s="400"/>
      <c r="E3640" s="400"/>
      <c r="F3640" s="400"/>
      <c r="G3640" s="400"/>
      <c r="H3640" s="396"/>
    </row>
    <row r="3641" spans="1:8" s="401" customFormat="1" ht="14.25" customHeight="1" x14ac:dyDescent="0.25">
      <c r="A3641" s="564">
        <v>1955</v>
      </c>
      <c r="B3641" s="562" t="s">
        <v>916</v>
      </c>
      <c r="C3641" s="403">
        <v>4176</v>
      </c>
      <c r="D3641" s="400"/>
      <c r="E3641" s="400"/>
      <c r="F3641" s="400"/>
      <c r="G3641" s="400"/>
      <c r="H3641" s="396"/>
    </row>
    <row r="3642" spans="1:8" s="401" customFormat="1" ht="14.25" customHeight="1" x14ac:dyDescent="0.25">
      <c r="A3642" s="564">
        <v>1964</v>
      </c>
      <c r="B3642" s="562" t="s">
        <v>916</v>
      </c>
      <c r="C3642" s="403">
        <v>4756</v>
      </c>
      <c r="D3642" s="400"/>
      <c r="E3642" s="400"/>
      <c r="F3642" s="400"/>
      <c r="G3642" s="400"/>
      <c r="H3642" s="396"/>
    </row>
    <row r="3643" spans="1:8" s="401" customFormat="1" ht="14.25" customHeight="1" x14ac:dyDescent="0.25">
      <c r="A3643" s="564">
        <v>1967</v>
      </c>
      <c r="B3643" s="562" t="s">
        <v>907</v>
      </c>
      <c r="C3643" s="403">
        <v>6433</v>
      </c>
      <c r="D3643" s="400"/>
      <c r="E3643" s="400"/>
      <c r="F3643" s="400"/>
      <c r="G3643" s="400"/>
      <c r="H3643" s="396"/>
    </row>
    <row r="3644" spans="1:8" s="401" customFormat="1" ht="14.25" customHeight="1" x14ac:dyDescent="0.25">
      <c r="A3644" s="564">
        <v>1970</v>
      </c>
      <c r="B3644" s="562" t="s">
        <v>916</v>
      </c>
      <c r="C3644" s="403">
        <v>4756</v>
      </c>
      <c r="D3644" s="400"/>
      <c r="E3644" s="400"/>
      <c r="F3644" s="400"/>
      <c r="G3644" s="400"/>
      <c r="H3644" s="396"/>
    </row>
    <row r="3645" spans="1:8" s="401" customFormat="1" ht="14.25" customHeight="1" x14ac:dyDescent="0.25">
      <c r="A3645" s="564">
        <v>1971</v>
      </c>
      <c r="B3645" s="562" t="s">
        <v>907</v>
      </c>
      <c r="C3645" s="403">
        <v>6433</v>
      </c>
      <c r="D3645" s="400"/>
      <c r="E3645" s="400"/>
      <c r="F3645" s="400"/>
      <c r="G3645" s="400"/>
      <c r="H3645" s="396"/>
    </row>
    <row r="3646" spans="1:8" s="401" customFormat="1" ht="14.25" customHeight="1" x14ac:dyDescent="0.25">
      <c r="A3646" s="564">
        <v>1974</v>
      </c>
      <c r="B3646" s="562" t="s">
        <v>916</v>
      </c>
      <c r="C3646" s="403">
        <v>6420</v>
      </c>
      <c r="D3646" s="400"/>
      <c r="E3646" s="400"/>
      <c r="F3646" s="400"/>
      <c r="G3646" s="400"/>
      <c r="H3646" s="396"/>
    </row>
    <row r="3647" spans="1:8" s="401" customFormat="1" ht="14.25" customHeight="1" x14ac:dyDescent="0.25">
      <c r="A3647" s="564">
        <v>1979</v>
      </c>
      <c r="B3647" s="562" t="s">
        <v>916</v>
      </c>
      <c r="C3647" s="403">
        <v>6420</v>
      </c>
      <c r="D3647" s="400"/>
      <c r="E3647" s="400"/>
      <c r="F3647" s="400"/>
      <c r="G3647" s="400"/>
      <c r="H3647" s="396"/>
    </row>
    <row r="3648" spans="1:8" s="401" customFormat="1" ht="14.25" customHeight="1" x14ac:dyDescent="0.25">
      <c r="A3648" s="564">
        <v>1984</v>
      </c>
      <c r="B3648" s="562" t="s">
        <v>916</v>
      </c>
      <c r="C3648" s="403">
        <v>6420</v>
      </c>
      <c r="D3648" s="400"/>
      <c r="E3648" s="400"/>
      <c r="F3648" s="400"/>
      <c r="G3648" s="400"/>
      <c r="H3648" s="396"/>
    </row>
    <row r="3649" spans="1:8" s="401" customFormat="1" ht="14.25" customHeight="1" x14ac:dyDescent="0.25">
      <c r="A3649" s="564">
        <v>1986</v>
      </c>
      <c r="B3649" s="562" t="s">
        <v>916</v>
      </c>
      <c r="C3649" s="403">
        <v>6420</v>
      </c>
      <c r="D3649" s="400"/>
      <c r="E3649" s="400"/>
      <c r="F3649" s="400"/>
      <c r="G3649" s="400"/>
      <c r="H3649" s="396"/>
    </row>
    <row r="3650" spans="1:8" s="401" customFormat="1" ht="14.25" customHeight="1" x14ac:dyDescent="0.25">
      <c r="A3650" s="564">
        <v>1992</v>
      </c>
      <c r="B3650" s="562" t="s">
        <v>907</v>
      </c>
      <c r="C3650" s="403">
        <v>6420</v>
      </c>
      <c r="D3650" s="400"/>
      <c r="E3650" s="400"/>
      <c r="F3650" s="400"/>
      <c r="G3650" s="400"/>
      <c r="H3650" s="396"/>
    </row>
    <row r="3651" spans="1:8" s="401" customFormat="1" ht="14.25" customHeight="1" x14ac:dyDescent="0.25">
      <c r="A3651" s="564">
        <v>1730</v>
      </c>
      <c r="B3651" s="562" t="s">
        <v>916</v>
      </c>
      <c r="C3651" s="403">
        <v>5199</v>
      </c>
      <c r="D3651" s="400"/>
      <c r="E3651" s="400"/>
      <c r="F3651" s="400"/>
      <c r="G3651" s="400"/>
      <c r="H3651" s="396"/>
    </row>
    <row r="3652" spans="1:8" s="401" customFormat="1" ht="14.25" customHeight="1" x14ac:dyDescent="0.25">
      <c r="A3652" s="564">
        <v>4761</v>
      </c>
      <c r="B3652" s="562" t="s">
        <v>907</v>
      </c>
      <c r="C3652" s="403">
        <v>3990</v>
      </c>
      <c r="D3652" s="400"/>
      <c r="E3652" s="400"/>
      <c r="F3652" s="400"/>
      <c r="G3652" s="400"/>
      <c r="H3652" s="396"/>
    </row>
    <row r="3653" spans="1:8" s="401" customFormat="1" ht="14.25" customHeight="1" x14ac:dyDescent="0.25">
      <c r="A3653" s="564">
        <v>4763</v>
      </c>
      <c r="B3653" s="562" t="s">
        <v>907</v>
      </c>
      <c r="C3653" s="403">
        <v>3990</v>
      </c>
      <c r="D3653" s="400"/>
      <c r="E3653" s="400"/>
      <c r="F3653" s="400"/>
      <c r="G3653" s="400"/>
      <c r="H3653" s="396"/>
    </row>
    <row r="3654" spans="1:8" s="401" customFormat="1" ht="14.25" customHeight="1" x14ac:dyDescent="0.25">
      <c r="A3654" s="564">
        <v>4788</v>
      </c>
      <c r="B3654" s="562" t="s">
        <v>907</v>
      </c>
      <c r="C3654" s="403">
        <v>3990</v>
      </c>
      <c r="D3654" s="400"/>
      <c r="E3654" s="400"/>
      <c r="F3654" s="400"/>
      <c r="G3654" s="400"/>
      <c r="H3654" s="396"/>
    </row>
    <row r="3655" spans="1:8" s="401" customFormat="1" ht="14.25" customHeight="1" x14ac:dyDescent="0.25">
      <c r="A3655" s="564">
        <v>4789</v>
      </c>
      <c r="B3655" s="562" t="s">
        <v>907</v>
      </c>
      <c r="C3655" s="403">
        <v>3990</v>
      </c>
      <c r="D3655" s="400"/>
      <c r="E3655" s="400"/>
      <c r="F3655" s="400"/>
      <c r="G3655" s="400"/>
      <c r="H3655" s="396"/>
    </row>
    <row r="3656" spans="1:8" s="401" customFormat="1" ht="14.25" customHeight="1" x14ac:dyDescent="0.25">
      <c r="A3656" s="564">
        <v>4790</v>
      </c>
      <c r="B3656" s="562" t="s">
        <v>907</v>
      </c>
      <c r="C3656" s="403">
        <v>3990</v>
      </c>
      <c r="D3656" s="400"/>
      <c r="E3656" s="400"/>
      <c r="F3656" s="400"/>
      <c r="G3656" s="400"/>
      <c r="H3656" s="396"/>
    </row>
    <row r="3657" spans="1:8" s="401" customFormat="1" ht="14.25" customHeight="1" x14ac:dyDescent="0.25">
      <c r="A3657" s="564">
        <v>4791</v>
      </c>
      <c r="B3657" s="562" t="s">
        <v>907</v>
      </c>
      <c r="C3657" s="403">
        <v>3990</v>
      </c>
      <c r="D3657" s="400"/>
      <c r="E3657" s="400"/>
      <c r="F3657" s="400"/>
      <c r="G3657" s="400"/>
      <c r="H3657" s="396"/>
    </row>
    <row r="3658" spans="1:8" s="401" customFormat="1" ht="14.25" customHeight="1" x14ac:dyDescent="0.25">
      <c r="A3658" s="564">
        <v>4792</v>
      </c>
      <c r="B3658" s="562" t="s">
        <v>907</v>
      </c>
      <c r="C3658" s="403">
        <v>3990</v>
      </c>
      <c r="D3658" s="400"/>
      <c r="E3658" s="400"/>
      <c r="F3658" s="400"/>
      <c r="G3658" s="400"/>
      <c r="H3658" s="396"/>
    </row>
    <row r="3659" spans="1:8" s="401" customFormat="1" ht="14.25" customHeight="1" x14ac:dyDescent="0.25">
      <c r="A3659" s="564">
        <v>4793</v>
      </c>
      <c r="B3659" s="562" t="s">
        <v>907</v>
      </c>
      <c r="C3659" s="403">
        <v>3990</v>
      </c>
      <c r="D3659" s="400"/>
      <c r="E3659" s="400"/>
      <c r="F3659" s="400"/>
      <c r="G3659" s="400"/>
      <c r="H3659" s="396"/>
    </row>
    <row r="3660" spans="1:8" s="401" customFormat="1" ht="14.25" customHeight="1" x14ac:dyDescent="0.25">
      <c r="A3660" s="564">
        <v>4799</v>
      </c>
      <c r="B3660" s="562" t="s">
        <v>907</v>
      </c>
      <c r="C3660" s="403">
        <v>3990</v>
      </c>
      <c r="D3660" s="400"/>
      <c r="E3660" s="400"/>
      <c r="F3660" s="400"/>
      <c r="G3660" s="400"/>
      <c r="H3660" s="396"/>
    </row>
    <row r="3661" spans="1:8" s="401" customFormat="1" ht="14.25" customHeight="1" x14ac:dyDescent="0.25">
      <c r="A3661" s="564">
        <v>4801</v>
      </c>
      <c r="B3661" s="562" t="s">
        <v>907</v>
      </c>
      <c r="C3661" s="403">
        <v>3990</v>
      </c>
      <c r="D3661" s="400"/>
      <c r="E3661" s="400"/>
      <c r="F3661" s="400"/>
      <c r="G3661" s="400"/>
      <c r="H3661" s="396"/>
    </row>
    <row r="3662" spans="1:8" s="401" customFormat="1" ht="14.25" customHeight="1" x14ac:dyDescent="0.25">
      <c r="A3662" s="564">
        <v>4808</v>
      </c>
      <c r="B3662" s="562" t="s">
        <v>907</v>
      </c>
      <c r="C3662" s="403">
        <v>3990</v>
      </c>
      <c r="D3662" s="400"/>
      <c r="E3662" s="400"/>
      <c r="F3662" s="400"/>
      <c r="G3662" s="400"/>
      <c r="H3662" s="396"/>
    </row>
    <row r="3663" spans="1:8" s="401" customFormat="1" ht="14.25" customHeight="1" x14ac:dyDescent="0.25">
      <c r="A3663" s="564">
        <v>4810</v>
      </c>
      <c r="B3663" s="562" t="s">
        <v>907</v>
      </c>
      <c r="C3663" s="403">
        <v>3990</v>
      </c>
      <c r="D3663" s="400"/>
      <c r="E3663" s="400"/>
      <c r="F3663" s="400"/>
      <c r="G3663" s="400"/>
      <c r="H3663" s="396"/>
    </row>
    <row r="3664" spans="1:8" s="401" customFormat="1" ht="14.25" customHeight="1" x14ac:dyDescent="0.25">
      <c r="A3664" s="564">
        <v>4812</v>
      </c>
      <c r="B3664" s="562" t="s">
        <v>907</v>
      </c>
      <c r="C3664" s="403">
        <v>3990</v>
      </c>
      <c r="D3664" s="400"/>
      <c r="E3664" s="400"/>
      <c r="F3664" s="400"/>
      <c r="G3664" s="400"/>
      <c r="H3664" s="396"/>
    </row>
    <row r="3665" spans="1:8" s="401" customFormat="1" ht="14.25" customHeight="1" x14ac:dyDescent="0.25">
      <c r="A3665" s="564">
        <v>4813</v>
      </c>
      <c r="B3665" s="562" t="s">
        <v>907</v>
      </c>
      <c r="C3665" s="403">
        <v>3990</v>
      </c>
      <c r="D3665" s="400"/>
      <c r="E3665" s="400"/>
      <c r="F3665" s="400"/>
      <c r="G3665" s="400"/>
      <c r="H3665" s="396"/>
    </row>
    <row r="3666" spans="1:8" s="401" customFormat="1" ht="14.25" customHeight="1" x14ac:dyDescent="0.25">
      <c r="A3666" s="564">
        <v>4823</v>
      </c>
      <c r="B3666" s="562" t="s">
        <v>907</v>
      </c>
      <c r="C3666" s="403">
        <v>3990</v>
      </c>
      <c r="D3666" s="400"/>
      <c r="E3666" s="400"/>
      <c r="F3666" s="400"/>
      <c r="G3666" s="400"/>
      <c r="H3666" s="396"/>
    </row>
    <row r="3667" spans="1:8" s="401" customFormat="1" ht="14.25" customHeight="1" x14ac:dyDescent="0.25">
      <c r="A3667" s="564">
        <v>4945</v>
      </c>
      <c r="B3667" s="562" t="s">
        <v>918</v>
      </c>
      <c r="C3667" s="403">
        <v>5500</v>
      </c>
      <c r="D3667" s="400"/>
      <c r="E3667" s="400"/>
      <c r="F3667" s="400"/>
      <c r="G3667" s="400"/>
      <c r="H3667" s="396"/>
    </row>
    <row r="3668" spans="1:8" s="401" customFormat="1" ht="14.25" customHeight="1" x14ac:dyDescent="0.25">
      <c r="A3668" s="564">
        <v>4946</v>
      </c>
      <c r="B3668" s="562" t="s">
        <v>918</v>
      </c>
      <c r="C3668" s="403">
        <v>5500</v>
      </c>
      <c r="D3668" s="400"/>
      <c r="E3668" s="400"/>
      <c r="F3668" s="400"/>
      <c r="G3668" s="400"/>
      <c r="H3668" s="396"/>
    </row>
    <row r="3669" spans="1:8" s="401" customFormat="1" ht="14.25" customHeight="1" x14ac:dyDescent="0.25">
      <c r="A3669" s="564">
        <v>4947</v>
      </c>
      <c r="B3669" s="562" t="s">
        <v>918</v>
      </c>
      <c r="C3669" s="403">
        <v>5500</v>
      </c>
      <c r="D3669" s="400"/>
      <c r="E3669" s="400"/>
      <c r="F3669" s="400"/>
      <c r="G3669" s="400"/>
      <c r="H3669" s="396"/>
    </row>
    <row r="3670" spans="1:8" s="401" customFormat="1" ht="14.25" customHeight="1" x14ac:dyDescent="0.25">
      <c r="A3670" s="564">
        <v>4911</v>
      </c>
      <c r="B3670" s="562" t="s">
        <v>919</v>
      </c>
      <c r="C3670" s="403">
        <v>1000</v>
      </c>
      <c r="D3670" s="400"/>
      <c r="E3670" s="400"/>
      <c r="F3670" s="400"/>
      <c r="G3670" s="400"/>
      <c r="H3670" s="396"/>
    </row>
    <row r="3671" spans="1:8" s="401" customFormat="1" ht="14.25" customHeight="1" x14ac:dyDescent="0.25">
      <c r="A3671" s="564">
        <v>4912</v>
      </c>
      <c r="B3671" s="562" t="s">
        <v>919</v>
      </c>
      <c r="C3671" s="403">
        <v>1000</v>
      </c>
      <c r="D3671" s="400"/>
      <c r="E3671" s="400"/>
      <c r="F3671" s="400"/>
      <c r="G3671" s="400"/>
      <c r="H3671" s="396"/>
    </row>
    <row r="3672" spans="1:8" s="401" customFormat="1" ht="14.25" customHeight="1" x14ac:dyDescent="0.25">
      <c r="A3672" s="564">
        <v>4913</v>
      </c>
      <c r="B3672" s="562" t="s">
        <v>920</v>
      </c>
      <c r="C3672" s="403">
        <v>400</v>
      </c>
      <c r="D3672" s="400"/>
      <c r="E3672" s="400"/>
      <c r="F3672" s="400"/>
      <c r="G3672" s="400"/>
      <c r="H3672" s="396"/>
    </row>
    <row r="3673" spans="1:8" s="401" customFormat="1" ht="14.25" customHeight="1" x14ac:dyDescent="0.25">
      <c r="A3673" s="564">
        <v>4915</v>
      </c>
      <c r="B3673" s="562" t="s">
        <v>920</v>
      </c>
      <c r="C3673" s="403">
        <v>400</v>
      </c>
      <c r="D3673" s="400"/>
      <c r="E3673" s="400"/>
      <c r="F3673" s="400"/>
      <c r="G3673" s="400"/>
      <c r="H3673" s="396"/>
    </row>
    <row r="3674" spans="1:8" s="401" customFormat="1" ht="14.25" customHeight="1" x14ac:dyDescent="0.25">
      <c r="A3674" s="564">
        <v>4918</v>
      </c>
      <c r="B3674" s="562" t="s">
        <v>920</v>
      </c>
      <c r="C3674" s="403">
        <v>400</v>
      </c>
      <c r="D3674" s="400"/>
      <c r="E3674" s="400"/>
      <c r="F3674" s="400"/>
      <c r="G3674" s="400"/>
      <c r="H3674" s="396"/>
    </row>
    <row r="3675" spans="1:8" s="401" customFormat="1" ht="14.25" customHeight="1" x14ac:dyDescent="0.25">
      <c r="A3675" s="564">
        <v>4919</v>
      </c>
      <c r="B3675" s="562" t="s">
        <v>920</v>
      </c>
      <c r="C3675" s="403">
        <v>400</v>
      </c>
      <c r="D3675" s="400"/>
      <c r="E3675" s="400"/>
      <c r="F3675" s="400"/>
      <c r="G3675" s="400"/>
      <c r="H3675" s="396"/>
    </row>
    <row r="3676" spans="1:8" s="401" customFormat="1" ht="14.25" customHeight="1" x14ac:dyDescent="0.25">
      <c r="A3676" s="564">
        <v>4920</v>
      </c>
      <c r="B3676" s="562" t="s">
        <v>920</v>
      </c>
      <c r="C3676" s="403">
        <v>400</v>
      </c>
      <c r="D3676" s="400"/>
      <c r="E3676" s="400"/>
      <c r="F3676" s="400"/>
      <c r="G3676" s="400"/>
      <c r="H3676" s="396"/>
    </row>
    <row r="3677" spans="1:8" s="401" customFormat="1" ht="14.25" customHeight="1" x14ac:dyDescent="0.25">
      <c r="A3677" s="564">
        <v>4921</v>
      </c>
      <c r="B3677" s="562" t="s">
        <v>920</v>
      </c>
      <c r="C3677" s="403">
        <v>400</v>
      </c>
      <c r="D3677" s="400"/>
      <c r="E3677" s="400"/>
      <c r="F3677" s="400"/>
      <c r="G3677" s="400"/>
      <c r="H3677" s="396"/>
    </row>
    <row r="3678" spans="1:8" s="401" customFormat="1" ht="14.25" customHeight="1" x14ac:dyDescent="0.25">
      <c r="A3678" s="564">
        <v>4923</v>
      </c>
      <c r="B3678" s="562" t="s">
        <v>920</v>
      </c>
      <c r="C3678" s="403">
        <v>400</v>
      </c>
      <c r="D3678" s="400"/>
      <c r="E3678" s="400"/>
      <c r="F3678" s="400"/>
      <c r="G3678" s="400"/>
      <c r="H3678" s="396"/>
    </row>
    <row r="3679" spans="1:8" s="401" customFormat="1" ht="14.25" customHeight="1" x14ac:dyDescent="0.25">
      <c r="A3679" s="564">
        <v>4924</v>
      </c>
      <c r="B3679" s="562" t="s">
        <v>920</v>
      </c>
      <c r="C3679" s="403">
        <v>400</v>
      </c>
      <c r="D3679" s="400"/>
      <c r="E3679" s="400"/>
      <c r="F3679" s="400"/>
      <c r="G3679" s="400"/>
      <c r="H3679" s="396"/>
    </row>
    <row r="3680" spans="1:8" s="401" customFormat="1" ht="14.25" customHeight="1" x14ac:dyDescent="0.25">
      <c r="A3680" s="564">
        <v>4926</v>
      </c>
      <c r="B3680" s="562" t="s">
        <v>920</v>
      </c>
      <c r="C3680" s="403">
        <v>400</v>
      </c>
      <c r="D3680" s="400"/>
      <c r="E3680" s="400"/>
      <c r="F3680" s="400"/>
      <c r="G3680" s="400"/>
      <c r="H3680" s="396"/>
    </row>
    <row r="3681" spans="1:8" s="401" customFormat="1" ht="14.25" customHeight="1" x14ac:dyDescent="0.25">
      <c r="A3681" s="564">
        <v>4929</v>
      </c>
      <c r="B3681" s="562" t="s">
        <v>920</v>
      </c>
      <c r="C3681" s="403">
        <v>400</v>
      </c>
      <c r="D3681" s="400"/>
      <c r="E3681" s="400"/>
      <c r="F3681" s="400"/>
      <c r="G3681" s="400"/>
      <c r="H3681" s="396"/>
    </row>
    <row r="3682" spans="1:8" s="401" customFormat="1" ht="14.25" customHeight="1" x14ac:dyDescent="0.25">
      <c r="A3682" s="564">
        <v>4932</v>
      </c>
      <c r="B3682" s="562" t="s">
        <v>920</v>
      </c>
      <c r="C3682" s="403">
        <v>400</v>
      </c>
      <c r="D3682" s="400"/>
      <c r="E3682" s="400"/>
      <c r="F3682" s="400"/>
      <c r="G3682" s="400"/>
      <c r="H3682" s="396"/>
    </row>
    <row r="3683" spans="1:8" s="401" customFormat="1" ht="14.25" customHeight="1" x14ac:dyDescent="0.25">
      <c r="A3683" s="564">
        <v>4981</v>
      </c>
      <c r="B3683" s="562" t="s">
        <v>920</v>
      </c>
      <c r="C3683" s="403">
        <v>400</v>
      </c>
      <c r="D3683" s="400"/>
      <c r="E3683" s="400"/>
      <c r="F3683" s="400"/>
      <c r="G3683" s="400"/>
      <c r="H3683" s="396"/>
    </row>
    <row r="3684" spans="1:8" s="401" customFormat="1" ht="14.25" customHeight="1" x14ac:dyDescent="0.25">
      <c r="A3684" s="564">
        <v>4982</v>
      </c>
      <c r="B3684" s="562" t="s">
        <v>920</v>
      </c>
      <c r="C3684" s="403">
        <v>400</v>
      </c>
      <c r="D3684" s="400"/>
      <c r="E3684" s="400"/>
      <c r="F3684" s="400"/>
      <c r="G3684" s="400"/>
      <c r="H3684" s="396"/>
    </row>
    <row r="3685" spans="1:8" s="401" customFormat="1" ht="14.25" customHeight="1" x14ac:dyDescent="0.25">
      <c r="A3685" s="564">
        <v>4983</v>
      </c>
      <c r="B3685" s="562" t="s">
        <v>920</v>
      </c>
      <c r="C3685" s="403">
        <v>400</v>
      </c>
      <c r="D3685" s="400"/>
      <c r="E3685" s="400"/>
      <c r="F3685" s="400"/>
      <c r="G3685" s="400"/>
      <c r="H3685" s="396"/>
    </row>
    <row r="3686" spans="1:8" s="401" customFormat="1" ht="14.25" customHeight="1" x14ac:dyDescent="0.25">
      <c r="A3686" s="564">
        <v>4984</v>
      </c>
      <c r="B3686" s="562" t="s">
        <v>920</v>
      </c>
      <c r="C3686" s="403">
        <v>400</v>
      </c>
      <c r="D3686" s="400"/>
      <c r="E3686" s="400"/>
      <c r="F3686" s="400"/>
      <c r="G3686" s="400"/>
      <c r="H3686" s="396"/>
    </row>
    <row r="3687" spans="1:8" s="401" customFormat="1" ht="14.25" customHeight="1" x14ac:dyDescent="0.25">
      <c r="A3687" s="564">
        <v>1682</v>
      </c>
      <c r="B3687" s="562" t="s">
        <v>827</v>
      </c>
      <c r="C3687" s="403">
        <v>5262</v>
      </c>
      <c r="D3687" s="400"/>
      <c r="E3687" s="400"/>
      <c r="F3687" s="400"/>
      <c r="G3687" s="400"/>
      <c r="H3687" s="396"/>
    </row>
    <row r="3688" spans="1:8" s="401" customFormat="1" ht="14.25" customHeight="1" x14ac:dyDescent="0.25">
      <c r="A3688" s="564">
        <v>2582</v>
      </c>
      <c r="B3688" s="562" t="s">
        <v>921</v>
      </c>
      <c r="C3688" s="403">
        <v>2025</v>
      </c>
      <c r="D3688" s="400"/>
      <c r="E3688" s="400"/>
      <c r="F3688" s="400"/>
      <c r="G3688" s="400"/>
      <c r="H3688" s="396"/>
    </row>
    <row r="3689" spans="1:8" s="401" customFormat="1" ht="14.25" customHeight="1" x14ac:dyDescent="0.25">
      <c r="A3689" s="564">
        <v>2687</v>
      </c>
      <c r="B3689" s="562" t="s">
        <v>922</v>
      </c>
      <c r="C3689" s="403">
        <v>1</v>
      </c>
      <c r="D3689" s="400"/>
      <c r="E3689" s="400"/>
      <c r="F3689" s="400"/>
      <c r="G3689" s="400"/>
      <c r="H3689" s="396"/>
    </row>
    <row r="3690" spans="1:8" s="401" customFormat="1" ht="14.25" customHeight="1" x14ac:dyDescent="0.25">
      <c r="A3690" s="564">
        <v>278</v>
      </c>
      <c r="B3690" s="562" t="s">
        <v>923</v>
      </c>
      <c r="C3690" s="403">
        <v>7250</v>
      </c>
      <c r="D3690" s="400"/>
      <c r="E3690" s="400"/>
      <c r="F3690" s="400"/>
      <c r="G3690" s="400"/>
      <c r="H3690" s="396"/>
    </row>
    <row r="3691" spans="1:8" s="401" customFormat="1" ht="14.25" customHeight="1" x14ac:dyDescent="0.25">
      <c r="A3691" s="564">
        <v>281</v>
      </c>
      <c r="B3691" s="562" t="s">
        <v>924</v>
      </c>
      <c r="C3691" s="403">
        <v>1</v>
      </c>
      <c r="D3691" s="400"/>
      <c r="E3691" s="400"/>
      <c r="F3691" s="400"/>
      <c r="G3691" s="400"/>
      <c r="H3691" s="396"/>
    </row>
    <row r="3692" spans="1:8" s="401" customFormat="1" ht="14.25" customHeight="1" x14ac:dyDescent="0.25">
      <c r="A3692" s="564">
        <v>480</v>
      </c>
      <c r="B3692" s="562" t="s">
        <v>925</v>
      </c>
      <c r="C3692" s="403">
        <v>1</v>
      </c>
      <c r="D3692" s="400"/>
      <c r="E3692" s="400"/>
      <c r="F3692" s="400"/>
      <c r="G3692" s="400"/>
      <c r="H3692" s="396"/>
    </row>
    <row r="3693" spans="1:8" s="401" customFormat="1" ht="14.25" customHeight="1" x14ac:dyDescent="0.25">
      <c r="A3693" s="564">
        <v>625</v>
      </c>
      <c r="B3693" s="562" t="s">
        <v>926</v>
      </c>
      <c r="C3693" s="403">
        <v>3141</v>
      </c>
      <c r="D3693" s="400"/>
      <c r="E3693" s="400"/>
      <c r="F3693" s="400"/>
      <c r="G3693" s="400"/>
      <c r="H3693" s="396"/>
    </row>
    <row r="3694" spans="1:8" s="401" customFormat="1" ht="14.25" customHeight="1" x14ac:dyDescent="0.25">
      <c r="A3694" s="564">
        <v>4948</v>
      </c>
      <c r="B3694" s="562" t="s">
        <v>927</v>
      </c>
      <c r="C3694" s="403">
        <v>22102</v>
      </c>
      <c r="D3694" s="400"/>
      <c r="E3694" s="400"/>
      <c r="F3694" s="400"/>
      <c r="G3694" s="400"/>
      <c r="H3694" s="396"/>
    </row>
    <row r="3695" spans="1:8" s="401" customFormat="1" ht="14.25" customHeight="1" x14ac:dyDescent="0.25">
      <c r="A3695" s="564">
        <v>753</v>
      </c>
      <c r="B3695" s="562" t="s">
        <v>921</v>
      </c>
      <c r="C3695" s="403">
        <v>3396.59</v>
      </c>
      <c r="D3695" s="400"/>
      <c r="E3695" s="400"/>
      <c r="F3695" s="400"/>
      <c r="G3695" s="400"/>
      <c r="H3695" s="396"/>
    </row>
    <row r="3696" spans="1:8" s="401" customFormat="1" ht="14.25" customHeight="1" x14ac:dyDescent="0.25">
      <c r="A3696" s="564">
        <v>814</v>
      </c>
      <c r="B3696" s="562" t="s">
        <v>924</v>
      </c>
      <c r="C3696" s="403">
        <v>380</v>
      </c>
      <c r="D3696" s="400"/>
      <c r="E3696" s="400"/>
      <c r="F3696" s="400"/>
      <c r="G3696" s="400"/>
      <c r="H3696" s="396"/>
    </row>
    <row r="3697" spans="1:8" s="401" customFormat="1" ht="14.25" customHeight="1" x14ac:dyDescent="0.25">
      <c r="A3697" s="564">
        <v>816</v>
      </c>
      <c r="B3697" s="562" t="s">
        <v>924</v>
      </c>
      <c r="C3697" s="403">
        <v>380</v>
      </c>
      <c r="D3697" s="400"/>
      <c r="E3697" s="400"/>
      <c r="F3697" s="400"/>
      <c r="G3697" s="400"/>
      <c r="H3697" s="396"/>
    </row>
    <row r="3698" spans="1:8" s="401" customFormat="1" ht="14.25" customHeight="1" x14ac:dyDescent="0.25">
      <c r="A3698" s="564">
        <v>818</v>
      </c>
      <c r="B3698" s="562" t="s">
        <v>924</v>
      </c>
      <c r="C3698" s="403">
        <v>380</v>
      </c>
      <c r="D3698" s="400"/>
      <c r="E3698" s="400"/>
      <c r="F3698" s="400"/>
      <c r="G3698" s="400"/>
      <c r="H3698" s="396"/>
    </row>
    <row r="3699" spans="1:8" s="401" customFormat="1" ht="14.25" customHeight="1" x14ac:dyDescent="0.25">
      <c r="A3699" s="564">
        <v>820</v>
      </c>
      <c r="B3699" s="562" t="s">
        <v>924</v>
      </c>
      <c r="C3699" s="403">
        <v>380</v>
      </c>
      <c r="D3699" s="400"/>
      <c r="E3699" s="400"/>
      <c r="F3699" s="400"/>
      <c r="G3699" s="400"/>
      <c r="H3699" s="396"/>
    </row>
    <row r="3700" spans="1:8" s="401" customFormat="1" ht="14.25" customHeight="1" x14ac:dyDescent="0.25">
      <c r="A3700" s="564">
        <v>823</v>
      </c>
      <c r="B3700" s="562" t="s">
        <v>924</v>
      </c>
      <c r="C3700" s="403">
        <v>380</v>
      </c>
      <c r="D3700" s="400"/>
      <c r="E3700" s="400"/>
      <c r="F3700" s="400"/>
      <c r="G3700" s="400"/>
      <c r="H3700" s="396"/>
    </row>
    <row r="3701" spans="1:8" s="401" customFormat="1" ht="14.25" customHeight="1" x14ac:dyDescent="0.25">
      <c r="A3701" s="564">
        <v>840</v>
      </c>
      <c r="B3701" s="562" t="s">
        <v>925</v>
      </c>
      <c r="C3701" s="403">
        <v>1322</v>
      </c>
      <c r="D3701" s="400"/>
      <c r="E3701" s="400"/>
      <c r="F3701" s="400"/>
      <c r="G3701" s="400"/>
      <c r="H3701" s="396"/>
    </row>
    <row r="3702" spans="1:8" s="401" customFormat="1" ht="14.25" customHeight="1" x14ac:dyDescent="0.25">
      <c r="A3702" s="564">
        <v>1738</v>
      </c>
      <c r="B3702" s="562" t="s">
        <v>928</v>
      </c>
      <c r="C3702" s="403">
        <v>1449.17</v>
      </c>
      <c r="D3702" s="400"/>
      <c r="E3702" s="400"/>
      <c r="F3702" s="400"/>
      <c r="G3702" s="400"/>
      <c r="H3702" s="396"/>
    </row>
    <row r="3703" spans="1:8" s="401" customFormat="1" ht="14.25" customHeight="1" x14ac:dyDescent="0.25">
      <c r="A3703" s="564">
        <v>1743</v>
      </c>
      <c r="B3703" s="562" t="s">
        <v>928</v>
      </c>
      <c r="C3703" s="403">
        <v>1449.17</v>
      </c>
      <c r="D3703" s="400"/>
      <c r="E3703" s="400"/>
      <c r="F3703" s="400"/>
      <c r="G3703" s="400"/>
      <c r="H3703" s="396"/>
    </row>
    <row r="3704" spans="1:8" s="401" customFormat="1" ht="14.25" customHeight="1" x14ac:dyDescent="0.25">
      <c r="A3704" s="564">
        <v>1746</v>
      </c>
      <c r="B3704" s="562" t="s">
        <v>928</v>
      </c>
      <c r="C3704" s="403">
        <v>1449.17</v>
      </c>
      <c r="D3704" s="400"/>
      <c r="E3704" s="400"/>
      <c r="F3704" s="400"/>
      <c r="G3704" s="400"/>
      <c r="H3704" s="396"/>
    </row>
    <row r="3705" spans="1:8" s="401" customFormat="1" ht="14.25" customHeight="1" x14ac:dyDescent="0.25">
      <c r="A3705" s="564">
        <v>1751</v>
      </c>
      <c r="B3705" s="562" t="s">
        <v>928</v>
      </c>
      <c r="C3705" s="403">
        <v>1449.17</v>
      </c>
      <c r="D3705" s="400"/>
      <c r="E3705" s="400"/>
      <c r="F3705" s="400"/>
      <c r="G3705" s="400"/>
      <c r="H3705" s="396"/>
    </row>
    <row r="3706" spans="1:8" s="401" customFormat="1" ht="14.25" customHeight="1" x14ac:dyDescent="0.25">
      <c r="A3706" s="564">
        <v>1772</v>
      </c>
      <c r="B3706" s="562" t="s">
        <v>925</v>
      </c>
      <c r="C3706" s="403">
        <v>2113</v>
      </c>
      <c r="D3706" s="400"/>
      <c r="E3706" s="400"/>
      <c r="F3706" s="400"/>
      <c r="G3706" s="400"/>
      <c r="H3706" s="396"/>
    </row>
    <row r="3707" spans="1:8" s="401" customFormat="1" ht="14.25" customHeight="1" x14ac:dyDescent="0.25">
      <c r="A3707" s="564">
        <v>1773</v>
      </c>
      <c r="B3707" s="562" t="s">
        <v>925</v>
      </c>
      <c r="C3707" s="403">
        <v>2113</v>
      </c>
      <c r="D3707" s="400"/>
      <c r="E3707" s="400"/>
      <c r="F3707" s="400"/>
      <c r="G3707" s="400"/>
      <c r="H3707" s="396"/>
    </row>
    <row r="3708" spans="1:8" s="401" customFormat="1" ht="14.25" customHeight="1" x14ac:dyDescent="0.25">
      <c r="A3708" s="564">
        <v>1774</v>
      </c>
      <c r="B3708" s="562" t="s">
        <v>925</v>
      </c>
      <c r="C3708" s="403">
        <v>2213</v>
      </c>
      <c r="D3708" s="400"/>
      <c r="E3708" s="400"/>
      <c r="F3708" s="400"/>
      <c r="G3708" s="400"/>
      <c r="H3708" s="396"/>
    </row>
    <row r="3709" spans="1:8" s="401" customFormat="1" ht="14.25" customHeight="1" x14ac:dyDescent="0.25">
      <c r="A3709" s="564">
        <v>1775</v>
      </c>
      <c r="B3709" s="562" t="s">
        <v>921</v>
      </c>
      <c r="C3709" s="403">
        <v>1</v>
      </c>
      <c r="D3709" s="400"/>
      <c r="E3709" s="400"/>
      <c r="F3709" s="400"/>
      <c r="G3709" s="400"/>
      <c r="H3709" s="396"/>
    </row>
    <row r="3710" spans="1:8" s="401" customFormat="1" ht="14.25" customHeight="1" x14ac:dyDescent="0.25">
      <c r="A3710" s="564">
        <v>4487</v>
      </c>
      <c r="B3710" s="562" t="s">
        <v>929</v>
      </c>
      <c r="C3710" s="403">
        <v>2625</v>
      </c>
      <c r="D3710" s="400"/>
      <c r="E3710" s="400"/>
      <c r="F3710" s="400"/>
      <c r="G3710" s="400"/>
      <c r="H3710" s="396"/>
    </row>
    <row r="3711" spans="1:8" s="401" customFormat="1" ht="14.25" customHeight="1" x14ac:dyDescent="0.25">
      <c r="A3711" s="564">
        <v>4489</v>
      </c>
      <c r="B3711" s="562" t="s">
        <v>929</v>
      </c>
      <c r="C3711" s="403">
        <v>2625</v>
      </c>
      <c r="D3711" s="400"/>
      <c r="E3711" s="400"/>
      <c r="F3711" s="400"/>
      <c r="G3711" s="400"/>
      <c r="H3711" s="396"/>
    </row>
    <row r="3712" spans="1:8" s="401" customFormat="1" ht="14.25" customHeight="1" x14ac:dyDescent="0.25">
      <c r="A3712" s="564">
        <v>4497</v>
      </c>
      <c r="B3712" s="562" t="s">
        <v>929</v>
      </c>
      <c r="C3712" s="403">
        <v>2625</v>
      </c>
      <c r="D3712" s="400"/>
      <c r="E3712" s="400"/>
      <c r="F3712" s="400"/>
      <c r="G3712" s="400"/>
      <c r="H3712" s="396"/>
    </row>
    <row r="3713" spans="1:8" s="401" customFormat="1" ht="14.25" customHeight="1" x14ac:dyDescent="0.25">
      <c r="A3713" s="564">
        <v>1476</v>
      </c>
      <c r="B3713" s="562" t="s">
        <v>930</v>
      </c>
      <c r="C3713" s="403">
        <v>1</v>
      </c>
      <c r="D3713" s="400"/>
      <c r="E3713" s="400"/>
      <c r="F3713" s="400"/>
      <c r="G3713" s="400"/>
      <c r="H3713" s="396"/>
    </row>
    <row r="3714" spans="1:8" s="401" customFormat="1" ht="14.25" customHeight="1" x14ac:dyDescent="0.25">
      <c r="A3714" s="564">
        <v>1110</v>
      </c>
      <c r="B3714" s="562" t="s">
        <v>926</v>
      </c>
      <c r="C3714" s="403">
        <v>3141</v>
      </c>
      <c r="D3714" s="400"/>
      <c r="E3714" s="400"/>
      <c r="F3714" s="400"/>
      <c r="G3714" s="400"/>
      <c r="H3714" s="396"/>
    </row>
    <row r="3715" spans="1:8" s="401" customFormat="1" ht="14.25" customHeight="1" x14ac:dyDescent="0.25">
      <c r="A3715" s="564">
        <v>1276</v>
      </c>
      <c r="B3715" s="562" t="s">
        <v>930</v>
      </c>
      <c r="C3715" s="403">
        <v>1</v>
      </c>
      <c r="D3715" s="400"/>
      <c r="E3715" s="400"/>
      <c r="F3715" s="400"/>
      <c r="G3715" s="400"/>
      <c r="H3715" s="396"/>
    </row>
    <row r="3716" spans="1:8" s="401" customFormat="1" ht="14.25" customHeight="1" x14ac:dyDescent="0.25">
      <c r="A3716" s="564">
        <v>1377</v>
      </c>
      <c r="B3716" s="562" t="s">
        <v>931</v>
      </c>
      <c r="C3716" s="403">
        <v>4414</v>
      </c>
      <c r="D3716" s="400"/>
      <c r="E3716" s="400"/>
      <c r="F3716" s="400"/>
      <c r="G3716" s="400"/>
      <c r="H3716" s="396"/>
    </row>
    <row r="3717" spans="1:8" s="401" customFormat="1" ht="14.25" customHeight="1" x14ac:dyDescent="0.25">
      <c r="A3717" s="564">
        <v>1378</v>
      </c>
      <c r="B3717" s="562" t="s">
        <v>931</v>
      </c>
      <c r="C3717" s="403">
        <v>4414</v>
      </c>
      <c r="D3717" s="400"/>
      <c r="E3717" s="400"/>
      <c r="F3717" s="400"/>
      <c r="G3717" s="400"/>
      <c r="H3717" s="396"/>
    </row>
    <row r="3718" spans="1:8" s="401" customFormat="1" ht="14.25" customHeight="1" x14ac:dyDescent="0.25">
      <c r="A3718" s="564">
        <v>1380</v>
      </c>
      <c r="B3718" s="562" t="s">
        <v>931</v>
      </c>
      <c r="C3718" s="403">
        <v>4413.7</v>
      </c>
      <c r="D3718" s="400"/>
      <c r="E3718" s="400"/>
      <c r="F3718" s="400"/>
      <c r="G3718" s="400"/>
      <c r="H3718" s="396"/>
    </row>
    <row r="3719" spans="1:8" s="401" customFormat="1" ht="14.25" customHeight="1" x14ac:dyDescent="0.25">
      <c r="A3719" s="564">
        <v>1470</v>
      </c>
      <c r="B3719" s="562" t="s">
        <v>932</v>
      </c>
      <c r="C3719" s="403">
        <v>1</v>
      </c>
      <c r="D3719" s="400"/>
      <c r="E3719" s="400"/>
      <c r="F3719" s="400"/>
      <c r="G3719" s="400"/>
      <c r="H3719" s="396"/>
    </row>
    <row r="3720" spans="1:8" s="401" customFormat="1" ht="14.25" customHeight="1" x14ac:dyDescent="0.25">
      <c r="A3720" s="564">
        <v>1498</v>
      </c>
      <c r="B3720" s="562" t="s">
        <v>933</v>
      </c>
      <c r="C3720" s="403">
        <v>1</v>
      </c>
      <c r="D3720" s="400"/>
      <c r="E3720" s="400"/>
      <c r="F3720" s="400"/>
      <c r="G3720" s="400"/>
      <c r="H3720" s="396"/>
    </row>
    <row r="3721" spans="1:8" s="401" customFormat="1" ht="14.25" customHeight="1" x14ac:dyDescent="0.25">
      <c r="A3721" s="564">
        <v>1574</v>
      </c>
      <c r="B3721" s="562" t="s">
        <v>934</v>
      </c>
      <c r="C3721" s="403">
        <v>1</v>
      </c>
      <c r="D3721" s="400"/>
      <c r="E3721" s="400"/>
      <c r="F3721" s="400"/>
      <c r="G3721" s="400"/>
      <c r="H3721" s="396"/>
    </row>
    <row r="3722" spans="1:8" s="401" customFormat="1" ht="14.25" customHeight="1" x14ac:dyDescent="0.25">
      <c r="A3722" s="564">
        <v>1584</v>
      </c>
      <c r="B3722" s="562" t="s">
        <v>921</v>
      </c>
      <c r="C3722" s="403">
        <v>1</v>
      </c>
      <c r="D3722" s="400"/>
      <c r="E3722" s="400"/>
      <c r="F3722" s="400"/>
      <c r="G3722" s="400"/>
      <c r="H3722" s="396"/>
    </row>
    <row r="3723" spans="1:8" s="401" customFormat="1" ht="14.25" customHeight="1" x14ac:dyDescent="0.25">
      <c r="A3723" s="564">
        <v>1623</v>
      </c>
      <c r="B3723" s="562" t="s">
        <v>827</v>
      </c>
      <c r="C3723" s="403">
        <v>2415</v>
      </c>
      <c r="D3723" s="400"/>
      <c r="E3723" s="400"/>
      <c r="F3723" s="400"/>
      <c r="G3723" s="400"/>
      <c r="H3723" s="396"/>
    </row>
    <row r="3724" spans="1:8" s="401" customFormat="1" ht="14.25" customHeight="1" x14ac:dyDescent="0.25">
      <c r="A3724" s="564">
        <v>4829</v>
      </c>
      <c r="B3724" s="562" t="s">
        <v>935</v>
      </c>
      <c r="C3724" s="403">
        <v>14674</v>
      </c>
      <c r="D3724" s="400"/>
      <c r="E3724" s="400"/>
      <c r="F3724" s="400"/>
      <c r="G3724" s="400"/>
      <c r="H3724" s="396"/>
    </row>
    <row r="3725" spans="1:8" s="401" customFormat="1" ht="14.25" customHeight="1" x14ac:dyDescent="0.25">
      <c r="A3725" s="564">
        <v>2431</v>
      </c>
      <c r="B3725" s="562" t="s">
        <v>921</v>
      </c>
      <c r="C3725" s="403">
        <v>999</v>
      </c>
      <c r="D3725" s="400"/>
      <c r="E3725" s="400"/>
      <c r="F3725" s="400"/>
      <c r="G3725" s="400"/>
      <c r="H3725" s="396"/>
    </row>
    <row r="3726" spans="1:8" s="401" customFormat="1" ht="14.25" customHeight="1" x14ac:dyDescent="0.25">
      <c r="A3726" s="564">
        <v>5015</v>
      </c>
      <c r="B3726" s="562" t="s">
        <v>936</v>
      </c>
      <c r="C3726" s="403">
        <v>10719.86</v>
      </c>
      <c r="D3726" s="400"/>
      <c r="E3726" s="400"/>
      <c r="F3726" s="400"/>
      <c r="G3726" s="400"/>
      <c r="H3726" s="396"/>
    </row>
    <row r="3727" spans="1:8" s="401" customFormat="1" ht="14.25" customHeight="1" x14ac:dyDescent="0.25">
      <c r="A3727" s="564">
        <v>1869</v>
      </c>
      <c r="B3727" s="562" t="s">
        <v>827</v>
      </c>
      <c r="C3727" s="403">
        <v>690</v>
      </c>
      <c r="D3727" s="400"/>
      <c r="E3727" s="400"/>
      <c r="F3727" s="400"/>
      <c r="G3727" s="400"/>
      <c r="H3727" s="396"/>
    </row>
    <row r="3728" spans="1:8" s="401" customFormat="1" ht="14.25" customHeight="1" x14ac:dyDescent="0.25">
      <c r="A3728" s="564">
        <v>3103</v>
      </c>
      <c r="B3728" s="562" t="s">
        <v>929</v>
      </c>
      <c r="C3728" s="403">
        <v>2475.98</v>
      </c>
      <c r="D3728" s="400"/>
      <c r="E3728" s="400"/>
      <c r="F3728" s="400"/>
      <c r="G3728" s="400"/>
      <c r="H3728" s="396"/>
    </row>
    <row r="3729" spans="1:8" s="401" customFormat="1" ht="14.25" customHeight="1" x14ac:dyDescent="0.25">
      <c r="A3729" s="564">
        <v>3236</v>
      </c>
      <c r="B3729" s="562" t="s">
        <v>921</v>
      </c>
      <c r="C3729" s="403">
        <v>448</v>
      </c>
      <c r="D3729" s="400"/>
      <c r="E3729" s="400"/>
      <c r="F3729" s="400"/>
      <c r="G3729" s="400"/>
      <c r="H3729" s="396"/>
    </row>
    <row r="3730" spans="1:8" s="401" customFormat="1" ht="14.25" customHeight="1" x14ac:dyDescent="0.25">
      <c r="A3730" s="564">
        <v>3242</v>
      </c>
      <c r="B3730" s="562" t="s">
        <v>921</v>
      </c>
      <c r="C3730" s="403">
        <v>2716.72</v>
      </c>
      <c r="D3730" s="400"/>
      <c r="E3730" s="400"/>
      <c r="F3730" s="400"/>
      <c r="G3730" s="400"/>
      <c r="H3730" s="396"/>
    </row>
    <row r="3731" spans="1:8" s="401" customFormat="1" ht="14.25" customHeight="1" x14ac:dyDescent="0.25">
      <c r="A3731" s="564">
        <v>3246</v>
      </c>
      <c r="B3731" s="562" t="s">
        <v>921</v>
      </c>
      <c r="C3731" s="403">
        <v>3114.7</v>
      </c>
      <c r="D3731" s="400"/>
      <c r="E3731" s="400"/>
      <c r="F3731" s="400"/>
      <c r="G3731" s="400"/>
      <c r="H3731" s="396"/>
    </row>
    <row r="3732" spans="1:8" s="401" customFormat="1" ht="14.25" customHeight="1" x14ac:dyDescent="0.25">
      <c r="A3732" s="564">
        <v>3284</v>
      </c>
      <c r="B3732" s="562" t="s">
        <v>926</v>
      </c>
      <c r="C3732" s="403">
        <v>5627.16</v>
      </c>
      <c r="D3732" s="400"/>
      <c r="E3732" s="400"/>
      <c r="F3732" s="400"/>
      <c r="G3732" s="400"/>
      <c r="H3732" s="396"/>
    </row>
    <row r="3733" spans="1:8" s="401" customFormat="1" ht="14.25" customHeight="1" x14ac:dyDescent="0.25">
      <c r="A3733" s="564">
        <v>3354</v>
      </c>
      <c r="B3733" s="562" t="s">
        <v>937</v>
      </c>
      <c r="C3733" s="403">
        <v>5983.28</v>
      </c>
      <c r="D3733" s="400"/>
      <c r="E3733" s="400"/>
      <c r="F3733" s="400"/>
      <c r="G3733" s="400"/>
      <c r="H3733" s="396"/>
    </row>
    <row r="3734" spans="1:8" s="401" customFormat="1" ht="14.25" customHeight="1" x14ac:dyDescent="0.25">
      <c r="A3734" s="564">
        <v>2035</v>
      </c>
      <c r="B3734" s="562" t="s">
        <v>925</v>
      </c>
      <c r="C3734" s="403">
        <v>2101</v>
      </c>
      <c r="D3734" s="400"/>
      <c r="E3734" s="400"/>
      <c r="F3734" s="400"/>
      <c r="G3734" s="400"/>
      <c r="H3734" s="396"/>
    </row>
    <row r="3735" spans="1:8" s="401" customFormat="1" ht="14.25" customHeight="1" x14ac:dyDescent="0.25">
      <c r="A3735" s="564">
        <v>2062</v>
      </c>
      <c r="B3735" s="562" t="s">
        <v>921</v>
      </c>
      <c r="C3735" s="403">
        <v>776</v>
      </c>
      <c r="D3735" s="400"/>
      <c r="E3735" s="400"/>
      <c r="F3735" s="400"/>
      <c r="G3735" s="400"/>
      <c r="H3735" s="396"/>
    </row>
    <row r="3736" spans="1:8" s="401" customFormat="1" ht="14.25" customHeight="1" x14ac:dyDescent="0.25">
      <c r="A3736" s="564">
        <v>2066</v>
      </c>
      <c r="B3736" s="562" t="s">
        <v>938</v>
      </c>
      <c r="C3736" s="403">
        <v>466</v>
      </c>
      <c r="D3736" s="400"/>
      <c r="E3736" s="400"/>
      <c r="F3736" s="400"/>
      <c r="G3736" s="400"/>
      <c r="H3736" s="396"/>
    </row>
    <row r="3737" spans="1:8" s="401" customFormat="1" ht="14.25" customHeight="1" x14ac:dyDescent="0.25">
      <c r="A3737" s="564">
        <v>2080</v>
      </c>
      <c r="B3737" s="562" t="s">
        <v>938</v>
      </c>
      <c r="C3737" s="403">
        <v>525</v>
      </c>
      <c r="D3737" s="400"/>
      <c r="E3737" s="400"/>
      <c r="F3737" s="400"/>
      <c r="G3737" s="400"/>
      <c r="H3737" s="396"/>
    </row>
    <row r="3738" spans="1:8" s="401" customFormat="1" ht="14.25" customHeight="1" x14ac:dyDescent="0.25">
      <c r="A3738" s="564">
        <v>3031</v>
      </c>
      <c r="B3738" s="562" t="s">
        <v>923</v>
      </c>
      <c r="C3738" s="403">
        <v>5488</v>
      </c>
      <c r="D3738" s="400"/>
      <c r="E3738" s="400"/>
      <c r="F3738" s="400"/>
      <c r="G3738" s="400"/>
      <c r="H3738" s="396"/>
    </row>
    <row r="3739" spans="1:8" s="401" customFormat="1" ht="14.25" customHeight="1" x14ac:dyDescent="0.25">
      <c r="A3739" s="564">
        <v>3072</v>
      </c>
      <c r="B3739" s="562" t="s">
        <v>926</v>
      </c>
      <c r="C3739" s="403">
        <v>4991</v>
      </c>
      <c r="D3739" s="400"/>
      <c r="E3739" s="400"/>
      <c r="F3739" s="400"/>
      <c r="G3739" s="400"/>
      <c r="H3739" s="396"/>
    </row>
    <row r="3740" spans="1:8" s="401" customFormat="1" ht="14.25" customHeight="1" x14ac:dyDescent="0.25">
      <c r="A3740" s="564">
        <v>3130</v>
      </c>
      <c r="B3740" s="562" t="s">
        <v>939</v>
      </c>
      <c r="C3740" s="403">
        <v>1</v>
      </c>
      <c r="D3740" s="400"/>
      <c r="E3740" s="400"/>
      <c r="F3740" s="400"/>
      <c r="G3740" s="400"/>
      <c r="H3740" s="396"/>
    </row>
    <row r="3741" spans="1:8" s="401" customFormat="1" ht="14.25" customHeight="1" x14ac:dyDescent="0.25">
      <c r="A3741" s="564">
        <v>3988</v>
      </c>
      <c r="B3741" s="562" t="s">
        <v>926</v>
      </c>
      <c r="C3741" s="403">
        <v>5627.16</v>
      </c>
      <c r="D3741" s="400"/>
      <c r="E3741" s="400"/>
      <c r="F3741" s="400"/>
      <c r="G3741" s="400"/>
      <c r="H3741" s="396"/>
    </row>
    <row r="3742" spans="1:8" s="401" customFormat="1" ht="14.25" customHeight="1" x14ac:dyDescent="0.25">
      <c r="A3742" s="564">
        <v>3991</v>
      </c>
      <c r="B3742" s="562" t="s">
        <v>921</v>
      </c>
      <c r="C3742" s="403">
        <v>1600</v>
      </c>
      <c r="D3742" s="400"/>
      <c r="E3742" s="400"/>
      <c r="F3742" s="400"/>
      <c r="G3742" s="400"/>
      <c r="H3742" s="396"/>
    </row>
    <row r="3743" spans="1:8" s="401" customFormat="1" ht="14.25" customHeight="1" x14ac:dyDescent="0.25">
      <c r="A3743" s="564">
        <v>3994</v>
      </c>
      <c r="B3743" s="562" t="s">
        <v>921</v>
      </c>
      <c r="C3743" s="403">
        <v>2019</v>
      </c>
      <c r="D3743" s="400"/>
      <c r="E3743" s="400"/>
      <c r="F3743" s="400"/>
      <c r="G3743" s="400"/>
      <c r="H3743" s="396"/>
    </row>
    <row r="3744" spans="1:8" s="401" customFormat="1" ht="14.25" customHeight="1" x14ac:dyDescent="0.25">
      <c r="A3744" s="564">
        <v>3998</v>
      </c>
      <c r="B3744" s="562" t="s">
        <v>921</v>
      </c>
      <c r="C3744" s="403">
        <v>5222</v>
      </c>
      <c r="D3744" s="400"/>
      <c r="E3744" s="400"/>
      <c r="F3744" s="400"/>
      <c r="G3744" s="400"/>
      <c r="H3744" s="396"/>
    </row>
    <row r="3745" spans="1:8" s="401" customFormat="1" ht="14.25" customHeight="1" x14ac:dyDescent="0.25">
      <c r="A3745" s="564">
        <v>4001</v>
      </c>
      <c r="B3745" s="562" t="s">
        <v>921</v>
      </c>
      <c r="C3745" s="403">
        <v>3773.8</v>
      </c>
      <c r="D3745" s="400"/>
      <c r="E3745" s="400"/>
      <c r="F3745" s="400"/>
      <c r="G3745" s="400"/>
      <c r="H3745" s="396"/>
    </row>
    <row r="3746" spans="1:8" s="401" customFormat="1" ht="14.25" customHeight="1" x14ac:dyDescent="0.25">
      <c r="A3746" s="564">
        <v>4226</v>
      </c>
      <c r="B3746" s="562" t="s">
        <v>929</v>
      </c>
      <c r="C3746" s="403">
        <v>2430.13</v>
      </c>
      <c r="D3746" s="400"/>
      <c r="E3746" s="400"/>
      <c r="F3746" s="400"/>
      <c r="G3746" s="400"/>
      <c r="H3746" s="396"/>
    </row>
    <row r="3747" spans="1:8" s="401" customFormat="1" ht="14.25" customHeight="1" x14ac:dyDescent="0.25">
      <c r="A3747" s="564">
        <v>4235</v>
      </c>
      <c r="B3747" s="562" t="s">
        <v>926</v>
      </c>
      <c r="C3747" s="403">
        <v>5627.16</v>
      </c>
      <c r="D3747" s="400"/>
      <c r="E3747" s="400"/>
      <c r="F3747" s="400"/>
      <c r="G3747" s="400"/>
      <c r="H3747" s="396"/>
    </row>
    <row r="3748" spans="1:8" s="401" customFormat="1" ht="14.25" customHeight="1" x14ac:dyDescent="0.25">
      <c r="A3748" s="564">
        <v>3035</v>
      </c>
      <c r="B3748" s="562" t="s">
        <v>921</v>
      </c>
      <c r="C3748" s="403">
        <v>1457</v>
      </c>
      <c r="D3748" s="400"/>
      <c r="E3748" s="400"/>
      <c r="F3748" s="400"/>
      <c r="G3748" s="400"/>
      <c r="H3748" s="396"/>
    </row>
    <row r="3749" spans="1:8" s="401" customFormat="1" ht="14.25" customHeight="1" x14ac:dyDescent="0.25">
      <c r="A3749" s="564">
        <v>3037</v>
      </c>
      <c r="B3749" s="562" t="s">
        <v>921</v>
      </c>
      <c r="C3749" s="403">
        <v>1068</v>
      </c>
      <c r="D3749" s="400"/>
      <c r="E3749" s="400"/>
      <c r="F3749" s="400"/>
      <c r="G3749" s="400"/>
      <c r="H3749" s="396"/>
    </row>
    <row r="3750" spans="1:8" s="401" customFormat="1" ht="14.25" customHeight="1" x14ac:dyDescent="0.25">
      <c r="A3750" s="564">
        <v>3039</v>
      </c>
      <c r="B3750" s="562" t="s">
        <v>921</v>
      </c>
      <c r="C3750" s="403">
        <v>1068</v>
      </c>
      <c r="D3750" s="400"/>
      <c r="E3750" s="400"/>
      <c r="F3750" s="400"/>
      <c r="G3750" s="400"/>
      <c r="H3750" s="396"/>
    </row>
    <row r="3751" spans="1:8" s="401" customFormat="1" ht="14.25" customHeight="1" x14ac:dyDescent="0.25">
      <c r="A3751" s="564">
        <v>3040</v>
      </c>
      <c r="B3751" s="562" t="s">
        <v>921</v>
      </c>
      <c r="C3751" s="403">
        <v>1068</v>
      </c>
      <c r="D3751" s="400"/>
      <c r="E3751" s="400"/>
      <c r="F3751" s="400"/>
      <c r="G3751" s="400"/>
      <c r="H3751" s="396"/>
    </row>
    <row r="3752" spans="1:8" s="401" customFormat="1" ht="14.25" customHeight="1" x14ac:dyDescent="0.25">
      <c r="A3752" s="564">
        <v>3044</v>
      </c>
      <c r="B3752" s="562" t="s">
        <v>921</v>
      </c>
      <c r="C3752" s="403">
        <v>6472.8</v>
      </c>
      <c r="D3752" s="400"/>
      <c r="E3752" s="400"/>
      <c r="F3752" s="400"/>
      <c r="G3752" s="400"/>
      <c r="H3752" s="396"/>
    </row>
    <row r="3753" spans="1:8" s="401" customFormat="1" ht="14.25" customHeight="1" x14ac:dyDescent="0.25">
      <c r="A3753" s="564">
        <v>3045</v>
      </c>
      <c r="B3753" s="562" t="s">
        <v>921</v>
      </c>
      <c r="C3753" s="403">
        <v>7157.2</v>
      </c>
      <c r="D3753" s="400"/>
      <c r="E3753" s="400"/>
      <c r="F3753" s="400"/>
      <c r="G3753" s="400"/>
      <c r="H3753" s="396"/>
    </row>
    <row r="3754" spans="1:8" s="401" customFormat="1" ht="14.25" customHeight="1" x14ac:dyDescent="0.25">
      <c r="A3754" s="564">
        <v>3046</v>
      </c>
      <c r="B3754" s="562" t="s">
        <v>921</v>
      </c>
      <c r="C3754" s="403">
        <v>2610</v>
      </c>
      <c r="D3754" s="400"/>
      <c r="E3754" s="400"/>
      <c r="F3754" s="400"/>
      <c r="G3754" s="400"/>
      <c r="H3754" s="396"/>
    </row>
    <row r="3755" spans="1:8" s="401" customFormat="1" ht="14.25" customHeight="1" x14ac:dyDescent="0.25">
      <c r="A3755" s="564">
        <v>3048</v>
      </c>
      <c r="B3755" s="562" t="s">
        <v>921</v>
      </c>
      <c r="C3755" s="403">
        <v>2905</v>
      </c>
      <c r="D3755" s="400"/>
      <c r="E3755" s="400"/>
      <c r="F3755" s="400"/>
      <c r="G3755" s="400"/>
      <c r="H3755" s="396"/>
    </row>
    <row r="3756" spans="1:8" s="401" customFormat="1" ht="14.25" customHeight="1" x14ac:dyDescent="0.25">
      <c r="A3756" s="564">
        <v>3049</v>
      </c>
      <c r="B3756" s="562" t="s">
        <v>921</v>
      </c>
      <c r="C3756" s="403">
        <v>2932</v>
      </c>
      <c r="D3756" s="400"/>
      <c r="E3756" s="400"/>
      <c r="F3756" s="400"/>
      <c r="G3756" s="400"/>
      <c r="H3756" s="396"/>
    </row>
    <row r="3757" spans="1:8" s="401" customFormat="1" ht="14.25" customHeight="1" x14ac:dyDescent="0.25">
      <c r="A3757" s="564">
        <v>3052</v>
      </c>
      <c r="B3757" s="562" t="s">
        <v>921</v>
      </c>
      <c r="C3757" s="403">
        <v>2932</v>
      </c>
      <c r="D3757" s="400"/>
      <c r="E3757" s="400"/>
      <c r="F3757" s="400"/>
      <c r="G3757" s="400"/>
      <c r="H3757" s="396"/>
    </row>
    <row r="3758" spans="1:8" s="401" customFormat="1" ht="14.25" customHeight="1" x14ac:dyDescent="0.25">
      <c r="A3758" s="564">
        <v>3053</v>
      </c>
      <c r="B3758" s="562" t="s">
        <v>921</v>
      </c>
      <c r="C3758" s="403">
        <v>2932</v>
      </c>
      <c r="D3758" s="400"/>
      <c r="E3758" s="400"/>
      <c r="F3758" s="400"/>
      <c r="G3758" s="400"/>
      <c r="H3758" s="396"/>
    </row>
    <row r="3759" spans="1:8" s="401" customFormat="1" ht="14.25" customHeight="1" x14ac:dyDescent="0.25">
      <c r="A3759" s="564">
        <v>3055</v>
      </c>
      <c r="B3759" s="562" t="s">
        <v>921</v>
      </c>
      <c r="C3759" s="403">
        <v>2932</v>
      </c>
      <c r="D3759" s="400"/>
      <c r="E3759" s="400"/>
      <c r="F3759" s="400"/>
      <c r="G3759" s="400"/>
      <c r="H3759" s="396"/>
    </row>
    <row r="3760" spans="1:8" s="401" customFormat="1" ht="14.25" customHeight="1" x14ac:dyDescent="0.25">
      <c r="A3760" s="564">
        <v>3057</v>
      </c>
      <c r="B3760" s="562" t="s">
        <v>921</v>
      </c>
      <c r="C3760" s="403">
        <v>2932</v>
      </c>
      <c r="D3760" s="400"/>
      <c r="E3760" s="400"/>
      <c r="F3760" s="400"/>
      <c r="G3760" s="400"/>
      <c r="H3760" s="396"/>
    </row>
    <row r="3761" spans="1:8" s="401" customFormat="1" ht="14.25" customHeight="1" x14ac:dyDescent="0.25">
      <c r="A3761" s="564">
        <v>3185</v>
      </c>
      <c r="B3761" s="562" t="s">
        <v>940</v>
      </c>
      <c r="C3761" s="403">
        <v>6157</v>
      </c>
      <c r="D3761" s="400"/>
      <c r="E3761" s="400"/>
      <c r="F3761" s="400"/>
      <c r="G3761" s="400"/>
      <c r="H3761" s="396"/>
    </row>
    <row r="3762" spans="1:8" s="401" customFormat="1" ht="14.25" customHeight="1" x14ac:dyDescent="0.25">
      <c r="A3762" s="564">
        <v>3187</v>
      </c>
      <c r="B3762" s="562" t="s">
        <v>940</v>
      </c>
      <c r="C3762" s="403">
        <v>6157</v>
      </c>
      <c r="D3762" s="400"/>
      <c r="E3762" s="400"/>
      <c r="F3762" s="400"/>
      <c r="G3762" s="400"/>
      <c r="H3762" s="396"/>
    </row>
    <row r="3763" spans="1:8" s="401" customFormat="1" ht="14.25" customHeight="1" x14ac:dyDescent="0.25">
      <c r="A3763" s="564">
        <v>3189</v>
      </c>
      <c r="B3763" s="562" t="s">
        <v>940</v>
      </c>
      <c r="C3763" s="403">
        <v>3195</v>
      </c>
      <c r="D3763" s="400"/>
      <c r="E3763" s="400"/>
      <c r="F3763" s="400"/>
      <c r="G3763" s="400"/>
      <c r="H3763" s="396"/>
    </row>
    <row r="3764" spans="1:8" s="401" customFormat="1" ht="14.25" customHeight="1" x14ac:dyDescent="0.25">
      <c r="A3764" s="564">
        <v>3191</v>
      </c>
      <c r="B3764" s="562" t="s">
        <v>940</v>
      </c>
      <c r="C3764" s="403">
        <v>3195</v>
      </c>
      <c r="D3764" s="400"/>
      <c r="E3764" s="400"/>
      <c r="F3764" s="400"/>
      <c r="G3764" s="400"/>
      <c r="H3764" s="396"/>
    </row>
    <row r="3765" spans="1:8" s="401" customFormat="1" ht="14.25" customHeight="1" x14ac:dyDescent="0.25">
      <c r="A3765" s="564">
        <v>3195</v>
      </c>
      <c r="B3765" s="562" t="s">
        <v>940</v>
      </c>
      <c r="C3765" s="403">
        <v>3195</v>
      </c>
      <c r="D3765" s="400"/>
      <c r="E3765" s="400"/>
      <c r="F3765" s="400"/>
      <c r="G3765" s="400"/>
      <c r="H3765" s="396"/>
    </row>
    <row r="3766" spans="1:8" s="401" customFormat="1" ht="14.25" customHeight="1" x14ac:dyDescent="0.25">
      <c r="A3766" s="564">
        <v>3198</v>
      </c>
      <c r="B3766" s="562" t="s">
        <v>940</v>
      </c>
      <c r="C3766" s="403">
        <v>3195</v>
      </c>
      <c r="D3766" s="400"/>
      <c r="E3766" s="400"/>
      <c r="F3766" s="400"/>
      <c r="G3766" s="400"/>
      <c r="H3766" s="396"/>
    </row>
    <row r="3767" spans="1:8" s="401" customFormat="1" ht="14.25" customHeight="1" x14ac:dyDescent="0.25">
      <c r="A3767" s="564">
        <v>3201</v>
      </c>
      <c r="B3767" s="562" t="s">
        <v>924</v>
      </c>
      <c r="C3767" s="403">
        <v>2939.97</v>
      </c>
      <c r="D3767" s="400"/>
      <c r="E3767" s="400"/>
      <c r="F3767" s="400"/>
      <c r="G3767" s="400"/>
      <c r="H3767" s="396"/>
    </row>
    <row r="3768" spans="1:8" s="401" customFormat="1" ht="14.25" customHeight="1" x14ac:dyDescent="0.25">
      <c r="A3768" s="564">
        <v>3877</v>
      </c>
      <c r="B3768" s="562" t="s">
        <v>940</v>
      </c>
      <c r="C3768" s="403">
        <v>5382</v>
      </c>
      <c r="D3768" s="400"/>
      <c r="E3768" s="400"/>
      <c r="F3768" s="400"/>
      <c r="G3768" s="400"/>
      <c r="H3768" s="396"/>
    </row>
    <row r="3769" spans="1:8" s="401" customFormat="1" ht="14.25" customHeight="1" x14ac:dyDescent="0.25">
      <c r="A3769" s="564">
        <v>3879</v>
      </c>
      <c r="B3769" s="562" t="s">
        <v>940</v>
      </c>
      <c r="C3769" s="403">
        <v>5382</v>
      </c>
      <c r="D3769" s="400"/>
      <c r="E3769" s="400"/>
      <c r="F3769" s="400"/>
      <c r="G3769" s="400"/>
      <c r="H3769" s="396"/>
    </row>
    <row r="3770" spans="1:8" s="401" customFormat="1" ht="14.25" customHeight="1" x14ac:dyDescent="0.25">
      <c r="A3770" s="564">
        <v>3882</v>
      </c>
      <c r="B3770" s="562" t="s">
        <v>940</v>
      </c>
      <c r="C3770" s="403">
        <v>2608</v>
      </c>
      <c r="D3770" s="400"/>
      <c r="E3770" s="400"/>
      <c r="F3770" s="400"/>
      <c r="G3770" s="400"/>
      <c r="H3770" s="396"/>
    </row>
    <row r="3771" spans="1:8" s="401" customFormat="1" ht="14.25" customHeight="1" x14ac:dyDescent="0.25">
      <c r="A3771" s="564">
        <v>3885</v>
      </c>
      <c r="B3771" s="562" t="s">
        <v>940</v>
      </c>
      <c r="C3771" s="403">
        <v>2608</v>
      </c>
      <c r="D3771" s="400"/>
      <c r="E3771" s="400"/>
      <c r="F3771" s="400"/>
      <c r="G3771" s="400"/>
      <c r="H3771" s="396"/>
    </row>
    <row r="3772" spans="1:8" s="401" customFormat="1" ht="14.25" customHeight="1" x14ac:dyDescent="0.25">
      <c r="A3772" s="564">
        <v>3902</v>
      </c>
      <c r="B3772" s="562" t="s">
        <v>940</v>
      </c>
      <c r="C3772" s="403">
        <v>2608</v>
      </c>
      <c r="D3772" s="400"/>
      <c r="E3772" s="400"/>
      <c r="F3772" s="400"/>
      <c r="G3772" s="400"/>
      <c r="H3772" s="396"/>
    </row>
    <row r="3773" spans="1:8" s="401" customFormat="1" ht="14.25" customHeight="1" x14ac:dyDescent="0.25">
      <c r="A3773" s="564">
        <v>3906</v>
      </c>
      <c r="B3773" s="562" t="s">
        <v>940</v>
      </c>
      <c r="C3773" s="403">
        <v>2608</v>
      </c>
      <c r="D3773" s="400"/>
      <c r="E3773" s="400"/>
      <c r="F3773" s="400"/>
      <c r="G3773" s="400"/>
      <c r="H3773" s="396"/>
    </row>
    <row r="3774" spans="1:8" s="401" customFormat="1" ht="14.25" customHeight="1" x14ac:dyDescent="0.25">
      <c r="A3774" s="564">
        <v>3927</v>
      </c>
      <c r="B3774" s="562" t="s">
        <v>941</v>
      </c>
      <c r="C3774" s="403">
        <v>862</v>
      </c>
      <c r="D3774" s="400"/>
      <c r="E3774" s="400"/>
      <c r="F3774" s="400"/>
      <c r="G3774" s="400"/>
      <c r="H3774" s="396"/>
    </row>
    <row r="3775" spans="1:8" s="401" customFormat="1" ht="14.25" customHeight="1" x14ac:dyDescent="0.25">
      <c r="A3775" s="564">
        <v>3943</v>
      </c>
      <c r="B3775" s="562" t="s">
        <v>926</v>
      </c>
      <c r="C3775" s="403">
        <v>7054.23</v>
      </c>
      <c r="D3775" s="400"/>
      <c r="E3775" s="400"/>
      <c r="F3775" s="400"/>
      <c r="G3775" s="400"/>
      <c r="H3775" s="396"/>
    </row>
    <row r="3776" spans="1:8" s="401" customFormat="1" ht="14.25" customHeight="1" x14ac:dyDescent="0.25">
      <c r="A3776" s="564">
        <v>4090</v>
      </c>
      <c r="B3776" s="562" t="s">
        <v>942</v>
      </c>
      <c r="C3776" s="403">
        <v>5190</v>
      </c>
      <c r="D3776" s="400"/>
      <c r="E3776" s="400"/>
      <c r="F3776" s="400"/>
      <c r="G3776" s="400"/>
      <c r="H3776" s="396"/>
    </row>
    <row r="3777" spans="1:8" s="401" customFormat="1" ht="14.25" customHeight="1" x14ac:dyDescent="0.25">
      <c r="A3777" s="564">
        <v>4096</v>
      </c>
      <c r="B3777" s="562" t="s">
        <v>943</v>
      </c>
      <c r="C3777" s="403">
        <v>1690</v>
      </c>
      <c r="D3777" s="400"/>
      <c r="E3777" s="400"/>
      <c r="F3777" s="400"/>
      <c r="G3777" s="400"/>
      <c r="H3777" s="396"/>
    </row>
    <row r="3778" spans="1:8" s="401" customFormat="1" ht="14.25" customHeight="1" x14ac:dyDescent="0.25">
      <c r="A3778" s="564">
        <v>4432</v>
      </c>
      <c r="B3778" s="562" t="s">
        <v>939</v>
      </c>
      <c r="C3778" s="403">
        <v>490</v>
      </c>
      <c r="D3778" s="400"/>
      <c r="E3778" s="400"/>
      <c r="F3778" s="400"/>
      <c r="G3778" s="400"/>
      <c r="H3778" s="396"/>
    </row>
    <row r="3779" spans="1:8" s="401" customFormat="1" ht="14.25" customHeight="1" x14ac:dyDescent="0.25">
      <c r="A3779" s="564">
        <v>4435</v>
      </c>
      <c r="B3779" s="562" t="s">
        <v>939</v>
      </c>
      <c r="C3779" s="403">
        <v>490</v>
      </c>
      <c r="D3779" s="400"/>
      <c r="E3779" s="400"/>
      <c r="F3779" s="400"/>
      <c r="G3779" s="400"/>
      <c r="H3779" s="396"/>
    </row>
    <row r="3780" spans="1:8" s="401" customFormat="1" ht="14.25" customHeight="1" x14ac:dyDescent="0.25">
      <c r="A3780" s="564">
        <v>4437</v>
      </c>
      <c r="B3780" s="562" t="s">
        <v>939</v>
      </c>
      <c r="C3780" s="403">
        <v>490</v>
      </c>
      <c r="D3780" s="400"/>
      <c r="E3780" s="400"/>
      <c r="F3780" s="400"/>
      <c r="G3780" s="400"/>
      <c r="H3780" s="396"/>
    </row>
    <row r="3781" spans="1:8" s="401" customFormat="1" ht="14.25" customHeight="1" x14ac:dyDescent="0.25">
      <c r="A3781" s="564">
        <v>4441</v>
      </c>
      <c r="B3781" s="562" t="s">
        <v>939</v>
      </c>
      <c r="C3781" s="403">
        <v>490</v>
      </c>
      <c r="D3781" s="400"/>
      <c r="E3781" s="400"/>
      <c r="F3781" s="400"/>
      <c r="G3781" s="400"/>
      <c r="H3781" s="396"/>
    </row>
    <row r="3782" spans="1:8" s="401" customFormat="1" ht="14.25" customHeight="1" x14ac:dyDescent="0.25">
      <c r="A3782" s="564">
        <v>4443</v>
      </c>
      <c r="B3782" s="562" t="s">
        <v>939</v>
      </c>
      <c r="C3782" s="403">
        <v>490</v>
      </c>
      <c r="D3782" s="400"/>
      <c r="E3782" s="400"/>
      <c r="F3782" s="400"/>
      <c r="G3782" s="400"/>
      <c r="H3782" s="396"/>
    </row>
    <row r="3783" spans="1:8" s="401" customFormat="1" ht="14.25" customHeight="1" x14ac:dyDescent="0.25">
      <c r="A3783" s="564">
        <v>4445</v>
      </c>
      <c r="B3783" s="562" t="s">
        <v>939</v>
      </c>
      <c r="C3783" s="403">
        <v>490</v>
      </c>
      <c r="D3783" s="400"/>
      <c r="E3783" s="400"/>
      <c r="F3783" s="400"/>
      <c r="G3783" s="400"/>
      <c r="H3783" s="396"/>
    </row>
    <row r="3784" spans="1:8" s="401" customFormat="1" ht="14.25" customHeight="1" x14ac:dyDescent="0.25">
      <c r="A3784" s="564">
        <v>4216</v>
      </c>
      <c r="B3784" s="562" t="s">
        <v>921</v>
      </c>
      <c r="C3784" s="403">
        <v>1599.99</v>
      </c>
      <c r="D3784" s="400"/>
      <c r="E3784" s="400"/>
      <c r="F3784" s="400"/>
      <c r="G3784" s="400"/>
      <c r="H3784" s="396"/>
    </row>
    <row r="3785" spans="1:8" s="401" customFormat="1" ht="14.25" customHeight="1" x14ac:dyDescent="0.25">
      <c r="A3785" s="564">
        <v>3280</v>
      </c>
      <c r="B3785" s="562" t="s">
        <v>944</v>
      </c>
      <c r="C3785" s="403">
        <v>2628</v>
      </c>
      <c r="D3785" s="400"/>
      <c r="E3785" s="400"/>
      <c r="F3785" s="400"/>
      <c r="G3785" s="400"/>
      <c r="H3785" s="396"/>
    </row>
    <row r="3786" spans="1:8" s="401" customFormat="1" ht="14.25" customHeight="1" x14ac:dyDescent="0.25">
      <c r="A3786" s="564">
        <v>3283</v>
      </c>
      <c r="B3786" s="562" t="s">
        <v>944</v>
      </c>
      <c r="C3786" s="403">
        <v>2628</v>
      </c>
      <c r="D3786" s="400"/>
      <c r="E3786" s="400"/>
      <c r="F3786" s="400"/>
      <c r="G3786" s="400"/>
      <c r="H3786" s="396"/>
    </row>
    <row r="3787" spans="1:8" s="401" customFormat="1" ht="14.25" customHeight="1" x14ac:dyDescent="0.25">
      <c r="A3787" s="564">
        <v>3286</v>
      </c>
      <c r="B3787" s="562" t="s">
        <v>944</v>
      </c>
      <c r="C3787" s="403">
        <v>2628</v>
      </c>
      <c r="D3787" s="400"/>
      <c r="E3787" s="400"/>
      <c r="F3787" s="400"/>
      <c r="G3787" s="400"/>
      <c r="H3787" s="396"/>
    </row>
    <row r="3788" spans="1:8" s="401" customFormat="1" ht="14.25" customHeight="1" x14ac:dyDescent="0.25">
      <c r="A3788" s="564">
        <v>3291</v>
      </c>
      <c r="B3788" s="562" t="s">
        <v>944</v>
      </c>
      <c r="C3788" s="403">
        <v>2628</v>
      </c>
      <c r="D3788" s="400"/>
      <c r="E3788" s="400"/>
      <c r="F3788" s="400"/>
      <c r="G3788" s="400"/>
      <c r="H3788" s="396"/>
    </row>
    <row r="3789" spans="1:8" s="401" customFormat="1" ht="14.25" customHeight="1" x14ac:dyDescent="0.25">
      <c r="A3789" s="564">
        <v>3331</v>
      </c>
      <c r="B3789" s="562" t="s">
        <v>944</v>
      </c>
      <c r="C3789" s="403">
        <v>2628</v>
      </c>
      <c r="D3789" s="400"/>
      <c r="E3789" s="400"/>
      <c r="F3789" s="400"/>
      <c r="G3789" s="400"/>
      <c r="H3789" s="396"/>
    </row>
    <row r="3790" spans="1:8" s="401" customFormat="1" ht="14.25" customHeight="1" x14ac:dyDescent="0.25">
      <c r="A3790" s="564">
        <v>3344</v>
      </c>
      <c r="B3790" s="562" t="s">
        <v>944</v>
      </c>
      <c r="C3790" s="403">
        <v>2628</v>
      </c>
      <c r="D3790" s="400"/>
      <c r="E3790" s="400"/>
      <c r="F3790" s="400"/>
      <c r="G3790" s="400"/>
      <c r="H3790" s="396"/>
    </row>
    <row r="3791" spans="1:8" s="401" customFormat="1" ht="14.25" customHeight="1" x14ac:dyDescent="0.25">
      <c r="A3791" s="564">
        <v>3346</v>
      </c>
      <c r="B3791" s="562" t="s">
        <v>944</v>
      </c>
      <c r="C3791" s="403">
        <v>2628</v>
      </c>
      <c r="D3791" s="400"/>
      <c r="E3791" s="400"/>
      <c r="F3791" s="400"/>
      <c r="G3791" s="400"/>
      <c r="H3791" s="396"/>
    </row>
    <row r="3792" spans="1:8" s="401" customFormat="1" ht="14.25" customHeight="1" x14ac:dyDescent="0.25">
      <c r="A3792" s="564">
        <v>3350</v>
      </c>
      <c r="B3792" s="562" t="s">
        <v>944</v>
      </c>
      <c r="C3792" s="403">
        <v>2628</v>
      </c>
      <c r="D3792" s="400"/>
      <c r="E3792" s="400"/>
      <c r="F3792" s="400"/>
      <c r="G3792" s="400"/>
      <c r="H3792" s="396"/>
    </row>
    <row r="3793" spans="1:8" s="401" customFormat="1" ht="14.25" customHeight="1" x14ac:dyDescent="0.25">
      <c r="A3793" s="564">
        <v>3353</v>
      </c>
      <c r="B3793" s="562" t="s">
        <v>944</v>
      </c>
      <c r="C3793" s="403">
        <v>2628</v>
      </c>
      <c r="D3793" s="400"/>
      <c r="E3793" s="400"/>
      <c r="F3793" s="400"/>
      <c r="G3793" s="400"/>
      <c r="H3793" s="396"/>
    </row>
    <row r="3794" spans="1:8" s="401" customFormat="1" ht="14.25" customHeight="1" x14ac:dyDescent="0.25">
      <c r="A3794" s="564">
        <v>3356</v>
      </c>
      <c r="B3794" s="562" t="s">
        <v>944</v>
      </c>
      <c r="C3794" s="403">
        <v>2628</v>
      </c>
      <c r="D3794" s="400"/>
      <c r="E3794" s="400"/>
      <c r="F3794" s="400"/>
      <c r="G3794" s="400"/>
      <c r="H3794" s="396"/>
    </row>
    <row r="3795" spans="1:8" s="401" customFormat="1" ht="14.25" customHeight="1" x14ac:dyDescent="0.25">
      <c r="A3795" s="564">
        <v>3359</v>
      </c>
      <c r="B3795" s="562" t="s">
        <v>944</v>
      </c>
      <c r="C3795" s="403">
        <v>2628</v>
      </c>
      <c r="D3795" s="400"/>
      <c r="E3795" s="400"/>
      <c r="F3795" s="400"/>
      <c r="G3795" s="400"/>
      <c r="H3795" s="396"/>
    </row>
    <row r="3796" spans="1:8" s="401" customFormat="1" ht="14.25" customHeight="1" x14ac:dyDescent="0.25">
      <c r="A3796" s="564">
        <v>3362</v>
      </c>
      <c r="B3796" s="562" t="s">
        <v>944</v>
      </c>
      <c r="C3796" s="403">
        <v>2628</v>
      </c>
      <c r="D3796" s="400"/>
      <c r="E3796" s="400"/>
      <c r="F3796" s="400"/>
      <c r="G3796" s="400"/>
      <c r="H3796" s="396"/>
    </row>
    <row r="3797" spans="1:8" s="401" customFormat="1" ht="14.25" customHeight="1" x14ac:dyDescent="0.25">
      <c r="A3797" s="564">
        <v>3365</v>
      </c>
      <c r="B3797" s="562" t="s">
        <v>944</v>
      </c>
      <c r="C3797" s="403">
        <v>2628</v>
      </c>
      <c r="D3797" s="400"/>
      <c r="E3797" s="400"/>
      <c r="F3797" s="400"/>
      <c r="G3797" s="400"/>
      <c r="H3797" s="396"/>
    </row>
    <row r="3798" spans="1:8" s="401" customFormat="1" ht="14.25" customHeight="1" x14ac:dyDescent="0.25">
      <c r="A3798" s="564">
        <v>3371</v>
      </c>
      <c r="B3798" s="562" t="s">
        <v>944</v>
      </c>
      <c r="C3798" s="403">
        <v>2628</v>
      </c>
      <c r="D3798" s="400"/>
      <c r="E3798" s="400"/>
      <c r="F3798" s="400"/>
      <c r="G3798" s="400"/>
      <c r="H3798" s="396"/>
    </row>
    <row r="3799" spans="1:8" s="401" customFormat="1" ht="14.25" customHeight="1" x14ac:dyDescent="0.25">
      <c r="A3799" s="564">
        <v>3376</v>
      </c>
      <c r="B3799" s="562" t="s">
        <v>944</v>
      </c>
      <c r="C3799" s="403">
        <v>2628</v>
      </c>
      <c r="D3799" s="400"/>
      <c r="E3799" s="400"/>
      <c r="F3799" s="400"/>
      <c r="G3799" s="400"/>
      <c r="H3799" s="396"/>
    </row>
    <row r="3800" spans="1:8" s="401" customFormat="1" ht="14.25" customHeight="1" x14ac:dyDescent="0.25">
      <c r="A3800" s="564">
        <v>3379</v>
      </c>
      <c r="B3800" s="562" t="s">
        <v>944</v>
      </c>
      <c r="C3800" s="403">
        <v>2628</v>
      </c>
      <c r="D3800" s="400"/>
      <c r="E3800" s="400"/>
      <c r="F3800" s="400"/>
      <c r="G3800" s="400"/>
      <c r="H3800" s="396"/>
    </row>
    <row r="3801" spans="1:8" s="401" customFormat="1" ht="14.25" customHeight="1" x14ac:dyDescent="0.25">
      <c r="A3801" s="564">
        <v>3400</v>
      </c>
      <c r="B3801" s="562" t="s">
        <v>944</v>
      </c>
      <c r="C3801" s="403">
        <v>2628</v>
      </c>
      <c r="D3801" s="400"/>
      <c r="E3801" s="400"/>
      <c r="F3801" s="400"/>
      <c r="G3801" s="400"/>
      <c r="H3801" s="396"/>
    </row>
    <row r="3802" spans="1:8" s="401" customFormat="1" ht="14.25" customHeight="1" x14ac:dyDescent="0.25">
      <c r="A3802" s="564">
        <v>3412</v>
      </c>
      <c r="B3802" s="562" t="s">
        <v>944</v>
      </c>
      <c r="C3802" s="403">
        <v>2628</v>
      </c>
      <c r="D3802" s="400"/>
      <c r="E3802" s="400"/>
      <c r="F3802" s="400"/>
      <c r="G3802" s="400"/>
      <c r="H3802" s="396"/>
    </row>
    <row r="3803" spans="1:8" s="401" customFormat="1" ht="14.25" customHeight="1" x14ac:dyDescent="0.25">
      <c r="A3803" s="564">
        <v>3415</v>
      </c>
      <c r="B3803" s="562" t="s">
        <v>944</v>
      </c>
      <c r="C3803" s="403">
        <v>2628</v>
      </c>
      <c r="D3803" s="400"/>
      <c r="E3803" s="400"/>
      <c r="F3803" s="400"/>
      <c r="G3803" s="400"/>
      <c r="H3803" s="396"/>
    </row>
    <row r="3804" spans="1:8" s="401" customFormat="1" ht="14.25" customHeight="1" x14ac:dyDescent="0.25">
      <c r="A3804" s="564">
        <v>3418</v>
      </c>
      <c r="B3804" s="562" t="s">
        <v>944</v>
      </c>
      <c r="C3804" s="403">
        <v>2628</v>
      </c>
      <c r="D3804" s="400"/>
      <c r="E3804" s="400"/>
      <c r="F3804" s="400"/>
      <c r="G3804" s="400"/>
      <c r="H3804" s="396"/>
    </row>
    <row r="3805" spans="1:8" s="401" customFormat="1" ht="14.25" customHeight="1" x14ac:dyDescent="0.25">
      <c r="A3805" s="564">
        <v>3421</v>
      </c>
      <c r="B3805" s="562" t="s">
        <v>944</v>
      </c>
      <c r="C3805" s="403">
        <v>2628</v>
      </c>
      <c r="D3805" s="400"/>
      <c r="E3805" s="400"/>
      <c r="F3805" s="400"/>
      <c r="G3805" s="400"/>
      <c r="H3805" s="396"/>
    </row>
    <row r="3806" spans="1:8" s="401" customFormat="1" ht="14.25" customHeight="1" x14ac:dyDescent="0.25">
      <c r="A3806" s="564">
        <v>3425</v>
      </c>
      <c r="B3806" s="562" t="s">
        <v>944</v>
      </c>
      <c r="C3806" s="403">
        <v>2628</v>
      </c>
      <c r="D3806" s="400"/>
      <c r="E3806" s="400"/>
      <c r="F3806" s="400"/>
      <c r="G3806" s="400"/>
      <c r="H3806" s="396"/>
    </row>
    <row r="3807" spans="1:8" s="401" customFormat="1" ht="14.25" customHeight="1" x14ac:dyDescent="0.25">
      <c r="A3807" s="564">
        <v>3427</v>
      </c>
      <c r="B3807" s="562" t="s">
        <v>944</v>
      </c>
      <c r="C3807" s="403">
        <v>2628</v>
      </c>
      <c r="D3807" s="400"/>
      <c r="E3807" s="400"/>
      <c r="F3807" s="400"/>
      <c r="G3807" s="400"/>
      <c r="H3807" s="396"/>
    </row>
    <row r="3808" spans="1:8" s="401" customFormat="1" ht="14.25" customHeight="1" x14ac:dyDescent="0.25">
      <c r="A3808" s="564">
        <v>3430</v>
      </c>
      <c r="B3808" s="562" t="s">
        <v>944</v>
      </c>
      <c r="C3808" s="403">
        <v>2628</v>
      </c>
      <c r="D3808" s="400"/>
      <c r="E3808" s="400"/>
      <c r="F3808" s="400"/>
      <c r="G3808" s="400"/>
      <c r="H3808" s="396"/>
    </row>
    <row r="3809" spans="1:8" s="401" customFormat="1" ht="14.25" customHeight="1" x14ac:dyDescent="0.25">
      <c r="A3809" s="564">
        <v>3431</v>
      </c>
      <c r="B3809" s="562" t="s">
        <v>944</v>
      </c>
      <c r="C3809" s="403">
        <v>2628</v>
      </c>
      <c r="D3809" s="400"/>
      <c r="E3809" s="400"/>
      <c r="F3809" s="400"/>
      <c r="G3809" s="400"/>
      <c r="H3809" s="396"/>
    </row>
    <row r="3810" spans="1:8" s="401" customFormat="1" ht="14.25" customHeight="1" x14ac:dyDescent="0.25">
      <c r="A3810" s="564">
        <v>3433</v>
      </c>
      <c r="B3810" s="562" t="s">
        <v>944</v>
      </c>
      <c r="C3810" s="403">
        <v>2628</v>
      </c>
      <c r="D3810" s="400"/>
      <c r="E3810" s="400"/>
      <c r="F3810" s="400"/>
      <c r="G3810" s="400"/>
      <c r="H3810" s="396"/>
    </row>
    <row r="3811" spans="1:8" s="401" customFormat="1" ht="14.25" customHeight="1" x14ac:dyDescent="0.25">
      <c r="A3811" s="564">
        <v>3436</v>
      </c>
      <c r="B3811" s="562" t="s">
        <v>944</v>
      </c>
      <c r="C3811" s="403">
        <v>2628</v>
      </c>
      <c r="D3811" s="400"/>
      <c r="E3811" s="400"/>
      <c r="F3811" s="400"/>
      <c r="G3811" s="400"/>
      <c r="H3811" s="396"/>
    </row>
    <row r="3812" spans="1:8" s="401" customFormat="1" ht="14.25" customHeight="1" x14ac:dyDescent="0.25">
      <c r="A3812" s="564">
        <v>3438</v>
      </c>
      <c r="B3812" s="562" t="s">
        <v>944</v>
      </c>
      <c r="C3812" s="403">
        <v>2628</v>
      </c>
      <c r="D3812" s="400"/>
      <c r="E3812" s="400"/>
      <c r="F3812" s="400"/>
      <c r="G3812" s="400"/>
      <c r="H3812" s="396"/>
    </row>
    <row r="3813" spans="1:8" s="401" customFormat="1" ht="14.25" customHeight="1" x14ac:dyDescent="0.25">
      <c r="A3813" s="564">
        <v>3442</v>
      </c>
      <c r="B3813" s="562" t="s">
        <v>944</v>
      </c>
      <c r="C3813" s="403">
        <v>2628</v>
      </c>
      <c r="D3813" s="400"/>
      <c r="E3813" s="400"/>
      <c r="F3813" s="400"/>
      <c r="G3813" s="400"/>
      <c r="H3813" s="396"/>
    </row>
    <row r="3814" spans="1:8" s="401" customFormat="1" ht="14.25" customHeight="1" x14ac:dyDescent="0.25">
      <c r="A3814" s="564">
        <v>3446</v>
      </c>
      <c r="B3814" s="562" t="s">
        <v>944</v>
      </c>
      <c r="C3814" s="403">
        <v>2628</v>
      </c>
      <c r="D3814" s="400"/>
      <c r="E3814" s="400"/>
      <c r="F3814" s="400"/>
      <c r="G3814" s="400"/>
      <c r="H3814" s="396"/>
    </row>
    <row r="3815" spans="1:8" s="401" customFormat="1" ht="14.25" customHeight="1" x14ac:dyDescent="0.25">
      <c r="A3815" s="564">
        <v>3455</v>
      </c>
      <c r="B3815" s="562" t="s">
        <v>944</v>
      </c>
      <c r="C3815" s="403">
        <v>2628</v>
      </c>
      <c r="D3815" s="400"/>
      <c r="E3815" s="400"/>
      <c r="F3815" s="400"/>
      <c r="G3815" s="400"/>
      <c r="H3815" s="396"/>
    </row>
    <row r="3816" spans="1:8" s="401" customFormat="1" ht="14.25" customHeight="1" x14ac:dyDescent="0.25">
      <c r="A3816" s="564">
        <v>3457</v>
      </c>
      <c r="B3816" s="562" t="s">
        <v>944</v>
      </c>
      <c r="C3816" s="403">
        <v>2628</v>
      </c>
      <c r="D3816" s="400"/>
      <c r="E3816" s="400"/>
      <c r="F3816" s="400"/>
      <c r="G3816" s="400"/>
      <c r="H3816" s="396"/>
    </row>
    <row r="3817" spans="1:8" s="401" customFormat="1" ht="14.25" customHeight="1" x14ac:dyDescent="0.25">
      <c r="A3817" s="564">
        <v>3459</v>
      </c>
      <c r="B3817" s="562" t="s">
        <v>944</v>
      </c>
      <c r="C3817" s="403">
        <v>2628</v>
      </c>
      <c r="D3817" s="400"/>
      <c r="E3817" s="400"/>
      <c r="F3817" s="400"/>
      <c r="G3817" s="400"/>
      <c r="H3817" s="396"/>
    </row>
    <row r="3818" spans="1:8" s="401" customFormat="1" ht="14.25" customHeight="1" x14ac:dyDescent="0.25">
      <c r="A3818" s="564">
        <v>3463</v>
      </c>
      <c r="B3818" s="562" t="s">
        <v>944</v>
      </c>
      <c r="C3818" s="403">
        <v>2628</v>
      </c>
      <c r="D3818" s="400"/>
      <c r="E3818" s="400"/>
      <c r="F3818" s="400"/>
      <c r="G3818" s="400"/>
      <c r="H3818" s="396"/>
    </row>
    <row r="3819" spans="1:8" s="401" customFormat="1" ht="14.25" customHeight="1" x14ac:dyDescent="0.25">
      <c r="A3819" s="564">
        <v>3465</v>
      </c>
      <c r="B3819" s="562" t="s">
        <v>944</v>
      </c>
      <c r="C3819" s="403">
        <v>2628</v>
      </c>
      <c r="D3819" s="400"/>
      <c r="E3819" s="400"/>
      <c r="F3819" s="400"/>
      <c r="G3819" s="400"/>
      <c r="H3819" s="396"/>
    </row>
    <row r="3820" spans="1:8" s="401" customFormat="1" ht="14.25" customHeight="1" x14ac:dyDescent="0.25">
      <c r="A3820" s="564">
        <v>3469</v>
      </c>
      <c r="B3820" s="562" t="s">
        <v>944</v>
      </c>
      <c r="C3820" s="403">
        <v>2628</v>
      </c>
      <c r="D3820" s="400"/>
      <c r="E3820" s="400"/>
      <c r="F3820" s="400"/>
      <c r="G3820" s="400"/>
      <c r="H3820" s="396"/>
    </row>
    <row r="3821" spans="1:8" s="401" customFormat="1" ht="14.25" customHeight="1" x14ac:dyDescent="0.25">
      <c r="A3821" s="564">
        <v>3470</v>
      </c>
      <c r="B3821" s="562" t="s">
        <v>944</v>
      </c>
      <c r="C3821" s="403">
        <v>2628</v>
      </c>
      <c r="D3821" s="400"/>
      <c r="E3821" s="400"/>
      <c r="F3821" s="400"/>
      <c r="G3821" s="400"/>
      <c r="H3821" s="396"/>
    </row>
    <row r="3822" spans="1:8" s="401" customFormat="1" ht="14.25" customHeight="1" x14ac:dyDescent="0.25">
      <c r="A3822" s="564">
        <v>3473</v>
      </c>
      <c r="B3822" s="562" t="s">
        <v>944</v>
      </c>
      <c r="C3822" s="403">
        <v>2628</v>
      </c>
      <c r="D3822" s="400"/>
      <c r="E3822" s="400"/>
      <c r="F3822" s="400"/>
      <c r="G3822" s="400"/>
      <c r="H3822" s="396"/>
    </row>
    <row r="3823" spans="1:8" s="401" customFormat="1" ht="14.25" customHeight="1" x14ac:dyDescent="0.25">
      <c r="A3823" s="564">
        <v>3477</v>
      </c>
      <c r="B3823" s="562" t="s">
        <v>944</v>
      </c>
      <c r="C3823" s="403">
        <v>2628</v>
      </c>
      <c r="D3823" s="400"/>
      <c r="E3823" s="400"/>
      <c r="F3823" s="400"/>
      <c r="G3823" s="400"/>
      <c r="H3823" s="396"/>
    </row>
    <row r="3824" spans="1:8" s="401" customFormat="1" ht="14.25" customHeight="1" x14ac:dyDescent="0.25">
      <c r="A3824" s="564">
        <v>3478</v>
      </c>
      <c r="B3824" s="562" t="s">
        <v>944</v>
      </c>
      <c r="C3824" s="403">
        <v>2628</v>
      </c>
      <c r="D3824" s="400"/>
      <c r="E3824" s="400"/>
      <c r="F3824" s="400"/>
      <c r="G3824" s="400"/>
      <c r="H3824" s="396"/>
    </row>
    <row r="3825" spans="1:8" s="401" customFormat="1" ht="14.25" customHeight="1" x14ac:dyDescent="0.25">
      <c r="A3825" s="564">
        <v>3481</v>
      </c>
      <c r="B3825" s="562" t="s">
        <v>944</v>
      </c>
      <c r="C3825" s="403">
        <v>2628</v>
      </c>
      <c r="D3825" s="400"/>
      <c r="E3825" s="400"/>
      <c r="F3825" s="400"/>
      <c r="G3825" s="400"/>
      <c r="H3825" s="396"/>
    </row>
    <row r="3826" spans="1:8" s="401" customFormat="1" ht="14.25" customHeight="1" x14ac:dyDescent="0.25">
      <c r="A3826" s="564">
        <v>3482</v>
      </c>
      <c r="B3826" s="562" t="s">
        <v>944</v>
      </c>
      <c r="C3826" s="403">
        <v>2628</v>
      </c>
      <c r="D3826" s="400"/>
      <c r="E3826" s="400"/>
      <c r="F3826" s="400"/>
      <c r="G3826" s="400"/>
      <c r="H3826" s="396"/>
    </row>
    <row r="3827" spans="1:8" s="401" customFormat="1" ht="14.25" customHeight="1" x14ac:dyDescent="0.25">
      <c r="A3827" s="564">
        <v>3484</v>
      </c>
      <c r="B3827" s="562" t="s">
        <v>944</v>
      </c>
      <c r="C3827" s="403">
        <v>2628</v>
      </c>
      <c r="D3827" s="400"/>
      <c r="E3827" s="400"/>
      <c r="F3827" s="400"/>
      <c r="G3827" s="400"/>
      <c r="H3827" s="396"/>
    </row>
    <row r="3828" spans="1:8" s="401" customFormat="1" ht="14.25" customHeight="1" x14ac:dyDescent="0.25">
      <c r="A3828" s="564">
        <v>3485</v>
      </c>
      <c r="B3828" s="562" t="s">
        <v>944</v>
      </c>
      <c r="C3828" s="403">
        <v>2628</v>
      </c>
      <c r="D3828" s="400"/>
      <c r="E3828" s="400"/>
      <c r="F3828" s="400"/>
      <c r="G3828" s="400"/>
      <c r="H3828" s="396"/>
    </row>
    <row r="3829" spans="1:8" s="401" customFormat="1" ht="14.25" customHeight="1" x14ac:dyDescent="0.25">
      <c r="A3829" s="564">
        <v>3486</v>
      </c>
      <c r="B3829" s="562" t="s">
        <v>944</v>
      </c>
      <c r="C3829" s="403">
        <v>2628</v>
      </c>
      <c r="D3829" s="400"/>
      <c r="E3829" s="400"/>
      <c r="F3829" s="400"/>
      <c r="G3829" s="400"/>
      <c r="H3829" s="396"/>
    </row>
    <row r="3830" spans="1:8" s="401" customFormat="1" ht="14.25" customHeight="1" x14ac:dyDescent="0.25">
      <c r="A3830" s="564">
        <v>3490</v>
      </c>
      <c r="B3830" s="562" t="s">
        <v>944</v>
      </c>
      <c r="C3830" s="403">
        <v>2628</v>
      </c>
      <c r="D3830" s="400"/>
      <c r="E3830" s="400"/>
      <c r="F3830" s="400"/>
      <c r="G3830" s="400"/>
      <c r="H3830" s="396"/>
    </row>
    <row r="3831" spans="1:8" s="401" customFormat="1" ht="14.25" customHeight="1" x14ac:dyDescent="0.25">
      <c r="A3831" s="564">
        <v>3492</v>
      </c>
      <c r="B3831" s="562" t="s">
        <v>944</v>
      </c>
      <c r="C3831" s="403">
        <v>2628</v>
      </c>
      <c r="D3831" s="400"/>
      <c r="E3831" s="400"/>
      <c r="F3831" s="400"/>
      <c r="G3831" s="400"/>
      <c r="H3831" s="396"/>
    </row>
    <row r="3832" spans="1:8" s="401" customFormat="1" ht="14.25" customHeight="1" x14ac:dyDescent="0.25">
      <c r="A3832" s="564">
        <v>3495</v>
      </c>
      <c r="B3832" s="562" t="s">
        <v>944</v>
      </c>
      <c r="C3832" s="403">
        <v>2628</v>
      </c>
      <c r="D3832" s="400"/>
      <c r="E3832" s="400"/>
      <c r="F3832" s="400"/>
      <c r="G3832" s="400"/>
      <c r="H3832" s="396"/>
    </row>
    <row r="3833" spans="1:8" s="401" customFormat="1" ht="14.25" customHeight="1" x14ac:dyDescent="0.25">
      <c r="A3833" s="564">
        <v>3498</v>
      </c>
      <c r="B3833" s="562" t="s">
        <v>944</v>
      </c>
      <c r="C3833" s="403">
        <v>2628</v>
      </c>
      <c r="D3833" s="400"/>
      <c r="E3833" s="400"/>
      <c r="F3833" s="400"/>
      <c r="G3833" s="400"/>
      <c r="H3833" s="396"/>
    </row>
    <row r="3834" spans="1:8" s="401" customFormat="1" ht="14.25" customHeight="1" x14ac:dyDescent="0.25">
      <c r="A3834" s="564">
        <v>3500</v>
      </c>
      <c r="B3834" s="562" t="s">
        <v>944</v>
      </c>
      <c r="C3834" s="403">
        <v>2628</v>
      </c>
      <c r="D3834" s="400"/>
      <c r="E3834" s="400"/>
      <c r="F3834" s="400"/>
      <c r="G3834" s="400"/>
      <c r="H3834" s="396"/>
    </row>
    <row r="3835" spans="1:8" s="401" customFormat="1" ht="14.25" customHeight="1" x14ac:dyDescent="0.25">
      <c r="A3835" s="564">
        <v>3502</v>
      </c>
      <c r="B3835" s="562" t="s">
        <v>944</v>
      </c>
      <c r="C3835" s="403">
        <v>2628</v>
      </c>
      <c r="D3835" s="400"/>
      <c r="E3835" s="400"/>
      <c r="F3835" s="400"/>
      <c r="G3835" s="400"/>
      <c r="H3835" s="396"/>
    </row>
    <row r="3836" spans="1:8" s="401" customFormat="1" ht="14.25" customHeight="1" x14ac:dyDescent="0.25">
      <c r="A3836" s="564">
        <v>3504</v>
      </c>
      <c r="B3836" s="562" t="s">
        <v>944</v>
      </c>
      <c r="C3836" s="403">
        <v>2628</v>
      </c>
      <c r="D3836" s="400"/>
      <c r="E3836" s="400"/>
      <c r="F3836" s="400"/>
      <c r="G3836" s="400"/>
      <c r="H3836" s="396"/>
    </row>
    <row r="3837" spans="1:8" s="401" customFormat="1" ht="14.25" customHeight="1" x14ac:dyDescent="0.25">
      <c r="A3837" s="564">
        <v>3507</v>
      </c>
      <c r="B3837" s="562" t="s">
        <v>944</v>
      </c>
      <c r="C3837" s="403">
        <v>2628</v>
      </c>
      <c r="D3837" s="400"/>
      <c r="E3837" s="400"/>
      <c r="F3837" s="400"/>
      <c r="G3837" s="400"/>
      <c r="H3837" s="396"/>
    </row>
    <row r="3838" spans="1:8" s="401" customFormat="1" ht="14.25" customHeight="1" x14ac:dyDescent="0.25">
      <c r="A3838" s="564">
        <v>3509</v>
      </c>
      <c r="B3838" s="562" t="s">
        <v>944</v>
      </c>
      <c r="C3838" s="403">
        <v>2628</v>
      </c>
      <c r="D3838" s="400"/>
      <c r="E3838" s="400"/>
      <c r="F3838" s="400"/>
      <c r="G3838" s="400"/>
      <c r="H3838" s="396"/>
    </row>
    <row r="3839" spans="1:8" s="401" customFormat="1" ht="14.25" customHeight="1" x14ac:dyDescent="0.25">
      <c r="A3839" s="564">
        <v>3511</v>
      </c>
      <c r="B3839" s="562" t="s">
        <v>944</v>
      </c>
      <c r="C3839" s="403">
        <v>2628</v>
      </c>
      <c r="D3839" s="400"/>
      <c r="E3839" s="400"/>
      <c r="F3839" s="400"/>
      <c r="G3839" s="400"/>
      <c r="H3839" s="396"/>
    </row>
    <row r="3840" spans="1:8" s="401" customFormat="1" ht="14.25" customHeight="1" x14ac:dyDescent="0.25">
      <c r="A3840" s="564">
        <v>3514</v>
      </c>
      <c r="B3840" s="562" t="s">
        <v>944</v>
      </c>
      <c r="C3840" s="403">
        <v>2628</v>
      </c>
      <c r="D3840" s="400"/>
      <c r="E3840" s="400"/>
      <c r="F3840" s="400"/>
      <c r="G3840" s="400"/>
      <c r="H3840" s="396"/>
    </row>
    <row r="3841" spans="1:8" s="401" customFormat="1" ht="14.25" customHeight="1" x14ac:dyDescent="0.25">
      <c r="A3841" s="564">
        <v>3515</v>
      </c>
      <c r="B3841" s="562" t="s">
        <v>944</v>
      </c>
      <c r="C3841" s="403">
        <v>2628</v>
      </c>
      <c r="D3841" s="400"/>
      <c r="E3841" s="400"/>
      <c r="F3841" s="400"/>
      <c r="G3841" s="400"/>
      <c r="H3841" s="396"/>
    </row>
    <row r="3842" spans="1:8" s="401" customFormat="1" ht="14.25" customHeight="1" x14ac:dyDescent="0.25">
      <c r="A3842" s="564">
        <v>3518</v>
      </c>
      <c r="B3842" s="562" t="s">
        <v>944</v>
      </c>
      <c r="C3842" s="403">
        <v>2628</v>
      </c>
      <c r="D3842" s="400"/>
      <c r="E3842" s="400"/>
      <c r="F3842" s="400"/>
      <c r="G3842" s="400"/>
      <c r="H3842" s="396"/>
    </row>
    <row r="3843" spans="1:8" s="401" customFormat="1" ht="14.25" customHeight="1" x14ac:dyDescent="0.25">
      <c r="A3843" s="564">
        <v>3520</v>
      </c>
      <c r="B3843" s="562" t="s">
        <v>944</v>
      </c>
      <c r="C3843" s="403">
        <v>2628</v>
      </c>
      <c r="D3843" s="400"/>
      <c r="E3843" s="400"/>
      <c r="F3843" s="400"/>
      <c r="G3843" s="400"/>
      <c r="H3843" s="396"/>
    </row>
    <row r="3844" spans="1:8" s="401" customFormat="1" ht="14.25" customHeight="1" x14ac:dyDescent="0.25">
      <c r="A3844" s="564">
        <v>3522</v>
      </c>
      <c r="B3844" s="562" t="s">
        <v>944</v>
      </c>
      <c r="C3844" s="403">
        <v>2628</v>
      </c>
      <c r="D3844" s="400"/>
      <c r="E3844" s="400"/>
      <c r="F3844" s="400"/>
      <c r="G3844" s="400"/>
      <c r="H3844" s="396"/>
    </row>
    <row r="3845" spans="1:8" s="401" customFormat="1" ht="14.25" customHeight="1" x14ac:dyDescent="0.25">
      <c r="A3845" s="564">
        <v>3525</v>
      </c>
      <c r="B3845" s="562" t="s">
        <v>944</v>
      </c>
      <c r="C3845" s="403">
        <v>2628</v>
      </c>
      <c r="D3845" s="400"/>
      <c r="E3845" s="400"/>
      <c r="F3845" s="400"/>
      <c r="G3845" s="400"/>
      <c r="H3845" s="396"/>
    </row>
    <row r="3846" spans="1:8" s="401" customFormat="1" ht="14.25" customHeight="1" x14ac:dyDescent="0.25">
      <c r="A3846" s="564">
        <v>3527</v>
      </c>
      <c r="B3846" s="562" t="s">
        <v>944</v>
      </c>
      <c r="C3846" s="403">
        <v>4228.57</v>
      </c>
      <c r="D3846" s="400"/>
      <c r="E3846" s="400"/>
      <c r="F3846" s="400"/>
      <c r="G3846" s="400"/>
      <c r="H3846" s="396"/>
    </row>
    <row r="3847" spans="1:8" s="401" customFormat="1" ht="14.25" customHeight="1" x14ac:dyDescent="0.25">
      <c r="A3847" s="564">
        <v>3530</v>
      </c>
      <c r="B3847" s="562" t="s">
        <v>944</v>
      </c>
      <c r="C3847" s="403">
        <v>4228.57</v>
      </c>
      <c r="D3847" s="400"/>
      <c r="E3847" s="400"/>
      <c r="F3847" s="400"/>
      <c r="G3847" s="400"/>
      <c r="H3847" s="396"/>
    </row>
    <row r="3848" spans="1:8" s="401" customFormat="1" ht="14.25" customHeight="1" x14ac:dyDescent="0.25">
      <c r="A3848" s="564">
        <v>3532</v>
      </c>
      <c r="B3848" s="562" t="s">
        <v>944</v>
      </c>
      <c r="C3848" s="403">
        <v>4228.57</v>
      </c>
      <c r="D3848" s="400"/>
      <c r="E3848" s="400"/>
      <c r="F3848" s="400"/>
      <c r="G3848" s="400"/>
      <c r="H3848" s="396"/>
    </row>
    <row r="3849" spans="1:8" s="401" customFormat="1" ht="14.25" customHeight="1" x14ac:dyDescent="0.25">
      <c r="A3849" s="564">
        <v>3534</v>
      </c>
      <c r="B3849" s="562" t="s">
        <v>944</v>
      </c>
      <c r="C3849" s="403">
        <v>4228.57</v>
      </c>
      <c r="D3849" s="400"/>
      <c r="E3849" s="400"/>
      <c r="F3849" s="400"/>
      <c r="G3849" s="400"/>
      <c r="H3849" s="396"/>
    </row>
    <row r="3850" spans="1:8" s="401" customFormat="1" ht="14.25" customHeight="1" x14ac:dyDescent="0.25">
      <c r="A3850" s="564">
        <v>3538</v>
      </c>
      <c r="B3850" s="562" t="s">
        <v>944</v>
      </c>
      <c r="C3850" s="403">
        <v>4228.57</v>
      </c>
      <c r="D3850" s="400"/>
      <c r="E3850" s="400"/>
      <c r="F3850" s="400"/>
      <c r="G3850" s="400"/>
      <c r="H3850" s="396"/>
    </row>
    <row r="3851" spans="1:8" s="401" customFormat="1" ht="14.25" customHeight="1" x14ac:dyDescent="0.25">
      <c r="A3851" s="564">
        <v>3540</v>
      </c>
      <c r="B3851" s="562" t="s">
        <v>944</v>
      </c>
      <c r="C3851" s="403">
        <v>4228.57</v>
      </c>
      <c r="D3851" s="400"/>
      <c r="E3851" s="400"/>
      <c r="F3851" s="400"/>
      <c r="G3851" s="400"/>
      <c r="H3851" s="396"/>
    </row>
    <row r="3852" spans="1:8" s="401" customFormat="1" ht="14.25" customHeight="1" x14ac:dyDescent="0.25">
      <c r="A3852" s="564">
        <v>3542</v>
      </c>
      <c r="B3852" s="562" t="s">
        <v>944</v>
      </c>
      <c r="C3852" s="403">
        <v>4228.57</v>
      </c>
      <c r="D3852" s="400"/>
      <c r="E3852" s="400"/>
      <c r="F3852" s="400"/>
      <c r="G3852" s="400"/>
      <c r="H3852" s="396"/>
    </row>
    <row r="3853" spans="1:8" s="401" customFormat="1" ht="14.25" customHeight="1" x14ac:dyDescent="0.25">
      <c r="A3853" s="564">
        <v>3544</v>
      </c>
      <c r="B3853" s="562" t="s">
        <v>944</v>
      </c>
      <c r="C3853" s="403">
        <v>4228.57</v>
      </c>
      <c r="D3853" s="400"/>
      <c r="E3853" s="400"/>
      <c r="F3853" s="400"/>
      <c r="G3853" s="400"/>
      <c r="H3853" s="396"/>
    </row>
    <row r="3854" spans="1:8" s="401" customFormat="1" ht="14.25" customHeight="1" x14ac:dyDescent="0.25">
      <c r="A3854" s="564">
        <v>3546</v>
      </c>
      <c r="B3854" s="562" t="s">
        <v>944</v>
      </c>
      <c r="C3854" s="403">
        <v>4228.57</v>
      </c>
      <c r="D3854" s="400"/>
      <c r="E3854" s="400"/>
      <c r="F3854" s="400"/>
      <c r="G3854" s="400"/>
      <c r="H3854" s="396"/>
    </row>
    <row r="3855" spans="1:8" s="401" customFormat="1" ht="14.25" customHeight="1" x14ac:dyDescent="0.25">
      <c r="A3855" s="564">
        <v>3548</v>
      </c>
      <c r="B3855" s="562" t="s">
        <v>944</v>
      </c>
      <c r="C3855" s="403">
        <v>4228.57</v>
      </c>
      <c r="D3855" s="400"/>
      <c r="E3855" s="400"/>
      <c r="F3855" s="400"/>
      <c r="G3855" s="400"/>
      <c r="H3855" s="396"/>
    </row>
    <row r="3856" spans="1:8" s="401" customFormat="1" ht="14.25" customHeight="1" x14ac:dyDescent="0.25">
      <c r="A3856" s="564">
        <v>3552</v>
      </c>
      <c r="B3856" s="562" t="s">
        <v>944</v>
      </c>
      <c r="C3856" s="403">
        <v>4228.57</v>
      </c>
      <c r="D3856" s="400"/>
      <c r="E3856" s="400"/>
      <c r="F3856" s="400"/>
      <c r="G3856" s="400"/>
      <c r="H3856" s="396"/>
    </row>
    <row r="3857" spans="1:8" s="401" customFormat="1" ht="14.25" customHeight="1" x14ac:dyDescent="0.25">
      <c r="A3857" s="564">
        <v>3556</v>
      </c>
      <c r="B3857" s="562" t="s">
        <v>944</v>
      </c>
      <c r="C3857" s="403">
        <v>4228.57</v>
      </c>
      <c r="D3857" s="400"/>
      <c r="E3857" s="400"/>
      <c r="F3857" s="400"/>
      <c r="G3857" s="400"/>
      <c r="H3857" s="396"/>
    </row>
    <row r="3858" spans="1:8" s="401" customFormat="1" ht="14.25" customHeight="1" x14ac:dyDescent="0.25">
      <c r="A3858" s="564">
        <v>3559</v>
      </c>
      <c r="B3858" s="562" t="s">
        <v>944</v>
      </c>
      <c r="C3858" s="403">
        <v>4228.57</v>
      </c>
      <c r="D3858" s="400"/>
      <c r="E3858" s="400"/>
      <c r="F3858" s="400"/>
      <c r="G3858" s="400"/>
      <c r="H3858" s="396"/>
    </row>
    <row r="3859" spans="1:8" s="401" customFormat="1" ht="14.25" customHeight="1" x14ac:dyDescent="0.25">
      <c r="A3859" s="564">
        <v>3561</v>
      </c>
      <c r="B3859" s="562" t="s">
        <v>944</v>
      </c>
      <c r="C3859" s="403">
        <v>4228.57</v>
      </c>
      <c r="D3859" s="400"/>
      <c r="E3859" s="400"/>
      <c r="F3859" s="400"/>
      <c r="G3859" s="400"/>
      <c r="H3859" s="396"/>
    </row>
    <row r="3860" spans="1:8" s="401" customFormat="1" ht="14.25" customHeight="1" x14ac:dyDescent="0.25">
      <c r="A3860" s="564">
        <v>3563</v>
      </c>
      <c r="B3860" s="562" t="s">
        <v>944</v>
      </c>
      <c r="C3860" s="403">
        <v>4228.57</v>
      </c>
      <c r="D3860" s="400"/>
      <c r="E3860" s="400"/>
      <c r="F3860" s="400"/>
      <c r="G3860" s="400"/>
      <c r="H3860" s="396"/>
    </row>
    <row r="3861" spans="1:8" s="401" customFormat="1" ht="14.25" customHeight="1" x14ac:dyDescent="0.25">
      <c r="A3861" s="564">
        <v>3566</v>
      </c>
      <c r="B3861" s="562" t="s">
        <v>944</v>
      </c>
      <c r="C3861" s="403">
        <v>4228.57</v>
      </c>
      <c r="D3861" s="400"/>
      <c r="E3861" s="400"/>
      <c r="F3861" s="400"/>
      <c r="G3861" s="400"/>
      <c r="H3861" s="396"/>
    </row>
    <row r="3862" spans="1:8" s="401" customFormat="1" ht="14.25" customHeight="1" x14ac:dyDescent="0.25">
      <c r="A3862" s="564">
        <v>3569</v>
      </c>
      <c r="B3862" s="562" t="s">
        <v>944</v>
      </c>
      <c r="C3862" s="403">
        <v>4228.57</v>
      </c>
      <c r="D3862" s="400"/>
      <c r="E3862" s="400"/>
      <c r="F3862" s="400"/>
      <c r="G3862" s="400"/>
      <c r="H3862" s="396"/>
    </row>
    <row r="3863" spans="1:8" s="401" customFormat="1" ht="14.25" customHeight="1" x14ac:dyDescent="0.25">
      <c r="A3863" s="564">
        <v>3572</v>
      </c>
      <c r="B3863" s="562" t="s">
        <v>944</v>
      </c>
      <c r="C3863" s="403">
        <v>4228.57</v>
      </c>
      <c r="D3863" s="400"/>
      <c r="E3863" s="400"/>
      <c r="F3863" s="400"/>
      <c r="G3863" s="400"/>
      <c r="H3863" s="396"/>
    </row>
    <row r="3864" spans="1:8" s="401" customFormat="1" ht="14.25" customHeight="1" x14ac:dyDescent="0.25">
      <c r="A3864" s="564">
        <v>3574</v>
      </c>
      <c r="B3864" s="562" t="s">
        <v>944</v>
      </c>
      <c r="C3864" s="403">
        <v>4228.57</v>
      </c>
      <c r="D3864" s="400"/>
      <c r="E3864" s="400"/>
      <c r="F3864" s="400"/>
      <c r="G3864" s="400"/>
      <c r="H3864" s="396"/>
    </row>
    <row r="3865" spans="1:8" s="401" customFormat="1" ht="14.25" customHeight="1" x14ac:dyDescent="0.25">
      <c r="A3865" s="564">
        <v>3578</v>
      </c>
      <c r="B3865" s="562" t="s">
        <v>944</v>
      </c>
      <c r="C3865" s="403">
        <v>4228.57</v>
      </c>
      <c r="D3865" s="400"/>
      <c r="E3865" s="400"/>
      <c r="F3865" s="400"/>
      <c r="G3865" s="400"/>
      <c r="H3865" s="396"/>
    </row>
    <row r="3866" spans="1:8" s="401" customFormat="1" ht="14.25" customHeight="1" x14ac:dyDescent="0.25">
      <c r="A3866" s="564">
        <v>3579</v>
      </c>
      <c r="B3866" s="562" t="s">
        <v>944</v>
      </c>
      <c r="C3866" s="403">
        <v>4228.57</v>
      </c>
      <c r="D3866" s="400"/>
      <c r="E3866" s="400"/>
      <c r="F3866" s="400"/>
      <c r="G3866" s="400"/>
      <c r="H3866" s="396"/>
    </row>
    <row r="3867" spans="1:8" s="401" customFormat="1" ht="14.25" customHeight="1" x14ac:dyDescent="0.25">
      <c r="A3867" s="564">
        <v>3582</v>
      </c>
      <c r="B3867" s="562" t="s">
        <v>944</v>
      </c>
      <c r="C3867" s="403">
        <v>4228.57</v>
      </c>
      <c r="D3867" s="400"/>
      <c r="E3867" s="400"/>
      <c r="F3867" s="400"/>
      <c r="G3867" s="400"/>
      <c r="H3867" s="396"/>
    </row>
    <row r="3868" spans="1:8" s="401" customFormat="1" ht="14.25" customHeight="1" x14ac:dyDescent="0.25">
      <c r="A3868" s="564">
        <v>3586</v>
      </c>
      <c r="B3868" s="562" t="s">
        <v>944</v>
      </c>
      <c r="C3868" s="403">
        <v>4228.57</v>
      </c>
      <c r="D3868" s="400"/>
      <c r="E3868" s="400"/>
      <c r="F3868" s="400"/>
      <c r="G3868" s="400"/>
      <c r="H3868" s="396"/>
    </row>
    <row r="3869" spans="1:8" s="401" customFormat="1" ht="14.25" customHeight="1" x14ac:dyDescent="0.25">
      <c r="A3869" s="564">
        <v>3606</v>
      </c>
      <c r="B3869" s="562" t="s">
        <v>944</v>
      </c>
      <c r="C3869" s="403">
        <v>4228.57</v>
      </c>
      <c r="D3869" s="400"/>
      <c r="E3869" s="400"/>
      <c r="F3869" s="400"/>
      <c r="G3869" s="400"/>
      <c r="H3869" s="396"/>
    </row>
    <row r="3870" spans="1:8" s="401" customFormat="1" ht="14.25" customHeight="1" x14ac:dyDescent="0.25">
      <c r="A3870" s="564">
        <v>3610</v>
      </c>
      <c r="B3870" s="562" t="s">
        <v>944</v>
      </c>
      <c r="C3870" s="403">
        <v>4228.57</v>
      </c>
      <c r="D3870" s="400"/>
      <c r="E3870" s="400"/>
      <c r="F3870" s="400"/>
      <c r="G3870" s="400"/>
      <c r="H3870" s="396"/>
    </row>
    <row r="3871" spans="1:8" s="401" customFormat="1" ht="14.25" customHeight="1" x14ac:dyDescent="0.25">
      <c r="A3871" s="564">
        <v>3616</v>
      </c>
      <c r="B3871" s="562" t="s">
        <v>926</v>
      </c>
      <c r="C3871" s="403">
        <v>19546</v>
      </c>
      <c r="D3871" s="400"/>
      <c r="E3871" s="400"/>
      <c r="F3871" s="400"/>
      <c r="G3871" s="400"/>
      <c r="H3871" s="396"/>
    </row>
    <row r="3872" spans="1:8" s="401" customFormat="1" ht="14.25" customHeight="1" x14ac:dyDescent="0.25">
      <c r="A3872" s="564">
        <v>4223</v>
      </c>
      <c r="B3872" s="562" t="s">
        <v>926</v>
      </c>
      <c r="C3872" s="403">
        <v>6101.6</v>
      </c>
      <c r="D3872" s="400"/>
      <c r="E3872" s="400"/>
      <c r="F3872" s="400"/>
      <c r="G3872" s="400"/>
      <c r="H3872" s="396"/>
    </row>
    <row r="3873" spans="1:8" s="401" customFormat="1" ht="14.25" customHeight="1" x14ac:dyDescent="0.25">
      <c r="A3873" s="564">
        <v>4250</v>
      </c>
      <c r="B3873" s="562" t="s">
        <v>921</v>
      </c>
      <c r="C3873" s="403">
        <v>1537</v>
      </c>
      <c r="D3873" s="400"/>
      <c r="E3873" s="400"/>
      <c r="F3873" s="400"/>
      <c r="G3873" s="400"/>
      <c r="H3873" s="396"/>
    </row>
    <row r="3874" spans="1:8" s="401" customFormat="1" ht="14.25" customHeight="1" x14ac:dyDescent="0.25">
      <c r="A3874" s="564">
        <v>4252</v>
      </c>
      <c r="B3874" s="562" t="s">
        <v>929</v>
      </c>
      <c r="C3874" s="403">
        <v>1827.99</v>
      </c>
      <c r="D3874" s="400"/>
      <c r="E3874" s="400"/>
      <c r="F3874" s="400"/>
      <c r="G3874" s="400"/>
      <c r="H3874" s="396"/>
    </row>
    <row r="3875" spans="1:8" s="401" customFormat="1" ht="14.25" customHeight="1" x14ac:dyDescent="0.25">
      <c r="A3875" s="564">
        <v>4289</v>
      </c>
      <c r="B3875" s="562" t="s">
        <v>926</v>
      </c>
      <c r="C3875" s="403">
        <v>3141</v>
      </c>
      <c r="D3875" s="400"/>
      <c r="E3875" s="400"/>
      <c r="F3875" s="400"/>
      <c r="G3875" s="400"/>
      <c r="H3875" s="396"/>
    </row>
    <row r="3876" spans="1:8" s="401" customFormat="1" ht="14.25" customHeight="1" x14ac:dyDescent="0.25">
      <c r="A3876" s="564">
        <v>4676</v>
      </c>
      <c r="B3876" s="562" t="s">
        <v>939</v>
      </c>
      <c r="C3876" s="403">
        <v>499</v>
      </c>
      <c r="D3876" s="400"/>
      <c r="E3876" s="400"/>
      <c r="F3876" s="400"/>
      <c r="G3876" s="400"/>
      <c r="H3876" s="396"/>
    </row>
    <row r="3877" spans="1:8" s="401" customFormat="1" ht="14.25" customHeight="1" x14ac:dyDescent="0.25">
      <c r="A3877" s="564">
        <v>4679</v>
      </c>
      <c r="B3877" s="562" t="s">
        <v>939</v>
      </c>
      <c r="C3877" s="403">
        <v>499</v>
      </c>
      <c r="D3877" s="400"/>
      <c r="E3877" s="400"/>
      <c r="F3877" s="400"/>
      <c r="G3877" s="400"/>
      <c r="H3877" s="396"/>
    </row>
    <row r="3878" spans="1:8" s="401" customFormat="1" ht="14.25" customHeight="1" x14ac:dyDescent="0.25">
      <c r="A3878" s="564">
        <v>4680</v>
      </c>
      <c r="B3878" s="562" t="s">
        <v>939</v>
      </c>
      <c r="C3878" s="403">
        <v>499</v>
      </c>
      <c r="D3878" s="400"/>
      <c r="E3878" s="400"/>
      <c r="F3878" s="400"/>
      <c r="G3878" s="400"/>
      <c r="H3878" s="396"/>
    </row>
    <row r="3879" spans="1:8" s="401" customFormat="1" ht="14.25" customHeight="1" x14ac:dyDescent="0.25">
      <c r="A3879" s="564">
        <v>4682</v>
      </c>
      <c r="B3879" s="562" t="s">
        <v>939</v>
      </c>
      <c r="C3879" s="403">
        <v>499</v>
      </c>
      <c r="D3879" s="400"/>
      <c r="E3879" s="400"/>
      <c r="F3879" s="400"/>
      <c r="G3879" s="400"/>
      <c r="H3879" s="396"/>
    </row>
    <row r="3880" spans="1:8" s="401" customFormat="1" ht="14.25" customHeight="1" x14ac:dyDescent="0.25">
      <c r="A3880" s="564">
        <v>4684</v>
      </c>
      <c r="B3880" s="562" t="s">
        <v>939</v>
      </c>
      <c r="C3880" s="403">
        <v>499</v>
      </c>
      <c r="D3880" s="400"/>
      <c r="E3880" s="400"/>
      <c r="F3880" s="400"/>
      <c r="G3880" s="400"/>
      <c r="H3880" s="396"/>
    </row>
    <row r="3881" spans="1:8" s="401" customFormat="1" ht="14.25" customHeight="1" x14ac:dyDescent="0.25">
      <c r="A3881" s="564">
        <v>4685</v>
      </c>
      <c r="B3881" s="562" t="s">
        <v>939</v>
      </c>
      <c r="C3881" s="403">
        <v>499</v>
      </c>
      <c r="D3881" s="400"/>
      <c r="E3881" s="400"/>
      <c r="F3881" s="400"/>
      <c r="G3881" s="400"/>
      <c r="H3881" s="396"/>
    </row>
    <row r="3882" spans="1:8" s="401" customFormat="1" ht="14.25" customHeight="1" x14ac:dyDescent="0.25">
      <c r="A3882" s="564">
        <v>4687</v>
      </c>
      <c r="B3882" s="562" t="s">
        <v>939</v>
      </c>
      <c r="C3882" s="403">
        <v>499</v>
      </c>
      <c r="D3882" s="400"/>
      <c r="E3882" s="400"/>
      <c r="F3882" s="400"/>
      <c r="G3882" s="400"/>
      <c r="H3882" s="396"/>
    </row>
    <row r="3883" spans="1:8" s="401" customFormat="1" ht="14.25" customHeight="1" x14ac:dyDescent="0.25">
      <c r="A3883" s="564">
        <v>3932</v>
      </c>
      <c r="B3883" s="562" t="s">
        <v>921</v>
      </c>
      <c r="C3883" s="403">
        <v>1267.5</v>
      </c>
      <c r="D3883" s="400"/>
      <c r="E3883" s="400"/>
      <c r="F3883" s="400"/>
      <c r="G3883" s="400"/>
      <c r="H3883" s="396"/>
    </row>
    <row r="3884" spans="1:8" s="401" customFormat="1" ht="14.25" customHeight="1" x14ac:dyDescent="0.25">
      <c r="A3884" s="564">
        <v>3935</v>
      </c>
      <c r="B3884" s="562" t="s">
        <v>921</v>
      </c>
      <c r="C3884" s="403">
        <v>2999.88</v>
      </c>
      <c r="D3884" s="400"/>
      <c r="E3884" s="400"/>
      <c r="F3884" s="400"/>
      <c r="G3884" s="400"/>
      <c r="H3884" s="396"/>
    </row>
    <row r="3885" spans="1:8" s="401" customFormat="1" ht="14.25" customHeight="1" x14ac:dyDescent="0.25">
      <c r="A3885" s="564">
        <v>3936</v>
      </c>
      <c r="B3885" s="562" t="s">
        <v>921</v>
      </c>
      <c r="C3885" s="403">
        <v>1400.01</v>
      </c>
      <c r="D3885" s="400"/>
      <c r="E3885" s="400"/>
      <c r="F3885" s="400"/>
      <c r="G3885" s="400"/>
      <c r="H3885" s="396"/>
    </row>
    <row r="3886" spans="1:8" s="401" customFormat="1" ht="14.25" customHeight="1" x14ac:dyDescent="0.25">
      <c r="A3886" s="564">
        <v>3938</v>
      </c>
      <c r="B3886" s="562" t="s">
        <v>945</v>
      </c>
      <c r="C3886" s="403">
        <v>595.08000000000004</v>
      </c>
      <c r="D3886" s="400"/>
      <c r="E3886" s="400"/>
      <c r="F3886" s="400"/>
      <c r="G3886" s="400"/>
      <c r="H3886" s="396"/>
    </row>
    <row r="3887" spans="1:8" s="401" customFormat="1" ht="14.25" customHeight="1" x14ac:dyDescent="0.25">
      <c r="A3887" s="564">
        <v>4049</v>
      </c>
      <c r="B3887" s="562" t="s">
        <v>946</v>
      </c>
      <c r="C3887" s="403">
        <v>567.24</v>
      </c>
      <c r="D3887" s="400"/>
      <c r="E3887" s="400"/>
      <c r="F3887" s="400"/>
      <c r="G3887" s="400"/>
      <c r="H3887" s="396"/>
    </row>
    <row r="3888" spans="1:8" s="401" customFormat="1" ht="14.25" customHeight="1" x14ac:dyDescent="0.25">
      <c r="A3888" s="564">
        <v>4052</v>
      </c>
      <c r="B3888" s="562" t="s">
        <v>939</v>
      </c>
      <c r="C3888" s="403">
        <v>567.24</v>
      </c>
      <c r="D3888" s="400"/>
      <c r="E3888" s="400"/>
      <c r="F3888" s="400"/>
      <c r="G3888" s="400"/>
      <c r="H3888" s="396"/>
    </row>
    <row r="3889" spans="1:8" s="401" customFormat="1" ht="14.25" customHeight="1" x14ac:dyDescent="0.25">
      <c r="A3889" s="564">
        <v>4055</v>
      </c>
      <c r="B3889" s="562" t="s">
        <v>939</v>
      </c>
      <c r="C3889" s="403">
        <v>567.24</v>
      </c>
      <c r="D3889" s="400"/>
      <c r="E3889" s="400"/>
      <c r="F3889" s="400"/>
      <c r="G3889" s="400"/>
      <c r="H3889" s="396"/>
    </row>
    <row r="3890" spans="1:8" s="401" customFormat="1" ht="14.25" customHeight="1" x14ac:dyDescent="0.25">
      <c r="A3890" s="564">
        <v>4057</v>
      </c>
      <c r="B3890" s="562" t="s">
        <v>939</v>
      </c>
      <c r="C3890" s="403">
        <v>567.24</v>
      </c>
      <c r="D3890" s="400"/>
      <c r="E3890" s="400"/>
      <c r="F3890" s="400"/>
      <c r="G3890" s="400"/>
      <c r="H3890" s="396"/>
    </row>
    <row r="3891" spans="1:8" s="401" customFormat="1" ht="14.25" customHeight="1" x14ac:dyDescent="0.25">
      <c r="A3891" s="564">
        <v>3654</v>
      </c>
      <c r="B3891" s="562" t="s">
        <v>947</v>
      </c>
      <c r="C3891" s="403">
        <v>5750</v>
      </c>
      <c r="D3891" s="400"/>
      <c r="E3891" s="400"/>
      <c r="F3891" s="400"/>
      <c r="G3891" s="400"/>
      <c r="H3891" s="396"/>
    </row>
    <row r="3892" spans="1:8" s="401" customFormat="1" ht="14.25" customHeight="1" x14ac:dyDescent="0.25">
      <c r="A3892" s="564">
        <v>3701</v>
      </c>
      <c r="B3892" s="562" t="s">
        <v>937</v>
      </c>
      <c r="C3892" s="403">
        <v>529.54</v>
      </c>
      <c r="D3892" s="400"/>
      <c r="E3892" s="400"/>
      <c r="F3892" s="400"/>
      <c r="G3892" s="400"/>
      <c r="H3892" s="396"/>
    </row>
    <row r="3893" spans="1:8" s="401" customFormat="1" ht="14.25" customHeight="1" x14ac:dyDescent="0.25">
      <c r="A3893" s="564">
        <v>3702</v>
      </c>
      <c r="B3893" s="562" t="s">
        <v>937</v>
      </c>
      <c r="C3893" s="403">
        <v>529.54</v>
      </c>
      <c r="D3893" s="400"/>
      <c r="E3893" s="400"/>
      <c r="F3893" s="400"/>
      <c r="G3893" s="400"/>
      <c r="H3893" s="396"/>
    </row>
    <row r="3894" spans="1:8" s="401" customFormat="1" ht="14.25" customHeight="1" x14ac:dyDescent="0.25">
      <c r="A3894" s="564">
        <v>3704</v>
      </c>
      <c r="B3894" s="562" t="s">
        <v>937</v>
      </c>
      <c r="C3894" s="403">
        <v>529.54</v>
      </c>
      <c r="D3894" s="400"/>
      <c r="E3894" s="400"/>
      <c r="F3894" s="400"/>
      <c r="G3894" s="400"/>
      <c r="H3894" s="396"/>
    </row>
    <row r="3895" spans="1:8" s="401" customFormat="1" ht="14.25" customHeight="1" x14ac:dyDescent="0.25">
      <c r="A3895" s="564">
        <v>3706</v>
      </c>
      <c r="B3895" s="562" t="s">
        <v>937</v>
      </c>
      <c r="C3895" s="403">
        <v>529.54</v>
      </c>
      <c r="D3895" s="400"/>
      <c r="E3895" s="400"/>
      <c r="F3895" s="400"/>
      <c r="G3895" s="400"/>
      <c r="H3895" s="396"/>
    </row>
    <row r="3896" spans="1:8" s="401" customFormat="1" ht="14.25" customHeight="1" x14ac:dyDescent="0.25">
      <c r="A3896" s="564">
        <v>3708</v>
      </c>
      <c r="B3896" s="562" t="s">
        <v>937</v>
      </c>
      <c r="C3896" s="403">
        <v>530</v>
      </c>
      <c r="D3896" s="400"/>
      <c r="E3896" s="400"/>
      <c r="F3896" s="400"/>
      <c r="G3896" s="400"/>
      <c r="H3896" s="396"/>
    </row>
    <row r="3897" spans="1:8" s="401" customFormat="1" ht="14.25" customHeight="1" x14ac:dyDescent="0.25">
      <c r="A3897" s="564">
        <v>3711</v>
      </c>
      <c r="B3897" s="562" t="s">
        <v>937</v>
      </c>
      <c r="C3897" s="403">
        <v>529.54</v>
      </c>
      <c r="D3897" s="400"/>
      <c r="E3897" s="400"/>
      <c r="F3897" s="400"/>
      <c r="G3897" s="400"/>
      <c r="H3897" s="396"/>
    </row>
    <row r="3898" spans="1:8" s="401" customFormat="1" ht="14.25" customHeight="1" x14ac:dyDescent="0.25">
      <c r="A3898" s="564">
        <v>3713</v>
      </c>
      <c r="B3898" s="562" t="s">
        <v>937</v>
      </c>
      <c r="C3898" s="403">
        <v>529.54</v>
      </c>
      <c r="D3898" s="400"/>
      <c r="E3898" s="400"/>
      <c r="F3898" s="400"/>
      <c r="G3898" s="400"/>
      <c r="H3898" s="396"/>
    </row>
    <row r="3899" spans="1:8" s="401" customFormat="1" ht="14.25" customHeight="1" x14ac:dyDescent="0.25">
      <c r="A3899" s="564">
        <v>3715</v>
      </c>
      <c r="B3899" s="562" t="s">
        <v>937</v>
      </c>
      <c r="C3899" s="403">
        <v>529.54</v>
      </c>
      <c r="D3899" s="400"/>
      <c r="E3899" s="400"/>
      <c r="F3899" s="400"/>
      <c r="G3899" s="400"/>
      <c r="H3899" s="396"/>
    </row>
    <row r="3900" spans="1:8" s="401" customFormat="1" ht="14.25" customHeight="1" x14ac:dyDescent="0.25">
      <c r="A3900" s="564">
        <v>3717</v>
      </c>
      <c r="B3900" s="562" t="s">
        <v>937</v>
      </c>
      <c r="C3900" s="403">
        <v>529.54</v>
      </c>
      <c r="D3900" s="400"/>
      <c r="E3900" s="400"/>
      <c r="F3900" s="400"/>
      <c r="G3900" s="400"/>
      <c r="H3900" s="396"/>
    </row>
    <row r="3901" spans="1:8" s="401" customFormat="1" ht="14.25" customHeight="1" x14ac:dyDescent="0.25">
      <c r="A3901" s="564">
        <v>3719</v>
      </c>
      <c r="B3901" s="562" t="s">
        <v>937</v>
      </c>
      <c r="C3901" s="403">
        <v>529.54</v>
      </c>
      <c r="D3901" s="400"/>
      <c r="E3901" s="400"/>
      <c r="F3901" s="400"/>
      <c r="G3901" s="400"/>
      <c r="H3901" s="396"/>
    </row>
    <row r="3902" spans="1:8" s="401" customFormat="1" ht="14.25" customHeight="1" x14ac:dyDescent="0.25">
      <c r="A3902" s="564">
        <v>3721</v>
      </c>
      <c r="B3902" s="562" t="s">
        <v>937</v>
      </c>
      <c r="C3902" s="403">
        <v>529.54</v>
      </c>
      <c r="D3902" s="400"/>
      <c r="E3902" s="400"/>
      <c r="F3902" s="400"/>
      <c r="G3902" s="400"/>
      <c r="H3902" s="396"/>
    </row>
    <row r="3903" spans="1:8" s="401" customFormat="1" ht="14.25" customHeight="1" x14ac:dyDescent="0.25">
      <c r="A3903" s="564">
        <v>3724</v>
      </c>
      <c r="B3903" s="562" t="s">
        <v>937</v>
      </c>
      <c r="C3903" s="403">
        <v>529.54</v>
      </c>
      <c r="D3903" s="400"/>
      <c r="E3903" s="400"/>
      <c r="F3903" s="400"/>
      <c r="G3903" s="400"/>
      <c r="H3903" s="396"/>
    </row>
    <row r="3904" spans="1:8" s="401" customFormat="1" ht="14.25" customHeight="1" x14ac:dyDescent="0.25">
      <c r="A3904" s="564">
        <v>3726</v>
      </c>
      <c r="B3904" s="562" t="s">
        <v>921</v>
      </c>
      <c r="C3904" s="403">
        <v>4122</v>
      </c>
      <c r="D3904" s="400"/>
      <c r="E3904" s="400"/>
      <c r="F3904" s="400"/>
      <c r="G3904" s="400"/>
      <c r="H3904" s="396"/>
    </row>
    <row r="3905" spans="1:8" s="401" customFormat="1" ht="14.25" customHeight="1" x14ac:dyDescent="0.25">
      <c r="A3905" s="564">
        <v>3730</v>
      </c>
      <c r="B3905" s="562" t="s">
        <v>941</v>
      </c>
      <c r="C3905" s="403">
        <v>26450</v>
      </c>
      <c r="D3905" s="400"/>
      <c r="E3905" s="400"/>
      <c r="F3905" s="400"/>
      <c r="G3905" s="400"/>
      <c r="H3905" s="396"/>
    </row>
    <row r="3906" spans="1:8" s="401" customFormat="1" ht="14.25" customHeight="1" x14ac:dyDescent="0.25">
      <c r="A3906" s="564">
        <v>462</v>
      </c>
      <c r="B3906" s="562" t="s">
        <v>926</v>
      </c>
      <c r="C3906" s="403">
        <v>1</v>
      </c>
      <c r="D3906" s="400"/>
      <c r="E3906" s="400"/>
      <c r="F3906" s="400"/>
      <c r="G3906" s="400"/>
      <c r="H3906" s="396"/>
    </row>
    <row r="3907" spans="1:8" s="401" customFormat="1" ht="14.25" customHeight="1" x14ac:dyDescent="0.25">
      <c r="A3907" s="564">
        <v>3410</v>
      </c>
      <c r="B3907" s="562" t="s">
        <v>921</v>
      </c>
      <c r="C3907" s="403">
        <v>1018</v>
      </c>
      <c r="D3907" s="400"/>
      <c r="E3907" s="400"/>
      <c r="F3907" s="400"/>
      <c r="G3907" s="400"/>
      <c r="H3907" s="396"/>
    </row>
    <row r="3908" spans="1:8" s="401" customFormat="1" ht="14.25" customHeight="1" x14ac:dyDescent="0.25">
      <c r="A3908" s="564">
        <v>3439</v>
      </c>
      <c r="B3908" s="562" t="s">
        <v>945</v>
      </c>
      <c r="C3908" s="403">
        <v>6554</v>
      </c>
      <c r="D3908" s="400"/>
      <c r="E3908" s="400"/>
      <c r="F3908" s="400"/>
      <c r="G3908" s="400"/>
      <c r="H3908" s="396"/>
    </row>
    <row r="3909" spans="1:8" s="401" customFormat="1" ht="14.25" customHeight="1" x14ac:dyDescent="0.25">
      <c r="A3909" s="564">
        <v>1929</v>
      </c>
      <c r="B3909" s="562" t="s">
        <v>921</v>
      </c>
      <c r="C3909" s="403">
        <v>1100</v>
      </c>
      <c r="D3909" s="400"/>
      <c r="E3909" s="400"/>
      <c r="F3909" s="400"/>
      <c r="G3909" s="400"/>
      <c r="H3909" s="396"/>
    </row>
    <row r="3910" spans="1:8" s="401" customFormat="1" ht="14.25" customHeight="1" x14ac:dyDescent="0.25">
      <c r="A3910" s="564">
        <v>500</v>
      </c>
      <c r="B3910" s="562" t="s">
        <v>827</v>
      </c>
      <c r="C3910" s="403">
        <v>17250</v>
      </c>
      <c r="D3910" s="400"/>
      <c r="E3910" s="400"/>
      <c r="F3910" s="400"/>
      <c r="G3910" s="400"/>
      <c r="H3910" s="396"/>
    </row>
    <row r="3911" spans="1:8" s="401" customFormat="1" ht="14.25" customHeight="1" x14ac:dyDescent="0.25">
      <c r="A3911" s="564">
        <v>870</v>
      </c>
      <c r="B3911" s="562" t="s">
        <v>948</v>
      </c>
      <c r="C3911" s="403">
        <v>670.03</v>
      </c>
      <c r="D3911" s="400"/>
      <c r="E3911" s="400"/>
      <c r="F3911" s="400"/>
      <c r="G3911" s="400"/>
      <c r="H3911" s="396"/>
    </row>
    <row r="3912" spans="1:8" s="401" customFormat="1" ht="14.25" customHeight="1" x14ac:dyDescent="0.25">
      <c r="A3912" s="564">
        <v>871</v>
      </c>
      <c r="B3912" s="562" t="s">
        <v>948</v>
      </c>
      <c r="C3912" s="403">
        <v>670.03</v>
      </c>
      <c r="D3912" s="400"/>
      <c r="E3912" s="400"/>
      <c r="F3912" s="400"/>
      <c r="G3912" s="400"/>
      <c r="H3912" s="396"/>
    </row>
    <row r="3913" spans="1:8" s="401" customFormat="1" ht="14.25" customHeight="1" x14ac:dyDescent="0.25">
      <c r="A3913" s="564">
        <v>873</v>
      </c>
      <c r="B3913" s="562" t="s">
        <v>948</v>
      </c>
      <c r="C3913" s="403">
        <v>670.03</v>
      </c>
      <c r="D3913" s="400"/>
      <c r="E3913" s="400"/>
      <c r="F3913" s="400"/>
      <c r="G3913" s="400"/>
      <c r="H3913" s="396"/>
    </row>
    <row r="3914" spans="1:8" s="401" customFormat="1" ht="14.25" customHeight="1" x14ac:dyDescent="0.25">
      <c r="A3914" s="564">
        <v>875</v>
      </c>
      <c r="B3914" s="562" t="s">
        <v>948</v>
      </c>
      <c r="C3914" s="403">
        <v>673.03</v>
      </c>
      <c r="D3914" s="400"/>
      <c r="E3914" s="400"/>
      <c r="F3914" s="400"/>
      <c r="G3914" s="400"/>
      <c r="H3914" s="396"/>
    </row>
    <row r="3915" spans="1:8" s="401" customFormat="1" ht="14.25" customHeight="1" x14ac:dyDescent="0.25">
      <c r="A3915" s="564">
        <v>877</v>
      </c>
      <c r="B3915" s="562" t="s">
        <v>948</v>
      </c>
      <c r="C3915" s="403">
        <v>674.03</v>
      </c>
      <c r="D3915" s="400"/>
      <c r="E3915" s="400"/>
      <c r="F3915" s="400"/>
      <c r="G3915" s="400"/>
      <c r="H3915" s="396"/>
    </row>
    <row r="3916" spans="1:8" s="401" customFormat="1" ht="14.25" customHeight="1" x14ac:dyDescent="0.25">
      <c r="A3916" s="564">
        <v>878</v>
      </c>
      <c r="B3916" s="562" t="s">
        <v>948</v>
      </c>
      <c r="C3916" s="403">
        <v>675.03</v>
      </c>
      <c r="D3916" s="400"/>
      <c r="E3916" s="400"/>
      <c r="F3916" s="400"/>
      <c r="G3916" s="400"/>
      <c r="H3916" s="396"/>
    </row>
    <row r="3917" spans="1:8" s="401" customFormat="1" ht="14.25" customHeight="1" x14ac:dyDescent="0.25">
      <c r="A3917" s="564">
        <v>880</v>
      </c>
      <c r="B3917" s="562" t="s">
        <v>948</v>
      </c>
      <c r="C3917" s="403">
        <v>676.03</v>
      </c>
      <c r="D3917" s="400"/>
      <c r="E3917" s="400"/>
      <c r="F3917" s="400"/>
      <c r="G3917" s="400"/>
      <c r="H3917" s="396"/>
    </row>
    <row r="3918" spans="1:8" s="401" customFormat="1" ht="14.25" customHeight="1" x14ac:dyDescent="0.25">
      <c r="A3918" s="564">
        <v>881</v>
      </c>
      <c r="B3918" s="562" t="s">
        <v>948</v>
      </c>
      <c r="C3918" s="403">
        <v>677.03</v>
      </c>
      <c r="D3918" s="400"/>
      <c r="E3918" s="400"/>
      <c r="F3918" s="400"/>
      <c r="G3918" s="400"/>
      <c r="H3918" s="396"/>
    </row>
    <row r="3919" spans="1:8" s="401" customFormat="1" ht="14.25" customHeight="1" x14ac:dyDescent="0.25">
      <c r="A3919" s="564">
        <v>894</v>
      </c>
      <c r="B3919" s="562" t="s">
        <v>948</v>
      </c>
      <c r="C3919" s="403">
        <v>679.03</v>
      </c>
      <c r="D3919" s="400"/>
      <c r="E3919" s="400"/>
      <c r="F3919" s="400"/>
      <c r="G3919" s="400"/>
      <c r="H3919" s="396"/>
    </row>
    <row r="3920" spans="1:8" s="401" customFormat="1" ht="14.25" customHeight="1" x14ac:dyDescent="0.25">
      <c r="A3920" s="564">
        <v>896</v>
      </c>
      <c r="B3920" s="562" t="s">
        <v>948</v>
      </c>
      <c r="C3920" s="403">
        <v>680.03</v>
      </c>
      <c r="D3920" s="400"/>
      <c r="E3920" s="400"/>
      <c r="F3920" s="400"/>
      <c r="G3920" s="400"/>
      <c r="H3920" s="396"/>
    </row>
    <row r="3921" spans="1:8" s="401" customFormat="1" ht="14.25" customHeight="1" x14ac:dyDescent="0.25">
      <c r="A3921" s="564">
        <v>266</v>
      </c>
      <c r="B3921" s="562" t="s">
        <v>949</v>
      </c>
      <c r="C3921" s="403">
        <v>2242</v>
      </c>
      <c r="D3921" s="400"/>
      <c r="E3921" s="400"/>
      <c r="F3921" s="400"/>
      <c r="G3921" s="400"/>
      <c r="H3921" s="396"/>
    </row>
    <row r="3922" spans="1:8" s="401" customFormat="1" ht="14.25" customHeight="1" x14ac:dyDescent="0.25">
      <c r="A3922" s="564">
        <v>4453</v>
      </c>
      <c r="B3922" s="562" t="s">
        <v>950</v>
      </c>
      <c r="C3922" s="403">
        <v>601</v>
      </c>
      <c r="D3922" s="400"/>
      <c r="E3922" s="400"/>
      <c r="F3922" s="400"/>
      <c r="G3922" s="400"/>
      <c r="H3922" s="396"/>
    </row>
    <row r="3923" spans="1:8" s="401" customFormat="1" ht="14.25" customHeight="1" x14ac:dyDescent="0.25">
      <c r="A3923" s="564">
        <v>4455</v>
      </c>
      <c r="B3923" s="562" t="s">
        <v>950</v>
      </c>
      <c r="C3923" s="403">
        <v>601</v>
      </c>
      <c r="D3923" s="400"/>
      <c r="E3923" s="400"/>
      <c r="F3923" s="400"/>
      <c r="G3923" s="400"/>
      <c r="H3923" s="396"/>
    </row>
    <row r="3924" spans="1:8" s="401" customFormat="1" ht="14.25" customHeight="1" x14ac:dyDescent="0.25">
      <c r="A3924" s="564">
        <v>3480</v>
      </c>
      <c r="B3924" s="562" t="s">
        <v>951</v>
      </c>
      <c r="C3924" s="403">
        <v>166531</v>
      </c>
      <c r="D3924" s="400"/>
      <c r="E3924" s="400"/>
      <c r="F3924" s="400"/>
      <c r="G3924" s="400"/>
      <c r="H3924" s="396"/>
    </row>
    <row r="3925" spans="1:8" s="401" customFormat="1" ht="14.25" customHeight="1" x14ac:dyDescent="0.25">
      <c r="A3925" s="564">
        <v>3517</v>
      </c>
      <c r="B3925" s="562" t="s">
        <v>952</v>
      </c>
      <c r="C3925" s="403">
        <v>179997</v>
      </c>
      <c r="D3925" s="400"/>
      <c r="E3925" s="400"/>
      <c r="F3925" s="400"/>
      <c r="G3925" s="400"/>
      <c r="H3925" s="396"/>
    </row>
    <row r="3926" spans="1:8" s="401" customFormat="1" ht="14.25" customHeight="1" x14ac:dyDescent="0.25">
      <c r="A3926" s="564">
        <v>3523</v>
      </c>
      <c r="B3926" s="562" t="s">
        <v>952</v>
      </c>
      <c r="C3926" s="403">
        <v>179997</v>
      </c>
      <c r="D3926" s="400"/>
      <c r="E3926" s="400"/>
      <c r="F3926" s="400"/>
      <c r="G3926" s="400"/>
      <c r="H3926" s="396"/>
    </row>
    <row r="3927" spans="1:8" s="401" customFormat="1" ht="14.25" customHeight="1" x14ac:dyDescent="0.25">
      <c r="A3927" s="564">
        <v>3536</v>
      </c>
      <c r="B3927" s="562" t="s">
        <v>953</v>
      </c>
      <c r="C3927" s="403">
        <v>2409</v>
      </c>
      <c r="D3927" s="400"/>
      <c r="E3927" s="400"/>
      <c r="F3927" s="400"/>
      <c r="G3927" s="400"/>
      <c r="H3927" s="396"/>
    </row>
    <row r="3928" spans="1:8" s="401" customFormat="1" ht="14.25" customHeight="1" x14ac:dyDescent="0.25">
      <c r="A3928" s="564">
        <v>3547</v>
      </c>
      <c r="B3928" s="562" t="s">
        <v>953</v>
      </c>
      <c r="C3928" s="403">
        <v>2409</v>
      </c>
      <c r="D3928" s="400"/>
      <c r="E3928" s="400"/>
      <c r="F3928" s="400"/>
      <c r="G3928" s="400"/>
      <c r="H3928" s="396"/>
    </row>
    <row r="3929" spans="1:8" s="401" customFormat="1" ht="14.25" customHeight="1" x14ac:dyDescent="0.25">
      <c r="A3929" s="564">
        <v>3551</v>
      </c>
      <c r="B3929" s="562" t="s">
        <v>954</v>
      </c>
      <c r="C3929" s="403">
        <v>2409</v>
      </c>
      <c r="D3929" s="400"/>
      <c r="E3929" s="400"/>
      <c r="F3929" s="400"/>
      <c r="G3929" s="400"/>
      <c r="H3929" s="396"/>
    </row>
    <row r="3930" spans="1:8" s="401" customFormat="1" ht="14.25" customHeight="1" x14ac:dyDescent="0.25">
      <c r="A3930" s="564">
        <v>3554</v>
      </c>
      <c r="B3930" s="562" t="s">
        <v>954</v>
      </c>
      <c r="C3930" s="403">
        <v>2409</v>
      </c>
      <c r="D3930" s="400"/>
      <c r="E3930" s="400"/>
      <c r="F3930" s="400"/>
      <c r="G3930" s="400"/>
      <c r="H3930" s="396"/>
    </row>
    <row r="3931" spans="1:8" s="401" customFormat="1" ht="14.25" customHeight="1" x14ac:dyDescent="0.25">
      <c r="A3931" s="564">
        <v>3567</v>
      </c>
      <c r="B3931" s="562" t="s">
        <v>955</v>
      </c>
      <c r="C3931" s="403">
        <v>2409</v>
      </c>
      <c r="D3931" s="400"/>
      <c r="E3931" s="400"/>
      <c r="F3931" s="400"/>
      <c r="G3931" s="400"/>
      <c r="H3931" s="396"/>
    </row>
    <row r="3932" spans="1:8" s="401" customFormat="1" ht="14.25" customHeight="1" x14ac:dyDescent="0.25">
      <c r="A3932" s="564">
        <v>3571</v>
      </c>
      <c r="B3932" s="562" t="s">
        <v>955</v>
      </c>
      <c r="C3932" s="403">
        <v>2409</v>
      </c>
      <c r="D3932" s="400"/>
      <c r="E3932" s="400"/>
      <c r="F3932" s="400"/>
      <c r="G3932" s="400"/>
      <c r="H3932" s="396"/>
    </row>
    <row r="3933" spans="1:8" s="401" customFormat="1" ht="14.25" customHeight="1" x14ac:dyDescent="0.25">
      <c r="A3933" s="564">
        <v>3576</v>
      </c>
      <c r="B3933" s="562" t="s">
        <v>956</v>
      </c>
      <c r="C3933" s="403">
        <v>2409</v>
      </c>
      <c r="D3933" s="400"/>
      <c r="E3933" s="400"/>
      <c r="F3933" s="400"/>
      <c r="G3933" s="400"/>
      <c r="H3933" s="396"/>
    </row>
    <row r="3934" spans="1:8" s="401" customFormat="1" ht="14.25" customHeight="1" x14ac:dyDescent="0.25">
      <c r="A3934" s="564">
        <v>3581</v>
      </c>
      <c r="B3934" s="562" t="s">
        <v>956</v>
      </c>
      <c r="C3934" s="403">
        <v>2409</v>
      </c>
      <c r="D3934" s="400"/>
      <c r="E3934" s="400"/>
      <c r="F3934" s="400"/>
      <c r="G3934" s="400"/>
      <c r="H3934" s="396"/>
    </row>
    <row r="3935" spans="1:8" s="401" customFormat="1" ht="14.25" customHeight="1" x14ac:dyDescent="0.25">
      <c r="A3935" s="564">
        <v>3585</v>
      </c>
      <c r="B3935" s="562" t="s">
        <v>957</v>
      </c>
      <c r="C3935" s="403">
        <v>2409</v>
      </c>
      <c r="D3935" s="400"/>
      <c r="E3935" s="400"/>
      <c r="F3935" s="400"/>
      <c r="G3935" s="400"/>
      <c r="H3935" s="396"/>
    </row>
    <row r="3936" spans="1:8" s="401" customFormat="1" ht="14.25" customHeight="1" x14ac:dyDescent="0.25">
      <c r="A3936" s="564">
        <v>3590</v>
      </c>
      <c r="B3936" s="562" t="s">
        <v>957</v>
      </c>
      <c r="C3936" s="403">
        <v>2409</v>
      </c>
      <c r="D3936" s="400"/>
      <c r="E3936" s="400"/>
      <c r="F3936" s="400"/>
      <c r="G3936" s="400"/>
      <c r="H3936" s="396"/>
    </row>
    <row r="3937" spans="1:8" s="401" customFormat="1" ht="14.25" customHeight="1" x14ac:dyDescent="0.25">
      <c r="A3937" s="564">
        <v>3592</v>
      </c>
      <c r="B3937" s="562" t="s">
        <v>958</v>
      </c>
      <c r="C3937" s="403">
        <v>2409</v>
      </c>
      <c r="D3937" s="400"/>
      <c r="E3937" s="400"/>
      <c r="F3937" s="400"/>
      <c r="G3937" s="400"/>
      <c r="H3937" s="396"/>
    </row>
    <row r="3938" spans="1:8" s="401" customFormat="1" ht="14.25" customHeight="1" x14ac:dyDescent="0.25">
      <c r="A3938" s="564">
        <v>3595</v>
      </c>
      <c r="B3938" s="562" t="s">
        <v>958</v>
      </c>
      <c r="C3938" s="403">
        <v>2409</v>
      </c>
      <c r="D3938" s="400"/>
      <c r="E3938" s="400"/>
      <c r="F3938" s="400"/>
      <c r="G3938" s="400"/>
      <c r="H3938" s="396"/>
    </row>
    <row r="3939" spans="1:8" s="401" customFormat="1" ht="14.25" customHeight="1" x14ac:dyDescent="0.25">
      <c r="A3939" s="564">
        <v>3598</v>
      </c>
      <c r="B3939" s="562" t="s">
        <v>959</v>
      </c>
      <c r="C3939" s="403">
        <v>2409</v>
      </c>
      <c r="D3939" s="400"/>
      <c r="E3939" s="400"/>
      <c r="F3939" s="400"/>
      <c r="G3939" s="400"/>
      <c r="H3939" s="396"/>
    </row>
    <row r="3940" spans="1:8" s="401" customFormat="1" ht="14.25" customHeight="1" x14ac:dyDescent="0.25">
      <c r="A3940" s="564">
        <v>3600</v>
      </c>
      <c r="B3940" s="562" t="s">
        <v>959</v>
      </c>
      <c r="C3940" s="403">
        <v>2409</v>
      </c>
      <c r="D3940" s="400"/>
      <c r="E3940" s="400"/>
      <c r="F3940" s="400"/>
      <c r="G3940" s="400"/>
      <c r="H3940" s="396"/>
    </row>
    <row r="3941" spans="1:8" s="401" customFormat="1" ht="14.25" customHeight="1" x14ac:dyDescent="0.25">
      <c r="A3941" s="564">
        <v>3603</v>
      </c>
      <c r="B3941" s="562" t="s">
        <v>960</v>
      </c>
      <c r="C3941" s="403">
        <v>2409</v>
      </c>
      <c r="D3941" s="400"/>
      <c r="E3941" s="400"/>
      <c r="F3941" s="400"/>
      <c r="G3941" s="400"/>
      <c r="H3941" s="396"/>
    </row>
    <row r="3942" spans="1:8" s="401" customFormat="1" ht="14.25" customHeight="1" x14ac:dyDescent="0.25">
      <c r="A3942" s="564">
        <v>3607</v>
      </c>
      <c r="B3942" s="562" t="s">
        <v>960</v>
      </c>
      <c r="C3942" s="403">
        <v>2409</v>
      </c>
      <c r="D3942" s="400"/>
      <c r="E3942" s="400"/>
      <c r="F3942" s="400"/>
      <c r="G3942" s="400"/>
      <c r="H3942" s="396"/>
    </row>
    <row r="3943" spans="1:8" s="401" customFormat="1" ht="14.25" customHeight="1" x14ac:dyDescent="0.25">
      <c r="A3943" s="564">
        <v>3615</v>
      </c>
      <c r="B3943" s="562" t="s">
        <v>961</v>
      </c>
      <c r="C3943" s="403">
        <v>2409</v>
      </c>
      <c r="D3943" s="400"/>
      <c r="E3943" s="400"/>
      <c r="F3943" s="400"/>
      <c r="G3943" s="400"/>
      <c r="H3943" s="396"/>
    </row>
    <row r="3944" spans="1:8" s="401" customFormat="1" ht="14.25" customHeight="1" x14ac:dyDescent="0.25">
      <c r="A3944" s="564">
        <v>3620</v>
      </c>
      <c r="B3944" s="562" t="s">
        <v>961</v>
      </c>
      <c r="C3944" s="403">
        <v>2409</v>
      </c>
      <c r="D3944" s="400"/>
      <c r="E3944" s="400"/>
      <c r="F3944" s="400"/>
      <c r="G3944" s="400"/>
      <c r="H3944" s="396"/>
    </row>
    <row r="3945" spans="1:8" s="401" customFormat="1" ht="14.25" customHeight="1" x14ac:dyDescent="0.25">
      <c r="A3945" s="564">
        <v>3624</v>
      </c>
      <c r="B3945" s="562" t="s">
        <v>962</v>
      </c>
      <c r="C3945" s="403">
        <v>2409</v>
      </c>
      <c r="D3945" s="400"/>
      <c r="E3945" s="400"/>
      <c r="F3945" s="400"/>
      <c r="G3945" s="400"/>
      <c r="H3945" s="396"/>
    </row>
    <row r="3946" spans="1:8" s="401" customFormat="1" ht="14.25" customHeight="1" x14ac:dyDescent="0.25">
      <c r="A3946" s="564">
        <v>3627</v>
      </c>
      <c r="B3946" s="562" t="s">
        <v>962</v>
      </c>
      <c r="C3946" s="403">
        <v>2409</v>
      </c>
      <c r="D3946" s="400"/>
      <c r="E3946" s="400"/>
      <c r="F3946" s="400"/>
      <c r="G3946" s="400"/>
      <c r="H3946" s="396"/>
    </row>
    <row r="3947" spans="1:8" s="401" customFormat="1" ht="14.25" customHeight="1" x14ac:dyDescent="0.25">
      <c r="A3947" s="564">
        <v>3645</v>
      </c>
      <c r="B3947" s="562" t="s">
        <v>963</v>
      </c>
      <c r="C3947" s="403">
        <v>24732</v>
      </c>
      <c r="D3947" s="400"/>
      <c r="E3947" s="400"/>
      <c r="F3947" s="400"/>
      <c r="G3947" s="400"/>
      <c r="H3947" s="396"/>
    </row>
    <row r="3948" spans="1:8" s="401" customFormat="1" ht="14.25" customHeight="1" x14ac:dyDescent="0.25">
      <c r="A3948" s="564">
        <v>1064</v>
      </c>
      <c r="B3948" s="562" t="s">
        <v>964</v>
      </c>
      <c r="C3948" s="403">
        <v>3105</v>
      </c>
      <c r="D3948" s="400"/>
      <c r="E3948" s="400"/>
      <c r="F3948" s="400"/>
      <c r="G3948" s="400"/>
      <c r="H3948" s="396"/>
    </row>
    <row r="3949" spans="1:8" s="401" customFormat="1" ht="14.25" customHeight="1" x14ac:dyDescent="0.25">
      <c r="A3949" s="564">
        <v>3426</v>
      </c>
      <c r="B3949" s="562" t="s">
        <v>965</v>
      </c>
      <c r="C3949" s="403">
        <v>57970</v>
      </c>
      <c r="D3949" s="400"/>
      <c r="E3949" s="400"/>
      <c r="F3949" s="400"/>
      <c r="G3949" s="400"/>
      <c r="H3949" s="396"/>
    </row>
    <row r="3950" spans="1:8" s="401" customFormat="1" ht="14.25" customHeight="1" x14ac:dyDescent="0.25">
      <c r="A3950" s="564">
        <v>3434</v>
      </c>
      <c r="B3950" s="562" t="s">
        <v>966</v>
      </c>
      <c r="C3950" s="403">
        <v>4830</v>
      </c>
      <c r="D3950" s="400"/>
      <c r="E3950" s="400"/>
      <c r="F3950" s="400"/>
      <c r="G3950" s="400"/>
      <c r="H3950" s="396"/>
    </row>
    <row r="3951" spans="1:8" s="401" customFormat="1" ht="14.25" customHeight="1" x14ac:dyDescent="0.25">
      <c r="A3951" s="564">
        <v>3437</v>
      </c>
      <c r="B3951" s="562" t="s">
        <v>966</v>
      </c>
      <c r="C3951" s="403">
        <v>4830</v>
      </c>
      <c r="D3951" s="400"/>
      <c r="E3951" s="400"/>
      <c r="F3951" s="400"/>
      <c r="G3951" s="400"/>
      <c r="H3951" s="396"/>
    </row>
    <row r="3952" spans="1:8" s="401" customFormat="1" ht="14.25" customHeight="1" x14ac:dyDescent="0.25">
      <c r="A3952" s="564">
        <v>3451</v>
      </c>
      <c r="B3952" s="562" t="s">
        <v>966</v>
      </c>
      <c r="C3952" s="403">
        <v>4830</v>
      </c>
      <c r="D3952" s="400"/>
      <c r="E3952" s="400"/>
      <c r="F3952" s="400"/>
      <c r="G3952" s="400"/>
      <c r="H3952" s="396"/>
    </row>
    <row r="3953" spans="1:8" s="401" customFormat="1" ht="14.25" customHeight="1" x14ac:dyDescent="0.25">
      <c r="A3953" s="564">
        <v>3453</v>
      </c>
      <c r="B3953" s="562" t="s">
        <v>966</v>
      </c>
      <c r="C3953" s="403">
        <v>4830</v>
      </c>
      <c r="D3953" s="400"/>
      <c r="E3953" s="400"/>
      <c r="F3953" s="400"/>
      <c r="G3953" s="400"/>
      <c r="H3953" s="396"/>
    </row>
    <row r="3954" spans="1:8" s="401" customFormat="1" ht="14.25" customHeight="1" x14ac:dyDescent="0.25">
      <c r="A3954" s="564">
        <v>3456</v>
      </c>
      <c r="B3954" s="562" t="s">
        <v>966</v>
      </c>
      <c r="C3954" s="403">
        <v>4830</v>
      </c>
      <c r="D3954" s="400"/>
      <c r="E3954" s="400"/>
      <c r="F3954" s="400"/>
      <c r="G3954" s="400"/>
      <c r="H3954" s="396"/>
    </row>
    <row r="3955" spans="1:8" s="401" customFormat="1" ht="14.25" customHeight="1" x14ac:dyDescent="0.25">
      <c r="A3955" s="564">
        <v>3461</v>
      </c>
      <c r="B3955" s="562" t="s">
        <v>966</v>
      </c>
      <c r="C3955" s="403">
        <v>4830</v>
      </c>
      <c r="D3955" s="400"/>
      <c r="E3955" s="400"/>
      <c r="F3955" s="400"/>
      <c r="G3955" s="400"/>
      <c r="H3955" s="396"/>
    </row>
    <row r="3956" spans="1:8" s="401" customFormat="1" ht="14.25" customHeight="1" x14ac:dyDescent="0.25">
      <c r="A3956" s="564">
        <v>3467</v>
      </c>
      <c r="B3956" s="562" t="s">
        <v>966</v>
      </c>
      <c r="C3956" s="403">
        <v>4830</v>
      </c>
      <c r="D3956" s="400"/>
      <c r="E3956" s="400"/>
      <c r="F3956" s="400"/>
      <c r="G3956" s="400"/>
      <c r="H3956" s="396"/>
    </row>
    <row r="3957" spans="1:8" s="401" customFormat="1" ht="14.25" customHeight="1" x14ac:dyDescent="0.25">
      <c r="A3957" s="564">
        <v>3471</v>
      </c>
      <c r="B3957" s="562" t="s">
        <v>966</v>
      </c>
      <c r="C3957" s="403">
        <v>4830</v>
      </c>
      <c r="D3957" s="400"/>
      <c r="E3957" s="400"/>
      <c r="F3957" s="400"/>
      <c r="G3957" s="400"/>
      <c r="H3957" s="396"/>
    </row>
    <row r="3958" spans="1:8" s="401" customFormat="1" ht="14.25" customHeight="1" x14ac:dyDescent="0.25">
      <c r="A3958" s="564">
        <v>3474</v>
      </c>
      <c r="B3958" s="562" t="s">
        <v>966</v>
      </c>
      <c r="C3958" s="403">
        <v>4830</v>
      </c>
      <c r="D3958" s="400"/>
      <c r="E3958" s="400"/>
      <c r="F3958" s="400"/>
      <c r="G3958" s="400"/>
      <c r="H3958" s="396"/>
    </row>
    <row r="3959" spans="1:8" s="401" customFormat="1" ht="14.25" customHeight="1" x14ac:dyDescent="0.25">
      <c r="A3959" s="564">
        <v>3475</v>
      </c>
      <c r="B3959" s="562" t="s">
        <v>966</v>
      </c>
      <c r="C3959" s="403">
        <v>5750</v>
      </c>
      <c r="D3959" s="400"/>
      <c r="E3959" s="400"/>
      <c r="F3959" s="400"/>
      <c r="G3959" s="400"/>
      <c r="H3959" s="396"/>
    </row>
    <row r="3960" spans="1:8" s="401" customFormat="1" ht="14.25" customHeight="1" x14ac:dyDescent="0.25">
      <c r="A3960" s="564">
        <v>3479</v>
      </c>
      <c r="B3960" s="562" t="s">
        <v>965</v>
      </c>
      <c r="C3960" s="403">
        <v>57970</v>
      </c>
      <c r="D3960" s="400"/>
      <c r="E3960" s="400"/>
      <c r="F3960" s="400"/>
      <c r="G3960" s="400"/>
      <c r="H3960" s="396"/>
    </row>
    <row r="3961" spans="1:8" s="401" customFormat="1" ht="14.25" customHeight="1" x14ac:dyDescent="0.25">
      <c r="A3961" s="564">
        <v>1923</v>
      </c>
      <c r="B3961" s="562" t="s">
        <v>967</v>
      </c>
      <c r="C3961" s="403">
        <v>12099</v>
      </c>
      <c r="D3961" s="400"/>
      <c r="E3961" s="400"/>
      <c r="F3961" s="400"/>
      <c r="G3961" s="400"/>
      <c r="H3961" s="396"/>
    </row>
    <row r="3962" spans="1:8" s="401" customFormat="1" ht="14.25" customHeight="1" x14ac:dyDescent="0.25">
      <c r="A3962" s="564">
        <v>1977</v>
      </c>
      <c r="B3962" s="562" t="s">
        <v>967</v>
      </c>
      <c r="C3962" s="403">
        <v>6875</v>
      </c>
      <c r="D3962" s="400"/>
      <c r="E3962" s="400"/>
      <c r="F3962" s="400"/>
      <c r="G3962" s="400"/>
      <c r="H3962" s="396"/>
    </row>
    <row r="3963" spans="1:8" s="401" customFormat="1" ht="14.25" customHeight="1" x14ac:dyDescent="0.25">
      <c r="A3963" s="564">
        <v>1175</v>
      </c>
      <c r="B3963" s="562" t="s">
        <v>968</v>
      </c>
      <c r="C3963" s="403">
        <v>25216</v>
      </c>
      <c r="D3963" s="400"/>
      <c r="E3963" s="400"/>
      <c r="F3963" s="400"/>
      <c r="G3963" s="400"/>
      <c r="H3963" s="396"/>
    </row>
    <row r="3964" spans="1:8" s="401" customFormat="1" ht="14.25" customHeight="1" x14ac:dyDescent="0.25">
      <c r="A3964" s="564">
        <v>1182</v>
      </c>
      <c r="B3964" s="562" t="s">
        <v>969</v>
      </c>
      <c r="C3964" s="403">
        <v>142597</v>
      </c>
      <c r="D3964" s="400"/>
      <c r="E3964" s="400"/>
      <c r="F3964" s="400"/>
      <c r="G3964" s="400"/>
      <c r="H3964" s="396"/>
    </row>
    <row r="3965" spans="1:8" s="401" customFormat="1" ht="14.25" customHeight="1" x14ac:dyDescent="0.25">
      <c r="A3965" s="564">
        <v>3818</v>
      </c>
      <c r="B3965" s="562" t="s">
        <v>969</v>
      </c>
      <c r="C3965" s="403">
        <v>10370</v>
      </c>
      <c r="D3965" s="400"/>
      <c r="E3965" s="400"/>
      <c r="F3965" s="400"/>
      <c r="G3965" s="400"/>
      <c r="H3965" s="396"/>
    </row>
    <row r="3966" spans="1:8" s="401" customFormat="1" ht="14.25" customHeight="1" x14ac:dyDescent="0.25">
      <c r="A3966" s="564">
        <v>4951</v>
      </c>
      <c r="B3966" s="562" t="s">
        <v>970</v>
      </c>
      <c r="C3966" s="403">
        <v>1</v>
      </c>
      <c r="D3966" s="400"/>
      <c r="E3966" s="400"/>
      <c r="F3966" s="400"/>
      <c r="G3966" s="400"/>
      <c r="H3966" s="396"/>
    </row>
    <row r="3967" spans="1:8" s="401" customFormat="1" ht="14.25" customHeight="1" x14ac:dyDescent="0.25">
      <c r="A3967" s="564">
        <v>4954</v>
      </c>
      <c r="B3967" s="562" t="s">
        <v>970</v>
      </c>
      <c r="C3967" s="403">
        <v>1909</v>
      </c>
      <c r="D3967" s="400"/>
      <c r="E3967" s="400"/>
      <c r="F3967" s="400"/>
      <c r="G3967" s="400"/>
      <c r="H3967" s="396"/>
    </row>
    <row r="3968" spans="1:8" s="401" customFormat="1" ht="14.25" customHeight="1" x14ac:dyDescent="0.25">
      <c r="A3968" s="564">
        <v>248</v>
      </c>
      <c r="B3968" s="562" t="s">
        <v>971</v>
      </c>
      <c r="C3968" s="403">
        <v>22500</v>
      </c>
      <c r="D3968" s="400"/>
      <c r="E3968" s="400"/>
      <c r="F3968" s="400"/>
      <c r="G3968" s="400"/>
      <c r="H3968" s="396"/>
    </row>
    <row r="3969" spans="1:8" s="401" customFormat="1" ht="14.25" customHeight="1" x14ac:dyDescent="0.25">
      <c r="A3969" s="564">
        <v>214</v>
      </c>
      <c r="B3969" s="562" t="s">
        <v>972</v>
      </c>
      <c r="C3969" s="403">
        <v>1392</v>
      </c>
      <c r="D3969" s="400"/>
      <c r="E3969" s="400"/>
      <c r="F3969" s="400"/>
      <c r="G3969" s="400"/>
      <c r="H3969" s="396"/>
    </row>
    <row r="3970" spans="1:8" s="401" customFormat="1" ht="14.25" customHeight="1" x14ac:dyDescent="0.25">
      <c r="A3970" s="564">
        <v>4751</v>
      </c>
      <c r="B3970" s="562" t="s">
        <v>972</v>
      </c>
      <c r="C3970" s="403">
        <v>1912.48</v>
      </c>
      <c r="D3970" s="400"/>
      <c r="E3970" s="400"/>
      <c r="F3970" s="400"/>
      <c r="G3970" s="400"/>
      <c r="H3970" s="396"/>
    </row>
    <row r="3971" spans="1:8" s="401" customFormat="1" ht="14.25" customHeight="1" x14ac:dyDescent="0.25">
      <c r="A3971" s="564">
        <v>4752</v>
      </c>
      <c r="B3971" s="562" t="s">
        <v>972</v>
      </c>
      <c r="C3971" s="403">
        <v>1912.48</v>
      </c>
      <c r="D3971" s="400"/>
      <c r="E3971" s="400"/>
      <c r="F3971" s="400"/>
      <c r="G3971" s="400"/>
      <c r="H3971" s="396"/>
    </row>
    <row r="3972" spans="1:8" s="401" customFormat="1" ht="14.25" customHeight="1" x14ac:dyDescent="0.25">
      <c r="A3972" s="564">
        <v>425</v>
      </c>
      <c r="B3972" s="562" t="s">
        <v>972</v>
      </c>
      <c r="C3972" s="403">
        <v>1070</v>
      </c>
      <c r="D3972" s="400"/>
      <c r="E3972" s="400"/>
      <c r="F3972" s="400"/>
      <c r="G3972" s="400"/>
      <c r="H3972" s="396"/>
    </row>
    <row r="3973" spans="1:8" s="401" customFormat="1" ht="14.25" customHeight="1" x14ac:dyDescent="0.25">
      <c r="A3973" s="564">
        <v>324</v>
      </c>
      <c r="B3973" s="562" t="s">
        <v>973</v>
      </c>
      <c r="C3973" s="403">
        <v>13325</v>
      </c>
      <c r="D3973" s="400"/>
      <c r="E3973" s="400"/>
      <c r="F3973" s="400"/>
      <c r="G3973" s="400"/>
      <c r="H3973" s="396"/>
    </row>
    <row r="3974" spans="1:8" s="401" customFormat="1" ht="14.25" customHeight="1" x14ac:dyDescent="0.25">
      <c r="A3974" s="564">
        <v>341</v>
      </c>
      <c r="B3974" s="562" t="s">
        <v>974</v>
      </c>
      <c r="C3974" s="403">
        <v>4826</v>
      </c>
      <c r="D3974" s="400"/>
      <c r="E3974" s="400"/>
      <c r="F3974" s="400"/>
      <c r="G3974" s="400"/>
      <c r="H3974" s="396"/>
    </row>
    <row r="3975" spans="1:8" s="401" customFormat="1" ht="14.25" customHeight="1" x14ac:dyDescent="0.25">
      <c r="A3975" s="564">
        <v>4825</v>
      </c>
      <c r="B3975" s="562" t="s">
        <v>972</v>
      </c>
      <c r="C3975" s="403">
        <v>1579.98</v>
      </c>
      <c r="D3975" s="400"/>
      <c r="E3975" s="400"/>
      <c r="F3975" s="400"/>
      <c r="G3975" s="400"/>
      <c r="H3975" s="396"/>
    </row>
    <row r="3976" spans="1:8" s="401" customFormat="1" ht="14.25" customHeight="1" x14ac:dyDescent="0.25">
      <c r="A3976" s="564">
        <v>1901</v>
      </c>
      <c r="B3976" s="562" t="s">
        <v>972</v>
      </c>
      <c r="C3976" s="403">
        <v>2168</v>
      </c>
      <c r="D3976" s="400"/>
      <c r="E3976" s="400"/>
      <c r="F3976" s="400"/>
      <c r="G3976" s="400"/>
      <c r="H3976" s="396"/>
    </row>
    <row r="3977" spans="1:8" s="401" customFormat="1" ht="14.25" customHeight="1" x14ac:dyDescent="0.25">
      <c r="A3977" s="564">
        <v>3385</v>
      </c>
      <c r="B3977" s="562" t="s">
        <v>972</v>
      </c>
      <c r="C3977" s="403">
        <v>1972</v>
      </c>
      <c r="D3977" s="400"/>
      <c r="E3977" s="400"/>
      <c r="F3977" s="400"/>
      <c r="G3977" s="400"/>
      <c r="H3977" s="396"/>
    </row>
    <row r="3978" spans="1:8" s="401" customFormat="1" ht="14.25" customHeight="1" x14ac:dyDescent="0.25">
      <c r="A3978" s="564">
        <v>3392</v>
      </c>
      <c r="B3978" s="562" t="s">
        <v>972</v>
      </c>
      <c r="C3978" s="403">
        <v>1972</v>
      </c>
      <c r="D3978" s="400"/>
      <c r="E3978" s="400"/>
      <c r="F3978" s="400"/>
      <c r="G3978" s="400"/>
      <c r="H3978" s="396"/>
    </row>
    <row r="3979" spans="1:8" s="401" customFormat="1" ht="14.25" customHeight="1" x14ac:dyDescent="0.25">
      <c r="A3979" s="564">
        <v>3794</v>
      </c>
      <c r="B3979" s="562" t="s">
        <v>975</v>
      </c>
      <c r="C3979" s="403">
        <v>1819</v>
      </c>
      <c r="D3979" s="400"/>
      <c r="E3979" s="400"/>
      <c r="F3979" s="400"/>
      <c r="G3979" s="400"/>
      <c r="H3979" s="396"/>
    </row>
    <row r="3980" spans="1:8" s="401" customFormat="1" ht="14.25" customHeight="1" x14ac:dyDescent="0.25">
      <c r="A3980" s="564">
        <v>3705</v>
      </c>
      <c r="B3980" s="562" t="s">
        <v>972</v>
      </c>
      <c r="C3980" s="403">
        <v>2699</v>
      </c>
      <c r="D3980" s="400"/>
      <c r="E3980" s="400"/>
      <c r="F3980" s="400"/>
      <c r="G3980" s="400"/>
      <c r="H3980" s="396"/>
    </row>
    <row r="3981" spans="1:8" s="401" customFormat="1" ht="14.25" customHeight="1" x14ac:dyDescent="0.25">
      <c r="A3981" s="564">
        <v>3732</v>
      </c>
      <c r="B3981" s="562" t="s">
        <v>972</v>
      </c>
      <c r="C3981" s="403">
        <v>1722</v>
      </c>
      <c r="D3981" s="400"/>
      <c r="E3981" s="400"/>
      <c r="F3981" s="400"/>
      <c r="G3981" s="400"/>
      <c r="H3981" s="396"/>
    </row>
    <row r="3982" spans="1:8" s="401" customFormat="1" ht="14.25" customHeight="1" x14ac:dyDescent="0.25">
      <c r="A3982" s="564">
        <v>3778</v>
      </c>
      <c r="B3982" s="562" t="s">
        <v>972</v>
      </c>
      <c r="C3982" s="403">
        <v>2024</v>
      </c>
      <c r="D3982" s="400"/>
      <c r="E3982" s="400"/>
      <c r="F3982" s="400"/>
      <c r="G3982" s="400"/>
      <c r="H3982" s="396"/>
    </row>
    <row r="3983" spans="1:8" s="401" customFormat="1" ht="14.25" customHeight="1" x14ac:dyDescent="0.25">
      <c r="A3983" s="564">
        <v>3797</v>
      </c>
      <c r="B3983" s="562" t="s">
        <v>975</v>
      </c>
      <c r="C3983" s="403">
        <v>1819</v>
      </c>
      <c r="D3983" s="400"/>
      <c r="E3983" s="400"/>
      <c r="F3983" s="400"/>
      <c r="G3983" s="400"/>
      <c r="H3983" s="396"/>
    </row>
    <row r="3984" spans="1:8" s="401" customFormat="1" ht="14.25" customHeight="1" x14ac:dyDescent="0.25">
      <c r="A3984" s="564">
        <v>3802</v>
      </c>
      <c r="B3984" s="562" t="s">
        <v>975</v>
      </c>
      <c r="C3984" s="403">
        <v>1722</v>
      </c>
      <c r="D3984" s="400"/>
      <c r="E3984" s="400"/>
      <c r="F3984" s="400"/>
      <c r="G3984" s="400"/>
      <c r="H3984" s="396"/>
    </row>
    <row r="3985" spans="1:8" s="401" customFormat="1" ht="14.25" customHeight="1" x14ac:dyDescent="0.25">
      <c r="A3985" s="564">
        <v>3780</v>
      </c>
      <c r="B3985" s="562" t="s">
        <v>972</v>
      </c>
      <c r="C3985" s="403">
        <v>2183</v>
      </c>
      <c r="D3985" s="400"/>
      <c r="E3985" s="400"/>
      <c r="F3985" s="400"/>
      <c r="G3985" s="400"/>
      <c r="H3985" s="396"/>
    </row>
    <row r="3986" spans="1:8" s="401" customFormat="1" ht="14.25" customHeight="1" x14ac:dyDescent="0.25">
      <c r="A3986" s="564">
        <v>3784</v>
      </c>
      <c r="B3986" s="562" t="s">
        <v>972</v>
      </c>
      <c r="C3986" s="403">
        <v>2183</v>
      </c>
      <c r="D3986" s="400"/>
      <c r="E3986" s="400"/>
      <c r="F3986" s="400"/>
      <c r="G3986" s="400"/>
      <c r="H3986" s="396"/>
    </row>
    <row r="3987" spans="1:8" s="401" customFormat="1" ht="14.25" customHeight="1" x14ac:dyDescent="0.25">
      <c r="A3987" s="564">
        <v>3772</v>
      </c>
      <c r="B3987" s="562" t="s">
        <v>975</v>
      </c>
      <c r="C3987" s="403">
        <v>2499</v>
      </c>
      <c r="D3987" s="400"/>
      <c r="E3987" s="400"/>
      <c r="F3987" s="400"/>
      <c r="G3987" s="400"/>
      <c r="H3987" s="396"/>
    </row>
    <row r="3988" spans="1:8" s="401" customFormat="1" ht="14.25" customHeight="1" x14ac:dyDescent="0.25">
      <c r="A3988" s="564">
        <v>3800</v>
      </c>
      <c r="B3988" s="562" t="s">
        <v>975</v>
      </c>
      <c r="C3988" s="403">
        <v>1946</v>
      </c>
      <c r="D3988" s="400"/>
      <c r="E3988" s="400"/>
      <c r="F3988" s="400"/>
      <c r="G3988" s="400"/>
      <c r="H3988" s="396"/>
    </row>
    <row r="3989" spans="1:8" s="401" customFormat="1" ht="14.25" customHeight="1" x14ac:dyDescent="0.25">
      <c r="A3989" s="564">
        <v>4749</v>
      </c>
      <c r="B3989" s="562" t="s">
        <v>972</v>
      </c>
      <c r="C3989" s="403">
        <v>999.01</v>
      </c>
      <c r="D3989" s="400"/>
      <c r="E3989" s="400"/>
      <c r="F3989" s="400"/>
      <c r="G3989" s="400"/>
      <c r="H3989" s="396"/>
    </row>
    <row r="3990" spans="1:8" s="401" customFormat="1" ht="14.25" customHeight="1" x14ac:dyDescent="0.25">
      <c r="A3990" s="564">
        <v>4137</v>
      </c>
      <c r="B3990" s="562" t="s">
        <v>976</v>
      </c>
      <c r="C3990" s="403">
        <v>6635.2</v>
      </c>
      <c r="D3990" s="400"/>
      <c r="E3990" s="400"/>
      <c r="F3990" s="400"/>
      <c r="G3990" s="400"/>
      <c r="H3990" s="396"/>
    </row>
    <row r="3991" spans="1:8" s="401" customFormat="1" ht="14.25" customHeight="1" x14ac:dyDescent="0.25">
      <c r="A3991" s="564">
        <v>4145</v>
      </c>
      <c r="B3991" s="562" t="s">
        <v>976</v>
      </c>
      <c r="C3991" s="403">
        <v>6635.2</v>
      </c>
      <c r="D3991" s="400"/>
      <c r="E3991" s="400"/>
      <c r="F3991" s="400"/>
      <c r="G3991" s="400"/>
      <c r="H3991" s="396"/>
    </row>
    <row r="3992" spans="1:8" s="401" customFormat="1" ht="14.25" customHeight="1" x14ac:dyDescent="0.25">
      <c r="A3992" s="564">
        <v>4331</v>
      </c>
      <c r="B3992" s="562" t="s">
        <v>977</v>
      </c>
      <c r="C3992" s="403">
        <v>173136</v>
      </c>
      <c r="D3992" s="400"/>
      <c r="E3992" s="400"/>
      <c r="F3992" s="400"/>
      <c r="G3992" s="400"/>
      <c r="H3992" s="396"/>
    </row>
    <row r="3993" spans="1:8" s="401" customFormat="1" ht="14.25" customHeight="1" x14ac:dyDescent="0.25">
      <c r="A3993" s="564">
        <v>4355</v>
      </c>
      <c r="B3993" s="562" t="s">
        <v>978</v>
      </c>
      <c r="C3993" s="403">
        <v>76954</v>
      </c>
      <c r="D3993" s="400"/>
      <c r="E3993" s="400"/>
      <c r="F3993" s="400"/>
      <c r="G3993" s="400"/>
      <c r="H3993" s="396"/>
    </row>
    <row r="3994" spans="1:8" s="401" customFormat="1" ht="14.25" customHeight="1" x14ac:dyDescent="0.25">
      <c r="A3994" s="564">
        <v>4488</v>
      </c>
      <c r="B3994" s="562" t="s">
        <v>979</v>
      </c>
      <c r="C3994" s="403">
        <v>236701</v>
      </c>
      <c r="D3994" s="400"/>
      <c r="E3994" s="400"/>
      <c r="F3994" s="400"/>
      <c r="G3994" s="400"/>
      <c r="H3994" s="396"/>
    </row>
    <row r="3995" spans="1:8" s="401" customFormat="1" ht="14.25" customHeight="1" x14ac:dyDescent="0.25">
      <c r="A3995" s="564">
        <v>4490</v>
      </c>
      <c r="B3995" s="562" t="s">
        <v>979</v>
      </c>
      <c r="C3995" s="403">
        <v>236700</v>
      </c>
      <c r="D3995" s="400"/>
      <c r="E3995" s="400"/>
      <c r="F3995" s="400"/>
      <c r="G3995" s="400"/>
      <c r="H3995" s="396"/>
    </row>
    <row r="3996" spans="1:8" s="401" customFormat="1" ht="14.25" customHeight="1" x14ac:dyDescent="0.25">
      <c r="A3996" s="564">
        <v>4495</v>
      </c>
      <c r="B3996" s="562" t="s">
        <v>979</v>
      </c>
      <c r="C3996" s="403">
        <v>239800</v>
      </c>
      <c r="D3996" s="400"/>
      <c r="E3996" s="400"/>
      <c r="F3996" s="400"/>
      <c r="G3996" s="400"/>
      <c r="H3996" s="396"/>
    </row>
    <row r="3997" spans="1:8" s="401" customFormat="1" ht="14.25" customHeight="1" x14ac:dyDescent="0.25">
      <c r="A3997" s="564">
        <v>4498</v>
      </c>
      <c r="B3997" s="562" t="s">
        <v>980</v>
      </c>
      <c r="C3997" s="403">
        <v>350000</v>
      </c>
      <c r="D3997" s="400"/>
      <c r="E3997" s="400"/>
      <c r="F3997" s="400"/>
      <c r="G3997" s="400"/>
      <c r="H3997" s="396"/>
    </row>
    <row r="3998" spans="1:8" s="401" customFormat="1" ht="14.25" customHeight="1" x14ac:dyDescent="0.25">
      <c r="A3998" s="564">
        <v>4499</v>
      </c>
      <c r="B3998" s="562" t="s">
        <v>977</v>
      </c>
      <c r="C3998" s="403">
        <v>372960</v>
      </c>
      <c r="D3998" s="400"/>
      <c r="E3998" s="400"/>
      <c r="F3998" s="400"/>
      <c r="G3998" s="400"/>
      <c r="H3998" s="396"/>
    </row>
    <row r="3999" spans="1:8" s="401" customFormat="1" ht="14.25" customHeight="1" x14ac:dyDescent="0.25">
      <c r="A3999" s="564">
        <v>4501</v>
      </c>
      <c r="B3999" s="562" t="s">
        <v>977</v>
      </c>
      <c r="C3999" s="403">
        <v>372960</v>
      </c>
      <c r="D3999" s="400"/>
      <c r="E3999" s="400"/>
      <c r="F3999" s="400"/>
      <c r="G3999" s="400"/>
      <c r="H3999" s="396"/>
    </row>
    <row r="4000" spans="1:8" s="401" customFormat="1" ht="14.25" customHeight="1" x14ac:dyDescent="0.25">
      <c r="A4000" s="564">
        <v>4504</v>
      </c>
      <c r="B4000" s="562" t="s">
        <v>979</v>
      </c>
      <c r="C4000" s="403">
        <v>312030</v>
      </c>
      <c r="D4000" s="400"/>
      <c r="E4000" s="400"/>
      <c r="F4000" s="400"/>
      <c r="G4000" s="400"/>
      <c r="H4000" s="396"/>
    </row>
    <row r="4001" spans="1:8" s="401" customFormat="1" ht="14.25" customHeight="1" x14ac:dyDescent="0.25">
      <c r="A4001" s="564">
        <v>4506</v>
      </c>
      <c r="B4001" s="562" t="s">
        <v>979</v>
      </c>
      <c r="C4001" s="403">
        <v>236700</v>
      </c>
      <c r="D4001" s="400"/>
      <c r="E4001" s="400"/>
      <c r="F4001" s="400"/>
      <c r="G4001" s="400"/>
      <c r="H4001" s="396"/>
    </row>
    <row r="4002" spans="1:8" s="401" customFormat="1" ht="14.25" customHeight="1" x14ac:dyDescent="0.25">
      <c r="A4002" s="564">
        <v>4508</v>
      </c>
      <c r="B4002" s="562" t="s">
        <v>979</v>
      </c>
      <c r="C4002" s="403">
        <v>236700</v>
      </c>
      <c r="D4002" s="400"/>
      <c r="E4002" s="400"/>
      <c r="F4002" s="400"/>
      <c r="G4002" s="400"/>
      <c r="H4002" s="396"/>
    </row>
    <row r="4003" spans="1:8" s="401" customFormat="1" ht="14.25" customHeight="1" x14ac:dyDescent="0.25">
      <c r="A4003" s="564">
        <v>4510</v>
      </c>
      <c r="B4003" s="562" t="s">
        <v>979</v>
      </c>
      <c r="C4003" s="403">
        <v>236700</v>
      </c>
      <c r="D4003" s="400"/>
      <c r="E4003" s="400"/>
      <c r="F4003" s="400"/>
      <c r="G4003" s="400"/>
      <c r="H4003" s="396"/>
    </row>
    <row r="4004" spans="1:8" s="401" customFormat="1" ht="14.25" customHeight="1" x14ac:dyDescent="0.25">
      <c r="A4004" s="564">
        <v>5134</v>
      </c>
      <c r="B4004" s="562" t="s">
        <v>981</v>
      </c>
      <c r="C4004" s="403">
        <v>1</v>
      </c>
      <c r="D4004" s="400"/>
      <c r="E4004" s="400"/>
      <c r="F4004" s="400"/>
      <c r="G4004" s="400"/>
      <c r="H4004" s="396"/>
    </row>
    <row r="4005" spans="1:8" s="401" customFormat="1" ht="14.25" customHeight="1" x14ac:dyDescent="0.25">
      <c r="A4005" s="564">
        <v>4778</v>
      </c>
      <c r="B4005" s="562" t="s">
        <v>977</v>
      </c>
      <c r="C4005" s="403">
        <v>340000</v>
      </c>
      <c r="D4005" s="400"/>
      <c r="E4005" s="400"/>
      <c r="F4005" s="400"/>
      <c r="G4005" s="400"/>
      <c r="H4005" s="396"/>
    </row>
    <row r="4006" spans="1:8" s="401" customFormat="1" ht="14.25" customHeight="1" x14ac:dyDescent="0.25">
      <c r="A4006" s="564">
        <v>4779</v>
      </c>
      <c r="B4006" s="562" t="s">
        <v>977</v>
      </c>
      <c r="C4006" s="403">
        <v>244000</v>
      </c>
      <c r="D4006" s="400"/>
      <c r="E4006" s="400"/>
      <c r="F4006" s="400"/>
      <c r="G4006" s="400"/>
      <c r="H4006" s="396"/>
    </row>
    <row r="4007" spans="1:8" s="401" customFormat="1" ht="14.25" customHeight="1" x14ac:dyDescent="0.25">
      <c r="A4007" s="564">
        <v>4781</v>
      </c>
      <c r="B4007" s="562" t="s">
        <v>977</v>
      </c>
      <c r="C4007" s="403">
        <v>116966</v>
      </c>
      <c r="D4007" s="400"/>
      <c r="E4007" s="400"/>
      <c r="F4007" s="400"/>
      <c r="G4007" s="400"/>
      <c r="H4007" s="396"/>
    </row>
    <row r="4008" spans="1:8" s="401" customFormat="1" ht="14.25" customHeight="1" x14ac:dyDescent="0.25">
      <c r="A4008" s="564">
        <v>4462</v>
      </c>
      <c r="B4008" s="562" t="s">
        <v>977</v>
      </c>
      <c r="C4008" s="403">
        <v>296797</v>
      </c>
      <c r="D4008" s="400"/>
      <c r="E4008" s="400"/>
      <c r="F4008" s="400"/>
      <c r="G4008" s="400"/>
      <c r="H4008" s="396"/>
    </row>
    <row r="4009" spans="1:8" s="401" customFormat="1" ht="14.25" customHeight="1" x14ac:dyDescent="0.25">
      <c r="A4009" s="564">
        <v>4519</v>
      </c>
      <c r="B4009" s="562" t="s">
        <v>977</v>
      </c>
      <c r="C4009" s="403">
        <v>173136</v>
      </c>
      <c r="D4009" s="400"/>
      <c r="E4009" s="400"/>
      <c r="F4009" s="400"/>
      <c r="G4009" s="400"/>
      <c r="H4009" s="396"/>
    </row>
    <row r="4010" spans="1:8" s="401" customFormat="1" ht="14.25" customHeight="1" x14ac:dyDescent="0.25">
      <c r="A4010" s="564">
        <v>4520</v>
      </c>
      <c r="B4010" s="562" t="s">
        <v>977</v>
      </c>
      <c r="C4010" s="403">
        <v>173136</v>
      </c>
      <c r="D4010" s="400"/>
      <c r="E4010" s="400"/>
      <c r="F4010" s="400"/>
      <c r="G4010" s="400"/>
      <c r="H4010" s="396"/>
    </row>
    <row r="4011" spans="1:8" s="401" customFormat="1" ht="14.25" customHeight="1" x14ac:dyDescent="0.25">
      <c r="A4011" s="564">
        <v>4522</v>
      </c>
      <c r="B4011" s="562" t="s">
        <v>982</v>
      </c>
      <c r="C4011" s="403">
        <v>339023</v>
      </c>
      <c r="D4011" s="400"/>
      <c r="E4011" s="400"/>
      <c r="F4011" s="400"/>
      <c r="G4011" s="400"/>
      <c r="H4011" s="396"/>
    </row>
    <row r="4012" spans="1:8" s="401" customFormat="1" ht="14.25" customHeight="1" x14ac:dyDescent="0.25">
      <c r="A4012" s="564">
        <v>4524</v>
      </c>
      <c r="B4012" s="562" t="s">
        <v>977</v>
      </c>
      <c r="C4012" s="403">
        <v>296800</v>
      </c>
      <c r="D4012" s="400"/>
      <c r="E4012" s="400"/>
      <c r="F4012" s="400"/>
      <c r="G4012" s="400"/>
      <c r="H4012" s="396"/>
    </row>
    <row r="4013" spans="1:8" s="401" customFormat="1" ht="14.25" customHeight="1" x14ac:dyDescent="0.25">
      <c r="A4013" s="564">
        <v>4526</v>
      </c>
      <c r="B4013" s="562" t="s">
        <v>977</v>
      </c>
      <c r="C4013" s="403">
        <v>372960</v>
      </c>
      <c r="D4013" s="400"/>
      <c r="E4013" s="400"/>
      <c r="F4013" s="400"/>
      <c r="G4013" s="400"/>
      <c r="H4013" s="396"/>
    </row>
    <row r="4014" spans="1:8" s="401" customFormat="1" ht="14.25" customHeight="1" x14ac:dyDescent="0.25">
      <c r="A4014" s="564">
        <v>4527</v>
      </c>
      <c r="B4014" s="562" t="s">
        <v>977</v>
      </c>
      <c r="C4014" s="403">
        <v>372960</v>
      </c>
      <c r="D4014" s="400"/>
      <c r="E4014" s="400"/>
      <c r="F4014" s="400"/>
      <c r="G4014" s="400"/>
      <c r="H4014" s="396"/>
    </row>
    <row r="4015" spans="1:8" s="401" customFormat="1" ht="14.25" customHeight="1" x14ac:dyDescent="0.25">
      <c r="A4015" s="564">
        <v>4528</v>
      </c>
      <c r="B4015" s="562" t="s">
        <v>977</v>
      </c>
      <c r="C4015" s="403">
        <v>372960</v>
      </c>
      <c r="D4015" s="400"/>
      <c r="E4015" s="400"/>
      <c r="F4015" s="400"/>
      <c r="G4015" s="400"/>
      <c r="H4015" s="396"/>
    </row>
    <row r="4016" spans="1:8" s="401" customFormat="1" ht="14.25" customHeight="1" x14ac:dyDescent="0.25">
      <c r="A4016" s="564">
        <v>4530</v>
      </c>
      <c r="B4016" s="562" t="s">
        <v>977</v>
      </c>
      <c r="C4016" s="403">
        <v>372960</v>
      </c>
      <c r="D4016" s="400"/>
      <c r="E4016" s="400"/>
      <c r="F4016" s="400"/>
      <c r="G4016" s="400"/>
      <c r="H4016" s="396"/>
    </row>
    <row r="4017" spans="1:8" s="401" customFormat="1" ht="14.25" customHeight="1" x14ac:dyDescent="0.25">
      <c r="A4017" s="564">
        <v>4531</v>
      </c>
      <c r="B4017" s="562" t="s">
        <v>977</v>
      </c>
      <c r="C4017" s="403">
        <v>296800</v>
      </c>
      <c r="D4017" s="400"/>
      <c r="E4017" s="400"/>
      <c r="F4017" s="400"/>
      <c r="G4017" s="400"/>
      <c r="H4017" s="396"/>
    </row>
    <row r="4018" spans="1:8" s="401" customFormat="1" ht="14.25" customHeight="1" x14ac:dyDescent="0.25">
      <c r="A4018" s="564">
        <v>4533</v>
      </c>
      <c r="B4018" s="562" t="s">
        <v>977</v>
      </c>
      <c r="C4018" s="403">
        <v>372960</v>
      </c>
      <c r="D4018" s="400"/>
      <c r="E4018" s="400"/>
      <c r="F4018" s="400"/>
      <c r="G4018" s="400"/>
      <c r="H4018" s="396"/>
    </row>
    <row r="4019" spans="1:8" s="401" customFormat="1" ht="14.25" customHeight="1" x14ac:dyDescent="0.25">
      <c r="A4019" s="564">
        <v>4844</v>
      </c>
      <c r="B4019" s="562" t="s">
        <v>983</v>
      </c>
      <c r="C4019" s="403">
        <v>1</v>
      </c>
      <c r="D4019" s="400"/>
      <c r="E4019" s="400"/>
      <c r="F4019" s="400"/>
      <c r="G4019" s="400"/>
      <c r="H4019" s="396"/>
    </row>
    <row r="4020" spans="1:8" s="401" customFormat="1" ht="14.25" customHeight="1" x14ac:dyDescent="0.25">
      <c r="A4020" s="564">
        <v>4325</v>
      </c>
      <c r="B4020" s="562" t="s">
        <v>984</v>
      </c>
      <c r="C4020" s="403">
        <v>1</v>
      </c>
      <c r="D4020" s="400"/>
      <c r="E4020" s="400"/>
      <c r="F4020" s="400"/>
      <c r="G4020" s="400"/>
      <c r="H4020" s="396"/>
    </row>
    <row r="4021" spans="1:8" s="401" customFormat="1" ht="14.25" customHeight="1" x14ac:dyDescent="0.25">
      <c r="A4021" s="564">
        <v>4313</v>
      </c>
      <c r="B4021" s="562" t="s">
        <v>985</v>
      </c>
      <c r="C4021" s="403">
        <v>244000</v>
      </c>
      <c r="D4021" s="400"/>
      <c r="E4021" s="400"/>
      <c r="F4021" s="400"/>
      <c r="G4021" s="400"/>
      <c r="H4021" s="396"/>
    </row>
    <row r="4022" spans="1:8" s="401" customFormat="1" ht="14.25" customHeight="1" x14ac:dyDescent="0.25">
      <c r="A4022" s="564">
        <v>4314</v>
      </c>
      <c r="B4022" s="562" t="s">
        <v>976</v>
      </c>
      <c r="C4022" s="403">
        <v>750000</v>
      </c>
      <c r="D4022" s="400"/>
      <c r="E4022" s="400"/>
      <c r="F4022" s="400"/>
      <c r="G4022" s="400"/>
      <c r="H4022" s="396"/>
    </row>
    <row r="4023" spans="1:8" s="401" customFormat="1" ht="14.25" customHeight="1" x14ac:dyDescent="0.25">
      <c r="A4023" s="564">
        <v>4315</v>
      </c>
      <c r="B4023" s="562" t="s">
        <v>984</v>
      </c>
      <c r="C4023" s="403">
        <v>550000</v>
      </c>
      <c r="D4023" s="400"/>
      <c r="E4023" s="400"/>
      <c r="F4023" s="400"/>
      <c r="G4023" s="400"/>
      <c r="H4023" s="396"/>
    </row>
    <row r="4024" spans="1:8" s="401" customFormat="1" ht="14.25" customHeight="1" x14ac:dyDescent="0.25">
      <c r="A4024" s="564">
        <v>4316</v>
      </c>
      <c r="B4024" s="562" t="s">
        <v>984</v>
      </c>
      <c r="C4024" s="403">
        <v>57768</v>
      </c>
      <c r="D4024" s="400"/>
      <c r="E4024" s="400"/>
      <c r="F4024" s="400"/>
      <c r="G4024" s="400"/>
      <c r="H4024" s="396"/>
    </row>
    <row r="4025" spans="1:8" s="401" customFormat="1" ht="14.25" customHeight="1" x14ac:dyDescent="0.25">
      <c r="A4025" s="564">
        <v>4318</v>
      </c>
      <c r="B4025" s="562" t="s">
        <v>984</v>
      </c>
      <c r="C4025" s="403">
        <v>75000</v>
      </c>
      <c r="D4025" s="400"/>
      <c r="E4025" s="400"/>
      <c r="F4025" s="400"/>
      <c r="G4025" s="400"/>
      <c r="H4025" s="396"/>
    </row>
    <row r="4026" spans="1:8" s="401" customFormat="1" ht="14.25" customHeight="1" x14ac:dyDescent="0.25">
      <c r="A4026" s="564">
        <v>4334</v>
      </c>
      <c r="B4026" s="562" t="s">
        <v>977</v>
      </c>
      <c r="C4026" s="403">
        <v>244000</v>
      </c>
      <c r="D4026" s="400"/>
      <c r="E4026" s="400"/>
      <c r="F4026" s="400"/>
      <c r="G4026" s="400"/>
      <c r="H4026" s="396"/>
    </row>
    <row r="4027" spans="1:8" s="401" customFormat="1" ht="14.25" customHeight="1" x14ac:dyDescent="0.25">
      <c r="A4027" s="564">
        <v>4341</v>
      </c>
      <c r="B4027" s="562" t="s">
        <v>980</v>
      </c>
      <c r="C4027" s="403">
        <v>429440</v>
      </c>
      <c r="D4027" s="400"/>
      <c r="E4027" s="400"/>
      <c r="F4027" s="400"/>
      <c r="G4027" s="400"/>
      <c r="H4027" s="396"/>
    </row>
    <row r="4028" spans="1:8" s="401" customFormat="1" ht="14.25" customHeight="1" x14ac:dyDescent="0.25">
      <c r="A4028" s="564">
        <v>4705</v>
      </c>
      <c r="B4028" s="562" t="s">
        <v>979</v>
      </c>
      <c r="C4028" s="403">
        <v>236700</v>
      </c>
      <c r="D4028" s="400"/>
      <c r="E4028" s="400"/>
      <c r="F4028" s="400"/>
      <c r="G4028" s="400"/>
      <c r="H4028" s="396"/>
    </row>
    <row r="4029" spans="1:8" s="401" customFormat="1" ht="14.25" customHeight="1" x14ac:dyDescent="0.25">
      <c r="A4029" s="564">
        <v>4534</v>
      </c>
      <c r="B4029" s="562" t="s">
        <v>978</v>
      </c>
      <c r="C4029" s="403">
        <v>1</v>
      </c>
      <c r="D4029" s="400"/>
      <c r="E4029" s="400"/>
      <c r="F4029" s="400"/>
      <c r="G4029" s="400"/>
      <c r="H4029" s="396"/>
    </row>
    <row r="4030" spans="1:8" s="401" customFormat="1" ht="14.25" customHeight="1" x14ac:dyDescent="0.25">
      <c r="A4030" s="564">
        <v>4535</v>
      </c>
      <c r="B4030" s="562" t="s">
        <v>984</v>
      </c>
      <c r="C4030" s="403">
        <v>910800</v>
      </c>
      <c r="D4030" s="400"/>
      <c r="E4030" s="400"/>
      <c r="F4030" s="400"/>
      <c r="G4030" s="400"/>
      <c r="H4030" s="396"/>
    </row>
    <row r="4031" spans="1:8" s="401" customFormat="1" ht="14.25" customHeight="1" x14ac:dyDescent="0.25">
      <c r="A4031" s="564">
        <v>4536</v>
      </c>
      <c r="B4031" s="562" t="s">
        <v>984</v>
      </c>
      <c r="C4031" s="403">
        <v>910800</v>
      </c>
      <c r="D4031" s="400"/>
      <c r="E4031" s="400"/>
      <c r="F4031" s="400"/>
      <c r="G4031" s="400"/>
      <c r="H4031" s="396"/>
    </row>
    <row r="4032" spans="1:8" s="401" customFormat="1" ht="14.25" customHeight="1" x14ac:dyDescent="0.25">
      <c r="A4032" s="564">
        <v>4537</v>
      </c>
      <c r="B4032" s="562" t="s">
        <v>986</v>
      </c>
      <c r="C4032" s="403">
        <v>1</v>
      </c>
      <c r="D4032" s="400"/>
      <c r="E4032" s="400"/>
      <c r="F4032" s="400"/>
      <c r="G4032" s="400"/>
      <c r="H4032" s="396"/>
    </row>
    <row r="4033" spans="1:8" s="401" customFormat="1" ht="14.25" customHeight="1" x14ac:dyDescent="0.25">
      <c r="A4033" s="564">
        <v>4538</v>
      </c>
      <c r="B4033" s="562" t="s">
        <v>977</v>
      </c>
      <c r="C4033" s="403">
        <v>173136</v>
      </c>
      <c r="D4033" s="400"/>
      <c r="E4033" s="400"/>
      <c r="F4033" s="400"/>
      <c r="G4033" s="400"/>
      <c r="H4033" s="396"/>
    </row>
    <row r="4034" spans="1:8" s="401" customFormat="1" ht="14.25" customHeight="1" x14ac:dyDescent="0.25">
      <c r="A4034" s="564">
        <v>4539</v>
      </c>
      <c r="B4034" s="562" t="s">
        <v>977</v>
      </c>
      <c r="C4034" s="403">
        <v>173136</v>
      </c>
      <c r="D4034" s="400"/>
      <c r="E4034" s="400"/>
      <c r="F4034" s="400"/>
      <c r="G4034" s="400"/>
      <c r="H4034" s="396"/>
    </row>
    <row r="4035" spans="1:8" s="401" customFormat="1" ht="14.25" customHeight="1" x14ac:dyDescent="0.25">
      <c r="A4035" s="564">
        <v>4540</v>
      </c>
      <c r="B4035" s="562" t="s">
        <v>986</v>
      </c>
      <c r="C4035" s="403">
        <v>1</v>
      </c>
      <c r="D4035" s="400"/>
      <c r="E4035" s="400"/>
      <c r="F4035" s="400"/>
      <c r="G4035" s="400"/>
      <c r="H4035" s="396"/>
    </row>
    <row r="4036" spans="1:8" s="401" customFormat="1" ht="14.25" customHeight="1" x14ac:dyDescent="0.25">
      <c r="A4036" s="564">
        <v>4541</v>
      </c>
      <c r="B4036" s="562" t="s">
        <v>986</v>
      </c>
      <c r="C4036" s="403">
        <v>1</v>
      </c>
      <c r="D4036" s="400"/>
      <c r="E4036" s="400"/>
      <c r="F4036" s="400"/>
      <c r="G4036" s="400"/>
      <c r="H4036" s="396"/>
    </row>
    <row r="4037" spans="1:8" s="401" customFormat="1" ht="14.25" customHeight="1" x14ac:dyDescent="0.25">
      <c r="A4037" s="564">
        <v>4542</v>
      </c>
      <c r="B4037" s="562" t="s">
        <v>986</v>
      </c>
      <c r="C4037" s="403">
        <v>1</v>
      </c>
      <c r="D4037" s="400"/>
      <c r="E4037" s="400"/>
      <c r="F4037" s="400"/>
      <c r="G4037" s="400"/>
      <c r="H4037" s="396"/>
    </row>
    <row r="4038" spans="1:8" s="401" customFormat="1" ht="14.25" customHeight="1" x14ac:dyDescent="0.25">
      <c r="A4038" s="564">
        <v>4543</v>
      </c>
      <c r="B4038" s="562" t="s">
        <v>986</v>
      </c>
      <c r="C4038" s="403">
        <v>1</v>
      </c>
      <c r="D4038" s="400"/>
      <c r="E4038" s="400"/>
      <c r="F4038" s="400"/>
      <c r="G4038" s="400"/>
      <c r="H4038" s="396"/>
    </row>
    <row r="4039" spans="1:8" s="401" customFormat="1" ht="14.25" customHeight="1" x14ac:dyDescent="0.25">
      <c r="A4039" s="564">
        <v>4544</v>
      </c>
      <c r="B4039" s="562" t="s">
        <v>986</v>
      </c>
      <c r="C4039" s="403">
        <v>1</v>
      </c>
      <c r="D4039" s="400"/>
      <c r="E4039" s="400"/>
      <c r="F4039" s="400"/>
      <c r="G4039" s="400"/>
      <c r="H4039" s="396"/>
    </row>
    <row r="4040" spans="1:8" s="401" customFormat="1" ht="14.25" customHeight="1" x14ac:dyDescent="0.25">
      <c r="A4040" s="564">
        <v>4545</v>
      </c>
      <c r="B4040" s="562" t="s">
        <v>986</v>
      </c>
      <c r="C4040" s="403">
        <v>1</v>
      </c>
      <c r="D4040" s="400"/>
      <c r="E4040" s="400"/>
      <c r="F4040" s="400"/>
      <c r="G4040" s="400"/>
      <c r="H4040" s="396"/>
    </row>
    <row r="4041" spans="1:8" s="401" customFormat="1" ht="14.25" customHeight="1" x14ac:dyDescent="0.25">
      <c r="A4041" s="564">
        <v>4546</v>
      </c>
      <c r="B4041" s="562" t="s">
        <v>986</v>
      </c>
      <c r="C4041" s="403">
        <v>1</v>
      </c>
      <c r="D4041" s="400"/>
      <c r="E4041" s="400"/>
      <c r="F4041" s="400"/>
      <c r="G4041" s="400"/>
      <c r="H4041" s="396"/>
    </row>
    <row r="4042" spans="1:8" s="401" customFormat="1" ht="14.25" customHeight="1" x14ac:dyDescent="0.25">
      <c r="A4042" s="564">
        <v>4547</v>
      </c>
      <c r="B4042" s="562" t="s">
        <v>986</v>
      </c>
      <c r="C4042" s="403">
        <v>1</v>
      </c>
      <c r="D4042" s="400"/>
      <c r="E4042" s="400"/>
      <c r="F4042" s="400"/>
      <c r="G4042" s="400"/>
      <c r="H4042" s="396"/>
    </row>
    <row r="4043" spans="1:8" s="401" customFormat="1" ht="14.25" customHeight="1" x14ac:dyDescent="0.25">
      <c r="A4043" s="564">
        <v>4866</v>
      </c>
      <c r="B4043" s="562" t="s">
        <v>977</v>
      </c>
      <c r="C4043" s="403">
        <v>1</v>
      </c>
      <c r="D4043" s="400"/>
      <c r="E4043" s="400"/>
      <c r="F4043" s="400"/>
      <c r="G4043" s="400"/>
      <c r="H4043" s="396"/>
    </row>
    <row r="4044" spans="1:8" s="401" customFormat="1" ht="14.25" customHeight="1" x14ac:dyDescent="0.25">
      <c r="A4044" s="564">
        <v>4869</v>
      </c>
      <c r="B4044" s="562" t="s">
        <v>977</v>
      </c>
      <c r="C4044" s="403">
        <v>1</v>
      </c>
      <c r="D4044" s="400"/>
      <c r="E4044" s="400"/>
      <c r="F4044" s="400"/>
      <c r="G4044" s="400"/>
      <c r="H4044" s="396"/>
    </row>
    <row r="4045" spans="1:8" s="401" customFormat="1" ht="14.25" customHeight="1" x14ac:dyDescent="0.25">
      <c r="A4045" s="564">
        <v>4561</v>
      </c>
      <c r="B4045" s="562" t="s">
        <v>987</v>
      </c>
      <c r="C4045" s="403">
        <v>569825</v>
      </c>
      <c r="D4045" s="400"/>
      <c r="E4045" s="400"/>
      <c r="F4045" s="400"/>
      <c r="G4045" s="400"/>
      <c r="H4045" s="396"/>
    </row>
    <row r="4046" spans="1:8" s="401" customFormat="1" ht="14.25" customHeight="1" x14ac:dyDescent="0.25">
      <c r="A4046" s="564">
        <v>4562</v>
      </c>
      <c r="B4046" s="562" t="s">
        <v>987</v>
      </c>
      <c r="C4046" s="403">
        <v>569825</v>
      </c>
      <c r="D4046" s="400"/>
      <c r="E4046" s="400"/>
      <c r="F4046" s="400"/>
      <c r="G4046" s="400"/>
      <c r="H4046" s="396"/>
    </row>
    <row r="4047" spans="1:8" s="401" customFormat="1" ht="14.25" customHeight="1" x14ac:dyDescent="0.25">
      <c r="A4047" s="564">
        <v>4564</v>
      </c>
      <c r="B4047" s="562" t="s">
        <v>987</v>
      </c>
      <c r="C4047" s="403">
        <v>400000</v>
      </c>
      <c r="D4047" s="400"/>
      <c r="E4047" s="400"/>
      <c r="F4047" s="400"/>
      <c r="G4047" s="400"/>
      <c r="H4047" s="396"/>
    </row>
    <row r="4048" spans="1:8" s="401" customFormat="1" ht="14.25" customHeight="1" x14ac:dyDescent="0.25">
      <c r="A4048" s="564">
        <v>4566</v>
      </c>
      <c r="B4048" s="562" t="s">
        <v>987</v>
      </c>
      <c r="C4048" s="403">
        <v>36500</v>
      </c>
      <c r="D4048" s="400"/>
      <c r="E4048" s="400"/>
      <c r="F4048" s="400"/>
      <c r="G4048" s="400"/>
      <c r="H4048" s="396"/>
    </row>
    <row r="4049" spans="1:8" s="401" customFormat="1" ht="14.25" customHeight="1" x14ac:dyDescent="0.25">
      <c r="A4049" s="564">
        <v>4567</v>
      </c>
      <c r="B4049" s="562" t="s">
        <v>987</v>
      </c>
      <c r="C4049" s="403">
        <v>36500</v>
      </c>
      <c r="D4049" s="400"/>
      <c r="E4049" s="400"/>
      <c r="F4049" s="400"/>
      <c r="G4049" s="400"/>
      <c r="H4049" s="396"/>
    </row>
    <row r="4050" spans="1:8" s="401" customFormat="1" ht="14.25" customHeight="1" x14ac:dyDescent="0.25">
      <c r="A4050" s="564">
        <v>4568</v>
      </c>
      <c r="B4050" s="562" t="s">
        <v>987</v>
      </c>
      <c r="C4050" s="403">
        <v>1</v>
      </c>
      <c r="D4050" s="400"/>
      <c r="E4050" s="400"/>
      <c r="F4050" s="400"/>
      <c r="G4050" s="400"/>
      <c r="H4050" s="396"/>
    </row>
    <row r="4051" spans="1:8" s="401" customFormat="1" ht="14.25" customHeight="1" x14ac:dyDescent="0.25">
      <c r="A4051" s="564">
        <v>4579</v>
      </c>
      <c r="B4051" s="562" t="s">
        <v>977</v>
      </c>
      <c r="C4051" s="403">
        <v>70400</v>
      </c>
      <c r="D4051" s="400"/>
      <c r="E4051" s="400"/>
      <c r="F4051" s="400"/>
      <c r="G4051" s="400"/>
      <c r="H4051" s="396"/>
    </row>
    <row r="4052" spans="1:8" s="401" customFormat="1" ht="14.25" customHeight="1" x14ac:dyDescent="0.25">
      <c r="A4052" s="564">
        <v>4581</v>
      </c>
      <c r="B4052" s="562" t="s">
        <v>988</v>
      </c>
      <c r="C4052" s="403">
        <v>824000</v>
      </c>
      <c r="D4052" s="400"/>
      <c r="E4052" s="400"/>
      <c r="F4052" s="400"/>
      <c r="G4052" s="400"/>
      <c r="H4052" s="396"/>
    </row>
    <row r="4053" spans="1:8" s="401" customFormat="1" ht="14.25" customHeight="1" x14ac:dyDescent="0.25">
      <c r="A4053" s="564">
        <v>4582</v>
      </c>
      <c r="B4053" s="562" t="s">
        <v>988</v>
      </c>
      <c r="C4053" s="403">
        <v>824000</v>
      </c>
      <c r="D4053" s="400"/>
      <c r="E4053" s="400"/>
      <c r="F4053" s="400"/>
      <c r="G4053" s="400"/>
      <c r="H4053" s="396"/>
    </row>
    <row r="4054" spans="1:8" s="401" customFormat="1" ht="14.25" customHeight="1" x14ac:dyDescent="0.25">
      <c r="A4054" s="564">
        <v>4583</v>
      </c>
      <c r="B4054" s="562" t="s">
        <v>988</v>
      </c>
      <c r="C4054" s="403">
        <v>824000</v>
      </c>
      <c r="D4054" s="400"/>
      <c r="E4054" s="400"/>
      <c r="F4054" s="400"/>
      <c r="G4054" s="400"/>
      <c r="H4054" s="396"/>
    </row>
    <row r="4055" spans="1:8" s="401" customFormat="1" ht="14.25" customHeight="1" x14ac:dyDescent="0.25">
      <c r="A4055" s="564">
        <v>4587</v>
      </c>
      <c r="B4055" s="562" t="s">
        <v>988</v>
      </c>
      <c r="C4055" s="403">
        <v>824000</v>
      </c>
      <c r="D4055" s="400"/>
      <c r="E4055" s="400"/>
      <c r="F4055" s="400"/>
      <c r="G4055" s="400"/>
      <c r="H4055" s="396"/>
    </row>
    <row r="4056" spans="1:8" s="401" customFormat="1" ht="14.25" customHeight="1" x14ac:dyDescent="0.25">
      <c r="A4056" s="564">
        <v>4594</v>
      </c>
      <c r="B4056" s="562" t="s">
        <v>988</v>
      </c>
      <c r="C4056" s="403">
        <v>824000</v>
      </c>
      <c r="D4056" s="400"/>
      <c r="E4056" s="400"/>
      <c r="F4056" s="400"/>
      <c r="G4056" s="400"/>
      <c r="H4056" s="396"/>
    </row>
    <row r="4057" spans="1:8" s="401" customFormat="1" ht="14.25" customHeight="1" x14ac:dyDescent="0.25">
      <c r="A4057" s="564">
        <v>4597</v>
      </c>
      <c r="B4057" s="562" t="s">
        <v>988</v>
      </c>
      <c r="C4057" s="403">
        <v>824074</v>
      </c>
      <c r="D4057" s="400"/>
      <c r="E4057" s="400"/>
      <c r="F4057" s="400"/>
      <c r="G4057" s="400"/>
      <c r="H4057" s="396"/>
    </row>
    <row r="4058" spans="1:8" s="401" customFormat="1" ht="14.25" customHeight="1" x14ac:dyDescent="0.25">
      <c r="A4058" s="564">
        <v>4599</v>
      </c>
      <c r="B4058" s="562" t="s">
        <v>988</v>
      </c>
      <c r="C4058" s="403">
        <v>824000</v>
      </c>
      <c r="D4058" s="400"/>
      <c r="E4058" s="400"/>
      <c r="F4058" s="400"/>
      <c r="G4058" s="400"/>
      <c r="H4058" s="396"/>
    </row>
    <row r="4059" spans="1:8" s="401" customFormat="1" ht="14.25" customHeight="1" x14ac:dyDescent="0.25">
      <c r="A4059" s="564">
        <v>4601</v>
      </c>
      <c r="B4059" s="562" t="s">
        <v>988</v>
      </c>
      <c r="C4059" s="403">
        <v>824000</v>
      </c>
      <c r="D4059" s="400"/>
      <c r="E4059" s="400"/>
      <c r="F4059" s="400"/>
      <c r="G4059" s="400"/>
      <c r="H4059" s="396"/>
    </row>
    <row r="4060" spans="1:8" s="401" customFormat="1" ht="14.25" customHeight="1" x14ac:dyDescent="0.25">
      <c r="A4060" s="564">
        <v>4603</v>
      </c>
      <c r="B4060" s="562" t="s">
        <v>988</v>
      </c>
      <c r="C4060" s="403">
        <v>824000</v>
      </c>
      <c r="D4060" s="400"/>
      <c r="E4060" s="400"/>
      <c r="F4060" s="400"/>
      <c r="G4060" s="400"/>
      <c r="H4060" s="396"/>
    </row>
    <row r="4061" spans="1:8" s="401" customFormat="1" ht="14.25" customHeight="1" x14ac:dyDescent="0.25">
      <c r="A4061" s="564">
        <v>4605</v>
      </c>
      <c r="B4061" s="562" t="s">
        <v>988</v>
      </c>
      <c r="C4061" s="403">
        <v>824000</v>
      </c>
      <c r="D4061" s="400"/>
      <c r="E4061" s="400"/>
      <c r="F4061" s="400"/>
      <c r="G4061" s="400"/>
      <c r="H4061" s="396"/>
    </row>
    <row r="4062" spans="1:8" s="401" customFormat="1" ht="14.25" customHeight="1" x14ac:dyDescent="0.25">
      <c r="A4062" s="564">
        <v>4607</v>
      </c>
      <c r="B4062" s="562" t="s">
        <v>988</v>
      </c>
      <c r="C4062" s="403">
        <v>623612.80000000005</v>
      </c>
      <c r="D4062" s="400"/>
      <c r="E4062" s="400"/>
      <c r="F4062" s="400"/>
      <c r="G4062" s="400"/>
      <c r="H4062" s="396"/>
    </row>
    <row r="4063" spans="1:8" s="401" customFormat="1" ht="14.25" customHeight="1" x14ac:dyDescent="0.25">
      <c r="A4063" s="564">
        <v>4611</v>
      </c>
      <c r="B4063" s="562" t="s">
        <v>988</v>
      </c>
      <c r="C4063" s="403">
        <v>623612.80000000005</v>
      </c>
      <c r="D4063" s="400"/>
      <c r="E4063" s="400"/>
      <c r="F4063" s="400"/>
      <c r="G4063" s="400"/>
      <c r="H4063" s="396"/>
    </row>
    <row r="4064" spans="1:8" s="401" customFormat="1" ht="14.25" customHeight="1" x14ac:dyDescent="0.25">
      <c r="A4064" s="564">
        <v>4613</v>
      </c>
      <c r="B4064" s="562" t="s">
        <v>988</v>
      </c>
      <c r="C4064" s="403">
        <v>623612.80000000005</v>
      </c>
      <c r="D4064" s="400"/>
      <c r="E4064" s="400"/>
      <c r="F4064" s="400"/>
      <c r="G4064" s="400"/>
      <c r="H4064" s="396"/>
    </row>
    <row r="4065" spans="1:8" s="401" customFormat="1" ht="14.25" customHeight="1" x14ac:dyDescent="0.25">
      <c r="A4065" s="564">
        <v>4616</v>
      </c>
      <c r="B4065" s="562" t="s">
        <v>988</v>
      </c>
      <c r="C4065" s="403">
        <v>623612.80000000005</v>
      </c>
      <c r="D4065" s="400"/>
      <c r="E4065" s="400"/>
      <c r="F4065" s="400"/>
      <c r="G4065" s="400"/>
      <c r="H4065" s="396"/>
    </row>
    <row r="4066" spans="1:8" s="401" customFormat="1" ht="14.25" customHeight="1" x14ac:dyDescent="0.25">
      <c r="A4066" s="564">
        <v>4617</v>
      </c>
      <c r="B4066" s="562" t="s">
        <v>988</v>
      </c>
      <c r="C4066" s="403">
        <v>623612.80000000005</v>
      </c>
      <c r="D4066" s="400"/>
      <c r="E4066" s="400"/>
      <c r="F4066" s="400"/>
      <c r="G4066" s="400"/>
      <c r="H4066" s="396"/>
    </row>
    <row r="4067" spans="1:8" s="401" customFormat="1" ht="14.25" customHeight="1" x14ac:dyDescent="0.25">
      <c r="A4067" s="564">
        <v>4620</v>
      </c>
      <c r="B4067" s="562" t="s">
        <v>988</v>
      </c>
      <c r="C4067" s="403">
        <v>623612.80000000005</v>
      </c>
      <c r="D4067" s="400"/>
      <c r="E4067" s="400"/>
      <c r="F4067" s="400"/>
      <c r="G4067" s="400"/>
      <c r="H4067" s="396"/>
    </row>
    <row r="4068" spans="1:8" s="401" customFormat="1" ht="14.25" customHeight="1" x14ac:dyDescent="0.25">
      <c r="A4068" s="564">
        <v>4622</v>
      </c>
      <c r="B4068" s="562" t="s">
        <v>988</v>
      </c>
      <c r="C4068" s="403">
        <v>623612.80000000005</v>
      </c>
      <c r="D4068" s="400"/>
      <c r="E4068" s="400"/>
      <c r="F4068" s="400"/>
      <c r="G4068" s="400"/>
      <c r="H4068" s="396"/>
    </row>
    <row r="4069" spans="1:8" s="401" customFormat="1" ht="14.25" customHeight="1" x14ac:dyDescent="0.25">
      <c r="A4069" s="564">
        <v>4623</v>
      </c>
      <c r="B4069" s="562" t="s">
        <v>988</v>
      </c>
      <c r="C4069" s="403">
        <v>1</v>
      </c>
      <c r="D4069" s="400"/>
      <c r="E4069" s="400"/>
      <c r="F4069" s="400"/>
      <c r="G4069" s="400"/>
      <c r="H4069" s="396"/>
    </row>
    <row r="4070" spans="1:8" s="401" customFormat="1" ht="14.25" customHeight="1" x14ac:dyDescent="0.25">
      <c r="A4070" s="564">
        <v>4625</v>
      </c>
      <c r="B4070" s="562" t="s">
        <v>988</v>
      </c>
      <c r="C4070" s="403">
        <v>814000</v>
      </c>
      <c r="D4070" s="400"/>
      <c r="E4070" s="400"/>
      <c r="F4070" s="400"/>
      <c r="G4070" s="400"/>
      <c r="H4070" s="396"/>
    </row>
    <row r="4071" spans="1:8" s="401" customFormat="1" ht="14.25" customHeight="1" x14ac:dyDescent="0.25">
      <c r="A4071" s="564">
        <v>4628</v>
      </c>
      <c r="B4071" s="562" t="s">
        <v>988</v>
      </c>
      <c r="C4071" s="403">
        <v>1</v>
      </c>
      <c r="D4071" s="400"/>
      <c r="E4071" s="400"/>
      <c r="F4071" s="400"/>
      <c r="G4071" s="400"/>
      <c r="H4071" s="396"/>
    </row>
    <row r="4072" spans="1:8" s="401" customFormat="1" ht="14.25" customHeight="1" x14ac:dyDescent="0.25">
      <c r="A4072" s="564">
        <v>4630</v>
      </c>
      <c r="B4072" s="562" t="s">
        <v>988</v>
      </c>
      <c r="C4072" s="403">
        <v>1270999</v>
      </c>
      <c r="D4072" s="400"/>
      <c r="E4072" s="400"/>
      <c r="F4072" s="400"/>
      <c r="G4072" s="400"/>
      <c r="H4072" s="396"/>
    </row>
    <row r="4073" spans="1:8" s="401" customFormat="1" ht="14.25" customHeight="1" x14ac:dyDescent="0.25">
      <c r="A4073" s="564">
        <v>4631</v>
      </c>
      <c r="B4073" s="562" t="s">
        <v>988</v>
      </c>
      <c r="C4073" s="403">
        <v>1270999</v>
      </c>
      <c r="D4073" s="400"/>
      <c r="E4073" s="400"/>
      <c r="F4073" s="400"/>
      <c r="G4073" s="400"/>
      <c r="H4073" s="396"/>
    </row>
    <row r="4074" spans="1:8" s="401" customFormat="1" ht="14.25" customHeight="1" x14ac:dyDescent="0.25">
      <c r="A4074" s="564">
        <v>4636</v>
      </c>
      <c r="B4074" s="562" t="s">
        <v>977</v>
      </c>
      <c r="C4074" s="403">
        <v>123900</v>
      </c>
      <c r="D4074" s="400"/>
      <c r="E4074" s="400"/>
      <c r="F4074" s="400"/>
      <c r="G4074" s="400"/>
      <c r="H4074" s="396"/>
    </row>
    <row r="4075" spans="1:8" s="401" customFormat="1" ht="14.25" customHeight="1" x14ac:dyDescent="0.25">
      <c r="A4075" s="564">
        <v>4643</v>
      </c>
      <c r="B4075" s="562" t="s">
        <v>988</v>
      </c>
      <c r="C4075" s="403">
        <v>1345600</v>
      </c>
      <c r="D4075" s="400"/>
      <c r="E4075" s="400"/>
      <c r="F4075" s="400"/>
      <c r="G4075" s="400"/>
      <c r="H4075" s="396"/>
    </row>
    <row r="4076" spans="1:8" s="401" customFormat="1" ht="14.25" customHeight="1" x14ac:dyDescent="0.25">
      <c r="A4076" s="564">
        <v>4646</v>
      </c>
      <c r="B4076" s="562" t="s">
        <v>988</v>
      </c>
      <c r="C4076" s="403">
        <v>1345600</v>
      </c>
      <c r="D4076" s="400"/>
      <c r="E4076" s="400"/>
      <c r="F4076" s="400"/>
      <c r="G4076" s="400"/>
      <c r="H4076" s="396"/>
    </row>
    <row r="4077" spans="1:8" s="401" customFormat="1" ht="14.25" customHeight="1" x14ac:dyDescent="0.25">
      <c r="A4077" s="564">
        <v>4650</v>
      </c>
      <c r="B4077" s="562" t="s">
        <v>988</v>
      </c>
      <c r="C4077" s="403">
        <v>1345600</v>
      </c>
      <c r="D4077" s="400"/>
      <c r="E4077" s="400"/>
      <c r="F4077" s="400"/>
      <c r="G4077" s="400"/>
      <c r="H4077" s="396"/>
    </row>
    <row r="4078" spans="1:8" s="401" customFormat="1" ht="14.25" customHeight="1" x14ac:dyDescent="0.25">
      <c r="A4078" s="564">
        <v>4653</v>
      </c>
      <c r="B4078" s="562" t="s">
        <v>988</v>
      </c>
      <c r="C4078" s="403">
        <v>1345600</v>
      </c>
      <c r="D4078" s="400"/>
      <c r="E4078" s="400"/>
      <c r="F4078" s="400"/>
      <c r="G4078" s="400"/>
      <c r="H4078" s="396"/>
    </row>
    <row r="4079" spans="1:8" s="401" customFormat="1" ht="14.25" customHeight="1" x14ac:dyDescent="0.25">
      <c r="A4079" s="564">
        <v>4657</v>
      </c>
      <c r="B4079" s="562" t="s">
        <v>988</v>
      </c>
      <c r="C4079" s="403">
        <v>1345600</v>
      </c>
      <c r="D4079" s="400"/>
      <c r="E4079" s="400"/>
      <c r="F4079" s="400"/>
      <c r="G4079" s="400"/>
      <c r="H4079" s="396"/>
    </row>
    <row r="4080" spans="1:8" s="401" customFormat="1" ht="14.25" customHeight="1" x14ac:dyDescent="0.25">
      <c r="A4080" s="564">
        <v>4660</v>
      </c>
      <c r="B4080" s="562" t="s">
        <v>988</v>
      </c>
      <c r="C4080" s="403">
        <v>1345600</v>
      </c>
      <c r="D4080" s="400"/>
      <c r="E4080" s="400"/>
      <c r="F4080" s="400"/>
      <c r="G4080" s="400"/>
      <c r="H4080" s="396"/>
    </row>
    <row r="4081" spans="1:8" s="401" customFormat="1" ht="14.25" customHeight="1" x14ac:dyDescent="0.25">
      <c r="A4081" s="564">
        <v>4662</v>
      </c>
      <c r="B4081" s="562" t="s">
        <v>988</v>
      </c>
      <c r="C4081" s="403">
        <v>1345600</v>
      </c>
      <c r="D4081" s="400"/>
      <c r="E4081" s="400"/>
      <c r="F4081" s="400"/>
      <c r="G4081" s="400"/>
      <c r="H4081" s="396"/>
    </row>
    <row r="4082" spans="1:8" s="401" customFormat="1" ht="14.25" customHeight="1" x14ac:dyDescent="0.25">
      <c r="A4082" s="564">
        <v>4663</v>
      </c>
      <c r="B4082" s="562" t="s">
        <v>988</v>
      </c>
      <c r="C4082" s="403">
        <v>1160000</v>
      </c>
      <c r="D4082" s="400"/>
      <c r="E4082" s="400"/>
      <c r="F4082" s="400"/>
      <c r="G4082" s="400"/>
      <c r="H4082" s="396"/>
    </row>
    <row r="4083" spans="1:8" s="401" customFormat="1" ht="14.25" customHeight="1" x14ac:dyDescent="0.25">
      <c r="A4083" s="564">
        <v>4665</v>
      </c>
      <c r="B4083" s="562" t="s">
        <v>988</v>
      </c>
      <c r="C4083" s="403">
        <v>1160000</v>
      </c>
      <c r="D4083" s="400"/>
      <c r="E4083" s="400"/>
      <c r="F4083" s="400"/>
      <c r="G4083" s="400"/>
      <c r="H4083" s="396"/>
    </row>
    <row r="4084" spans="1:8" s="401" customFormat="1" ht="14.25" customHeight="1" x14ac:dyDescent="0.25">
      <c r="A4084" s="564">
        <v>4667</v>
      </c>
      <c r="B4084" s="562" t="s">
        <v>988</v>
      </c>
      <c r="C4084" s="403">
        <v>1160000</v>
      </c>
      <c r="D4084" s="400"/>
      <c r="E4084" s="400"/>
      <c r="F4084" s="400"/>
      <c r="G4084" s="400"/>
      <c r="H4084" s="396"/>
    </row>
    <row r="4085" spans="1:8" s="401" customFormat="1" ht="14.25" customHeight="1" x14ac:dyDescent="0.25">
      <c r="A4085" s="564">
        <v>4689</v>
      </c>
      <c r="B4085" s="562" t="s">
        <v>977</v>
      </c>
      <c r="C4085" s="403">
        <v>312030</v>
      </c>
      <c r="D4085" s="400"/>
      <c r="E4085" s="400"/>
      <c r="F4085" s="400"/>
      <c r="G4085" s="400"/>
      <c r="H4085" s="396"/>
    </row>
    <row r="4086" spans="1:8" s="401" customFormat="1" ht="14.25" customHeight="1" x14ac:dyDescent="0.25">
      <c r="A4086" s="564">
        <v>4785</v>
      </c>
      <c r="B4086" s="562" t="s">
        <v>981</v>
      </c>
      <c r="C4086" s="403">
        <v>293200</v>
      </c>
      <c r="D4086" s="400"/>
      <c r="E4086" s="400"/>
      <c r="F4086" s="400"/>
      <c r="G4086" s="400"/>
      <c r="H4086" s="396"/>
    </row>
    <row r="4087" spans="1:8" s="401" customFormat="1" ht="14.25" customHeight="1" x14ac:dyDescent="0.25">
      <c r="A4087" s="564">
        <v>4850</v>
      </c>
      <c r="B4087" s="562" t="s">
        <v>988</v>
      </c>
      <c r="C4087" s="403">
        <v>1</v>
      </c>
      <c r="D4087" s="400"/>
      <c r="E4087" s="400"/>
      <c r="F4087" s="400"/>
      <c r="G4087" s="400"/>
      <c r="H4087" s="396"/>
    </row>
    <row r="4088" spans="1:8" s="401" customFormat="1" ht="14.25" customHeight="1" x14ac:dyDescent="0.25">
      <c r="A4088" s="564">
        <v>4851</v>
      </c>
      <c r="B4088" s="562" t="s">
        <v>988</v>
      </c>
      <c r="C4088" s="403">
        <v>1</v>
      </c>
      <c r="D4088" s="400"/>
      <c r="E4088" s="400"/>
      <c r="F4088" s="400"/>
      <c r="G4088" s="400"/>
      <c r="H4088" s="396"/>
    </row>
    <row r="4089" spans="1:8" s="401" customFormat="1" ht="14.25" customHeight="1" x14ac:dyDescent="0.25">
      <c r="A4089" s="564">
        <v>4852</v>
      </c>
      <c r="B4089" s="562" t="s">
        <v>989</v>
      </c>
      <c r="C4089" s="403">
        <v>1</v>
      </c>
      <c r="D4089" s="400"/>
      <c r="E4089" s="400"/>
      <c r="F4089" s="400"/>
      <c r="G4089" s="400"/>
      <c r="H4089" s="396"/>
    </row>
    <row r="4090" spans="1:8" s="401" customFormat="1" ht="14.25" customHeight="1" x14ac:dyDescent="0.25">
      <c r="A4090" s="564">
        <v>4853</v>
      </c>
      <c r="B4090" s="562" t="s">
        <v>989</v>
      </c>
      <c r="C4090" s="403">
        <v>1</v>
      </c>
      <c r="D4090" s="400"/>
      <c r="E4090" s="400"/>
      <c r="F4090" s="400"/>
      <c r="G4090" s="400"/>
      <c r="H4090" s="396"/>
    </row>
    <row r="4091" spans="1:8" s="401" customFormat="1" ht="14.25" customHeight="1" x14ac:dyDescent="0.25">
      <c r="A4091" s="564">
        <v>4854</v>
      </c>
      <c r="B4091" s="562" t="s">
        <v>989</v>
      </c>
      <c r="C4091" s="403">
        <v>1</v>
      </c>
      <c r="D4091" s="400"/>
      <c r="E4091" s="400"/>
      <c r="F4091" s="400"/>
      <c r="G4091" s="400"/>
      <c r="H4091" s="396"/>
    </row>
    <row r="4092" spans="1:8" s="401" customFormat="1" ht="14.25" customHeight="1" x14ac:dyDescent="0.25">
      <c r="A4092" s="564">
        <v>4855</v>
      </c>
      <c r="B4092" s="562" t="s">
        <v>988</v>
      </c>
      <c r="C4092" s="403">
        <v>1</v>
      </c>
      <c r="D4092" s="400"/>
      <c r="E4092" s="400"/>
      <c r="F4092" s="400"/>
      <c r="G4092" s="400"/>
      <c r="H4092" s="396"/>
    </row>
    <row r="4093" spans="1:8" s="401" customFormat="1" ht="14.25" customHeight="1" x14ac:dyDescent="0.25">
      <c r="A4093" s="564">
        <v>4856</v>
      </c>
      <c r="B4093" s="562" t="s">
        <v>988</v>
      </c>
      <c r="C4093" s="403">
        <v>1</v>
      </c>
      <c r="D4093" s="400"/>
      <c r="E4093" s="400"/>
      <c r="F4093" s="400"/>
      <c r="G4093" s="400"/>
      <c r="H4093" s="396"/>
    </row>
    <row r="4094" spans="1:8" s="401" customFormat="1" ht="14.25" customHeight="1" x14ac:dyDescent="0.25">
      <c r="A4094" s="564">
        <v>4857</v>
      </c>
      <c r="B4094" s="562" t="s">
        <v>988</v>
      </c>
      <c r="C4094" s="403">
        <v>1</v>
      </c>
      <c r="D4094" s="400"/>
      <c r="E4094" s="400"/>
      <c r="F4094" s="400"/>
      <c r="G4094" s="400"/>
      <c r="H4094" s="396"/>
    </row>
    <row r="4095" spans="1:8" s="401" customFormat="1" ht="14.25" customHeight="1" x14ac:dyDescent="0.25">
      <c r="A4095" s="564">
        <v>4863</v>
      </c>
      <c r="B4095" s="562" t="s">
        <v>989</v>
      </c>
      <c r="C4095" s="403">
        <v>1</v>
      </c>
      <c r="D4095" s="400"/>
      <c r="E4095" s="400"/>
      <c r="F4095" s="400"/>
      <c r="G4095" s="400"/>
      <c r="H4095" s="396"/>
    </row>
    <row r="4096" spans="1:8" s="401" customFormat="1" ht="14.25" customHeight="1" x14ac:dyDescent="0.25">
      <c r="A4096" s="564">
        <v>4868</v>
      </c>
      <c r="B4096" s="562" t="s">
        <v>984</v>
      </c>
      <c r="C4096" s="403">
        <v>1</v>
      </c>
      <c r="D4096" s="400"/>
      <c r="E4096" s="400"/>
      <c r="F4096" s="400"/>
      <c r="G4096" s="400"/>
      <c r="H4096" s="396"/>
    </row>
    <row r="4097" spans="1:8" s="401" customFormat="1" ht="14.25" customHeight="1" x14ac:dyDescent="0.25">
      <c r="A4097" s="564">
        <v>4548</v>
      </c>
      <c r="B4097" s="562" t="s">
        <v>986</v>
      </c>
      <c r="C4097" s="403">
        <v>1</v>
      </c>
      <c r="D4097" s="400"/>
      <c r="E4097" s="400"/>
      <c r="F4097" s="400"/>
      <c r="G4097" s="400"/>
      <c r="H4097" s="396"/>
    </row>
    <row r="4098" spans="1:8" s="401" customFormat="1" ht="14.25" customHeight="1" x14ac:dyDescent="0.25">
      <c r="A4098" s="564">
        <v>4549</v>
      </c>
      <c r="B4098" s="562" t="s">
        <v>986</v>
      </c>
      <c r="C4098" s="403">
        <v>1</v>
      </c>
      <c r="D4098" s="400"/>
      <c r="E4098" s="400"/>
      <c r="F4098" s="400"/>
      <c r="G4098" s="400"/>
      <c r="H4098" s="396"/>
    </row>
    <row r="4099" spans="1:8" s="401" customFormat="1" ht="14.25" customHeight="1" x14ac:dyDescent="0.25">
      <c r="A4099" s="564">
        <v>4550</v>
      </c>
      <c r="B4099" s="562" t="s">
        <v>977</v>
      </c>
      <c r="C4099" s="403">
        <v>1</v>
      </c>
      <c r="D4099" s="400"/>
      <c r="E4099" s="400"/>
      <c r="F4099" s="400"/>
      <c r="G4099" s="400"/>
      <c r="H4099" s="396"/>
    </row>
    <row r="4100" spans="1:8" s="401" customFormat="1" ht="14.25" customHeight="1" x14ac:dyDescent="0.25">
      <c r="A4100" s="564">
        <v>4551</v>
      </c>
      <c r="B4100" s="562" t="s">
        <v>977</v>
      </c>
      <c r="C4100" s="403">
        <v>107199</v>
      </c>
      <c r="D4100" s="400"/>
      <c r="E4100" s="400"/>
      <c r="F4100" s="400"/>
      <c r="G4100" s="400"/>
      <c r="H4100" s="396"/>
    </row>
    <row r="4101" spans="1:8" s="401" customFormat="1" ht="14.25" customHeight="1" x14ac:dyDescent="0.25">
      <c r="A4101" s="564">
        <v>4552</v>
      </c>
      <c r="B4101" s="562" t="s">
        <v>980</v>
      </c>
      <c r="C4101" s="403">
        <v>350000</v>
      </c>
      <c r="D4101" s="400"/>
      <c r="E4101" s="400"/>
      <c r="F4101" s="400"/>
      <c r="G4101" s="400"/>
      <c r="H4101" s="396"/>
    </row>
    <row r="4102" spans="1:8" s="401" customFormat="1" ht="14.25" customHeight="1" x14ac:dyDescent="0.25">
      <c r="A4102" s="564">
        <v>4555</v>
      </c>
      <c r="B4102" s="562" t="s">
        <v>990</v>
      </c>
      <c r="C4102" s="403">
        <v>113208.42</v>
      </c>
      <c r="D4102" s="400"/>
      <c r="E4102" s="400"/>
      <c r="F4102" s="400"/>
      <c r="G4102" s="400"/>
      <c r="H4102" s="396"/>
    </row>
    <row r="4103" spans="1:8" s="401" customFormat="1" ht="14.25" customHeight="1" x14ac:dyDescent="0.25">
      <c r="A4103" s="564">
        <v>4735</v>
      </c>
      <c r="B4103" s="562" t="s">
        <v>977</v>
      </c>
      <c r="C4103" s="403">
        <v>70400</v>
      </c>
      <c r="D4103" s="400"/>
      <c r="E4103" s="400"/>
      <c r="F4103" s="400"/>
      <c r="G4103" s="400"/>
      <c r="H4103" s="396"/>
    </row>
    <row r="4104" spans="1:8" s="401" customFormat="1" ht="14.25" customHeight="1" x14ac:dyDescent="0.25">
      <c r="A4104" s="564">
        <v>4738</v>
      </c>
      <c r="B4104" s="562" t="s">
        <v>977</v>
      </c>
      <c r="C4104" s="403">
        <v>173136</v>
      </c>
      <c r="D4104" s="400"/>
      <c r="E4104" s="400"/>
      <c r="F4104" s="400"/>
      <c r="G4104" s="400"/>
      <c r="H4104" s="396"/>
    </row>
    <row r="4105" spans="1:8" s="401" customFormat="1" ht="14.25" customHeight="1" x14ac:dyDescent="0.25">
      <c r="A4105" s="564">
        <v>4742</v>
      </c>
      <c r="B4105" s="562" t="s">
        <v>977</v>
      </c>
      <c r="C4105" s="403">
        <v>173136</v>
      </c>
      <c r="D4105" s="400"/>
      <c r="E4105" s="400"/>
      <c r="F4105" s="400"/>
      <c r="G4105" s="400"/>
      <c r="H4105" s="396"/>
    </row>
    <row r="4106" spans="1:8" s="401" customFormat="1" ht="14.25" customHeight="1" x14ac:dyDescent="0.25">
      <c r="A4106" s="564">
        <v>4746</v>
      </c>
      <c r="B4106" s="562" t="s">
        <v>991</v>
      </c>
      <c r="C4106" s="403">
        <v>63644</v>
      </c>
      <c r="D4106" s="400"/>
      <c r="E4106" s="400"/>
      <c r="F4106" s="400"/>
      <c r="G4106" s="400"/>
      <c r="H4106" s="396"/>
    </row>
    <row r="4107" spans="1:8" s="401" customFormat="1" ht="14.25" customHeight="1" x14ac:dyDescent="0.25">
      <c r="A4107" s="564">
        <v>4708</v>
      </c>
      <c r="B4107" s="562" t="s">
        <v>992</v>
      </c>
      <c r="C4107" s="403">
        <v>15000</v>
      </c>
      <c r="D4107" s="400"/>
      <c r="E4107" s="400"/>
      <c r="F4107" s="400"/>
      <c r="G4107" s="400"/>
      <c r="H4107" s="396"/>
    </row>
    <row r="4108" spans="1:8" s="401" customFormat="1" ht="14.25" customHeight="1" x14ac:dyDescent="0.25">
      <c r="A4108" s="564">
        <v>4710</v>
      </c>
      <c r="B4108" s="562" t="s">
        <v>993</v>
      </c>
      <c r="C4108" s="403">
        <v>1</v>
      </c>
      <c r="D4108" s="400"/>
      <c r="E4108" s="400"/>
      <c r="F4108" s="400"/>
      <c r="G4108" s="400"/>
      <c r="H4108" s="396"/>
    </row>
    <row r="4109" spans="1:8" s="401" customFormat="1" ht="14.25" customHeight="1" x14ac:dyDescent="0.25">
      <c r="A4109" s="564">
        <v>4713</v>
      </c>
      <c r="B4109" s="562" t="s">
        <v>993</v>
      </c>
      <c r="C4109" s="403">
        <v>1</v>
      </c>
      <c r="D4109" s="400"/>
      <c r="E4109" s="400"/>
      <c r="F4109" s="400"/>
      <c r="G4109" s="400"/>
      <c r="H4109" s="396"/>
    </row>
    <row r="4110" spans="1:8" s="401" customFormat="1" ht="14.25" customHeight="1" x14ac:dyDescent="0.25">
      <c r="A4110" s="564">
        <v>4716</v>
      </c>
      <c r="B4110" s="562" t="s">
        <v>994</v>
      </c>
      <c r="C4110" s="403">
        <v>1</v>
      </c>
      <c r="D4110" s="400"/>
      <c r="E4110" s="400"/>
      <c r="F4110" s="400"/>
      <c r="G4110" s="400"/>
      <c r="H4110" s="396"/>
    </row>
    <row r="4111" spans="1:8" s="401" customFormat="1" ht="14.25" customHeight="1" x14ac:dyDescent="0.25">
      <c r="A4111" s="564">
        <v>4718</v>
      </c>
      <c r="B4111" s="562" t="s">
        <v>995</v>
      </c>
      <c r="C4111" s="403">
        <v>1</v>
      </c>
      <c r="D4111" s="400"/>
      <c r="E4111" s="400"/>
      <c r="F4111" s="400"/>
      <c r="G4111" s="400"/>
      <c r="H4111" s="396"/>
    </row>
    <row r="4112" spans="1:8" s="401" customFormat="1" ht="14.25" customHeight="1" x14ac:dyDescent="0.25">
      <c r="A4112" s="564">
        <v>4728</v>
      </c>
      <c r="B4112" s="562" t="s">
        <v>984</v>
      </c>
      <c r="C4112" s="403">
        <v>15000</v>
      </c>
      <c r="D4112" s="400"/>
      <c r="E4112" s="400"/>
      <c r="F4112" s="400"/>
      <c r="G4112" s="400"/>
      <c r="H4112" s="396"/>
    </row>
    <row r="4113" spans="1:8" s="401" customFormat="1" ht="14.25" customHeight="1" x14ac:dyDescent="0.25">
      <c r="A4113" s="564">
        <v>4731</v>
      </c>
      <c r="B4113" s="562" t="s">
        <v>996</v>
      </c>
      <c r="C4113" s="403">
        <v>1</v>
      </c>
      <c r="D4113" s="400"/>
      <c r="E4113" s="400"/>
      <c r="F4113" s="400"/>
      <c r="G4113" s="400"/>
      <c r="H4113" s="396"/>
    </row>
    <row r="4114" spans="1:8" s="401" customFormat="1" ht="14.25" customHeight="1" x14ac:dyDescent="0.25">
      <c r="A4114" s="564">
        <v>4725</v>
      </c>
      <c r="B4114" s="562" t="s">
        <v>997</v>
      </c>
      <c r="C4114" s="403">
        <v>1</v>
      </c>
      <c r="D4114" s="400"/>
      <c r="E4114" s="400"/>
      <c r="F4114" s="400"/>
      <c r="G4114" s="400"/>
      <c r="H4114" s="396"/>
    </row>
    <row r="4115" spans="1:8" s="401" customFormat="1" ht="14.25" customHeight="1" x14ac:dyDescent="0.25">
      <c r="A4115" s="564">
        <v>4764</v>
      </c>
      <c r="B4115" s="562" t="s">
        <v>977</v>
      </c>
      <c r="C4115" s="403">
        <v>131061</v>
      </c>
      <c r="D4115" s="400"/>
      <c r="E4115" s="400"/>
      <c r="F4115" s="400"/>
      <c r="G4115" s="400"/>
      <c r="H4115" s="396"/>
    </row>
    <row r="4116" spans="1:8" s="401" customFormat="1" ht="14.25" customHeight="1" x14ac:dyDescent="0.25">
      <c r="A4116" s="564">
        <v>4766</v>
      </c>
      <c r="B4116" s="562" t="s">
        <v>977</v>
      </c>
      <c r="C4116" s="403">
        <v>131061</v>
      </c>
      <c r="D4116" s="400"/>
      <c r="E4116" s="400"/>
      <c r="F4116" s="400"/>
      <c r="G4116" s="400"/>
      <c r="H4116" s="396"/>
    </row>
    <row r="4117" spans="1:8" s="401" customFormat="1" ht="14.25" customHeight="1" x14ac:dyDescent="0.25">
      <c r="A4117" s="564">
        <v>4767</v>
      </c>
      <c r="B4117" s="562" t="s">
        <v>977</v>
      </c>
      <c r="C4117" s="403">
        <v>131061</v>
      </c>
      <c r="D4117" s="400"/>
      <c r="E4117" s="400"/>
      <c r="F4117" s="400"/>
      <c r="G4117" s="400"/>
      <c r="H4117" s="396"/>
    </row>
    <row r="4118" spans="1:8" s="401" customFormat="1" ht="14.25" customHeight="1" x14ac:dyDescent="0.25">
      <c r="A4118" s="564">
        <v>4768</v>
      </c>
      <c r="B4118" s="562" t="s">
        <v>977</v>
      </c>
      <c r="C4118" s="403">
        <v>131061</v>
      </c>
      <c r="D4118" s="400"/>
      <c r="E4118" s="400"/>
      <c r="F4118" s="400"/>
      <c r="G4118" s="400"/>
      <c r="H4118" s="396"/>
    </row>
    <row r="4119" spans="1:8" s="401" customFormat="1" ht="14.25" customHeight="1" x14ac:dyDescent="0.25">
      <c r="A4119" s="564">
        <v>4769</v>
      </c>
      <c r="B4119" s="562" t="s">
        <v>977</v>
      </c>
      <c r="C4119" s="403">
        <v>131061</v>
      </c>
      <c r="D4119" s="400"/>
      <c r="E4119" s="400"/>
      <c r="F4119" s="400"/>
      <c r="G4119" s="400"/>
      <c r="H4119" s="396"/>
    </row>
    <row r="4120" spans="1:8" s="401" customFormat="1" ht="14.25" customHeight="1" x14ac:dyDescent="0.25">
      <c r="A4120" s="564">
        <v>4770</v>
      </c>
      <c r="B4120" s="562" t="s">
        <v>977</v>
      </c>
      <c r="C4120" s="403">
        <v>131061</v>
      </c>
      <c r="D4120" s="400"/>
      <c r="E4120" s="400"/>
      <c r="F4120" s="400"/>
      <c r="G4120" s="400"/>
      <c r="H4120" s="396"/>
    </row>
    <row r="4121" spans="1:8" s="401" customFormat="1" ht="14.25" customHeight="1" x14ac:dyDescent="0.25">
      <c r="A4121" s="564">
        <v>4772</v>
      </c>
      <c r="B4121" s="562" t="s">
        <v>977</v>
      </c>
      <c r="C4121" s="403">
        <v>131061</v>
      </c>
      <c r="D4121" s="400"/>
      <c r="E4121" s="400"/>
      <c r="F4121" s="400"/>
      <c r="G4121" s="400"/>
      <c r="H4121" s="396"/>
    </row>
    <row r="4122" spans="1:8" s="401" customFormat="1" ht="14.25" customHeight="1" x14ac:dyDescent="0.25">
      <c r="A4122" s="564">
        <v>4773</v>
      </c>
      <c r="B4122" s="562" t="s">
        <v>977</v>
      </c>
      <c r="C4122" s="403">
        <v>193000</v>
      </c>
      <c r="D4122" s="400"/>
      <c r="E4122" s="400"/>
      <c r="F4122" s="400"/>
      <c r="G4122" s="400"/>
      <c r="H4122" s="396"/>
    </row>
    <row r="4123" spans="1:8" s="401" customFormat="1" ht="14.25" customHeight="1" x14ac:dyDescent="0.25">
      <c r="A4123" s="564">
        <v>4775</v>
      </c>
      <c r="B4123" s="562" t="s">
        <v>977</v>
      </c>
      <c r="C4123" s="403">
        <v>193000</v>
      </c>
      <c r="D4123" s="400"/>
      <c r="E4123" s="400"/>
      <c r="F4123" s="400"/>
      <c r="G4123" s="400"/>
      <c r="H4123" s="396"/>
    </row>
    <row r="4124" spans="1:8" s="401" customFormat="1" ht="14.25" customHeight="1" x14ac:dyDescent="0.25">
      <c r="A4124" s="564">
        <v>4345</v>
      </c>
      <c r="B4124" s="562" t="s">
        <v>998</v>
      </c>
      <c r="C4124" s="403">
        <v>330000</v>
      </c>
      <c r="D4124" s="400"/>
      <c r="E4124" s="400"/>
      <c r="F4124" s="400"/>
      <c r="G4124" s="400"/>
      <c r="H4124" s="396"/>
    </row>
    <row r="4125" spans="1:8" s="401" customFormat="1" ht="14.25" customHeight="1" x14ac:dyDescent="0.25">
      <c r="A4125" s="564">
        <v>4347</v>
      </c>
      <c r="B4125" s="562" t="s">
        <v>999</v>
      </c>
      <c r="C4125" s="403">
        <v>1</v>
      </c>
      <c r="D4125" s="400"/>
      <c r="E4125" s="400"/>
      <c r="F4125" s="400"/>
      <c r="G4125" s="400"/>
      <c r="H4125" s="396"/>
    </row>
    <row r="4126" spans="1:8" s="401" customFormat="1" ht="14.25" customHeight="1" x14ac:dyDescent="0.25">
      <c r="A4126" s="564">
        <v>4193</v>
      </c>
      <c r="B4126" s="562" t="s">
        <v>979</v>
      </c>
      <c r="C4126" s="403">
        <v>239800</v>
      </c>
      <c r="D4126" s="400"/>
      <c r="E4126" s="400"/>
      <c r="F4126" s="400"/>
      <c r="G4126" s="400"/>
      <c r="H4126" s="396"/>
    </row>
    <row r="4127" spans="1:8" s="401" customFormat="1" ht="14.25" customHeight="1" x14ac:dyDescent="0.25">
      <c r="A4127" s="564">
        <v>4474</v>
      </c>
      <c r="B4127" s="562" t="s">
        <v>1000</v>
      </c>
      <c r="C4127" s="403">
        <v>52000</v>
      </c>
      <c r="D4127" s="400"/>
      <c r="E4127" s="400"/>
      <c r="F4127" s="400"/>
      <c r="G4127" s="400"/>
      <c r="H4127" s="396"/>
    </row>
    <row r="4128" spans="1:8" s="401" customFormat="1" ht="14.25" customHeight="1" x14ac:dyDescent="0.25">
      <c r="A4128" s="564">
        <v>4479</v>
      </c>
      <c r="B4128" s="562" t="s">
        <v>1000</v>
      </c>
      <c r="C4128" s="403">
        <v>45900</v>
      </c>
      <c r="D4128" s="400"/>
      <c r="E4128" s="400"/>
      <c r="F4128" s="400"/>
      <c r="G4128" s="400"/>
      <c r="H4128" s="396"/>
    </row>
    <row r="4129" spans="1:8" s="401" customFormat="1" ht="14.25" customHeight="1" x14ac:dyDescent="0.25">
      <c r="A4129" s="564">
        <v>4482</v>
      </c>
      <c r="B4129" s="562" t="s">
        <v>1000</v>
      </c>
      <c r="C4129" s="403">
        <v>45900</v>
      </c>
      <c r="D4129" s="400"/>
      <c r="E4129" s="400"/>
      <c r="F4129" s="400"/>
      <c r="G4129" s="400"/>
      <c r="H4129" s="396"/>
    </row>
    <row r="4130" spans="1:8" s="401" customFormat="1" ht="14.25" customHeight="1" x14ac:dyDescent="0.25">
      <c r="A4130" s="564">
        <v>4485</v>
      </c>
      <c r="B4130" s="562" t="s">
        <v>1000</v>
      </c>
      <c r="C4130" s="403">
        <v>45900</v>
      </c>
      <c r="D4130" s="400"/>
      <c r="E4130" s="400"/>
      <c r="F4130" s="400"/>
      <c r="G4130" s="400"/>
      <c r="H4130" s="396"/>
    </row>
    <row r="4131" spans="1:8" s="401" customFormat="1" ht="14.25" customHeight="1" x14ac:dyDescent="0.25">
      <c r="A4131" s="564">
        <v>4512</v>
      </c>
      <c r="B4131" s="562" t="s">
        <v>1000</v>
      </c>
      <c r="C4131" s="403">
        <v>52000</v>
      </c>
      <c r="D4131" s="400"/>
      <c r="E4131" s="400"/>
      <c r="F4131" s="400"/>
      <c r="G4131" s="400"/>
      <c r="H4131" s="396"/>
    </row>
    <row r="4132" spans="1:8" s="401" customFormat="1" ht="14.25" customHeight="1" x14ac:dyDescent="0.25">
      <c r="A4132" s="564">
        <v>4514</v>
      </c>
      <c r="B4132" s="562" t="s">
        <v>1000</v>
      </c>
      <c r="C4132" s="403">
        <v>52000</v>
      </c>
      <c r="D4132" s="400"/>
      <c r="E4132" s="400"/>
      <c r="F4132" s="400"/>
      <c r="G4132" s="400"/>
      <c r="H4132" s="396"/>
    </row>
    <row r="4133" spans="1:8" s="401" customFormat="1" ht="14.25" customHeight="1" x14ac:dyDescent="0.25">
      <c r="A4133" s="564">
        <v>4516</v>
      </c>
      <c r="B4133" s="562" t="s">
        <v>1000</v>
      </c>
      <c r="C4133" s="403">
        <v>52000</v>
      </c>
      <c r="D4133" s="400"/>
      <c r="E4133" s="400"/>
      <c r="F4133" s="400"/>
      <c r="G4133" s="400"/>
      <c r="H4133" s="396"/>
    </row>
    <row r="4134" spans="1:8" s="401" customFormat="1" ht="14.25" customHeight="1" x14ac:dyDescent="0.25">
      <c r="A4134" s="564">
        <v>4783</v>
      </c>
      <c r="B4134" s="562" t="s">
        <v>1000</v>
      </c>
      <c r="C4134" s="403">
        <v>52000</v>
      </c>
      <c r="D4134" s="400"/>
      <c r="E4134" s="400"/>
      <c r="F4134" s="400"/>
      <c r="G4134" s="400"/>
      <c r="H4134" s="396"/>
    </row>
    <row r="4135" spans="1:8" s="401" customFormat="1" ht="14.25" customHeight="1" x14ac:dyDescent="0.25">
      <c r="A4135" s="564">
        <v>4901</v>
      </c>
      <c r="B4135" s="562" t="s">
        <v>1001</v>
      </c>
      <c r="C4135" s="403">
        <v>1</v>
      </c>
      <c r="D4135" s="400"/>
      <c r="E4135" s="400"/>
      <c r="F4135" s="400"/>
      <c r="G4135" s="400"/>
      <c r="H4135" s="396"/>
    </row>
    <row r="4136" spans="1:8" s="401" customFormat="1" ht="14.25" customHeight="1" x14ac:dyDescent="0.25">
      <c r="A4136" s="564">
        <v>4903</v>
      </c>
      <c r="B4136" s="562" t="s">
        <v>1001</v>
      </c>
      <c r="C4136" s="403">
        <v>1</v>
      </c>
      <c r="D4136" s="400"/>
      <c r="E4136" s="400"/>
      <c r="F4136" s="400"/>
      <c r="G4136" s="400"/>
      <c r="H4136" s="396"/>
    </row>
    <row r="4137" spans="1:8" s="401" customFormat="1" ht="14.25" customHeight="1" x14ac:dyDescent="0.25">
      <c r="A4137" s="564">
        <v>4906</v>
      </c>
      <c r="B4137" s="562" t="s">
        <v>1001</v>
      </c>
      <c r="C4137" s="403">
        <v>1</v>
      </c>
      <c r="D4137" s="400"/>
      <c r="E4137" s="400"/>
      <c r="F4137" s="400"/>
      <c r="G4137" s="400"/>
      <c r="H4137" s="396"/>
    </row>
    <row r="4138" spans="1:8" s="401" customFormat="1" ht="14.25" customHeight="1" x14ac:dyDescent="0.25">
      <c r="A4138" s="564">
        <v>4908</v>
      </c>
      <c r="B4138" s="562" t="s">
        <v>1001</v>
      </c>
      <c r="C4138" s="403">
        <v>1</v>
      </c>
      <c r="D4138" s="400"/>
      <c r="E4138" s="400"/>
      <c r="F4138" s="400"/>
      <c r="G4138" s="400"/>
      <c r="H4138" s="396"/>
    </row>
    <row r="4139" spans="1:8" s="401" customFormat="1" ht="14.25" customHeight="1" x14ac:dyDescent="0.25">
      <c r="A4139" s="564">
        <v>4910</v>
      </c>
      <c r="B4139" s="562" t="s">
        <v>1001</v>
      </c>
      <c r="C4139" s="403">
        <v>1</v>
      </c>
      <c r="D4139" s="400"/>
      <c r="E4139" s="400"/>
      <c r="F4139" s="400"/>
      <c r="G4139" s="400"/>
      <c r="H4139" s="396"/>
    </row>
    <row r="4140" spans="1:8" s="401" customFormat="1" ht="14.25" customHeight="1" x14ac:dyDescent="0.25">
      <c r="A4140" s="564">
        <v>4914</v>
      </c>
      <c r="B4140" s="562" t="s">
        <v>1001</v>
      </c>
      <c r="C4140" s="403">
        <v>1</v>
      </c>
      <c r="D4140" s="400"/>
      <c r="E4140" s="400"/>
      <c r="F4140" s="400"/>
      <c r="G4140" s="400"/>
      <c r="H4140" s="396"/>
    </row>
    <row r="4141" spans="1:8" s="401" customFormat="1" ht="14.25" customHeight="1" x14ac:dyDescent="0.25">
      <c r="A4141" s="564">
        <v>4916</v>
      </c>
      <c r="B4141" s="562" t="s">
        <v>1001</v>
      </c>
      <c r="C4141" s="403">
        <v>1</v>
      </c>
      <c r="D4141" s="400"/>
      <c r="E4141" s="400"/>
      <c r="F4141" s="400"/>
      <c r="G4141" s="400"/>
      <c r="H4141" s="396"/>
    </row>
    <row r="4142" spans="1:8" s="401" customFormat="1" ht="14.25" customHeight="1" x14ac:dyDescent="0.25">
      <c r="A4142" s="564">
        <v>4922</v>
      </c>
      <c r="B4142" s="562" t="s">
        <v>1001</v>
      </c>
      <c r="C4142" s="403">
        <v>1</v>
      </c>
      <c r="D4142" s="400"/>
      <c r="E4142" s="400"/>
      <c r="F4142" s="400"/>
      <c r="G4142" s="400"/>
      <c r="H4142" s="396"/>
    </row>
    <row r="4143" spans="1:8" s="401" customFormat="1" ht="14.25" customHeight="1" x14ac:dyDescent="0.25">
      <c r="A4143" s="564">
        <v>4925</v>
      </c>
      <c r="B4143" s="562" t="s">
        <v>1001</v>
      </c>
      <c r="C4143" s="403">
        <v>1</v>
      </c>
      <c r="D4143" s="400"/>
      <c r="E4143" s="400"/>
      <c r="F4143" s="400"/>
      <c r="G4143" s="400"/>
      <c r="H4143" s="396"/>
    </row>
    <row r="4144" spans="1:8" s="401" customFormat="1" ht="14.25" customHeight="1" x14ac:dyDescent="0.25">
      <c r="A4144" s="564">
        <v>4927</v>
      </c>
      <c r="B4144" s="562" t="s">
        <v>1001</v>
      </c>
      <c r="C4144" s="403">
        <v>1</v>
      </c>
      <c r="D4144" s="400"/>
      <c r="E4144" s="400"/>
      <c r="F4144" s="400"/>
      <c r="G4144" s="400"/>
      <c r="H4144" s="396"/>
    </row>
    <row r="4145" spans="1:8" s="401" customFormat="1" ht="14.25" customHeight="1" x14ac:dyDescent="0.25">
      <c r="A4145" s="564">
        <v>4930</v>
      </c>
      <c r="B4145" s="562" t="s">
        <v>1001</v>
      </c>
      <c r="C4145" s="403">
        <v>1</v>
      </c>
      <c r="D4145" s="400"/>
      <c r="E4145" s="400"/>
      <c r="F4145" s="400"/>
      <c r="G4145" s="400"/>
      <c r="H4145" s="396"/>
    </row>
    <row r="4146" spans="1:8" s="401" customFormat="1" ht="14.25" customHeight="1" x14ac:dyDescent="0.25">
      <c r="A4146" s="564">
        <v>4933</v>
      </c>
      <c r="B4146" s="562" t="s">
        <v>1001</v>
      </c>
      <c r="C4146" s="403">
        <v>1</v>
      </c>
      <c r="D4146" s="400"/>
      <c r="E4146" s="400"/>
      <c r="F4146" s="400"/>
      <c r="G4146" s="400"/>
      <c r="H4146" s="396"/>
    </row>
    <row r="4147" spans="1:8" s="401" customFormat="1" ht="14.25" customHeight="1" x14ac:dyDescent="0.25">
      <c r="A4147" s="564">
        <v>4935</v>
      </c>
      <c r="B4147" s="562" t="s">
        <v>1001</v>
      </c>
      <c r="C4147" s="403">
        <v>1</v>
      </c>
      <c r="D4147" s="400"/>
      <c r="E4147" s="400"/>
      <c r="F4147" s="400"/>
      <c r="G4147" s="400"/>
      <c r="H4147" s="396"/>
    </row>
    <row r="4148" spans="1:8" s="401" customFormat="1" ht="14.25" customHeight="1" x14ac:dyDescent="0.25">
      <c r="A4148" s="564">
        <v>4937</v>
      </c>
      <c r="B4148" s="562" t="s">
        <v>1001</v>
      </c>
      <c r="C4148" s="403">
        <v>1</v>
      </c>
      <c r="D4148" s="400"/>
      <c r="E4148" s="400"/>
      <c r="F4148" s="400"/>
      <c r="G4148" s="400"/>
      <c r="H4148" s="396"/>
    </row>
    <row r="4149" spans="1:8" s="401" customFormat="1" ht="14.25" customHeight="1" x14ac:dyDescent="0.25">
      <c r="A4149" s="564">
        <v>4669</v>
      </c>
      <c r="B4149" s="562" t="s">
        <v>1000</v>
      </c>
      <c r="C4149" s="403">
        <v>13567</v>
      </c>
      <c r="D4149" s="400"/>
      <c r="E4149" s="400"/>
      <c r="F4149" s="400"/>
      <c r="G4149" s="400"/>
      <c r="H4149" s="396"/>
    </row>
    <row r="4150" spans="1:8" s="401" customFormat="1" ht="14.25" customHeight="1" x14ac:dyDescent="0.25">
      <c r="A4150" s="564">
        <v>4670</v>
      </c>
      <c r="B4150" s="562" t="s">
        <v>1000</v>
      </c>
      <c r="C4150" s="403">
        <v>13400</v>
      </c>
      <c r="D4150" s="400"/>
      <c r="E4150" s="400"/>
      <c r="F4150" s="400"/>
      <c r="G4150" s="400"/>
      <c r="H4150" s="396"/>
    </row>
    <row r="4151" spans="1:8" s="401" customFormat="1" ht="14.25" customHeight="1" x14ac:dyDescent="0.25">
      <c r="A4151" s="564">
        <v>4672</v>
      </c>
      <c r="B4151" s="562" t="s">
        <v>1000</v>
      </c>
      <c r="C4151" s="403">
        <v>13567</v>
      </c>
      <c r="D4151" s="400"/>
      <c r="E4151" s="400"/>
      <c r="F4151" s="400"/>
      <c r="G4151" s="400"/>
      <c r="H4151" s="396"/>
    </row>
    <row r="4152" spans="1:8" s="401" customFormat="1" ht="14.25" customHeight="1" x14ac:dyDescent="0.25">
      <c r="A4152" s="564">
        <v>4674</v>
      </c>
      <c r="B4152" s="562" t="s">
        <v>1000</v>
      </c>
      <c r="C4152" s="403">
        <v>13554</v>
      </c>
      <c r="D4152" s="400"/>
      <c r="E4152" s="400"/>
      <c r="F4152" s="400"/>
      <c r="G4152" s="400"/>
      <c r="H4152" s="396"/>
    </row>
    <row r="4153" spans="1:8" s="401" customFormat="1" ht="14.25" customHeight="1" x14ac:dyDescent="0.25">
      <c r="A4153" s="564">
        <v>4677</v>
      </c>
      <c r="B4153" s="562" t="s">
        <v>1000</v>
      </c>
      <c r="C4153" s="403">
        <v>13554</v>
      </c>
      <c r="D4153" s="400"/>
      <c r="E4153" s="400"/>
      <c r="F4153" s="400"/>
      <c r="G4153" s="400"/>
      <c r="H4153" s="396"/>
    </row>
    <row r="4154" spans="1:8" s="401" customFormat="1" ht="14.25" customHeight="1" x14ac:dyDescent="0.25">
      <c r="A4154" s="564">
        <v>4848</v>
      </c>
      <c r="B4154" s="562" t="s">
        <v>1000</v>
      </c>
      <c r="C4154" s="403">
        <v>1</v>
      </c>
      <c r="D4154" s="400"/>
      <c r="E4154" s="400"/>
      <c r="F4154" s="400"/>
      <c r="G4154" s="400"/>
      <c r="H4154" s="396"/>
    </row>
    <row r="4155" spans="1:8" s="401" customFormat="1" ht="14.25" customHeight="1" x14ac:dyDescent="0.25">
      <c r="A4155" s="564">
        <v>4849</v>
      </c>
      <c r="B4155" s="562" t="s">
        <v>1000</v>
      </c>
      <c r="C4155" s="403">
        <v>1</v>
      </c>
      <c r="D4155" s="400"/>
      <c r="E4155" s="400"/>
      <c r="F4155" s="400"/>
      <c r="G4155" s="400"/>
      <c r="H4155" s="396"/>
    </row>
    <row r="4156" spans="1:8" s="401" customFormat="1" ht="14.25" customHeight="1" x14ac:dyDescent="0.25">
      <c r="A4156" s="564">
        <v>4858</v>
      </c>
      <c r="B4156" s="562" t="s">
        <v>1000</v>
      </c>
      <c r="C4156" s="403">
        <v>1</v>
      </c>
      <c r="D4156" s="400"/>
      <c r="E4156" s="400"/>
      <c r="F4156" s="400"/>
      <c r="G4156" s="400"/>
      <c r="H4156" s="396"/>
    </row>
    <row r="4157" spans="1:8" s="401" customFormat="1" ht="14.25" customHeight="1" x14ac:dyDescent="0.25">
      <c r="A4157" s="564">
        <v>4860</v>
      </c>
      <c r="B4157" s="562" t="s">
        <v>1000</v>
      </c>
      <c r="C4157" s="403">
        <v>1</v>
      </c>
      <c r="D4157" s="400"/>
      <c r="E4157" s="400"/>
      <c r="F4157" s="400"/>
      <c r="G4157" s="400"/>
      <c r="H4157" s="396"/>
    </row>
    <row r="4158" spans="1:8" s="401" customFormat="1" ht="14.25" customHeight="1" x14ac:dyDescent="0.25">
      <c r="A4158" s="564">
        <v>4862</v>
      </c>
      <c r="B4158" s="562" t="s">
        <v>1000</v>
      </c>
      <c r="C4158" s="403">
        <v>1</v>
      </c>
      <c r="D4158" s="400"/>
      <c r="E4158" s="400"/>
      <c r="F4158" s="400"/>
      <c r="G4158" s="400"/>
      <c r="H4158" s="396"/>
    </row>
    <row r="4159" spans="1:8" s="401" customFormat="1" ht="14.25" customHeight="1" x14ac:dyDescent="0.25">
      <c r="A4159" s="564">
        <v>4865</v>
      </c>
      <c r="B4159" s="562" t="s">
        <v>1000</v>
      </c>
      <c r="C4159" s="403">
        <v>13570</v>
      </c>
      <c r="D4159" s="400"/>
      <c r="E4159" s="400"/>
      <c r="F4159" s="400"/>
      <c r="G4159" s="400"/>
      <c r="H4159" s="396"/>
    </row>
    <row r="4160" spans="1:8" s="401" customFormat="1" ht="14.25" customHeight="1" x14ac:dyDescent="0.25">
      <c r="A4160" s="564">
        <v>4747</v>
      </c>
      <c r="B4160" s="562" t="s">
        <v>1000</v>
      </c>
      <c r="C4160" s="403">
        <v>25999</v>
      </c>
      <c r="D4160" s="400"/>
      <c r="E4160" s="400"/>
      <c r="F4160" s="400"/>
      <c r="G4160" s="400"/>
      <c r="H4160" s="396"/>
    </row>
    <row r="4161" spans="1:8" s="401" customFormat="1" ht="14.25" customHeight="1" x14ac:dyDescent="0.25">
      <c r="A4161" s="564">
        <v>4753</v>
      </c>
      <c r="B4161" s="562" t="s">
        <v>1000</v>
      </c>
      <c r="C4161" s="403">
        <v>25999</v>
      </c>
      <c r="D4161" s="400"/>
      <c r="E4161" s="400"/>
      <c r="F4161" s="400"/>
      <c r="G4161" s="400"/>
      <c r="H4161" s="396"/>
    </row>
    <row r="4162" spans="1:8" s="401" customFormat="1" ht="14.25" customHeight="1" x14ac:dyDescent="0.25">
      <c r="A4162" s="564">
        <v>4754</v>
      </c>
      <c r="B4162" s="562" t="s">
        <v>1000</v>
      </c>
      <c r="C4162" s="403">
        <v>25999</v>
      </c>
      <c r="D4162" s="400"/>
      <c r="E4162" s="400"/>
      <c r="F4162" s="400"/>
      <c r="G4162" s="400"/>
      <c r="H4162" s="396"/>
    </row>
    <row r="4163" spans="1:8" s="401" customFormat="1" ht="14.25" customHeight="1" x14ac:dyDescent="0.25">
      <c r="A4163" s="564">
        <v>4757</v>
      </c>
      <c r="B4163" s="562" t="s">
        <v>1000</v>
      </c>
      <c r="C4163" s="403">
        <v>25998</v>
      </c>
      <c r="D4163" s="400"/>
      <c r="E4163" s="400"/>
      <c r="F4163" s="400"/>
      <c r="G4163" s="400"/>
      <c r="H4163" s="396"/>
    </row>
    <row r="4164" spans="1:8" s="401" customFormat="1" ht="14.25" customHeight="1" x14ac:dyDescent="0.25">
      <c r="A4164" s="564">
        <v>4759</v>
      </c>
      <c r="B4164" s="562" t="s">
        <v>1000</v>
      </c>
      <c r="C4164" s="403">
        <v>25999</v>
      </c>
      <c r="D4164" s="400"/>
      <c r="E4164" s="400"/>
      <c r="F4164" s="400"/>
      <c r="G4164" s="400"/>
      <c r="H4164" s="396"/>
    </row>
    <row r="4165" spans="1:8" s="401" customFormat="1" ht="14.25" customHeight="1" x14ac:dyDescent="0.25">
      <c r="A4165" s="564">
        <v>4762</v>
      </c>
      <c r="B4165" s="562" t="s">
        <v>1000</v>
      </c>
      <c r="C4165" s="403">
        <v>25999</v>
      </c>
      <c r="D4165" s="400"/>
      <c r="E4165" s="400"/>
      <c r="F4165" s="400"/>
      <c r="G4165" s="400"/>
      <c r="H4165" s="396"/>
    </row>
    <row r="4166" spans="1:8" s="401" customFormat="1" ht="14.25" customHeight="1" x14ac:dyDescent="0.25">
      <c r="A4166" s="564">
        <v>4739</v>
      </c>
      <c r="B4166" s="562" t="s">
        <v>1002</v>
      </c>
      <c r="C4166" s="403">
        <v>7083.7</v>
      </c>
      <c r="D4166" s="400"/>
      <c r="E4166" s="400"/>
      <c r="F4166" s="400"/>
      <c r="G4166" s="400"/>
      <c r="H4166" s="396"/>
    </row>
    <row r="4167" spans="1:8" s="401" customFormat="1" ht="14.25" customHeight="1" x14ac:dyDescent="0.25">
      <c r="A4167" s="564">
        <v>5012</v>
      </c>
      <c r="B4167" s="562" t="s">
        <v>1003</v>
      </c>
      <c r="C4167" s="403">
        <v>3500</v>
      </c>
      <c r="D4167" s="400"/>
      <c r="E4167" s="400"/>
      <c r="F4167" s="400"/>
      <c r="G4167" s="400"/>
      <c r="H4167" s="396"/>
    </row>
    <row r="4168" spans="1:8" s="401" customFormat="1" ht="14.25" customHeight="1" x14ac:dyDescent="0.25">
      <c r="A4168" s="564">
        <v>4917</v>
      </c>
      <c r="B4168" s="562" t="s">
        <v>1004</v>
      </c>
      <c r="C4168" s="403">
        <v>163538.03</v>
      </c>
      <c r="D4168" s="400"/>
      <c r="E4168" s="400"/>
      <c r="F4168" s="400"/>
      <c r="G4168" s="400"/>
      <c r="H4168" s="396"/>
    </row>
    <row r="4169" spans="1:8" s="401" customFormat="1" ht="14.25" customHeight="1" x14ac:dyDescent="0.25">
      <c r="A4169" s="564">
        <v>4266</v>
      </c>
      <c r="B4169" s="562" t="s">
        <v>1005</v>
      </c>
      <c r="C4169" s="403">
        <v>2012</v>
      </c>
      <c r="D4169" s="400"/>
      <c r="E4169" s="400"/>
      <c r="F4169" s="400"/>
      <c r="G4169" s="400"/>
      <c r="H4169" s="396"/>
    </row>
    <row r="4170" spans="1:8" s="401" customFormat="1" ht="14.25" customHeight="1" x14ac:dyDescent="0.25">
      <c r="A4170" s="564">
        <v>3630</v>
      </c>
      <c r="B4170" s="562" t="s">
        <v>1005</v>
      </c>
      <c r="C4170" s="403">
        <v>4243.58</v>
      </c>
      <c r="D4170" s="400"/>
      <c r="E4170" s="400"/>
      <c r="F4170" s="400"/>
      <c r="G4170" s="400"/>
      <c r="H4170" s="396"/>
    </row>
    <row r="4171" spans="1:8" s="401" customFormat="1" ht="14.25" customHeight="1" x14ac:dyDescent="0.25">
      <c r="A4171" s="564">
        <v>4414</v>
      </c>
      <c r="B4171" s="562" t="s">
        <v>1006</v>
      </c>
      <c r="C4171" s="403">
        <v>11606</v>
      </c>
      <c r="D4171" s="400"/>
      <c r="E4171" s="400"/>
      <c r="F4171" s="400"/>
      <c r="G4171" s="400"/>
      <c r="H4171" s="396"/>
    </row>
    <row r="4172" spans="1:8" s="401" customFormat="1" ht="14.25" customHeight="1" x14ac:dyDescent="0.25">
      <c r="A4172" s="564">
        <v>4415</v>
      </c>
      <c r="B4172" s="562" t="s">
        <v>1006</v>
      </c>
      <c r="C4172" s="403">
        <v>11606</v>
      </c>
      <c r="D4172" s="400"/>
      <c r="E4172" s="400"/>
      <c r="F4172" s="400"/>
      <c r="G4172" s="400"/>
      <c r="H4172" s="396"/>
    </row>
    <row r="4173" spans="1:8" s="401" customFormat="1" ht="14.25" customHeight="1" x14ac:dyDescent="0.25">
      <c r="A4173" s="564">
        <v>4417</v>
      </c>
      <c r="B4173" s="562" t="s">
        <v>1006</v>
      </c>
      <c r="C4173" s="403">
        <v>11606</v>
      </c>
      <c r="D4173" s="400"/>
      <c r="E4173" s="400"/>
      <c r="F4173" s="400"/>
      <c r="G4173" s="400"/>
      <c r="H4173" s="396"/>
    </row>
    <row r="4174" spans="1:8" s="401" customFormat="1" ht="14.25" customHeight="1" x14ac:dyDescent="0.25">
      <c r="A4174" s="564">
        <v>4419</v>
      </c>
      <c r="B4174" s="562" t="s">
        <v>1006</v>
      </c>
      <c r="C4174" s="403">
        <v>11606</v>
      </c>
      <c r="D4174" s="400"/>
      <c r="E4174" s="400"/>
      <c r="F4174" s="400"/>
      <c r="G4174" s="400"/>
      <c r="H4174" s="396"/>
    </row>
    <row r="4175" spans="1:8" s="401" customFormat="1" ht="14.25" customHeight="1" x14ac:dyDescent="0.25">
      <c r="A4175" s="564">
        <v>4421</v>
      </c>
      <c r="B4175" s="562" t="s">
        <v>1006</v>
      </c>
      <c r="C4175" s="403">
        <v>11606</v>
      </c>
      <c r="D4175" s="400"/>
      <c r="E4175" s="400"/>
      <c r="F4175" s="400"/>
      <c r="G4175" s="400"/>
      <c r="H4175" s="396"/>
    </row>
    <row r="4176" spans="1:8" s="401" customFormat="1" ht="14.25" customHeight="1" x14ac:dyDescent="0.25">
      <c r="A4176" s="564">
        <v>4214</v>
      </c>
      <c r="B4176" s="562" t="s">
        <v>1006</v>
      </c>
      <c r="C4176" s="403">
        <v>9275.7199999999993</v>
      </c>
      <c r="D4176" s="400"/>
      <c r="E4176" s="400"/>
      <c r="F4176" s="400"/>
      <c r="G4176" s="400"/>
      <c r="H4176" s="396"/>
    </row>
    <row r="4177" spans="1:8" s="401" customFormat="1" ht="14.25" customHeight="1" x14ac:dyDescent="0.25">
      <c r="A4177" s="564">
        <v>4949</v>
      </c>
      <c r="B4177" s="562" t="s">
        <v>1007</v>
      </c>
      <c r="C4177" s="403">
        <v>7800</v>
      </c>
      <c r="D4177" s="400"/>
      <c r="E4177" s="400"/>
      <c r="F4177" s="400"/>
      <c r="G4177" s="400"/>
      <c r="H4177" s="396"/>
    </row>
    <row r="4178" spans="1:8" s="401" customFormat="1" ht="14.25" customHeight="1" x14ac:dyDescent="0.25">
      <c r="A4178" s="564">
        <v>4950</v>
      </c>
      <c r="B4178" s="562" t="s">
        <v>1008</v>
      </c>
      <c r="C4178" s="403">
        <v>3500</v>
      </c>
      <c r="D4178" s="400"/>
      <c r="E4178" s="400"/>
      <c r="F4178" s="400"/>
      <c r="G4178" s="400"/>
      <c r="H4178" s="396"/>
    </row>
    <row r="4179" spans="1:8" s="401" customFormat="1" ht="14.25" customHeight="1" x14ac:dyDescent="0.25">
      <c r="A4179" s="564">
        <v>4952</v>
      </c>
      <c r="B4179" s="562" t="s">
        <v>1008</v>
      </c>
      <c r="C4179" s="403">
        <v>3500</v>
      </c>
      <c r="D4179" s="400"/>
      <c r="E4179" s="400"/>
      <c r="F4179" s="400"/>
      <c r="G4179" s="400"/>
      <c r="H4179" s="396"/>
    </row>
    <row r="4180" spans="1:8" s="401" customFormat="1" ht="14.25" customHeight="1" x14ac:dyDescent="0.25">
      <c r="A4180" s="564">
        <v>4955</v>
      </c>
      <c r="B4180" s="562" t="s">
        <v>1008</v>
      </c>
      <c r="C4180" s="403">
        <v>3500</v>
      </c>
      <c r="D4180" s="400"/>
      <c r="E4180" s="400"/>
      <c r="F4180" s="400"/>
      <c r="G4180" s="400"/>
      <c r="H4180" s="396"/>
    </row>
    <row r="4181" spans="1:8" s="401" customFormat="1" ht="14.25" customHeight="1" x14ac:dyDescent="0.25">
      <c r="A4181" s="564">
        <v>110</v>
      </c>
      <c r="B4181" s="562" t="s">
        <v>1009</v>
      </c>
      <c r="C4181" s="403">
        <v>2185</v>
      </c>
      <c r="D4181" s="400"/>
      <c r="E4181" s="400"/>
      <c r="F4181" s="400"/>
      <c r="G4181" s="400"/>
      <c r="H4181" s="396"/>
    </row>
    <row r="4182" spans="1:8" s="401" customFormat="1" ht="14.25" customHeight="1" x14ac:dyDescent="0.25">
      <c r="A4182" s="564">
        <v>104</v>
      </c>
      <c r="B4182" s="562" t="s">
        <v>1007</v>
      </c>
      <c r="C4182" s="403">
        <v>7073</v>
      </c>
      <c r="D4182" s="400"/>
      <c r="E4182" s="400"/>
      <c r="F4182" s="400"/>
      <c r="G4182" s="400"/>
      <c r="H4182" s="396"/>
    </row>
    <row r="4183" spans="1:8" s="401" customFormat="1" ht="14.25" customHeight="1" x14ac:dyDescent="0.25">
      <c r="A4183" s="564">
        <v>305</v>
      </c>
      <c r="B4183" s="562" t="s">
        <v>1007</v>
      </c>
      <c r="C4183" s="403">
        <v>1</v>
      </c>
      <c r="D4183" s="400"/>
      <c r="E4183" s="400"/>
      <c r="F4183" s="400"/>
      <c r="G4183" s="400"/>
      <c r="H4183" s="396"/>
    </row>
    <row r="4184" spans="1:8" s="401" customFormat="1" ht="14.25" customHeight="1" x14ac:dyDescent="0.25">
      <c r="A4184" s="564">
        <v>315</v>
      </c>
      <c r="B4184" s="562" t="s">
        <v>1007</v>
      </c>
      <c r="C4184" s="403">
        <v>1</v>
      </c>
      <c r="D4184" s="400"/>
      <c r="E4184" s="400"/>
      <c r="F4184" s="400"/>
      <c r="G4184" s="400"/>
      <c r="H4184" s="396"/>
    </row>
    <row r="4185" spans="1:8" s="401" customFormat="1" ht="14.25" customHeight="1" x14ac:dyDescent="0.25">
      <c r="A4185" s="564">
        <v>296</v>
      </c>
      <c r="B4185" s="562" t="s">
        <v>1007</v>
      </c>
      <c r="C4185" s="403">
        <v>5577</v>
      </c>
      <c r="D4185" s="400"/>
      <c r="E4185" s="400"/>
      <c r="F4185" s="400"/>
      <c r="G4185" s="400"/>
      <c r="H4185" s="396"/>
    </row>
    <row r="4186" spans="1:8" s="401" customFormat="1" ht="14.25" customHeight="1" x14ac:dyDescent="0.25">
      <c r="A4186" s="564">
        <v>3668</v>
      </c>
      <c r="B4186" s="562" t="s">
        <v>1007</v>
      </c>
      <c r="C4186" s="403">
        <v>8999</v>
      </c>
      <c r="D4186" s="400"/>
      <c r="E4186" s="400"/>
      <c r="F4186" s="400"/>
      <c r="G4186" s="400"/>
      <c r="H4186" s="396"/>
    </row>
    <row r="4187" spans="1:8" s="401" customFormat="1" ht="14.25" customHeight="1" x14ac:dyDescent="0.25">
      <c r="A4187" s="564">
        <v>523</v>
      </c>
      <c r="B4187" s="562" t="s">
        <v>1007</v>
      </c>
      <c r="C4187" s="403">
        <v>11385</v>
      </c>
      <c r="D4187" s="400"/>
      <c r="E4187" s="400"/>
      <c r="F4187" s="400"/>
      <c r="G4187" s="400"/>
      <c r="H4187" s="396"/>
    </row>
    <row r="4188" spans="1:8" s="401" customFormat="1" ht="14.25" customHeight="1" x14ac:dyDescent="0.25">
      <c r="A4188" s="564">
        <v>525</v>
      </c>
      <c r="B4188" s="562" t="s">
        <v>1010</v>
      </c>
      <c r="C4188" s="403">
        <v>3445</v>
      </c>
      <c r="D4188" s="400"/>
      <c r="E4188" s="400"/>
      <c r="F4188" s="400"/>
      <c r="G4188" s="400"/>
      <c r="H4188" s="396"/>
    </row>
    <row r="4189" spans="1:8" s="401" customFormat="1" ht="14.25" customHeight="1" x14ac:dyDescent="0.25">
      <c r="A4189" s="564">
        <v>531</v>
      </c>
      <c r="B4189" s="562" t="s">
        <v>1007</v>
      </c>
      <c r="C4189" s="403">
        <v>1</v>
      </c>
      <c r="D4189" s="400"/>
      <c r="E4189" s="400"/>
      <c r="F4189" s="400"/>
      <c r="G4189" s="400"/>
      <c r="H4189" s="396"/>
    </row>
    <row r="4190" spans="1:8" s="401" customFormat="1" ht="14.25" customHeight="1" x14ac:dyDescent="0.25">
      <c r="A4190" s="564">
        <v>1448</v>
      </c>
      <c r="B4190" s="562" t="s">
        <v>1007</v>
      </c>
      <c r="C4190" s="403">
        <v>1</v>
      </c>
      <c r="D4190" s="400"/>
      <c r="E4190" s="400"/>
      <c r="F4190" s="400"/>
      <c r="G4190" s="400"/>
      <c r="H4190" s="396"/>
    </row>
    <row r="4191" spans="1:8" s="401" customFormat="1" ht="14.25" customHeight="1" x14ac:dyDescent="0.25">
      <c r="A4191" s="564">
        <v>1586</v>
      </c>
      <c r="B4191" s="562" t="s">
        <v>1007</v>
      </c>
      <c r="C4191" s="403">
        <v>6549</v>
      </c>
      <c r="D4191" s="400"/>
      <c r="E4191" s="400"/>
      <c r="F4191" s="400"/>
      <c r="G4191" s="400"/>
      <c r="H4191" s="396"/>
    </row>
    <row r="4192" spans="1:8" s="401" customFormat="1" ht="14.25" customHeight="1" x14ac:dyDescent="0.25">
      <c r="A4192" s="564">
        <v>994</v>
      </c>
      <c r="B4192" s="562" t="s">
        <v>1007</v>
      </c>
      <c r="C4192" s="403">
        <v>8033</v>
      </c>
      <c r="D4192" s="400"/>
      <c r="E4192" s="400"/>
      <c r="F4192" s="400"/>
      <c r="G4192" s="400"/>
      <c r="H4192" s="396"/>
    </row>
    <row r="4193" spans="1:8" s="401" customFormat="1" ht="14.25" customHeight="1" x14ac:dyDescent="0.25">
      <c r="A4193" s="564">
        <v>1213</v>
      </c>
      <c r="B4193" s="562" t="s">
        <v>1007</v>
      </c>
      <c r="C4193" s="403">
        <v>18500</v>
      </c>
      <c r="D4193" s="400"/>
      <c r="E4193" s="400"/>
      <c r="F4193" s="400"/>
      <c r="G4193" s="400"/>
      <c r="H4193" s="396"/>
    </row>
    <row r="4194" spans="1:8" s="401" customFormat="1" ht="14.25" customHeight="1" x14ac:dyDescent="0.25">
      <c r="A4194" s="564">
        <v>1567</v>
      </c>
      <c r="B4194" s="562" t="s">
        <v>1007</v>
      </c>
      <c r="C4194" s="403">
        <v>1</v>
      </c>
      <c r="D4194" s="400"/>
      <c r="E4194" s="400"/>
      <c r="F4194" s="400"/>
      <c r="G4194" s="400"/>
      <c r="H4194" s="396"/>
    </row>
    <row r="4195" spans="1:8" s="401" customFormat="1" ht="14.25" customHeight="1" x14ac:dyDescent="0.25">
      <c r="A4195" s="564">
        <v>2046</v>
      </c>
      <c r="B4195" s="562" t="s">
        <v>1007</v>
      </c>
      <c r="C4195" s="403">
        <v>1</v>
      </c>
      <c r="D4195" s="400"/>
      <c r="E4195" s="400"/>
      <c r="F4195" s="400"/>
      <c r="G4195" s="400"/>
      <c r="H4195" s="396"/>
    </row>
    <row r="4196" spans="1:8" s="401" customFormat="1" ht="14.25" customHeight="1" x14ac:dyDescent="0.25">
      <c r="A4196" s="564">
        <v>2057</v>
      </c>
      <c r="B4196" s="562" t="s">
        <v>1010</v>
      </c>
      <c r="C4196" s="403">
        <v>2890</v>
      </c>
      <c r="D4196" s="400"/>
      <c r="E4196" s="400"/>
      <c r="F4196" s="400"/>
      <c r="G4196" s="400"/>
      <c r="H4196" s="396"/>
    </row>
    <row r="4197" spans="1:8" s="401" customFormat="1" ht="14.25" customHeight="1" x14ac:dyDescent="0.25">
      <c r="A4197" s="564">
        <v>2141</v>
      </c>
      <c r="B4197" s="562" t="s">
        <v>1007</v>
      </c>
      <c r="C4197" s="403">
        <v>18480</v>
      </c>
      <c r="D4197" s="400"/>
      <c r="E4197" s="400"/>
      <c r="F4197" s="400"/>
      <c r="G4197" s="400"/>
      <c r="H4197" s="396"/>
    </row>
    <row r="4198" spans="1:8" s="401" customFormat="1" ht="14.25" customHeight="1" x14ac:dyDescent="0.25">
      <c r="A4198" s="564">
        <v>2184</v>
      </c>
      <c r="B4198" s="562" t="s">
        <v>1007</v>
      </c>
      <c r="C4198" s="403">
        <v>6450</v>
      </c>
      <c r="D4198" s="400"/>
      <c r="E4198" s="400"/>
      <c r="F4198" s="400"/>
      <c r="G4198" s="400"/>
      <c r="H4198" s="396"/>
    </row>
    <row r="4199" spans="1:8" s="401" customFormat="1" ht="14.25" customHeight="1" x14ac:dyDescent="0.25">
      <c r="A4199" s="564">
        <v>2187</v>
      </c>
      <c r="B4199" s="562" t="s">
        <v>1007</v>
      </c>
      <c r="C4199" s="403">
        <v>9850</v>
      </c>
      <c r="D4199" s="400"/>
      <c r="E4199" s="400"/>
      <c r="F4199" s="400"/>
      <c r="G4199" s="400"/>
      <c r="H4199" s="396"/>
    </row>
    <row r="4200" spans="1:8" s="401" customFormat="1" ht="14.25" customHeight="1" x14ac:dyDescent="0.25">
      <c r="A4200" s="564">
        <v>2387</v>
      </c>
      <c r="B4200" s="562" t="s">
        <v>1010</v>
      </c>
      <c r="C4200" s="403">
        <v>3713</v>
      </c>
      <c r="D4200" s="400"/>
      <c r="E4200" s="400"/>
      <c r="F4200" s="400"/>
      <c r="G4200" s="400"/>
      <c r="H4200" s="396"/>
    </row>
    <row r="4201" spans="1:8" s="401" customFormat="1" ht="14.25" customHeight="1" x14ac:dyDescent="0.25">
      <c r="A4201" s="564">
        <v>3300</v>
      </c>
      <c r="B4201" s="562" t="s">
        <v>1007</v>
      </c>
      <c r="C4201" s="403">
        <v>6899</v>
      </c>
      <c r="D4201" s="400"/>
      <c r="E4201" s="400"/>
      <c r="F4201" s="400"/>
      <c r="G4201" s="400"/>
      <c r="H4201" s="396"/>
    </row>
    <row r="4202" spans="1:8" s="401" customFormat="1" ht="14.25" customHeight="1" x14ac:dyDescent="0.25">
      <c r="A4202" s="564">
        <v>2563</v>
      </c>
      <c r="B4202" s="562" t="s">
        <v>1009</v>
      </c>
      <c r="C4202" s="403">
        <v>3278</v>
      </c>
      <c r="D4202" s="400"/>
      <c r="E4202" s="400"/>
      <c r="F4202" s="400"/>
      <c r="G4202" s="400"/>
      <c r="H4202" s="396"/>
    </row>
    <row r="4203" spans="1:8" s="401" customFormat="1" ht="14.25" customHeight="1" x14ac:dyDescent="0.25">
      <c r="A4203" s="564">
        <v>251</v>
      </c>
      <c r="B4203" s="562" t="s">
        <v>1007</v>
      </c>
      <c r="C4203" s="403">
        <v>56454</v>
      </c>
      <c r="D4203" s="400"/>
      <c r="E4203" s="400"/>
      <c r="F4203" s="400"/>
      <c r="G4203" s="400"/>
      <c r="H4203" s="396"/>
    </row>
    <row r="4204" spans="1:8" s="401" customFormat="1" ht="14.25" customHeight="1" x14ac:dyDescent="0.25">
      <c r="A4204" s="564">
        <v>253</v>
      </c>
      <c r="B4204" s="562" t="s">
        <v>1009</v>
      </c>
      <c r="C4204" s="403">
        <v>3138</v>
      </c>
      <c r="D4204" s="400"/>
      <c r="E4204" s="400"/>
      <c r="F4204" s="400"/>
      <c r="G4204" s="400"/>
      <c r="H4204" s="396"/>
    </row>
    <row r="4205" spans="1:8" s="401" customFormat="1" ht="14.25" customHeight="1" x14ac:dyDescent="0.25">
      <c r="A4205" s="564">
        <v>257</v>
      </c>
      <c r="B4205" s="562" t="s">
        <v>1010</v>
      </c>
      <c r="C4205" s="403">
        <v>4261</v>
      </c>
      <c r="D4205" s="400"/>
      <c r="E4205" s="400"/>
      <c r="F4205" s="400"/>
      <c r="G4205" s="400"/>
      <c r="H4205" s="396"/>
    </row>
    <row r="4206" spans="1:8" s="401" customFormat="1" ht="14.25" customHeight="1" x14ac:dyDescent="0.25">
      <c r="A4206" s="564">
        <v>355</v>
      </c>
      <c r="B4206" s="562" t="s">
        <v>1007</v>
      </c>
      <c r="C4206" s="403">
        <v>1</v>
      </c>
      <c r="D4206" s="400"/>
      <c r="E4206" s="400"/>
      <c r="F4206" s="400"/>
      <c r="G4206" s="400"/>
      <c r="H4206" s="396"/>
    </row>
    <row r="4207" spans="1:8" s="401" customFormat="1" ht="14.25" customHeight="1" x14ac:dyDescent="0.25">
      <c r="A4207" s="564">
        <v>359</v>
      </c>
      <c r="B4207" s="562" t="s">
        <v>1007</v>
      </c>
      <c r="C4207" s="403">
        <v>1</v>
      </c>
      <c r="D4207" s="400"/>
      <c r="E4207" s="400"/>
      <c r="F4207" s="400"/>
      <c r="G4207" s="400"/>
      <c r="H4207" s="396"/>
    </row>
    <row r="4208" spans="1:8" s="401" customFormat="1" ht="14.25" customHeight="1" x14ac:dyDescent="0.25">
      <c r="A4208" s="564">
        <v>404</v>
      </c>
      <c r="B4208" s="562" t="s">
        <v>1007</v>
      </c>
      <c r="C4208" s="403">
        <v>1</v>
      </c>
      <c r="D4208" s="400"/>
      <c r="E4208" s="400"/>
      <c r="F4208" s="400"/>
      <c r="G4208" s="400"/>
      <c r="H4208" s="396"/>
    </row>
    <row r="4209" spans="1:8" s="401" customFormat="1" ht="14.25" customHeight="1" x14ac:dyDescent="0.25">
      <c r="A4209" s="564">
        <v>412</v>
      </c>
      <c r="B4209" s="562" t="s">
        <v>1007</v>
      </c>
      <c r="C4209" s="403">
        <v>1</v>
      </c>
      <c r="D4209" s="400"/>
      <c r="E4209" s="400"/>
      <c r="F4209" s="400"/>
      <c r="G4209" s="400"/>
      <c r="H4209" s="396"/>
    </row>
    <row r="4210" spans="1:8" s="401" customFormat="1" ht="14.25" customHeight="1" x14ac:dyDescent="0.25">
      <c r="A4210" s="564">
        <v>446</v>
      </c>
      <c r="B4210" s="562" t="s">
        <v>1007</v>
      </c>
      <c r="C4210" s="403">
        <v>1</v>
      </c>
      <c r="D4210" s="400"/>
      <c r="E4210" s="400"/>
      <c r="F4210" s="400"/>
      <c r="G4210" s="400"/>
      <c r="H4210" s="396"/>
    </row>
    <row r="4211" spans="1:8" s="401" customFormat="1" ht="14.25" customHeight="1" x14ac:dyDescent="0.25">
      <c r="A4211" s="564">
        <v>449</v>
      </c>
      <c r="B4211" s="562" t="s">
        <v>1007</v>
      </c>
      <c r="C4211" s="403">
        <v>1</v>
      </c>
      <c r="D4211" s="400"/>
      <c r="E4211" s="400"/>
      <c r="F4211" s="400"/>
      <c r="G4211" s="400"/>
      <c r="H4211" s="396"/>
    </row>
    <row r="4212" spans="1:8" s="401" customFormat="1" ht="14.25" customHeight="1" x14ac:dyDescent="0.25">
      <c r="A4212" s="564">
        <v>542</v>
      </c>
      <c r="B4212" s="562" t="s">
        <v>1007</v>
      </c>
      <c r="C4212" s="403">
        <v>1</v>
      </c>
      <c r="D4212" s="400"/>
      <c r="E4212" s="400"/>
      <c r="F4212" s="400"/>
      <c r="G4212" s="400"/>
      <c r="H4212" s="396"/>
    </row>
    <row r="4213" spans="1:8" s="401" customFormat="1" ht="14.25" customHeight="1" x14ac:dyDescent="0.25">
      <c r="A4213" s="564">
        <v>683</v>
      </c>
      <c r="B4213" s="562" t="s">
        <v>1007</v>
      </c>
      <c r="C4213" s="403">
        <v>4999</v>
      </c>
      <c r="D4213" s="400"/>
      <c r="E4213" s="400"/>
      <c r="F4213" s="400"/>
      <c r="G4213" s="400"/>
      <c r="H4213" s="396"/>
    </row>
    <row r="4214" spans="1:8" s="401" customFormat="1" ht="14.25" customHeight="1" x14ac:dyDescent="0.25">
      <c r="A4214" s="564">
        <v>699</v>
      </c>
      <c r="B4214" s="562" t="s">
        <v>1007</v>
      </c>
      <c r="C4214" s="403">
        <v>1</v>
      </c>
      <c r="D4214" s="400"/>
      <c r="E4214" s="400"/>
      <c r="F4214" s="400"/>
      <c r="G4214" s="400"/>
      <c r="H4214" s="396"/>
    </row>
    <row r="4215" spans="1:8" s="401" customFormat="1" ht="14.25" customHeight="1" x14ac:dyDescent="0.25">
      <c r="A4215" s="564">
        <v>744</v>
      </c>
      <c r="B4215" s="562" t="s">
        <v>1007</v>
      </c>
      <c r="C4215" s="403">
        <v>10733</v>
      </c>
      <c r="D4215" s="400"/>
      <c r="E4215" s="400"/>
      <c r="F4215" s="400"/>
      <c r="G4215" s="400"/>
      <c r="H4215" s="396"/>
    </row>
    <row r="4216" spans="1:8" s="401" customFormat="1" ht="14.25" customHeight="1" x14ac:dyDescent="0.25">
      <c r="A4216" s="564">
        <v>858</v>
      </c>
      <c r="B4216" s="562" t="s">
        <v>1007</v>
      </c>
      <c r="C4216" s="403">
        <v>1</v>
      </c>
      <c r="D4216" s="400"/>
      <c r="E4216" s="400"/>
      <c r="F4216" s="400"/>
      <c r="G4216" s="400"/>
      <c r="H4216" s="396"/>
    </row>
    <row r="4217" spans="1:8" s="401" customFormat="1" ht="14.25" customHeight="1" x14ac:dyDescent="0.25">
      <c r="A4217" s="564">
        <v>898</v>
      </c>
      <c r="B4217" s="562" t="s">
        <v>1010</v>
      </c>
      <c r="C4217" s="403">
        <v>4475</v>
      </c>
      <c r="D4217" s="400"/>
      <c r="E4217" s="400"/>
      <c r="F4217" s="400"/>
      <c r="G4217" s="400"/>
      <c r="H4217" s="396"/>
    </row>
    <row r="4218" spans="1:8" s="401" customFormat="1" ht="14.25" customHeight="1" x14ac:dyDescent="0.25">
      <c r="A4218" s="564">
        <v>931</v>
      </c>
      <c r="B4218" s="562" t="s">
        <v>1007</v>
      </c>
      <c r="C4218" s="403">
        <v>1</v>
      </c>
      <c r="D4218" s="400"/>
      <c r="E4218" s="400"/>
      <c r="F4218" s="400"/>
      <c r="G4218" s="400"/>
      <c r="H4218" s="396"/>
    </row>
    <row r="4219" spans="1:8" s="401" customFormat="1" ht="14.25" customHeight="1" x14ac:dyDescent="0.25">
      <c r="A4219" s="564">
        <v>1143</v>
      </c>
      <c r="B4219" s="562" t="s">
        <v>1007</v>
      </c>
      <c r="C4219" s="403">
        <v>6190</v>
      </c>
      <c r="D4219" s="400"/>
      <c r="E4219" s="400"/>
      <c r="F4219" s="400"/>
      <c r="G4219" s="400"/>
      <c r="H4219" s="396"/>
    </row>
    <row r="4220" spans="1:8" s="401" customFormat="1" ht="14.25" customHeight="1" x14ac:dyDescent="0.25">
      <c r="A4220" s="564">
        <v>1696</v>
      </c>
      <c r="B4220" s="562" t="s">
        <v>1009</v>
      </c>
      <c r="C4220" s="403">
        <v>2460</v>
      </c>
      <c r="D4220" s="400"/>
      <c r="E4220" s="400"/>
      <c r="F4220" s="400"/>
      <c r="G4220" s="400"/>
      <c r="H4220" s="396"/>
    </row>
    <row r="4221" spans="1:8" s="401" customFormat="1" ht="14.25" customHeight="1" x14ac:dyDescent="0.25">
      <c r="A4221" s="564">
        <v>712</v>
      </c>
      <c r="B4221" s="562" t="s">
        <v>1007</v>
      </c>
      <c r="C4221" s="403">
        <v>1</v>
      </c>
      <c r="D4221" s="400"/>
      <c r="E4221" s="400"/>
      <c r="F4221" s="400"/>
      <c r="G4221" s="400"/>
      <c r="H4221" s="396"/>
    </row>
    <row r="4222" spans="1:8" s="401" customFormat="1" ht="14.25" customHeight="1" x14ac:dyDescent="0.25">
      <c r="A4222" s="564">
        <v>766</v>
      </c>
      <c r="B4222" s="562" t="s">
        <v>1010</v>
      </c>
      <c r="C4222" s="403">
        <v>2648</v>
      </c>
      <c r="D4222" s="400"/>
      <c r="E4222" s="400"/>
      <c r="F4222" s="400"/>
      <c r="G4222" s="400"/>
      <c r="H4222" s="396"/>
    </row>
    <row r="4223" spans="1:8" s="401" customFormat="1" ht="14.25" customHeight="1" x14ac:dyDescent="0.25">
      <c r="A4223" s="564">
        <v>1038</v>
      </c>
      <c r="B4223" s="562" t="s">
        <v>1009</v>
      </c>
      <c r="C4223" s="403">
        <v>2588</v>
      </c>
      <c r="D4223" s="400"/>
      <c r="E4223" s="400"/>
      <c r="F4223" s="400"/>
      <c r="G4223" s="400"/>
      <c r="H4223" s="396"/>
    </row>
    <row r="4224" spans="1:8" s="401" customFormat="1" ht="14.25" customHeight="1" x14ac:dyDescent="0.25">
      <c r="A4224" s="564">
        <v>1786</v>
      </c>
      <c r="B4224" s="562" t="s">
        <v>1007</v>
      </c>
      <c r="C4224" s="403">
        <v>16747</v>
      </c>
      <c r="D4224" s="400"/>
      <c r="E4224" s="400"/>
      <c r="F4224" s="400"/>
      <c r="G4224" s="400"/>
      <c r="H4224" s="396"/>
    </row>
    <row r="4225" spans="1:8" s="401" customFormat="1" ht="14.25" customHeight="1" x14ac:dyDescent="0.25">
      <c r="A4225" s="564">
        <v>1443</v>
      </c>
      <c r="B4225" s="562" t="s">
        <v>1007</v>
      </c>
      <c r="C4225" s="403">
        <v>17980</v>
      </c>
      <c r="D4225" s="400"/>
      <c r="E4225" s="400"/>
      <c r="F4225" s="400"/>
      <c r="G4225" s="400"/>
      <c r="H4225" s="396"/>
    </row>
    <row r="4226" spans="1:8" s="401" customFormat="1" ht="14.25" customHeight="1" x14ac:dyDescent="0.25">
      <c r="A4226" s="564">
        <v>1508</v>
      </c>
      <c r="B4226" s="562" t="s">
        <v>1009</v>
      </c>
      <c r="C4226" s="403">
        <v>2645</v>
      </c>
      <c r="D4226" s="400"/>
      <c r="E4226" s="400"/>
      <c r="F4226" s="400"/>
      <c r="G4226" s="400"/>
      <c r="H4226" s="396"/>
    </row>
    <row r="4227" spans="1:8" s="401" customFormat="1" ht="14.25" customHeight="1" x14ac:dyDescent="0.25">
      <c r="A4227" s="564">
        <v>1598</v>
      </c>
      <c r="B4227" s="562" t="s">
        <v>1007</v>
      </c>
      <c r="C4227" s="403">
        <v>1</v>
      </c>
      <c r="D4227" s="400"/>
      <c r="E4227" s="400"/>
      <c r="F4227" s="400"/>
      <c r="G4227" s="400"/>
      <c r="H4227" s="396"/>
    </row>
    <row r="4228" spans="1:8" s="401" customFormat="1" ht="14.25" customHeight="1" x14ac:dyDescent="0.25">
      <c r="A4228" s="564">
        <v>1599</v>
      </c>
      <c r="B4228" s="562" t="s">
        <v>1007</v>
      </c>
      <c r="C4228" s="403">
        <v>1</v>
      </c>
      <c r="D4228" s="400"/>
      <c r="E4228" s="400"/>
      <c r="F4228" s="400"/>
      <c r="G4228" s="400"/>
      <c r="H4228" s="396"/>
    </row>
    <row r="4229" spans="1:8" s="401" customFormat="1" ht="14.25" customHeight="1" x14ac:dyDescent="0.25">
      <c r="A4229" s="564">
        <v>1112</v>
      </c>
      <c r="B4229" s="562" t="s">
        <v>1007</v>
      </c>
      <c r="C4229" s="403">
        <v>15134</v>
      </c>
      <c r="D4229" s="400"/>
      <c r="E4229" s="400"/>
      <c r="F4229" s="400"/>
      <c r="G4229" s="400"/>
      <c r="H4229" s="396"/>
    </row>
    <row r="4230" spans="1:8" s="401" customFormat="1" ht="14.25" customHeight="1" x14ac:dyDescent="0.25">
      <c r="A4230" s="564">
        <v>1351</v>
      </c>
      <c r="B4230" s="562" t="s">
        <v>1007</v>
      </c>
      <c r="C4230" s="403">
        <v>15134</v>
      </c>
      <c r="D4230" s="400"/>
      <c r="E4230" s="400"/>
      <c r="F4230" s="400"/>
      <c r="G4230" s="400"/>
      <c r="H4230" s="396"/>
    </row>
    <row r="4231" spans="1:8" s="401" customFormat="1" ht="14.25" customHeight="1" x14ac:dyDescent="0.25">
      <c r="A4231" s="564">
        <v>1361</v>
      </c>
      <c r="B4231" s="562" t="s">
        <v>1009</v>
      </c>
      <c r="C4231" s="403">
        <v>1</v>
      </c>
      <c r="D4231" s="400"/>
      <c r="E4231" s="400"/>
      <c r="F4231" s="400"/>
      <c r="G4231" s="400"/>
      <c r="H4231" s="396"/>
    </row>
    <row r="4232" spans="1:8" s="401" customFormat="1" ht="14.25" customHeight="1" x14ac:dyDescent="0.25">
      <c r="A4232" s="564">
        <v>1572</v>
      </c>
      <c r="B4232" s="562" t="s">
        <v>1007</v>
      </c>
      <c r="C4232" s="403">
        <v>1</v>
      </c>
      <c r="D4232" s="400"/>
      <c r="E4232" s="400"/>
      <c r="F4232" s="400"/>
      <c r="G4232" s="400"/>
      <c r="H4232" s="396"/>
    </row>
    <row r="4233" spans="1:8" s="401" customFormat="1" ht="14.25" customHeight="1" x14ac:dyDescent="0.25">
      <c r="A4233" s="564">
        <v>5119</v>
      </c>
      <c r="B4233" s="562" t="s">
        <v>1007</v>
      </c>
      <c r="C4233" s="403">
        <v>7435</v>
      </c>
      <c r="D4233" s="400"/>
      <c r="E4233" s="400"/>
      <c r="F4233" s="400"/>
      <c r="G4233" s="400"/>
      <c r="H4233" s="396"/>
    </row>
    <row r="4234" spans="1:8" s="401" customFormat="1" ht="14.25" customHeight="1" x14ac:dyDescent="0.25">
      <c r="A4234" s="564">
        <v>2247</v>
      </c>
      <c r="B4234" s="562" t="s">
        <v>1010</v>
      </c>
      <c r="C4234" s="403">
        <v>3370</v>
      </c>
      <c r="D4234" s="400"/>
      <c r="E4234" s="400"/>
      <c r="F4234" s="400"/>
      <c r="G4234" s="400"/>
      <c r="H4234" s="396"/>
    </row>
    <row r="4235" spans="1:8" s="401" customFormat="1" ht="14.25" customHeight="1" x14ac:dyDescent="0.25">
      <c r="A4235" s="564">
        <v>2379</v>
      </c>
      <c r="B4235" s="562" t="s">
        <v>1010</v>
      </c>
      <c r="C4235" s="403">
        <v>2350</v>
      </c>
      <c r="D4235" s="400"/>
      <c r="E4235" s="400"/>
      <c r="F4235" s="400"/>
      <c r="G4235" s="400"/>
      <c r="H4235" s="396"/>
    </row>
    <row r="4236" spans="1:8" s="401" customFormat="1" ht="14.25" customHeight="1" x14ac:dyDescent="0.25">
      <c r="A4236" s="564">
        <v>2968</v>
      </c>
      <c r="B4236" s="562" t="s">
        <v>1007</v>
      </c>
      <c r="C4236" s="403">
        <v>7049.32</v>
      </c>
      <c r="D4236" s="400"/>
      <c r="E4236" s="400"/>
      <c r="F4236" s="400"/>
      <c r="G4236" s="400"/>
      <c r="H4236" s="396"/>
    </row>
    <row r="4237" spans="1:8" s="401" customFormat="1" ht="14.25" customHeight="1" x14ac:dyDescent="0.25">
      <c r="A4237" s="564">
        <v>3160</v>
      </c>
      <c r="B4237" s="562" t="s">
        <v>1007</v>
      </c>
      <c r="C4237" s="403">
        <v>18000</v>
      </c>
      <c r="D4237" s="400"/>
      <c r="E4237" s="400"/>
      <c r="F4237" s="400"/>
      <c r="G4237" s="400"/>
      <c r="H4237" s="396"/>
    </row>
    <row r="4238" spans="1:8" s="401" customFormat="1" ht="14.25" customHeight="1" x14ac:dyDescent="0.25">
      <c r="A4238" s="564">
        <v>3162</v>
      </c>
      <c r="B4238" s="562" t="s">
        <v>1007</v>
      </c>
      <c r="C4238" s="403">
        <v>20276</v>
      </c>
      <c r="D4238" s="400"/>
      <c r="E4238" s="400"/>
      <c r="F4238" s="400"/>
      <c r="G4238" s="400"/>
      <c r="H4238" s="396"/>
    </row>
    <row r="4239" spans="1:8" s="401" customFormat="1" ht="14.25" customHeight="1" x14ac:dyDescent="0.25">
      <c r="A4239" s="564">
        <v>3170</v>
      </c>
      <c r="B4239" s="562" t="s">
        <v>1007</v>
      </c>
      <c r="C4239" s="403">
        <v>20276</v>
      </c>
      <c r="D4239" s="400"/>
      <c r="E4239" s="400"/>
      <c r="F4239" s="400"/>
      <c r="G4239" s="400"/>
      <c r="H4239" s="396"/>
    </row>
    <row r="4240" spans="1:8" s="401" customFormat="1" ht="14.25" customHeight="1" x14ac:dyDescent="0.25">
      <c r="A4240" s="564">
        <v>3172</v>
      </c>
      <c r="B4240" s="562" t="s">
        <v>1007</v>
      </c>
      <c r="C4240" s="403">
        <v>20276</v>
      </c>
      <c r="D4240" s="400"/>
      <c r="E4240" s="400"/>
      <c r="F4240" s="400"/>
      <c r="G4240" s="400"/>
      <c r="H4240" s="396"/>
    </row>
    <row r="4241" spans="1:8" s="401" customFormat="1" ht="14.25" customHeight="1" x14ac:dyDescent="0.25">
      <c r="A4241" s="564">
        <v>3176</v>
      </c>
      <c r="B4241" s="562" t="s">
        <v>1007</v>
      </c>
      <c r="C4241" s="403">
        <v>20276</v>
      </c>
      <c r="D4241" s="400"/>
      <c r="E4241" s="400"/>
      <c r="F4241" s="400"/>
      <c r="G4241" s="400"/>
      <c r="H4241" s="396"/>
    </row>
    <row r="4242" spans="1:8" s="401" customFormat="1" ht="14.25" customHeight="1" x14ac:dyDescent="0.25">
      <c r="A4242" s="564">
        <v>3177</v>
      </c>
      <c r="B4242" s="562" t="s">
        <v>1007</v>
      </c>
      <c r="C4242" s="403">
        <v>20276</v>
      </c>
      <c r="D4242" s="400"/>
      <c r="E4242" s="400"/>
      <c r="F4242" s="400"/>
      <c r="G4242" s="400"/>
      <c r="H4242" s="396"/>
    </row>
    <row r="4243" spans="1:8" s="401" customFormat="1" ht="14.25" customHeight="1" x14ac:dyDescent="0.25">
      <c r="A4243" s="564">
        <v>3180</v>
      </c>
      <c r="B4243" s="562" t="s">
        <v>1007</v>
      </c>
      <c r="C4243" s="403">
        <v>20276</v>
      </c>
      <c r="D4243" s="400"/>
      <c r="E4243" s="400"/>
      <c r="F4243" s="400"/>
      <c r="G4243" s="400"/>
      <c r="H4243" s="396"/>
    </row>
    <row r="4244" spans="1:8" s="401" customFormat="1" ht="14.25" customHeight="1" x14ac:dyDescent="0.25">
      <c r="A4244" s="564">
        <v>3190</v>
      </c>
      <c r="B4244" s="562" t="s">
        <v>1007</v>
      </c>
      <c r="C4244" s="403">
        <v>20240</v>
      </c>
      <c r="D4244" s="400"/>
      <c r="E4244" s="400"/>
      <c r="F4244" s="400"/>
      <c r="G4244" s="400"/>
      <c r="H4244" s="396"/>
    </row>
    <row r="4245" spans="1:8" s="401" customFormat="1" ht="14.25" customHeight="1" x14ac:dyDescent="0.25">
      <c r="A4245" s="564">
        <v>3258</v>
      </c>
      <c r="B4245" s="562" t="s">
        <v>1007</v>
      </c>
      <c r="C4245" s="403">
        <v>56454</v>
      </c>
      <c r="D4245" s="400"/>
      <c r="E4245" s="400"/>
      <c r="F4245" s="400"/>
      <c r="G4245" s="400"/>
      <c r="H4245" s="396"/>
    </row>
    <row r="4246" spans="1:8" s="401" customFormat="1" ht="14.25" customHeight="1" x14ac:dyDescent="0.25">
      <c r="A4246" s="564">
        <v>3259</v>
      </c>
      <c r="B4246" s="562" t="s">
        <v>1007</v>
      </c>
      <c r="C4246" s="403">
        <v>1</v>
      </c>
      <c r="D4246" s="400"/>
      <c r="E4246" s="400"/>
      <c r="F4246" s="400"/>
      <c r="G4246" s="400"/>
      <c r="H4246" s="396"/>
    </row>
    <row r="4247" spans="1:8" s="401" customFormat="1" ht="14.25" customHeight="1" x14ac:dyDescent="0.25">
      <c r="A4247" s="564">
        <v>3261</v>
      </c>
      <c r="B4247" s="562" t="s">
        <v>1007</v>
      </c>
      <c r="C4247" s="403">
        <v>41198</v>
      </c>
      <c r="D4247" s="400"/>
      <c r="E4247" s="400"/>
      <c r="F4247" s="400"/>
      <c r="G4247" s="400"/>
      <c r="H4247" s="396"/>
    </row>
    <row r="4248" spans="1:8" s="401" customFormat="1" ht="14.25" customHeight="1" x14ac:dyDescent="0.25">
      <c r="A4248" s="564">
        <v>3267</v>
      </c>
      <c r="B4248" s="562" t="s">
        <v>1007</v>
      </c>
      <c r="C4248" s="403">
        <v>37247</v>
      </c>
      <c r="D4248" s="400"/>
      <c r="E4248" s="400"/>
      <c r="F4248" s="400"/>
      <c r="G4248" s="400"/>
      <c r="H4248" s="396"/>
    </row>
    <row r="4249" spans="1:8" s="401" customFormat="1" ht="14.25" customHeight="1" x14ac:dyDescent="0.25">
      <c r="A4249" s="564">
        <v>3271</v>
      </c>
      <c r="B4249" s="562" t="s">
        <v>1007</v>
      </c>
      <c r="C4249" s="403">
        <v>66976</v>
      </c>
      <c r="D4249" s="400"/>
      <c r="E4249" s="400"/>
      <c r="F4249" s="400"/>
      <c r="G4249" s="400"/>
      <c r="H4249" s="396"/>
    </row>
    <row r="4250" spans="1:8" s="401" customFormat="1" ht="14.25" customHeight="1" x14ac:dyDescent="0.25">
      <c r="A4250" s="564">
        <v>3275</v>
      </c>
      <c r="B4250" s="562" t="s">
        <v>1007</v>
      </c>
      <c r="C4250" s="403">
        <v>56454</v>
      </c>
      <c r="D4250" s="400"/>
      <c r="E4250" s="400"/>
      <c r="F4250" s="400"/>
      <c r="G4250" s="400"/>
      <c r="H4250" s="396"/>
    </row>
    <row r="4251" spans="1:8" s="401" customFormat="1" ht="14.25" customHeight="1" x14ac:dyDescent="0.25">
      <c r="A4251" s="564">
        <v>3296</v>
      </c>
      <c r="B4251" s="562" t="s">
        <v>1007</v>
      </c>
      <c r="C4251" s="403">
        <v>1</v>
      </c>
      <c r="D4251" s="400"/>
      <c r="E4251" s="400"/>
      <c r="F4251" s="400"/>
      <c r="G4251" s="400"/>
      <c r="H4251" s="396"/>
    </row>
    <row r="4252" spans="1:8" s="401" customFormat="1" ht="14.25" customHeight="1" x14ac:dyDescent="0.25">
      <c r="A4252" s="564">
        <v>3345</v>
      </c>
      <c r="B4252" s="562" t="s">
        <v>1009</v>
      </c>
      <c r="C4252" s="403">
        <v>1</v>
      </c>
      <c r="D4252" s="400"/>
      <c r="E4252" s="400"/>
      <c r="F4252" s="400"/>
      <c r="G4252" s="400"/>
      <c r="H4252" s="396"/>
    </row>
    <row r="4253" spans="1:8" s="401" customFormat="1" ht="14.25" customHeight="1" x14ac:dyDescent="0.25">
      <c r="A4253" s="564">
        <v>1882</v>
      </c>
      <c r="B4253" s="562" t="s">
        <v>1007</v>
      </c>
      <c r="C4253" s="403">
        <v>1</v>
      </c>
      <c r="D4253" s="400"/>
      <c r="E4253" s="400"/>
      <c r="F4253" s="400"/>
      <c r="G4253" s="400"/>
      <c r="H4253" s="396"/>
    </row>
    <row r="4254" spans="1:8" s="401" customFormat="1" ht="14.25" customHeight="1" x14ac:dyDescent="0.25">
      <c r="A4254" s="564">
        <v>2027</v>
      </c>
      <c r="B4254" s="562" t="s">
        <v>1007</v>
      </c>
      <c r="C4254" s="403">
        <v>1</v>
      </c>
      <c r="D4254" s="400"/>
      <c r="E4254" s="400"/>
      <c r="F4254" s="400"/>
      <c r="G4254" s="400"/>
      <c r="H4254" s="396"/>
    </row>
    <row r="4255" spans="1:8" s="401" customFormat="1" ht="14.25" customHeight="1" x14ac:dyDescent="0.25">
      <c r="A4255" s="564">
        <v>2030</v>
      </c>
      <c r="B4255" s="562" t="s">
        <v>1007</v>
      </c>
      <c r="C4255" s="403">
        <v>3996</v>
      </c>
      <c r="D4255" s="400"/>
      <c r="E4255" s="400"/>
      <c r="F4255" s="400"/>
      <c r="G4255" s="400"/>
      <c r="H4255" s="396"/>
    </row>
    <row r="4256" spans="1:8" s="401" customFormat="1" ht="14.25" customHeight="1" x14ac:dyDescent="0.25">
      <c r="A4256" s="564">
        <v>2047</v>
      </c>
      <c r="B4256" s="562" t="s">
        <v>1010</v>
      </c>
      <c r="C4256" s="403">
        <v>1</v>
      </c>
      <c r="D4256" s="400"/>
      <c r="E4256" s="400"/>
      <c r="F4256" s="400"/>
      <c r="G4256" s="400"/>
      <c r="H4256" s="396"/>
    </row>
    <row r="4257" spans="1:8" s="401" customFormat="1" ht="14.25" customHeight="1" x14ac:dyDescent="0.25">
      <c r="A4257" s="564">
        <v>2059</v>
      </c>
      <c r="B4257" s="562" t="s">
        <v>1010</v>
      </c>
      <c r="C4257" s="403">
        <v>1</v>
      </c>
      <c r="D4257" s="400"/>
      <c r="E4257" s="400"/>
      <c r="F4257" s="400"/>
      <c r="G4257" s="400"/>
      <c r="H4257" s="396"/>
    </row>
    <row r="4258" spans="1:8" s="401" customFormat="1" ht="14.25" customHeight="1" x14ac:dyDescent="0.25">
      <c r="A4258" s="564">
        <v>3056</v>
      </c>
      <c r="B4258" s="562" t="s">
        <v>1010</v>
      </c>
      <c r="C4258" s="403">
        <v>2760</v>
      </c>
      <c r="D4258" s="400"/>
      <c r="E4258" s="400"/>
      <c r="F4258" s="400"/>
      <c r="G4258" s="400"/>
      <c r="H4258" s="396"/>
    </row>
    <row r="4259" spans="1:8" s="401" customFormat="1" ht="14.25" customHeight="1" x14ac:dyDescent="0.25">
      <c r="A4259" s="564">
        <v>3076</v>
      </c>
      <c r="B4259" s="562" t="s">
        <v>1007</v>
      </c>
      <c r="C4259" s="403">
        <v>8799</v>
      </c>
      <c r="D4259" s="400"/>
      <c r="E4259" s="400"/>
      <c r="F4259" s="400"/>
      <c r="G4259" s="400"/>
      <c r="H4259" s="396"/>
    </row>
    <row r="4260" spans="1:8" s="401" customFormat="1" ht="14.25" customHeight="1" x14ac:dyDescent="0.25">
      <c r="A4260" s="564">
        <v>3966</v>
      </c>
      <c r="B4260" s="562" t="s">
        <v>1007</v>
      </c>
      <c r="C4260" s="403">
        <v>5792.46</v>
      </c>
      <c r="D4260" s="400"/>
      <c r="E4260" s="400"/>
      <c r="F4260" s="400"/>
      <c r="G4260" s="400"/>
      <c r="H4260" s="396"/>
    </row>
    <row r="4261" spans="1:8" s="401" customFormat="1" ht="14.25" customHeight="1" x14ac:dyDescent="0.25">
      <c r="A4261" s="564">
        <v>3742</v>
      </c>
      <c r="B4261" s="562" t="s">
        <v>1007</v>
      </c>
      <c r="C4261" s="403">
        <v>8799</v>
      </c>
      <c r="D4261" s="400"/>
      <c r="E4261" s="400"/>
      <c r="F4261" s="400"/>
      <c r="G4261" s="400"/>
      <c r="H4261" s="396"/>
    </row>
    <row r="4262" spans="1:8" s="401" customFormat="1" ht="14.25" customHeight="1" x14ac:dyDescent="0.25">
      <c r="A4262" s="564">
        <v>3820</v>
      </c>
      <c r="B4262" s="562" t="s">
        <v>1007</v>
      </c>
      <c r="C4262" s="403">
        <v>1</v>
      </c>
      <c r="D4262" s="400"/>
      <c r="E4262" s="400"/>
      <c r="F4262" s="400"/>
      <c r="G4262" s="400"/>
      <c r="H4262" s="396"/>
    </row>
    <row r="4263" spans="1:8" s="401" customFormat="1" ht="14.25" customHeight="1" x14ac:dyDescent="0.25">
      <c r="A4263" s="564">
        <v>3823</v>
      </c>
      <c r="B4263" s="562" t="s">
        <v>1007</v>
      </c>
      <c r="C4263" s="403">
        <v>1</v>
      </c>
      <c r="D4263" s="400"/>
      <c r="E4263" s="400"/>
      <c r="F4263" s="400"/>
      <c r="G4263" s="400"/>
      <c r="H4263" s="396"/>
    </row>
    <row r="4264" spans="1:8" s="401" customFormat="1" ht="14.25" customHeight="1" x14ac:dyDescent="0.25">
      <c r="A4264" s="564">
        <v>3944</v>
      </c>
      <c r="B4264" s="562" t="s">
        <v>1007</v>
      </c>
      <c r="C4264" s="403">
        <v>8799</v>
      </c>
      <c r="D4264" s="400"/>
      <c r="E4264" s="400"/>
      <c r="F4264" s="400"/>
      <c r="G4264" s="400"/>
      <c r="H4264" s="396"/>
    </row>
    <row r="4265" spans="1:8" s="401" customFormat="1" ht="14.25" customHeight="1" x14ac:dyDescent="0.25">
      <c r="A4265" s="564">
        <v>3946</v>
      </c>
      <c r="B4265" s="562" t="s">
        <v>1007</v>
      </c>
      <c r="C4265" s="403">
        <v>8799</v>
      </c>
      <c r="D4265" s="400"/>
      <c r="E4265" s="400"/>
      <c r="F4265" s="400"/>
      <c r="G4265" s="400"/>
      <c r="H4265" s="396"/>
    </row>
    <row r="4266" spans="1:8" s="401" customFormat="1" ht="14.25" customHeight="1" x14ac:dyDescent="0.25">
      <c r="A4266" s="564">
        <v>3948</v>
      </c>
      <c r="B4266" s="562" t="s">
        <v>1007</v>
      </c>
      <c r="C4266" s="403">
        <v>8799</v>
      </c>
      <c r="D4266" s="400"/>
      <c r="E4266" s="400"/>
      <c r="F4266" s="400"/>
      <c r="G4266" s="400"/>
      <c r="H4266" s="396"/>
    </row>
    <row r="4267" spans="1:8" s="401" customFormat="1" ht="14.25" customHeight="1" x14ac:dyDescent="0.25">
      <c r="A4267" s="564">
        <v>3447</v>
      </c>
      <c r="B4267" s="562" t="s">
        <v>1007</v>
      </c>
      <c r="C4267" s="403">
        <v>7999</v>
      </c>
      <c r="D4267" s="400"/>
      <c r="E4267" s="400"/>
      <c r="F4267" s="400"/>
      <c r="G4267" s="400"/>
      <c r="H4267" s="396"/>
    </row>
    <row r="4268" spans="1:8" s="401" customFormat="1" ht="14.25" customHeight="1" x14ac:dyDescent="0.25">
      <c r="A4268" s="564">
        <v>3449</v>
      </c>
      <c r="B4268" s="562" t="s">
        <v>1007</v>
      </c>
      <c r="C4268" s="403">
        <v>1</v>
      </c>
      <c r="D4268" s="400"/>
      <c r="E4268" s="400"/>
      <c r="F4268" s="400"/>
      <c r="G4268" s="400"/>
      <c r="H4268" s="396"/>
    </row>
    <row r="4269" spans="1:8" s="401" customFormat="1" ht="14.25" customHeight="1" x14ac:dyDescent="0.25">
      <c r="A4269" s="564">
        <v>3175</v>
      </c>
      <c r="B4269" s="562" t="s">
        <v>1007</v>
      </c>
      <c r="C4269" s="403">
        <v>9425</v>
      </c>
      <c r="D4269" s="400"/>
      <c r="E4269" s="400"/>
      <c r="F4269" s="400"/>
      <c r="G4269" s="400"/>
      <c r="H4269" s="396"/>
    </row>
    <row r="4270" spans="1:8" s="401" customFormat="1" ht="14.25" customHeight="1" x14ac:dyDescent="0.25">
      <c r="A4270" s="564">
        <v>3178</v>
      </c>
      <c r="B4270" s="562" t="s">
        <v>1007</v>
      </c>
      <c r="C4270" s="403">
        <v>15134</v>
      </c>
      <c r="D4270" s="400"/>
      <c r="E4270" s="400"/>
      <c r="F4270" s="400"/>
      <c r="G4270" s="400"/>
      <c r="H4270" s="396"/>
    </row>
    <row r="4271" spans="1:8" s="401" customFormat="1" ht="14.25" customHeight="1" x14ac:dyDescent="0.25">
      <c r="A4271" s="564">
        <v>3181</v>
      </c>
      <c r="B4271" s="562" t="s">
        <v>1007</v>
      </c>
      <c r="C4271" s="403">
        <v>15134</v>
      </c>
      <c r="D4271" s="400"/>
      <c r="E4271" s="400"/>
      <c r="F4271" s="400"/>
      <c r="G4271" s="400"/>
      <c r="H4271" s="396"/>
    </row>
    <row r="4272" spans="1:8" s="401" customFormat="1" ht="14.25" customHeight="1" x14ac:dyDescent="0.25">
      <c r="A4272" s="564">
        <v>3667</v>
      </c>
      <c r="B4272" s="562" t="s">
        <v>1007</v>
      </c>
      <c r="C4272" s="403">
        <v>8799</v>
      </c>
      <c r="D4272" s="400"/>
      <c r="E4272" s="400"/>
      <c r="F4272" s="400"/>
      <c r="G4272" s="400"/>
      <c r="H4272" s="396"/>
    </row>
    <row r="4273" spans="1:8" s="401" customFormat="1" ht="14.25" customHeight="1" x14ac:dyDescent="0.25">
      <c r="A4273" s="564">
        <v>456</v>
      </c>
      <c r="B4273" s="562" t="s">
        <v>1010</v>
      </c>
      <c r="C4273" s="403">
        <v>1</v>
      </c>
      <c r="D4273" s="400"/>
      <c r="E4273" s="400"/>
      <c r="F4273" s="400"/>
      <c r="G4273" s="400"/>
      <c r="H4273" s="396"/>
    </row>
    <row r="4274" spans="1:8" s="401" customFormat="1" ht="14.25" customHeight="1" x14ac:dyDescent="0.25">
      <c r="A4274" s="564">
        <v>3169</v>
      </c>
      <c r="B4274" s="562" t="s">
        <v>1010</v>
      </c>
      <c r="C4274" s="403">
        <v>1</v>
      </c>
      <c r="D4274" s="400"/>
      <c r="E4274" s="400"/>
      <c r="F4274" s="400"/>
      <c r="G4274" s="400"/>
      <c r="H4274" s="396"/>
    </row>
    <row r="4275" spans="1:8" s="401" customFormat="1" ht="14.25" customHeight="1" x14ac:dyDescent="0.25">
      <c r="A4275" s="564">
        <v>4664</v>
      </c>
      <c r="B4275" s="562" t="s">
        <v>1007</v>
      </c>
      <c r="C4275" s="403">
        <v>15799.99</v>
      </c>
      <c r="D4275" s="400"/>
      <c r="E4275" s="400"/>
      <c r="F4275" s="400"/>
      <c r="G4275" s="400"/>
      <c r="H4275" s="396"/>
    </row>
    <row r="4276" spans="1:8" s="401" customFormat="1" ht="14.25" customHeight="1" x14ac:dyDescent="0.25">
      <c r="A4276" s="564">
        <v>2982</v>
      </c>
      <c r="B4276" s="562" t="s">
        <v>1007</v>
      </c>
      <c r="C4276" s="403">
        <v>1</v>
      </c>
      <c r="D4276" s="400"/>
      <c r="E4276" s="400"/>
      <c r="F4276" s="400"/>
      <c r="G4276" s="400"/>
      <c r="H4276" s="396"/>
    </row>
    <row r="4277" spans="1:8" s="401" customFormat="1" ht="14.25" customHeight="1" x14ac:dyDescent="0.25">
      <c r="A4277" s="564">
        <v>4639</v>
      </c>
      <c r="B4277" s="562" t="s">
        <v>1007</v>
      </c>
      <c r="C4277" s="403">
        <v>6399.99</v>
      </c>
      <c r="D4277" s="400"/>
      <c r="E4277" s="400"/>
      <c r="F4277" s="400"/>
      <c r="G4277" s="400"/>
      <c r="H4277" s="396"/>
    </row>
    <row r="4278" spans="1:8" s="401" customFormat="1" ht="14.25" customHeight="1" x14ac:dyDescent="0.25">
      <c r="A4278" s="564">
        <v>4641</v>
      </c>
      <c r="B4278" s="562" t="s">
        <v>1007</v>
      </c>
      <c r="C4278" s="403">
        <v>15799.99</v>
      </c>
      <c r="D4278" s="400"/>
      <c r="E4278" s="400"/>
      <c r="F4278" s="400"/>
      <c r="G4278" s="400"/>
      <c r="H4278" s="396"/>
    </row>
    <row r="4279" spans="1:8" s="401" customFormat="1" ht="14.25" customHeight="1" x14ac:dyDescent="0.25">
      <c r="A4279" s="564">
        <v>87</v>
      </c>
      <c r="B4279" s="562" t="s">
        <v>1007</v>
      </c>
      <c r="C4279" s="403">
        <v>15799.99</v>
      </c>
      <c r="D4279" s="400"/>
      <c r="E4279" s="400"/>
      <c r="F4279" s="400"/>
      <c r="G4279" s="400"/>
      <c r="H4279" s="396"/>
    </row>
    <row r="4280" spans="1:8" s="401" customFormat="1" ht="14.25" customHeight="1" x14ac:dyDescent="0.25">
      <c r="A4280" s="564">
        <v>3462</v>
      </c>
      <c r="B4280" s="562" t="s">
        <v>1007</v>
      </c>
      <c r="C4280" s="403">
        <v>4949</v>
      </c>
      <c r="D4280" s="400"/>
      <c r="E4280" s="400"/>
      <c r="F4280" s="400"/>
      <c r="G4280" s="400"/>
      <c r="H4280" s="396"/>
    </row>
    <row r="4281" spans="1:8" s="401" customFormat="1" ht="14.25" customHeight="1" x14ac:dyDescent="0.25">
      <c r="A4281" s="564">
        <v>3472</v>
      </c>
      <c r="B4281" s="562" t="s">
        <v>1009</v>
      </c>
      <c r="C4281" s="403">
        <v>1965</v>
      </c>
      <c r="D4281" s="400"/>
      <c r="E4281" s="400"/>
      <c r="F4281" s="400"/>
      <c r="G4281" s="400"/>
      <c r="H4281" s="396"/>
    </row>
    <row r="4282" spans="1:8" s="401" customFormat="1" ht="14.25" customHeight="1" x14ac:dyDescent="0.25">
      <c r="A4282" s="564">
        <v>3631</v>
      </c>
      <c r="B4282" s="562" t="s">
        <v>1007</v>
      </c>
      <c r="C4282" s="403">
        <v>12545</v>
      </c>
      <c r="D4282" s="400"/>
      <c r="E4282" s="400"/>
      <c r="F4282" s="400"/>
      <c r="G4282" s="400"/>
      <c r="H4282" s="396"/>
    </row>
    <row r="4283" spans="1:8" s="401" customFormat="1" ht="14.25" customHeight="1" x14ac:dyDescent="0.25">
      <c r="A4283" s="564">
        <v>3637</v>
      </c>
      <c r="B4283" s="562" t="s">
        <v>1007</v>
      </c>
      <c r="C4283" s="403">
        <v>12545</v>
      </c>
      <c r="D4283" s="400"/>
      <c r="E4283" s="400"/>
      <c r="F4283" s="400"/>
      <c r="G4283" s="400"/>
      <c r="H4283" s="396"/>
    </row>
    <row r="4284" spans="1:8" s="401" customFormat="1" ht="14.25" customHeight="1" x14ac:dyDescent="0.25">
      <c r="A4284" s="564">
        <v>4637</v>
      </c>
      <c r="B4284" s="562" t="s">
        <v>1007</v>
      </c>
      <c r="C4284" s="403">
        <v>6399.99</v>
      </c>
      <c r="D4284" s="400"/>
      <c r="E4284" s="400"/>
      <c r="F4284" s="400"/>
      <c r="G4284" s="400"/>
      <c r="H4284" s="396"/>
    </row>
    <row r="4285" spans="1:8" s="401" customFormat="1" ht="14.25" customHeight="1" x14ac:dyDescent="0.25">
      <c r="A4285" s="564">
        <v>4651</v>
      </c>
      <c r="B4285" s="562" t="s">
        <v>1007</v>
      </c>
      <c r="C4285" s="403">
        <v>9125.1299999999992</v>
      </c>
      <c r="D4285" s="400"/>
      <c r="E4285" s="400"/>
      <c r="F4285" s="400"/>
      <c r="G4285" s="400"/>
      <c r="H4285" s="396"/>
    </row>
    <row r="4286" spans="1:8" s="401" customFormat="1" ht="14.25" customHeight="1" x14ac:dyDescent="0.25">
      <c r="A4286" s="564">
        <v>4668</v>
      </c>
      <c r="B4286" s="562" t="s">
        <v>1007</v>
      </c>
      <c r="C4286" s="403">
        <v>15799.99</v>
      </c>
      <c r="D4286" s="400"/>
      <c r="E4286" s="400"/>
      <c r="F4286" s="400"/>
      <c r="G4286" s="400"/>
      <c r="H4286" s="396"/>
    </row>
    <row r="4287" spans="1:8" s="401" customFormat="1" ht="14.25" customHeight="1" x14ac:dyDescent="0.25">
      <c r="A4287" s="564">
        <v>1920</v>
      </c>
      <c r="B4287" s="562" t="s">
        <v>1007</v>
      </c>
      <c r="C4287" s="403">
        <v>12189</v>
      </c>
      <c r="D4287" s="400"/>
      <c r="E4287" s="400"/>
      <c r="F4287" s="400"/>
      <c r="G4287" s="400"/>
      <c r="H4287" s="396"/>
    </row>
    <row r="4288" spans="1:8" s="401" customFormat="1" ht="14.25" customHeight="1" x14ac:dyDescent="0.25">
      <c r="A4288" s="564">
        <v>2212</v>
      </c>
      <c r="B4288" s="562" t="s">
        <v>1007</v>
      </c>
      <c r="C4288" s="403">
        <v>8000</v>
      </c>
      <c r="D4288" s="400"/>
      <c r="E4288" s="400"/>
      <c r="F4288" s="400"/>
      <c r="G4288" s="400"/>
      <c r="H4288" s="396"/>
    </row>
    <row r="4289" spans="1:8" s="401" customFormat="1" ht="14.25" customHeight="1" x14ac:dyDescent="0.25">
      <c r="A4289" s="564">
        <v>2560</v>
      </c>
      <c r="B4289" s="562" t="s">
        <v>1007</v>
      </c>
      <c r="C4289" s="403">
        <v>1</v>
      </c>
      <c r="D4289" s="400"/>
      <c r="E4289" s="400"/>
      <c r="F4289" s="400"/>
      <c r="G4289" s="400"/>
      <c r="H4289" s="396"/>
    </row>
    <row r="4290" spans="1:8" s="401" customFormat="1" ht="14.25" customHeight="1" x14ac:dyDescent="0.25">
      <c r="A4290" s="564">
        <v>4645</v>
      </c>
      <c r="B4290" s="562" t="s">
        <v>1007</v>
      </c>
      <c r="C4290" s="403">
        <v>6399.99</v>
      </c>
      <c r="D4290" s="400"/>
      <c r="E4290" s="400"/>
      <c r="F4290" s="400"/>
      <c r="G4290" s="400"/>
      <c r="H4290" s="396"/>
    </row>
    <row r="4291" spans="1:8" s="401" customFormat="1" ht="14.25" customHeight="1" x14ac:dyDescent="0.25">
      <c r="A4291" s="564">
        <v>4647</v>
      </c>
      <c r="B4291" s="562" t="s">
        <v>1007</v>
      </c>
      <c r="C4291" s="403">
        <v>6399.99</v>
      </c>
      <c r="D4291" s="400"/>
      <c r="E4291" s="400"/>
      <c r="F4291" s="400"/>
      <c r="G4291" s="400"/>
      <c r="H4291" s="396"/>
    </row>
    <row r="4292" spans="1:8" s="401" customFormat="1" ht="14.25" customHeight="1" x14ac:dyDescent="0.25">
      <c r="A4292" s="564">
        <v>4666</v>
      </c>
      <c r="B4292" s="562" t="s">
        <v>1007</v>
      </c>
      <c r="C4292" s="403">
        <v>15799.99</v>
      </c>
      <c r="D4292" s="400"/>
      <c r="E4292" s="400"/>
      <c r="F4292" s="400"/>
      <c r="G4292" s="400"/>
      <c r="H4292" s="396"/>
    </row>
    <row r="4293" spans="1:8" s="401" customFormat="1" ht="14.25" customHeight="1" x14ac:dyDescent="0.25">
      <c r="A4293" s="564">
        <v>1117</v>
      </c>
      <c r="B4293" s="562" t="s">
        <v>1007</v>
      </c>
      <c r="C4293" s="403">
        <v>1</v>
      </c>
      <c r="D4293" s="400"/>
      <c r="E4293" s="400"/>
      <c r="F4293" s="400"/>
      <c r="G4293" s="400"/>
      <c r="H4293" s="396"/>
    </row>
    <row r="4294" spans="1:8" s="401" customFormat="1" ht="14.25" customHeight="1" x14ac:dyDescent="0.25">
      <c r="A4294" s="564">
        <v>1119</v>
      </c>
      <c r="B4294" s="562" t="s">
        <v>1009</v>
      </c>
      <c r="C4294" s="403">
        <v>1</v>
      </c>
      <c r="D4294" s="400"/>
      <c r="E4294" s="400"/>
      <c r="F4294" s="400"/>
      <c r="G4294" s="400"/>
      <c r="H4294" s="396"/>
    </row>
    <row r="4295" spans="1:8" s="401" customFormat="1" ht="14.25" customHeight="1" x14ac:dyDescent="0.25">
      <c r="A4295" s="564">
        <v>1170</v>
      </c>
      <c r="B4295" s="562" t="s">
        <v>1007</v>
      </c>
      <c r="C4295" s="403">
        <v>1</v>
      </c>
      <c r="D4295" s="400"/>
      <c r="E4295" s="400"/>
      <c r="F4295" s="400"/>
      <c r="G4295" s="400"/>
      <c r="H4295" s="396"/>
    </row>
    <row r="4296" spans="1:8" s="401" customFormat="1" ht="14.25" customHeight="1" x14ac:dyDescent="0.25">
      <c r="A4296" s="564">
        <v>209</v>
      </c>
      <c r="B4296" s="562" t="s">
        <v>1010</v>
      </c>
      <c r="C4296" s="403">
        <v>2818</v>
      </c>
      <c r="D4296" s="400"/>
      <c r="E4296" s="400"/>
      <c r="F4296" s="400"/>
      <c r="G4296" s="400"/>
      <c r="H4296" s="396"/>
    </row>
    <row r="4297" spans="1:8" s="401" customFormat="1" ht="14.25" customHeight="1" x14ac:dyDescent="0.25">
      <c r="A4297" s="564">
        <v>187</v>
      </c>
      <c r="B4297" s="562" t="s">
        <v>1009</v>
      </c>
      <c r="C4297" s="403">
        <v>1</v>
      </c>
      <c r="D4297" s="400"/>
      <c r="E4297" s="400"/>
      <c r="F4297" s="400"/>
      <c r="G4297" s="400"/>
      <c r="H4297" s="396"/>
    </row>
    <row r="4298" spans="1:8" s="401" customFormat="1" ht="14.25" customHeight="1" x14ac:dyDescent="0.25">
      <c r="A4298" s="564">
        <v>4574</v>
      </c>
      <c r="B4298" s="562" t="s">
        <v>895</v>
      </c>
      <c r="C4298" s="403">
        <v>4301.33</v>
      </c>
      <c r="D4298" s="400"/>
      <c r="E4298" s="400"/>
      <c r="F4298" s="400"/>
      <c r="G4298" s="400"/>
      <c r="H4298" s="396"/>
    </row>
    <row r="4299" spans="1:8" s="401" customFormat="1" ht="14.25" customHeight="1" x14ac:dyDescent="0.25">
      <c r="A4299" s="564">
        <v>4618</v>
      </c>
      <c r="B4299" s="562" t="s">
        <v>895</v>
      </c>
      <c r="C4299" s="403">
        <v>1296.04</v>
      </c>
      <c r="D4299" s="400"/>
      <c r="E4299" s="400"/>
      <c r="F4299" s="400"/>
      <c r="G4299" s="400"/>
      <c r="H4299" s="396"/>
    </row>
    <row r="4300" spans="1:8" s="401" customFormat="1" ht="14.25" customHeight="1" x14ac:dyDescent="0.25">
      <c r="A4300" s="564">
        <v>5075</v>
      </c>
      <c r="B4300" s="562" t="s">
        <v>895</v>
      </c>
      <c r="C4300" s="403">
        <v>4301.33</v>
      </c>
      <c r="D4300" s="400"/>
      <c r="E4300" s="400"/>
      <c r="F4300" s="400"/>
      <c r="G4300" s="400"/>
      <c r="H4300" s="396"/>
    </row>
    <row r="4301" spans="1:8" s="401" customFormat="1" ht="14.25" customHeight="1" x14ac:dyDescent="0.25">
      <c r="A4301" s="564">
        <v>5086</v>
      </c>
      <c r="B4301" s="562" t="s">
        <v>1011</v>
      </c>
      <c r="C4301" s="403">
        <v>2943.3</v>
      </c>
      <c r="D4301" s="400"/>
      <c r="E4301" s="400"/>
      <c r="F4301" s="400"/>
      <c r="G4301" s="400"/>
      <c r="H4301" s="396"/>
    </row>
    <row r="4302" spans="1:8" s="401" customFormat="1" ht="14.25" customHeight="1" x14ac:dyDescent="0.25">
      <c r="A4302" s="564">
        <v>5087</v>
      </c>
      <c r="B4302" s="562" t="s">
        <v>1011</v>
      </c>
      <c r="C4302" s="403">
        <v>2943.3</v>
      </c>
      <c r="D4302" s="400"/>
      <c r="E4302" s="400"/>
      <c r="F4302" s="400"/>
      <c r="G4302" s="400"/>
      <c r="H4302" s="396"/>
    </row>
    <row r="4303" spans="1:8" s="401" customFormat="1" ht="14.25" customHeight="1" x14ac:dyDescent="0.25">
      <c r="A4303" s="564">
        <v>336</v>
      </c>
      <c r="B4303" s="562" t="s">
        <v>915</v>
      </c>
      <c r="C4303" s="403">
        <v>441</v>
      </c>
      <c r="D4303" s="400"/>
      <c r="E4303" s="400"/>
      <c r="F4303" s="400"/>
      <c r="G4303" s="400"/>
      <c r="H4303" s="396"/>
    </row>
    <row r="4304" spans="1:8" s="401" customFormat="1" ht="14.25" customHeight="1" x14ac:dyDescent="0.25">
      <c r="A4304" s="564">
        <v>540</v>
      </c>
      <c r="B4304" s="562" t="s">
        <v>895</v>
      </c>
      <c r="C4304" s="403">
        <v>1</v>
      </c>
      <c r="D4304" s="400"/>
      <c r="E4304" s="400"/>
      <c r="F4304" s="400"/>
      <c r="G4304" s="400"/>
      <c r="H4304" s="396"/>
    </row>
    <row r="4305" spans="1:8" s="401" customFormat="1" ht="14.25" customHeight="1" x14ac:dyDescent="0.25">
      <c r="A4305" s="564">
        <v>2862</v>
      </c>
      <c r="B4305" s="562" t="s">
        <v>895</v>
      </c>
      <c r="C4305" s="403">
        <v>580</v>
      </c>
      <c r="D4305" s="400"/>
      <c r="E4305" s="400"/>
      <c r="F4305" s="400"/>
      <c r="G4305" s="400"/>
      <c r="H4305" s="396"/>
    </row>
    <row r="4306" spans="1:8" s="401" customFormat="1" ht="14.25" customHeight="1" x14ac:dyDescent="0.25">
      <c r="A4306" s="564">
        <v>2909</v>
      </c>
      <c r="B4306" s="562" t="s">
        <v>895</v>
      </c>
      <c r="C4306" s="403">
        <v>862</v>
      </c>
      <c r="D4306" s="400"/>
      <c r="E4306" s="400"/>
      <c r="F4306" s="400"/>
      <c r="G4306" s="400"/>
      <c r="H4306" s="396"/>
    </row>
    <row r="4307" spans="1:8" s="401" customFormat="1" ht="14.25" customHeight="1" x14ac:dyDescent="0.25">
      <c r="A4307" s="564">
        <v>2931</v>
      </c>
      <c r="B4307" s="562" t="s">
        <v>915</v>
      </c>
      <c r="C4307" s="403">
        <v>452</v>
      </c>
      <c r="D4307" s="400"/>
      <c r="E4307" s="400"/>
      <c r="F4307" s="400"/>
      <c r="G4307" s="400"/>
      <c r="H4307" s="396"/>
    </row>
    <row r="4308" spans="1:8" s="401" customFormat="1" ht="14.25" customHeight="1" x14ac:dyDescent="0.25">
      <c r="A4308" s="564">
        <v>2956</v>
      </c>
      <c r="B4308" s="562" t="s">
        <v>895</v>
      </c>
      <c r="C4308" s="403">
        <v>568</v>
      </c>
      <c r="D4308" s="400"/>
      <c r="E4308" s="400"/>
      <c r="F4308" s="400"/>
      <c r="G4308" s="400"/>
      <c r="H4308" s="396"/>
    </row>
    <row r="4309" spans="1:8" s="401" customFormat="1" ht="14.25" customHeight="1" x14ac:dyDescent="0.25">
      <c r="A4309" s="564">
        <v>421</v>
      </c>
      <c r="B4309" s="562" t="s">
        <v>895</v>
      </c>
      <c r="C4309" s="403">
        <v>355</v>
      </c>
      <c r="D4309" s="400"/>
      <c r="E4309" s="400"/>
      <c r="F4309" s="400"/>
      <c r="G4309" s="400"/>
      <c r="H4309" s="396"/>
    </row>
    <row r="4310" spans="1:8" s="401" customFormat="1" ht="14.25" customHeight="1" x14ac:dyDescent="0.25">
      <c r="A4310" s="564">
        <v>532</v>
      </c>
      <c r="B4310" s="562" t="s">
        <v>915</v>
      </c>
      <c r="C4310" s="403">
        <v>1</v>
      </c>
      <c r="D4310" s="400"/>
      <c r="E4310" s="400"/>
      <c r="F4310" s="400"/>
      <c r="G4310" s="400"/>
      <c r="H4310" s="396"/>
    </row>
    <row r="4311" spans="1:8" s="401" customFormat="1" ht="14.25" customHeight="1" x14ac:dyDescent="0.25">
      <c r="A4311" s="564">
        <v>1094</v>
      </c>
      <c r="B4311" s="562" t="s">
        <v>895</v>
      </c>
      <c r="C4311" s="403">
        <v>355</v>
      </c>
      <c r="D4311" s="400"/>
      <c r="E4311" s="400"/>
      <c r="F4311" s="400"/>
      <c r="G4311" s="400"/>
      <c r="H4311" s="396"/>
    </row>
    <row r="4312" spans="1:8" s="401" customFormat="1" ht="14.25" customHeight="1" x14ac:dyDescent="0.25">
      <c r="A4312" s="564">
        <v>1307</v>
      </c>
      <c r="B4312" s="562" t="s">
        <v>895</v>
      </c>
      <c r="C4312" s="403">
        <v>1485</v>
      </c>
      <c r="D4312" s="400"/>
      <c r="E4312" s="400"/>
      <c r="F4312" s="400"/>
      <c r="G4312" s="400"/>
      <c r="H4312" s="396"/>
    </row>
    <row r="4313" spans="1:8" s="401" customFormat="1" ht="14.25" customHeight="1" x14ac:dyDescent="0.25">
      <c r="A4313" s="564">
        <v>1310</v>
      </c>
      <c r="B4313" s="562" t="s">
        <v>895</v>
      </c>
      <c r="C4313" s="403">
        <v>240</v>
      </c>
      <c r="D4313" s="400"/>
      <c r="E4313" s="400"/>
      <c r="F4313" s="400"/>
      <c r="G4313" s="400"/>
      <c r="H4313" s="396"/>
    </row>
    <row r="4314" spans="1:8" s="401" customFormat="1" ht="14.25" customHeight="1" x14ac:dyDescent="0.25">
      <c r="A4314" s="564">
        <v>1237</v>
      </c>
      <c r="B4314" s="562" t="s">
        <v>895</v>
      </c>
      <c r="C4314" s="403">
        <v>1050</v>
      </c>
      <c r="D4314" s="400"/>
      <c r="E4314" s="400"/>
      <c r="F4314" s="400"/>
      <c r="G4314" s="400"/>
      <c r="H4314" s="396"/>
    </row>
    <row r="4315" spans="1:8" s="401" customFormat="1" ht="14.25" customHeight="1" x14ac:dyDescent="0.25">
      <c r="A4315" s="564">
        <v>1096</v>
      </c>
      <c r="B4315" s="562" t="s">
        <v>895</v>
      </c>
      <c r="C4315" s="403">
        <v>232</v>
      </c>
      <c r="D4315" s="400"/>
      <c r="E4315" s="400"/>
      <c r="F4315" s="400"/>
      <c r="G4315" s="400"/>
      <c r="H4315" s="396"/>
    </row>
    <row r="4316" spans="1:8" s="401" customFormat="1" ht="14.25" customHeight="1" x14ac:dyDescent="0.25">
      <c r="A4316" s="564">
        <v>1187</v>
      </c>
      <c r="B4316" s="562" t="s">
        <v>915</v>
      </c>
      <c r="C4316" s="403">
        <v>452</v>
      </c>
      <c r="D4316" s="400"/>
      <c r="E4316" s="400"/>
      <c r="F4316" s="400"/>
      <c r="G4316" s="400"/>
      <c r="H4316" s="396"/>
    </row>
    <row r="4317" spans="1:8" s="401" customFormat="1" ht="14.25" customHeight="1" x14ac:dyDescent="0.25">
      <c r="A4317" s="564">
        <v>1136</v>
      </c>
      <c r="B4317" s="562" t="s">
        <v>895</v>
      </c>
      <c r="C4317" s="403">
        <v>384</v>
      </c>
      <c r="D4317" s="400"/>
      <c r="E4317" s="400"/>
      <c r="F4317" s="400"/>
      <c r="G4317" s="400"/>
      <c r="H4317" s="396"/>
    </row>
    <row r="4318" spans="1:8" s="401" customFormat="1" ht="14.25" customHeight="1" x14ac:dyDescent="0.25">
      <c r="A4318" s="564">
        <v>1279</v>
      </c>
      <c r="B4318" s="562" t="s">
        <v>915</v>
      </c>
      <c r="C4318" s="403">
        <v>1</v>
      </c>
      <c r="D4318" s="400"/>
      <c r="E4318" s="400"/>
      <c r="F4318" s="400"/>
      <c r="G4318" s="400"/>
      <c r="H4318" s="396"/>
    </row>
    <row r="4319" spans="1:8" s="401" customFormat="1" ht="14.25" customHeight="1" x14ac:dyDescent="0.25">
      <c r="A4319" s="564">
        <v>2028</v>
      </c>
      <c r="B4319" s="562" t="s">
        <v>895</v>
      </c>
      <c r="C4319" s="403">
        <v>314</v>
      </c>
      <c r="D4319" s="400"/>
      <c r="E4319" s="400"/>
      <c r="F4319" s="400"/>
      <c r="G4319" s="400"/>
      <c r="H4319" s="396"/>
    </row>
    <row r="4320" spans="1:8" s="401" customFormat="1" ht="14.25" customHeight="1" x14ac:dyDescent="0.25">
      <c r="A4320" s="564">
        <v>2152</v>
      </c>
      <c r="B4320" s="562" t="s">
        <v>915</v>
      </c>
      <c r="C4320" s="403">
        <v>696</v>
      </c>
      <c r="D4320" s="400"/>
      <c r="E4320" s="400"/>
      <c r="F4320" s="400"/>
      <c r="G4320" s="400"/>
      <c r="H4320" s="396"/>
    </row>
    <row r="4321" spans="1:8" s="401" customFormat="1" ht="14.25" customHeight="1" x14ac:dyDescent="0.25">
      <c r="A4321" s="564">
        <v>2156</v>
      </c>
      <c r="B4321" s="562" t="s">
        <v>915</v>
      </c>
      <c r="C4321" s="403">
        <v>696</v>
      </c>
      <c r="D4321" s="400"/>
      <c r="E4321" s="400"/>
      <c r="F4321" s="400"/>
      <c r="G4321" s="400"/>
      <c r="H4321" s="396"/>
    </row>
    <row r="4322" spans="1:8" s="401" customFormat="1" ht="14.25" customHeight="1" x14ac:dyDescent="0.25">
      <c r="A4322" s="564">
        <v>2160</v>
      </c>
      <c r="B4322" s="562" t="s">
        <v>915</v>
      </c>
      <c r="C4322" s="403">
        <v>696</v>
      </c>
      <c r="D4322" s="400"/>
      <c r="E4322" s="400"/>
      <c r="F4322" s="400"/>
      <c r="G4322" s="400"/>
      <c r="H4322" s="396"/>
    </row>
    <row r="4323" spans="1:8" s="401" customFormat="1" ht="14.25" customHeight="1" x14ac:dyDescent="0.25">
      <c r="A4323" s="564">
        <v>2165</v>
      </c>
      <c r="B4323" s="562" t="s">
        <v>915</v>
      </c>
      <c r="C4323" s="403">
        <v>696</v>
      </c>
      <c r="D4323" s="400"/>
      <c r="E4323" s="400"/>
      <c r="F4323" s="400"/>
      <c r="G4323" s="400"/>
      <c r="H4323" s="396"/>
    </row>
    <row r="4324" spans="1:8" s="401" customFormat="1" ht="14.25" customHeight="1" x14ac:dyDescent="0.25">
      <c r="A4324" s="564">
        <v>2229</v>
      </c>
      <c r="B4324" s="562" t="s">
        <v>895</v>
      </c>
      <c r="C4324" s="403">
        <v>496</v>
      </c>
      <c r="D4324" s="400"/>
      <c r="E4324" s="400"/>
      <c r="F4324" s="400"/>
      <c r="G4324" s="400"/>
      <c r="H4324" s="396"/>
    </row>
    <row r="4325" spans="1:8" s="401" customFormat="1" ht="14.25" customHeight="1" x14ac:dyDescent="0.25">
      <c r="A4325" s="564">
        <v>2420</v>
      </c>
      <c r="B4325" s="562" t="s">
        <v>915</v>
      </c>
      <c r="C4325" s="403">
        <v>1044</v>
      </c>
      <c r="D4325" s="400"/>
      <c r="E4325" s="400"/>
      <c r="F4325" s="400"/>
      <c r="G4325" s="400"/>
      <c r="H4325" s="396"/>
    </row>
    <row r="4326" spans="1:8" s="401" customFormat="1" ht="14.25" customHeight="1" x14ac:dyDescent="0.25">
      <c r="A4326" s="564">
        <v>2429</v>
      </c>
      <c r="B4326" s="562" t="s">
        <v>895</v>
      </c>
      <c r="C4326" s="403">
        <v>805</v>
      </c>
      <c r="D4326" s="400"/>
      <c r="E4326" s="400"/>
      <c r="F4326" s="400"/>
      <c r="G4326" s="400"/>
      <c r="H4326" s="396"/>
    </row>
    <row r="4327" spans="1:8" s="401" customFormat="1" ht="14.25" customHeight="1" x14ac:dyDescent="0.25">
      <c r="A4327" s="564">
        <v>2495</v>
      </c>
      <c r="B4327" s="562" t="s">
        <v>895</v>
      </c>
      <c r="C4327" s="403">
        <v>1610</v>
      </c>
      <c r="D4327" s="400"/>
      <c r="E4327" s="400"/>
      <c r="F4327" s="400"/>
      <c r="G4327" s="400"/>
      <c r="H4327" s="396"/>
    </row>
    <row r="4328" spans="1:8" s="401" customFormat="1" ht="14.25" customHeight="1" x14ac:dyDescent="0.25">
      <c r="A4328" s="564">
        <v>2501</v>
      </c>
      <c r="B4328" s="562" t="s">
        <v>915</v>
      </c>
      <c r="C4328" s="403">
        <v>1</v>
      </c>
      <c r="D4328" s="400"/>
      <c r="E4328" s="400"/>
      <c r="F4328" s="400"/>
      <c r="G4328" s="400"/>
      <c r="H4328" s="396"/>
    </row>
    <row r="4329" spans="1:8" s="401" customFormat="1" ht="14.25" customHeight="1" x14ac:dyDescent="0.25">
      <c r="A4329" s="564">
        <v>2507</v>
      </c>
      <c r="B4329" s="562" t="s">
        <v>915</v>
      </c>
      <c r="C4329" s="403">
        <v>460</v>
      </c>
      <c r="D4329" s="400"/>
      <c r="E4329" s="400"/>
      <c r="F4329" s="400"/>
      <c r="G4329" s="400"/>
      <c r="H4329" s="396"/>
    </row>
    <row r="4330" spans="1:8" s="401" customFormat="1" ht="14.25" customHeight="1" x14ac:dyDescent="0.25">
      <c r="A4330" s="564">
        <v>2515</v>
      </c>
      <c r="B4330" s="562" t="s">
        <v>915</v>
      </c>
      <c r="C4330" s="403">
        <v>460</v>
      </c>
      <c r="D4330" s="400"/>
      <c r="E4330" s="400"/>
      <c r="F4330" s="400"/>
      <c r="G4330" s="400"/>
      <c r="H4330" s="396"/>
    </row>
    <row r="4331" spans="1:8" s="401" customFormat="1" ht="14.25" customHeight="1" x14ac:dyDescent="0.25">
      <c r="A4331" s="564">
        <v>2517</v>
      </c>
      <c r="B4331" s="562" t="s">
        <v>915</v>
      </c>
      <c r="C4331" s="403">
        <v>1</v>
      </c>
      <c r="D4331" s="400"/>
      <c r="E4331" s="400"/>
      <c r="F4331" s="400"/>
      <c r="G4331" s="400"/>
      <c r="H4331" s="396"/>
    </row>
    <row r="4332" spans="1:8" s="401" customFormat="1" ht="14.25" customHeight="1" x14ac:dyDescent="0.25">
      <c r="A4332" s="564">
        <v>2520</v>
      </c>
      <c r="B4332" s="562" t="s">
        <v>915</v>
      </c>
      <c r="C4332" s="403">
        <v>460</v>
      </c>
      <c r="D4332" s="400"/>
      <c r="E4332" s="400"/>
      <c r="F4332" s="400"/>
      <c r="G4332" s="400"/>
      <c r="H4332" s="396"/>
    </row>
    <row r="4333" spans="1:8" s="401" customFormat="1" ht="14.25" customHeight="1" x14ac:dyDescent="0.25">
      <c r="A4333" s="564">
        <v>2523</v>
      </c>
      <c r="B4333" s="562" t="s">
        <v>915</v>
      </c>
      <c r="C4333" s="403">
        <v>460</v>
      </c>
      <c r="D4333" s="400"/>
      <c r="E4333" s="400"/>
      <c r="F4333" s="400"/>
      <c r="G4333" s="400"/>
      <c r="H4333" s="396"/>
    </row>
    <row r="4334" spans="1:8" s="401" customFormat="1" ht="14.25" customHeight="1" x14ac:dyDescent="0.25">
      <c r="A4334" s="564">
        <v>2524</v>
      </c>
      <c r="B4334" s="562" t="s">
        <v>915</v>
      </c>
      <c r="C4334" s="403">
        <v>1</v>
      </c>
      <c r="D4334" s="400"/>
      <c r="E4334" s="400"/>
      <c r="F4334" s="400"/>
      <c r="G4334" s="400"/>
      <c r="H4334" s="396"/>
    </row>
    <row r="4335" spans="1:8" s="401" customFormat="1" ht="14.25" customHeight="1" x14ac:dyDescent="0.25">
      <c r="A4335" s="564">
        <v>2527</v>
      </c>
      <c r="B4335" s="562" t="s">
        <v>915</v>
      </c>
      <c r="C4335" s="403">
        <v>1</v>
      </c>
      <c r="D4335" s="400"/>
      <c r="E4335" s="400"/>
      <c r="F4335" s="400"/>
      <c r="G4335" s="400"/>
      <c r="H4335" s="396"/>
    </row>
    <row r="4336" spans="1:8" s="401" customFormat="1" ht="14.25" customHeight="1" x14ac:dyDescent="0.25">
      <c r="A4336" s="564">
        <v>2532</v>
      </c>
      <c r="B4336" s="562" t="s">
        <v>915</v>
      </c>
      <c r="C4336" s="403">
        <v>1</v>
      </c>
      <c r="D4336" s="400"/>
      <c r="E4336" s="400"/>
      <c r="F4336" s="400"/>
      <c r="G4336" s="400"/>
      <c r="H4336" s="396"/>
    </row>
    <row r="4337" spans="1:8" s="401" customFormat="1" ht="14.25" customHeight="1" x14ac:dyDescent="0.25">
      <c r="A4337" s="564">
        <v>2534</v>
      </c>
      <c r="B4337" s="562" t="s">
        <v>915</v>
      </c>
      <c r="C4337" s="403">
        <v>1</v>
      </c>
      <c r="D4337" s="400"/>
      <c r="E4337" s="400"/>
      <c r="F4337" s="400"/>
      <c r="G4337" s="400"/>
      <c r="H4337" s="396"/>
    </row>
    <row r="4338" spans="1:8" s="401" customFormat="1" ht="14.25" customHeight="1" x14ac:dyDescent="0.25">
      <c r="A4338" s="564">
        <v>2669</v>
      </c>
      <c r="B4338" s="562" t="s">
        <v>915</v>
      </c>
      <c r="C4338" s="403">
        <v>888</v>
      </c>
      <c r="D4338" s="400"/>
      <c r="E4338" s="400"/>
      <c r="F4338" s="400"/>
      <c r="G4338" s="400"/>
      <c r="H4338" s="396"/>
    </row>
    <row r="4339" spans="1:8" s="401" customFormat="1" ht="14.25" customHeight="1" x14ac:dyDescent="0.25">
      <c r="A4339" s="564">
        <v>2266</v>
      </c>
      <c r="B4339" s="562" t="s">
        <v>915</v>
      </c>
      <c r="C4339" s="403">
        <v>568</v>
      </c>
      <c r="D4339" s="400"/>
      <c r="E4339" s="400"/>
      <c r="F4339" s="400"/>
      <c r="G4339" s="400"/>
      <c r="H4339" s="396"/>
    </row>
    <row r="4340" spans="1:8" s="401" customFormat="1" ht="14.25" customHeight="1" x14ac:dyDescent="0.25">
      <c r="A4340" s="564">
        <v>2372</v>
      </c>
      <c r="B4340" s="562" t="s">
        <v>895</v>
      </c>
      <c r="C4340" s="403">
        <v>1392</v>
      </c>
      <c r="D4340" s="400"/>
      <c r="E4340" s="400"/>
      <c r="F4340" s="400"/>
      <c r="G4340" s="400"/>
      <c r="H4340" s="396"/>
    </row>
    <row r="4341" spans="1:8" s="401" customFormat="1" ht="14.25" customHeight="1" x14ac:dyDescent="0.25">
      <c r="A4341" s="564">
        <v>2052</v>
      </c>
      <c r="B4341" s="562" t="s">
        <v>895</v>
      </c>
      <c r="C4341" s="403">
        <v>297</v>
      </c>
      <c r="D4341" s="400"/>
      <c r="E4341" s="400"/>
      <c r="F4341" s="400"/>
      <c r="G4341" s="400"/>
      <c r="H4341" s="396"/>
    </row>
    <row r="4342" spans="1:8" s="401" customFormat="1" ht="14.25" customHeight="1" x14ac:dyDescent="0.25">
      <c r="A4342" s="564">
        <v>2427</v>
      </c>
      <c r="B4342" s="562" t="s">
        <v>895</v>
      </c>
      <c r="C4342" s="403">
        <v>463</v>
      </c>
      <c r="D4342" s="400"/>
      <c r="E4342" s="400"/>
      <c r="F4342" s="400"/>
      <c r="G4342" s="400"/>
      <c r="H4342" s="396"/>
    </row>
    <row r="4343" spans="1:8" s="401" customFormat="1" ht="14.25" customHeight="1" x14ac:dyDescent="0.25">
      <c r="A4343" s="564">
        <v>2008</v>
      </c>
      <c r="B4343" s="562" t="s">
        <v>895</v>
      </c>
      <c r="C4343" s="403">
        <v>355</v>
      </c>
      <c r="D4343" s="400"/>
      <c r="E4343" s="400"/>
      <c r="F4343" s="400"/>
      <c r="G4343" s="400"/>
      <c r="H4343" s="396"/>
    </row>
    <row r="4344" spans="1:8" s="401" customFormat="1" ht="14.25" customHeight="1" x14ac:dyDescent="0.25">
      <c r="A4344" s="564">
        <v>2666</v>
      </c>
      <c r="B4344" s="562" t="s">
        <v>915</v>
      </c>
      <c r="C4344" s="403">
        <v>1</v>
      </c>
      <c r="D4344" s="400"/>
      <c r="E4344" s="400"/>
      <c r="F4344" s="400"/>
      <c r="G4344" s="400"/>
      <c r="H4344" s="396"/>
    </row>
    <row r="4345" spans="1:8" s="401" customFormat="1" ht="14.25" customHeight="1" x14ac:dyDescent="0.25">
      <c r="A4345" s="564">
        <v>2587</v>
      </c>
      <c r="B4345" s="562" t="s">
        <v>895</v>
      </c>
      <c r="C4345" s="403">
        <v>413</v>
      </c>
      <c r="D4345" s="400"/>
      <c r="E4345" s="400"/>
      <c r="F4345" s="400"/>
      <c r="G4345" s="400"/>
      <c r="H4345" s="396"/>
    </row>
    <row r="4346" spans="1:8" s="401" customFormat="1" ht="14.25" customHeight="1" x14ac:dyDescent="0.25">
      <c r="A4346" s="564">
        <v>3819</v>
      </c>
      <c r="B4346" s="562" t="s">
        <v>895</v>
      </c>
      <c r="C4346" s="403">
        <v>1127</v>
      </c>
      <c r="D4346" s="400"/>
      <c r="E4346" s="400"/>
      <c r="F4346" s="400"/>
      <c r="G4346" s="400"/>
      <c r="H4346" s="396"/>
    </row>
    <row r="4347" spans="1:8" s="401" customFormat="1" ht="14.25" customHeight="1" x14ac:dyDescent="0.25">
      <c r="A4347" s="564">
        <v>4104</v>
      </c>
      <c r="B4347" s="562" t="s">
        <v>895</v>
      </c>
      <c r="C4347" s="403">
        <v>1</v>
      </c>
      <c r="D4347" s="400"/>
      <c r="E4347" s="400"/>
      <c r="F4347" s="400"/>
      <c r="G4347" s="400"/>
      <c r="H4347" s="396"/>
    </row>
    <row r="4348" spans="1:8" s="401" customFormat="1" ht="14.25" customHeight="1" x14ac:dyDescent="0.25">
      <c r="A4348" s="564">
        <v>3643</v>
      </c>
      <c r="B4348" s="562" t="s">
        <v>895</v>
      </c>
      <c r="C4348" s="403">
        <v>1148</v>
      </c>
      <c r="D4348" s="400"/>
      <c r="E4348" s="400"/>
      <c r="F4348" s="400"/>
      <c r="G4348" s="400"/>
      <c r="H4348" s="396"/>
    </row>
    <row r="4349" spans="1:8" s="401" customFormat="1" ht="14.25" customHeight="1" x14ac:dyDescent="0.25">
      <c r="A4349" s="564">
        <v>3626</v>
      </c>
      <c r="B4349" s="562" t="s">
        <v>895</v>
      </c>
      <c r="C4349" s="403">
        <v>452</v>
      </c>
      <c r="D4349" s="400"/>
      <c r="E4349" s="400"/>
      <c r="F4349" s="400"/>
      <c r="G4349" s="400"/>
      <c r="H4349" s="396"/>
    </row>
    <row r="4350" spans="1:8" s="401" customFormat="1" ht="14.25" customHeight="1" x14ac:dyDescent="0.25">
      <c r="A4350" s="564">
        <v>3896</v>
      </c>
      <c r="B4350" s="562" t="s">
        <v>895</v>
      </c>
      <c r="C4350" s="403">
        <v>1018</v>
      </c>
      <c r="D4350" s="400"/>
      <c r="E4350" s="400"/>
      <c r="F4350" s="400"/>
      <c r="G4350" s="400"/>
      <c r="H4350" s="396"/>
    </row>
    <row r="4351" spans="1:8" s="401" customFormat="1" ht="14.25" customHeight="1" x14ac:dyDescent="0.25">
      <c r="A4351" s="564">
        <v>5067</v>
      </c>
      <c r="B4351" s="562" t="s">
        <v>895</v>
      </c>
      <c r="C4351" s="403">
        <v>4960</v>
      </c>
      <c r="D4351" s="400"/>
      <c r="E4351" s="400"/>
      <c r="F4351" s="400"/>
      <c r="G4351" s="400"/>
      <c r="H4351" s="396"/>
    </row>
    <row r="4352" spans="1:8" s="401" customFormat="1" ht="14.25" customHeight="1" x14ac:dyDescent="0.25">
      <c r="A4352" s="564">
        <v>5070</v>
      </c>
      <c r="B4352" s="562" t="s">
        <v>895</v>
      </c>
      <c r="C4352" s="403">
        <v>4960</v>
      </c>
      <c r="D4352" s="400"/>
      <c r="E4352" s="400"/>
      <c r="F4352" s="400"/>
      <c r="G4352" s="400"/>
      <c r="H4352" s="396"/>
    </row>
    <row r="4353" spans="1:8" s="401" customFormat="1" ht="14.25" customHeight="1" x14ac:dyDescent="0.25">
      <c r="A4353" s="564">
        <v>3810</v>
      </c>
      <c r="B4353" s="562" t="s">
        <v>1012</v>
      </c>
      <c r="C4353" s="403">
        <v>86420</v>
      </c>
      <c r="D4353" s="400"/>
      <c r="E4353" s="400"/>
      <c r="F4353" s="400"/>
      <c r="G4353" s="400"/>
      <c r="H4353" s="396"/>
    </row>
    <row r="4354" spans="1:8" s="401" customFormat="1" ht="14.25" customHeight="1" x14ac:dyDescent="0.25">
      <c r="A4354" s="564">
        <v>3811</v>
      </c>
      <c r="B4354" s="562" t="s">
        <v>1012</v>
      </c>
      <c r="C4354" s="403">
        <v>6842</v>
      </c>
      <c r="D4354" s="400"/>
      <c r="E4354" s="400"/>
      <c r="F4354" s="400"/>
      <c r="G4354" s="400"/>
      <c r="H4354" s="396"/>
    </row>
    <row r="4355" spans="1:8" s="401" customFormat="1" ht="14.25" customHeight="1" x14ac:dyDescent="0.25">
      <c r="A4355" s="564">
        <v>3685</v>
      </c>
      <c r="B4355" s="562" t="s">
        <v>895</v>
      </c>
      <c r="C4355" s="403">
        <v>313</v>
      </c>
      <c r="D4355" s="400"/>
      <c r="E4355" s="400"/>
      <c r="F4355" s="400"/>
      <c r="G4355" s="400"/>
      <c r="H4355" s="396"/>
    </row>
    <row r="4356" spans="1:8" s="401" customFormat="1" ht="14.25" customHeight="1" x14ac:dyDescent="0.25">
      <c r="A4356" s="564">
        <v>3700</v>
      </c>
      <c r="B4356" s="562" t="s">
        <v>915</v>
      </c>
      <c r="C4356" s="403">
        <v>406</v>
      </c>
      <c r="D4356" s="400"/>
      <c r="E4356" s="400"/>
      <c r="F4356" s="400"/>
      <c r="G4356" s="400"/>
      <c r="H4356" s="396"/>
    </row>
    <row r="4357" spans="1:8" s="401" customFormat="1" ht="14.25" customHeight="1" x14ac:dyDescent="0.25">
      <c r="A4357" s="564">
        <v>2660</v>
      </c>
      <c r="B4357" s="562" t="s">
        <v>895</v>
      </c>
      <c r="C4357" s="403">
        <v>799</v>
      </c>
      <c r="D4357" s="400"/>
      <c r="E4357" s="400"/>
      <c r="F4357" s="400"/>
      <c r="G4357" s="400"/>
      <c r="H4357" s="396"/>
    </row>
    <row r="4358" spans="1:8" s="401" customFormat="1" ht="14.25" customHeight="1" x14ac:dyDescent="0.25">
      <c r="A4358" s="564">
        <v>3703</v>
      </c>
      <c r="B4358" s="562" t="s">
        <v>895</v>
      </c>
      <c r="C4358" s="403">
        <v>456</v>
      </c>
      <c r="D4358" s="400"/>
      <c r="E4358" s="400"/>
      <c r="F4358" s="400"/>
      <c r="G4358" s="400"/>
      <c r="H4358" s="396"/>
    </row>
    <row r="4359" spans="1:8" s="401" customFormat="1" ht="14.25" customHeight="1" x14ac:dyDescent="0.25">
      <c r="A4359" s="564">
        <v>357</v>
      </c>
      <c r="B4359" s="562" t="s">
        <v>1013</v>
      </c>
      <c r="C4359" s="403">
        <v>1160</v>
      </c>
      <c r="D4359" s="400"/>
      <c r="E4359" s="400"/>
      <c r="F4359" s="400"/>
      <c r="G4359" s="400"/>
      <c r="H4359" s="396"/>
    </row>
    <row r="4360" spans="1:8" s="401" customFormat="1" ht="14.25" customHeight="1" x14ac:dyDescent="0.25">
      <c r="A4360" s="564">
        <v>410</v>
      </c>
      <c r="B4360" s="562" t="s">
        <v>895</v>
      </c>
      <c r="C4360" s="403">
        <v>14356</v>
      </c>
      <c r="D4360" s="400"/>
      <c r="E4360" s="400"/>
      <c r="F4360" s="400"/>
      <c r="G4360" s="400"/>
      <c r="H4360" s="396"/>
    </row>
    <row r="4361" spans="1:8" s="401" customFormat="1" ht="14.25" customHeight="1" x14ac:dyDescent="0.25">
      <c r="A4361" s="564">
        <v>413</v>
      </c>
      <c r="B4361" s="562" t="s">
        <v>895</v>
      </c>
      <c r="C4361" s="403">
        <v>8050</v>
      </c>
      <c r="D4361" s="400"/>
      <c r="E4361" s="400"/>
      <c r="F4361" s="400"/>
      <c r="G4361" s="400"/>
      <c r="H4361" s="396"/>
    </row>
    <row r="4362" spans="1:8" s="401" customFormat="1" ht="14.25" customHeight="1" x14ac:dyDescent="0.25">
      <c r="A4362" s="564">
        <v>1815</v>
      </c>
      <c r="B4362" s="562" t="s">
        <v>895</v>
      </c>
      <c r="C4362" s="403">
        <v>7296</v>
      </c>
      <c r="D4362" s="400"/>
      <c r="E4362" s="400"/>
      <c r="F4362" s="400"/>
      <c r="G4362" s="400"/>
      <c r="H4362" s="396"/>
    </row>
    <row r="4363" spans="1:8" s="401" customFormat="1" ht="14.25" customHeight="1" x14ac:dyDescent="0.25">
      <c r="A4363" s="564">
        <v>1820</v>
      </c>
      <c r="B4363" s="562" t="s">
        <v>895</v>
      </c>
      <c r="C4363" s="403">
        <v>14145</v>
      </c>
      <c r="D4363" s="400"/>
      <c r="E4363" s="400"/>
      <c r="F4363" s="400"/>
      <c r="G4363" s="400"/>
      <c r="H4363" s="396"/>
    </row>
    <row r="4364" spans="1:8" s="401" customFormat="1" ht="14.25" customHeight="1" x14ac:dyDescent="0.25">
      <c r="A4364" s="564">
        <v>1821</v>
      </c>
      <c r="B4364" s="562" t="s">
        <v>895</v>
      </c>
      <c r="C4364" s="403">
        <v>15985</v>
      </c>
      <c r="D4364" s="400"/>
      <c r="E4364" s="400"/>
      <c r="F4364" s="400"/>
      <c r="G4364" s="400"/>
      <c r="H4364" s="396"/>
    </row>
    <row r="4365" spans="1:8" s="401" customFormat="1" ht="14.25" customHeight="1" x14ac:dyDescent="0.25">
      <c r="A4365" s="564">
        <v>1822</v>
      </c>
      <c r="B4365" s="562" t="s">
        <v>895</v>
      </c>
      <c r="C4365" s="403">
        <v>2875</v>
      </c>
      <c r="D4365" s="400"/>
      <c r="E4365" s="400"/>
      <c r="F4365" s="400"/>
      <c r="G4365" s="400"/>
      <c r="H4365" s="396"/>
    </row>
    <row r="4366" spans="1:8" s="401" customFormat="1" ht="14.25" customHeight="1" x14ac:dyDescent="0.25">
      <c r="A4366" s="564">
        <v>1823</v>
      </c>
      <c r="B4366" s="562" t="s">
        <v>1014</v>
      </c>
      <c r="C4366" s="403">
        <v>897</v>
      </c>
      <c r="D4366" s="400"/>
      <c r="E4366" s="400"/>
      <c r="F4366" s="400"/>
      <c r="G4366" s="400"/>
      <c r="H4366" s="396"/>
    </row>
    <row r="4367" spans="1:8" s="401" customFormat="1" ht="14.25" customHeight="1" x14ac:dyDescent="0.25">
      <c r="A4367" s="564">
        <v>1824</v>
      </c>
      <c r="B4367" s="562" t="s">
        <v>1015</v>
      </c>
      <c r="C4367" s="403">
        <v>1150</v>
      </c>
      <c r="D4367" s="400"/>
      <c r="E4367" s="400"/>
      <c r="F4367" s="400"/>
      <c r="G4367" s="400"/>
      <c r="H4367" s="396"/>
    </row>
    <row r="4368" spans="1:8" s="401" customFormat="1" ht="14.25" customHeight="1" x14ac:dyDescent="0.25">
      <c r="A4368" s="564">
        <v>1827</v>
      </c>
      <c r="B4368" s="562" t="s">
        <v>895</v>
      </c>
      <c r="C4368" s="403">
        <v>1929</v>
      </c>
      <c r="D4368" s="400"/>
      <c r="E4368" s="400"/>
      <c r="F4368" s="400"/>
      <c r="G4368" s="400"/>
      <c r="H4368" s="396"/>
    </row>
    <row r="4369" spans="1:8" s="401" customFormat="1" ht="14.25" customHeight="1" x14ac:dyDescent="0.25">
      <c r="A4369" s="564">
        <v>1828</v>
      </c>
      <c r="B4369" s="562" t="s">
        <v>895</v>
      </c>
      <c r="C4369" s="403">
        <v>1</v>
      </c>
      <c r="D4369" s="400"/>
      <c r="E4369" s="400"/>
      <c r="F4369" s="400"/>
      <c r="G4369" s="400"/>
      <c r="H4369" s="396"/>
    </row>
    <row r="4370" spans="1:8" s="401" customFormat="1" ht="14.25" customHeight="1" x14ac:dyDescent="0.25">
      <c r="A4370" s="564">
        <v>1830</v>
      </c>
      <c r="B4370" s="562" t="s">
        <v>895</v>
      </c>
      <c r="C4370" s="403">
        <v>427</v>
      </c>
      <c r="D4370" s="400"/>
      <c r="E4370" s="400"/>
      <c r="F4370" s="400"/>
      <c r="G4370" s="400"/>
      <c r="H4370" s="396"/>
    </row>
    <row r="4371" spans="1:8" s="401" customFormat="1" ht="14.25" customHeight="1" x14ac:dyDescent="0.25">
      <c r="A4371" s="564">
        <v>1831</v>
      </c>
      <c r="B4371" s="562" t="s">
        <v>895</v>
      </c>
      <c r="C4371" s="403">
        <v>850</v>
      </c>
      <c r="D4371" s="400"/>
      <c r="E4371" s="400"/>
      <c r="F4371" s="400"/>
      <c r="G4371" s="400"/>
      <c r="H4371" s="396"/>
    </row>
    <row r="4372" spans="1:8" s="401" customFormat="1" ht="14.25" customHeight="1" x14ac:dyDescent="0.25">
      <c r="A4372" s="564">
        <v>1845</v>
      </c>
      <c r="B4372" s="562" t="s">
        <v>895</v>
      </c>
      <c r="C4372" s="403">
        <v>1392</v>
      </c>
      <c r="D4372" s="400"/>
      <c r="E4372" s="400"/>
      <c r="F4372" s="400"/>
      <c r="G4372" s="400"/>
      <c r="H4372" s="396"/>
    </row>
    <row r="4373" spans="1:8" s="401" customFormat="1" ht="14.25" customHeight="1" x14ac:dyDescent="0.25">
      <c r="A4373" s="564">
        <v>366</v>
      </c>
      <c r="B4373" s="562" t="s">
        <v>895</v>
      </c>
      <c r="C4373" s="403">
        <v>850</v>
      </c>
      <c r="D4373" s="400"/>
      <c r="E4373" s="400"/>
      <c r="F4373" s="400"/>
      <c r="G4373" s="400"/>
      <c r="H4373" s="396"/>
    </row>
    <row r="4374" spans="1:8" s="401" customFormat="1" ht="14.25" customHeight="1" x14ac:dyDescent="0.25">
      <c r="A4374" s="564">
        <v>256</v>
      </c>
      <c r="B4374" s="562" t="s">
        <v>895</v>
      </c>
      <c r="C4374" s="403">
        <v>1148</v>
      </c>
      <c r="D4374" s="400"/>
      <c r="E4374" s="400"/>
      <c r="F4374" s="400"/>
      <c r="G4374" s="400"/>
      <c r="H4374" s="396"/>
    </row>
    <row r="4375" spans="1:8" s="401" customFormat="1" ht="14.25" customHeight="1" x14ac:dyDescent="0.25">
      <c r="A4375" s="564">
        <v>289</v>
      </c>
      <c r="B4375" s="562" t="s">
        <v>895</v>
      </c>
      <c r="C4375" s="403">
        <v>850</v>
      </c>
      <c r="D4375" s="400"/>
      <c r="E4375" s="400"/>
      <c r="F4375" s="400"/>
      <c r="G4375" s="400"/>
      <c r="H4375" s="396"/>
    </row>
    <row r="4376" spans="1:8" s="401" customFormat="1" ht="14.25" customHeight="1" x14ac:dyDescent="0.25">
      <c r="A4376" s="564">
        <v>4963</v>
      </c>
      <c r="B4376" s="562" t="s">
        <v>1016</v>
      </c>
      <c r="C4376" s="403">
        <v>812</v>
      </c>
      <c r="D4376" s="400"/>
      <c r="E4376" s="400"/>
      <c r="F4376" s="400"/>
      <c r="G4376" s="400"/>
      <c r="H4376" s="396"/>
    </row>
    <row r="4377" spans="1:8" s="401" customFormat="1" ht="14.25" customHeight="1" x14ac:dyDescent="0.25">
      <c r="A4377" s="564">
        <v>4864</v>
      </c>
      <c r="B4377" s="562" t="s">
        <v>1017</v>
      </c>
      <c r="C4377" s="403">
        <v>2499</v>
      </c>
      <c r="D4377" s="400"/>
      <c r="E4377" s="400"/>
      <c r="F4377" s="400"/>
      <c r="G4377" s="400"/>
      <c r="H4377" s="396"/>
    </row>
    <row r="4378" spans="1:8" s="401" customFormat="1" ht="14.25" customHeight="1" x14ac:dyDescent="0.25">
      <c r="A4378" s="564">
        <v>4795</v>
      </c>
      <c r="B4378" s="562" t="s">
        <v>1018</v>
      </c>
      <c r="C4378" s="403">
        <v>2357.36</v>
      </c>
      <c r="D4378" s="400"/>
      <c r="E4378" s="400"/>
      <c r="F4378" s="400"/>
      <c r="G4378" s="400"/>
      <c r="H4378" s="396"/>
    </row>
    <row r="4379" spans="1:8" s="401" customFormat="1" ht="14.25" customHeight="1" x14ac:dyDescent="0.25">
      <c r="A4379" s="564">
        <v>4798</v>
      </c>
      <c r="B4379" s="562" t="s">
        <v>1018</v>
      </c>
      <c r="C4379" s="403">
        <v>2357.36</v>
      </c>
      <c r="D4379" s="400"/>
      <c r="E4379" s="400"/>
      <c r="F4379" s="400"/>
      <c r="G4379" s="400"/>
      <c r="H4379" s="396"/>
    </row>
    <row r="4380" spans="1:8" s="401" customFormat="1" ht="14.25" customHeight="1" x14ac:dyDescent="0.25">
      <c r="A4380" s="564">
        <v>4824</v>
      </c>
      <c r="B4380" s="562" t="s">
        <v>1019</v>
      </c>
      <c r="C4380" s="403">
        <v>950</v>
      </c>
      <c r="D4380" s="400"/>
      <c r="E4380" s="400"/>
      <c r="F4380" s="400"/>
      <c r="G4380" s="400"/>
      <c r="H4380" s="396"/>
    </row>
    <row r="4381" spans="1:8" s="401" customFormat="1" ht="14.25" customHeight="1" x14ac:dyDescent="0.25">
      <c r="A4381" s="564">
        <v>4826</v>
      </c>
      <c r="B4381" s="562" t="s">
        <v>1019</v>
      </c>
      <c r="C4381" s="403">
        <v>950</v>
      </c>
      <c r="D4381" s="400"/>
      <c r="E4381" s="400"/>
      <c r="F4381" s="400"/>
      <c r="G4381" s="400"/>
      <c r="H4381" s="396"/>
    </row>
    <row r="4382" spans="1:8" s="401" customFormat="1" ht="14.25" customHeight="1" x14ac:dyDescent="0.25">
      <c r="A4382" s="564">
        <v>4827</v>
      </c>
      <c r="B4382" s="562" t="s">
        <v>1019</v>
      </c>
      <c r="C4382" s="403">
        <v>950</v>
      </c>
      <c r="D4382" s="400"/>
      <c r="E4382" s="400"/>
      <c r="F4382" s="400"/>
      <c r="G4382" s="400"/>
      <c r="H4382" s="396"/>
    </row>
    <row r="4383" spans="1:8" s="401" customFormat="1" ht="14.25" customHeight="1" x14ac:dyDescent="0.25">
      <c r="A4383" s="564">
        <v>4828</v>
      </c>
      <c r="B4383" s="562" t="s">
        <v>1019</v>
      </c>
      <c r="C4383" s="403">
        <v>950</v>
      </c>
      <c r="D4383" s="400"/>
      <c r="E4383" s="400"/>
      <c r="F4383" s="400"/>
      <c r="G4383" s="400"/>
      <c r="H4383" s="396"/>
    </row>
    <row r="4384" spans="1:8" s="401" customFormat="1" ht="14.25" customHeight="1" x14ac:dyDescent="0.25">
      <c r="A4384" s="564">
        <v>4830</v>
      </c>
      <c r="B4384" s="562" t="s">
        <v>1019</v>
      </c>
      <c r="C4384" s="403">
        <v>950</v>
      </c>
      <c r="D4384" s="400"/>
      <c r="E4384" s="400"/>
      <c r="F4384" s="400"/>
      <c r="G4384" s="400"/>
      <c r="H4384" s="396"/>
    </row>
    <row r="4385" spans="1:8" s="401" customFormat="1" ht="14.25" customHeight="1" x14ac:dyDescent="0.25">
      <c r="A4385" s="564">
        <v>4831</v>
      </c>
      <c r="B4385" s="562" t="s">
        <v>1019</v>
      </c>
      <c r="C4385" s="403">
        <v>950</v>
      </c>
      <c r="D4385" s="400"/>
      <c r="E4385" s="400"/>
      <c r="F4385" s="400"/>
      <c r="G4385" s="400"/>
      <c r="H4385" s="396"/>
    </row>
    <row r="4386" spans="1:8" s="401" customFormat="1" ht="14.25" customHeight="1" x14ac:dyDescent="0.25">
      <c r="A4386" s="564">
        <v>4833</v>
      </c>
      <c r="B4386" s="562" t="s">
        <v>1019</v>
      </c>
      <c r="C4386" s="403">
        <v>950</v>
      </c>
      <c r="D4386" s="400"/>
      <c r="E4386" s="400"/>
      <c r="F4386" s="400"/>
      <c r="G4386" s="400"/>
      <c r="H4386" s="396"/>
    </row>
    <row r="4387" spans="1:8" s="401" customFormat="1" ht="14.25" customHeight="1" x14ac:dyDescent="0.25">
      <c r="A4387" s="564">
        <v>4834</v>
      </c>
      <c r="B4387" s="562" t="s">
        <v>1019</v>
      </c>
      <c r="C4387" s="403">
        <v>950</v>
      </c>
      <c r="D4387" s="400"/>
      <c r="E4387" s="400"/>
      <c r="F4387" s="400"/>
      <c r="G4387" s="400"/>
      <c r="H4387" s="396"/>
    </row>
    <row r="4388" spans="1:8" s="401" customFormat="1" ht="14.25" customHeight="1" x14ac:dyDescent="0.25">
      <c r="A4388" s="564">
        <v>4835</v>
      </c>
      <c r="B4388" s="562" t="s">
        <v>1019</v>
      </c>
      <c r="C4388" s="403">
        <v>950</v>
      </c>
      <c r="D4388" s="400"/>
      <c r="E4388" s="400"/>
      <c r="F4388" s="400"/>
      <c r="G4388" s="400"/>
      <c r="H4388" s="396"/>
    </row>
    <row r="4389" spans="1:8" s="401" customFormat="1" ht="14.25" customHeight="1" x14ac:dyDescent="0.25">
      <c r="A4389" s="564">
        <v>4836</v>
      </c>
      <c r="B4389" s="562" t="s">
        <v>1019</v>
      </c>
      <c r="C4389" s="403">
        <v>950</v>
      </c>
      <c r="D4389" s="400"/>
      <c r="E4389" s="400"/>
      <c r="F4389" s="400"/>
      <c r="G4389" s="400"/>
      <c r="H4389" s="396"/>
    </row>
    <row r="4390" spans="1:8" s="401" customFormat="1" ht="14.25" customHeight="1" x14ac:dyDescent="0.25">
      <c r="A4390" s="564">
        <v>4837</v>
      </c>
      <c r="B4390" s="562" t="s">
        <v>1019</v>
      </c>
      <c r="C4390" s="403">
        <v>950</v>
      </c>
      <c r="D4390" s="400"/>
      <c r="E4390" s="400"/>
      <c r="F4390" s="400"/>
      <c r="G4390" s="400"/>
      <c r="H4390" s="396"/>
    </row>
    <row r="4391" spans="1:8" s="401" customFormat="1" ht="14.25" customHeight="1" x14ac:dyDescent="0.25">
      <c r="A4391" s="564">
        <v>4839</v>
      </c>
      <c r="B4391" s="562" t="s">
        <v>1019</v>
      </c>
      <c r="C4391" s="403">
        <v>950</v>
      </c>
      <c r="D4391" s="400"/>
      <c r="E4391" s="400"/>
      <c r="F4391" s="400"/>
      <c r="G4391" s="400"/>
      <c r="H4391" s="396"/>
    </row>
    <row r="4392" spans="1:8" s="401" customFormat="1" ht="14.25" customHeight="1" x14ac:dyDescent="0.25">
      <c r="A4392" s="564">
        <v>4840</v>
      </c>
      <c r="B4392" s="562" t="s">
        <v>1019</v>
      </c>
      <c r="C4392" s="403">
        <v>950</v>
      </c>
      <c r="D4392" s="400"/>
      <c r="E4392" s="400"/>
      <c r="F4392" s="400"/>
      <c r="G4392" s="400"/>
      <c r="H4392" s="396"/>
    </row>
    <row r="4393" spans="1:8" s="401" customFormat="1" ht="14.25" customHeight="1" x14ac:dyDescent="0.25">
      <c r="A4393" s="564">
        <v>4841</v>
      </c>
      <c r="B4393" s="562" t="s">
        <v>1019</v>
      </c>
      <c r="C4393" s="403">
        <v>950</v>
      </c>
      <c r="D4393" s="400"/>
      <c r="E4393" s="400"/>
      <c r="F4393" s="400"/>
      <c r="G4393" s="400"/>
      <c r="H4393" s="396"/>
    </row>
    <row r="4394" spans="1:8" s="401" customFormat="1" ht="14.25" customHeight="1" x14ac:dyDescent="0.25">
      <c r="A4394" s="564">
        <v>4842</v>
      </c>
      <c r="B4394" s="562" t="s">
        <v>1019</v>
      </c>
      <c r="C4394" s="403">
        <v>950</v>
      </c>
      <c r="D4394" s="400"/>
      <c r="E4394" s="400"/>
      <c r="F4394" s="400"/>
      <c r="G4394" s="400"/>
      <c r="H4394" s="396"/>
    </row>
    <row r="4395" spans="1:8" s="401" customFormat="1" ht="14.25" customHeight="1" x14ac:dyDescent="0.25">
      <c r="A4395" s="564">
        <v>4640</v>
      </c>
      <c r="B4395" s="562" t="s">
        <v>1020</v>
      </c>
      <c r="C4395" s="403">
        <v>882</v>
      </c>
      <c r="D4395" s="400"/>
      <c r="E4395" s="400"/>
      <c r="F4395" s="400"/>
      <c r="G4395" s="400"/>
      <c r="H4395" s="396"/>
    </row>
    <row r="4396" spans="1:8" s="401" customFormat="1" ht="14.25" customHeight="1" x14ac:dyDescent="0.25">
      <c r="A4396" s="564">
        <v>4635</v>
      </c>
      <c r="B4396" s="562" t="s">
        <v>1020</v>
      </c>
      <c r="C4396" s="403">
        <v>6345</v>
      </c>
      <c r="D4396" s="400"/>
      <c r="E4396" s="400"/>
      <c r="F4396" s="400"/>
      <c r="G4396" s="400"/>
      <c r="H4396" s="396"/>
    </row>
    <row r="4397" spans="1:8" s="401" customFormat="1" ht="14.25" customHeight="1" x14ac:dyDescent="0.25">
      <c r="A4397" s="564">
        <v>4642</v>
      </c>
      <c r="B4397" s="562" t="s">
        <v>1020</v>
      </c>
      <c r="C4397" s="403">
        <v>6345</v>
      </c>
      <c r="D4397" s="400"/>
      <c r="E4397" s="400"/>
      <c r="F4397" s="400"/>
      <c r="G4397" s="400"/>
      <c r="H4397" s="396"/>
    </row>
    <row r="4398" spans="1:8" s="401" customFormat="1" ht="14.25" customHeight="1" x14ac:dyDescent="0.25">
      <c r="A4398" s="564">
        <v>4644</v>
      </c>
      <c r="B4398" s="562" t="s">
        <v>1020</v>
      </c>
      <c r="C4398" s="403">
        <v>6345</v>
      </c>
      <c r="D4398" s="400"/>
      <c r="E4398" s="400"/>
      <c r="F4398" s="400"/>
      <c r="G4398" s="400"/>
      <c r="H4398" s="396"/>
    </row>
    <row r="4399" spans="1:8" s="401" customFormat="1" ht="14.25" customHeight="1" x14ac:dyDescent="0.25">
      <c r="A4399" s="564">
        <v>4638</v>
      </c>
      <c r="B4399" s="562" t="s">
        <v>1020</v>
      </c>
      <c r="C4399" s="403">
        <v>6345</v>
      </c>
      <c r="D4399" s="400"/>
      <c r="E4399" s="400"/>
      <c r="F4399" s="400"/>
      <c r="G4399" s="400"/>
      <c r="H4399" s="396"/>
    </row>
    <row r="4400" spans="1:8" s="401" customFormat="1" ht="14.25" customHeight="1" x14ac:dyDescent="0.25">
      <c r="A4400" s="564">
        <v>451</v>
      </c>
      <c r="B4400" s="562" t="s">
        <v>1020</v>
      </c>
      <c r="C4400" s="403">
        <v>1</v>
      </c>
      <c r="D4400" s="400"/>
      <c r="E4400" s="400"/>
      <c r="F4400" s="400"/>
      <c r="G4400" s="400"/>
      <c r="H4400" s="396"/>
    </row>
    <row r="4401" spans="1:8" s="401" customFormat="1" ht="14.25" customHeight="1" x14ac:dyDescent="0.25">
      <c r="A4401" s="564">
        <v>454</v>
      </c>
      <c r="B4401" s="562" t="s">
        <v>1020</v>
      </c>
      <c r="C4401" s="403">
        <v>1</v>
      </c>
      <c r="D4401" s="400"/>
      <c r="E4401" s="400"/>
      <c r="F4401" s="400"/>
      <c r="G4401" s="400"/>
      <c r="H4401" s="396"/>
    </row>
    <row r="4402" spans="1:8" s="401" customFormat="1" ht="14.25" customHeight="1" x14ac:dyDescent="0.25">
      <c r="A4402" s="564">
        <v>457</v>
      </c>
      <c r="B4402" s="562" t="s">
        <v>1020</v>
      </c>
      <c r="C4402" s="403">
        <v>1</v>
      </c>
      <c r="D4402" s="400"/>
      <c r="E4402" s="400"/>
      <c r="F4402" s="400"/>
      <c r="G4402" s="400"/>
      <c r="H4402" s="396"/>
    </row>
    <row r="4403" spans="1:8" s="401" customFormat="1" ht="14.25" customHeight="1" x14ac:dyDescent="0.25">
      <c r="A4403" s="564">
        <v>4658</v>
      </c>
      <c r="B4403" s="562" t="s">
        <v>1020</v>
      </c>
      <c r="C4403" s="403">
        <v>580</v>
      </c>
      <c r="D4403" s="400"/>
      <c r="E4403" s="400"/>
      <c r="F4403" s="400"/>
      <c r="G4403" s="400"/>
      <c r="H4403" s="396"/>
    </row>
    <row r="4404" spans="1:8" s="401" customFormat="1" ht="14.25" customHeight="1" x14ac:dyDescent="0.25">
      <c r="A4404" s="564">
        <v>4659</v>
      </c>
      <c r="B4404" s="562" t="s">
        <v>1020</v>
      </c>
      <c r="C4404" s="403">
        <v>580</v>
      </c>
      <c r="D4404" s="400"/>
      <c r="E4404" s="400"/>
      <c r="F4404" s="400"/>
      <c r="G4404" s="400"/>
      <c r="H4404" s="396"/>
    </row>
    <row r="4405" spans="1:8" s="401" customFormat="1" ht="14.25" customHeight="1" x14ac:dyDescent="0.25">
      <c r="A4405" s="564">
        <v>428</v>
      </c>
      <c r="B4405" s="562" t="s">
        <v>1020</v>
      </c>
      <c r="C4405" s="403">
        <v>1</v>
      </c>
      <c r="D4405" s="400"/>
      <c r="E4405" s="400"/>
      <c r="F4405" s="400"/>
      <c r="G4405" s="400"/>
      <c r="H4405" s="396"/>
    </row>
    <row r="4406" spans="1:8" s="401" customFormat="1" ht="14.25" customHeight="1" x14ac:dyDescent="0.25">
      <c r="A4406" s="564">
        <v>434</v>
      </c>
      <c r="B4406" s="562" t="s">
        <v>1020</v>
      </c>
      <c r="C4406" s="403">
        <v>1955</v>
      </c>
      <c r="D4406" s="400"/>
      <c r="E4406" s="400"/>
      <c r="F4406" s="400"/>
      <c r="G4406" s="400"/>
      <c r="H4406" s="396"/>
    </row>
    <row r="4407" spans="1:8" s="401" customFormat="1" ht="14.25" customHeight="1" x14ac:dyDescent="0.25">
      <c r="A4407" s="564">
        <v>430</v>
      </c>
      <c r="B4407" s="562" t="s">
        <v>1020</v>
      </c>
      <c r="C4407" s="403">
        <v>1</v>
      </c>
      <c r="D4407" s="400"/>
      <c r="E4407" s="400"/>
      <c r="F4407" s="400"/>
      <c r="G4407" s="400"/>
      <c r="H4407" s="396"/>
    </row>
    <row r="4408" spans="1:8" s="401" customFormat="1" ht="14.25" customHeight="1" x14ac:dyDescent="0.25">
      <c r="A4408" s="564">
        <v>429</v>
      </c>
      <c r="B4408" s="562" t="s">
        <v>1020</v>
      </c>
      <c r="C4408" s="403">
        <v>1</v>
      </c>
      <c r="D4408" s="400"/>
      <c r="E4408" s="400"/>
      <c r="F4408" s="400"/>
      <c r="G4408" s="400"/>
      <c r="H4408" s="396"/>
    </row>
    <row r="4409" spans="1:8" s="401" customFormat="1" ht="14.25" customHeight="1" x14ac:dyDescent="0.25">
      <c r="A4409" s="564">
        <v>437</v>
      </c>
      <c r="B4409" s="562" t="s">
        <v>915</v>
      </c>
      <c r="C4409" s="403">
        <v>1</v>
      </c>
      <c r="D4409" s="400"/>
      <c r="E4409" s="400"/>
      <c r="F4409" s="400"/>
      <c r="G4409" s="400"/>
      <c r="H4409" s="396"/>
    </row>
    <row r="4410" spans="1:8" s="401" customFormat="1" ht="14.25" customHeight="1" x14ac:dyDescent="0.25">
      <c r="A4410" s="564">
        <v>440</v>
      </c>
      <c r="B4410" s="562" t="s">
        <v>1020</v>
      </c>
      <c r="C4410" s="403">
        <v>1</v>
      </c>
      <c r="D4410" s="400"/>
      <c r="E4410" s="400"/>
      <c r="F4410" s="400"/>
      <c r="G4410" s="400"/>
      <c r="H4410" s="396"/>
    </row>
    <row r="4411" spans="1:8" s="401" customFormat="1" ht="14.25" customHeight="1" x14ac:dyDescent="0.25">
      <c r="A4411" s="564">
        <v>443</v>
      </c>
      <c r="B4411" s="562" t="s">
        <v>1020</v>
      </c>
      <c r="C4411" s="403">
        <v>1</v>
      </c>
      <c r="D4411" s="400"/>
      <c r="E4411" s="400"/>
      <c r="F4411" s="400"/>
      <c r="G4411" s="400"/>
      <c r="H4411" s="396"/>
    </row>
    <row r="4412" spans="1:8" s="401" customFormat="1" ht="14.25" customHeight="1" x14ac:dyDescent="0.25">
      <c r="A4412" s="564">
        <v>427</v>
      </c>
      <c r="B4412" s="562" t="s">
        <v>1020</v>
      </c>
      <c r="C4412" s="403">
        <v>1</v>
      </c>
      <c r="D4412" s="400"/>
      <c r="E4412" s="400"/>
      <c r="F4412" s="400"/>
      <c r="G4412" s="400"/>
      <c r="H4412" s="396"/>
    </row>
    <row r="4413" spans="1:8" s="401" customFormat="1" ht="14.25" customHeight="1" x14ac:dyDescent="0.25">
      <c r="A4413" s="564">
        <v>2731</v>
      </c>
      <c r="B4413" s="562" t="s">
        <v>1021</v>
      </c>
      <c r="C4413" s="403">
        <v>33628</v>
      </c>
      <c r="D4413" s="400"/>
      <c r="E4413" s="400"/>
      <c r="F4413" s="400"/>
      <c r="G4413" s="400"/>
      <c r="H4413" s="396"/>
    </row>
    <row r="4414" spans="1:8" s="401" customFormat="1" ht="14.25" customHeight="1" x14ac:dyDescent="0.25">
      <c r="A4414" s="564">
        <v>2744</v>
      </c>
      <c r="B4414" s="562" t="s">
        <v>1022</v>
      </c>
      <c r="C4414" s="403">
        <v>2199</v>
      </c>
      <c r="D4414" s="400"/>
      <c r="E4414" s="400"/>
      <c r="F4414" s="400"/>
      <c r="G4414" s="400"/>
      <c r="H4414" s="396"/>
    </row>
    <row r="4415" spans="1:8" s="401" customFormat="1" ht="14.25" customHeight="1" x14ac:dyDescent="0.25">
      <c r="A4415" s="564">
        <v>2754</v>
      </c>
      <c r="B4415" s="562" t="s">
        <v>1020</v>
      </c>
      <c r="C4415" s="403">
        <v>1255</v>
      </c>
      <c r="D4415" s="400"/>
      <c r="E4415" s="400"/>
      <c r="F4415" s="400"/>
      <c r="G4415" s="400"/>
      <c r="H4415" s="396"/>
    </row>
    <row r="4416" spans="1:8" s="401" customFormat="1" ht="14.25" customHeight="1" x14ac:dyDescent="0.25">
      <c r="A4416" s="564">
        <v>2758</v>
      </c>
      <c r="B4416" s="562" t="s">
        <v>1020</v>
      </c>
      <c r="C4416" s="403">
        <v>1255</v>
      </c>
      <c r="D4416" s="400"/>
      <c r="E4416" s="400"/>
      <c r="F4416" s="400"/>
      <c r="G4416" s="400"/>
      <c r="H4416" s="396"/>
    </row>
    <row r="4417" spans="1:8" s="401" customFormat="1" ht="14.25" customHeight="1" x14ac:dyDescent="0.25">
      <c r="A4417" s="564">
        <v>2762</v>
      </c>
      <c r="B4417" s="562" t="s">
        <v>1023</v>
      </c>
      <c r="C4417" s="403">
        <v>8257</v>
      </c>
      <c r="D4417" s="400"/>
      <c r="E4417" s="400"/>
      <c r="F4417" s="400"/>
      <c r="G4417" s="400"/>
      <c r="H4417" s="396"/>
    </row>
    <row r="4418" spans="1:8" s="401" customFormat="1" ht="14.25" customHeight="1" x14ac:dyDescent="0.25">
      <c r="A4418" s="564">
        <v>2764</v>
      </c>
      <c r="B4418" s="562" t="s">
        <v>1024</v>
      </c>
      <c r="C4418" s="403">
        <v>518</v>
      </c>
      <c r="D4418" s="400"/>
      <c r="E4418" s="400"/>
      <c r="F4418" s="400"/>
      <c r="G4418" s="400"/>
      <c r="H4418" s="396"/>
    </row>
    <row r="4419" spans="1:8" s="401" customFormat="1" ht="14.25" customHeight="1" x14ac:dyDescent="0.25">
      <c r="A4419" s="564">
        <v>2766</v>
      </c>
      <c r="B4419" s="562" t="s">
        <v>1020</v>
      </c>
      <c r="C4419" s="403">
        <v>1255</v>
      </c>
      <c r="D4419" s="400"/>
      <c r="E4419" s="400"/>
      <c r="F4419" s="400"/>
      <c r="G4419" s="400"/>
      <c r="H4419" s="396"/>
    </row>
    <row r="4420" spans="1:8" s="401" customFormat="1" ht="14.25" customHeight="1" x14ac:dyDescent="0.25">
      <c r="A4420" s="564">
        <v>2769</v>
      </c>
      <c r="B4420" s="562" t="s">
        <v>1020</v>
      </c>
      <c r="C4420" s="403">
        <v>1255</v>
      </c>
      <c r="D4420" s="400"/>
      <c r="E4420" s="400"/>
      <c r="F4420" s="400"/>
      <c r="G4420" s="400"/>
      <c r="H4420" s="396"/>
    </row>
    <row r="4421" spans="1:8" s="401" customFormat="1" ht="14.25" customHeight="1" x14ac:dyDescent="0.25">
      <c r="A4421" s="564">
        <v>2770</v>
      </c>
      <c r="B4421" s="562" t="s">
        <v>1020</v>
      </c>
      <c r="C4421" s="403">
        <v>1255</v>
      </c>
      <c r="D4421" s="400"/>
      <c r="E4421" s="400"/>
      <c r="F4421" s="400"/>
      <c r="G4421" s="400"/>
      <c r="H4421" s="396"/>
    </row>
    <row r="4422" spans="1:8" s="401" customFormat="1" ht="14.25" customHeight="1" x14ac:dyDescent="0.25">
      <c r="A4422" s="564">
        <v>2775</v>
      </c>
      <c r="B4422" s="562" t="s">
        <v>1020</v>
      </c>
      <c r="C4422" s="403">
        <v>1255</v>
      </c>
      <c r="D4422" s="400"/>
      <c r="E4422" s="400"/>
      <c r="F4422" s="400"/>
      <c r="G4422" s="400"/>
      <c r="H4422" s="396"/>
    </row>
    <row r="4423" spans="1:8" s="401" customFormat="1" ht="14.25" customHeight="1" x14ac:dyDescent="0.25">
      <c r="A4423" s="564">
        <v>2798</v>
      </c>
      <c r="B4423" s="562" t="s">
        <v>1025</v>
      </c>
      <c r="C4423" s="403">
        <v>22237</v>
      </c>
      <c r="D4423" s="400"/>
      <c r="E4423" s="400"/>
      <c r="F4423" s="400"/>
      <c r="G4423" s="400"/>
      <c r="H4423" s="396"/>
    </row>
    <row r="4424" spans="1:8" s="401" customFormat="1" ht="14.25" customHeight="1" x14ac:dyDescent="0.25">
      <c r="A4424" s="564">
        <v>2804</v>
      </c>
      <c r="B4424" s="562" t="s">
        <v>1025</v>
      </c>
      <c r="C4424" s="403">
        <v>22237</v>
      </c>
      <c r="D4424" s="400"/>
      <c r="E4424" s="400"/>
      <c r="F4424" s="400"/>
      <c r="G4424" s="400"/>
      <c r="H4424" s="396"/>
    </row>
    <row r="4425" spans="1:8" s="401" customFormat="1" ht="14.25" customHeight="1" x14ac:dyDescent="0.25">
      <c r="A4425" s="564">
        <v>2810</v>
      </c>
      <c r="B4425" s="562" t="s">
        <v>1025</v>
      </c>
      <c r="C4425" s="403">
        <v>22237</v>
      </c>
      <c r="D4425" s="400"/>
      <c r="E4425" s="400"/>
      <c r="F4425" s="400"/>
      <c r="G4425" s="400"/>
      <c r="H4425" s="396"/>
    </row>
    <row r="4426" spans="1:8" s="401" customFormat="1" ht="14.25" customHeight="1" x14ac:dyDescent="0.25">
      <c r="A4426" s="564">
        <v>2814</v>
      </c>
      <c r="B4426" s="562" t="s">
        <v>1025</v>
      </c>
      <c r="C4426" s="403">
        <v>22237</v>
      </c>
      <c r="D4426" s="400"/>
      <c r="E4426" s="400"/>
      <c r="F4426" s="400"/>
      <c r="G4426" s="400"/>
      <c r="H4426" s="396"/>
    </row>
    <row r="4427" spans="1:8" s="401" customFormat="1" ht="14.25" customHeight="1" x14ac:dyDescent="0.25">
      <c r="A4427" s="564">
        <v>2820</v>
      </c>
      <c r="B4427" s="562" t="s">
        <v>1025</v>
      </c>
      <c r="C4427" s="403">
        <v>22237</v>
      </c>
      <c r="D4427" s="400"/>
      <c r="E4427" s="400"/>
      <c r="F4427" s="400"/>
      <c r="G4427" s="400"/>
      <c r="H4427" s="396"/>
    </row>
    <row r="4428" spans="1:8" s="401" customFormat="1" ht="14.25" customHeight="1" x14ac:dyDescent="0.25">
      <c r="A4428" s="564">
        <v>2823</v>
      </c>
      <c r="B4428" s="562" t="s">
        <v>1020</v>
      </c>
      <c r="C4428" s="403">
        <v>2472</v>
      </c>
      <c r="D4428" s="400"/>
      <c r="E4428" s="400"/>
      <c r="F4428" s="400"/>
      <c r="G4428" s="400"/>
      <c r="H4428" s="396"/>
    </row>
    <row r="4429" spans="1:8" s="401" customFormat="1" ht="14.25" customHeight="1" x14ac:dyDescent="0.25">
      <c r="A4429" s="564">
        <v>2779</v>
      </c>
      <c r="B4429" s="562" t="s">
        <v>1026</v>
      </c>
      <c r="C4429" s="403">
        <v>1</v>
      </c>
      <c r="D4429" s="400"/>
      <c r="E4429" s="400"/>
      <c r="F4429" s="400"/>
      <c r="G4429" s="400"/>
      <c r="H4429" s="396"/>
    </row>
    <row r="4430" spans="1:8" s="401" customFormat="1" ht="14.25" customHeight="1" x14ac:dyDescent="0.25">
      <c r="A4430" s="564">
        <v>2784</v>
      </c>
      <c r="B4430" s="562" t="s">
        <v>1020</v>
      </c>
      <c r="C4430" s="403">
        <v>2472</v>
      </c>
      <c r="D4430" s="400"/>
      <c r="E4430" s="400"/>
      <c r="F4430" s="400"/>
      <c r="G4430" s="400"/>
      <c r="H4430" s="396"/>
    </row>
    <row r="4431" spans="1:8" s="401" customFormat="1" ht="14.25" customHeight="1" x14ac:dyDescent="0.25">
      <c r="A4431" s="564">
        <v>2861</v>
      </c>
      <c r="B4431" s="562" t="s">
        <v>1027</v>
      </c>
      <c r="C4431" s="403">
        <v>1</v>
      </c>
      <c r="D4431" s="400"/>
      <c r="E4431" s="400"/>
      <c r="F4431" s="400"/>
      <c r="G4431" s="400"/>
      <c r="H4431" s="396"/>
    </row>
    <row r="4432" spans="1:8" s="401" customFormat="1" ht="14.25" customHeight="1" x14ac:dyDescent="0.25">
      <c r="A4432" s="564">
        <v>2828</v>
      </c>
      <c r="B4432" s="562" t="s">
        <v>1026</v>
      </c>
      <c r="C4432" s="403">
        <v>2285</v>
      </c>
      <c r="D4432" s="400"/>
      <c r="E4432" s="400"/>
      <c r="F4432" s="400"/>
      <c r="G4432" s="400"/>
      <c r="H4432" s="396"/>
    </row>
    <row r="4433" spans="1:8" s="401" customFormat="1" ht="14.25" customHeight="1" x14ac:dyDescent="0.25">
      <c r="A4433" s="564">
        <v>2833</v>
      </c>
      <c r="B4433" s="562" t="s">
        <v>1020</v>
      </c>
      <c r="C4433" s="403">
        <v>6832</v>
      </c>
      <c r="D4433" s="400"/>
      <c r="E4433" s="400"/>
      <c r="F4433" s="400"/>
      <c r="G4433" s="400"/>
      <c r="H4433" s="396"/>
    </row>
    <row r="4434" spans="1:8" s="401" customFormat="1" ht="14.25" customHeight="1" x14ac:dyDescent="0.25">
      <c r="A4434" s="564">
        <v>2837</v>
      </c>
      <c r="B4434" s="562" t="s">
        <v>1020</v>
      </c>
      <c r="C4434" s="403">
        <v>1</v>
      </c>
      <c r="D4434" s="400"/>
      <c r="E4434" s="400"/>
      <c r="F4434" s="400"/>
      <c r="G4434" s="400"/>
      <c r="H4434" s="396"/>
    </row>
    <row r="4435" spans="1:8" s="401" customFormat="1" ht="14.25" customHeight="1" x14ac:dyDescent="0.25">
      <c r="A4435" s="564">
        <v>2840</v>
      </c>
      <c r="B4435" s="562" t="s">
        <v>1020</v>
      </c>
      <c r="C4435" s="403">
        <v>1255</v>
      </c>
      <c r="D4435" s="400"/>
      <c r="E4435" s="400"/>
      <c r="F4435" s="400"/>
      <c r="G4435" s="400"/>
      <c r="H4435" s="396"/>
    </row>
    <row r="4436" spans="1:8" s="401" customFormat="1" ht="14.25" customHeight="1" x14ac:dyDescent="0.25">
      <c r="A4436" s="564">
        <v>2844</v>
      </c>
      <c r="B4436" s="562" t="s">
        <v>1020</v>
      </c>
      <c r="C4436" s="403">
        <v>6832</v>
      </c>
      <c r="D4436" s="400"/>
      <c r="E4436" s="400"/>
      <c r="F4436" s="400"/>
      <c r="G4436" s="400"/>
      <c r="H4436" s="396"/>
    </row>
    <row r="4437" spans="1:8" s="401" customFormat="1" ht="14.25" customHeight="1" x14ac:dyDescent="0.25">
      <c r="A4437" s="564">
        <v>2848</v>
      </c>
      <c r="B4437" s="562" t="s">
        <v>1020</v>
      </c>
      <c r="C4437" s="403">
        <v>6832</v>
      </c>
      <c r="D4437" s="400"/>
      <c r="E4437" s="400"/>
      <c r="F4437" s="400"/>
      <c r="G4437" s="400"/>
      <c r="H4437" s="396"/>
    </row>
    <row r="4438" spans="1:8" s="401" customFormat="1" ht="14.25" customHeight="1" x14ac:dyDescent="0.25">
      <c r="A4438" s="564">
        <v>2857</v>
      </c>
      <c r="B4438" s="562" t="s">
        <v>1020</v>
      </c>
      <c r="C4438" s="403">
        <v>4843</v>
      </c>
      <c r="D4438" s="400"/>
      <c r="E4438" s="400"/>
      <c r="F4438" s="400"/>
      <c r="G4438" s="400"/>
      <c r="H4438" s="396"/>
    </row>
    <row r="4439" spans="1:8" s="401" customFormat="1" ht="14.25" customHeight="1" x14ac:dyDescent="0.25">
      <c r="A4439" s="564">
        <v>2863</v>
      </c>
      <c r="B4439" s="562" t="s">
        <v>1020</v>
      </c>
      <c r="C4439" s="403">
        <v>1</v>
      </c>
      <c r="D4439" s="400"/>
      <c r="E4439" s="400"/>
      <c r="F4439" s="400"/>
      <c r="G4439" s="400"/>
      <c r="H4439" s="396"/>
    </row>
    <row r="4440" spans="1:8" s="401" customFormat="1" ht="14.25" customHeight="1" x14ac:dyDescent="0.25">
      <c r="A4440" s="564">
        <v>2736</v>
      </c>
      <c r="B4440" s="562" t="s">
        <v>1028</v>
      </c>
      <c r="C4440" s="403">
        <v>503</v>
      </c>
      <c r="D4440" s="400"/>
      <c r="E4440" s="400"/>
      <c r="F4440" s="400"/>
      <c r="G4440" s="400"/>
      <c r="H4440" s="396"/>
    </row>
    <row r="4441" spans="1:8" s="401" customFormat="1" ht="14.25" customHeight="1" x14ac:dyDescent="0.25">
      <c r="A4441" s="564">
        <v>330</v>
      </c>
      <c r="B4441" s="562" t="s">
        <v>1029</v>
      </c>
      <c r="C4441" s="403">
        <v>7580</v>
      </c>
      <c r="D4441" s="400"/>
      <c r="E4441" s="400"/>
      <c r="F4441" s="400"/>
      <c r="G4441" s="400"/>
      <c r="H4441" s="396"/>
    </row>
    <row r="4442" spans="1:8" s="401" customFormat="1" ht="14.25" customHeight="1" x14ac:dyDescent="0.25">
      <c r="A4442" s="564">
        <v>333</v>
      </c>
      <c r="B4442" s="562" t="s">
        <v>1030</v>
      </c>
      <c r="C4442" s="403">
        <v>1297</v>
      </c>
      <c r="D4442" s="400"/>
      <c r="E4442" s="400"/>
      <c r="F4442" s="400"/>
      <c r="G4442" s="400"/>
      <c r="H4442" s="396"/>
    </row>
    <row r="4443" spans="1:8" s="401" customFormat="1" ht="14.25" customHeight="1" x14ac:dyDescent="0.25">
      <c r="A4443" s="564">
        <v>338</v>
      </c>
      <c r="B4443" s="562" t="s">
        <v>1030</v>
      </c>
      <c r="C4443" s="403">
        <v>1298</v>
      </c>
      <c r="D4443" s="400"/>
      <c r="E4443" s="400"/>
      <c r="F4443" s="400"/>
      <c r="G4443" s="400"/>
      <c r="H4443" s="396"/>
    </row>
    <row r="4444" spans="1:8" s="401" customFormat="1" ht="14.25" customHeight="1" x14ac:dyDescent="0.25">
      <c r="A4444" s="564">
        <v>346</v>
      </c>
      <c r="B4444" s="562" t="s">
        <v>1031</v>
      </c>
      <c r="C4444" s="403">
        <v>3352</v>
      </c>
      <c r="D4444" s="400"/>
      <c r="E4444" s="400"/>
      <c r="F4444" s="400"/>
      <c r="G4444" s="400"/>
      <c r="H4444" s="396"/>
    </row>
    <row r="4445" spans="1:8" s="401" customFormat="1" ht="14.25" customHeight="1" x14ac:dyDescent="0.25">
      <c r="A4445" s="564">
        <v>349</v>
      </c>
      <c r="B4445" s="562" t="s">
        <v>1032</v>
      </c>
      <c r="C4445" s="403">
        <v>2498</v>
      </c>
      <c r="D4445" s="400"/>
      <c r="E4445" s="400"/>
      <c r="F4445" s="400"/>
      <c r="G4445" s="400"/>
      <c r="H4445" s="396"/>
    </row>
    <row r="4446" spans="1:8" s="401" customFormat="1" ht="14.25" customHeight="1" x14ac:dyDescent="0.25">
      <c r="A4446" s="564">
        <v>352</v>
      </c>
      <c r="B4446" s="562" t="s">
        <v>1020</v>
      </c>
      <c r="C4446" s="403">
        <v>2472</v>
      </c>
      <c r="D4446" s="400"/>
      <c r="E4446" s="400"/>
      <c r="F4446" s="400"/>
      <c r="G4446" s="400"/>
      <c r="H4446" s="396"/>
    </row>
    <row r="4447" spans="1:8" s="401" customFormat="1" ht="14.25" customHeight="1" x14ac:dyDescent="0.25">
      <c r="A4447" s="564">
        <v>356</v>
      </c>
      <c r="B4447" s="562" t="s">
        <v>1020</v>
      </c>
      <c r="C4447" s="403">
        <v>2472</v>
      </c>
      <c r="D4447" s="400"/>
      <c r="E4447" s="400"/>
      <c r="F4447" s="400"/>
      <c r="G4447" s="400"/>
      <c r="H4447" s="396"/>
    </row>
    <row r="4448" spans="1:8" s="401" customFormat="1" ht="14.25" customHeight="1" x14ac:dyDescent="0.25">
      <c r="A4448" s="564">
        <v>360</v>
      </c>
      <c r="B4448" s="562" t="s">
        <v>1020</v>
      </c>
      <c r="C4448" s="403">
        <v>2472</v>
      </c>
      <c r="D4448" s="400"/>
      <c r="E4448" s="400"/>
      <c r="F4448" s="400"/>
      <c r="G4448" s="400"/>
      <c r="H4448" s="396"/>
    </row>
    <row r="4449" spans="1:8" s="401" customFormat="1" ht="14.25" customHeight="1" x14ac:dyDescent="0.25">
      <c r="A4449" s="564">
        <v>398</v>
      </c>
      <c r="B4449" s="562" t="s">
        <v>1033</v>
      </c>
      <c r="C4449" s="403">
        <v>1450</v>
      </c>
      <c r="D4449" s="400"/>
      <c r="E4449" s="400"/>
      <c r="F4449" s="400"/>
      <c r="G4449" s="400"/>
      <c r="H4449" s="396"/>
    </row>
    <row r="4450" spans="1:8" s="401" customFormat="1" ht="14.25" customHeight="1" x14ac:dyDescent="0.25">
      <c r="A4450" s="564">
        <v>401</v>
      </c>
      <c r="B4450" s="562" t="s">
        <v>1033</v>
      </c>
      <c r="C4450" s="403">
        <v>1450</v>
      </c>
      <c r="D4450" s="400"/>
      <c r="E4450" s="400"/>
      <c r="F4450" s="400"/>
      <c r="G4450" s="400"/>
      <c r="H4450" s="396"/>
    </row>
    <row r="4451" spans="1:8" s="401" customFormat="1" ht="14.25" customHeight="1" x14ac:dyDescent="0.25">
      <c r="A4451" s="564">
        <v>432</v>
      </c>
      <c r="B4451" s="562" t="s">
        <v>1020</v>
      </c>
      <c r="C4451" s="403">
        <v>1</v>
      </c>
      <c r="D4451" s="400"/>
      <c r="E4451" s="400"/>
      <c r="F4451" s="400"/>
      <c r="G4451" s="400"/>
      <c r="H4451" s="396"/>
    </row>
    <row r="4452" spans="1:8" s="401" customFormat="1" ht="14.25" customHeight="1" x14ac:dyDescent="0.25">
      <c r="A4452" s="564">
        <v>448</v>
      </c>
      <c r="B4452" s="562" t="s">
        <v>1020</v>
      </c>
      <c r="C4452" s="403">
        <v>1</v>
      </c>
      <c r="D4452" s="400"/>
      <c r="E4452" s="400"/>
      <c r="F4452" s="400"/>
      <c r="G4452" s="400"/>
      <c r="H4452" s="396"/>
    </row>
    <row r="4453" spans="1:8" s="401" customFormat="1" ht="14.25" customHeight="1" x14ac:dyDescent="0.25">
      <c r="A4453" s="564">
        <v>4964</v>
      </c>
      <c r="B4453" s="562" t="s">
        <v>1016</v>
      </c>
      <c r="C4453" s="403">
        <v>812</v>
      </c>
      <c r="D4453" s="400"/>
      <c r="E4453" s="400"/>
      <c r="F4453" s="400"/>
      <c r="G4453" s="400"/>
      <c r="H4453" s="396"/>
    </row>
    <row r="4454" spans="1:8" s="401" customFormat="1" ht="14.25" customHeight="1" x14ac:dyDescent="0.25">
      <c r="A4454" s="564">
        <v>4966</v>
      </c>
      <c r="B4454" s="562" t="s">
        <v>1016</v>
      </c>
      <c r="C4454" s="403">
        <v>812</v>
      </c>
      <c r="D4454" s="400"/>
      <c r="E4454" s="400"/>
      <c r="F4454" s="400"/>
      <c r="G4454" s="400"/>
      <c r="H4454" s="396"/>
    </row>
    <row r="4455" spans="1:8" s="401" customFormat="1" ht="14.25" customHeight="1" x14ac:dyDescent="0.25">
      <c r="A4455" s="564">
        <v>4967</v>
      </c>
      <c r="B4455" s="562" t="s">
        <v>1016</v>
      </c>
      <c r="C4455" s="403">
        <v>812</v>
      </c>
      <c r="D4455" s="400"/>
      <c r="E4455" s="400"/>
      <c r="F4455" s="400"/>
      <c r="G4455" s="400"/>
      <c r="H4455" s="396"/>
    </row>
    <row r="4456" spans="1:8" s="401" customFormat="1" ht="14.25" customHeight="1" x14ac:dyDescent="0.25">
      <c r="A4456" s="564">
        <v>4968</v>
      </c>
      <c r="B4456" s="562" t="s">
        <v>1016</v>
      </c>
      <c r="C4456" s="403">
        <v>812</v>
      </c>
      <c r="D4456" s="400"/>
      <c r="E4456" s="400"/>
      <c r="F4456" s="400"/>
      <c r="G4456" s="400"/>
      <c r="H4456" s="396"/>
    </row>
    <row r="4457" spans="1:8" s="401" customFormat="1" ht="14.25" customHeight="1" x14ac:dyDescent="0.25">
      <c r="A4457" s="564">
        <v>4969</v>
      </c>
      <c r="B4457" s="562" t="s">
        <v>1016</v>
      </c>
      <c r="C4457" s="403">
        <v>812</v>
      </c>
      <c r="D4457" s="400"/>
      <c r="E4457" s="400"/>
      <c r="F4457" s="400"/>
      <c r="G4457" s="400"/>
      <c r="H4457" s="396"/>
    </row>
    <row r="4458" spans="1:8" s="401" customFormat="1" ht="14.25" customHeight="1" x14ac:dyDescent="0.25">
      <c r="A4458" s="564">
        <v>4970</v>
      </c>
      <c r="B4458" s="562" t="s">
        <v>1016</v>
      </c>
      <c r="C4458" s="403">
        <v>812</v>
      </c>
      <c r="D4458" s="400"/>
      <c r="E4458" s="400"/>
      <c r="F4458" s="400"/>
      <c r="G4458" s="400"/>
      <c r="H4458" s="396"/>
    </row>
    <row r="4459" spans="1:8" s="401" customFormat="1" ht="14.25" customHeight="1" x14ac:dyDescent="0.25">
      <c r="A4459" s="564">
        <v>4971</v>
      </c>
      <c r="B4459" s="562" t="s">
        <v>1016</v>
      </c>
      <c r="C4459" s="403">
        <v>812</v>
      </c>
      <c r="D4459" s="400"/>
      <c r="E4459" s="400"/>
      <c r="F4459" s="400"/>
      <c r="G4459" s="400"/>
      <c r="H4459" s="396"/>
    </row>
    <row r="4460" spans="1:8" s="401" customFormat="1" ht="14.25" customHeight="1" x14ac:dyDescent="0.25">
      <c r="A4460" s="564">
        <v>4972</v>
      </c>
      <c r="B4460" s="562" t="s">
        <v>1016</v>
      </c>
      <c r="C4460" s="403">
        <v>1044</v>
      </c>
      <c r="D4460" s="400"/>
      <c r="E4460" s="400"/>
      <c r="F4460" s="400"/>
      <c r="G4460" s="400"/>
      <c r="H4460" s="396"/>
    </row>
    <row r="4461" spans="1:8" s="401" customFormat="1" ht="14.25" customHeight="1" x14ac:dyDescent="0.25">
      <c r="A4461" s="564">
        <v>4973</v>
      </c>
      <c r="B4461" s="562" t="s">
        <v>1016</v>
      </c>
      <c r="C4461" s="403">
        <v>1044</v>
      </c>
      <c r="D4461" s="400"/>
      <c r="E4461" s="400"/>
      <c r="F4461" s="400"/>
      <c r="G4461" s="400"/>
      <c r="H4461" s="396"/>
    </row>
    <row r="4462" spans="1:8" s="401" customFormat="1" ht="14.25" customHeight="1" x14ac:dyDescent="0.25">
      <c r="A4462" s="564">
        <v>4974</v>
      </c>
      <c r="B4462" s="562" t="s">
        <v>1016</v>
      </c>
      <c r="C4462" s="403">
        <v>1044</v>
      </c>
      <c r="D4462" s="400"/>
      <c r="E4462" s="400"/>
      <c r="F4462" s="400"/>
      <c r="G4462" s="400"/>
      <c r="H4462" s="396"/>
    </row>
    <row r="4463" spans="1:8" s="401" customFormat="1" ht="14.25" customHeight="1" x14ac:dyDescent="0.25">
      <c r="A4463" s="564">
        <v>4976</v>
      </c>
      <c r="B4463" s="562" t="s">
        <v>1034</v>
      </c>
      <c r="C4463" s="403">
        <v>6400</v>
      </c>
      <c r="D4463" s="400"/>
      <c r="E4463" s="400"/>
      <c r="F4463" s="400"/>
      <c r="G4463" s="400"/>
      <c r="H4463" s="396"/>
    </row>
    <row r="4464" spans="1:8" s="401" customFormat="1" ht="14.25" customHeight="1" x14ac:dyDescent="0.25">
      <c r="A4464" s="564">
        <v>1057</v>
      </c>
      <c r="B4464" s="562" t="s">
        <v>1020</v>
      </c>
      <c r="C4464" s="403">
        <v>11816</v>
      </c>
      <c r="D4464" s="400"/>
      <c r="E4464" s="400"/>
      <c r="F4464" s="400"/>
      <c r="G4464" s="400"/>
      <c r="H4464" s="396"/>
    </row>
    <row r="4465" spans="1:8" s="401" customFormat="1" ht="14.25" customHeight="1" x14ac:dyDescent="0.25">
      <c r="A4465" s="564">
        <v>1060</v>
      </c>
      <c r="B4465" s="562" t="s">
        <v>1020</v>
      </c>
      <c r="C4465" s="403">
        <v>11816</v>
      </c>
      <c r="D4465" s="400"/>
      <c r="E4465" s="400"/>
      <c r="F4465" s="400"/>
      <c r="G4465" s="400"/>
      <c r="H4465" s="396"/>
    </row>
    <row r="4466" spans="1:8" s="401" customFormat="1" ht="14.25" customHeight="1" x14ac:dyDescent="0.25">
      <c r="A4466" s="564">
        <v>1025</v>
      </c>
      <c r="B4466" s="562" t="s">
        <v>1020</v>
      </c>
      <c r="C4466" s="403">
        <v>1</v>
      </c>
      <c r="D4466" s="400"/>
      <c r="E4466" s="400"/>
      <c r="F4466" s="400"/>
      <c r="G4466" s="400"/>
      <c r="H4466" s="396"/>
    </row>
    <row r="4467" spans="1:8" s="401" customFormat="1" ht="14.25" customHeight="1" x14ac:dyDescent="0.25">
      <c r="A4467" s="564">
        <v>1026</v>
      </c>
      <c r="B4467" s="562" t="s">
        <v>1020</v>
      </c>
      <c r="C4467" s="403">
        <v>2472</v>
      </c>
      <c r="D4467" s="400"/>
      <c r="E4467" s="400"/>
      <c r="F4467" s="400"/>
      <c r="G4467" s="400"/>
      <c r="H4467" s="396"/>
    </row>
    <row r="4468" spans="1:8" s="401" customFormat="1" ht="14.25" customHeight="1" x14ac:dyDescent="0.25">
      <c r="A4468" s="564">
        <v>1029</v>
      </c>
      <c r="B4468" s="562" t="s">
        <v>1020</v>
      </c>
      <c r="C4468" s="403">
        <v>2472</v>
      </c>
      <c r="D4468" s="400"/>
      <c r="E4468" s="400"/>
      <c r="F4468" s="400"/>
      <c r="G4468" s="400"/>
      <c r="H4468" s="396"/>
    </row>
    <row r="4469" spans="1:8" s="401" customFormat="1" ht="14.25" customHeight="1" x14ac:dyDescent="0.25">
      <c r="A4469" s="564">
        <v>1039</v>
      </c>
      <c r="B4469" s="562" t="s">
        <v>1020</v>
      </c>
      <c r="C4469" s="403">
        <v>3743</v>
      </c>
      <c r="D4469" s="400"/>
      <c r="E4469" s="400"/>
      <c r="F4469" s="400"/>
      <c r="G4469" s="400"/>
      <c r="H4469" s="396"/>
    </row>
    <row r="4470" spans="1:8" s="401" customFormat="1" ht="14.25" customHeight="1" x14ac:dyDescent="0.25">
      <c r="A4470" s="564">
        <v>1054</v>
      </c>
      <c r="B4470" s="562" t="s">
        <v>1026</v>
      </c>
      <c r="C4470" s="403">
        <v>2147</v>
      </c>
      <c r="D4470" s="400"/>
      <c r="E4470" s="400"/>
      <c r="F4470" s="400"/>
      <c r="G4470" s="400"/>
      <c r="H4470" s="396"/>
    </row>
    <row r="4471" spans="1:8" s="401" customFormat="1" ht="14.25" customHeight="1" x14ac:dyDescent="0.25">
      <c r="A4471" s="564">
        <v>1041</v>
      </c>
      <c r="B4471" s="562" t="s">
        <v>1020</v>
      </c>
      <c r="C4471" s="403">
        <v>2472</v>
      </c>
      <c r="D4471" s="400"/>
      <c r="E4471" s="400"/>
      <c r="F4471" s="400"/>
      <c r="G4471" s="400"/>
      <c r="H4471" s="396"/>
    </row>
    <row r="4472" spans="1:8" s="401" customFormat="1" ht="14.25" customHeight="1" x14ac:dyDescent="0.25">
      <c r="A4472" s="564">
        <v>1072</v>
      </c>
      <c r="B4472" s="562" t="s">
        <v>1020</v>
      </c>
      <c r="C4472" s="403">
        <v>1255</v>
      </c>
      <c r="D4472" s="400"/>
      <c r="E4472" s="400"/>
      <c r="F4472" s="400"/>
      <c r="G4472" s="400"/>
      <c r="H4472" s="396"/>
    </row>
    <row r="4473" spans="1:8" s="401" customFormat="1" ht="14.25" customHeight="1" x14ac:dyDescent="0.25">
      <c r="A4473" s="564">
        <v>1023</v>
      </c>
      <c r="B4473" s="562" t="s">
        <v>1031</v>
      </c>
      <c r="C4473" s="403">
        <v>899</v>
      </c>
      <c r="D4473" s="400"/>
      <c r="E4473" s="400"/>
      <c r="F4473" s="400"/>
      <c r="G4473" s="400"/>
      <c r="H4473" s="396"/>
    </row>
    <row r="4474" spans="1:8" s="401" customFormat="1" ht="14.25" customHeight="1" x14ac:dyDescent="0.25">
      <c r="A4474" s="564">
        <v>1034</v>
      </c>
      <c r="B4474" s="562" t="s">
        <v>1020</v>
      </c>
      <c r="C4474" s="403">
        <v>1255</v>
      </c>
      <c r="D4474" s="400"/>
      <c r="E4474" s="400"/>
      <c r="F4474" s="400"/>
      <c r="G4474" s="400"/>
      <c r="H4474" s="396"/>
    </row>
    <row r="4475" spans="1:8" s="401" customFormat="1" ht="14.25" customHeight="1" x14ac:dyDescent="0.25">
      <c r="A4475" s="564">
        <v>1044</v>
      </c>
      <c r="B4475" s="562" t="s">
        <v>1032</v>
      </c>
      <c r="C4475" s="403">
        <v>579</v>
      </c>
      <c r="D4475" s="400"/>
      <c r="E4475" s="400"/>
      <c r="F4475" s="400"/>
      <c r="G4475" s="400"/>
      <c r="H4475" s="396"/>
    </row>
    <row r="4476" spans="1:8" s="401" customFormat="1" ht="14.25" customHeight="1" x14ac:dyDescent="0.25">
      <c r="A4476" s="564">
        <v>1046</v>
      </c>
      <c r="B4476" s="562" t="s">
        <v>1020</v>
      </c>
      <c r="C4476" s="403">
        <v>1254</v>
      </c>
      <c r="D4476" s="400"/>
      <c r="E4476" s="400"/>
      <c r="F4476" s="400"/>
      <c r="G4476" s="400"/>
      <c r="H4476" s="396"/>
    </row>
    <row r="4477" spans="1:8" s="401" customFormat="1" ht="14.25" customHeight="1" x14ac:dyDescent="0.25">
      <c r="A4477" s="564">
        <v>5117</v>
      </c>
      <c r="B4477" s="562" t="s">
        <v>1020</v>
      </c>
      <c r="C4477" s="403">
        <v>1255</v>
      </c>
      <c r="D4477" s="400"/>
      <c r="E4477" s="400"/>
      <c r="F4477" s="400"/>
      <c r="G4477" s="400"/>
      <c r="H4477" s="396"/>
    </row>
    <row r="4478" spans="1:8" s="401" customFormat="1" ht="14.25" customHeight="1" x14ac:dyDescent="0.25">
      <c r="A4478" s="564">
        <v>5118</v>
      </c>
      <c r="B4478" s="562" t="s">
        <v>1020</v>
      </c>
      <c r="C4478" s="403">
        <v>2472</v>
      </c>
      <c r="D4478" s="400"/>
      <c r="E4478" s="400"/>
      <c r="F4478" s="400"/>
      <c r="G4478" s="400"/>
      <c r="H4478" s="396"/>
    </row>
    <row r="4479" spans="1:8" s="401" customFormat="1" ht="14.25" customHeight="1" x14ac:dyDescent="0.25">
      <c r="A4479" s="564">
        <v>1032</v>
      </c>
      <c r="B4479" s="562" t="s">
        <v>1020</v>
      </c>
      <c r="C4479" s="403">
        <v>2472</v>
      </c>
      <c r="D4479" s="400"/>
      <c r="E4479" s="400"/>
      <c r="F4479" s="400"/>
      <c r="G4479" s="400"/>
      <c r="H4479" s="396"/>
    </row>
    <row r="4480" spans="1:8" s="401" customFormat="1" ht="14.25" customHeight="1" x14ac:dyDescent="0.25">
      <c r="A4480" s="564">
        <v>1036</v>
      </c>
      <c r="B4480" s="562" t="s">
        <v>1020</v>
      </c>
      <c r="C4480" s="403">
        <v>6832</v>
      </c>
      <c r="D4480" s="400"/>
      <c r="E4480" s="400"/>
      <c r="F4480" s="400"/>
      <c r="G4480" s="400"/>
      <c r="H4480" s="396"/>
    </row>
    <row r="4481" spans="1:8" s="401" customFormat="1" ht="14.25" customHeight="1" x14ac:dyDescent="0.25">
      <c r="A4481" s="564">
        <v>1048</v>
      </c>
      <c r="B4481" s="562" t="s">
        <v>1020</v>
      </c>
      <c r="C4481" s="403">
        <v>2472</v>
      </c>
      <c r="D4481" s="400"/>
      <c r="E4481" s="400"/>
      <c r="F4481" s="400"/>
      <c r="G4481" s="400"/>
      <c r="H4481" s="396"/>
    </row>
    <row r="4482" spans="1:8" s="401" customFormat="1" ht="14.25" customHeight="1" x14ac:dyDescent="0.25">
      <c r="A4482" s="564">
        <v>1067</v>
      </c>
      <c r="B4482" s="562" t="s">
        <v>1035</v>
      </c>
      <c r="C4482" s="403">
        <v>6474</v>
      </c>
      <c r="D4482" s="400"/>
      <c r="E4482" s="400"/>
      <c r="F4482" s="400"/>
      <c r="G4482" s="400"/>
      <c r="H4482" s="396"/>
    </row>
    <row r="4483" spans="1:8" s="401" customFormat="1" ht="14.25" customHeight="1" x14ac:dyDescent="0.25">
      <c r="A4483" s="564">
        <v>1070</v>
      </c>
      <c r="B4483" s="562" t="s">
        <v>1036</v>
      </c>
      <c r="C4483" s="403">
        <v>19000</v>
      </c>
      <c r="D4483" s="400"/>
      <c r="E4483" s="400"/>
      <c r="F4483" s="400"/>
      <c r="G4483" s="400"/>
      <c r="H4483" s="396"/>
    </row>
    <row r="4484" spans="1:8" s="401" customFormat="1" ht="14.25" customHeight="1" x14ac:dyDescent="0.25">
      <c r="A4484" s="564">
        <v>1077</v>
      </c>
      <c r="B4484" s="562" t="s">
        <v>1037</v>
      </c>
      <c r="C4484" s="403">
        <v>1</v>
      </c>
      <c r="D4484" s="400"/>
      <c r="E4484" s="400"/>
      <c r="F4484" s="400"/>
      <c r="G4484" s="400"/>
      <c r="H4484" s="396"/>
    </row>
    <row r="4485" spans="1:8" s="401" customFormat="1" ht="14.25" customHeight="1" x14ac:dyDescent="0.25">
      <c r="A4485" s="564">
        <v>1884</v>
      </c>
      <c r="B4485" s="562" t="s">
        <v>1020</v>
      </c>
      <c r="C4485" s="403">
        <v>2472</v>
      </c>
      <c r="D4485" s="400"/>
      <c r="E4485" s="400"/>
      <c r="F4485" s="400"/>
      <c r="G4485" s="400"/>
      <c r="H4485" s="396"/>
    </row>
    <row r="4486" spans="1:8" s="401" customFormat="1" ht="14.25" customHeight="1" x14ac:dyDescent="0.25">
      <c r="A4486" s="564">
        <v>1887</v>
      </c>
      <c r="B4486" s="562" t="s">
        <v>1020</v>
      </c>
      <c r="C4486" s="403">
        <v>1255</v>
      </c>
      <c r="D4486" s="400"/>
      <c r="E4486" s="400"/>
      <c r="F4486" s="400"/>
      <c r="G4486" s="400"/>
      <c r="H4486" s="396"/>
    </row>
    <row r="4487" spans="1:8" s="401" customFormat="1" ht="14.25" customHeight="1" x14ac:dyDescent="0.25">
      <c r="A4487" s="564">
        <v>1888</v>
      </c>
      <c r="B4487" s="562" t="s">
        <v>1020</v>
      </c>
      <c r="C4487" s="403">
        <v>1255</v>
      </c>
      <c r="D4487" s="400"/>
      <c r="E4487" s="400"/>
      <c r="F4487" s="400"/>
      <c r="G4487" s="400"/>
      <c r="H4487" s="396"/>
    </row>
    <row r="4488" spans="1:8" s="401" customFormat="1" ht="14.25" customHeight="1" x14ac:dyDescent="0.25">
      <c r="A4488" s="564">
        <v>1889</v>
      </c>
      <c r="B4488" s="562" t="s">
        <v>1020</v>
      </c>
      <c r="C4488" s="403">
        <v>2476</v>
      </c>
      <c r="D4488" s="400"/>
      <c r="E4488" s="400"/>
      <c r="F4488" s="400"/>
      <c r="G4488" s="400"/>
      <c r="H4488" s="396"/>
    </row>
    <row r="4489" spans="1:8" s="401" customFormat="1" ht="14.25" customHeight="1" x14ac:dyDescent="0.25">
      <c r="A4489" s="564">
        <v>1904</v>
      </c>
      <c r="B4489" s="562" t="s">
        <v>1020</v>
      </c>
      <c r="C4489" s="403">
        <v>1</v>
      </c>
      <c r="D4489" s="400"/>
      <c r="E4489" s="400"/>
      <c r="F4489" s="400"/>
      <c r="G4489" s="400"/>
      <c r="H4489" s="396"/>
    </row>
    <row r="4490" spans="1:8" s="401" customFormat="1" ht="14.25" customHeight="1" x14ac:dyDescent="0.25">
      <c r="A4490" s="564">
        <v>1872</v>
      </c>
      <c r="B4490" s="562" t="s">
        <v>1020</v>
      </c>
      <c r="C4490" s="403">
        <v>2472</v>
      </c>
      <c r="D4490" s="400"/>
      <c r="E4490" s="400"/>
      <c r="F4490" s="400"/>
      <c r="G4490" s="400"/>
      <c r="H4490" s="396"/>
    </row>
    <row r="4491" spans="1:8" s="401" customFormat="1" ht="14.25" customHeight="1" x14ac:dyDescent="0.25">
      <c r="A4491" s="564">
        <v>1874</v>
      </c>
      <c r="B4491" s="562" t="s">
        <v>1020</v>
      </c>
      <c r="C4491" s="403">
        <v>2472</v>
      </c>
      <c r="D4491" s="400"/>
      <c r="E4491" s="400"/>
      <c r="F4491" s="400"/>
      <c r="G4491" s="400"/>
      <c r="H4491" s="396"/>
    </row>
    <row r="4492" spans="1:8" s="401" customFormat="1" ht="14.25" customHeight="1" x14ac:dyDescent="0.25">
      <c r="A4492" s="564">
        <v>1897</v>
      </c>
      <c r="B4492" s="562" t="s">
        <v>1020</v>
      </c>
      <c r="C4492" s="403">
        <v>1255</v>
      </c>
      <c r="D4492" s="400"/>
      <c r="E4492" s="400"/>
      <c r="F4492" s="400"/>
      <c r="G4492" s="400"/>
      <c r="H4492" s="396"/>
    </row>
    <row r="4493" spans="1:8" s="401" customFormat="1" ht="14.25" customHeight="1" x14ac:dyDescent="0.25">
      <c r="A4493" s="564">
        <v>1899</v>
      </c>
      <c r="B4493" s="562" t="s">
        <v>1020</v>
      </c>
      <c r="C4493" s="403">
        <v>1255</v>
      </c>
      <c r="D4493" s="400"/>
      <c r="E4493" s="400"/>
      <c r="F4493" s="400"/>
      <c r="G4493" s="400"/>
      <c r="H4493" s="396"/>
    </row>
    <row r="4494" spans="1:8" s="401" customFormat="1" ht="14.25" customHeight="1" x14ac:dyDescent="0.25">
      <c r="A4494" s="564">
        <v>1903</v>
      </c>
      <c r="B4494" s="562" t="s">
        <v>1020</v>
      </c>
      <c r="C4494" s="403">
        <v>1</v>
      </c>
      <c r="D4494" s="400"/>
      <c r="E4494" s="400"/>
      <c r="F4494" s="400"/>
      <c r="G4494" s="400"/>
      <c r="H4494" s="396"/>
    </row>
    <row r="4495" spans="1:8" s="401" customFormat="1" ht="14.25" customHeight="1" x14ac:dyDescent="0.25">
      <c r="A4495" s="564">
        <v>1868</v>
      </c>
      <c r="B4495" s="562" t="s">
        <v>1020</v>
      </c>
      <c r="C4495" s="403">
        <v>1137</v>
      </c>
      <c r="D4495" s="400"/>
      <c r="E4495" s="400"/>
      <c r="F4495" s="400"/>
      <c r="G4495" s="400"/>
      <c r="H4495" s="396"/>
    </row>
    <row r="4496" spans="1:8" s="401" customFormat="1" ht="14.25" customHeight="1" x14ac:dyDescent="0.25">
      <c r="A4496" s="564">
        <v>1862</v>
      </c>
      <c r="B4496" s="562" t="s">
        <v>1020</v>
      </c>
      <c r="C4496" s="403">
        <v>2088</v>
      </c>
      <c r="D4496" s="400"/>
      <c r="E4496" s="400"/>
      <c r="F4496" s="400"/>
      <c r="G4496" s="400"/>
      <c r="H4496" s="396"/>
    </row>
    <row r="4497" spans="1:8" s="401" customFormat="1" ht="14.25" customHeight="1" x14ac:dyDescent="0.25">
      <c r="A4497" s="564">
        <v>1890</v>
      </c>
      <c r="B4497" s="562" t="s">
        <v>1020</v>
      </c>
      <c r="C4497" s="403">
        <v>2472</v>
      </c>
      <c r="D4497" s="400"/>
      <c r="E4497" s="400"/>
      <c r="F4497" s="400"/>
      <c r="G4497" s="400"/>
      <c r="H4497" s="396"/>
    </row>
    <row r="4498" spans="1:8" s="401" customFormat="1" ht="14.25" customHeight="1" x14ac:dyDescent="0.25">
      <c r="A4498" s="564">
        <v>1864</v>
      </c>
      <c r="B4498" s="562" t="s">
        <v>1020</v>
      </c>
      <c r="C4498" s="403">
        <v>2959</v>
      </c>
      <c r="D4498" s="400"/>
      <c r="E4498" s="400"/>
      <c r="F4498" s="400"/>
      <c r="G4498" s="400"/>
      <c r="H4498" s="396"/>
    </row>
    <row r="4499" spans="1:8" s="401" customFormat="1" ht="14.25" customHeight="1" x14ac:dyDescent="0.25">
      <c r="A4499" s="564">
        <v>1877</v>
      </c>
      <c r="B4499" s="562" t="s">
        <v>1020</v>
      </c>
      <c r="C4499" s="403">
        <v>2472</v>
      </c>
      <c r="D4499" s="400"/>
      <c r="E4499" s="400"/>
      <c r="F4499" s="400"/>
      <c r="G4499" s="400"/>
      <c r="H4499" s="396"/>
    </row>
    <row r="4500" spans="1:8" s="401" customFormat="1" ht="14.25" customHeight="1" x14ac:dyDescent="0.25">
      <c r="A4500" s="564">
        <v>1878</v>
      </c>
      <c r="B4500" s="562" t="s">
        <v>1020</v>
      </c>
      <c r="C4500" s="403">
        <v>1255</v>
      </c>
      <c r="D4500" s="400"/>
      <c r="E4500" s="400"/>
      <c r="F4500" s="400"/>
      <c r="G4500" s="400"/>
      <c r="H4500" s="396"/>
    </row>
    <row r="4501" spans="1:8" s="401" customFormat="1" ht="14.25" customHeight="1" x14ac:dyDescent="0.25">
      <c r="A4501" s="564">
        <v>1866</v>
      </c>
      <c r="B4501" s="562" t="s">
        <v>1020</v>
      </c>
      <c r="C4501" s="403">
        <v>2532</v>
      </c>
      <c r="D4501" s="400"/>
      <c r="E4501" s="400"/>
      <c r="F4501" s="400"/>
      <c r="G4501" s="400"/>
      <c r="H4501" s="396"/>
    </row>
    <row r="4502" spans="1:8" s="401" customFormat="1" ht="14.25" customHeight="1" x14ac:dyDescent="0.25">
      <c r="A4502" s="564">
        <v>1883</v>
      </c>
      <c r="B4502" s="562" t="s">
        <v>1038</v>
      </c>
      <c r="C4502" s="403">
        <v>5175</v>
      </c>
      <c r="D4502" s="400"/>
      <c r="E4502" s="400"/>
      <c r="F4502" s="400"/>
      <c r="G4502" s="400"/>
      <c r="H4502" s="396"/>
    </row>
    <row r="4503" spans="1:8" s="401" customFormat="1" ht="14.25" customHeight="1" x14ac:dyDescent="0.25">
      <c r="A4503" s="564">
        <v>1892</v>
      </c>
      <c r="B4503" s="562" t="s">
        <v>1020</v>
      </c>
      <c r="C4503" s="403">
        <v>1834</v>
      </c>
      <c r="D4503" s="400"/>
      <c r="E4503" s="400"/>
      <c r="F4503" s="400"/>
      <c r="G4503" s="400"/>
      <c r="H4503" s="396"/>
    </row>
    <row r="4504" spans="1:8" s="401" customFormat="1" ht="14.25" customHeight="1" x14ac:dyDescent="0.25">
      <c r="A4504" s="564">
        <v>1894</v>
      </c>
      <c r="B4504" s="562" t="s">
        <v>1020</v>
      </c>
      <c r="C4504" s="403">
        <v>2472</v>
      </c>
      <c r="D4504" s="400"/>
      <c r="E4504" s="400"/>
      <c r="F4504" s="400"/>
      <c r="G4504" s="400"/>
      <c r="H4504" s="396"/>
    </row>
    <row r="4505" spans="1:8" s="401" customFormat="1" ht="14.25" customHeight="1" x14ac:dyDescent="0.25">
      <c r="A4505" s="564">
        <v>1870</v>
      </c>
      <c r="B4505" s="562" t="s">
        <v>1020</v>
      </c>
      <c r="C4505" s="403">
        <v>2472</v>
      </c>
      <c r="D4505" s="400"/>
      <c r="E4505" s="400"/>
      <c r="F4505" s="400"/>
      <c r="G4505" s="400"/>
      <c r="H4505" s="396"/>
    </row>
    <row r="4506" spans="1:8" s="401" customFormat="1" ht="14.25" customHeight="1" x14ac:dyDescent="0.25">
      <c r="A4506" s="564">
        <v>1880</v>
      </c>
      <c r="B4506" s="562" t="s">
        <v>1020</v>
      </c>
      <c r="C4506" s="403">
        <v>1255</v>
      </c>
      <c r="D4506" s="400"/>
      <c r="E4506" s="400"/>
      <c r="F4506" s="400"/>
      <c r="G4506" s="400"/>
      <c r="H4506" s="396"/>
    </row>
    <row r="4507" spans="1:8" s="401" customFormat="1" ht="14.25" customHeight="1" x14ac:dyDescent="0.25">
      <c r="A4507" s="564">
        <v>1881</v>
      </c>
      <c r="B4507" s="562" t="s">
        <v>1020</v>
      </c>
      <c r="C4507" s="403">
        <v>1255</v>
      </c>
      <c r="D4507" s="400"/>
      <c r="E4507" s="400"/>
      <c r="F4507" s="400"/>
      <c r="G4507" s="400"/>
      <c r="H4507" s="396"/>
    </row>
    <row r="4508" spans="1:8" s="401" customFormat="1" ht="14.25" customHeight="1" x14ac:dyDescent="0.25">
      <c r="A4508" s="564">
        <v>3697</v>
      </c>
      <c r="B4508" s="562" t="s">
        <v>1020</v>
      </c>
      <c r="C4508" s="403">
        <v>2472</v>
      </c>
      <c r="D4508" s="400"/>
      <c r="E4508" s="400"/>
      <c r="F4508" s="400"/>
      <c r="G4508" s="400"/>
      <c r="H4508" s="396"/>
    </row>
    <row r="4509" spans="1:8" s="401" customFormat="1" ht="14.25" customHeight="1" x14ac:dyDescent="0.25">
      <c r="A4509" s="564">
        <v>3699</v>
      </c>
      <c r="B4509" s="562" t="s">
        <v>1020</v>
      </c>
      <c r="C4509" s="403">
        <v>2000</v>
      </c>
      <c r="D4509" s="400"/>
      <c r="E4509" s="400"/>
      <c r="F4509" s="400"/>
      <c r="G4509" s="400"/>
      <c r="H4509" s="396"/>
    </row>
    <row r="4510" spans="1:8" s="401" customFormat="1" ht="14.25" customHeight="1" x14ac:dyDescent="0.25">
      <c r="A4510" s="564">
        <v>3763</v>
      </c>
      <c r="B4510" s="562" t="s">
        <v>1039</v>
      </c>
      <c r="C4510" s="403">
        <v>4652</v>
      </c>
      <c r="D4510" s="400"/>
      <c r="E4510" s="400"/>
      <c r="F4510" s="400"/>
      <c r="G4510" s="400"/>
      <c r="H4510" s="396"/>
    </row>
    <row r="4511" spans="1:8" s="401" customFormat="1" ht="14.25" customHeight="1" x14ac:dyDescent="0.25">
      <c r="A4511" s="564">
        <v>3766</v>
      </c>
      <c r="B4511" s="562" t="s">
        <v>1039</v>
      </c>
      <c r="C4511" s="403">
        <v>4652</v>
      </c>
      <c r="D4511" s="400"/>
      <c r="E4511" s="400"/>
      <c r="F4511" s="400"/>
      <c r="G4511" s="400"/>
      <c r="H4511" s="396"/>
    </row>
    <row r="4512" spans="1:8" s="401" customFormat="1" ht="14.25" customHeight="1" x14ac:dyDescent="0.25">
      <c r="A4512" s="564">
        <v>3769</v>
      </c>
      <c r="B4512" s="562" t="s">
        <v>1039</v>
      </c>
      <c r="C4512" s="403">
        <v>4652</v>
      </c>
      <c r="D4512" s="400"/>
      <c r="E4512" s="400"/>
      <c r="F4512" s="400"/>
      <c r="G4512" s="400"/>
      <c r="H4512" s="396"/>
    </row>
    <row r="4513" spans="1:8" s="401" customFormat="1" ht="14.25" customHeight="1" x14ac:dyDescent="0.25">
      <c r="A4513" s="564">
        <v>3396</v>
      </c>
      <c r="B4513" s="562" t="s">
        <v>1037</v>
      </c>
      <c r="C4513" s="403">
        <v>9890</v>
      </c>
      <c r="D4513" s="400"/>
      <c r="E4513" s="400"/>
      <c r="F4513" s="400"/>
      <c r="G4513" s="400"/>
      <c r="H4513" s="396"/>
    </row>
    <row r="4514" spans="1:8" s="401" customFormat="1" ht="14.25" customHeight="1" x14ac:dyDescent="0.25">
      <c r="A4514" s="564">
        <v>3401</v>
      </c>
      <c r="B4514" s="562" t="s">
        <v>1020</v>
      </c>
      <c r="C4514" s="403">
        <v>2472</v>
      </c>
      <c r="D4514" s="400"/>
      <c r="E4514" s="400"/>
      <c r="F4514" s="400"/>
      <c r="G4514" s="400"/>
      <c r="H4514" s="396"/>
    </row>
    <row r="4515" spans="1:8" s="401" customFormat="1" ht="14.25" customHeight="1" x14ac:dyDescent="0.25">
      <c r="A4515" s="564">
        <v>3406</v>
      </c>
      <c r="B4515" s="562" t="s">
        <v>1020</v>
      </c>
      <c r="C4515" s="403">
        <v>2472</v>
      </c>
      <c r="D4515" s="400"/>
      <c r="E4515" s="400"/>
      <c r="F4515" s="400"/>
      <c r="G4515" s="400"/>
      <c r="H4515" s="396"/>
    </row>
    <row r="4516" spans="1:8" s="401" customFormat="1" ht="14.25" customHeight="1" x14ac:dyDescent="0.25">
      <c r="A4516" s="564">
        <v>3409</v>
      </c>
      <c r="B4516" s="562" t="s">
        <v>1020</v>
      </c>
      <c r="C4516" s="403">
        <v>5672</v>
      </c>
      <c r="D4516" s="400"/>
      <c r="E4516" s="400"/>
      <c r="F4516" s="400"/>
      <c r="G4516" s="400"/>
      <c r="H4516" s="396"/>
    </row>
    <row r="4517" spans="1:8" s="401" customFormat="1" ht="14.25" customHeight="1" x14ac:dyDescent="0.25">
      <c r="A4517" s="564">
        <v>3506</v>
      </c>
      <c r="B4517" s="562" t="s">
        <v>1040</v>
      </c>
      <c r="C4517" s="403">
        <v>1</v>
      </c>
      <c r="D4517" s="400"/>
      <c r="E4517" s="400"/>
      <c r="F4517" s="400"/>
      <c r="G4517" s="400"/>
      <c r="H4517" s="396"/>
    </row>
    <row r="4518" spans="1:8" s="401" customFormat="1" ht="14.25" customHeight="1" x14ac:dyDescent="0.25">
      <c r="A4518" s="564">
        <v>3413</v>
      </c>
      <c r="B4518" s="562" t="s">
        <v>1020</v>
      </c>
      <c r="C4518" s="403">
        <v>2472</v>
      </c>
      <c r="D4518" s="400"/>
      <c r="E4518" s="400"/>
      <c r="F4518" s="400"/>
      <c r="G4518" s="400"/>
      <c r="H4518" s="396"/>
    </row>
    <row r="4519" spans="1:8" s="401" customFormat="1" ht="14.25" customHeight="1" x14ac:dyDescent="0.25">
      <c r="A4519" s="564">
        <v>3416</v>
      </c>
      <c r="B4519" s="562" t="s">
        <v>1035</v>
      </c>
      <c r="C4519" s="403">
        <v>3680</v>
      </c>
      <c r="D4519" s="400"/>
      <c r="E4519" s="400"/>
      <c r="F4519" s="400"/>
      <c r="G4519" s="400"/>
      <c r="H4519" s="396"/>
    </row>
    <row r="4520" spans="1:8" s="401" customFormat="1" ht="14.25" customHeight="1" x14ac:dyDescent="0.25">
      <c r="A4520" s="564">
        <v>3420</v>
      </c>
      <c r="B4520" s="562" t="s">
        <v>1037</v>
      </c>
      <c r="C4520" s="403">
        <v>5290</v>
      </c>
      <c r="D4520" s="400"/>
      <c r="E4520" s="400"/>
      <c r="F4520" s="400"/>
      <c r="G4520" s="400"/>
      <c r="H4520" s="396"/>
    </row>
    <row r="4521" spans="1:8" s="401" customFormat="1" ht="14.25" customHeight="1" x14ac:dyDescent="0.25">
      <c r="A4521" s="564">
        <v>3428</v>
      </c>
      <c r="B4521" s="562" t="s">
        <v>1020</v>
      </c>
      <c r="C4521" s="403">
        <v>2472</v>
      </c>
      <c r="D4521" s="400"/>
      <c r="E4521" s="400"/>
      <c r="F4521" s="400"/>
      <c r="G4521" s="400"/>
      <c r="H4521" s="396"/>
    </row>
    <row r="4522" spans="1:8" s="401" customFormat="1" ht="14.25" customHeight="1" x14ac:dyDescent="0.25">
      <c r="A4522" s="564">
        <v>3483</v>
      </c>
      <c r="B4522" s="562" t="s">
        <v>1026</v>
      </c>
      <c r="C4522" s="403">
        <v>2760</v>
      </c>
      <c r="D4522" s="400"/>
      <c r="E4522" s="400"/>
      <c r="F4522" s="400"/>
      <c r="G4522" s="400"/>
      <c r="H4522" s="396"/>
    </row>
    <row r="4523" spans="1:8" s="401" customFormat="1" ht="14.25" customHeight="1" x14ac:dyDescent="0.25">
      <c r="A4523" s="564">
        <v>4671</v>
      </c>
      <c r="B4523" s="562" t="s">
        <v>1035</v>
      </c>
      <c r="C4523" s="403">
        <v>11890</v>
      </c>
      <c r="D4523" s="400"/>
      <c r="E4523" s="400"/>
      <c r="F4523" s="400"/>
      <c r="G4523" s="400"/>
      <c r="H4523" s="396"/>
    </row>
    <row r="4524" spans="1:8" s="401" customFormat="1" ht="14.25" customHeight="1" x14ac:dyDescent="0.25">
      <c r="A4524" s="564">
        <v>4673</v>
      </c>
      <c r="B4524" s="562" t="s">
        <v>1037</v>
      </c>
      <c r="C4524" s="403">
        <v>7920</v>
      </c>
      <c r="D4524" s="400"/>
      <c r="E4524" s="400"/>
      <c r="F4524" s="400"/>
      <c r="G4524" s="400"/>
      <c r="H4524" s="396"/>
    </row>
    <row r="4525" spans="1:8" s="401" customFormat="1" ht="14.25" customHeight="1" x14ac:dyDescent="0.25">
      <c r="A4525" s="564">
        <v>4681</v>
      </c>
      <c r="B4525" s="562" t="s">
        <v>1018</v>
      </c>
      <c r="C4525" s="403">
        <v>4582</v>
      </c>
      <c r="D4525" s="400"/>
      <c r="E4525" s="400"/>
      <c r="F4525" s="400"/>
      <c r="G4525" s="400"/>
      <c r="H4525" s="396"/>
    </row>
    <row r="4526" spans="1:8" s="401" customFormat="1" ht="14.25" customHeight="1" x14ac:dyDescent="0.25">
      <c r="A4526" s="564">
        <v>4683</v>
      </c>
      <c r="B4526" s="562" t="s">
        <v>1018</v>
      </c>
      <c r="C4526" s="403">
        <v>4582</v>
      </c>
      <c r="D4526" s="400"/>
      <c r="E4526" s="400"/>
      <c r="F4526" s="400"/>
      <c r="G4526" s="400"/>
      <c r="H4526" s="396"/>
    </row>
    <row r="4527" spans="1:8" s="401" customFormat="1" ht="14.25" customHeight="1" x14ac:dyDescent="0.25">
      <c r="A4527" s="564">
        <v>4686</v>
      </c>
      <c r="B4527" s="562" t="s">
        <v>1018</v>
      </c>
      <c r="C4527" s="403">
        <v>4582</v>
      </c>
      <c r="D4527" s="400"/>
      <c r="E4527" s="400"/>
      <c r="F4527" s="400"/>
      <c r="G4527" s="400"/>
      <c r="H4527" s="396"/>
    </row>
    <row r="4528" spans="1:8" s="401" customFormat="1" ht="14.25" customHeight="1" x14ac:dyDescent="0.25">
      <c r="A4528" s="564">
        <v>4688</v>
      </c>
      <c r="B4528" s="562" t="s">
        <v>1018</v>
      </c>
      <c r="C4528" s="403">
        <v>4582</v>
      </c>
      <c r="D4528" s="400"/>
      <c r="E4528" s="400"/>
      <c r="F4528" s="400"/>
      <c r="G4528" s="400"/>
      <c r="H4528" s="396"/>
    </row>
    <row r="4529" spans="1:8" s="401" customFormat="1" ht="14.25" customHeight="1" x14ac:dyDescent="0.25">
      <c r="A4529" s="564">
        <v>4690</v>
      </c>
      <c r="B4529" s="562" t="s">
        <v>1025</v>
      </c>
      <c r="C4529" s="403">
        <v>4930</v>
      </c>
      <c r="D4529" s="400"/>
      <c r="E4529" s="400"/>
      <c r="F4529" s="400"/>
      <c r="G4529" s="400"/>
      <c r="H4529" s="396"/>
    </row>
    <row r="4530" spans="1:8" s="401" customFormat="1" ht="14.25" customHeight="1" x14ac:dyDescent="0.25">
      <c r="A4530" s="564">
        <v>4691</v>
      </c>
      <c r="B4530" s="562" t="s">
        <v>1025</v>
      </c>
      <c r="C4530" s="403">
        <v>4930</v>
      </c>
      <c r="D4530" s="400"/>
      <c r="E4530" s="400"/>
      <c r="F4530" s="400"/>
      <c r="G4530" s="400"/>
      <c r="H4530" s="396"/>
    </row>
    <row r="4531" spans="1:8" s="401" customFormat="1" ht="14.25" customHeight="1" x14ac:dyDescent="0.25">
      <c r="A4531" s="564">
        <v>4692</v>
      </c>
      <c r="B4531" s="562" t="s">
        <v>1025</v>
      </c>
      <c r="C4531" s="403">
        <v>4930</v>
      </c>
      <c r="D4531" s="400"/>
      <c r="E4531" s="400"/>
      <c r="F4531" s="400"/>
      <c r="G4531" s="400"/>
      <c r="H4531" s="396"/>
    </row>
    <row r="4532" spans="1:8" s="401" customFormat="1" ht="14.25" customHeight="1" x14ac:dyDescent="0.25">
      <c r="A4532" s="564">
        <v>4693</v>
      </c>
      <c r="B4532" s="562" t="s">
        <v>1025</v>
      </c>
      <c r="C4532" s="403">
        <v>4930</v>
      </c>
      <c r="D4532" s="400"/>
      <c r="E4532" s="400"/>
      <c r="F4532" s="400"/>
      <c r="G4532" s="400"/>
      <c r="H4532" s="396"/>
    </row>
    <row r="4533" spans="1:8" s="401" customFormat="1" ht="14.25" customHeight="1" x14ac:dyDescent="0.25">
      <c r="A4533" s="564">
        <v>4694</v>
      </c>
      <c r="B4533" s="562" t="s">
        <v>1025</v>
      </c>
      <c r="C4533" s="403">
        <v>4930</v>
      </c>
      <c r="D4533" s="400"/>
      <c r="E4533" s="400"/>
      <c r="F4533" s="400"/>
      <c r="G4533" s="400"/>
      <c r="H4533" s="396"/>
    </row>
    <row r="4534" spans="1:8" s="401" customFormat="1" ht="14.25" customHeight="1" x14ac:dyDescent="0.25">
      <c r="A4534" s="564">
        <v>4695</v>
      </c>
      <c r="B4534" s="562" t="s">
        <v>1025</v>
      </c>
      <c r="C4534" s="403">
        <v>4930</v>
      </c>
      <c r="D4534" s="400"/>
      <c r="E4534" s="400"/>
      <c r="F4534" s="400"/>
      <c r="G4534" s="400"/>
      <c r="H4534" s="396"/>
    </row>
    <row r="4535" spans="1:8" s="401" customFormat="1" ht="14.25" customHeight="1" x14ac:dyDescent="0.25">
      <c r="A4535" s="564">
        <v>4696</v>
      </c>
      <c r="B4535" s="562" t="s">
        <v>1025</v>
      </c>
      <c r="C4535" s="403">
        <v>4930</v>
      </c>
      <c r="D4535" s="400"/>
      <c r="E4535" s="400"/>
      <c r="F4535" s="400"/>
      <c r="G4535" s="400"/>
      <c r="H4535" s="396"/>
    </row>
    <row r="4536" spans="1:8" s="401" customFormat="1" ht="14.25" customHeight="1" x14ac:dyDescent="0.25">
      <c r="A4536" s="564">
        <v>4699</v>
      </c>
      <c r="B4536" s="562" t="s">
        <v>1025</v>
      </c>
      <c r="C4536" s="403">
        <v>4930</v>
      </c>
      <c r="D4536" s="400"/>
      <c r="E4536" s="400"/>
      <c r="F4536" s="400"/>
      <c r="G4536" s="400"/>
      <c r="H4536" s="396"/>
    </row>
    <row r="4537" spans="1:8" s="401" customFormat="1" ht="14.25" customHeight="1" x14ac:dyDescent="0.25">
      <c r="A4537" s="564">
        <v>4701</v>
      </c>
      <c r="B4537" s="562" t="s">
        <v>1025</v>
      </c>
      <c r="C4537" s="403">
        <v>4930</v>
      </c>
      <c r="D4537" s="400"/>
      <c r="E4537" s="400"/>
      <c r="F4537" s="400"/>
      <c r="G4537" s="400"/>
      <c r="H4537" s="396"/>
    </row>
    <row r="4538" spans="1:8" s="401" customFormat="1" ht="14.25" customHeight="1" x14ac:dyDescent="0.25">
      <c r="A4538" s="564">
        <v>4703</v>
      </c>
      <c r="B4538" s="562" t="s">
        <v>1025</v>
      </c>
      <c r="C4538" s="403">
        <v>4930</v>
      </c>
      <c r="D4538" s="400"/>
      <c r="E4538" s="400"/>
      <c r="F4538" s="400"/>
      <c r="G4538" s="400"/>
      <c r="H4538" s="396"/>
    </row>
    <row r="4539" spans="1:8" s="401" customFormat="1" ht="14.25" customHeight="1" x14ac:dyDescent="0.25">
      <c r="A4539" s="564">
        <v>4704</v>
      </c>
      <c r="B4539" s="562" t="s">
        <v>1025</v>
      </c>
      <c r="C4539" s="403">
        <v>4930</v>
      </c>
      <c r="D4539" s="400"/>
      <c r="E4539" s="400"/>
      <c r="F4539" s="400"/>
      <c r="G4539" s="400"/>
      <c r="H4539" s="396"/>
    </row>
    <row r="4540" spans="1:8" s="401" customFormat="1" ht="14.25" customHeight="1" x14ac:dyDescent="0.25">
      <c r="A4540" s="564">
        <v>4711</v>
      </c>
      <c r="B4540" s="562" t="s">
        <v>1025</v>
      </c>
      <c r="C4540" s="403">
        <v>4930</v>
      </c>
      <c r="D4540" s="400"/>
      <c r="E4540" s="400"/>
      <c r="F4540" s="400"/>
      <c r="G4540" s="400"/>
      <c r="H4540" s="396"/>
    </row>
    <row r="4541" spans="1:8" s="401" customFormat="1" ht="14.25" customHeight="1" x14ac:dyDescent="0.25">
      <c r="A4541" s="564">
        <v>4714</v>
      </c>
      <c r="B4541" s="562" t="s">
        <v>1025</v>
      </c>
      <c r="C4541" s="403">
        <v>4930</v>
      </c>
      <c r="D4541" s="400"/>
      <c r="E4541" s="400"/>
      <c r="F4541" s="400"/>
      <c r="G4541" s="400"/>
      <c r="H4541" s="396"/>
    </row>
    <row r="4542" spans="1:8" s="401" customFormat="1" ht="14.25" customHeight="1" x14ac:dyDescent="0.25">
      <c r="A4542" s="564">
        <v>4715</v>
      </c>
      <c r="B4542" s="562" t="s">
        <v>1025</v>
      </c>
      <c r="C4542" s="403">
        <v>4930</v>
      </c>
      <c r="D4542" s="400"/>
      <c r="E4542" s="400"/>
      <c r="F4542" s="400"/>
      <c r="G4542" s="400"/>
      <c r="H4542" s="396"/>
    </row>
    <row r="4543" spans="1:8" s="401" customFormat="1" ht="14.25" customHeight="1" x14ac:dyDescent="0.25">
      <c r="A4543" s="564">
        <v>4717</v>
      </c>
      <c r="B4543" s="562" t="s">
        <v>1025</v>
      </c>
      <c r="C4543" s="403">
        <v>4930</v>
      </c>
      <c r="D4543" s="400"/>
      <c r="E4543" s="400"/>
      <c r="F4543" s="400"/>
      <c r="G4543" s="400"/>
      <c r="H4543" s="396"/>
    </row>
    <row r="4544" spans="1:8" s="401" customFormat="1" ht="14.25" customHeight="1" x14ac:dyDescent="0.25">
      <c r="A4544" s="564">
        <v>4719</v>
      </c>
      <c r="B4544" s="562" t="s">
        <v>1025</v>
      </c>
      <c r="C4544" s="403">
        <v>4930</v>
      </c>
      <c r="D4544" s="400"/>
      <c r="E4544" s="400"/>
      <c r="F4544" s="400"/>
      <c r="G4544" s="400"/>
      <c r="H4544" s="396"/>
    </row>
    <row r="4545" spans="1:8" s="401" customFormat="1" ht="14.25" customHeight="1" x14ac:dyDescent="0.25">
      <c r="A4545" s="564">
        <v>4721</v>
      </c>
      <c r="B4545" s="562" t="s">
        <v>1025</v>
      </c>
      <c r="C4545" s="403">
        <v>4930</v>
      </c>
      <c r="D4545" s="400"/>
      <c r="E4545" s="400"/>
      <c r="F4545" s="400"/>
      <c r="G4545" s="400"/>
      <c r="H4545" s="396"/>
    </row>
    <row r="4546" spans="1:8" s="401" customFormat="1" ht="14.25" customHeight="1" x14ac:dyDescent="0.25">
      <c r="A4546" s="564">
        <v>4723</v>
      </c>
      <c r="B4546" s="562" t="s">
        <v>1025</v>
      </c>
      <c r="C4546" s="403">
        <v>4930</v>
      </c>
      <c r="D4546" s="400"/>
      <c r="E4546" s="400"/>
      <c r="F4546" s="400"/>
      <c r="G4546" s="400"/>
      <c r="H4546" s="396"/>
    </row>
    <row r="4547" spans="1:8" s="401" customFormat="1" ht="14.25" customHeight="1" x14ac:dyDescent="0.25">
      <c r="A4547" s="564">
        <v>4724</v>
      </c>
      <c r="B4547" s="562" t="s">
        <v>1025</v>
      </c>
      <c r="C4547" s="403">
        <v>4930</v>
      </c>
      <c r="D4547" s="400"/>
      <c r="E4547" s="400"/>
      <c r="F4547" s="400"/>
      <c r="G4547" s="400"/>
      <c r="H4547" s="396"/>
    </row>
    <row r="4548" spans="1:8" s="401" customFormat="1" ht="14.25" customHeight="1" x14ac:dyDescent="0.25">
      <c r="A4548" s="564">
        <v>4727</v>
      </c>
      <c r="B4548" s="562" t="s">
        <v>1025</v>
      </c>
      <c r="C4548" s="403">
        <v>4930</v>
      </c>
      <c r="D4548" s="400"/>
      <c r="E4548" s="400"/>
      <c r="F4548" s="400"/>
      <c r="G4548" s="400"/>
      <c r="H4548" s="396"/>
    </row>
    <row r="4549" spans="1:8" s="401" customFormat="1" ht="14.25" customHeight="1" x14ac:dyDescent="0.25">
      <c r="A4549" s="564">
        <v>4730</v>
      </c>
      <c r="B4549" s="562" t="s">
        <v>1025</v>
      </c>
      <c r="C4549" s="403">
        <v>4930</v>
      </c>
      <c r="D4549" s="400"/>
      <c r="E4549" s="400"/>
      <c r="F4549" s="400"/>
      <c r="G4549" s="400"/>
      <c r="H4549" s="396"/>
    </row>
    <row r="4550" spans="1:8" s="401" customFormat="1" ht="14.25" customHeight="1" x14ac:dyDescent="0.25">
      <c r="A4550" s="564">
        <v>4732</v>
      </c>
      <c r="B4550" s="562" t="s">
        <v>1025</v>
      </c>
      <c r="C4550" s="403">
        <v>4930</v>
      </c>
      <c r="D4550" s="400"/>
      <c r="E4550" s="400"/>
      <c r="F4550" s="400"/>
      <c r="G4550" s="400"/>
      <c r="H4550" s="396"/>
    </row>
    <row r="4551" spans="1:8" s="401" customFormat="1" ht="14.25" customHeight="1" x14ac:dyDescent="0.25">
      <c r="A4551" s="564">
        <v>4733</v>
      </c>
      <c r="B4551" s="562" t="s">
        <v>1025</v>
      </c>
      <c r="C4551" s="403">
        <v>4930</v>
      </c>
      <c r="D4551" s="400"/>
      <c r="E4551" s="400"/>
      <c r="F4551" s="400"/>
      <c r="G4551" s="400"/>
      <c r="H4551" s="396"/>
    </row>
    <row r="4552" spans="1:8" s="401" customFormat="1" ht="14.25" customHeight="1" x14ac:dyDescent="0.25">
      <c r="A4552" s="564">
        <v>4734</v>
      </c>
      <c r="B4552" s="562" t="s">
        <v>1025</v>
      </c>
      <c r="C4552" s="403">
        <v>4930</v>
      </c>
      <c r="D4552" s="400"/>
      <c r="E4552" s="400"/>
      <c r="F4552" s="400"/>
      <c r="G4552" s="400"/>
      <c r="H4552" s="396"/>
    </row>
    <row r="4553" spans="1:8" s="401" customFormat="1" ht="14.25" customHeight="1" x14ac:dyDescent="0.25">
      <c r="A4553" s="564">
        <v>4736</v>
      </c>
      <c r="B4553" s="562" t="s">
        <v>1025</v>
      </c>
      <c r="C4553" s="403">
        <v>4930</v>
      </c>
      <c r="D4553" s="400"/>
      <c r="E4553" s="400"/>
      <c r="F4553" s="400"/>
      <c r="G4553" s="400"/>
      <c r="H4553" s="396"/>
    </row>
    <row r="4554" spans="1:8" s="401" customFormat="1" ht="14.25" customHeight="1" x14ac:dyDescent="0.25">
      <c r="A4554" s="564">
        <v>4737</v>
      </c>
      <c r="B4554" s="562" t="s">
        <v>1025</v>
      </c>
      <c r="C4554" s="403">
        <v>4930</v>
      </c>
      <c r="D4554" s="400"/>
      <c r="E4554" s="400"/>
      <c r="F4554" s="400"/>
      <c r="G4554" s="400"/>
      <c r="H4554" s="396"/>
    </row>
    <row r="4555" spans="1:8" s="401" customFormat="1" ht="14.25" customHeight="1" x14ac:dyDescent="0.25">
      <c r="A4555" s="564">
        <v>4740</v>
      </c>
      <c r="B4555" s="562" t="s">
        <v>1025</v>
      </c>
      <c r="C4555" s="403">
        <v>4930</v>
      </c>
      <c r="D4555" s="400"/>
      <c r="E4555" s="400"/>
      <c r="F4555" s="400"/>
      <c r="G4555" s="400"/>
      <c r="H4555" s="396"/>
    </row>
    <row r="4556" spans="1:8" s="401" customFormat="1" ht="14.25" customHeight="1" x14ac:dyDescent="0.25">
      <c r="A4556" s="564">
        <v>4741</v>
      </c>
      <c r="B4556" s="562" t="s">
        <v>1025</v>
      </c>
      <c r="C4556" s="403">
        <v>4930</v>
      </c>
      <c r="D4556" s="400"/>
      <c r="E4556" s="400"/>
      <c r="F4556" s="400"/>
      <c r="G4556" s="400"/>
      <c r="H4556" s="396"/>
    </row>
    <row r="4557" spans="1:8" s="401" customFormat="1" ht="14.25" customHeight="1" x14ac:dyDescent="0.25">
      <c r="A4557" s="564">
        <v>4743</v>
      </c>
      <c r="B4557" s="562" t="s">
        <v>1025</v>
      </c>
      <c r="C4557" s="403">
        <v>4930</v>
      </c>
      <c r="D4557" s="400"/>
      <c r="E4557" s="400"/>
      <c r="F4557" s="400"/>
      <c r="G4557" s="400"/>
      <c r="H4557" s="396"/>
    </row>
    <row r="4558" spans="1:8" s="401" customFormat="1" ht="14.25" customHeight="1" x14ac:dyDescent="0.25">
      <c r="A4558" s="564">
        <v>4744</v>
      </c>
      <c r="B4558" s="562" t="s">
        <v>1025</v>
      </c>
      <c r="C4558" s="403">
        <v>4930</v>
      </c>
      <c r="D4558" s="400"/>
      <c r="E4558" s="400"/>
      <c r="F4558" s="400"/>
      <c r="G4558" s="400"/>
      <c r="H4558" s="396"/>
    </row>
    <row r="4559" spans="1:8" s="401" customFormat="1" ht="14.25" customHeight="1" x14ac:dyDescent="0.25">
      <c r="A4559" s="564">
        <v>3487</v>
      </c>
      <c r="B4559" s="562" t="s">
        <v>1020</v>
      </c>
      <c r="C4559" s="403">
        <v>2472</v>
      </c>
      <c r="D4559" s="400"/>
      <c r="E4559" s="400"/>
      <c r="F4559" s="400"/>
      <c r="G4559" s="400"/>
      <c r="H4559" s="396"/>
    </row>
    <row r="4560" spans="1:8" s="401" customFormat="1" ht="14.25" customHeight="1" x14ac:dyDescent="0.25">
      <c r="A4560" s="564">
        <v>3491</v>
      </c>
      <c r="B4560" s="562" t="s">
        <v>1035</v>
      </c>
      <c r="C4560" s="403">
        <v>3680</v>
      </c>
      <c r="D4560" s="400"/>
      <c r="E4560" s="400"/>
      <c r="F4560" s="400"/>
      <c r="G4560" s="400"/>
      <c r="H4560" s="396"/>
    </row>
    <row r="4561" spans="1:8" s="401" customFormat="1" ht="14.25" customHeight="1" x14ac:dyDescent="0.25">
      <c r="A4561" s="564">
        <v>3494</v>
      </c>
      <c r="B4561" s="562" t="s">
        <v>1025</v>
      </c>
      <c r="C4561" s="403">
        <v>3393</v>
      </c>
      <c r="D4561" s="400"/>
      <c r="E4561" s="400"/>
      <c r="F4561" s="400"/>
      <c r="G4561" s="400"/>
      <c r="H4561" s="396"/>
    </row>
    <row r="4562" spans="1:8" s="401" customFormat="1" ht="14.25" customHeight="1" x14ac:dyDescent="0.25">
      <c r="A4562" s="564">
        <v>3499</v>
      </c>
      <c r="B4562" s="562" t="s">
        <v>1035</v>
      </c>
      <c r="C4562" s="403">
        <v>3680</v>
      </c>
      <c r="D4562" s="400"/>
      <c r="E4562" s="400"/>
      <c r="F4562" s="400"/>
      <c r="G4562" s="400"/>
      <c r="H4562" s="396"/>
    </row>
    <row r="4563" spans="1:8" s="401" customFormat="1" ht="14.25" customHeight="1" x14ac:dyDescent="0.25">
      <c r="A4563" s="564">
        <v>3503</v>
      </c>
      <c r="B4563" s="562" t="s">
        <v>1037</v>
      </c>
      <c r="C4563" s="403">
        <v>5290</v>
      </c>
      <c r="D4563" s="400"/>
      <c r="E4563" s="400"/>
      <c r="F4563" s="400"/>
      <c r="G4563" s="400"/>
      <c r="H4563" s="396"/>
    </row>
    <row r="4564" spans="1:8" s="401" customFormat="1" ht="14.25" customHeight="1" x14ac:dyDescent="0.25">
      <c r="A4564" s="564">
        <v>3510</v>
      </c>
      <c r="B4564" s="562" t="s">
        <v>1026</v>
      </c>
      <c r="C4564" s="403">
        <v>2012</v>
      </c>
      <c r="D4564" s="400"/>
      <c r="E4564" s="400"/>
      <c r="F4564" s="400"/>
      <c r="G4564" s="400"/>
      <c r="H4564" s="396"/>
    </row>
    <row r="4565" spans="1:8" s="401" customFormat="1" ht="14.25" customHeight="1" x14ac:dyDescent="0.25">
      <c r="A4565" s="564">
        <v>3748</v>
      </c>
      <c r="B4565" s="562" t="s">
        <v>1020</v>
      </c>
      <c r="C4565" s="403">
        <v>1255</v>
      </c>
      <c r="D4565" s="400"/>
      <c r="E4565" s="400"/>
      <c r="F4565" s="400"/>
      <c r="G4565" s="400"/>
      <c r="H4565" s="396"/>
    </row>
    <row r="4566" spans="1:8" s="401" customFormat="1" ht="14.25" customHeight="1" x14ac:dyDescent="0.25">
      <c r="A4566" s="564">
        <v>3729</v>
      </c>
      <c r="B4566" s="562" t="s">
        <v>1020</v>
      </c>
      <c r="C4566" s="403">
        <v>2472</v>
      </c>
      <c r="D4566" s="400"/>
      <c r="E4566" s="400"/>
      <c r="F4566" s="400"/>
      <c r="G4566" s="400"/>
      <c r="H4566" s="396"/>
    </row>
    <row r="4567" spans="1:8" s="401" customFormat="1" ht="14.25" customHeight="1" x14ac:dyDescent="0.25">
      <c r="A4567" s="564">
        <v>3738</v>
      </c>
      <c r="B4567" s="562" t="s">
        <v>1020</v>
      </c>
      <c r="C4567" s="403">
        <v>1255</v>
      </c>
      <c r="D4567" s="400"/>
      <c r="E4567" s="400"/>
      <c r="F4567" s="400"/>
      <c r="G4567" s="400"/>
      <c r="H4567" s="396"/>
    </row>
    <row r="4568" spans="1:8" s="401" customFormat="1" ht="14.25" customHeight="1" x14ac:dyDescent="0.25">
      <c r="A4568" s="564">
        <v>3720</v>
      </c>
      <c r="B4568" s="562" t="s">
        <v>1020</v>
      </c>
      <c r="C4568" s="403">
        <v>2472</v>
      </c>
      <c r="D4568" s="400"/>
      <c r="E4568" s="400"/>
      <c r="F4568" s="400"/>
      <c r="G4568" s="400"/>
      <c r="H4568" s="396"/>
    </row>
    <row r="4569" spans="1:8" s="401" customFormat="1" ht="14.25" customHeight="1" x14ac:dyDescent="0.25">
      <c r="A4569" s="564">
        <v>3743</v>
      </c>
      <c r="B4569" s="562" t="s">
        <v>1020</v>
      </c>
      <c r="C4569" s="403">
        <v>2472</v>
      </c>
      <c r="D4569" s="400"/>
      <c r="E4569" s="400"/>
      <c r="F4569" s="400"/>
      <c r="G4569" s="400"/>
      <c r="H4569" s="396"/>
    </row>
    <row r="4570" spans="1:8" s="401" customFormat="1" ht="14.25" customHeight="1" x14ac:dyDescent="0.25">
      <c r="A4570" s="564">
        <v>3709</v>
      </c>
      <c r="B4570" s="562" t="s">
        <v>1020</v>
      </c>
      <c r="C4570" s="403">
        <v>2472</v>
      </c>
      <c r="D4570" s="400"/>
      <c r="E4570" s="400"/>
      <c r="F4570" s="400"/>
      <c r="G4570" s="400"/>
      <c r="H4570" s="396"/>
    </row>
    <row r="4571" spans="1:8" s="401" customFormat="1" ht="14.25" customHeight="1" x14ac:dyDescent="0.25">
      <c r="A4571" s="564">
        <v>3723</v>
      </c>
      <c r="B4571" s="562" t="s">
        <v>1020</v>
      </c>
      <c r="C4571" s="403">
        <v>1255</v>
      </c>
      <c r="D4571" s="400"/>
      <c r="E4571" s="400"/>
      <c r="F4571" s="400"/>
      <c r="G4571" s="400"/>
      <c r="H4571" s="396"/>
    </row>
    <row r="4572" spans="1:8" s="401" customFormat="1" ht="14.25" customHeight="1" x14ac:dyDescent="0.25">
      <c r="A4572" s="564">
        <v>3727</v>
      </c>
      <c r="B4572" s="562" t="s">
        <v>1020</v>
      </c>
      <c r="C4572" s="403">
        <v>1255</v>
      </c>
      <c r="D4572" s="400"/>
      <c r="E4572" s="400"/>
      <c r="F4572" s="400"/>
      <c r="G4572" s="400"/>
      <c r="H4572" s="396"/>
    </row>
    <row r="4573" spans="1:8" s="401" customFormat="1" ht="14.25" customHeight="1" x14ac:dyDescent="0.25">
      <c r="A4573" s="564">
        <v>1737</v>
      </c>
      <c r="B4573" s="562" t="s">
        <v>1020</v>
      </c>
      <c r="C4573" s="403">
        <v>1</v>
      </c>
      <c r="D4573" s="400"/>
      <c r="E4573" s="400"/>
      <c r="F4573" s="400"/>
      <c r="G4573" s="400"/>
      <c r="H4573" s="396"/>
    </row>
    <row r="4574" spans="1:8" s="401" customFormat="1" ht="14.25" customHeight="1" x14ac:dyDescent="0.25">
      <c r="A4574" s="564">
        <v>1924</v>
      </c>
      <c r="B4574" s="562" t="s">
        <v>1041</v>
      </c>
      <c r="C4574" s="403">
        <v>6914</v>
      </c>
      <c r="D4574" s="400"/>
      <c r="E4574" s="400"/>
      <c r="F4574" s="400"/>
      <c r="G4574" s="400"/>
      <c r="H4574" s="396"/>
    </row>
    <row r="4575" spans="1:8" s="401" customFormat="1" ht="14.25" customHeight="1" x14ac:dyDescent="0.25">
      <c r="A4575" s="564">
        <v>1926</v>
      </c>
      <c r="B4575" s="562" t="s">
        <v>738</v>
      </c>
      <c r="C4575" s="403">
        <v>5185</v>
      </c>
      <c r="D4575" s="400"/>
      <c r="E4575" s="400"/>
      <c r="F4575" s="400"/>
      <c r="G4575" s="400"/>
      <c r="H4575" s="396"/>
    </row>
    <row r="4576" spans="1:8" s="401" customFormat="1" ht="14.25" customHeight="1" x14ac:dyDescent="0.25">
      <c r="A4576" s="564">
        <v>1997</v>
      </c>
      <c r="B4576" s="562" t="s">
        <v>1020</v>
      </c>
      <c r="C4576" s="403">
        <v>2472</v>
      </c>
      <c r="D4576" s="400"/>
      <c r="E4576" s="400"/>
      <c r="F4576" s="400"/>
      <c r="G4576" s="400"/>
      <c r="H4576" s="396"/>
    </row>
    <row r="4577" spans="1:8" s="401" customFormat="1" ht="14.25" customHeight="1" x14ac:dyDescent="0.25">
      <c r="A4577" s="564">
        <v>1740</v>
      </c>
      <c r="B4577" s="562" t="s">
        <v>1020</v>
      </c>
      <c r="C4577" s="403">
        <v>1</v>
      </c>
      <c r="D4577" s="400"/>
      <c r="E4577" s="400"/>
      <c r="F4577" s="400"/>
      <c r="G4577" s="400"/>
      <c r="H4577" s="396"/>
    </row>
    <row r="4578" spans="1:8" s="401" customFormat="1" ht="14.25" customHeight="1" x14ac:dyDescent="0.25">
      <c r="A4578" s="564">
        <v>1910</v>
      </c>
      <c r="B4578" s="562" t="s">
        <v>1017</v>
      </c>
      <c r="C4578" s="403">
        <v>3350</v>
      </c>
      <c r="D4578" s="400"/>
      <c r="E4578" s="400"/>
      <c r="F4578" s="400"/>
      <c r="G4578" s="400"/>
      <c r="H4578" s="396"/>
    </row>
    <row r="4579" spans="1:8" s="401" customFormat="1" ht="14.25" customHeight="1" x14ac:dyDescent="0.25">
      <c r="A4579" s="564">
        <v>1962</v>
      </c>
      <c r="B4579" s="562" t="s">
        <v>1020</v>
      </c>
      <c r="C4579" s="403">
        <v>1265</v>
      </c>
      <c r="D4579" s="400"/>
      <c r="E4579" s="400"/>
      <c r="F4579" s="400"/>
      <c r="G4579" s="400"/>
      <c r="H4579" s="396"/>
    </row>
    <row r="4580" spans="1:8" s="401" customFormat="1" ht="14.25" customHeight="1" x14ac:dyDescent="0.25">
      <c r="A4580" s="564">
        <v>1982</v>
      </c>
      <c r="B4580" s="562" t="s">
        <v>1017</v>
      </c>
      <c r="C4580" s="403">
        <v>3350</v>
      </c>
      <c r="D4580" s="400"/>
      <c r="E4580" s="400"/>
      <c r="F4580" s="400"/>
      <c r="G4580" s="400"/>
      <c r="H4580" s="396"/>
    </row>
    <row r="4581" spans="1:8" s="401" customFormat="1" ht="14.25" customHeight="1" x14ac:dyDescent="0.25">
      <c r="A4581" s="564">
        <v>2001</v>
      </c>
      <c r="B4581" s="562" t="s">
        <v>1032</v>
      </c>
      <c r="C4581" s="403">
        <v>957</v>
      </c>
      <c r="D4581" s="400"/>
      <c r="E4581" s="400"/>
      <c r="F4581" s="400"/>
      <c r="G4581" s="400"/>
      <c r="H4581" s="396"/>
    </row>
    <row r="4582" spans="1:8" s="401" customFormat="1" ht="14.25" customHeight="1" x14ac:dyDescent="0.25">
      <c r="A4582" s="564">
        <v>1717</v>
      </c>
      <c r="B4582" s="562" t="s">
        <v>1020</v>
      </c>
      <c r="C4582" s="403">
        <v>406</v>
      </c>
      <c r="D4582" s="400"/>
      <c r="E4582" s="400"/>
      <c r="F4582" s="400"/>
      <c r="G4582" s="400"/>
      <c r="H4582" s="396"/>
    </row>
    <row r="4583" spans="1:8" s="401" customFormat="1" ht="14.25" customHeight="1" x14ac:dyDescent="0.25">
      <c r="A4583" s="564">
        <v>1949</v>
      </c>
      <c r="B4583" s="562" t="s">
        <v>1025</v>
      </c>
      <c r="C4583" s="403">
        <v>3680</v>
      </c>
      <c r="D4583" s="400"/>
      <c r="E4583" s="400"/>
      <c r="F4583" s="400"/>
      <c r="G4583" s="400"/>
      <c r="H4583" s="396"/>
    </row>
    <row r="4584" spans="1:8" s="401" customFormat="1" ht="14.25" customHeight="1" x14ac:dyDescent="0.25">
      <c r="A4584" s="564">
        <v>1954</v>
      </c>
      <c r="B4584" s="562" t="s">
        <v>1025</v>
      </c>
      <c r="C4584" s="403">
        <v>3680</v>
      </c>
      <c r="D4584" s="400"/>
      <c r="E4584" s="400"/>
      <c r="F4584" s="400"/>
      <c r="G4584" s="400"/>
      <c r="H4584" s="396"/>
    </row>
    <row r="4585" spans="1:8" s="401" customFormat="1" ht="14.25" customHeight="1" x14ac:dyDescent="0.25">
      <c r="A4585" s="564">
        <v>1956</v>
      </c>
      <c r="B4585" s="562" t="s">
        <v>1032</v>
      </c>
      <c r="C4585" s="403">
        <v>1975</v>
      </c>
      <c r="D4585" s="400"/>
      <c r="E4585" s="400"/>
      <c r="F4585" s="400"/>
      <c r="G4585" s="400"/>
      <c r="H4585" s="396"/>
    </row>
    <row r="4586" spans="1:8" s="401" customFormat="1" ht="14.25" customHeight="1" x14ac:dyDescent="0.25">
      <c r="A4586" s="564">
        <v>1960</v>
      </c>
      <c r="B4586" s="562" t="s">
        <v>1020</v>
      </c>
      <c r="C4586" s="403">
        <v>1265</v>
      </c>
      <c r="D4586" s="400"/>
      <c r="E4586" s="400"/>
      <c r="F4586" s="400"/>
      <c r="G4586" s="400"/>
      <c r="H4586" s="396"/>
    </row>
    <row r="4587" spans="1:8" s="401" customFormat="1" ht="14.25" customHeight="1" x14ac:dyDescent="0.25">
      <c r="A4587" s="564">
        <v>2006</v>
      </c>
      <c r="B4587" s="562" t="s">
        <v>1017</v>
      </c>
      <c r="C4587" s="403">
        <v>534</v>
      </c>
      <c r="D4587" s="400"/>
      <c r="E4587" s="400"/>
      <c r="F4587" s="400"/>
      <c r="G4587" s="400"/>
      <c r="H4587" s="396"/>
    </row>
    <row r="4588" spans="1:8" s="401" customFormat="1" ht="14.25" customHeight="1" x14ac:dyDescent="0.25">
      <c r="A4588" s="564">
        <v>2010</v>
      </c>
      <c r="B4588" s="562" t="s">
        <v>1020</v>
      </c>
      <c r="C4588" s="403">
        <v>6832</v>
      </c>
      <c r="D4588" s="400"/>
      <c r="E4588" s="400"/>
      <c r="F4588" s="400"/>
      <c r="G4588" s="400"/>
      <c r="H4588" s="396"/>
    </row>
    <row r="4589" spans="1:8" s="401" customFormat="1" ht="14.25" customHeight="1" x14ac:dyDescent="0.25">
      <c r="A4589" s="564">
        <v>1936</v>
      </c>
      <c r="B4589" s="562" t="s">
        <v>1042</v>
      </c>
      <c r="C4589" s="403">
        <v>812</v>
      </c>
      <c r="D4589" s="400"/>
      <c r="E4589" s="400"/>
      <c r="F4589" s="400"/>
      <c r="G4589" s="400"/>
      <c r="H4589" s="396"/>
    </row>
    <row r="4590" spans="1:8" s="401" customFormat="1" ht="14.25" customHeight="1" x14ac:dyDescent="0.25">
      <c r="A4590" s="564">
        <v>1938</v>
      </c>
      <c r="B4590" s="562" t="s">
        <v>1020</v>
      </c>
      <c r="C4590" s="403">
        <v>2472</v>
      </c>
      <c r="D4590" s="400"/>
      <c r="E4590" s="400"/>
      <c r="F4590" s="400"/>
      <c r="G4590" s="400"/>
      <c r="H4590" s="396"/>
    </row>
    <row r="4591" spans="1:8" s="401" customFormat="1" ht="14.25" customHeight="1" x14ac:dyDescent="0.25">
      <c r="A4591" s="564">
        <v>1941</v>
      </c>
      <c r="B4591" s="562" t="s">
        <v>1020</v>
      </c>
      <c r="C4591" s="403">
        <v>6832</v>
      </c>
      <c r="D4591" s="400"/>
      <c r="E4591" s="400"/>
      <c r="F4591" s="400"/>
      <c r="G4591" s="400"/>
      <c r="H4591" s="396"/>
    </row>
    <row r="4592" spans="1:8" s="401" customFormat="1" ht="14.25" customHeight="1" x14ac:dyDescent="0.25">
      <c r="A4592" s="564">
        <v>1944</v>
      </c>
      <c r="B4592" s="562" t="s">
        <v>1043</v>
      </c>
      <c r="C4592" s="403">
        <v>9601</v>
      </c>
      <c r="D4592" s="400"/>
      <c r="E4592" s="400"/>
      <c r="F4592" s="400"/>
      <c r="G4592" s="400"/>
      <c r="H4592" s="396"/>
    </row>
    <row r="4593" spans="1:8" s="401" customFormat="1" ht="14.25" customHeight="1" x14ac:dyDescent="0.25">
      <c r="A4593" s="564">
        <v>1733</v>
      </c>
      <c r="B4593" s="562" t="s">
        <v>1044</v>
      </c>
      <c r="C4593" s="403">
        <v>1</v>
      </c>
      <c r="D4593" s="400"/>
      <c r="E4593" s="400"/>
      <c r="F4593" s="400"/>
      <c r="G4593" s="400"/>
      <c r="H4593" s="396"/>
    </row>
    <row r="4594" spans="1:8" s="401" customFormat="1" ht="14.25" customHeight="1" x14ac:dyDescent="0.25">
      <c r="A4594" s="564">
        <v>310</v>
      </c>
      <c r="B4594" s="562" t="s">
        <v>1020</v>
      </c>
      <c r="C4594" s="403">
        <v>1255</v>
      </c>
      <c r="D4594" s="400"/>
      <c r="E4594" s="400"/>
      <c r="F4594" s="400"/>
      <c r="G4594" s="400"/>
      <c r="H4594" s="396"/>
    </row>
    <row r="4595" spans="1:8" s="401" customFormat="1" ht="14.25" customHeight="1" x14ac:dyDescent="0.25">
      <c r="A4595" s="564">
        <v>306</v>
      </c>
      <c r="B4595" s="562" t="s">
        <v>1020</v>
      </c>
      <c r="C4595" s="403">
        <v>1255</v>
      </c>
      <c r="D4595" s="400"/>
      <c r="E4595" s="400"/>
      <c r="F4595" s="400"/>
      <c r="G4595" s="400"/>
      <c r="H4595" s="396"/>
    </row>
    <row r="4596" spans="1:8" s="401" customFormat="1" ht="14.25" customHeight="1" x14ac:dyDescent="0.25">
      <c r="A4596" s="564">
        <v>314</v>
      </c>
      <c r="B4596" s="562" t="s">
        <v>1032</v>
      </c>
      <c r="C4596" s="403">
        <v>1035</v>
      </c>
      <c r="D4596" s="400"/>
      <c r="E4596" s="400"/>
      <c r="F4596" s="400"/>
      <c r="G4596" s="400"/>
      <c r="H4596" s="396"/>
    </row>
    <row r="4597" spans="1:8" s="401" customFormat="1" ht="14.25" customHeight="1" x14ac:dyDescent="0.25">
      <c r="A4597" s="564">
        <v>316</v>
      </c>
      <c r="B4597" s="562" t="s">
        <v>1045</v>
      </c>
      <c r="C4597" s="403">
        <v>856338</v>
      </c>
      <c r="D4597" s="400"/>
      <c r="E4597" s="400"/>
      <c r="F4597" s="400"/>
      <c r="G4597" s="400"/>
      <c r="H4597" s="396"/>
    </row>
    <row r="4598" spans="1:8" s="401" customFormat="1" ht="14.25" customHeight="1" x14ac:dyDescent="0.25">
      <c r="A4598" s="564">
        <v>317</v>
      </c>
      <c r="B4598" s="562" t="s">
        <v>1020</v>
      </c>
      <c r="C4598" s="403">
        <v>2472</v>
      </c>
      <c r="D4598" s="400"/>
      <c r="E4598" s="400"/>
      <c r="F4598" s="400"/>
      <c r="G4598" s="400"/>
      <c r="H4598" s="396"/>
    </row>
    <row r="4599" spans="1:8" s="401" customFormat="1" ht="14.25" customHeight="1" x14ac:dyDescent="0.25">
      <c r="A4599" s="564">
        <v>318</v>
      </c>
      <c r="B4599" s="562" t="s">
        <v>1020</v>
      </c>
      <c r="C4599" s="403">
        <v>1</v>
      </c>
      <c r="D4599" s="400"/>
      <c r="E4599" s="400"/>
      <c r="F4599" s="400"/>
      <c r="G4599" s="400"/>
      <c r="H4599" s="396"/>
    </row>
    <row r="4600" spans="1:8" s="401" customFormat="1" ht="14.25" customHeight="1" x14ac:dyDescent="0.25">
      <c r="A4600" s="564">
        <v>308</v>
      </c>
      <c r="B4600" s="562" t="s">
        <v>1026</v>
      </c>
      <c r="C4600" s="403">
        <v>1299</v>
      </c>
      <c r="D4600" s="400"/>
      <c r="E4600" s="400"/>
      <c r="F4600" s="400"/>
      <c r="G4600" s="400"/>
      <c r="H4600" s="396"/>
    </row>
    <row r="4601" spans="1:8" s="401" customFormat="1" ht="14.25" customHeight="1" x14ac:dyDescent="0.25">
      <c r="A4601" s="564">
        <v>225</v>
      </c>
      <c r="B4601" s="562" t="s">
        <v>1046</v>
      </c>
      <c r="C4601" s="403">
        <v>1</v>
      </c>
      <c r="D4601" s="400"/>
      <c r="E4601" s="400"/>
      <c r="F4601" s="400"/>
      <c r="G4601" s="400"/>
      <c r="H4601" s="396"/>
    </row>
    <row r="4602" spans="1:8" s="401" customFormat="1" ht="14.25" customHeight="1" x14ac:dyDescent="0.25">
      <c r="A4602" s="564">
        <v>227</v>
      </c>
      <c r="B4602" s="562" t="s">
        <v>1046</v>
      </c>
      <c r="C4602" s="403">
        <v>1</v>
      </c>
      <c r="D4602" s="400"/>
      <c r="E4602" s="400"/>
      <c r="F4602" s="400"/>
      <c r="G4602" s="400"/>
      <c r="H4602" s="396"/>
    </row>
    <row r="4603" spans="1:8" s="401" customFormat="1" ht="14.25" customHeight="1" x14ac:dyDescent="0.25">
      <c r="A4603" s="564">
        <v>231</v>
      </c>
      <c r="B4603" s="562" t="s">
        <v>1020</v>
      </c>
      <c r="C4603" s="403">
        <v>2472</v>
      </c>
      <c r="D4603" s="400"/>
      <c r="E4603" s="400"/>
      <c r="F4603" s="400"/>
      <c r="G4603" s="400"/>
      <c r="H4603" s="396"/>
    </row>
    <row r="4604" spans="1:8" s="401" customFormat="1" ht="14.25" customHeight="1" x14ac:dyDescent="0.25">
      <c r="A4604" s="564">
        <v>235</v>
      </c>
      <c r="B4604" s="562" t="s">
        <v>1020</v>
      </c>
      <c r="C4604" s="403">
        <v>2472</v>
      </c>
      <c r="D4604" s="400"/>
      <c r="E4604" s="400"/>
      <c r="F4604" s="400"/>
      <c r="G4604" s="400"/>
      <c r="H4604" s="396"/>
    </row>
    <row r="4605" spans="1:8" s="401" customFormat="1" ht="14.25" customHeight="1" x14ac:dyDescent="0.25">
      <c r="A4605" s="564">
        <v>239</v>
      </c>
      <c r="B4605" s="562" t="s">
        <v>1020</v>
      </c>
      <c r="C4605" s="403">
        <v>1</v>
      </c>
      <c r="D4605" s="400"/>
      <c r="E4605" s="400"/>
      <c r="F4605" s="400"/>
      <c r="G4605" s="400"/>
      <c r="H4605" s="396"/>
    </row>
    <row r="4606" spans="1:8" s="401" customFormat="1" ht="14.25" customHeight="1" x14ac:dyDescent="0.25">
      <c r="A4606" s="564">
        <v>243</v>
      </c>
      <c r="B4606" s="562" t="s">
        <v>1020</v>
      </c>
      <c r="C4606" s="403">
        <v>1</v>
      </c>
      <c r="D4606" s="400"/>
      <c r="E4606" s="400"/>
      <c r="F4606" s="400"/>
      <c r="G4606" s="400"/>
      <c r="H4606" s="396"/>
    </row>
    <row r="4607" spans="1:8" s="401" customFormat="1" ht="14.25" customHeight="1" x14ac:dyDescent="0.25">
      <c r="A4607" s="564">
        <v>252</v>
      </c>
      <c r="B4607" s="562" t="s">
        <v>895</v>
      </c>
      <c r="C4607" s="403">
        <v>1610</v>
      </c>
      <c r="D4607" s="400"/>
      <c r="E4607" s="400"/>
      <c r="F4607" s="400"/>
      <c r="G4607" s="400"/>
      <c r="H4607" s="396"/>
    </row>
    <row r="4608" spans="1:8" s="401" customFormat="1" ht="14.25" customHeight="1" x14ac:dyDescent="0.25">
      <c r="A4608" s="564">
        <v>4745</v>
      </c>
      <c r="B4608" s="562" t="s">
        <v>1047</v>
      </c>
      <c r="C4608" s="403">
        <v>95236</v>
      </c>
      <c r="D4608" s="400"/>
      <c r="E4608" s="400"/>
      <c r="F4608" s="400"/>
      <c r="G4608" s="400"/>
      <c r="H4608" s="396"/>
    </row>
    <row r="4609" spans="1:8" s="401" customFormat="1" ht="14.25" customHeight="1" x14ac:dyDescent="0.25">
      <c r="A4609" s="564">
        <v>521</v>
      </c>
      <c r="B4609" s="562" t="s">
        <v>1048</v>
      </c>
      <c r="C4609" s="403">
        <v>1</v>
      </c>
      <c r="D4609" s="400"/>
      <c r="E4609" s="400"/>
      <c r="F4609" s="400"/>
      <c r="G4609" s="400"/>
      <c r="H4609" s="396"/>
    </row>
    <row r="4610" spans="1:8" s="401" customFormat="1" ht="14.25" customHeight="1" x14ac:dyDescent="0.25">
      <c r="A4610" s="564">
        <v>2384</v>
      </c>
      <c r="B4610" s="562" t="s">
        <v>1049</v>
      </c>
      <c r="C4610" s="403">
        <v>2338</v>
      </c>
      <c r="D4610" s="400"/>
      <c r="E4610" s="400"/>
      <c r="F4610" s="400"/>
      <c r="G4610" s="400"/>
      <c r="H4610" s="396"/>
    </row>
    <row r="4611" spans="1:8" s="401" customFormat="1" ht="14.25" customHeight="1" x14ac:dyDescent="0.25">
      <c r="A4611" s="564">
        <v>2716</v>
      </c>
      <c r="B4611" s="562" t="s">
        <v>1050</v>
      </c>
      <c r="C4611" s="403">
        <v>1033</v>
      </c>
      <c r="D4611" s="400"/>
      <c r="E4611" s="400"/>
      <c r="F4611" s="400"/>
      <c r="G4611" s="400"/>
      <c r="H4611" s="396"/>
    </row>
    <row r="4612" spans="1:8" s="401" customFormat="1" ht="14.25" customHeight="1" x14ac:dyDescent="0.25">
      <c r="A4612" s="564">
        <v>2671</v>
      </c>
      <c r="B4612" s="562" t="s">
        <v>1051</v>
      </c>
      <c r="C4612" s="403">
        <v>928</v>
      </c>
      <c r="D4612" s="400"/>
      <c r="E4612" s="400"/>
      <c r="F4612" s="400"/>
      <c r="G4612" s="400"/>
      <c r="H4612" s="396"/>
    </row>
    <row r="4613" spans="1:8" s="401" customFormat="1" ht="14.25" customHeight="1" x14ac:dyDescent="0.25">
      <c r="A4613" s="564">
        <v>254</v>
      </c>
      <c r="B4613" s="562" t="s">
        <v>1050</v>
      </c>
      <c r="C4613" s="403">
        <v>459</v>
      </c>
      <c r="D4613" s="400"/>
      <c r="E4613" s="400"/>
      <c r="F4613" s="400"/>
      <c r="G4613" s="400"/>
      <c r="H4613" s="396"/>
    </row>
    <row r="4614" spans="1:8" s="401" customFormat="1" ht="14.25" customHeight="1" x14ac:dyDescent="0.25">
      <c r="A4614" s="564">
        <v>834</v>
      </c>
      <c r="B4614" s="562" t="s">
        <v>1049</v>
      </c>
      <c r="C4614" s="403">
        <v>459</v>
      </c>
      <c r="D4614" s="400"/>
      <c r="E4614" s="400"/>
      <c r="F4614" s="400"/>
      <c r="G4614" s="400"/>
      <c r="H4614" s="396"/>
    </row>
    <row r="4615" spans="1:8" s="401" customFormat="1" ht="14.25" customHeight="1" x14ac:dyDescent="0.25">
      <c r="A4615" s="564">
        <v>1705</v>
      </c>
      <c r="B4615" s="562" t="s">
        <v>1050</v>
      </c>
      <c r="C4615" s="403">
        <v>2291</v>
      </c>
      <c r="D4615" s="400"/>
      <c r="E4615" s="400"/>
      <c r="F4615" s="400"/>
      <c r="G4615" s="400"/>
      <c r="H4615" s="396"/>
    </row>
    <row r="4616" spans="1:8" s="401" customFormat="1" ht="14.25" customHeight="1" x14ac:dyDescent="0.25">
      <c r="A4616" s="564">
        <v>1776</v>
      </c>
      <c r="B4616" s="562" t="s">
        <v>1052</v>
      </c>
      <c r="C4616" s="403">
        <v>1</v>
      </c>
      <c r="D4616" s="400"/>
      <c r="E4616" s="400"/>
      <c r="F4616" s="400"/>
      <c r="G4616" s="400"/>
      <c r="H4616" s="396"/>
    </row>
    <row r="4617" spans="1:8" s="401" customFormat="1" ht="14.25" customHeight="1" x14ac:dyDescent="0.25">
      <c r="A4617" s="564">
        <v>1777</v>
      </c>
      <c r="B4617" s="562" t="s">
        <v>1003</v>
      </c>
      <c r="C4617" s="403">
        <v>1663</v>
      </c>
      <c r="D4617" s="400"/>
      <c r="E4617" s="400"/>
      <c r="F4617" s="400"/>
      <c r="G4617" s="400"/>
      <c r="H4617" s="396"/>
    </row>
    <row r="4618" spans="1:8" s="401" customFormat="1" ht="14.25" customHeight="1" x14ac:dyDescent="0.25">
      <c r="A4618" s="564">
        <v>1597</v>
      </c>
      <c r="B4618" s="562" t="s">
        <v>1053</v>
      </c>
      <c r="C4618" s="403">
        <v>30823.52</v>
      </c>
      <c r="D4618" s="400"/>
      <c r="E4618" s="400"/>
      <c r="F4618" s="400"/>
      <c r="G4618" s="400"/>
      <c r="H4618" s="396"/>
    </row>
    <row r="4619" spans="1:8" s="401" customFormat="1" ht="14.25" customHeight="1" x14ac:dyDescent="0.25">
      <c r="A4619" s="564">
        <v>1107</v>
      </c>
      <c r="B4619" s="562" t="s">
        <v>1054</v>
      </c>
      <c r="C4619" s="403">
        <v>35364</v>
      </c>
      <c r="D4619" s="400"/>
      <c r="E4619" s="400"/>
      <c r="F4619" s="400"/>
      <c r="G4619" s="400"/>
      <c r="H4619" s="396"/>
    </row>
    <row r="4620" spans="1:8" s="401" customFormat="1" ht="14.25" customHeight="1" x14ac:dyDescent="0.25">
      <c r="A4620" s="564">
        <v>1174</v>
      </c>
      <c r="B4620" s="562" t="s">
        <v>1055</v>
      </c>
      <c r="C4620" s="403">
        <v>4102</v>
      </c>
      <c r="D4620" s="400"/>
      <c r="E4620" s="400"/>
      <c r="F4620" s="400"/>
      <c r="G4620" s="400"/>
      <c r="H4620" s="396"/>
    </row>
    <row r="4621" spans="1:8" s="401" customFormat="1" ht="14.25" customHeight="1" x14ac:dyDescent="0.25">
      <c r="A4621" s="564">
        <v>1177</v>
      </c>
      <c r="B4621" s="562" t="s">
        <v>1055</v>
      </c>
      <c r="C4621" s="403">
        <v>5520</v>
      </c>
      <c r="D4621" s="400"/>
      <c r="E4621" s="400"/>
      <c r="F4621" s="400"/>
      <c r="G4621" s="400"/>
      <c r="H4621" s="396"/>
    </row>
    <row r="4622" spans="1:8" s="401" customFormat="1" ht="14.25" customHeight="1" x14ac:dyDescent="0.25">
      <c r="A4622" s="564">
        <v>1179</v>
      </c>
      <c r="B4622" s="562" t="s">
        <v>1055</v>
      </c>
      <c r="C4622" s="403">
        <v>5813</v>
      </c>
      <c r="D4622" s="400"/>
      <c r="E4622" s="400"/>
      <c r="F4622" s="400"/>
      <c r="G4622" s="400"/>
      <c r="H4622" s="396"/>
    </row>
    <row r="4623" spans="1:8" s="401" customFormat="1" ht="14.25" customHeight="1" x14ac:dyDescent="0.25">
      <c r="A4623" s="564">
        <v>1305</v>
      </c>
      <c r="B4623" s="562" t="s">
        <v>1056</v>
      </c>
      <c r="C4623" s="403">
        <v>7700</v>
      </c>
      <c r="D4623" s="400"/>
      <c r="E4623" s="400"/>
      <c r="F4623" s="400"/>
      <c r="G4623" s="400"/>
      <c r="H4623" s="396"/>
    </row>
    <row r="4624" spans="1:8" s="401" customFormat="1" ht="14.25" customHeight="1" x14ac:dyDescent="0.25">
      <c r="A4624" s="564">
        <v>1311</v>
      </c>
      <c r="B4624" s="562" t="s">
        <v>1056</v>
      </c>
      <c r="C4624" s="403">
        <v>11000</v>
      </c>
      <c r="D4624" s="400"/>
      <c r="E4624" s="400"/>
      <c r="F4624" s="400"/>
      <c r="G4624" s="400"/>
      <c r="H4624" s="396"/>
    </row>
    <row r="4625" spans="1:8" s="401" customFormat="1" ht="14.25" customHeight="1" x14ac:dyDescent="0.25">
      <c r="A4625" s="564">
        <v>1327</v>
      </c>
      <c r="B4625" s="562" t="s">
        <v>1056</v>
      </c>
      <c r="C4625" s="403">
        <v>8000</v>
      </c>
      <c r="D4625" s="400"/>
      <c r="E4625" s="400"/>
      <c r="F4625" s="400"/>
      <c r="G4625" s="400"/>
      <c r="H4625" s="396"/>
    </row>
    <row r="4626" spans="1:8" s="401" customFormat="1" ht="14.25" customHeight="1" x14ac:dyDescent="0.25">
      <c r="A4626" s="564">
        <v>1501</v>
      </c>
      <c r="B4626" s="562" t="s">
        <v>1057</v>
      </c>
      <c r="C4626" s="403">
        <v>1</v>
      </c>
      <c r="D4626" s="400"/>
      <c r="E4626" s="400"/>
      <c r="F4626" s="400"/>
      <c r="G4626" s="400"/>
      <c r="H4626" s="396"/>
    </row>
    <row r="4627" spans="1:8" s="401" customFormat="1" ht="14.25" customHeight="1" x14ac:dyDescent="0.25">
      <c r="A4627" s="564">
        <v>1503</v>
      </c>
      <c r="B4627" s="562" t="s">
        <v>1054</v>
      </c>
      <c r="C4627" s="403">
        <v>1</v>
      </c>
      <c r="D4627" s="400"/>
      <c r="E4627" s="400"/>
      <c r="F4627" s="400"/>
      <c r="G4627" s="400"/>
      <c r="H4627" s="396"/>
    </row>
    <row r="4628" spans="1:8" s="401" customFormat="1" ht="14.25" customHeight="1" x14ac:dyDescent="0.25">
      <c r="A4628" s="564">
        <v>1506</v>
      </c>
      <c r="B4628" s="562" t="s">
        <v>1054</v>
      </c>
      <c r="C4628" s="403">
        <v>1</v>
      </c>
      <c r="D4628" s="400"/>
      <c r="E4628" s="400"/>
      <c r="F4628" s="400"/>
      <c r="G4628" s="400"/>
      <c r="H4628" s="396"/>
    </row>
    <row r="4629" spans="1:8" s="401" customFormat="1" ht="14.25" customHeight="1" x14ac:dyDescent="0.25">
      <c r="A4629" s="564">
        <v>1509</v>
      </c>
      <c r="B4629" s="562" t="s">
        <v>1054</v>
      </c>
      <c r="C4629" s="403">
        <v>1</v>
      </c>
      <c r="D4629" s="400"/>
      <c r="E4629" s="400"/>
      <c r="F4629" s="400"/>
      <c r="G4629" s="400"/>
      <c r="H4629" s="396"/>
    </row>
    <row r="4630" spans="1:8" s="401" customFormat="1" ht="14.25" customHeight="1" x14ac:dyDescent="0.25">
      <c r="A4630" s="564">
        <v>1513</v>
      </c>
      <c r="B4630" s="562" t="s">
        <v>1054</v>
      </c>
      <c r="C4630" s="403">
        <v>1</v>
      </c>
      <c r="D4630" s="400"/>
      <c r="E4630" s="400"/>
      <c r="F4630" s="400"/>
      <c r="G4630" s="400"/>
      <c r="H4630" s="396"/>
    </row>
    <row r="4631" spans="1:8" s="401" customFormat="1" ht="14.25" customHeight="1" x14ac:dyDescent="0.25">
      <c r="A4631" s="564">
        <v>1517</v>
      </c>
      <c r="B4631" s="562" t="s">
        <v>1054</v>
      </c>
      <c r="C4631" s="403">
        <v>1</v>
      </c>
      <c r="D4631" s="400"/>
      <c r="E4631" s="400"/>
      <c r="F4631" s="400"/>
      <c r="G4631" s="400"/>
      <c r="H4631" s="396"/>
    </row>
    <row r="4632" spans="1:8" s="401" customFormat="1" ht="14.25" customHeight="1" x14ac:dyDescent="0.25">
      <c r="A4632" s="564">
        <v>1521</v>
      </c>
      <c r="B4632" s="562" t="s">
        <v>1054</v>
      </c>
      <c r="C4632" s="403">
        <v>1</v>
      </c>
      <c r="D4632" s="400"/>
      <c r="E4632" s="400"/>
      <c r="F4632" s="400"/>
      <c r="G4632" s="400"/>
      <c r="H4632" s="396"/>
    </row>
    <row r="4633" spans="1:8" s="401" customFormat="1" ht="14.25" customHeight="1" x14ac:dyDescent="0.25">
      <c r="A4633" s="564">
        <v>1539</v>
      </c>
      <c r="B4633" s="562" t="s">
        <v>1056</v>
      </c>
      <c r="C4633" s="403">
        <v>1</v>
      </c>
      <c r="D4633" s="400"/>
      <c r="E4633" s="400"/>
      <c r="F4633" s="400"/>
      <c r="G4633" s="400"/>
      <c r="H4633" s="396"/>
    </row>
    <row r="4634" spans="1:8" s="401" customFormat="1" ht="14.25" customHeight="1" x14ac:dyDescent="0.25">
      <c r="A4634" s="564">
        <v>1542</v>
      </c>
      <c r="B4634" s="562" t="s">
        <v>1056</v>
      </c>
      <c r="C4634" s="403">
        <v>1</v>
      </c>
      <c r="D4634" s="400"/>
      <c r="E4634" s="400"/>
      <c r="F4634" s="400"/>
      <c r="G4634" s="400"/>
      <c r="H4634" s="396"/>
    </row>
    <row r="4635" spans="1:8" s="401" customFormat="1" ht="14.25" customHeight="1" x14ac:dyDescent="0.25">
      <c r="A4635" s="564">
        <v>1544</v>
      </c>
      <c r="B4635" s="562" t="s">
        <v>1056</v>
      </c>
      <c r="C4635" s="403">
        <v>1</v>
      </c>
      <c r="D4635" s="400"/>
      <c r="E4635" s="400"/>
      <c r="F4635" s="400"/>
      <c r="G4635" s="400"/>
      <c r="H4635" s="396"/>
    </row>
    <row r="4636" spans="1:8" s="401" customFormat="1" ht="14.25" customHeight="1" x14ac:dyDescent="0.25">
      <c r="A4636" s="564">
        <v>1547</v>
      </c>
      <c r="B4636" s="562" t="s">
        <v>1058</v>
      </c>
      <c r="C4636" s="403">
        <v>1</v>
      </c>
      <c r="D4636" s="400"/>
      <c r="E4636" s="400"/>
      <c r="F4636" s="400"/>
      <c r="G4636" s="400"/>
      <c r="H4636" s="396"/>
    </row>
    <row r="4637" spans="1:8" s="401" customFormat="1" ht="14.25" customHeight="1" x14ac:dyDescent="0.25">
      <c r="A4637" s="564">
        <v>1568</v>
      </c>
      <c r="B4637" s="562" t="s">
        <v>1059</v>
      </c>
      <c r="C4637" s="403">
        <v>29000</v>
      </c>
      <c r="D4637" s="400"/>
      <c r="E4637" s="400"/>
      <c r="F4637" s="400"/>
      <c r="G4637" s="400"/>
      <c r="H4637" s="396"/>
    </row>
    <row r="4638" spans="1:8" s="401" customFormat="1" ht="14.25" customHeight="1" x14ac:dyDescent="0.25">
      <c r="A4638" s="564">
        <v>4150</v>
      </c>
      <c r="B4638" s="562" t="s">
        <v>1003</v>
      </c>
      <c r="C4638" s="403">
        <v>41782</v>
      </c>
      <c r="D4638" s="400"/>
      <c r="E4638" s="400"/>
      <c r="F4638" s="400"/>
      <c r="G4638" s="400"/>
      <c r="H4638" s="396"/>
    </row>
    <row r="4639" spans="1:8" s="401" customFormat="1" ht="14.25" customHeight="1" x14ac:dyDescent="0.25">
      <c r="A4639" s="564">
        <v>2194</v>
      </c>
      <c r="B4639" s="562" t="s">
        <v>1049</v>
      </c>
      <c r="C4639" s="403">
        <v>3683.04</v>
      </c>
      <c r="D4639" s="400"/>
      <c r="E4639" s="400"/>
      <c r="F4639" s="400"/>
      <c r="G4639" s="400"/>
      <c r="H4639" s="396"/>
    </row>
    <row r="4640" spans="1:8" s="401" customFormat="1" ht="14.25" customHeight="1" x14ac:dyDescent="0.25">
      <c r="A4640" s="564">
        <v>3293</v>
      </c>
      <c r="B4640" s="562" t="s">
        <v>1060</v>
      </c>
      <c r="C4640" s="403">
        <v>6333.6</v>
      </c>
      <c r="D4640" s="400"/>
      <c r="E4640" s="400"/>
      <c r="F4640" s="400"/>
      <c r="G4640" s="400"/>
      <c r="H4640" s="396"/>
    </row>
    <row r="4641" spans="1:8" s="401" customFormat="1" ht="14.25" customHeight="1" x14ac:dyDescent="0.25">
      <c r="A4641" s="564">
        <v>3059</v>
      </c>
      <c r="B4641" s="562" t="s">
        <v>1061</v>
      </c>
      <c r="C4641" s="403">
        <v>63052</v>
      </c>
      <c r="D4641" s="400"/>
      <c r="E4641" s="400"/>
      <c r="F4641" s="400"/>
      <c r="G4641" s="400"/>
      <c r="H4641" s="396"/>
    </row>
    <row r="4642" spans="1:8" s="401" customFormat="1" ht="14.25" customHeight="1" x14ac:dyDescent="0.25">
      <c r="A4642" s="564">
        <v>3097</v>
      </c>
      <c r="B4642" s="562" t="s">
        <v>1062</v>
      </c>
      <c r="C4642" s="403">
        <v>6106</v>
      </c>
      <c r="D4642" s="400"/>
      <c r="E4642" s="400"/>
      <c r="F4642" s="400"/>
      <c r="G4642" s="400"/>
      <c r="H4642" s="396"/>
    </row>
    <row r="4643" spans="1:8" s="401" customFormat="1" ht="14.25" customHeight="1" x14ac:dyDescent="0.25">
      <c r="A4643" s="564">
        <v>3222</v>
      </c>
      <c r="B4643" s="562" t="s">
        <v>1061</v>
      </c>
      <c r="C4643" s="403">
        <v>19415</v>
      </c>
      <c r="D4643" s="400"/>
      <c r="E4643" s="400"/>
      <c r="F4643" s="400"/>
      <c r="G4643" s="400"/>
      <c r="H4643" s="396"/>
    </row>
    <row r="4644" spans="1:8" s="401" customFormat="1" ht="14.25" customHeight="1" x14ac:dyDescent="0.25">
      <c r="A4644" s="564">
        <v>3224</v>
      </c>
      <c r="B4644" s="562" t="s">
        <v>1061</v>
      </c>
      <c r="C4644" s="403">
        <v>1</v>
      </c>
      <c r="D4644" s="400"/>
      <c r="E4644" s="400"/>
      <c r="F4644" s="400"/>
      <c r="G4644" s="400"/>
      <c r="H4644" s="396"/>
    </row>
    <row r="4645" spans="1:8" s="401" customFormat="1" ht="14.25" customHeight="1" x14ac:dyDescent="0.25">
      <c r="A4645" s="564">
        <v>3228</v>
      </c>
      <c r="B4645" s="562" t="s">
        <v>1061</v>
      </c>
      <c r="C4645" s="403">
        <v>1</v>
      </c>
      <c r="D4645" s="400"/>
      <c r="E4645" s="400"/>
      <c r="F4645" s="400"/>
      <c r="G4645" s="400"/>
      <c r="H4645" s="396"/>
    </row>
    <row r="4646" spans="1:8" s="401" customFormat="1" ht="14.25" customHeight="1" x14ac:dyDescent="0.25">
      <c r="A4646" s="564">
        <v>3234</v>
      </c>
      <c r="B4646" s="562" t="s">
        <v>1061</v>
      </c>
      <c r="C4646" s="403">
        <v>19415</v>
      </c>
      <c r="D4646" s="400"/>
      <c r="E4646" s="400"/>
      <c r="F4646" s="400"/>
      <c r="G4646" s="400"/>
      <c r="H4646" s="396"/>
    </row>
    <row r="4647" spans="1:8" s="401" customFormat="1" ht="14.25" customHeight="1" x14ac:dyDescent="0.25">
      <c r="A4647" s="564">
        <v>3278</v>
      </c>
      <c r="B4647" s="562" t="s">
        <v>1063</v>
      </c>
      <c r="C4647" s="403">
        <v>5827</v>
      </c>
      <c r="D4647" s="400"/>
      <c r="E4647" s="400"/>
      <c r="F4647" s="400"/>
      <c r="G4647" s="400"/>
      <c r="H4647" s="396"/>
    </row>
    <row r="4648" spans="1:8" s="401" customFormat="1" ht="14.25" customHeight="1" x14ac:dyDescent="0.25">
      <c r="A4648" s="564">
        <v>3349</v>
      </c>
      <c r="B4648" s="562" t="s">
        <v>1063</v>
      </c>
      <c r="C4648" s="403">
        <v>6305.01</v>
      </c>
      <c r="D4648" s="400"/>
      <c r="E4648" s="400"/>
      <c r="F4648" s="400"/>
      <c r="G4648" s="400"/>
      <c r="H4648" s="396"/>
    </row>
    <row r="4649" spans="1:8" s="401" customFormat="1" ht="14.25" customHeight="1" x14ac:dyDescent="0.25">
      <c r="A4649" s="564">
        <v>3361</v>
      </c>
      <c r="B4649" s="562" t="s">
        <v>1064</v>
      </c>
      <c r="C4649" s="403">
        <v>5992</v>
      </c>
      <c r="D4649" s="400"/>
      <c r="E4649" s="400"/>
      <c r="F4649" s="400"/>
      <c r="G4649" s="400"/>
      <c r="H4649" s="396"/>
    </row>
    <row r="4650" spans="1:8" s="401" customFormat="1" ht="14.25" customHeight="1" x14ac:dyDescent="0.25">
      <c r="A4650" s="564">
        <v>3068</v>
      </c>
      <c r="B4650" s="562" t="s">
        <v>1049</v>
      </c>
      <c r="C4650" s="403">
        <v>427</v>
      </c>
      <c r="D4650" s="400"/>
      <c r="E4650" s="400"/>
      <c r="F4650" s="400"/>
      <c r="G4650" s="400"/>
      <c r="H4650" s="396"/>
    </row>
    <row r="4651" spans="1:8" s="401" customFormat="1" ht="14.25" customHeight="1" x14ac:dyDescent="0.25">
      <c r="A4651" s="564">
        <v>4007</v>
      </c>
      <c r="B4651" s="562" t="s">
        <v>737</v>
      </c>
      <c r="C4651" s="403">
        <v>11057</v>
      </c>
      <c r="D4651" s="400"/>
      <c r="E4651" s="400"/>
      <c r="F4651" s="400"/>
      <c r="G4651" s="400"/>
      <c r="H4651" s="396"/>
    </row>
    <row r="4652" spans="1:8" s="401" customFormat="1" ht="14.25" customHeight="1" x14ac:dyDescent="0.25">
      <c r="A4652" s="564">
        <v>4011</v>
      </c>
      <c r="B4652" s="562" t="s">
        <v>737</v>
      </c>
      <c r="C4652" s="403">
        <v>11057</v>
      </c>
      <c r="D4652" s="400"/>
      <c r="E4652" s="400"/>
      <c r="F4652" s="400"/>
      <c r="G4652" s="400"/>
      <c r="H4652" s="396"/>
    </row>
    <row r="4653" spans="1:8" s="401" customFormat="1" ht="14.25" customHeight="1" x14ac:dyDescent="0.25">
      <c r="A4653" s="564">
        <v>4014</v>
      </c>
      <c r="B4653" s="562" t="s">
        <v>737</v>
      </c>
      <c r="C4653" s="403">
        <v>11057</v>
      </c>
      <c r="D4653" s="400"/>
      <c r="E4653" s="400"/>
      <c r="F4653" s="400"/>
      <c r="G4653" s="400"/>
      <c r="H4653" s="396"/>
    </row>
    <row r="4654" spans="1:8" s="401" customFormat="1" ht="14.25" customHeight="1" x14ac:dyDescent="0.25">
      <c r="A4654" s="564">
        <v>4016</v>
      </c>
      <c r="B4654" s="562" t="s">
        <v>737</v>
      </c>
      <c r="C4654" s="403">
        <v>13055</v>
      </c>
      <c r="D4654" s="400"/>
      <c r="E4654" s="400"/>
      <c r="F4654" s="400"/>
      <c r="G4654" s="400"/>
      <c r="H4654" s="396"/>
    </row>
    <row r="4655" spans="1:8" s="401" customFormat="1" ht="14.25" customHeight="1" x14ac:dyDescent="0.25">
      <c r="A4655" s="564">
        <v>4019</v>
      </c>
      <c r="B4655" s="562" t="s">
        <v>737</v>
      </c>
      <c r="C4655" s="403">
        <v>13055</v>
      </c>
      <c r="D4655" s="400"/>
      <c r="E4655" s="400"/>
      <c r="F4655" s="400"/>
      <c r="G4655" s="400"/>
      <c r="H4655" s="396"/>
    </row>
    <row r="4656" spans="1:8" s="401" customFormat="1" ht="14.25" customHeight="1" x14ac:dyDescent="0.25">
      <c r="A4656" s="564">
        <v>4022</v>
      </c>
      <c r="B4656" s="562" t="s">
        <v>737</v>
      </c>
      <c r="C4656" s="403">
        <v>13055</v>
      </c>
      <c r="D4656" s="400"/>
      <c r="E4656" s="400"/>
      <c r="F4656" s="400"/>
      <c r="G4656" s="400"/>
      <c r="H4656" s="396"/>
    </row>
    <row r="4657" spans="1:8" s="401" customFormat="1" ht="14.25" customHeight="1" x14ac:dyDescent="0.25">
      <c r="A4657" s="564">
        <v>4042</v>
      </c>
      <c r="B4657" s="562" t="s">
        <v>737</v>
      </c>
      <c r="C4657" s="403">
        <v>12446</v>
      </c>
      <c r="D4657" s="400"/>
      <c r="E4657" s="400"/>
      <c r="F4657" s="400"/>
      <c r="G4657" s="400"/>
      <c r="H4657" s="396"/>
    </row>
    <row r="4658" spans="1:8" s="401" customFormat="1" ht="14.25" customHeight="1" x14ac:dyDescent="0.25">
      <c r="A4658" s="564">
        <v>4046</v>
      </c>
      <c r="B4658" s="562" t="s">
        <v>737</v>
      </c>
      <c r="C4658" s="403">
        <v>12446</v>
      </c>
      <c r="D4658" s="400"/>
      <c r="E4658" s="400"/>
      <c r="F4658" s="400"/>
      <c r="G4658" s="400"/>
      <c r="H4658" s="396"/>
    </row>
    <row r="4659" spans="1:8" s="401" customFormat="1" ht="14.25" customHeight="1" x14ac:dyDescent="0.25">
      <c r="A4659" s="564">
        <v>4050</v>
      </c>
      <c r="B4659" s="562" t="s">
        <v>737</v>
      </c>
      <c r="C4659" s="403">
        <v>12446</v>
      </c>
      <c r="D4659" s="400"/>
      <c r="E4659" s="400"/>
      <c r="F4659" s="400"/>
      <c r="G4659" s="400"/>
      <c r="H4659" s="396"/>
    </row>
    <row r="4660" spans="1:8" s="401" customFormat="1" ht="14.25" customHeight="1" x14ac:dyDescent="0.25">
      <c r="A4660" s="564">
        <v>4054</v>
      </c>
      <c r="B4660" s="562" t="s">
        <v>737</v>
      </c>
      <c r="C4660" s="403">
        <v>12446</v>
      </c>
      <c r="D4660" s="400"/>
      <c r="E4660" s="400"/>
      <c r="F4660" s="400"/>
      <c r="G4660" s="400"/>
      <c r="H4660" s="396"/>
    </row>
    <row r="4661" spans="1:8" s="401" customFormat="1" ht="14.25" customHeight="1" x14ac:dyDescent="0.25">
      <c r="A4661" s="564">
        <v>4058</v>
      </c>
      <c r="B4661" s="562" t="s">
        <v>737</v>
      </c>
      <c r="C4661" s="403">
        <v>15400</v>
      </c>
      <c r="D4661" s="400"/>
      <c r="E4661" s="400"/>
      <c r="F4661" s="400"/>
      <c r="G4661" s="400"/>
      <c r="H4661" s="396"/>
    </row>
    <row r="4662" spans="1:8" s="401" customFormat="1" ht="14.25" customHeight="1" x14ac:dyDescent="0.25">
      <c r="A4662" s="564">
        <v>4061</v>
      </c>
      <c r="B4662" s="562" t="s">
        <v>737</v>
      </c>
      <c r="C4662" s="403">
        <v>15280.68</v>
      </c>
      <c r="D4662" s="400"/>
      <c r="E4662" s="400"/>
      <c r="F4662" s="400"/>
      <c r="G4662" s="400"/>
      <c r="H4662" s="396"/>
    </row>
    <row r="4663" spans="1:8" s="401" customFormat="1" ht="14.25" customHeight="1" x14ac:dyDescent="0.25">
      <c r="A4663" s="564">
        <v>4064</v>
      </c>
      <c r="B4663" s="562" t="s">
        <v>737</v>
      </c>
      <c r="C4663" s="403">
        <v>7594.98</v>
      </c>
      <c r="D4663" s="400"/>
      <c r="E4663" s="400"/>
      <c r="F4663" s="400"/>
      <c r="G4663" s="400"/>
      <c r="H4663" s="396"/>
    </row>
    <row r="4664" spans="1:8" s="401" customFormat="1" ht="14.25" customHeight="1" x14ac:dyDescent="0.25">
      <c r="A4664" s="564">
        <v>4066</v>
      </c>
      <c r="B4664" s="562" t="s">
        <v>737</v>
      </c>
      <c r="C4664" s="403">
        <v>15280.68</v>
      </c>
      <c r="D4664" s="400"/>
      <c r="E4664" s="400"/>
      <c r="F4664" s="400"/>
      <c r="G4664" s="400"/>
      <c r="H4664" s="396"/>
    </row>
    <row r="4665" spans="1:8" s="401" customFormat="1" ht="14.25" customHeight="1" x14ac:dyDescent="0.25">
      <c r="A4665" s="564">
        <v>4070</v>
      </c>
      <c r="B4665" s="562" t="s">
        <v>737</v>
      </c>
      <c r="C4665" s="403">
        <v>15280.68</v>
      </c>
      <c r="D4665" s="400"/>
      <c r="E4665" s="400"/>
      <c r="F4665" s="400"/>
      <c r="G4665" s="400"/>
      <c r="H4665" s="396"/>
    </row>
    <row r="4666" spans="1:8" s="401" customFormat="1" ht="14.25" customHeight="1" x14ac:dyDescent="0.25">
      <c r="A4666" s="564">
        <v>4073</v>
      </c>
      <c r="B4666" s="562" t="s">
        <v>737</v>
      </c>
      <c r="C4666" s="403">
        <v>15280.68</v>
      </c>
      <c r="D4666" s="400"/>
      <c r="E4666" s="400"/>
      <c r="F4666" s="400"/>
      <c r="G4666" s="400"/>
      <c r="H4666" s="396"/>
    </row>
    <row r="4667" spans="1:8" s="401" customFormat="1" ht="14.25" customHeight="1" x14ac:dyDescent="0.25">
      <c r="A4667" s="564">
        <v>4079</v>
      </c>
      <c r="B4667" s="562" t="s">
        <v>737</v>
      </c>
      <c r="C4667" s="403">
        <v>15280.68</v>
      </c>
      <c r="D4667" s="400"/>
      <c r="E4667" s="400"/>
      <c r="F4667" s="400"/>
      <c r="G4667" s="400"/>
      <c r="H4667" s="396"/>
    </row>
    <row r="4668" spans="1:8" s="401" customFormat="1" ht="14.25" customHeight="1" x14ac:dyDescent="0.25">
      <c r="A4668" s="564">
        <v>4082</v>
      </c>
      <c r="B4668" s="562" t="s">
        <v>737</v>
      </c>
      <c r="C4668" s="403">
        <v>15280.68</v>
      </c>
      <c r="D4668" s="400"/>
      <c r="E4668" s="400"/>
      <c r="F4668" s="400"/>
      <c r="G4668" s="400"/>
      <c r="H4668" s="396"/>
    </row>
    <row r="4669" spans="1:8" s="401" customFormat="1" ht="14.25" customHeight="1" x14ac:dyDescent="0.25">
      <c r="A4669" s="564">
        <v>4085</v>
      </c>
      <c r="B4669" s="562" t="s">
        <v>737</v>
      </c>
      <c r="C4669" s="403">
        <v>15280.68</v>
      </c>
      <c r="D4669" s="400"/>
      <c r="E4669" s="400"/>
      <c r="F4669" s="400"/>
      <c r="G4669" s="400"/>
      <c r="H4669" s="396"/>
    </row>
    <row r="4670" spans="1:8" s="401" customFormat="1" ht="14.25" customHeight="1" x14ac:dyDescent="0.25">
      <c r="A4670" s="564">
        <v>4087</v>
      </c>
      <c r="B4670" s="562" t="s">
        <v>737</v>
      </c>
      <c r="C4670" s="403">
        <v>15280.68</v>
      </c>
      <c r="D4670" s="400"/>
      <c r="E4670" s="400"/>
      <c r="F4670" s="400"/>
      <c r="G4670" s="400"/>
      <c r="H4670" s="396"/>
    </row>
    <row r="4671" spans="1:8" s="401" customFormat="1" ht="14.25" customHeight="1" x14ac:dyDescent="0.25">
      <c r="A4671" s="564">
        <v>4089</v>
      </c>
      <c r="B4671" s="562" t="s">
        <v>737</v>
      </c>
      <c r="C4671" s="403">
        <v>15280.68</v>
      </c>
      <c r="D4671" s="400"/>
      <c r="E4671" s="400"/>
      <c r="F4671" s="400"/>
      <c r="G4671" s="400"/>
      <c r="H4671" s="396"/>
    </row>
    <row r="4672" spans="1:8" s="401" customFormat="1" ht="14.25" customHeight="1" x14ac:dyDescent="0.25">
      <c r="A4672" s="564">
        <v>4092</v>
      </c>
      <c r="B4672" s="562" t="s">
        <v>1056</v>
      </c>
      <c r="C4672" s="403">
        <v>10950</v>
      </c>
      <c r="D4672" s="400"/>
      <c r="E4672" s="400"/>
      <c r="F4672" s="400"/>
      <c r="G4672" s="400"/>
      <c r="H4672" s="396"/>
    </row>
    <row r="4673" spans="1:8" s="401" customFormat="1" ht="14.25" customHeight="1" x14ac:dyDescent="0.25">
      <c r="A4673" s="564">
        <v>4094</v>
      </c>
      <c r="B4673" s="562" t="s">
        <v>1056</v>
      </c>
      <c r="C4673" s="403">
        <v>3440</v>
      </c>
      <c r="D4673" s="400"/>
      <c r="E4673" s="400"/>
      <c r="F4673" s="400"/>
      <c r="G4673" s="400"/>
      <c r="H4673" s="396"/>
    </row>
    <row r="4674" spans="1:8" s="401" customFormat="1" ht="14.25" customHeight="1" x14ac:dyDescent="0.25">
      <c r="A4674" s="564">
        <v>4097</v>
      </c>
      <c r="B4674" s="562" t="s">
        <v>1063</v>
      </c>
      <c r="C4674" s="403">
        <v>3680</v>
      </c>
      <c r="D4674" s="400"/>
      <c r="E4674" s="400"/>
      <c r="F4674" s="400"/>
      <c r="G4674" s="400"/>
      <c r="H4674" s="396"/>
    </row>
    <row r="4675" spans="1:8" s="401" customFormat="1" ht="14.25" customHeight="1" x14ac:dyDescent="0.25">
      <c r="A4675" s="564">
        <v>4099</v>
      </c>
      <c r="B4675" s="562" t="s">
        <v>1065</v>
      </c>
      <c r="C4675" s="403">
        <v>2386</v>
      </c>
      <c r="D4675" s="400"/>
      <c r="E4675" s="400"/>
      <c r="F4675" s="400"/>
      <c r="G4675" s="400"/>
      <c r="H4675" s="396"/>
    </row>
    <row r="4676" spans="1:8" s="401" customFormat="1" ht="14.25" customHeight="1" x14ac:dyDescent="0.25">
      <c r="A4676" s="564">
        <v>4101</v>
      </c>
      <c r="B4676" s="562" t="s">
        <v>1065</v>
      </c>
      <c r="C4676" s="403">
        <v>2386</v>
      </c>
      <c r="D4676" s="400"/>
      <c r="E4676" s="400"/>
      <c r="F4676" s="400"/>
      <c r="G4676" s="400"/>
      <c r="H4676" s="396"/>
    </row>
    <row r="4677" spans="1:8" s="401" customFormat="1" ht="14.25" customHeight="1" x14ac:dyDescent="0.25">
      <c r="A4677" s="564">
        <v>4103</v>
      </c>
      <c r="B4677" s="562" t="s">
        <v>1065</v>
      </c>
      <c r="C4677" s="403">
        <v>2386</v>
      </c>
      <c r="D4677" s="400"/>
      <c r="E4677" s="400"/>
      <c r="F4677" s="400"/>
      <c r="G4677" s="400"/>
      <c r="H4677" s="396"/>
    </row>
    <row r="4678" spans="1:8" s="401" customFormat="1" ht="14.25" customHeight="1" x14ac:dyDescent="0.25">
      <c r="A4678" s="564">
        <v>4105</v>
      </c>
      <c r="B4678" s="562" t="s">
        <v>1065</v>
      </c>
      <c r="C4678" s="403">
        <v>2386</v>
      </c>
      <c r="D4678" s="400"/>
      <c r="E4678" s="400"/>
      <c r="F4678" s="400"/>
      <c r="G4678" s="400"/>
      <c r="H4678" s="396"/>
    </row>
    <row r="4679" spans="1:8" s="401" customFormat="1" ht="14.25" customHeight="1" x14ac:dyDescent="0.25">
      <c r="A4679" s="564">
        <v>4121</v>
      </c>
      <c r="B4679" s="562" t="s">
        <v>1065</v>
      </c>
      <c r="C4679" s="403">
        <v>2386</v>
      </c>
      <c r="D4679" s="400"/>
      <c r="E4679" s="400"/>
      <c r="F4679" s="400"/>
      <c r="G4679" s="400"/>
      <c r="H4679" s="396"/>
    </row>
    <row r="4680" spans="1:8" s="401" customFormat="1" ht="14.25" customHeight="1" x14ac:dyDescent="0.25">
      <c r="A4680" s="564">
        <v>4125</v>
      </c>
      <c r="B4680" s="562" t="s">
        <v>1065</v>
      </c>
      <c r="C4680" s="403">
        <v>2386</v>
      </c>
      <c r="D4680" s="400"/>
      <c r="E4680" s="400"/>
      <c r="F4680" s="400"/>
      <c r="G4680" s="400"/>
      <c r="H4680" s="396"/>
    </row>
    <row r="4681" spans="1:8" s="401" customFormat="1" ht="14.25" customHeight="1" x14ac:dyDescent="0.25">
      <c r="A4681" s="564">
        <v>4128</v>
      </c>
      <c r="B4681" s="562" t="s">
        <v>1065</v>
      </c>
      <c r="C4681" s="403">
        <v>2386</v>
      </c>
      <c r="D4681" s="400"/>
      <c r="E4681" s="400"/>
      <c r="F4681" s="400"/>
      <c r="G4681" s="400"/>
      <c r="H4681" s="396"/>
    </row>
    <row r="4682" spans="1:8" s="401" customFormat="1" ht="14.25" customHeight="1" x14ac:dyDescent="0.25">
      <c r="A4682" s="564">
        <v>4132</v>
      </c>
      <c r="B4682" s="562" t="s">
        <v>1065</v>
      </c>
      <c r="C4682" s="403">
        <v>2386</v>
      </c>
      <c r="D4682" s="400"/>
      <c r="E4682" s="400"/>
      <c r="F4682" s="400"/>
      <c r="G4682" s="400"/>
      <c r="H4682" s="396"/>
    </row>
    <row r="4683" spans="1:8" s="401" customFormat="1" ht="14.25" customHeight="1" x14ac:dyDescent="0.25">
      <c r="A4683" s="564">
        <v>4148</v>
      </c>
      <c r="B4683" s="562" t="s">
        <v>737</v>
      </c>
      <c r="C4683" s="403">
        <v>7594.98</v>
      </c>
      <c r="D4683" s="400"/>
      <c r="E4683" s="400"/>
      <c r="F4683" s="400"/>
      <c r="G4683" s="400"/>
      <c r="H4683" s="396"/>
    </row>
    <row r="4684" spans="1:8" s="401" customFormat="1" ht="14.25" customHeight="1" x14ac:dyDescent="0.25">
      <c r="A4684" s="564">
        <v>4153</v>
      </c>
      <c r="B4684" s="562" t="s">
        <v>737</v>
      </c>
      <c r="C4684" s="403">
        <v>7594.98</v>
      </c>
      <c r="D4684" s="400"/>
      <c r="E4684" s="400"/>
      <c r="F4684" s="400"/>
      <c r="G4684" s="400"/>
      <c r="H4684" s="396"/>
    </row>
    <row r="4685" spans="1:8" s="401" customFormat="1" ht="14.25" customHeight="1" x14ac:dyDescent="0.25">
      <c r="A4685" s="564">
        <v>4155</v>
      </c>
      <c r="B4685" s="562" t="s">
        <v>737</v>
      </c>
      <c r="C4685" s="403">
        <v>7594.98</v>
      </c>
      <c r="D4685" s="400"/>
      <c r="E4685" s="400"/>
      <c r="F4685" s="400"/>
      <c r="G4685" s="400"/>
      <c r="H4685" s="396"/>
    </row>
    <row r="4686" spans="1:8" s="401" customFormat="1" ht="14.25" customHeight="1" x14ac:dyDescent="0.25">
      <c r="A4686" s="564">
        <v>4157</v>
      </c>
      <c r="B4686" s="562" t="s">
        <v>737</v>
      </c>
      <c r="C4686" s="403">
        <v>7594.98</v>
      </c>
      <c r="D4686" s="400"/>
      <c r="E4686" s="400"/>
      <c r="F4686" s="400"/>
      <c r="G4686" s="400"/>
      <c r="H4686" s="396"/>
    </row>
    <row r="4687" spans="1:8" s="401" customFormat="1" ht="14.25" customHeight="1" x14ac:dyDescent="0.25">
      <c r="A4687" s="564">
        <v>4159</v>
      </c>
      <c r="B4687" s="562" t="s">
        <v>737</v>
      </c>
      <c r="C4687" s="403">
        <v>7594.98</v>
      </c>
      <c r="D4687" s="400"/>
      <c r="E4687" s="400"/>
      <c r="F4687" s="400"/>
      <c r="G4687" s="400"/>
      <c r="H4687" s="396"/>
    </row>
    <row r="4688" spans="1:8" s="401" customFormat="1" ht="14.25" customHeight="1" x14ac:dyDescent="0.25">
      <c r="A4688" s="564">
        <v>4176</v>
      </c>
      <c r="B4688" s="562" t="s">
        <v>737</v>
      </c>
      <c r="C4688" s="403">
        <v>7594.98</v>
      </c>
      <c r="D4688" s="400"/>
      <c r="E4688" s="400"/>
      <c r="F4688" s="400"/>
      <c r="G4688" s="400"/>
      <c r="H4688" s="396"/>
    </row>
    <row r="4689" spans="1:8" s="401" customFormat="1" ht="14.25" customHeight="1" x14ac:dyDescent="0.25">
      <c r="A4689" s="564">
        <v>4177</v>
      </c>
      <c r="B4689" s="562" t="s">
        <v>737</v>
      </c>
      <c r="C4689" s="403">
        <v>7594.98</v>
      </c>
      <c r="D4689" s="400"/>
      <c r="E4689" s="400"/>
      <c r="F4689" s="400"/>
      <c r="G4689" s="400"/>
      <c r="H4689" s="396"/>
    </row>
    <row r="4690" spans="1:8" s="401" customFormat="1" ht="14.25" customHeight="1" x14ac:dyDescent="0.25">
      <c r="A4690" s="564">
        <v>4180</v>
      </c>
      <c r="B4690" s="562" t="s">
        <v>737</v>
      </c>
      <c r="C4690" s="403">
        <v>7594.98</v>
      </c>
      <c r="D4690" s="400"/>
      <c r="E4690" s="400"/>
      <c r="F4690" s="400"/>
      <c r="G4690" s="400"/>
      <c r="H4690" s="396"/>
    </row>
    <row r="4691" spans="1:8" s="401" customFormat="1" ht="14.25" customHeight="1" x14ac:dyDescent="0.25">
      <c r="A4691" s="564">
        <v>4182</v>
      </c>
      <c r="B4691" s="562" t="s">
        <v>737</v>
      </c>
      <c r="C4691" s="403">
        <v>7594.98</v>
      </c>
      <c r="D4691" s="400"/>
      <c r="E4691" s="400"/>
      <c r="F4691" s="400"/>
      <c r="G4691" s="400"/>
      <c r="H4691" s="396"/>
    </row>
    <row r="4692" spans="1:8" s="401" customFormat="1" ht="14.25" customHeight="1" x14ac:dyDescent="0.25">
      <c r="A4692" s="564">
        <v>4184</v>
      </c>
      <c r="B4692" s="562" t="s">
        <v>737</v>
      </c>
      <c r="C4692" s="403">
        <v>7594.98</v>
      </c>
      <c r="D4692" s="400"/>
      <c r="E4692" s="400"/>
      <c r="F4692" s="400"/>
      <c r="G4692" s="400"/>
      <c r="H4692" s="396"/>
    </row>
    <row r="4693" spans="1:8" s="401" customFormat="1" ht="14.25" customHeight="1" x14ac:dyDescent="0.25">
      <c r="A4693" s="564">
        <v>4186</v>
      </c>
      <c r="B4693" s="562" t="s">
        <v>737</v>
      </c>
      <c r="C4693" s="403">
        <v>7594.98</v>
      </c>
      <c r="D4693" s="400"/>
      <c r="E4693" s="400"/>
      <c r="F4693" s="400"/>
      <c r="G4693" s="400"/>
      <c r="H4693" s="396"/>
    </row>
    <row r="4694" spans="1:8" s="401" customFormat="1" ht="14.25" customHeight="1" x14ac:dyDescent="0.25">
      <c r="A4694" s="564">
        <v>4188</v>
      </c>
      <c r="B4694" s="562" t="s">
        <v>737</v>
      </c>
      <c r="C4694" s="403">
        <v>3850</v>
      </c>
      <c r="D4694" s="400"/>
      <c r="E4694" s="400"/>
      <c r="F4694" s="400"/>
      <c r="G4694" s="400"/>
      <c r="H4694" s="396"/>
    </row>
    <row r="4695" spans="1:8" s="401" customFormat="1" ht="14.25" customHeight="1" x14ac:dyDescent="0.25">
      <c r="A4695" s="564">
        <v>4191</v>
      </c>
      <c r="B4695" s="562" t="s">
        <v>737</v>
      </c>
      <c r="C4695" s="403">
        <v>3850</v>
      </c>
      <c r="D4695" s="400"/>
      <c r="E4695" s="400"/>
      <c r="F4695" s="400"/>
      <c r="G4695" s="400"/>
      <c r="H4695" s="396"/>
    </row>
    <row r="4696" spans="1:8" s="401" customFormat="1" ht="14.25" customHeight="1" x14ac:dyDescent="0.25">
      <c r="A4696" s="564">
        <v>4231</v>
      </c>
      <c r="B4696" s="562" t="s">
        <v>1066</v>
      </c>
      <c r="C4696" s="403">
        <v>1397</v>
      </c>
      <c r="D4696" s="400"/>
      <c r="E4696" s="400"/>
      <c r="F4696" s="400"/>
      <c r="G4696" s="400"/>
      <c r="H4696" s="396"/>
    </row>
    <row r="4697" spans="1:8" s="401" customFormat="1" ht="14.25" customHeight="1" x14ac:dyDescent="0.25">
      <c r="A4697" s="564">
        <v>4239</v>
      </c>
      <c r="B4697" s="562" t="s">
        <v>737</v>
      </c>
      <c r="C4697" s="403">
        <v>12446</v>
      </c>
      <c r="D4697" s="400"/>
      <c r="E4697" s="400"/>
      <c r="F4697" s="400"/>
      <c r="G4697" s="400"/>
      <c r="H4697" s="396"/>
    </row>
    <row r="4698" spans="1:8" s="401" customFormat="1" ht="14.25" customHeight="1" x14ac:dyDescent="0.25">
      <c r="A4698" s="564">
        <v>4241</v>
      </c>
      <c r="B4698" s="562" t="s">
        <v>737</v>
      </c>
      <c r="C4698" s="403">
        <v>12446</v>
      </c>
      <c r="D4698" s="400"/>
      <c r="E4698" s="400"/>
      <c r="F4698" s="400"/>
      <c r="G4698" s="400"/>
      <c r="H4698" s="396"/>
    </row>
    <row r="4699" spans="1:8" s="401" customFormat="1" ht="14.25" customHeight="1" x14ac:dyDescent="0.25">
      <c r="A4699" s="564">
        <v>4244</v>
      </c>
      <c r="B4699" s="562" t="s">
        <v>737</v>
      </c>
      <c r="C4699" s="403">
        <v>12446</v>
      </c>
      <c r="D4699" s="400"/>
      <c r="E4699" s="400"/>
      <c r="F4699" s="400"/>
      <c r="G4699" s="400"/>
      <c r="H4699" s="396"/>
    </row>
    <row r="4700" spans="1:8" s="401" customFormat="1" ht="14.25" customHeight="1" x14ac:dyDescent="0.25">
      <c r="A4700" s="564">
        <v>4246</v>
      </c>
      <c r="B4700" s="562" t="s">
        <v>737</v>
      </c>
      <c r="C4700" s="403">
        <v>12446</v>
      </c>
      <c r="D4700" s="400"/>
      <c r="E4700" s="400"/>
      <c r="F4700" s="400"/>
      <c r="G4700" s="400"/>
      <c r="H4700" s="396"/>
    </row>
    <row r="4701" spans="1:8" s="401" customFormat="1" ht="14.25" customHeight="1" x14ac:dyDescent="0.25">
      <c r="A4701" s="564">
        <v>4249</v>
      </c>
      <c r="B4701" s="562" t="s">
        <v>737</v>
      </c>
      <c r="C4701" s="403">
        <v>15400</v>
      </c>
      <c r="D4701" s="400"/>
      <c r="E4701" s="400"/>
      <c r="F4701" s="400"/>
      <c r="G4701" s="400"/>
      <c r="H4701" s="396"/>
    </row>
    <row r="4702" spans="1:8" s="401" customFormat="1" ht="14.25" customHeight="1" x14ac:dyDescent="0.25">
      <c r="A4702" s="564">
        <v>4253</v>
      </c>
      <c r="B4702" s="562" t="s">
        <v>737</v>
      </c>
      <c r="C4702" s="403">
        <v>15400</v>
      </c>
      <c r="D4702" s="400"/>
      <c r="E4702" s="400"/>
      <c r="F4702" s="400"/>
      <c r="G4702" s="400"/>
      <c r="H4702" s="396"/>
    </row>
    <row r="4703" spans="1:8" s="401" customFormat="1" ht="14.25" customHeight="1" x14ac:dyDescent="0.25">
      <c r="A4703" s="564">
        <v>4254</v>
      </c>
      <c r="B4703" s="562" t="s">
        <v>737</v>
      </c>
      <c r="C4703" s="403">
        <v>15400</v>
      </c>
      <c r="D4703" s="400"/>
      <c r="E4703" s="400"/>
      <c r="F4703" s="400"/>
      <c r="G4703" s="400"/>
      <c r="H4703" s="396"/>
    </row>
    <row r="4704" spans="1:8" s="401" customFormat="1" ht="14.25" customHeight="1" x14ac:dyDescent="0.25">
      <c r="A4704" s="564">
        <v>4255</v>
      </c>
      <c r="B4704" s="562" t="s">
        <v>737</v>
      </c>
      <c r="C4704" s="403">
        <v>15400</v>
      </c>
      <c r="D4704" s="400"/>
      <c r="E4704" s="400"/>
      <c r="F4704" s="400"/>
      <c r="G4704" s="400"/>
      <c r="H4704" s="396"/>
    </row>
    <row r="4705" spans="1:8" s="401" customFormat="1" ht="14.25" customHeight="1" x14ac:dyDescent="0.25">
      <c r="A4705" s="564">
        <v>4257</v>
      </c>
      <c r="B4705" s="562" t="s">
        <v>737</v>
      </c>
      <c r="C4705" s="403">
        <v>15400</v>
      </c>
      <c r="D4705" s="400"/>
      <c r="E4705" s="400"/>
      <c r="F4705" s="400"/>
      <c r="G4705" s="400"/>
      <c r="H4705" s="396"/>
    </row>
    <row r="4706" spans="1:8" s="401" customFormat="1" ht="14.25" customHeight="1" x14ac:dyDescent="0.25">
      <c r="A4706" s="564">
        <v>4258</v>
      </c>
      <c r="B4706" s="562" t="s">
        <v>737</v>
      </c>
      <c r="C4706" s="403">
        <v>15400</v>
      </c>
      <c r="D4706" s="400"/>
      <c r="E4706" s="400"/>
      <c r="F4706" s="400"/>
      <c r="G4706" s="400"/>
      <c r="H4706" s="396"/>
    </row>
    <row r="4707" spans="1:8" s="401" customFormat="1" ht="14.25" customHeight="1" x14ac:dyDescent="0.25">
      <c r="A4707" s="564">
        <v>4260</v>
      </c>
      <c r="B4707" s="562" t="s">
        <v>737</v>
      </c>
      <c r="C4707" s="403">
        <v>15400</v>
      </c>
      <c r="D4707" s="400"/>
      <c r="E4707" s="400"/>
      <c r="F4707" s="400"/>
      <c r="G4707" s="400"/>
      <c r="H4707" s="396"/>
    </row>
    <row r="4708" spans="1:8" s="401" customFormat="1" ht="14.25" customHeight="1" x14ac:dyDescent="0.25">
      <c r="A4708" s="564">
        <v>4262</v>
      </c>
      <c r="B4708" s="562" t="s">
        <v>737</v>
      </c>
      <c r="C4708" s="403">
        <v>7594.98</v>
      </c>
      <c r="D4708" s="400"/>
      <c r="E4708" s="400"/>
      <c r="F4708" s="400"/>
      <c r="G4708" s="400"/>
      <c r="H4708" s="396"/>
    </row>
    <row r="4709" spans="1:8" s="401" customFormat="1" ht="14.25" customHeight="1" x14ac:dyDescent="0.25">
      <c r="A4709" s="564">
        <v>4264</v>
      </c>
      <c r="B4709" s="562" t="s">
        <v>737</v>
      </c>
      <c r="C4709" s="403">
        <v>7594.98</v>
      </c>
      <c r="D4709" s="400"/>
      <c r="E4709" s="400"/>
      <c r="F4709" s="400"/>
      <c r="G4709" s="400"/>
      <c r="H4709" s="396"/>
    </row>
    <row r="4710" spans="1:8" s="401" customFormat="1" ht="14.25" customHeight="1" x14ac:dyDescent="0.25">
      <c r="A4710" s="564">
        <v>4267</v>
      </c>
      <c r="B4710" s="562" t="s">
        <v>737</v>
      </c>
      <c r="C4710" s="403">
        <v>11057</v>
      </c>
      <c r="D4710" s="400"/>
      <c r="E4710" s="400"/>
      <c r="F4710" s="400"/>
      <c r="G4710" s="400"/>
      <c r="H4710" s="396"/>
    </row>
    <row r="4711" spans="1:8" s="401" customFormat="1" ht="14.25" customHeight="1" x14ac:dyDescent="0.25">
      <c r="A4711" s="564">
        <v>4268</v>
      </c>
      <c r="B4711" s="562" t="s">
        <v>737</v>
      </c>
      <c r="C4711" s="403">
        <v>11057</v>
      </c>
      <c r="D4711" s="400"/>
      <c r="E4711" s="400"/>
      <c r="F4711" s="400"/>
      <c r="G4711" s="400"/>
      <c r="H4711" s="396"/>
    </row>
    <row r="4712" spans="1:8" s="401" customFormat="1" ht="14.25" customHeight="1" x14ac:dyDescent="0.25">
      <c r="A4712" s="564">
        <v>4270</v>
      </c>
      <c r="B4712" s="562" t="s">
        <v>737</v>
      </c>
      <c r="C4712" s="403">
        <v>11057</v>
      </c>
      <c r="D4712" s="400"/>
      <c r="E4712" s="400"/>
      <c r="F4712" s="400"/>
      <c r="G4712" s="400"/>
      <c r="H4712" s="396"/>
    </row>
    <row r="4713" spans="1:8" s="401" customFormat="1" ht="14.25" customHeight="1" x14ac:dyDescent="0.25">
      <c r="A4713" s="564">
        <v>4271</v>
      </c>
      <c r="B4713" s="562" t="s">
        <v>737</v>
      </c>
      <c r="C4713" s="403">
        <v>11057</v>
      </c>
      <c r="D4713" s="400"/>
      <c r="E4713" s="400"/>
      <c r="F4713" s="400"/>
      <c r="G4713" s="400"/>
      <c r="H4713" s="396"/>
    </row>
    <row r="4714" spans="1:8" s="401" customFormat="1" ht="14.25" customHeight="1" x14ac:dyDescent="0.25">
      <c r="A4714" s="564">
        <v>4272</v>
      </c>
      <c r="B4714" s="562" t="s">
        <v>737</v>
      </c>
      <c r="C4714" s="403">
        <v>11057</v>
      </c>
      <c r="D4714" s="400"/>
      <c r="E4714" s="400"/>
      <c r="F4714" s="400"/>
      <c r="G4714" s="400"/>
      <c r="H4714" s="396"/>
    </row>
    <row r="4715" spans="1:8" s="401" customFormat="1" ht="14.25" customHeight="1" x14ac:dyDescent="0.25">
      <c r="A4715" s="564">
        <v>4273</v>
      </c>
      <c r="B4715" s="562" t="s">
        <v>737</v>
      </c>
      <c r="C4715" s="403">
        <v>11057</v>
      </c>
      <c r="D4715" s="400"/>
      <c r="E4715" s="400"/>
      <c r="F4715" s="400"/>
      <c r="G4715" s="400"/>
      <c r="H4715" s="396"/>
    </row>
    <row r="4716" spans="1:8" s="401" customFormat="1" ht="14.25" customHeight="1" x14ac:dyDescent="0.25">
      <c r="A4716" s="564">
        <v>4274</v>
      </c>
      <c r="B4716" s="562" t="s">
        <v>737</v>
      </c>
      <c r="C4716" s="403">
        <v>6021</v>
      </c>
      <c r="D4716" s="400"/>
      <c r="E4716" s="400"/>
      <c r="F4716" s="400"/>
      <c r="G4716" s="400"/>
      <c r="H4716" s="396"/>
    </row>
    <row r="4717" spans="1:8" s="401" customFormat="1" ht="14.25" customHeight="1" x14ac:dyDescent="0.25">
      <c r="A4717" s="564">
        <v>4275</v>
      </c>
      <c r="B4717" s="562" t="s">
        <v>737</v>
      </c>
      <c r="C4717" s="403">
        <v>6021</v>
      </c>
      <c r="D4717" s="400"/>
      <c r="E4717" s="400"/>
      <c r="F4717" s="400"/>
      <c r="G4717" s="400"/>
      <c r="H4717" s="396"/>
    </row>
    <row r="4718" spans="1:8" s="401" customFormat="1" ht="14.25" customHeight="1" x14ac:dyDescent="0.25">
      <c r="A4718" s="564">
        <v>4278</v>
      </c>
      <c r="B4718" s="562" t="s">
        <v>737</v>
      </c>
      <c r="C4718" s="403">
        <v>13055</v>
      </c>
      <c r="D4718" s="400"/>
      <c r="E4718" s="400"/>
      <c r="F4718" s="400"/>
      <c r="G4718" s="400"/>
      <c r="H4718" s="396"/>
    </row>
    <row r="4719" spans="1:8" s="401" customFormat="1" ht="14.25" customHeight="1" x14ac:dyDescent="0.25">
      <c r="A4719" s="564">
        <v>4280</v>
      </c>
      <c r="B4719" s="562" t="s">
        <v>737</v>
      </c>
      <c r="C4719" s="403">
        <v>13055</v>
      </c>
      <c r="D4719" s="400"/>
      <c r="E4719" s="400"/>
      <c r="F4719" s="400"/>
      <c r="G4719" s="400"/>
      <c r="H4719" s="396"/>
    </row>
    <row r="4720" spans="1:8" s="401" customFormat="1" ht="14.25" customHeight="1" x14ac:dyDescent="0.25">
      <c r="A4720" s="564">
        <v>4281</v>
      </c>
      <c r="B4720" s="562" t="s">
        <v>737</v>
      </c>
      <c r="C4720" s="403">
        <v>13055</v>
      </c>
      <c r="D4720" s="400"/>
      <c r="E4720" s="400"/>
      <c r="F4720" s="400"/>
      <c r="G4720" s="400"/>
      <c r="H4720" s="396"/>
    </row>
    <row r="4721" spans="1:8" s="401" customFormat="1" ht="14.25" customHeight="1" x14ac:dyDescent="0.25">
      <c r="A4721" s="564">
        <v>4283</v>
      </c>
      <c r="B4721" s="562" t="s">
        <v>737</v>
      </c>
      <c r="C4721" s="403">
        <v>13055</v>
      </c>
      <c r="D4721" s="400"/>
      <c r="E4721" s="400"/>
      <c r="F4721" s="400"/>
      <c r="G4721" s="400"/>
      <c r="H4721" s="396"/>
    </row>
    <row r="4722" spans="1:8" s="401" customFormat="1" ht="14.25" customHeight="1" x14ac:dyDescent="0.25">
      <c r="A4722" s="564">
        <v>4286</v>
      </c>
      <c r="B4722" s="562" t="s">
        <v>737</v>
      </c>
      <c r="C4722" s="403">
        <v>13055</v>
      </c>
      <c r="D4722" s="400"/>
      <c r="E4722" s="400"/>
      <c r="F4722" s="400"/>
      <c r="G4722" s="400"/>
      <c r="H4722" s="396"/>
    </row>
    <row r="4723" spans="1:8" s="401" customFormat="1" ht="14.25" customHeight="1" x14ac:dyDescent="0.25">
      <c r="A4723" s="564">
        <v>4294</v>
      </c>
      <c r="B4723" s="562" t="s">
        <v>737</v>
      </c>
      <c r="C4723" s="403">
        <v>13055</v>
      </c>
      <c r="D4723" s="400"/>
      <c r="E4723" s="400"/>
      <c r="F4723" s="400"/>
      <c r="G4723" s="400"/>
      <c r="H4723" s="396"/>
    </row>
    <row r="4724" spans="1:8" s="401" customFormat="1" ht="14.25" customHeight="1" x14ac:dyDescent="0.25">
      <c r="A4724" s="564">
        <v>4297</v>
      </c>
      <c r="B4724" s="562" t="s">
        <v>737</v>
      </c>
      <c r="C4724" s="403">
        <v>13055</v>
      </c>
      <c r="D4724" s="400"/>
      <c r="E4724" s="400"/>
      <c r="F4724" s="400"/>
      <c r="G4724" s="400"/>
      <c r="H4724" s="396"/>
    </row>
    <row r="4725" spans="1:8" s="401" customFormat="1" ht="14.25" customHeight="1" x14ac:dyDescent="0.25">
      <c r="A4725" s="564">
        <v>4301</v>
      </c>
      <c r="B4725" s="562" t="s">
        <v>737</v>
      </c>
      <c r="C4725" s="403">
        <v>6943</v>
      </c>
      <c r="D4725" s="400"/>
      <c r="E4725" s="400"/>
      <c r="F4725" s="400"/>
      <c r="G4725" s="400"/>
      <c r="H4725" s="396"/>
    </row>
    <row r="4726" spans="1:8" s="401" customFormat="1" ht="14.25" customHeight="1" x14ac:dyDescent="0.25">
      <c r="A4726" s="564">
        <v>4304</v>
      </c>
      <c r="B4726" s="562" t="s">
        <v>737</v>
      </c>
      <c r="C4726" s="403">
        <v>12446</v>
      </c>
      <c r="D4726" s="400"/>
      <c r="E4726" s="400"/>
      <c r="F4726" s="400"/>
      <c r="G4726" s="400"/>
      <c r="H4726" s="396"/>
    </row>
    <row r="4727" spans="1:8" s="401" customFormat="1" ht="14.25" customHeight="1" x14ac:dyDescent="0.25">
      <c r="A4727" s="564">
        <v>4307</v>
      </c>
      <c r="B4727" s="562" t="s">
        <v>737</v>
      </c>
      <c r="C4727" s="403">
        <v>12446</v>
      </c>
      <c r="D4727" s="400"/>
      <c r="E4727" s="400"/>
      <c r="F4727" s="400"/>
      <c r="G4727" s="400"/>
      <c r="H4727" s="396"/>
    </row>
    <row r="4728" spans="1:8" s="401" customFormat="1" ht="14.25" customHeight="1" x14ac:dyDescent="0.25">
      <c r="A4728" s="564">
        <v>4309</v>
      </c>
      <c r="B4728" s="562" t="s">
        <v>737</v>
      </c>
      <c r="C4728" s="403">
        <v>15400</v>
      </c>
      <c r="D4728" s="400"/>
      <c r="E4728" s="400"/>
      <c r="F4728" s="400"/>
      <c r="G4728" s="400"/>
      <c r="H4728" s="396"/>
    </row>
    <row r="4729" spans="1:8" s="401" customFormat="1" ht="14.25" customHeight="1" x14ac:dyDescent="0.25">
      <c r="A4729" s="564">
        <v>4310</v>
      </c>
      <c r="B4729" s="562" t="s">
        <v>737</v>
      </c>
      <c r="C4729" s="403">
        <v>15400</v>
      </c>
      <c r="D4729" s="400"/>
      <c r="E4729" s="400"/>
      <c r="F4729" s="400"/>
      <c r="G4729" s="400"/>
      <c r="H4729" s="396"/>
    </row>
    <row r="4730" spans="1:8" s="401" customFormat="1" ht="14.25" customHeight="1" x14ac:dyDescent="0.25">
      <c r="A4730" s="564">
        <v>3012</v>
      </c>
      <c r="B4730" s="562" t="s">
        <v>1067</v>
      </c>
      <c r="C4730" s="403">
        <v>1100</v>
      </c>
      <c r="D4730" s="400"/>
      <c r="E4730" s="400"/>
      <c r="F4730" s="400"/>
      <c r="G4730" s="400"/>
      <c r="H4730" s="396"/>
    </row>
    <row r="4731" spans="1:8" s="401" customFormat="1" ht="14.25" customHeight="1" x14ac:dyDescent="0.25">
      <c r="A4731" s="564">
        <v>3014</v>
      </c>
      <c r="B4731" s="562" t="s">
        <v>1068</v>
      </c>
      <c r="C4731" s="403">
        <v>2086</v>
      </c>
      <c r="D4731" s="400"/>
      <c r="E4731" s="400"/>
      <c r="F4731" s="400"/>
      <c r="G4731" s="400"/>
      <c r="H4731" s="396"/>
    </row>
    <row r="4732" spans="1:8" s="401" customFormat="1" ht="14.25" customHeight="1" x14ac:dyDescent="0.25">
      <c r="A4732" s="564">
        <v>3016</v>
      </c>
      <c r="B4732" s="562" t="s">
        <v>1068</v>
      </c>
      <c r="C4732" s="403">
        <v>2086</v>
      </c>
      <c r="D4732" s="400"/>
      <c r="E4732" s="400"/>
      <c r="F4732" s="400"/>
      <c r="G4732" s="400"/>
      <c r="H4732" s="396"/>
    </row>
    <row r="4733" spans="1:8" s="401" customFormat="1" ht="14.25" customHeight="1" x14ac:dyDescent="0.25">
      <c r="A4733" s="564">
        <v>3020</v>
      </c>
      <c r="B4733" s="562" t="s">
        <v>1068</v>
      </c>
      <c r="C4733" s="403">
        <v>2086</v>
      </c>
      <c r="D4733" s="400"/>
      <c r="E4733" s="400"/>
      <c r="F4733" s="400"/>
      <c r="G4733" s="400"/>
      <c r="H4733" s="396"/>
    </row>
    <row r="4734" spans="1:8" s="401" customFormat="1" ht="14.25" customHeight="1" x14ac:dyDescent="0.25">
      <c r="A4734" s="564">
        <v>3023</v>
      </c>
      <c r="B4734" s="562" t="s">
        <v>1068</v>
      </c>
      <c r="C4734" s="403">
        <v>1894</v>
      </c>
      <c r="D4734" s="400"/>
      <c r="E4734" s="400"/>
      <c r="F4734" s="400"/>
      <c r="G4734" s="400"/>
      <c r="H4734" s="396"/>
    </row>
    <row r="4735" spans="1:8" s="401" customFormat="1" ht="14.25" customHeight="1" x14ac:dyDescent="0.25">
      <c r="A4735" s="564">
        <v>3025</v>
      </c>
      <c r="B4735" s="562" t="s">
        <v>1068</v>
      </c>
      <c r="C4735" s="403">
        <v>1894</v>
      </c>
      <c r="D4735" s="400"/>
      <c r="E4735" s="400"/>
      <c r="F4735" s="400"/>
      <c r="G4735" s="400"/>
      <c r="H4735" s="396"/>
    </row>
    <row r="4736" spans="1:8" s="401" customFormat="1" ht="14.25" customHeight="1" x14ac:dyDescent="0.25">
      <c r="A4736" s="564">
        <v>3027</v>
      </c>
      <c r="B4736" s="562" t="s">
        <v>1068</v>
      </c>
      <c r="C4736" s="403">
        <v>1894</v>
      </c>
      <c r="D4736" s="400"/>
      <c r="E4736" s="400"/>
      <c r="F4736" s="400"/>
      <c r="G4736" s="400"/>
      <c r="H4736" s="396"/>
    </row>
    <row r="4737" spans="1:8" s="401" customFormat="1" ht="14.25" customHeight="1" x14ac:dyDescent="0.25">
      <c r="A4737" s="564">
        <v>3061</v>
      </c>
      <c r="B4737" s="562" t="s">
        <v>1069</v>
      </c>
      <c r="C4737" s="403">
        <v>240</v>
      </c>
      <c r="D4737" s="400"/>
      <c r="E4737" s="400"/>
      <c r="F4737" s="400"/>
      <c r="G4737" s="400"/>
      <c r="H4737" s="396"/>
    </row>
    <row r="4738" spans="1:8" s="401" customFormat="1" ht="14.25" customHeight="1" x14ac:dyDescent="0.25">
      <c r="A4738" s="564">
        <v>3063</v>
      </c>
      <c r="B4738" s="562" t="s">
        <v>1069</v>
      </c>
      <c r="C4738" s="403">
        <v>240</v>
      </c>
      <c r="D4738" s="400"/>
      <c r="E4738" s="400"/>
      <c r="F4738" s="400"/>
      <c r="G4738" s="400"/>
      <c r="H4738" s="396"/>
    </row>
    <row r="4739" spans="1:8" s="401" customFormat="1" ht="14.25" customHeight="1" x14ac:dyDescent="0.25">
      <c r="A4739" s="564">
        <v>3625</v>
      </c>
      <c r="B4739" s="562" t="s">
        <v>1070</v>
      </c>
      <c r="C4739" s="403">
        <v>2197.89</v>
      </c>
      <c r="D4739" s="400"/>
      <c r="E4739" s="400"/>
      <c r="F4739" s="400"/>
      <c r="G4739" s="400"/>
      <c r="H4739" s="396"/>
    </row>
    <row r="4740" spans="1:8" s="401" customFormat="1" ht="14.25" customHeight="1" x14ac:dyDescent="0.25">
      <c r="A4740" s="564">
        <v>3875</v>
      </c>
      <c r="B4740" s="562" t="s">
        <v>1063</v>
      </c>
      <c r="C4740" s="403">
        <v>1</v>
      </c>
      <c r="D4740" s="400"/>
      <c r="E4740" s="400"/>
      <c r="F4740" s="400"/>
      <c r="G4740" s="400"/>
      <c r="H4740" s="396"/>
    </row>
    <row r="4741" spans="1:8" s="401" customFormat="1" ht="14.25" customHeight="1" x14ac:dyDescent="0.25">
      <c r="A4741" s="564">
        <v>3908</v>
      </c>
      <c r="B4741" s="562" t="s">
        <v>1070</v>
      </c>
      <c r="C4741" s="403">
        <v>289</v>
      </c>
      <c r="D4741" s="400"/>
      <c r="E4741" s="400"/>
      <c r="F4741" s="400"/>
      <c r="G4741" s="400"/>
      <c r="H4741" s="396"/>
    </row>
    <row r="4742" spans="1:8" s="401" customFormat="1" ht="14.25" customHeight="1" x14ac:dyDescent="0.25">
      <c r="A4742" s="564">
        <v>3912</v>
      </c>
      <c r="B4742" s="562" t="s">
        <v>1066</v>
      </c>
      <c r="C4742" s="403">
        <v>1</v>
      </c>
      <c r="D4742" s="400"/>
      <c r="E4742" s="400"/>
      <c r="F4742" s="400"/>
      <c r="G4742" s="400"/>
      <c r="H4742" s="396"/>
    </row>
    <row r="4743" spans="1:8" s="401" customFormat="1" ht="14.25" customHeight="1" x14ac:dyDescent="0.25">
      <c r="A4743" s="564">
        <v>3923</v>
      </c>
      <c r="B4743" s="562" t="s">
        <v>1071</v>
      </c>
      <c r="C4743" s="403">
        <v>1</v>
      </c>
      <c r="D4743" s="400"/>
      <c r="E4743" s="400"/>
      <c r="F4743" s="400"/>
      <c r="G4743" s="400"/>
      <c r="H4743" s="396"/>
    </row>
    <row r="4744" spans="1:8" s="401" customFormat="1" ht="14.25" customHeight="1" x14ac:dyDescent="0.25">
      <c r="A4744" s="564">
        <v>3967</v>
      </c>
      <c r="B4744" s="562" t="s">
        <v>1070</v>
      </c>
      <c r="C4744" s="403">
        <v>3356.46</v>
      </c>
      <c r="D4744" s="400"/>
      <c r="E4744" s="400"/>
      <c r="F4744" s="400"/>
      <c r="G4744" s="400"/>
      <c r="H4744" s="396"/>
    </row>
    <row r="4745" spans="1:8" s="401" customFormat="1" ht="14.25" customHeight="1" x14ac:dyDescent="0.25">
      <c r="A4745" s="564">
        <v>4004</v>
      </c>
      <c r="B4745" s="562" t="s">
        <v>1072</v>
      </c>
      <c r="C4745" s="403">
        <v>6601</v>
      </c>
      <c r="D4745" s="400"/>
      <c r="E4745" s="400"/>
      <c r="F4745" s="400"/>
      <c r="G4745" s="400"/>
      <c r="H4745" s="396"/>
    </row>
    <row r="4746" spans="1:8" s="401" customFormat="1" ht="14.25" customHeight="1" x14ac:dyDescent="0.25">
      <c r="A4746" s="564">
        <v>4210</v>
      </c>
      <c r="B4746" s="562" t="s">
        <v>1073</v>
      </c>
      <c r="C4746" s="403">
        <v>95236</v>
      </c>
      <c r="D4746" s="400"/>
      <c r="E4746" s="400"/>
      <c r="F4746" s="400"/>
      <c r="G4746" s="400"/>
      <c r="H4746" s="396"/>
    </row>
    <row r="4747" spans="1:8" s="401" customFormat="1" ht="14.25" customHeight="1" x14ac:dyDescent="0.25">
      <c r="A4747" s="564">
        <v>4106</v>
      </c>
      <c r="B4747" s="562" t="s">
        <v>1074</v>
      </c>
      <c r="C4747" s="403">
        <v>1017</v>
      </c>
      <c r="D4747" s="400"/>
      <c r="E4747" s="400"/>
      <c r="F4747" s="400"/>
      <c r="G4747" s="400"/>
      <c r="H4747" s="396"/>
    </row>
    <row r="4748" spans="1:8" s="401" customFormat="1" ht="14.25" customHeight="1" x14ac:dyDescent="0.25">
      <c r="A4748" s="564">
        <v>4247</v>
      </c>
      <c r="B4748" s="562" t="s">
        <v>1065</v>
      </c>
      <c r="C4748" s="403">
        <v>1</v>
      </c>
      <c r="D4748" s="400"/>
      <c r="E4748" s="400"/>
      <c r="F4748" s="400"/>
      <c r="G4748" s="400"/>
      <c r="H4748" s="396"/>
    </row>
    <row r="4749" spans="1:8" s="401" customFormat="1" ht="14.25" customHeight="1" x14ac:dyDescent="0.25">
      <c r="A4749" s="564">
        <v>4248</v>
      </c>
      <c r="B4749" s="562" t="s">
        <v>1075</v>
      </c>
      <c r="C4749" s="403">
        <v>215</v>
      </c>
      <c r="D4749" s="400"/>
      <c r="E4749" s="400"/>
      <c r="F4749" s="400"/>
      <c r="G4749" s="400"/>
      <c r="H4749" s="396"/>
    </row>
    <row r="4750" spans="1:8" s="401" customFormat="1" ht="14.25" customHeight="1" x14ac:dyDescent="0.25">
      <c r="A4750" s="564">
        <v>4251</v>
      </c>
      <c r="B4750" s="562" t="s">
        <v>1076</v>
      </c>
      <c r="C4750" s="403">
        <v>406</v>
      </c>
      <c r="D4750" s="400"/>
      <c r="E4750" s="400"/>
      <c r="F4750" s="400"/>
      <c r="G4750" s="400"/>
      <c r="H4750" s="396"/>
    </row>
    <row r="4751" spans="1:8" s="401" customFormat="1" ht="14.25" customHeight="1" x14ac:dyDescent="0.25">
      <c r="A4751" s="564">
        <v>4290</v>
      </c>
      <c r="B4751" s="562" t="s">
        <v>737</v>
      </c>
      <c r="C4751" s="403">
        <v>1599</v>
      </c>
      <c r="D4751" s="400"/>
      <c r="E4751" s="400"/>
      <c r="F4751" s="400"/>
      <c r="G4751" s="400"/>
      <c r="H4751" s="396"/>
    </row>
    <row r="4752" spans="1:8" s="401" customFormat="1" ht="14.25" customHeight="1" x14ac:dyDescent="0.25">
      <c r="A4752" s="564">
        <v>4293</v>
      </c>
      <c r="B4752" s="562" t="s">
        <v>1065</v>
      </c>
      <c r="C4752" s="403">
        <v>1</v>
      </c>
      <c r="D4752" s="400"/>
      <c r="E4752" s="400"/>
      <c r="F4752" s="400"/>
      <c r="G4752" s="400"/>
      <c r="H4752" s="396"/>
    </row>
    <row r="4753" spans="1:8" s="401" customFormat="1" ht="14.25" customHeight="1" x14ac:dyDescent="0.25">
      <c r="A4753" s="564">
        <v>4299</v>
      </c>
      <c r="B4753" s="562" t="s">
        <v>737</v>
      </c>
      <c r="C4753" s="403">
        <v>7594.98</v>
      </c>
      <c r="D4753" s="400"/>
      <c r="E4753" s="400"/>
      <c r="F4753" s="400"/>
      <c r="G4753" s="400"/>
      <c r="H4753" s="396"/>
    </row>
    <row r="4754" spans="1:8" s="401" customFormat="1" ht="14.25" customHeight="1" x14ac:dyDescent="0.25">
      <c r="A4754" s="564">
        <v>4303</v>
      </c>
      <c r="B4754" s="562" t="s">
        <v>737</v>
      </c>
      <c r="C4754" s="403">
        <v>7594.98</v>
      </c>
      <c r="D4754" s="400"/>
      <c r="E4754" s="400"/>
      <c r="F4754" s="400"/>
      <c r="G4754" s="400"/>
      <c r="H4754" s="396"/>
    </row>
    <row r="4755" spans="1:8" s="401" customFormat="1" ht="14.25" customHeight="1" x14ac:dyDescent="0.25">
      <c r="A4755" s="564">
        <v>4306</v>
      </c>
      <c r="B4755" s="562" t="s">
        <v>737</v>
      </c>
      <c r="C4755" s="403">
        <v>7594.98</v>
      </c>
      <c r="D4755" s="400"/>
      <c r="E4755" s="400"/>
      <c r="F4755" s="400"/>
      <c r="G4755" s="400"/>
      <c r="H4755" s="396"/>
    </row>
    <row r="4756" spans="1:8" s="401" customFormat="1" ht="14.25" customHeight="1" x14ac:dyDescent="0.25">
      <c r="A4756" s="564">
        <v>4308</v>
      </c>
      <c r="B4756" s="562" t="s">
        <v>737</v>
      </c>
      <c r="C4756" s="403">
        <v>7594.98</v>
      </c>
      <c r="D4756" s="400"/>
      <c r="E4756" s="400"/>
      <c r="F4756" s="400"/>
      <c r="G4756" s="400"/>
      <c r="H4756" s="396"/>
    </row>
    <row r="4757" spans="1:8" s="401" customFormat="1" ht="14.25" customHeight="1" x14ac:dyDescent="0.25">
      <c r="A4757" s="564">
        <v>4317</v>
      </c>
      <c r="B4757" s="562" t="s">
        <v>1077</v>
      </c>
      <c r="C4757" s="403">
        <v>13563.08</v>
      </c>
      <c r="D4757" s="400"/>
      <c r="E4757" s="400"/>
      <c r="F4757" s="400"/>
      <c r="G4757" s="400"/>
      <c r="H4757" s="396"/>
    </row>
    <row r="4758" spans="1:8" s="401" customFormat="1" ht="14.25" customHeight="1" x14ac:dyDescent="0.25">
      <c r="A4758" s="564">
        <v>4319</v>
      </c>
      <c r="B4758" s="562" t="s">
        <v>1070</v>
      </c>
      <c r="C4758" s="403">
        <v>553.9</v>
      </c>
      <c r="D4758" s="400"/>
      <c r="E4758" s="400"/>
      <c r="F4758" s="400"/>
      <c r="G4758" s="400"/>
      <c r="H4758" s="396"/>
    </row>
    <row r="4759" spans="1:8" s="401" customFormat="1" ht="14.25" customHeight="1" x14ac:dyDescent="0.25">
      <c r="A4759" s="564">
        <v>4322</v>
      </c>
      <c r="B4759" s="562" t="s">
        <v>1060</v>
      </c>
      <c r="C4759" s="403">
        <v>12359.99</v>
      </c>
      <c r="D4759" s="400"/>
      <c r="E4759" s="400"/>
      <c r="F4759" s="400"/>
      <c r="G4759" s="400"/>
      <c r="H4759" s="396"/>
    </row>
    <row r="4760" spans="1:8" s="401" customFormat="1" ht="14.25" customHeight="1" x14ac:dyDescent="0.25">
      <c r="A4760" s="564">
        <v>4328</v>
      </c>
      <c r="B4760" s="562" t="s">
        <v>1078</v>
      </c>
      <c r="C4760" s="403">
        <v>2309</v>
      </c>
      <c r="D4760" s="400"/>
      <c r="E4760" s="400"/>
      <c r="F4760" s="400"/>
      <c r="G4760" s="400"/>
      <c r="H4760" s="396"/>
    </row>
    <row r="4761" spans="1:8" s="401" customFormat="1" ht="14.25" customHeight="1" x14ac:dyDescent="0.25">
      <c r="A4761" s="564">
        <v>4502</v>
      </c>
      <c r="B4761" s="562" t="s">
        <v>1079</v>
      </c>
      <c r="C4761" s="403">
        <v>877</v>
      </c>
      <c r="D4761" s="400"/>
      <c r="E4761" s="400"/>
      <c r="F4761" s="400"/>
      <c r="G4761" s="400"/>
      <c r="H4761" s="396"/>
    </row>
    <row r="4762" spans="1:8" s="401" customFormat="1" ht="14.25" customHeight="1" x14ac:dyDescent="0.25">
      <c r="A4762" s="564">
        <v>4755</v>
      </c>
      <c r="B4762" s="562" t="s">
        <v>1080</v>
      </c>
      <c r="C4762" s="403">
        <v>216.75</v>
      </c>
      <c r="D4762" s="400"/>
      <c r="E4762" s="400"/>
      <c r="F4762" s="400"/>
      <c r="G4762" s="400"/>
      <c r="H4762" s="396"/>
    </row>
    <row r="4763" spans="1:8" s="401" customFormat="1" ht="14.25" customHeight="1" x14ac:dyDescent="0.25">
      <c r="A4763" s="564">
        <v>4756</v>
      </c>
      <c r="B4763" s="562" t="s">
        <v>1080</v>
      </c>
      <c r="C4763" s="403">
        <v>216.75</v>
      </c>
      <c r="D4763" s="400"/>
      <c r="E4763" s="400"/>
      <c r="F4763" s="400"/>
      <c r="G4763" s="400"/>
      <c r="H4763" s="396"/>
    </row>
    <row r="4764" spans="1:8" s="401" customFormat="1" ht="14.25" customHeight="1" x14ac:dyDescent="0.25">
      <c r="A4764" s="564">
        <v>4758</v>
      </c>
      <c r="B4764" s="562" t="s">
        <v>1080</v>
      </c>
      <c r="C4764" s="403">
        <v>216.75</v>
      </c>
      <c r="D4764" s="400"/>
      <c r="E4764" s="400"/>
      <c r="F4764" s="400"/>
      <c r="G4764" s="400"/>
      <c r="H4764" s="396"/>
    </row>
    <row r="4765" spans="1:8" s="401" customFormat="1" ht="14.25" customHeight="1" x14ac:dyDescent="0.25">
      <c r="A4765" s="564">
        <v>4760</v>
      </c>
      <c r="B4765" s="562" t="s">
        <v>1080</v>
      </c>
      <c r="C4765" s="403">
        <v>216.75</v>
      </c>
      <c r="D4765" s="400"/>
      <c r="E4765" s="400"/>
      <c r="F4765" s="400"/>
      <c r="G4765" s="400"/>
      <c r="H4765" s="396"/>
    </row>
    <row r="4766" spans="1:8" s="401" customFormat="1" ht="14.25" customHeight="1" x14ac:dyDescent="0.25">
      <c r="A4766" s="564">
        <v>3930</v>
      </c>
      <c r="B4766" s="562" t="s">
        <v>1069</v>
      </c>
      <c r="C4766" s="403">
        <v>301.60000000000002</v>
      </c>
      <c r="D4766" s="400"/>
      <c r="E4766" s="400"/>
      <c r="F4766" s="400"/>
      <c r="G4766" s="400"/>
      <c r="H4766" s="396"/>
    </row>
    <row r="4767" spans="1:8" s="401" customFormat="1" ht="14.25" customHeight="1" x14ac:dyDescent="0.25">
      <c r="A4767" s="564">
        <v>3949</v>
      </c>
      <c r="B4767" s="562" t="s">
        <v>1081</v>
      </c>
      <c r="C4767" s="403">
        <v>1898</v>
      </c>
      <c r="D4767" s="400"/>
      <c r="E4767" s="400"/>
      <c r="F4767" s="400"/>
      <c r="G4767" s="400"/>
      <c r="H4767" s="396"/>
    </row>
    <row r="4768" spans="1:8" s="401" customFormat="1" ht="14.25" customHeight="1" x14ac:dyDescent="0.25">
      <c r="A4768" s="564">
        <v>4010</v>
      </c>
      <c r="B4768" s="562" t="s">
        <v>1067</v>
      </c>
      <c r="C4768" s="403">
        <v>1160</v>
      </c>
      <c r="D4768" s="400"/>
      <c r="E4768" s="400"/>
      <c r="F4768" s="400"/>
      <c r="G4768" s="400"/>
      <c r="H4768" s="396"/>
    </row>
    <row r="4769" spans="1:8" s="401" customFormat="1" ht="14.25" customHeight="1" x14ac:dyDescent="0.25">
      <c r="A4769" s="564">
        <v>3657</v>
      </c>
      <c r="B4769" s="562" t="s">
        <v>1059</v>
      </c>
      <c r="C4769" s="403">
        <v>638</v>
      </c>
      <c r="D4769" s="400"/>
      <c r="E4769" s="400"/>
      <c r="F4769" s="400"/>
      <c r="G4769" s="400"/>
      <c r="H4769" s="396"/>
    </row>
    <row r="4770" spans="1:8" s="401" customFormat="1" ht="14.25" customHeight="1" x14ac:dyDescent="0.25">
      <c r="A4770" s="564">
        <v>3659</v>
      </c>
      <c r="B4770" s="562" t="s">
        <v>1059</v>
      </c>
      <c r="C4770" s="403">
        <v>638</v>
      </c>
      <c r="D4770" s="400"/>
      <c r="E4770" s="400"/>
      <c r="F4770" s="400"/>
      <c r="G4770" s="400"/>
      <c r="H4770" s="396"/>
    </row>
    <row r="4771" spans="1:8" s="401" customFormat="1" ht="14.25" customHeight="1" x14ac:dyDescent="0.25">
      <c r="A4771" s="564">
        <v>3661</v>
      </c>
      <c r="B4771" s="562" t="s">
        <v>1059</v>
      </c>
      <c r="C4771" s="403">
        <v>638</v>
      </c>
      <c r="D4771" s="400"/>
      <c r="E4771" s="400"/>
      <c r="F4771" s="400"/>
      <c r="G4771" s="400"/>
      <c r="H4771" s="396"/>
    </row>
    <row r="4772" spans="1:8" s="401" customFormat="1" ht="14.25" customHeight="1" x14ac:dyDescent="0.25">
      <c r="A4772" s="564">
        <v>3663</v>
      </c>
      <c r="B4772" s="562" t="s">
        <v>1059</v>
      </c>
      <c r="C4772" s="403">
        <v>6544</v>
      </c>
      <c r="D4772" s="400"/>
      <c r="E4772" s="400"/>
      <c r="F4772" s="400"/>
      <c r="G4772" s="400"/>
      <c r="H4772" s="396"/>
    </row>
    <row r="4773" spans="1:8" s="401" customFormat="1" ht="14.25" customHeight="1" x14ac:dyDescent="0.25">
      <c r="A4773" s="564">
        <v>3670</v>
      </c>
      <c r="B4773" s="562" t="s">
        <v>1082</v>
      </c>
      <c r="C4773" s="403">
        <v>1414.55</v>
      </c>
      <c r="D4773" s="400"/>
      <c r="E4773" s="400"/>
      <c r="F4773" s="400"/>
      <c r="G4773" s="400"/>
      <c r="H4773" s="396"/>
    </row>
    <row r="4774" spans="1:8" s="401" customFormat="1" ht="14.25" customHeight="1" x14ac:dyDescent="0.25">
      <c r="A4774" s="564">
        <v>4776</v>
      </c>
      <c r="B4774" s="562" t="s">
        <v>1081</v>
      </c>
      <c r="C4774" s="403">
        <v>1006.7</v>
      </c>
      <c r="D4774" s="400"/>
      <c r="E4774" s="400"/>
      <c r="F4774" s="400"/>
      <c r="G4774" s="400"/>
      <c r="H4774" s="396"/>
    </row>
    <row r="4775" spans="1:8" s="401" customFormat="1" ht="14.25" customHeight="1" x14ac:dyDescent="0.25">
      <c r="A4775" s="564">
        <v>4777</v>
      </c>
      <c r="B4775" s="562" t="s">
        <v>1081</v>
      </c>
      <c r="C4775" s="403">
        <v>1006.7</v>
      </c>
      <c r="D4775" s="400"/>
      <c r="E4775" s="400"/>
      <c r="F4775" s="400"/>
      <c r="G4775" s="400"/>
      <c r="H4775" s="396"/>
    </row>
    <row r="4776" spans="1:8" s="401" customFormat="1" ht="14.25" customHeight="1" x14ac:dyDescent="0.25">
      <c r="A4776" s="564">
        <v>3476</v>
      </c>
      <c r="B4776" s="562" t="s">
        <v>1083</v>
      </c>
      <c r="C4776" s="403">
        <v>935</v>
      </c>
      <c r="D4776" s="400"/>
      <c r="E4776" s="400"/>
      <c r="F4776" s="400"/>
      <c r="G4776" s="400"/>
      <c r="H4776" s="396"/>
    </row>
    <row r="4777" spans="1:8" s="401" customFormat="1" ht="14.25" customHeight="1" x14ac:dyDescent="0.25">
      <c r="A4777" s="564">
        <v>3489</v>
      </c>
      <c r="B4777" s="562" t="s">
        <v>1083</v>
      </c>
      <c r="C4777" s="403">
        <v>935</v>
      </c>
      <c r="D4777" s="400"/>
      <c r="E4777" s="400"/>
      <c r="F4777" s="400"/>
      <c r="G4777" s="400"/>
      <c r="H4777" s="396"/>
    </row>
    <row r="4778" spans="1:8" s="401" customFormat="1" ht="14.25" customHeight="1" x14ac:dyDescent="0.25">
      <c r="A4778" s="564">
        <v>3493</v>
      </c>
      <c r="B4778" s="562" t="s">
        <v>1084</v>
      </c>
      <c r="C4778" s="403">
        <v>934.99</v>
      </c>
      <c r="D4778" s="400"/>
      <c r="E4778" s="400"/>
      <c r="F4778" s="400"/>
      <c r="G4778" s="400"/>
      <c r="H4778" s="396"/>
    </row>
    <row r="4779" spans="1:8" s="401" customFormat="1" ht="14.25" customHeight="1" x14ac:dyDescent="0.25">
      <c r="A4779" s="564">
        <v>3638</v>
      </c>
      <c r="B4779" s="562" t="s">
        <v>1085</v>
      </c>
      <c r="C4779" s="403">
        <v>148.94</v>
      </c>
      <c r="D4779" s="400"/>
      <c r="E4779" s="400"/>
      <c r="F4779" s="400"/>
      <c r="G4779" s="400"/>
      <c r="H4779" s="396"/>
    </row>
    <row r="4780" spans="1:8" s="401" customFormat="1" ht="14.25" customHeight="1" x14ac:dyDescent="0.25">
      <c r="A4780" s="564">
        <v>406</v>
      </c>
      <c r="B4780" s="562" t="s">
        <v>1063</v>
      </c>
      <c r="C4780" s="403">
        <v>13827.2</v>
      </c>
      <c r="D4780" s="400"/>
      <c r="E4780" s="400"/>
      <c r="F4780" s="400"/>
      <c r="G4780" s="400"/>
      <c r="H4780" s="396"/>
    </row>
    <row r="4781" spans="1:8" s="401" customFormat="1" ht="14.25" customHeight="1" x14ac:dyDescent="0.25">
      <c r="A4781" s="564">
        <v>474</v>
      </c>
      <c r="B4781" s="562" t="s">
        <v>1048</v>
      </c>
      <c r="C4781" s="403">
        <v>4169</v>
      </c>
      <c r="D4781" s="400"/>
      <c r="E4781" s="400"/>
      <c r="F4781" s="400"/>
      <c r="G4781" s="400"/>
      <c r="H4781" s="396"/>
    </row>
    <row r="4782" spans="1:8" s="401" customFormat="1" ht="14.25" customHeight="1" x14ac:dyDescent="0.25">
      <c r="A4782" s="564">
        <v>1747</v>
      </c>
      <c r="B4782" s="562" t="s">
        <v>1086</v>
      </c>
      <c r="C4782" s="403">
        <v>7700.01</v>
      </c>
      <c r="D4782" s="400"/>
      <c r="E4782" s="400"/>
      <c r="F4782" s="400"/>
      <c r="G4782" s="400"/>
      <c r="H4782" s="396"/>
    </row>
    <row r="4783" spans="1:8" s="401" customFormat="1" ht="14.25" customHeight="1" x14ac:dyDescent="0.25">
      <c r="A4783" s="564">
        <v>1752</v>
      </c>
      <c r="B4783" s="562" t="s">
        <v>1086</v>
      </c>
      <c r="C4783" s="403">
        <v>7700.01</v>
      </c>
      <c r="D4783" s="400"/>
      <c r="E4783" s="400"/>
      <c r="F4783" s="400"/>
      <c r="G4783" s="400"/>
      <c r="H4783" s="396"/>
    </row>
    <row r="4784" spans="1:8" s="401" customFormat="1" ht="14.25" customHeight="1" x14ac:dyDescent="0.25">
      <c r="A4784" s="564">
        <v>1757</v>
      </c>
      <c r="B4784" s="562" t="s">
        <v>1086</v>
      </c>
      <c r="C4784" s="403">
        <v>7700.01</v>
      </c>
      <c r="D4784" s="400"/>
      <c r="E4784" s="400"/>
      <c r="F4784" s="400"/>
      <c r="G4784" s="400"/>
      <c r="H4784" s="396"/>
    </row>
    <row r="4785" spans="1:8" s="401" customFormat="1" ht="14.25" customHeight="1" x14ac:dyDescent="0.25">
      <c r="A4785" s="564">
        <v>3136</v>
      </c>
      <c r="B4785" s="562" t="s">
        <v>737</v>
      </c>
      <c r="C4785" s="403">
        <v>3797.49</v>
      </c>
      <c r="D4785" s="400"/>
      <c r="E4785" s="400"/>
      <c r="F4785" s="400"/>
      <c r="G4785" s="400"/>
      <c r="H4785" s="396"/>
    </row>
    <row r="4786" spans="1:8" s="401" customFormat="1" ht="14.25" customHeight="1" x14ac:dyDescent="0.25">
      <c r="A4786" s="564">
        <v>3140</v>
      </c>
      <c r="B4786" s="562" t="s">
        <v>737</v>
      </c>
      <c r="C4786" s="403">
        <v>3797.49</v>
      </c>
      <c r="D4786" s="400"/>
      <c r="E4786" s="400"/>
      <c r="F4786" s="400"/>
      <c r="G4786" s="400"/>
      <c r="H4786" s="396"/>
    </row>
    <row r="4787" spans="1:8" s="401" customFormat="1" ht="14.25" customHeight="1" x14ac:dyDescent="0.25">
      <c r="A4787" s="564">
        <v>3143</v>
      </c>
      <c r="B4787" s="562" t="s">
        <v>1087</v>
      </c>
      <c r="C4787" s="403">
        <v>4698</v>
      </c>
      <c r="D4787" s="400"/>
      <c r="E4787" s="400"/>
      <c r="F4787" s="400"/>
      <c r="G4787" s="400"/>
      <c r="H4787" s="396"/>
    </row>
    <row r="4788" spans="1:8" s="401" customFormat="1" ht="14.25" customHeight="1" x14ac:dyDescent="0.25">
      <c r="A4788" s="564">
        <v>3146</v>
      </c>
      <c r="B4788" s="562" t="s">
        <v>1087</v>
      </c>
      <c r="C4788" s="403">
        <v>4698</v>
      </c>
      <c r="D4788" s="400"/>
      <c r="E4788" s="400"/>
      <c r="F4788" s="400"/>
      <c r="G4788" s="400"/>
      <c r="H4788" s="396"/>
    </row>
    <row r="4789" spans="1:8" s="401" customFormat="1" ht="14.25" customHeight="1" x14ac:dyDescent="0.25">
      <c r="A4789" s="564">
        <v>3325</v>
      </c>
      <c r="B4789" s="562" t="s">
        <v>1088</v>
      </c>
      <c r="C4789" s="403">
        <v>6950.72</v>
      </c>
      <c r="D4789" s="400"/>
      <c r="E4789" s="400"/>
      <c r="F4789" s="400"/>
      <c r="G4789" s="400"/>
      <c r="H4789" s="396"/>
    </row>
    <row r="4790" spans="1:8" s="401" customFormat="1" ht="14.25" customHeight="1" x14ac:dyDescent="0.25">
      <c r="A4790" s="564">
        <v>206</v>
      </c>
      <c r="B4790" s="562" t="s">
        <v>1049</v>
      </c>
      <c r="C4790" s="403">
        <v>1380</v>
      </c>
      <c r="D4790" s="400"/>
      <c r="E4790" s="400"/>
      <c r="F4790" s="400"/>
      <c r="G4790" s="400"/>
      <c r="H4790" s="396"/>
    </row>
    <row r="4791" spans="1:8" s="401" customFormat="1" ht="14.25" customHeight="1" x14ac:dyDescent="0.25">
      <c r="A4791" s="564">
        <v>234</v>
      </c>
      <c r="B4791" s="562" t="s">
        <v>1089</v>
      </c>
      <c r="C4791" s="403">
        <v>8120</v>
      </c>
      <c r="D4791" s="400"/>
      <c r="E4791" s="400"/>
      <c r="F4791" s="400"/>
      <c r="G4791" s="400"/>
      <c r="H4791" s="396"/>
    </row>
    <row r="4792" spans="1:8" s="401" customFormat="1" ht="14.25" customHeight="1" x14ac:dyDescent="0.25">
      <c r="A4792" s="564">
        <v>240</v>
      </c>
      <c r="B4792" s="562" t="s">
        <v>1090</v>
      </c>
      <c r="C4792" s="403">
        <v>1102</v>
      </c>
      <c r="D4792" s="400"/>
      <c r="E4792" s="400"/>
      <c r="F4792" s="400"/>
      <c r="G4792" s="400"/>
      <c r="H4792" s="396"/>
    </row>
    <row r="4793" spans="1:8" s="401" customFormat="1" ht="14.25" customHeight="1" x14ac:dyDescent="0.25">
      <c r="A4793" s="564">
        <v>261</v>
      </c>
      <c r="B4793" s="562" t="s">
        <v>1067</v>
      </c>
      <c r="C4793" s="403">
        <v>6902</v>
      </c>
      <c r="D4793" s="400"/>
      <c r="E4793" s="400"/>
      <c r="F4793" s="400"/>
      <c r="G4793" s="400"/>
      <c r="H4793" s="396"/>
    </row>
    <row r="4794" spans="1:8" s="401" customFormat="1" ht="14.25" customHeight="1" x14ac:dyDescent="0.25">
      <c r="A4794" s="564">
        <v>303</v>
      </c>
      <c r="B4794" s="562" t="s">
        <v>1063</v>
      </c>
      <c r="C4794" s="403">
        <v>3362.84</v>
      </c>
      <c r="D4794" s="400"/>
      <c r="E4794" s="400"/>
      <c r="F4794" s="400"/>
      <c r="G4794" s="400"/>
      <c r="H4794" s="396"/>
    </row>
    <row r="4795" spans="1:8" s="401" customFormat="1" ht="14.25" customHeight="1" x14ac:dyDescent="0.25">
      <c r="A4795" s="564">
        <v>238</v>
      </c>
      <c r="B4795" s="562" t="s">
        <v>1089</v>
      </c>
      <c r="C4795" s="403">
        <v>8120</v>
      </c>
      <c r="D4795" s="400"/>
      <c r="E4795" s="400"/>
      <c r="F4795" s="400"/>
      <c r="G4795" s="400"/>
      <c r="H4795" s="396"/>
    </row>
    <row r="4796" spans="1:8" s="401" customFormat="1" ht="14.25" customHeight="1" x14ac:dyDescent="0.25">
      <c r="A4796" s="564">
        <v>244</v>
      </c>
      <c r="B4796" s="562" t="s">
        <v>1090</v>
      </c>
      <c r="C4796" s="403">
        <v>1102</v>
      </c>
      <c r="D4796" s="400"/>
      <c r="E4796" s="400"/>
      <c r="F4796" s="400"/>
      <c r="G4796" s="400"/>
      <c r="H4796" s="396"/>
    </row>
    <row r="4797" spans="1:8" s="401" customFormat="1" ht="14.25" customHeight="1" x14ac:dyDescent="0.25">
      <c r="A4797" s="564">
        <v>4456</v>
      </c>
      <c r="B4797" s="562" t="s">
        <v>1091</v>
      </c>
      <c r="C4797" s="403">
        <v>9309</v>
      </c>
      <c r="D4797" s="400"/>
      <c r="E4797" s="400"/>
      <c r="F4797" s="400"/>
      <c r="G4797" s="400"/>
      <c r="H4797" s="396"/>
    </row>
    <row r="4798" spans="1:8" s="401" customFormat="1" ht="14.25" customHeight="1" x14ac:dyDescent="0.25">
      <c r="A4798" s="564">
        <v>4457</v>
      </c>
      <c r="B4798" s="562" t="s">
        <v>1092</v>
      </c>
      <c r="C4798" s="403">
        <v>3422</v>
      </c>
      <c r="D4798" s="400"/>
      <c r="E4798" s="400"/>
      <c r="F4798" s="400"/>
      <c r="G4798" s="400"/>
      <c r="H4798" s="396"/>
    </row>
    <row r="4799" spans="1:8" s="401" customFormat="1" ht="14.25" customHeight="1" x14ac:dyDescent="0.25">
      <c r="A4799" s="564">
        <v>4458</v>
      </c>
      <c r="B4799" s="562" t="s">
        <v>1093</v>
      </c>
      <c r="C4799" s="403">
        <v>3219</v>
      </c>
      <c r="D4799" s="400"/>
      <c r="E4799" s="400"/>
      <c r="F4799" s="400"/>
      <c r="G4799" s="400"/>
      <c r="H4799" s="396"/>
    </row>
    <row r="4800" spans="1:8" s="401" customFormat="1" ht="14.25" customHeight="1" x14ac:dyDescent="0.25">
      <c r="A4800" s="564">
        <v>4459</v>
      </c>
      <c r="B4800" s="562" t="s">
        <v>1094</v>
      </c>
      <c r="C4800" s="403">
        <v>4959</v>
      </c>
      <c r="D4800" s="400"/>
      <c r="E4800" s="400"/>
      <c r="F4800" s="400"/>
      <c r="G4800" s="400"/>
      <c r="H4800" s="396"/>
    </row>
    <row r="4801" spans="1:8" s="401" customFormat="1" ht="14.25" customHeight="1" x14ac:dyDescent="0.25">
      <c r="A4801" s="564">
        <v>4460</v>
      </c>
      <c r="B4801" s="562" t="s">
        <v>1095</v>
      </c>
      <c r="C4801" s="403">
        <v>2001</v>
      </c>
      <c r="D4801" s="400"/>
      <c r="E4801" s="400"/>
      <c r="F4801" s="400"/>
      <c r="G4801" s="400"/>
      <c r="H4801" s="396"/>
    </row>
    <row r="4802" spans="1:8" s="401" customFormat="1" ht="14.25" customHeight="1" x14ac:dyDescent="0.25">
      <c r="A4802" s="564">
        <v>4463</v>
      </c>
      <c r="B4802" s="562" t="s">
        <v>1095</v>
      </c>
      <c r="C4802" s="403">
        <v>1696</v>
      </c>
      <c r="D4802" s="400"/>
      <c r="E4802" s="400"/>
      <c r="F4802" s="400"/>
      <c r="G4802" s="400"/>
      <c r="H4802" s="396"/>
    </row>
    <row r="4803" spans="1:8" s="401" customFormat="1" ht="14.25" customHeight="1" x14ac:dyDescent="0.25">
      <c r="A4803" s="564">
        <v>4464</v>
      </c>
      <c r="B4803" s="562" t="s">
        <v>1096</v>
      </c>
      <c r="C4803" s="403">
        <v>3219</v>
      </c>
      <c r="D4803" s="400"/>
      <c r="E4803" s="400"/>
      <c r="F4803" s="400"/>
      <c r="G4803" s="400"/>
      <c r="H4803" s="396"/>
    </row>
    <row r="4804" spans="1:8" s="401" customFormat="1" ht="14.25" customHeight="1" x14ac:dyDescent="0.25">
      <c r="A4804" s="564">
        <v>4466</v>
      </c>
      <c r="B4804" s="562" t="s">
        <v>1097</v>
      </c>
      <c r="C4804" s="403">
        <v>6177</v>
      </c>
      <c r="D4804" s="400"/>
      <c r="E4804" s="400"/>
      <c r="F4804" s="400"/>
      <c r="G4804" s="400"/>
      <c r="H4804" s="396"/>
    </row>
    <row r="4805" spans="1:8" s="401" customFormat="1" ht="14.25" customHeight="1" x14ac:dyDescent="0.25">
      <c r="A4805" s="564">
        <v>4468</v>
      </c>
      <c r="B4805" s="562" t="s">
        <v>1063</v>
      </c>
      <c r="C4805" s="403">
        <v>4089</v>
      </c>
      <c r="D4805" s="400"/>
      <c r="E4805" s="400"/>
      <c r="F4805" s="400"/>
      <c r="G4805" s="400"/>
      <c r="H4805" s="396"/>
    </row>
    <row r="4806" spans="1:8" s="401" customFormat="1" ht="14.25" customHeight="1" x14ac:dyDescent="0.25">
      <c r="A4806" s="564">
        <v>4470</v>
      </c>
      <c r="B4806" s="562" t="s">
        <v>1074</v>
      </c>
      <c r="C4806" s="403">
        <v>722</v>
      </c>
      <c r="D4806" s="400"/>
      <c r="E4806" s="400"/>
      <c r="F4806" s="400"/>
      <c r="G4806" s="400"/>
      <c r="H4806" s="396"/>
    </row>
    <row r="4807" spans="1:8" s="401" customFormat="1" ht="14.25" customHeight="1" x14ac:dyDescent="0.25">
      <c r="A4807" s="564">
        <v>4471</v>
      </c>
      <c r="B4807" s="562" t="s">
        <v>1074</v>
      </c>
      <c r="C4807" s="403">
        <v>722</v>
      </c>
      <c r="D4807" s="400"/>
      <c r="E4807" s="400"/>
      <c r="F4807" s="400"/>
      <c r="G4807" s="400"/>
      <c r="H4807" s="396"/>
    </row>
    <row r="4808" spans="1:8" s="401" customFormat="1" ht="14.25" customHeight="1" x14ac:dyDescent="0.25">
      <c r="A4808" s="564">
        <v>4472</v>
      </c>
      <c r="B4808" s="562" t="s">
        <v>1074</v>
      </c>
      <c r="C4808" s="403">
        <v>722</v>
      </c>
      <c r="D4808" s="400"/>
      <c r="E4808" s="400"/>
      <c r="F4808" s="400"/>
      <c r="G4808" s="400"/>
      <c r="H4808" s="396"/>
    </row>
    <row r="4809" spans="1:8" s="401" customFormat="1" ht="14.25" customHeight="1" x14ac:dyDescent="0.25">
      <c r="A4809" s="564">
        <v>4473</v>
      </c>
      <c r="B4809" s="562" t="s">
        <v>1098</v>
      </c>
      <c r="C4809" s="403">
        <v>1035</v>
      </c>
      <c r="D4809" s="400"/>
      <c r="E4809" s="400"/>
      <c r="F4809" s="400"/>
      <c r="G4809" s="400"/>
      <c r="H4809" s="396"/>
    </row>
    <row r="4810" spans="1:8" s="401" customFormat="1" ht="14.25" customHeight="1" x14ac:dyDescent="0.25">
      <c r="A4810" s="564">
        <v>4475</v>
      </c>
      <c r="B4810" s="562" t="s">
        <v>1098</v>
      </c>
      <c r="C4810" s="403">
        <v>1035</v>
      </c>
      <c r="D4810" s="400"/>
      <c r="E4810" s="400"/>
      <c r="F4810" s="400"/>
      <c r="G4810" s="400"/>
      <c r="H4810" s="396"/>
    </row>
    <row r="4811" spans="1:8" s="401" customFormat="1" ht="14.25" customHeight="1" x14ac:dyDescent="0.25">
      <c r="A4811" s="564">
        <v>4476</v>
      </c>
      <c r="B4811" s="562" t="s">
        <v>1098</v>
      </c>
      <c r="C4811" s="403">
        <v>1035</v>
      </c>
      <c r="D4811" s="400"/>
      <c r="E4811" s="400"/>
      <c r="F4811" s="400"/>
      <c r="G4811" s="400"/>
      <c r="H4811" s="396"/>
    </row>
    <row r="4812" spans="1:8" s="401" customFormat="1" ht="14.25" customHeight="1" x14ac:dyDescent="0.25">
      <c r="A4812" s="564">
        <v>4477</v>
      </c>
      <c r="B4812" s="562" t="s">
        <v>1098</v>
      </c>
      <c r="C4812" s="403">
        <v>1035</v>
      </c>
      <c r="D4812" s="400"/>
      <c r="E4812" s="400"/>
      <c r="F4812" s="400"/>
      <c r="G4812" s="400"/>
      <c r="H4812" s="396"/>
    </row>
    <row r="4813" spans="1:8" s="401" customFormat="1" ht="14.25" customHeight="1" x14ac:dyDescent="0.25">
      <c r="A4813" s="564">
        <v>4478</v>
      </c>
      <c r="B4813" s="562" t="s">
        <v>1098</v>
      </c>
      <c r="C4813" s="403">
        <v>1035</v>
      </c>
      <c r="D4813" s="400"/>
      <c r="E4813" s="400"/>
      <c r="F4813" s="400"/>
      <c r="G4813" s="400"/>
      <c r="H4813" s="396"/>
    </row>
    <row r="4814" spans="1:8" s="401" customFormat="1" ht="14.25" customHeight="1" x14ac:dyDescent="0.25">
      <c r="A4814" s="564">
        <v>4481</v>
      </c>
      <c r="B4814" s="562" t="s">
        <v>1098</v>
      </c>
      <c r="C4814" s="403">
        <v>1035</v>
      </c>
      <c r="D4814" s="400"/>
      <c r="E4814" s="400"/>
      <c r="F4814" s="400"/>
      <c r="G4814" s="400"/>
      <c r="H4814" s="396"/>
    </row>
    <row r="4815" spans="1:8" s="401" customFormat="1" ht="14.25" customHeight="1" x14ac:dyDescent="0.25">
      <c r="A4815" s="564">
        <v>4483</v>
      </c>
      <c r="B4815" s="562" t="s">
        <v>1098</v>
      </c>
      <c r="C4815" s="403">
        <v>1035</v>
      </c>
      <c r="D4815" s="400"/>
      <c r="E4815" s="400"/>
      <c r="F4815" s="400"/>
      <c r="G4815" s="400"/>
      <c r="H4815" s="396"/>
    </row>
    <row r="4816" spans="1:8" s="401" customFormat="1" ht="14.25" customHeight="1" x14ac:dyDescent="0.25">
      <c r="A4816" s="564">
        <v>3958</v>
      </c>
      <c r="B4816" s="562" t="s">
        <v>1099</v>
      </c>
      <c r="C4816" s="403">
        <v>5060</v>
      </c>
      <c r="D4816" s="400"/>
      <c r="E4816" s="400"/>
      <c r="F4816" s="400"/>
      <c r="G4816" s="400"/>
      <c r="H4816" s="396"/>
    </row>
    <row r="4817" spans="1:8" s="401" customFormat="1" ht="14.25" customHeight="1" x14ac:dyDescent="0.25">
      <c r="A4817" s="564">
        <v>3962</v>
      </c>
      <c r="B4817" s="562" t="s">
        <v>1099</v>
      </c>
      <c r="C4817" s="403">
        <v>5060</v>
      </c>
      <c r="D4817" s="400"/>
      <c r="E4817" s="400"/>
      <c r="F4817" s="400"/>
      <c r="G4817" s="400"/>
      <c r="H4817" s="396"/>
    </row>
    <row r="4818" spans="1:8" s="401" customFormat="1" ht="14.25" customHeight="1" x14ac:dyDescent="0.25">
      <c r="A4818" s="564">
        <v>465</v>
      </c>
      <c r="B4818" s="562" t="s">
        <v>1100</v>
      </c>
      <c r="C4818" s="403">
        <v>430.01</v>
      </c>
      <c r="D4818" s="400"/>
      <c r="E4818" s="400"/>
      <c r="F4818" s="400"/>
      <c r="G4818" s="400"/>
      <c r="H4818" s="396"/>
    </row>
    <row r="4819" spans="1:8" s="401" customFormat="1" ht="14.25" customHeight="1" x14ac:dyDescent="0.25">
      <c r="A4819" s="564">
        <v>4811</v>
      </c>
      <c r="B4819" s="562" t="s">
        <v>1101</v>
      </c>
      <c r="C4819" s="403">
        <v>304.92</v>
      </c>
      <c r="D4819" s="400"/>
      <c r="E4819" s="400"/>
      <c r="F4819" s="400"/>
      <c r="G4819" s="400"/>
      <c r="H4819" s="396"/>
    </row>
    <row r="4820" spans="1:8" s="401" customFormat="1" ht="14.25" customHeight="1" x14ac:dyDescent="0.25">
      <c r="A4820" s="564">
        <v>4814</v>
      </c>
      <c r="B4820" s="562" t="s">
        <v>1101</v>
      </c>
      <c r="C4820" s="403">
        <v>304.92</v>
      </c>
      <c r="D4820" s="400"/>
      <c r="E4820" s="400"/>
      <c r="F4820" s="400"/>
      <c r="G4820" s="400"/>
      <c r="H4820" s="396"/>
    </row>
    <row r="4821" spans="1:8" s="401" customFormat="1" ht="14.25" customHeight="1" x14ac:dyDescent="0.25">
      <c r="A4821" s="564">
        <v>4816</v>
      </c>
      <c r="B4821" s="562" t="s">
        <v>1101</v>
      </c>
      <c r="C4821" s="403">
        <v>304.92</v>
      </c>
      <c r="D4821" s="400"/>
      <c r="E4821" s="400"/>
      <c r="F4821" s="400"/>
      <c r="G4821" s="400"/>
      <c r="H4821" s="396"/>
    </row>
    <row r="4822" spans="1:8" s="401" customFormat="1" ht="14.25" customHeight="1" x14ac:dyDescent="0.25">
      <c r="A4822" s="564">
        <v>4819</v>
      </c>
      <c r="B4822" s="562" t="s">
        <v>1101</v>
      </c>
      <c r="C4822" s="403">
        <v>304.92</v>
      </c>
      <c r="D4822" s="400"/>
      <c r="E4822" s="400"/>
      <c r="F4822" s="400"/>
      <c r="G4822" s="400"/>
      <c r="H4822" s="396"/>
    </row>
    <row r="4823" spans="1:8" s="401" customFormat="1" ht="14.25" customHeight="1" x14ac:dyDescent="0.25">
      <c r="A4823" s="564">
        <v>4822</v>
      </c>
      <c r="B4823" s="562" t="s">
        <v>1101</v>
      </c>
      <c r="C4823" s="403">
        <v>304.92</v>
      </c>
      <c r="D4823" s="400"/>
      <c r="E4823" s="400"/>
      <c r="F4823" s="400"/>
      <c r="G4823" s="400"/>
      <c r="H4823" s="396"/>
    </row>
    <row r="4824" spans="1:8" s="401" customFormat="1" ht="14.25" customHeight="1" x14ac:dyDescent="0.25">
      <c r="A4824" s="564">
        <v>312</v>
      </c>
      <c r="B4824" s="562" t="s">
        <v>1102</v>
      </c>
      <c r="C4824" s="403">
        <v>230</v>
      </c>
      <c r="D4824" s="400"/>
      <c r="E4824" s="400"/>
      <c r="F4824" s="400"/>
      <c r="G4824" s="400"/>
      <c r="H4824" s="396"/>
    </row>
    <row r="4825" spans="1:8" s="401" customFormat="1" ht="14.25" customHeight="1" x14ac:dyDescent="0.25">
      <c r="A4825" s="564">
        <v>320</v>
      </c>
      <c r="B4825" s="562" t="s">
        <v>1102</v>
      </c>
      <c r="C4825" s="403">
        <v>230</v>
      </c>
      <c r="D4825" s="400"/>
      <c r="E4825" s="400"/>
      <c r="F4825" s="400"/>
      <c r="G4825" s="400"/>
      <c r="H4825" s="396"/>
    </row>
    <row r="4826" spans="1:8" s="401" customFormat="1" ht="14.25" customHeight="1" x14ac:dyDescent="0.25">
      <c r="A4826" s="564">
        <v>322</v>
      </c>
      <c r="B4826" s="562" t="s">
        <v>1102</v>
      </c>
      <c r="C4826" s="403">
        <v>230</v>
      </c>
      <c r="D4826" s="400"/>
      <c r="E4826" s="400"/>
      <c r="F4826" s="400"/>
      <c r="G4826" s="400"/>
      <c r="H4826" s="396"/>
    </row>
    <row r="4827" spans="1:8" s="401" customFormat="1" ht="14.25" customHeight="1" x14ac:dyDescent="0.25">
      <c r="A4827" s="564">
        <v>5135</v>
      </c>
      <c r="B4827" s="562" t="s">
        <v>1103</v>
      </c>
      <c r="C4827" s="403">
        <v>429.98</v>
      </c>
      <c r="D4827" s="400"/>
      <c r="E4827" s="400"/>
      <c r="F4827" s="400"/>
      <c r="G4827" s="400"/>
      <c r="H4827" s="396"/>
    </row>
    <row r="4828" spans="1:8" s="401" customFormat="1" ht="14.25" customHeight="1" x14ac:dyDescent="0.25">
      <c r="A4828" s="564">
        <v>1052</v>
      </c>
      <c r="B4828" s="562" t="s">
        <v>1104</v>
      </c>
      <c r="C4828" s="403">
        <v>226</v>
      </c>
      <c r="D4828" s="400"/>
      <c r="E4828" s="400"/>
      <c r="F4828" s="400"/>
      <c r="G4828" s="400"/>
      <c r="H4828" s="396"/>
    </row>
    <row r="4829" spans="1:8" s="401" customFormat="1" ht="14.25" customHeight="1" x14ac:dyDescent="0.25">
      <c r="A4829" s="564">
        <v>3752</v>
      </c>
      <c r="B4829" s="562" t="s">
        <v>1105</v>
      </c>
      <c r="C4829" s="403">
        <v>1</v>
      </c>
      <c r="D4829" s="400"/>
      <c r="E4829" s="400"/>
      <c r="F4829" s="400"/>
      <c r="G4829" s="400"/>
      <c r="H4829" s="396"/>
    </row>
    <row r="4830" spans="1:8" s="401" customFormat="1" ht="14.25" customHeight="1" x14ac:dyDescent="0.25">
      <c r="A4830" s="564">
        <v>3755</v>
      </c>
      <c r="B4830" s="562" t="s">
        <v>1105</v>
      </c>
      <c r="C4830" s="403">
        <v>1</v>
      </c>
      <c r="D4830" s="400"/>
      <c r="E4830" s="400"/>
      <c r="F4830" s="400"/>
      <c r="G4830" s="400"/>
      <c r="H4830" s="396"/>
    </row>
    <row r="4831" spans="1:8" s="401" customFormat="1" ht="14.25" customHeight="1" x14ac:dyDescent="0.25">
      <c r="A4831" s="564">
        <v>3791</v>
      </c>
      <c r="B4831" s="562" t="s">
        <v>1102</v>
      </c>
      <c r="C4831" s="403">
        <v>356</v>
      </c>
      <c r="D4831" s="400"/>
      <c r="E4831" s="400"/>
      <c r="F4831" s="400"/>
      <c r="G4831" s="400"/>
      <c r="H4831" s="396"/>
    </row>
    <row r="4832" spans="1:8" s="401" customFormat="1" ht="14.25" customHeight="1" x14ac:dyDescent="0.25">
      <c r="A4832" s="564">
        <v>4802</v>
      </c>
      <c r="B4832" s="562" t="s">
        <v>1101</v>
      </c>
      <c r="C4832" s="403">
        <v>305</v>
      </c>
      <c r="D4832" s="400"/>
      <c r="E4832" s="400"/>
      <c r="F4832" s="400"/>
      <c r="G4832" s="400"/>
      <c r="H4832" s="396"/>
    </row>
    <row r="4833" spans="1:10" s="401" customFormat="1" ht="14.25" customHeight="1" x14ac:dyDescent="0.25">
      <c r="A4833" s="564">
        <v>220</v>
      </c>
      <c r="B4833" s="562" t="s">
        <v>1106</v>
      </c>
      <c r="C4833" s="403">
        <v>24048</v>
      </c>
      <c r="D4833" s="400"/>
      <c r="E4833" s="400"/>
      <c r="F4833" s="400"/>
      <c r="G4833" s="400"/>
      <c r="H4833" s="396"/>
    </row>
    <row r="4834" spans="1:10" s="401" customFormat="1" ht="14.25" customHeight="1" x14ac:dyDescent="0.25">
      <c r="A4834" s="564">
        <v>4578</v>
      </c>
      <c r="B4834" s="562" t="s">
        <v>865</v>
      </c>
      <c r="C4834" s="403">
        <v>23200</v>
      </c>
      <c r="D4834" s="400"/>
      <c r="E4834" s="400"/>
      <c r="F4834" s="400"/>
      <c r="G4834" s="400"/>
      <c r="H4834" s="396"/>
    </row>
    <row r="4835" spans="1:10" s="401" customFormat="1" ht="14.25" customHeight="1" x14ac:dyDescent="0.25">
      <c r="A4835" s="564">
        <v>90001</v>
      </c>
      <c r="B4835" s="562" t="s">
        <v>2369</v>
      </c>
      <c r="C4835" s="403">
        <v>1893.11</v>
      </c>
      <c r="D4835" s="400"/>
      <c r="E4835" s="400"/>
      <c r="F4835" s="400"/>
      <c r="G4835" s="400"/>
      <c r="H4835" s="396"/>
      <c r="J4835" s="666"/>
    </row>
    <row r="4836" spans="1:10" s="401" customFormat="1" ht="14.25" customHeight="1" x14ac:dyDescent="0.25">
      <c r="A4836" s="564" t="s">
        <v>2327</v>
      </c>
      <c r="B4836" s="562" t="s">
        <v>2365</v>
      </c>
      <c r="C4836" s="403">
        <v>2132.29</v>
      </c>
      <c r="D4836" s="400"/>
      <c r="E4836" s="400"/>
      <c r="F4836" s="400"/>
      <c r="G4836" s="400"/>
      <c r="H4836" s="396"/>
      <c r="J4836" s="666"/>
    </row>
    <row r="4837" spans="1:10" s="401" customFormat="1" ht="14.25" customHeight="1" x14ac:dyDescent="0.25">
      <c r="A4837" s="564" t="s">
        <v>2328</v>
      </c>
      <c r="B4837" s="562" t="s">
        <v>2365</v>
      </c>
      <c r="C4837" s="403">
        <v>2132.29</v>
      </c>
      <c r="D4837" s="400"/>
      <c r="E4837" s="400"/>
      <c r="F4837" s="400"/>
      <c r="G4837" s="400"/>
      <c r="H4837" s="396"/>
      <c r="J4837" s="666"/>
    </row>
    <row r="4838" spans="1:10" s="401" customFormat="1" ht="14.25" customHeight="1" x14ac:dyDescent="0.25">
      <c r="A4838" s="564" t="s">
        <v>2329</v>
      </c>
      <c r="B4838" s="562" t="s">
        <v>2365</v>
      </c>
      <c r="C4838" s="403">
        <v>2132.29</v>
      </c>
      <c r="D4838" s="400"/>
      <c r="E4838" s="400"/>
      <c r="F4838" s="400"/>
      <c r="G4838" s="400"/>
      <c r="H4838" s="396"/>
      <c r="J4838" s="666"/>
    </row>
    <row r="4839" spans="1:10" s="401" customFormat="1" ht="14.25" customHeight="1" x14ac:dyDescent="0.25">
      <c r="A4839" s="564" t="s">
        <v>2330</v>
      </c>
      <c r="B4839" s="562" t="s">
        <v>2365</v>
      </c>
      <c r="C4839" s="403">
        <v>2132.29</v>
      </c>
      <c r="D4839" s="400"/>
      <c r="E4839" s="400"/>
      <c r="F4839" s="400"/>
      <c r="G4839" s="400"/>
      <c r="H4839" s="396"/>
      <c r="J4839" s="666"/>
    </row>
    <row r="4840" spans="1:10" s="401" customFormat="1" ht="14.25" customHeight="1" x14ac:dyDescent="0.25">
      <c r="A4840" s="564" t="s">
        <v>2102</v>
      </c>
      <c r="B4840" s="562" t="s">
        <v>2351</v>
      </c>
      <c r="C4840" s="403">
        <v>2157.6</v>
      </c>
      <c r="D4840" s="400"/>
      <c r="E4840" s="400"/>
      <c r="F4840" s="400"/>
      <c r="G4840" s="400"/>
      <c r="H4840" s="396"/>
      <c r="J4840" s="666"/>
    </row>
    <row r="4841" spans="1:10" s="401" customFormat="1" ht="14.25" customHeight="1" x14ac:dyDescent="0.25">
      <c r="A4841" s="564" t="s">
        <v>2201</v>
      </c>
      <c r="B4841" s="562" t="s">
        <v>2358</v>
      </c>
      <c r="C4841" s="403">
        <v>2200.0100000000002</v>
      </c>
      <c r="D4841" s="400"/>
      <c r="E4841" s="400"/>
      <c r="F4841" s="400"/>
      <c r="G4841" s="400"/>
      <c r="H4841" s="396"/>
      <c r="J4841" s="666"/>
    </row>
    <row r="4842" spans="1:10" s="401" customFormat="1" ht="14.25" customHeight="1" x14ac:dyDescent="0.25">
      <c r="A4842" s="564" t="s">
        <v>2199</v>
      </c>
      <c r="B4842" s="562" t="s">
        <v>2357</v>
      </c>
      <c r="C4842" s="403">
        <v>2775</v>
      </c>
      <c r="D4842" s="400"/>
      <c r="E4842" s="400"/>
      <c r="F4842" s="400"/>
      <c r="G4842" s="400"/>
      <c r="H4842" s="396"/>
      <c r="J4842" s="666"/>
    </row>
    <row r="4843" spans="1:10" s="401" customFormat="1" ht="14.25" customHeight="1" x14ac:dyDescent="0.25">
      <c r="A4843" s="564" t="s">
        <v>2205</v>
      </c>
      <c r="B4843" s="562" t="s">
        <v>2359</v>
      </c>
      <c r="C4843" s="403">
        <v>2795.65</v>
      </c>
      <c r="D4843" s="400"/>
      <c r="E4843" s="400"/>
      <c r="F4843" s="400"/>
      <c r="G4843" s="400"/>
      <c r="H4843" s="396"/>
      <c r="J4843" s="666"/>
    </row>
    <row r="4844" spans="1:10" s="401" customFormat="1" ht="14.25" customHeight="1" x14ac:dyDescent="0.25">
      <c r="A4844" s="564" t="s">
        <v>2204</v>
      </c>
      <c r="B4844" s="562" t="s">
        <v>2359</v>
      </c>
      <c r="C4844" s="403">
        <v>2795.93</v>
      </c>
      <c r="D4844" s="400"/>
      <c r="E4844" s="400"/>
      <c r="F4844" s="400"/>
      <c r="G4844" s="400"/>
      <c r="H4844" s="396"/>
      <c r="J4844" s="666"/>
    </row>
    <row r="4845" spans="1:10" s="401" customFormat="1" ht="14.25" customHeight="1" x14ac:dyDescent="0.25">
      <c r="A4845" s="564">
        <v>90002</v>
      </c>
      <c r="B4845" s="562" t="s">
        <v>2369</v>
      </c>
      <c r="C4845" s="403">
        <v>2839.69</v>
      </c>
      <c r="D4845" s="400"/>
      <c r="E4845" s="400"/>
      <c r="F4845" s="400"/>
      <c r="G4845" s="400"/>
      <c r="H4845" s="396"/>
      <c r="J4845" s="666"/>
    </row>
    <row r="4846" spans="1:10" s="401" customFormat="1" ht="14.25" customHeight="1" x14ac:dyDescent="0.25">
      <c r="A4846" s="564" t="s">
        <v>2206</v>
      </c>
      <c r="B4846" s="562" t="s">
        <v>892</v>
      </c>
      <c r="C4846" s="403">
        <v>2998.99</v>
      </c>
      <c r="D4846" s="400"/>
      <c r="E4846" s="400"/>
      <c r="F4846" s="400"/>
      <c r="G4846" s="400"/>
      <c r="H4846" s="396"/>
      <c r="J4846" s="666"/>
    </row>
    <row r="4847" spans="1:10" s="401" customFormat="1" ht="14.25" customHeight="1" x14ac:dyDescent="0.25">
      <c r="A4847" s="564" t="s">
        <v>2207</v>
      </c>
      <c r="B4847" s="562" t="s">
        <v>892</v>
      </c>
      <c r="C4847" s="403">
        <v>2998.99</v>
      </c>
      <c r="D4847" s="400"/>
      <c r="E4847" s="400"/>
      <c r="F4847" s="400"/>
      <c r="G4847" s="400"/>
      <c r="H4847" s="396"/>
      <c r="J4847" s="666"/>
    </row>
    <row r="4848" spans="1:10" s="401" customFormat="1" ht="14.25" customHeight="1" x14ac:dyDescent="0.25">
      <c r="A4848" s="564" t="s">
        <v>2208</v>
      </c>
      <c r="B4848" s="562" t="s">
        <v>892</v>
      </c>
      <c r="C4848" s="403">
        <v>2998.99</v>
      </c>
      <c r="D4848" s="400"/>
      <c r="E4848" s="400"/>
      <c r="F4848" s="400"/>
      <c r="G4848" s="400"/>
      <c r="H4848" s="396"/>
      <c r="J4848" s="666"/>
    </row>
    <row r="4849" spans="1:10" s="401" customFormat="1" ht="14.25" customHeight="1" x14ac:dyDescent="0.25">
      <c r="A4849" s="564" t="s">
        <v>2209</v>
      </c>
      <c r="B4849" s="562" t="s">
        <v>892</v>
      </c>
      <c r="C4849" s="403">
        <v>2998.99</v>
      </c>
      <c r="D4849" s="400"/>
      <c r="E4849" s="400"/>
      <c r="F4849" s="400"/>
      <c r="G4849" s="400"/>
      <c r="H4849" s="396"/>
      <c r="J4849" s="666"/>
    </row>
    <row r="4850" spans="1:10" s="401" customFormat="1" ht="14.25" customHeight="1" x14ac:dyDescent="0.25">
      <c r="A4850" s="564" t="s">
        <v>2210</v>
      </c>
      <c r="B4850" s="562" t="s">
        <v>892</v>
      </c>
      <c r="C4850" s="403">
        <v>2998.99</v>
      </c>
      <c r="D4850" s="400"/>
      <c r="E4850" s="400"/>
      <c r="F4850" s="400"/>
      <c r="G4850" s="400"/>
      <c r="H4850" s="396"/>
      <c r="J4850" s="666"/>
    </row>
    <row r="4851" spans="1:10" s="401" customFormat="1" ht="14.25" customHeight="1" x14ac:dyDescent="0.25">
      <c r="A4851" s="564" t="s">
        <v>2228</v>
      </c>
      <c r="B4851" s="562" t="s">
        <v>788</v>
      </c>
      <c r="C4851" s="403">
        <v>3249.16</v>
      </c>
      <c r="D4851" s="400"/>
      <c r="E4851" s="400"/>
      <c r="F4851" s="400"/>
      <c r="G4851" s="400"/>
      <c r="H4851" s="396"/>
      <c r="J4851" s="666"/>
    </row>
    <row r="4852" spans="1:10" s="401" customFormat="1" ht="14.25" customHeight="1" x14ac:dyDescent="0.25">
      <c r="A4852" s="564" t="s">
        <v>2229</v>
      </c>
      <c r="B4852" s="562" t="s">
        <v>788</v>
      </c>
      <c r="C4852" s="403">
        <v>3249.16</v>
      </c>
      <c r="D4852" s="400"/>
      <c r="E4852" s="400"/>
      <c r="F4852" s="400"/>
      <c r="G4852" s="400"/>
      <c r="H4852" s="396"/>
      <c r="J4852" s="666"/>
    </row>
    <row r="4853" spans="1:10" s="401" customFormat="1" ht="14.25" customHeight="1" x14ac:dyDescent="0.25">
      <c r="A4853" s="564" t="s">
        <v>2230</v>
      </c>
      <c r="B4853" s="562" t="s">
        <v>788</v>
      </c>
      <c r="C4853" s="403">
        <v>3249.16</v>
      </c>
      <c r="D4853" s="400"/>
      <c r="E4853" s="400"/>
      <c r="F4853" s="400"/>
      <c r="G4853" s="400"/>
      <c r="H4853" s="396"/>
      <c r="J4853" s="666"/>
    </row>
    <row r="4854" spans="1:10" s="401" customFormat="1" ht="14.25" customHeight="1" x14ac:dyDescent="0.25">
      <c r="A4854" s="564" t="s">
        <v>2231</v>
      </c>
      <c r="B4854" s="562" t="s">
        <v>788</v>
      </c>
      <c r="C4854" s="403">
        <v>3249.16</v>
      </c>
      <c r="D4854" s="400"/>
      <c r="E4854" s="400"/>
      <c r="F4854" s="400"/>
      <c r="G4854" s="400"/>
      <c r="H4854" s="396"/>
      <c r="J4854" s="666"/>
    </row>
    <row r="4855" spans="1:10" s="401" customFormat="1" ht="14.25" customHeight="1" x14ac:dyDescent="0.25">
      <c r="A4855" s="564" t="s">
        <v>2232</v>
      </c>
      <c r="B4855" s="562" t="s">
        <v>788</v>
      </c>
      <c r="C4855" s="403">
        <v>3249.16</v>
      </c>
      <c r="D4855" s="400"/>
      <c r="E4855" s="400"/>
      <c r="F4855" s="400"/>
      <c r="G4855" s="400"/>
      <c r="H4855" s="396"/>
      <c r="J4855" s="666"/>
    </row>
    <row r="4856" spans="1:10" s="401" customFormat="1" ht="14.25" customHeight="1" x14ac:dyDescent="0.25">
      <c r="A4856" s="564" t="s">
        <v>2233</v>
      </c>
      <c r="B4856" s="562" t="s">
        <v>788</v>
      </c>
      <c r="C4856" s="403">
        <v>3249.16</v>
      </c>
      <c r="D4856" s="400"/>
      <c r="E4856" s="400"/>
      <c r="F4856" s="400"/>
      <c r="G4856" s="400"/>
      <c r="H4856" s="396"/>
      <c r="J4856" s="666"/>
    </row>
    <row r="4857" spans="1:10" s="401" customFormat="1" ht="14.25" customHeight="1" x14ac:dyDescent="0.25">
      <c r="A4857" s="564" t="s">
        <v>2234</v>
      </c>
      <c r="B4857" s="562" t="s">
        <v>788</v>
      </c>
      <c r="C4857" s="403">
        <v>3249.16</v>
      </c>
      <c r="D4857" s="400"/>
      <c r="E4857" s="400"/>
      <c r="F4857" s="400"/>
      <c r="G4857" s="400"/>
      <c r="H4857" s="396"/>
      <c r="J4857" s="666"/>
    </row>
    <row r="4858" spans="1:10" s="401" customFormat="1" ht="14.25" customHeight="1" x14ac:dyDescent="0.25">
      <c r="A4858" s="564" t="s">
        <v>2235</v>
      </c>
      <c r="B4858" s="562" t="s">
        <v>788</v>
      </c>
      <c r="C4858" s="403">
        <v>3249.16</v>
      </c>
      <c r="D4858" s="400"/>
      <c r="E4858" s="400"/>
      <c r="F4858" s="400"/>
      <c r="G4858" s="400"/>
      <c r="H4858" s="396"/>
      <c r="J4858" s="666"/>
    </row>
    <row r="4859" spans="1:10" s="401" customFormat="1" ht="14.25" customHeight="1" x14ac:dyDescent="0.25">
      <c r="A4859" s="564" t="s">
        <v>2236</v>
      </c>
      <c r="B4859" s="562" t="s">
        <v>788</v>
      </c>
      <c r="C4859" s="403">
        <v>3249.16</v>
      </c>
      <c r="D4859" s="400"/>
      <c r="E4859" s="400"/>
      <c r="F4859" s="400"/>
      <c r="G4859" s="400"/>
      <c r="H4859" s="396"/>
      <c r="J4859" s="666"/>
    </row>
    <row r="4860" spans="1:10" s="401" customFormat="1" ht="14.25" customHeight="1" x14ac:dyDescent="0.25">
      <c r="A4860" s="564" t="s">
        <v>2237</v>
      </c>
      <c r="B4860" s="562" t="s">
        <v>788</v>
      </c>
      <c r="C4860" s="403">
        <v>3249.16</v>
      </c>
      <c r="D4860" s="400"/>
      <c r="E4860" s="400"/>
      <c r="F4860" s="400"/>
      <c r="G4860" s="400"/>
      <c r="H4860" s="396"/>
      <c r="J4860" s="666"/>
    </row>
    <row r="4861" spans="1:10" s="401" customFormat="1" ht="14.25" customHeight="1" x14ac:dyDescent="0.25">
      <c r="A4861" s="564" t="s">
        <v>2324</v>
      </c>
      <c r="B4861" s="562" t="s">
        <v>2364</v>
      </c>
      <c r="C4861" s="403">
        <v>3480</v>
      </c>
      <c r="D4861" s="400"/>
      <c r="E4861" s="400"/>
      <c r="F4861" s="400"/>
      <c r="G4861" s="400"/>
      <c r="H4861" s="396"/>
      <c r="J4861" s="666"/>
    </row>
    <row r="4862" spans="1:10" s="401" customFormat="1" ht="14.25" customHeight="1" x14ac:dyDescent="0.25">
      <c r="A4862" s="564" t="s">
        <v>2325</v>
      </c>
      <c r="B4862" s="562" t="s">
        <v>2364</v>
      </c>
      <c r="C4862" s="403">
        <v>3480</v>
      </c>
      <c r="D4862" s="400"/>
      <c r="E4862" s="400"/>
      <c r="F4862" s="400"/>
      <c r="G4862" s="400"/>
      <c r="H4862" s="396"/>
      <c r="J4862" s="666"/>
    </row>
    <row r="4863" spans="1:10" s="401" customFormat="1" ht="14.25" customHeight="1" x14ac:dyDescent="0.25">
      <c r="A4863" s="564" t="s">
        <v>2326</v>
      </c>
      <c r="B4863" s="562" t="s">
        <v>2364</v>
      </c>
      <c r="C4863" s="403">
        <v>3480</v>
      </c>
      <c r="D4863" s="400"/>
      <c r="E4863" s="400"/>
      <c r="F4863" s="400"/>
      <c r="G4863" s="400"/>
      <c r="H4863" s="396"/>
      <c r="J4863" s="666"/>
    </row>
    <row r="4864" spans="1:10" s="401" customFormat="1" ht="14.25" customHeight="1" x14ac:dyDescent="0.25">
      <c r="A4864" s="564" t="s">
        <v>2320</v>
      </c>
      <c r="B4864" s="562" t="s">
        <v>2364</v>
      </c>
      <c r="C4864" s="403">
        <v>3499</v>
      </c>
      <c r="D4864" s="400"/>
      <c r="E4864" s="400"/>
      <c r="F4864" s="400"/>
      <c r="G4864" s="400"/>
      <c r="H4864" s="396"/>
      <c r="J4864" s="666"/>
    </row>
    <row r="4865" spans="1:10" s="401" customFormat="1" ht="14.25" customHeight="1" x14ac:dyDescent="0.25">
      <c r="A4865" s="564" t="s">
        <v>2321</v>
      </c>
      <c r="B4865" s="562" t="s">
        <v>2364</v>
      </c>
      <c r="C4865" s="403">
        <v>3499</v>
      </c>
      <c r="D4865" s="400"/>
      <c r="E4865" s="400"/>
      <c r="F4865" s="400"/>
      <c r="G4865" s="400"/>
      <c r="H4865" s="396"/>
      <c r="J4865" s="666"/>
    </row>
    <row r="4866" spans="1:10" s="401" customFormat="1" ht="14.25" customHeight="1" x14ac:dyDescent="0.25">
      <c r="A4866" s="564" t="s">
        <v>2322</v>
      </c>
      <c r="B4866" s="562" t="s">
        <v>2364</v>
      </c>
      <c r="C4866" s="403">
        <v>3499</v>
      </c>
      <c r="D4866" s="400"/>
      <c r="E4866" s="400"/>
      <c r="F4866" s="400"/>
      <c r="G4866" s="400"/>
      <c r="H4866" s="396"/>
      <c r="J4866" s="666"/>
    </row>
    <row r="4867" spans="1:10" s="401" customFormat="1" ht="14.25" customHeight="1" x14ac:dyDescent="0.25">
      <c r="A4867" s="564" t="s">
        <v>2323</v>
      </c>
      <c r="B4867" s="562" t="s">
        <v>2364</v>
      </c>
      <c r="C4867" s="403">
        <v>3499</v>
      </c>
      <c r="D4867" s="400"/>
      <c r="E4867" s="400"/>
      <c r="F4867" s="400"/>
      <c r="G4867" s="400"/>
      <c r="H4867" s="396"/>
      <c r="J4867" s="666"/>
    </row>
    <row r="4868" spans="1:10" s="401" customFormat="1" ht="14.25" customHeight="1" x14ac:dyDescent="0.25">
      <c r="A4868" s="564" t="s">
        <v>2246</v>
      </c>
      <c r="B4868" s="562" t="s">
        <v>2361</v>
      </c>
      <c r="C4868" s="403">
        <v>3600.03</v>
      </c>
      <c r="D4868" s="400"/>
      <c r="E4868" s="400"/>
      <c r="F4868" s="400"/>
      <c r="G4868" s="400"/>
      <c r="H4868" s="396"/>
      <c r="J4868" s="666"/>
    </row>
    <row r="4869" spans="1:10" s="401" customFormat="1" ht="14.25" customHeight="1" x14ac:dyDescent="0.25">
      <c r="A4869" s="564" t="s">
        <v>2247</v>
      </c>
      <c r="B4869" s="562" t="s">
        <v>2361</v>
      </c>
      <c r="C4869" s="403">
        <v>3600.03</v>
      </c>
      <c r="D4869" s="400"/>
      <c r="E4869" s="400"/>
      <c r="F4869" s="400"/>
      <c r="G4869" s="400"/>
      <c r="H4869" s="396"/>
      <c r="J4869" s="666"/>
    </row>
    <row r="4870" spans="1:10" s="401" customFormat="1" ht="14.25" customHeight="1" x14ac:dyDescent="0.25">
      <c r="A4870" s="564" t="s">
        <v>2248</v>
      </c>
      <c r="B4870" s="562" t="s">
        <v>2361</v>
      </c>
      <c r="C4870" s="403">
        <v>3600.03</v>
      </c>
      <c r="D4870" s="400"/>
      <c r="E4870" s="400"/>
      <c r="F4870" s="400"/>
      <c r="G4870" s="400"/>
      <c r="H4870" s="396"/>
      <c r="J4870" s="666"/>
    </row>
    <row r="4871" spans="1:10" s="401" customFormat="1" ht="14.25" customHeight="1" x14ac:dyDescent="0.25">
      <c r="A4871" s="564" t="s">
        <v>2249</v>
      </c>
      <c r="B4871" s="562" t="s">
        <v>2361</v>
      </c>
      <c r="C4871" s="403">
        <v>3600.03</v>
      </c>
      <c r="D4871" s="400"/>
      <c r="E4871" s="400"/>
      <c r="F4871" s="400"/>
      <c r="G4871" s="400"/>
      <c r="H4871" s="396"/>
      <c r="J4871" s="666"/>
    </row>
    <row r="4872" spans="1:10" s="401" customFormat="1" ht="14.25" customHeight="1" x14ac:dyDescent="0.25">
      <c r="A4872" s="564" t="s">
        <v>2250</v>
      </c>
      <c r="B4872" s="562" t="s">
        <v>2361</v>
      </c>
      <c r="C4872" s="403">
        <v>3600.03</v>
      </c>
      <c r="D4872" s="400"/>
      <c r="E4872" s="400"/>
      <c r="F4872" s="400"/>
      <c r="G4872" s="400"/>
      <c r="H4872" s="396"/>
      <c r="J4872" s="666"/>
    </row>
    <row r="4873" spans="1:10" s="401" customFormat="1" ht="14.25" customHeight="1" x14ac:dyDescent="0.25">
      <c r="A4873" s="564" t="s">
        <v>2251</v>
      </c>
      <c r="B4873" s="562" t="s">
        <v>2361</v>
      </c>
      <c r="C4873" s="403">
        <v>3600.03</v>
      </c>
      <c r="D4873" s="400"/>
      <c r="E4873" s="400"/>
      <c r="F4873" s="400"/>
      <c r="G4873" s="400"/>
      <c r="H4873" s="396"/>
      <c r="J4873" s="666"/>
    </row>
    <row r="4874" spans="1:10" s="401" customFormat="1" ht="14.25" customHeight="1" x14ac:dyDescent="0.25">
      <c r="A4874" s="564" t="s">
        <v>2238</v>
      </c>
      <c r="B4874" s="562" t="s">
        <v>2361</v>
      </c>
      <c r="C4874" s="403">
        <v>3600.04</v>
      </c>
      <c r="D4874" s="400"/>
      <c r="E4874" s="400"/>
      <c r="F4874" s="400"/>
      <c r="G4874" s="400"/>
      <c r="H4874" s="396"/>
      <c r="J4874" s="666"/>
    </row>
    <row r="4875" spans="1:10" s="401" customFormat="1" ht="14.25" customHeight="1" x14ac:dyDescent="0.25">
      <c r="A4875" s="564" t="s">
        <v>2239</v>
      </c>
      <c r="B4875" s="562" t="s">
        <v>2361</v>
      </c>
      <c r="C4875" s="403">
        <v>3600.04</v>
      </c>
      <c r="D4875" s="400"/>
      <c r="E4875" s="400"/>
      <c r="F4875" s="400"/>
      <c r="G4875" s="400"/>
      <c r="H4875" s="396"/>
      <c r="J4875" s="666"/>
    </row>
    <row r="4876" spans="1:10" s="401" customFormat="1" ht="14.25" customHeight="1" x14ac:dyDescent="0.25">
      <c r="A4876" s="564" t="s">
        <v>2240</v>
      </c>
      <c r="B4876" s="562" t="s">
        <v>2361</v>
      </c>
      <c r="C4876" s="403">
        <v>3600.04</v>
      </c>
      <c r="D4876" s="400"/>
      <c r="E4876" s="400"/>
      <c r="F4876" s="400"/>
      <c r="G4876" s="400"/>
      <c r="H4876" s="396"/>
      <c r="J4876" s="666"/>
    </row>
    <row r="4877" spans="1:10" s="401" customFormat="1" ht="14.25" customHeight="1" x14ac:dyDescent="0.25">
      <c r="A4877" s="564" t="s">
        <v>2241</v>
      </c>
      <c r="B4877" s="562" t="s">
        <v>2361</v>
      </c>
      <c r="C4877" s="403">
        <v>3600.04</v>
      </c>
      <c r="D4877" s="400"/>
      <c r="E4877" s="400"/>
      <c r="F4877" s="400"/>
      <c r="G4877" s="400"/>
      <c r="H4877" s="396"/>
      <c r="J4877" s="666"/>
    </row>
    <row r="4878" spans="1:10" s="401" customFormat="1" ht="14.25" customHeight="1" x14ac:dyDescent="0.25">
      <c r="A4878" s="564" t="s">
        <v>2242</v>
      </c>
      <c r="B4878" s="562" t="s">
        <v>2361</v>
      </c>
      <c r="C4878" s="403">
        <v>3600.04</v>
      </c>
      <c r="D4878" s="400"/>
      <c r="E4878" s="400"/>
      <c r="F4878" s="400"/>
      <c r="G4878" s="400"/>
      <c r="H4878" s="396"/>
      <c r="J4878" s="666"/>
    </row>
    <row r="4879" spans="1:10" s="401" customFormat="1" ht="14.25" customHeight="1" x14ac:dyDescent="0.25">
      <c r="A4879" s="564" t="s">
        <v>2243</v>
      </c>
      <c r="B4879" s="562" t="s">
        <v>2361</v>
      </c>
      <c r="C4879" s="403">
        <v>3600.04</v>
      </c>
      <c r="D4879" s="400"/>
      <c r="E4879" s="400"/>
      <c r="F4879" s="400"/>
      <c r="G4879" s="400"/>
      <c r="H4879" s="396"/>
      <c r="J4879" s="666"/>
    </row>
    <row r="4880" spans="1:10" s="401" customFormat="1" ht="14.25" customHeight="1" x14ac:dyDescent="0.25">
      <c r="A4880" s="564" t="s">
        <v>2244</v>
      </c>
      <c r="B4880" s="562" t="s">
        <v>2361</v>
      </c>
      <c r="C4880" s="403">
        <v>3600.04</v>
      </c>
      <c r="D4880" s="400"/>
      <c r="E4880" s="400"/>
      <c r="F4880" s="400"/>
      <c r="G4880" s="400"/>
      <c r="H4880" s="396"/>
      <c r="J4880" s="666"/>
    </row>
    <row r="4881" spans="1:10" s="401" customFormat="1" ht="14.25" customHeight="1" x14ac:dyDescent="0.25">
      <c r="A4881" s="564" t="s">
        <v>2245</v>
      </c>
      <c r="B4881" s="562" t="s">
        <v>2361</v>
      </c>
      <c r="C4881" s="403">
        <v>3600.04</v>
      </c>
      <c r="D4881" s="400"/>
      <c r="E4881" s="400"/>
      <c r="F4881" s="400"/>
      <c r="G4881" s="400"/>
      <c r="H4881" s="396"/>
      <c r="J4881" s="666"/>
    </row>
    <row r="4882" spans="1:10" s="401" customFormat="1" ht="14.25" customHeight="1" x14ac:dyDescent="0.25">
      <c r="A4882" s="564" t="s">
        <v>2097</v>
      </c>
      <c r="B4882" s="562" t="s">
        <v>907</v>
      </c>
      <c r="C4882" s="403">
        <v>3795</v>
      </c>
      <c r="D4882" s="400"/>
      <c r="E4882" s="400"/>
      <c r="F4882" s="400"/>
      <c r="G4882" s="400"/>
      <c r="H4882" s="396"/>
      <c r="J4882" s="666"/>
    </row>
    <row r="4883" spans="1:10" s="401" customFormat="1" ht="14.25" customHeight="1" x14ac:dyDescent="0.25">
      <c r="A4883" s="564" t="s">
        <v>2098</v>
      </c>
      <c r="B4883" s="562" t="s">
        <v>907</v>
      </c>
      <c r="C4883" s="403">
        <v>3795</v>
      </c>
      <c r="D4883" s="400"/>
      <c r="E4883" s="400"/>
      <c r="F4883" s="400"/>
      <c r="G4883" s="400"/>
      <c r="H4883" s="396"/>
      <c r="J4883" s="666"/>
    </row>
    <row r="4884" spans="1:10" s="401" customFormat="1" ht="14.25" customHeight="1" x14ac:dyDescent="0.25">
      <c r="A4884" s="564" t="s">
        <v>2099</v>
      </c>
      <c r="B4884" s="562" t="s">
        <v>907</v>
      </c>
      <c r="C4884" s="403">
        <v>3795</v>
      </c>
      <c r="D4884" s="400"/>
      <c r="E4884" s="400"/>
      <c r="F4884" s="400"/>
      <c r="G4884" s="400"/>
      <c r="H4884" s="396"/>
      <c r="J4884" s="666"/>
    </row>
    <row r="4885" spans="1:10" s="401" customFormat="1" ht="14.25" customHeight="1" x14ac:dyDescent="0.25">
      <c r="A4885" s="564" t="s">
        <v>2100</v>
      </c>
      <c r="B4885" s="562" t="s">
        <v>907</v>
      </c>
      <c r="C4885" s="403">
        <v>3795</v>
      </c>
      <c r="D4885" s="400"/>
      <c r="E4885" s="400"/>
      <c r="F4885" s="400"/>
      <c r="G4885" s="400"/>
      <c r="H4885" s="396"/>
      <c r="J4885" s="666"/>
    </row>
    <row r="4886" spans="1:10" s="401" customFormat="1" ht="14.25" customHeight="1" x14ac:dyDescent="0.25">
      <c r="A4886" s="564" t="s">
        <v>2195</v>
      </c>
      <c r="B4886" s="562" t="s">
        <v>2356</v>
      </c>
      <c r="C4886" s="403">
        <v>3825</v>
      </c>
      <c r="D4886" s="400"/>
      <c r="E4886" s="400"/>
      <c r="F4886" s="400"/>
      <c r="G4886" s="400"/>
      <c r="H4886" s="396"/>
      <c r="J4886" s="666"/>
    </row>
    <row r="4887" spans="1:10" s="401" customFormat="1" ht="14.25" customHeight="1" x14ac:dyDescent="0.25">
      <c r="A4887" s="564" t="s">
        <v>2082</v>
      </c>
      <c r="B4887" s="562" t="s">
        <v>791</v>
      </c>
      <c r="C4887" s="403">
        <v>4036.8</v>
      </c>
      <c r="D4887" s="400"/>
      <c r="E4887" s="400"/>
      <c r="F4887" s="400"/>
      <c r="G4887" s="400"/>
      <c r="H4887" s="396"/>
      <c r="J4887" s="666"/>
    </row>
    <row r="4888" spans="1:10" s="401" customFormat="1" ht="14.25" customHeight="1" x14ac:dyDescent="0.25">
      <c r="A4888" s="564" t="s">
        <v>2083</v>
      </c>
      <c r="B4888" s="562" t="s">
        <v>791</v>
      </c>
      <c r="C4888" s="403">
        <v>4036.8</v>
      </c>
      <c r="D4888" s="400"/>
      <c r="E4888" s="400"/>
      <c r="F4888" s="400"/>
      <c r="G4888" s="400"/>
      <c r="H4888" s="396"/>
      <c r="J4888" s="666"/>
    </row>
    <row r="4889" spans="1:10" s="401" customFormat="1" ht="14.25" customHeight="1" x14ac:dyDescent="0.25">
      <c r="A4889" s="564" t="s">
        <v>2084</v>
      </c>
      <c r="B4889" s="562" t="s">
        <v>791</v>
      </c>
      <c r="C4889" s="403">
        <v>4036.8</v>
      </c>
      <c r="D4889" s="400"/>
      <c r="E4889" s="400"/>
      <c r="F4889" s="400"/>
      <c r="G4889" s="400"/>
      <c r="H4889" s="396"/>
      <c r="J4889" s="666"/>
    </row>
    <row r="4890" spans="1:10" s="401" customFormat="1" ht="14.25" customHeight="1" x14ac:dyDescent="0.25">
      <c r="A4890" s="564" t="s">
        <v>2085</v>
      </c>
      <c r="B4890" s="562" t="s">
        <v>791</v>
      </c>
      <c r="C4890" s="403">
        <v>4036.8</v>
      </c>
      <c r="D4890" s="400"/>
      <c r="E4890" s="400"/>
      <c r="F4890" s="400"/>
      <c r="G4890" s="400"/>
      <c r="H4890" s="396"/>
      <c r="J4890" s="666"/>
    </row>
    <row r="4891" spans="1:10" s="401" customFormat="1" ht="14.25" customHeight="1" x14ac:dyDescent="0.25">
      <c r="A4891" s="564" t="s">
        <v>2086</v>
      </c>
      <c r="B4891" s="562" t="s">
        <v>791</v>
      </c>
      <c r="C4891" s="403">
        <v>4036.8</v>
      </c>
      <c r="D4891" s="400"/>
      <c r="E4891" s="400"/>
      <c r="F4891" s="400"/>
      <c r="G4891" s="400"/>
      <c r="H4891" s="396"/>
      <c r="J4891" s="666"/>
    </row>
    <row r="4892" spans="1:10" s="401" customFormat="1" ht="14.25" customHeight="1" x14ac:dyDescent="0.25">
      <c r="A4892" s="564" t="s">
        <v>2087</v>
      </c>
      <c r="B4892" s="562" t="s">
        <v>791</v>
      </c>
      <c r="C4892" s="403">
        <v>4036.8</v>
      </c>
      <c r="D4892" s="400"/>
      <c r="E4892" s="400"/>
      <c r="F4892" s="400"/>
      <c r="G4892" s="400"/>
      <c r="H4892" s="396"/>
      <c r="J4892" s="666"/>
    </row>
    <row r="4893" spans="1:10" s="401" customFormat="1" ht="14.25" customHeight="1" x14ac:dyDescent="0.25">
      <c r="A4893" s="564" t="s">
        <v>2103</v>
      </c>
      <c r="B4893" s="562" t="s">
        <v>2352</v>
      </c>
      <c r="C4893" s="403">
        <v>4059.9999999999995</v>
      </c>
      <c r="D4893" s="400"/>
      <c r="E4893" s="400"/>
      <c r="F4893" s="400"/>
      <c r="G4893" s="400"/>
      <c r="H4893" s="396"/>
      <c r="J4893" s="666"/>
    </row>
    <row r="4894" spans="1:10" s="401" customFormat="1" ht="14.25" customHeight="1" x14ac:dyDescent="0.25">
      <c r="A4894" s="564" t="s">
        <v>2088</v>
      </c>
      <c r="B4894" s="562" t="s">
        <v>791</v>
      </c>
      <c r="C4894" s="403">
        <v>4172.5200000000004</v>
      </c>
      <c r="D4894" s="400"/>
      <c r="E4894" s="400"/>
      <c r="F4894" s="400"/>
      <c r="G4894" s="400"/>
      <c r="H4894" s="396"/>
      <c r="J4894" s="666"/>
    </row>
    <row r="4895" spans="1:10" s="401" customFormat="1" ht="14.25" customHeight="1" x14ac:dyDescent="0.25">
      <c r="A4895" s="564" t="s">
        <v>2211</v>
      </c>
      <c r="B4895" s="562" t="s">
        <v>892</v>
      </c>
      <c r="C4895" s="403">
        <v>4229.21</v>
      </c>
      <c r="D4895" s="400"/>
      <c r="E4895" s="400"/>
      <c r="F4895" s="400"/>
      <c r="G4895" s="400"/>
      <c r="H4895" s="396"/>
      <c r="J4895" s="666"/>
    </row>
    <row r="4896" spans="1:10" s="401" customFormat="1" ht="14.25" customHeight="1" x14ac:dyDescent="0.25">
      <c r="A4896" s="564" t="s">
        <v>2212</v>
      </c>
      <c r="B4896" s="562" t="s">
        <v>892</v>
      </c>
      <c r="C4896" s="403">
        <v>4229.21</v>
      </c>
      <c r="D4896" s="400"/>
      <c r="E4896" s="400"/>
      <c r="F4896" s="400"/>
      <c r="G4896" s="400"/>
      <c r="H4896" s="396"/>
      <c r="J4896" s="666"/>
    </row>
    <row r="4897" spans="1:10" s="401" customFormat="1" ht="14.25" customHeight="1" x14ac:dyDescent="0.25">
      <c r="A4897" s="564" t="s">
        <v>2274</v>
      </c>
      <c r="B4897" s="562" t="s">
        <v>877</v>
      </c>
      <c r="C4897" s="403">
        <v>4268.8</v>
      </c>
      <c r="D4897" s="400"/>
      <c r="E4897" s="400"/>
      <c r="F4897" s="400"/>
      <c r="G4897" s="400"/>
      <c r="H4897" s="396"/>
      <c r="J4897" s="666"/>
    </row>
    <row r="4898" spans="1:10" s="401" customFormat="1" ht="14.25" customHeight="1" x14ac:dyDescent="0.25">
      <c r="A4898" s="564" t="s">
        <v>2223</v>
      </c>
      <c r="B4898" s="562" t="s">
        <v>788</v>
      </c>
      <c r="C4898" s="403">
        <v>4297.8</v>
      </c>
      <c r="D4898" s="400"/>
      <c r="E4898" s="400"/>
      <c r="F4898" s="400"/>
      <c r="G4898" s="400"/>
      <c r="H4898" s="396"/>
      <c r="J4898" s="666"/>
    </row>
    <row r="4899" spans="1:10" s="401" customFormat="1" ht="14.25" customHeight="1" x14ac:dyDescent="0.25">
      <c r="A4899" s="564" t="s">
        <v>2224</v>
      </c>
      <c r="B4899" s="562" t="s">
        <v>788</v>
      </c>
      <c r="C4899" s="403">
        <v>4367.3999999999996</v>
      </c>
      <c r="D4899" s="400"/>
      <c r="E4899" s="400"/>
      <c r="F4899" s="400"/>
      <c r="G4899" s="400"/>
      <c r="H4899" s="396"/>
      <c r="J4899" s="666"/>
    </row>
    <row r="4900" spans="1:10" s="401" customFormat="1" ht="14.25" customHeight="1" x14ac:dyDescent="0.25">
      <c r="A4900" s="564" t="s">
        <v>2182</v>
      </c>
      <c r="B4900" s="562" t="s">
        <v>737</v>
      </c>
      <c r="C4900" s="403">
        <v>4424.99</v>
      </c>
      <c r="D4900" s="400"/>
      <c r="E4900" s="400"/>
      <c r="F4900" s="400"/>
      <c r="G4900" s="400"/>
      <c r="H4900" s="396"/>
      <c r="J4900" s="666"/>
    </row>
    <row r="4901" spans="1:10" s="401" customFormat="1" ht="14.25" customHeight="1" x14ac:dyDescent="0.25">
      <c r="A4901" s="564" t="s">
        <v>2331</v>
      </c>
      <c r="B4901" s="562" t="s">
        <v>2366</v>
      </c>
      <c r="C4901" s="403">
        <v>4524</v>
      </c>
      <c r="D4901" s="400"/>
      <c r="E4901" s="400"/>
      <c r="F4901" s="400"/>
      <c r="G4901" s="400"/>
      <c r="H4901" s="396"/>
      <c r="J4901" s="666"/>
    </row>
    <row r="4902" spans="1:10" s="401" customFormat="1" ht="14.25" customHeight="1" x14ac:dyDescent="0.25">
      <c r="A4902" s="564" t="s">
        <v>2332</v>
      </c>
      <c r="B4902" s="562" t="s">
        <v>2366</v>
      </c>
      <c r="C4902" s="403">
        <v>4524</v>
      </c>
      <c r="D4902" s="400"/>
      <c r="E4902" s="400"/>
      <c r="F4902" s="400"/>
      <c r="G4902" s="400"/>
      <c r="H4902" s="396"/>
      <c r="J4902" s="666"/>
    </row>
    <row r="4903" spans="1:10" s="401" customFormat="1" ht="14.25" customHeight="1" x14ac:dyDescent="0.25">
      <c r="A4903" s="564" t="s">
        <v>2333</v>
      </c>
      <c r="B4903" s="562" t="s">
        <v>2366</v>
      </c>
      <c r="C4903" s="403">
        <v>4524</v>
      </c>
      <c r="D4903" s="400"/>
      <c r="E4903" s="400"/>
      <c r="F4903" s="400"/>
      <c r="G4903" s="400"/>
      <c r="H4903" s="396"/>
      <c r="J4903" s="666"/>
    </row>
    <row r="4904" spans="1:10" s="401" customFormat="1" ht="14.25" customHeight="1" x14ac:dyDescent="0.25">
      <c r="A4904" s="564" t="s">
        <v>2334</v>
      </c>
      <c r="B4904" s="562" t="s">
        <v>2366</v>
      </c>
      <c r="C4904" s="403">
        <v>4524</v>
      </c>
      <c r="D4904" s="400"/>
      <c r="E4904" s="400"/>
      <c r="F4904" s="400"/>
      <c r="G4904" s="400"/>
      <c r="H4904" s="396"/>
      <c r="J4904" s="666"/>
    </row>
    <row r="4905" spans="1:10" s="401" customFormat="1" ht="14.25" customHeight="1" x14ac:dyDescent="0.25">
      <c r="A4905" s="564" t="s">
        <v>2080</v>
      </c>
      <c r="B4905" s="562" t="s">
        <v>2349</v>
      </c>
      <c r="C4905" s="403">
        <v>4872</v>
      </c>
      <c r="D4905" s="400"/>
      <c r="E4905" s="400"/>
      <c r="F4905" s="400"/>
      <c r="G4905" s="400"/>
      <c r="H4905" s="396"/>
      <c r="J4905" s="666"/>
    </row>
    <row r="4906" spans="1:10" s="401" customFormat="1" ht="14.25" customHeight="1" x14ac:dyDescent="0.25">
      <c r="A4906" s="564" t="s">
        <v>2181</v>
      </c>
      <c r="B4906" s="562" t="s">
        <v>737</v>
      </c>
      <c r="C4906" s="403">
        <v>5175</v>
      </c>
      <c r="D4906" s="400"/>
      <c r="E4906" s="400"/>
      <c r="F4906" s="400"/>
      <c r="G4906" s="400"/>
      <c r="H4906" s="396"/>
      <c r="J4906" s="666"/>
    </row>
    <row r="4907" spans="1:10" s="401" customFormat="1" ht="14.25" customHeight="1" x14ac:dyDescent="0.25">
      <c r="A4907" s="564" t="s">
        <v>2297</v>
      </c>
      <c r="B4907" s="562" t="s">
        <v>892</v>
      </c>
      <c r="C4907" s="403">
        <v>5220</v>
      </c>
      <c r="D4907" s="400"/>
      <c r="E4907" s="400"/>
      <c r="F4907" s="400"/>
      <c r="G4907" s="400"/>
      <c r="H4907" s="396"/>
      <c r="J4907" s="666"/>
    </row>
    <row r="4908" spans="1:10" s="401" customFormat="1" ht="14.25" customHeight="1" x14ac:dyDescent="0.25">
      <c r="A4908" s="564" t="s">
        <v>2298</v>
      </c>
      <c r="B4908" s="562" t="s">
        <v>892</v>
      </c>
      <c r="C4908" s="403">
        <v>5220</v>
      </c>
      <c r="D4908" s="400"/>
      <c r="E4908" s="400"/>
      <c r="F4908" s="400"/>
      <c r="G4908" s="400"/>
      <c r="H4908" s="396"/>
      <c r="J4908" s="666"/>
    </row>
    <row r="4909" spans="1:10" s="401" customFormat="1" ht="14.25" customHeight="1" x14ac:dyDescent="0.25">
      <c r="A4909" s="564" t="s">
        <v>2299</v>
      </c>
      <c r="B4909" s="562" t="s">
        <v>892</v>
      </c>
      <c r="C4909" s="403">
        <v>5220</v>
      </c>
      <c r="D4909" s="400"/>
      <c r="E4909" s="400"/>
      <c r="F4909" s="400"/>
      <c r="G4909" s="400"/>
      <c r="H4909" s="396"/>
      <c r="J4909" s="666"/>
    </row>
    <row r="4910" spans="1:10" s="401" customFormat="1" ht="14.25" customHeight="1" x14ac:dyDescent="0.25">
      <c r="A4910" s="564" t="s">
        <v>2300</v>
      </c>
      <c r="B4910" s="562" t="s">
        <v>892</v>
      </c>
      <c r="C4910" s="403">
        <v>5220</v>
      </c>
      <c r="D4910" s="400"/>
      <c r="E4910" s="400"/>
      <c r="F4910" s="400"/>
      <c r="G4910" s="400"/>
      <c r="H4910" s="396"/>
      <c r="J4910" s="666"/>
    </row>
    <row r="4911" spans="1:10" s="401" customFormat="1" ht="14.25" customHeight="1" x14ac:dyDescent="0.25">
      <c r="A4911" s="564" t="s">
        <v>2301</v>
      </c>
      <c r="B4911" s="562" t="s">
        <v>892</v>
      </c>
      <c r="C4911" s="403">
        <v>5220</v>
      </c>
      <c r="D4911" s="400"/>
      <c r="E4911" s="400"/>
      <c r="F4911" s="400"/>
      <c r="G4911" s="400"/>
      <c r="H4911" s="396"/>
      <c r="J4911" s="666"/>
    </row>
    <row r="4912" spans="1:10" s="401" customFormat="1" ht="14.25" customHeight="1" x14ac:dyDescent="0.25">
      <c r="A4912" s="564" t="s">
        <v>2302</v>
      </c>
      <c r="B4912" s="562" t="s">
        <v>892</v>
      </c>
      <c r="C4912" s="403">
        <v>5220</v>
      </c>
      <c r="D4912" s="400"/>
      <c r="E4912" s="400"/>
      <c r="F4912" s="400"/>
      <c r="G4912" s="400"/>
      <c r="H4912" s="396"/>
      <c r="J4912" s="666"/>
    </row>
    <row r="4913" spans="1:10" s="401" customFormat="1" ht="14.25" customHeight="1" x14ac:dyDescent="0.25">
      <c r="A4913" s="564" t="s">
        <v>2303</v>
      </c>
      <c r="B4913" s="562" t="s">
        <v>892</v>
      </c>
      <c r="C4913" s="403">
        <v>5220</v>
      </c>
      <c r="D4913" s="400"/>
      <c r="E4913" s="400"/>
      <c r="F4913" s="400"/>
      <c r="G4913" s="400"/>
      <c r="H4913" s="396"/>
      <c r="J4913" s="666"/>
    </row>
    <row r="4914" spans="1:10" s="401" customFormat="1" ht="14.25" customHeight="1" x14ac:dyDescent="0.25">
      <c r="A4914" s="564" t="s">
        <v>2304</v>
      </c>
      <c r="B4914" s="562" t="s">
        <v>892</v>
      </c>
      <c r="C4914" s="403">
        <v>5220</v>
      </c>
      <c r="D4914" s="400"/>
      <c r="E4914" s="400"/>
      <c r="F4914" s="400"/>
      <c r="G4914" s="400"/>
      <c r="H4914" s="396"/>
      <c r="J4914" s="666"/>
    </row>
    <row r="4915" spans="1:10" s="401" customFormat="1" ht="14.25" customHeight="1" x14ac:dyDescent="0.25">
      <c r="A4915" s="564" t="s">
        <v>2305</v>
      </c>
      <c r="B4915" s="562" t="s">
        <v>892</v>
      </c>
      <c r="C4915" s="403">
        <v>5220</v>
      </c>
      <c r="D4915" s="400"/>
      <c r="E4915" s="400"/>
      <c r="F4915" s="400"/>
      <c r="G4915" s="400"/>
      <c r="H4915" s="396"/>
      <c r="J4915" s="666"/>
    </row>
    <row r="4916" spans="1:10" s="401" customFormat="1" ht="14.25" customHeight="1" x14ac:dyDescent="0.25">
      <c r="A4916" s="564" t="s">
        <v>2306</v>
      </c>
      <c r="B4916" s="562" t="s">
        <v>892</v>
      </c>
      <c r="C4916" s="403">
        <v>5220</v>
      </c>
      <c r="D4916" s="400"/>
      <c r="E4916" s="400"/>
      <c r="F4916" s="400"/>
      <c r="G4916" s="400"/>
      <c r="H4916" s="396"/>
      <c r="J4916" s="666"/>
    </row>
    <row r="4917" spans="1:10" s="401" customFormat="1" ht="14.25" customHeight="1" x14ac:dyDescent="0.25">
      <c r="A4917" s="564" t="s">
        <v>2091</v>
      </c>
      <c r="B4917" s="562" t="s">
        <v>907</v>
      </c>
      <c r="C4917" s="403">
        <v>5800</v>
      </c>
      <c r="D4917" s="400"/>
      <c r="E4917" s="400"/>
      <c r="F4917" s="400"/>
      <c r="G4917" s="400"/>
      <c r="H4917" s="396"/>
      <c r="J4917" s="666"/>
    </row>
    <row r="4918" spans="1:10" s="401" customFormat="1" ht="14.25" customHeight="1" x14ac:dyDescent="0.25">
      <c r="A4918" s="564" t="s">
        <v>2092</v>
      </c>
      <c r="B4918" s="562" t="s">
        <v>907</v>
      </c>
      <c r="C4918" s="403">
        <v>5800</v>
      </c>
      <c r="D4918" s="400"/>
      <c r="E4918" s="400"/>
      <c r="F4918" s="400"/>
      <c r="G4918" s="400"/>
      <c r="H4918" s="396"/>
      <c r="J4918" s="666"/>
    </row>
    <row r="4919" spans="1:10" s="401" customFormat="1" ht="14.25" customHeight="1" x14ac:dyDescent="0.25">
      <c r="A4919" s="564" t="s">
        <v>2093</v>
      </c>
      <c r="B4919" s="562" t="s">
        <v>907</v>
      </c>
      <c r="C4919" s="403">
        <v>5800</v>
      </c>
      <c r="D4919" s="400"/>
      <c r="E4919" s="400"/>
      <c r="F4919" s="400"/>
      <c r="G4919" s="400"/>
      <c r="H4919" s="396"/>
      <c r="J4919" s="666"/>
    </row>
    <row r="4920" spans="1:10" s="401" customFormat="1" ht="14.25" customHeight="1" x14ac:dyDescent="0.25">
      <c r="A4920" s="564" t="s">
        <v>2187</v>
      </c>
      <c r="B4920" s="562" t="s">
        <v>2353</v>
      </c>
      <c r="C4920" s="403">
        <v>5999</v>
      </c>
      <c r="D4920" s="400"/>
      <c r="E4920" s="400"/>
      <c r="F4920" s="400"/>
      <c r="G4920" s="400"/>
      <c r="H4920" s="396"/>
      <c r="J4920" s="666"/>
    </row>
    <row r="4921" spans="1:10" s="401" customFormat="1" ht="14.25" customHeight="1" x14ac:dyDescent="0.25">
      <c r="A4921" s="564" t="s">
        <v>2188</v>
      </c>
      <c r="B4921" s="562" t="s">
        <v>2353</v>
      </c>
      <c r="C4921" s="403">
        <v>5999</v>
      </c>
      <c r="D4921" s="400"/>
      <c r="E4921" s="400"/>
      <c r="F4921" s="400"/>
      <c r="G4921" s="400"/>
      <c r="H4921" s="396"/>
      <c r="J4921" s="666"/>
    </row>
    <row r="4922" spans="1:10" s="401" customFormat="1" ht="14.25" customHeight="1" x14ac:dyDescent="0.25">
      <c r="A4922" s="564" t="s">
        <v>2189</v>
      </c>
      <c r="B4922" s="562" t="s">
        <v>2353</v>
      </c>
      <c r="C4922" s="403">
        <v>5999</v>
      </c>
      <c r="D4922" s="400"/>
      <c r="E4922" s="400"/>
      <c r="F4922" s="400"/>
      <c r="G4922" s="400"/>
      <c r="H4922" s="396"/>
      <c r="J4922" s="666"/>
    </row>
    <row r="4923" spans="1:10" s="401" customFormat="1" ht="14.25" customHeight="1" x14ac:dyDescent="0.25">
      <c r="A4923" s="564" t="s">
        <v>2190</v>
      </c>
      <c r="B4923" s="562" t="s">
        <v>2353</v>
      </c>
      <c r="C4923" s="403">
        <v>5999</v>
      </c>
      <c r="D4923" s="400"/>
      <c r="E4923" s="400"/>
      <c r="F4923" s="400"/>
      <c r="G4923" s="400"/>
      <c r="H4923" s="396"/>
      <c r="J4923" s="666"/>
    </row>
    <row r="4924" spans="1:10" s="401" customFormat="1" ht="14.25" customHeight="1" x14ac:dyDescent="0.25">
      <c r="A4924" s="564" t="s">
        <v>2191</v>
      </c>
      <c r="B4924" s="562" t="s">
        <v>2353</v>
      </c>
      <c r="C4924" s="403">
        <v>5999</v>
      </c>
      <c r="D4924" s="400"/>
      <c r="E4924" s="400"/>
      <c r="F4924" s="400"/>
      <c r="G4924" s="400"/>
      <c r="H4924" s="396"/>
      <c r="J4924" s="666"/>
    </row>
    <row r="4925" spans="1:10" s="401" customFormat="1" ht="14.25" customHeight="1" x14ac:dyDescent="0.25">
      <c r="A4925" s="564" t="s">
        <v>2192</v>
      </c>
      <c r="B4925" s="562" t="s">
        <v>2353</v>
      </c>
      <c r="C4925" s="403">
        <v>5999</v>
      </c>
      <c r="D4925" s="400"/>
      <c r="E4925" s="400"/>
      <c r="F4925" s="400"/>
      <c r="G4925" s="400"/>
      <c r="H4925" s="396"/>
      <c r="J4925" s="666"/>
    </row>
    <row r="4926" spans="1:10" s="401" customFormat="1" ht="14.25" customHeight="1" x14ac:dyDescent="0.25">
      <c r="A4926" s="564" t="s">
        <v>2193</v>
      </c>
      <c r="B4926" s="562" t="s">
        <v>2353</v>
      </c>
      <c r="C4926" s="403">
        <v>5999</v>
      </c>
      <c r="D4926" s="400"/>
      <c r="E4926" s="400"/>
      <c r="F4926" s="400"/>
      <c r="G4926" s="400"/>
      <c r="H4926" s="396"/>
      <c r="J4926" s="666"/>
    </row>
    <row r="4927" spans="1:10" s="401" customFormat="1" ht="14.25" customHeight="1" x14ac:dyDescent="0.25">
      <c r="A4927" s="564" t="s">
        <v>2318</v>
      </c>
      <c r="B4927" s="562" t="s">
        <v>2363</v>
      </c>
      <c r="C4927" s="403">
        <v>6008.8</v>
      </c>
      <c r="D4927" s="400"/>
      <c r="E4927" s="400"/>
      <c r="F4927" s="400"/>
      <c r="G4927" s="400"/>
      <c r="H4927" s="396"/>
      <c r="J4927" s="666"/>
    </row>
    <row r="4928" spans="1:10" s="401" customFormat="1" ht="14.25" customHeight="1" x14ac:dyDescent="0.25">
      <c r="A4928" s="564" t="s">
        <v>2319</v>
      </c>
      <c r="B4928" s="562" t="s">
        <v>2363</v>
      </c>
      <c r="C4928" s="403">
        <v>6008.8</v>
      </c>
      <c r="D4928" s="400"/>
      <c r="E4928" s="400"/>
      <c r="F4928" s="400"/>
      <c r="G4928" s="400"/>
      <c r="H4928" s="396"/>
      <c r="J4928" s="666"/>
    </row>
    <row r="4929" spans="1:10" s="401" customFormat="1" ht="14.25" customHeight="1" x14ac:dyDescent="0.25">
      <c r="A4929" s="564" t="s">
        <v>2213</v>
      </c>
      <c r="B4929" s="562" t="s">
        <v>892</v>
      </c>
      <c r="C4929" s="403">
        <v>6090</v>
      </c>
      <c r="D4929" s="400"/>
      <c r="E4929" s="400"/>
      <c r="F4929" s="400"/>
      <c r="G4929" s="400"/>
      <c r="H4929" s="396"/>
      <c r="J4929" s="666"/>
    </row>
    <row r="4930" spans="1:10" s="401" customFormat="1" ht="14.25" customHeight="1" x14ac:dyDescent="0.25">
      <c r="A4930" s="564" t="s">
        <v>2094</v>
      </c>
      <c r="B4930" s="562" t="s">
        <v>907</v>
      </c>
      <c r="C4930" s="403">
        <v>6500</v>
      </c>
      <c r="D4930" s="400"/>
      <c r="E4930" s="400"/>
      <c r="F4930" s="400"/>
      <c r="G4930" s="400"/>
      <c r="H4930" s="396"/>
      <c r="J4930" s="666"/>
    </row>
    <row r="4931" spans="1:10" s="401" customFormat="1" ht="14.25" customHeight="1" x14ac:dyDescent="0.25">
      <c r="A4931" s="564" t="s">
        <v>2095</v>
      </c>
      <c r="B4931" s="562" t="s">
        <v>907</v>
      </c>
      <c r="C4931" s="403">
        <v>6500</v>
      </c>
      <c r="D4931" s="400"/>
      <c r="E4931" s="400"/>
      <c r="F4931" s="400"/>
      <c r="G4931" s="400"/>
      <c r="H4931" s="396"/>
      <c r="J4931" s="666"/>
    </row>
    <row r="4932" spans="1:10" s="401" customFormat="1" ht="14.25" customHeight="1" x14ac:dyDescent="0.25">
      <c r="A4932" s="564" t="s">
        <v>2096</v>
      </c>
      <c r="B4932" s="562" t="s">
        <v>907</v>
      </c>
      <c r="C4932" s="403">
        <v>6500</v>
      </c>
      <c r="D4932" s="400"/>
      <c r="E4932" s="400"/>
      <c r="F4932" s="400"/>
      <c r="G4932" s="400"/>
      <c r="H4932" s="396"/>
      <c r="J4932" s="666"/>
    </row>
    <row r="4933" spans="1:10" s="401" customFormat="1" ht="14.25" customHeight="1" x14ac:dyDescent="0.25">
      <c r="A4933" s="564" t="s">
        <v>2257</v>
      </c>
      <c r="B4933" s="562" t="s">
        <v>877</v>
      </c>
      <c r="C4933" s="403">
        <v>6728</v>
      </c>
      <c r="D4933" s="400"/>
      <c r="E4933" s="400"/>
      <c r="F4933" s="400"/>
      <c r="G4933" s="400"/>
      <c r="H4933" s="396"/>
      <c r="J4933" s="666"/>
    </row>
    <row r="4934" spans="1:10" s="401" customFormat="1" ht="14.25" customHeight="1" x14ac:dyDescent="0.25">
      <c r="A4934" s="564" t="s">
        <v>2258</v>
      </c>
      <c r="B4934" s="562" t="s">
        <v>877</v>
      </c>
      <c r="C4934" s="403">
        <v>6728</v>
      </c>
      <c r="D4934" s="400"/>
      <c r="E4934" s="400"/>
      <c r="F4934" s="400"/>
      <c r="G4934" s="400"/>
      <c r="H4934" s="396"/>
      <c r="J4934" s="666"/>
    </row>
    <row r="4935" spans="1:10" s="401" customFormat="1" ht="14.25" customHeight="1" x14ac:dyDescent="0.25">
      <c r="A4935" s="564" t="s">
        <v>2265</v>
      </c>
      <c r="B4935" s="562" t="s">
        <v>877</v>
      </c>
      <c r="C4935" s="403">
        <v>6728</v>
      </c>
      <c r="D4935" s="400"/>
      <c r="E4935" s="400"/>
      <c r="F4935" s="400"/>
      <c r="G4935" s="400"/>
      <c r="H4935" s="396"/>
      <c r="J4935" s="666"/>
    </row>
    <row r="4936" spans="1:10" s="401" customFormat="1" ht="14.25" customHeight="1" x14ac:dyDescent="0.25">
      <c r="A4936" s="564" t="s">
        <v>2266</v>
      </c>
      <c r="B4936" s="562" t="s">
        <v>877</v>
      </c>
      <c r="C4936" s="403">
        <v>6728</v>
      </c>
      <c r="D4936" s="400"/>
      <c r="E4936" s="400"/>
      <c r="F4936" s="400"/>
      <c r="G4936" s="400"/>
      <c r="H4936" s="396"/>
      <c r="J4936" s="666"/>
    </row>
    <row r="4937" spans="1:10" s="401" customFormat="1" ht="14.25" customHeight="1" x14ac:dyDescent="0.25">
      <c r="A4937" s="564" t="s">
        <v>2267</v>
      </c>
      <c r="B4937" s="562" t="s">
        <v>877</v>
      </c>
      <c r="C4937" s="403">
        <v>6728</v>
      </c>
      <c r="D4937" s="400"/>
      <c r="E4937" s="400"/>
      <c r="F4937" s="400"/>
      <c r="G4937" s="400"/>
      <c r="H4937" s="396"/>
      <c r="J4937" s="666"/>
    </row>
    <row r="4938" spans="1:10" s="401" customFormat="1" ht="14.25" customHeight="1" x14ac:dyDescent="0.25">
      <c r="A4938" s="564" t="s">
        <v>2268</v>
      </c>
      <c r="B4938" s="562" t="s">
        <v>877</v>
      </c>
      <c r="C4938" s="403">
        <v>6728</v>
      </c>
      <c r="D4938" s="400"/>
      <c r="E4938" s="400"/>
      <c r="F4938" s="400"/>
      <c r="G4938" s="400"/>
      <c r="H4938" s="396"/>
      <c r="J4938" s="666"/>
    </row>
    <row r="4939" spans="1:10" s="401" customFormat="1" ht="14.25" customHeight="1" x14ac:dyDescent="0.25">
      <c r="A4939" s="564" t="s">
        <v>2259</v>
      </c>
      <c r="B4939" s="562" t="s">
        <v>877</v>
      </c>
      <c r="C4939" s="403">
        <v>6878.8</v>
      </c>
      <c r="D4939" s="400"/>
      <c r="E4939" s="400"/>
      <c r="F4939" s="400"/>
      <c r="G4939" s="400"/>
      <c r="H4939" s="396"/>
      <c r="J4939" s="666"/>
    </row>
    <row r="4940" spans="1:10" s="401" customFormat="1" ht="14.25" customHeight="1" x14ac:dyDescent="0.25">
      <c r="A4940" s="564" t="s">
        <v>2260</v>
      </c>
      <c r="B4940" s="562" t="s">
        <v>877</v>
      </c>
      <c r="C4940" s="403">
        <v>6878.8</v>
      </c>
      <c r="D4940" s="400"/>
      <c r="E4940" s="400"/>
      <c r="F4940" s="400"/>
      <c r="G4940" s="400"/>
      <c r="H4940" s="396"/>
      <c r="J4940" s="666"/>
    </row>
    <row r="4941" spans="1:10" s="401" customFormat="1" ht="14.25" customHeight="1" x14ac:dyDescent="0.25">
      <c r="A4941" s="564" t="s">
        <v>2261</v>
      </c>
      <c r="B4941" s="562" t="s">
        <v>877</v>
      </c>
      <c r="C4941" s="403">
        <v>6878.8</v>
      </c>
      <c r="D4941" s="400"/>
      <c r="E4941" s="400"/>
      <c r="F4941" s="400"/>
      <c r="G4941" s="400"/>
      <c r="H4941" s="396"/>
      <c r="J4941" s="666"/>
    </row>
    <row r="4942" spans="1:10" s="401" customFormat="1" ht="14.25" customHeight="1" x14ac:dyDescent="0.25">
      <c r="A4942" s="564" t="s">
        <v>2262</v>
      </c>
      <c r="B4942" s="562" t="s">
        <v>877</v>
      </c>
      <c r="C4942" s="403">
        <v>6878.8</v>
      </c>
      <c r="D4942" s="400"/>
      <c r="E4942" s="400"/>
      <c r="F4942" s="400"/>
      <c r="G4942" s="400"/>
      <c r="H4942" s="396"/>
      <c r="J4942" s="666"/>
    </row>
    <row r="4943" spans="1:10" s="401" customFormat="1" ht="14.25" customHeight="1" x14ac:dyDescent="0.25">
      <c r="A4943" s="564" t="s">
        <v>2263</v>
      </c>
      <c r="B4943" s="562" t="s">
        <v>877</v>
      </c>
      <c r="C4943" s="403">
        <v>6878.8</v>
      </c>
      <c r="D4943" s="400"/>
      <c r="E4943" s="400"/>
      <c r="F4943" s="400"/>
      <c r="G4943" s="400"/>
      <c r="H4943" s="396"/>
      <c r="J4943" s="666"/>
    </row>
    <row r="4944" spans="1:10" s="401" customFormat="1" ht="14.25" customHeight="1" x14ac:dyDescent="0.25">
      <c r="A4944" s="564" t="s">
        <v>2264</v>
      </c>
      <c r="B4944" s="562" t="s">
        <v>877</v>
      </c>
      <c r="C4944" s="403">
        <v>6878.8</v>
      </c>
      <c r="D4944" s="400"/>
      <c r="E4944" s="400"/>
      <c r="F4944" s="400"/>
      <c r="G4944" s="400"/>
      <c r="H4944" s="396"/>
      <c r="J4944" s="666"/>
    </row>
    <row r="4945" spans="1:10" s="401" customFormat="1" ht="14.25" customHeight="1" x14ac:dyDescent="0.25">
      <c r="A4945" s="564" t="s">
        <v>2220</v>
      </c>
      <c r="B4945" s="562" t="s">
        <v>788</v>
      </c>
      <c r="C4945" s="403">
        <v>6934.48</v>
      </c>
      <c r="D4945" s="400"/>
      <c r="E4945" s="400"/>
      <c r="F4945" s="400"/>
      <c r="G4945" s="400"/>
      <c r="H4945" s="396"/>
      <c r="J4945" s="666"/>
    </row>
    <row r="4946" spans="1:10" s="401" customFormat="1" ht="14.25" customHeight="1" x14ac:dyDescent="0.25">
      <c r="A4946" s="564" t="s">
        <v>2221</v>
      </c>
      <c r="B4946" s="562" t="s">
        <v>788</v>
      </c>
      <c r="C4946" s="403">
        <v>6934.48</v>
      </c>
      <c r="D4946" s="400"/>
      <c r="E4946" s="400"/>
      <c r="F4946" s="400"/>
      <c r="G4946" s="400"/>
      <c r="H4946" s="396"/>
      <c r="J4946" s="666"/>
    </row>
    <row r="4947" spans="1:10" s="401" customFormat="1" ht="14.25" customHeight="1" x14ac:dyDescent="0.25">
      <c r="A4947" s="564" t="s">
        <v>2222</v>
      </c>
      <c r="B4947" s="562" t="s">
        <v>788</v>
      </c>
      <c r="C4947" s="403">
        <v>6934.48</v>
      </c>
      <c r="D4947" s="400"/>
      <c r="E4947" s="400"/>
      <c r="F4947" s="400"/>
      <c r="G4947" s="400"/>
      <c r="H4947" s="396"/>
      <c r="J4947" s="666"/>
    </row>
    <row r="4948" spans="1:10" s="401" customFormat="1" ht="14.25" customHeight="1" x14ac:dyDescent="0.25">
      <c r="A4948" s="564" t="s">
        <v>2225</v>
      </c>
      <c r="B4948" s="562" t="s">
        <v>788</v>
      </c>
      <c r="C4948" s="403">
        <v>6934.48</v>
      </c>
      <c r="D4948" s="400"/>
      <c r="E4948" s="400"/>
      <c r="F4948" s="400"/>
      <c r="G4948" s="400"/>
      <c r="H4948" s="396"/>
      <c r="J4948" s="666"/>
    </row>
    <row r="4949" spans="1:10" s="401" customFormat="1" ht="14.25" customHeight="1" x14ac:dyDescent="0.25">
      <c r="A4949" s="564" t="s">
        <v>2226</v>
      </c>
      <c r="B4949" s="562" t="s">
        <v>788</v>
      </c>
      <c r="C4949" s="403">
        <v>6934.48</v>
      </c>
      <c r="D4949" s="400"/>
      <c r="E4949" s="400"/>
      <c r="F4949" s="400"/>
      <c r="G4949" s="400"/>
      <c r="H4949" s="396"/>
      <c r="J4949" s="666"/>
    </row>
    <row r="4950" spans="1:10" s="401" customFormat="1" ht="14.25" customHeight="1" x14ac:dyDescent="0.25">
      <c r="A4950" s="564" t="s">
        <v>2227</v>
      </c>
      <c r="B4950" s="562" t="s">
        <v>788</v>
      </c>
      <c r="C4950" s="403">
        <v>6934.48</v>
      </c>
      <c r="D4950" s="400"/>
      <c r="E4950" s="400"/>
      <c r="F4950" s="400"/>
      <c r="G4950" s="400"/>
      <c r="H4950" s="396"/>
      <c r="J4950" s="666"/>
    </row>
    <row r="4951" spans="1:10" s="401" customFormat="1" ht="14.25" customHeight="1" x14ac:dyDescent="0.25">
      <c r="A4951" s="564" t="s">
        <v>2194</v>
      </c>
      <c r="B4951" s="562" t="s">
        <v>2355</v>
      </c>
      <c r="C4951" s="403">
        <v>7175.97</v>
      </c>
      <c r="D4951" s="400"/>
      <c r="E4951" s="400"/>
      <c r="F4951" s="400"/>
      <c r="G4951" s="400"/>
      <c r="H4951" s="396"/>
      <c r="J4951" s="666"/>
    </row>
    <row r="4952" spans="1:10" s="401" customFormat="1" ht="14.25" customHeight="1" x14ac:dyDescent="0.25">
      <c r="A4952" s="564" t="s">
        <v>2202</v>
      </c>
      <c r="B4952" s="562" t="s">
        <v>2359</v>
      </c>
      <c r="C4952" s="403">
        <v>7748.8</v>
      </c>
      <c r="D4952" s="400"/>
      <c r="E4952" s="400"/>
      <c r="F4952" s="400"/>
      <c r="G4952" s="400"/>
      <c r="H4952" s="396"/>
      <c r="J4952" s="666"/>
    </row>
    <row r="4953" spans="1:10" s="401" customFormat="1" ht="14.25" customHeight="1" x14ac:dyDescent="0.25">
      <c r="A4953" s="564" t="s">
        <v>2203</v>
      </c>
      <c r="B4953" s="562" t="s">
        <v>2359</v>
      </c>
      <c r="C4953" s="403">
        <v>7748.8</v>
      </c>
      <c r="D4953" s="400"/>
      <c r="E4953" s="400"/>
      <c r="F4953" s="400"/>
      <c r="G4953" s="400"/>
      <c r="H4953" s="396"/>
      <c r="J4953" s="666"/>
    </row>
    <row r="4954" spans="1:10" s="401" customFormat="1" ht="14.25" customHeight="1" x14ac:dyDescent="0.25">
      <c r="A4954" s="564" t="s">
        <v>2276</v>
      </c>
      <c r="B4954" s="562" t="s">
        <v>2362</v>
      </c>
      <c r="C4954" s="403">
        <v>7748.8</v>
      </c>
      <c r="D4954" s="400"/>
      <c r="E4954" s="400"/>
      <c r="F4954" s="400"/>
      <c r="G4954" s="400"/>
      <c r="H4954" s="396"/>
      <c r="J4954" s="666"/>
    </row>
    <row r="4955" spans="1:10" s="401" customFormat="1" ht="14.25" customHeight="1" x14ac:dyDescent="0.25">
      <c r="A4955" s="564" t="s">
        <v>2277</v>
      </c>
      <c r="B4955" s="562" t="s">
        <v>2362</v>
      </c>
      <c r="C4955" s="403">
        <v>7748.8</v>
      </c>
      <c r="D4955" s="400"/>
      <c r="E4955" s="400"/>
      <c r="F4955" s="400"/>
      <c r="G4955" s="400"/>
      <c r="H4955" s="396"/>
      <c r="J4955" s="666"/>
    </row>
    <row r="4956" spans="1:10" s="401" customFormat="1" ht="14.25" customHeight="1" x14ac:dyDescent="0.25">
      <c r="A4956" s="564" t="s">
        <v>2278</v>
      </c>
      <c r="B4956" s="562" t="s">
        <v>2362</v>
      </c>
      <c r="C4956" s="403">
        <v>7748.8</v>
      </c>
      <c r="D4956" s="400"/>
      <c r="E4956" s="400"/>
      <c r="F4956" s="400"/>
      <c r="G4956" s="400"/>
      <c r="H4956" s="396"/>
      <c r="J4956" s="666"/>
    </row>
    <row r="4957" spans="1:10" s="401" customFormat="1" ht="14.25" customHeight="1" x14ac:dyDescent="0.25">
      <c r="A4957" s="564" t="s">
        <v>2279</v>
      </c>
      <c r="B4957" s="562" t="s">
        <v>2362</v>
      </c>
      <c r="C4957" s="403">
        <v>7748.8</v>
      </c>
      <c r="D4957" s="400"/>
      <c r="E4957" s="400"/>
      <c r="F4957" s="400"/>
      <c r="G4957" s="400"/>
      <c r="H4957" s="396"/>
      <c r="J4957" s="666"/>
    </row>
    <row r="4958" spans="1:10" s="401" customFormat="1" ht="14.25" customHeight="1" x14ac:dyDescent="0.25">
      <c r="A4958" s="564" t="s">
        <v>2280</v>
      </c>
      <c r="B4958" s="562" t="s">
        <v>2362</v>
      </c>
      <c r="C4958" s="403">
        <v>7748.8</v>
      </c>
      <c r="D4958" s="400"/>
      <c r="E4958" s="400"/>
      <c r="F4958" s="400"/>
      <c r="G4958" s="400"/>
      <c r="H4958" s="396"/>
      <c r="J4958" s="666"/>
    </row>
    <row r="4959" spans="1:10" s="401" customFormat="1" ht="14.25" customHeight="1" x14ac:dyDescent="0.25">
      <c r="A4959" s="564" t="s">
        <v>2281</v>
      </c>
      <c r="B4959" s="562" t="s">
        <v>2362</v>
      </c>
      <c r="C4959" s="403">
        <v>7748.8</v>
      </c>
      <c r="D4959" s="400"/>
      <c r="E4959" s="400"/>
      <c r="F4959" s="400"/>
      <c r="G4959" s="400"/>
      <c r="H4959" s="396"/>
      <c r="J4959" s="666"/>
    </row>
    <row r="4960" spans="1:10" s="401" customFormat="1" ht="14.25" customHeight="1" x14ac:dyDescent="0.25">
      <c r="A4960" s="564" t="s">
        <v>2282</v>
      </c>
      <c r="B4960" s="562" t="s">
        <v>2362</v>
      </c>
      <c r="C4960" s="403">
        <v>7748.8</v>
      </c>
      <c r="D4960" s="400"/>
      <c r="E4960" s="400"/>
      <c r="F4960" s="400"/>
      <c r="G4960" s="400"/>
      <c r="H4960" s="396"/>
      <c r="J4960" s="666"/>
    </row>
    <row r="4961" spans="1:10" s="401" customFormat="1" ht="14.25" customHeight="1" x14ac:dyDescent="0.25">
      <c r="A4961" s="564" t="s">
        <v>2283</v>
      </c>
      <c r="B4961" s="562" t="s">
        <v>2362</v>
      </c>
      <c r="C4961" s="403">
        <v>7748.8</v>
      </c>
      <c r="D4961" s="400"/>
      <c r="E4961" s="400"/>
      <c r="F4961" s="400"/>
      <c r="G4961" s="400"/>
      <c r="H4961" s="396"/>
      <c r="J4961" s="666"/>
    </row>
    <row r="4962" spans="1:10" s="401" customFormat="1" ht="14.25" customHeight="1" x14ac:dyDescent="0.25">
      <c r="A4962" s="564" t="s">
        <v>2219</v>
      </c>
      <c r="B4962" s="562" t="s">
        <v>788</v>
      </c>
      <c r="C4962" s="403">
        <v>8400.7199999999993</v>
      </c>
      <c r="D4962" s="400"/>
      <c r="E4962" s="400"/>
      <c r="F4962" s="400"/>
      <c r="G4962" s="400"/>
      <c r="H4962" s="396"/>
      <c r="J4962" s="666"/>
    </row>
    <row r="4963" spans="1:10" s="401" customFormat="1" ht="14.25" customHeight="1" x14ac:dyDescent="0.25">
      <c r="A4963" s="564" t="s">
        <v>2336</v>
      </c>
      <c r="B4963" s="562" t="s">
        <v>2367</v>
      </c>
      <c r="C4963" s="403">
        <v>8517.69</v>
      </c>
      <c r="D4963" s="400"/>
      <c r="E4963" s="400"/>
      <c r="F4963" s="400"/>
      <c r="G4963" s="400"/>
      <c r="H4963" s="396"/>
      <c r="J4963" s="666"/>
    </row>
    <row r="4964" spans="1:10" s="401" customFormat="1" ht="14.25" customHeight="1" x14ac:dyDescent="0.25">
      <c r="A4964" s="564" t="s">
        <v>2337</v>
      </c>
      <c r="B4964" s="562" t="s">
        <v>2367</v>
      </c>
      <c r="C4964" s="403">
        <v>8517.69</v>
      </c>
      <c r="D4964" s="400"/>
      <c r="E4964" s="400"/>
      <c r="F4964" s="400"/>
      <c r="G4964" s="400"/>
      <c r="H4964" s="396"/>
      <c r="J4964" s="666"/>
    </row>
    <row r="4965" spans="1:10" s="401" customFormat="1" ht="14.25" customHeight="1" x14ac:dyDescent="0.25">
      <c r="A4965" s="564" t="s">
        <v>2154</v>
      </c>
      <c r="B4965" s="562" t="s">
        <v>2353</v>
      </c>
      <c r="C4965" s="403">
        <v>8530.06</v>
      </c>
      <c r="D4965" s="400"/>
      <c r="E4965" s="400"/>
      <c r="F4965" s="400"/>
      <c r="G4965" s="400"/>
      <c r="H4965" s="396"/>
      <c r="J4965" s="666"/>
    </row>
    <row r="4966" spans="1:10" s="401" customFormat="1" ht="14.25" customHeight="1" x14ac:dyDescent="0.25">
      <c r="A4966" s="564" t="s">
        <v>2155</v>
      </c>
      <c r="B4966" s="562" t="s">
        <v>2353</v>
      </c>
      <c r="C4966" s="403">
        <v>8530.06</v>
      </c>
      <c r="D4966" s="400"/>
      <c r="E4966" s="400"/>
      <c r="F4966" s="400"/>
      <c r="G4966" s="400"/>
      <c r="H4966" s="396"/>
      <c r="J4966" s="666"/>
    </row>
    <row r="4967" spans="1:10" s="401" customFormat="1" ht="14.25" customHeight="1" x14ac:dyDescent="0.25">
      <c r="A4967" s="564" t="s">
        <v>2156</v>
      </c>
      <c r="B4967" s="562" t="s">
        <v>2353</v>
      </c>
      <c r="C4967" s="403">
        <v>8530.06</v>
      </c>
      <c r="D4967" s="400"/>
      <c r="E4967" s="400"/>
      <c r="F4967" s="400"/>
      <c r="G4967" s="400"/>
      <c r="H4967" s="396"/>
      <c r="J4967" s="666"/>
    </row>
    <row r="4968" spans="1:10" s="401" customFormat="1" ht="14.25" customHeight="1" x14ac:dyDescent="0.25">
      <c r="A4968" s="564" t="s">
        <v>2157</v>
      </c>
      <c r="B4968" s="562" t="s">
        <v>2353</v>
      </c>
      <c r="C4968" s="403">
        <v>8530.06</v>
      </c>
      <c r="D4968" s="400"/>
      <c r="E4968" s="400"/>
      <c r="F4968" s="400"/>
      <c r="G4968" s="400"/>
      <c r="H4968" s="396"/>
      <c r="J4968" s="666"/>
    </row>
    <row r="4969" spans="1:10" s="401" customFormat="1" ht="14.25" customHeight="1" x14ac:dyDescent="0.25">
      <c r="A4969" s="564" t="s">
        <v>2158</v>
      </c>
      <c r="B4969" s="562" t="s">
        <v>2353</v>
      </c>
      <c r="C4969" s="403">
        <v>8530.06</v>
      </c>
      <c r="D4969" s="400"/>
      <c r="E4969" s="400"/>
      <c r="F4969" s="400"/>
      <c r="G4969" s="400"/>
      <c r="H4969" s="396"/>
      <c r="J4969" s="666"/>
    </row>
    <row r="4970" spans="1:10" s="401" customFormat="1" ht="14.25" customHeight="1" x14ac:dyDescent="0.25">
      <c r="A4970" s="564" t="s">
        <v>2159</v>
      </c>
      <c r="B4970" s="562" t="s">
        <v>2353</v>
      </c>
      <c r="C4970" s="403">
        <v>8530.06</v>
      </c>
      <c r="D4970" s="400"/>
      <c r="E4970" s="400"/>
      <c r="F4970" s="400"/>
      <c r="G4970" s="400"/>
      <c r="H4970" s="396"/>
      <c r="J4970" s="666"/>
    </row>
    <row r="4971" spans="1:10" s="401" customFormat="1" ht="14.25" customHeight="1" x14ac:dyDescent="0.25">
      <c r="A4971" s="564" t="s">
        <v>2160</v>
      </c>
      <c r="B4971" s="562" t="s">
        <v>2353</v>
      </c>
      <c r="C4971" s="403">
        <v>8530.06</v>
      </c>
      <c r="D4971" s="400"/>
      <c r="E4971" s="400"/>
      <c r="F4971" s="400"/>
      <c r="G4971" s="400"/>
      <c r="H4971" s="396"/>
      <c r="J4971" s="666"/>
    </row>
    <row r="4972" spans="1:10" s="401" customFormat="1" ht="14.25" customHeight="1" x14ac:dyDescent="0.25">
      <c r="A4972" s="564" t="s">
        <v>2161</v>
      </c>
      <c r="B4972" s="562" t="s">
        <v>2353</v>
      </c>
      <c r="C4972" s="403">
        <v>8530.06</v>
      </c>
      <c r="D4972" s="400"/>
      <c r="E4972" s="400"/>
      <c r="F4972" s="400"/>
      <c r="G4972" s="400"/>
      <c r="H4972" s="396"/>
      <c r="J4972" s="666"/>
    </row>
    <row r="4973" spans="1:10" s="401" customFormat="1" ht="14.25" customHeight="1" x14ac:dyDescent="0.25">
      <c r="A4973" s="564" t="s">
        <v>2162</v>
      </c>
      <c r="B4973" s="562" t="s">
        <v>2353</v>
      </c>
      <c r="C4973" s="403">
        <v>8530.06</v>
      </c>
      <c r="D4973" s="400"/>
      <c r="E4973" s="400"/>
      <c r="F4973" s="400"/>
      <c r="G4973" s="400"/>
      <c r="H4973" s="396"/>
      <c r="J4973" s="666"/>
    </row>
    <row r="4974" spans="1:10" s="401" customFormat="1" ht="14.25" customHeight="1" x14ac:dyDescent="0.25">
      <c r="A4974" s="564" t="s">
        <v>2163</v>
      </c>
      <c r="B4974" s="562" t="s">
        <v>2353</v>
      </c>
      <c r="C4974" s="403">
        <v>8530.06</v>
      </c>
      <c r="D4974" s="400"/>
      <c r="E4974" s="400"/>
      <c r="F4974" s="400"/>
      <c r="G4974" s="400"/>
      <c r="H4974" s="396"/>
      <c r="J4974" s="666"/>
    </row>
    <row r="4975" spans="1:10" s="401" customFormat="1" ht="14.25" customHeight="1" x14ac:dyDescent="0.25">
      <c r="A4975" s="564" t="s">
        <v>2164</v>
      </c>
      <c r="B4975" s="562" t="s">
        <v>2353</v>
      </c>
      <c r="C4975" s="403">
        <v>8530.06</v>
      </c>
      <c r="D4975" s="400"/>
      <c r="E4975" s="400"/>
      <c r="F4975" s="400"/>
      <c r="G4975" s="400"/>
      <c r="H4975" s="396"/>
      <c r="J4975" s="666"/>
    </row>
    <row r="4976" spans="1:10" s="401" customFormat="1" ht="14.25" customHeight="1" x14ac:dyDescent="0.25">
      <c r="A4976" s="564" t="s">
        <v>2165</v>
      </c>
      <c r="B4976" s="562" t="s">
        <v>2353</v>
      </c>
      <c r="C4976" s="403">
        <v>8530.06</v>
      </c>
      <c r="D4976" s="400"/>
      <c r="E4976" s="400"/>
      <c r="F4976" s="400"/>
      <c r="G4976" s="400"/>
      <c r="H4976" s="396"/>
      <c r="J4976" s="666"/>
    </row>
    <row r="4977" spans="1:10" s="401" customFormat="1" ht="14.25" customHeight="1" x14ac:dyDescent="0.25">
      <c r="A4977" s="564" t="s">
        <v>2166</v>
      </c>
      <c r="B4977" s="562" t="s">
        <v>2353</v>
      </c>
      <c r="C4977" s="403">
        <v>8530.06</v>
      </c>
      <c r="D4977" s="400"/>
      <c r="E4977" s="400"/>
      <c r="F4977" s="400"/>
      <c r="G4977" s="400"/>
      <c r="H4977" s="396"/>
      <c r="J4977" s="666"/>
    </row>
    <row r="4978" spans="1:10" s="401" customFormat="1" ht="14.25" customHeight="1" x14ac:dyDescent="0.25">
      <c r="A4978" s="564" t="s">
        <v>2167</v>
      </c>
      <c r="B4978" s="562" t="s">
        <v>2353</v>
      </c>
      <c r="C4978" s="403">
        <v>8530.06</v>
      </c>
      <c r="D4978" s="400"/>
      <c r="E4978" s="400"/>
      <c r="F4978" s="400"/>
      <c r="G4978" s="400"/>
      <c r="H4978" s="396"/>
      <c r="J4978" s="666"/>
    </row>
    <row r="4979" spans="1:10" s="401" customFormat="1" ht="14.25" customHeight="1" x14ac:dyDescent="0.25">
      <c r="A4979" s="564" t="s">
        <v>2168</v>
      </c>
      <c r="B4979" s="562" t="s">
        <v>2353</v>
      </c>
      <c r="C4979" s="403">
        <v>8530.06</v>
      </c>
      <c r="D4979" s="400"/>
      <c r="E4979" s="400"/>
      <c r="F4979" s="400"/>
      <c r="G4979" s="400"/>
      <c r="H4979" s="396"/>
      <c r="J4979" s="666"/>
    </row>
    <row r="4980" spans="1:10" s="401" customFormat="1" ht="14.25" customHeight="1" x14ac:dyDescent="0.25">
      <c r="A4980" s="564" t="s">
        <v>2169</v>
      </c>
      <c r="B4980" s="562" t="s">
        <v>2353</v>
      </c>
      <c r="C4980" s="403">
        <v>8530.06</v>
      </c>
      <c r="D4980" s="400"/>
      <c r="E4980" s="400"/>
      <c r="F4980" s="400"/>
      <c r="G4980" s="400"/>
      <c r="H4980" s="396"/>
      <c r="J4980" s="666"/>
    </row>
    <row r="4981" spans="1:10" s="401" customFormat="1" ht="14.25" customHeight="1" x14ac:dyDescent="0.25">
      <c r="A4981" s="564" t="s">
        <v>2170</v>
      </c>
      <c r="B4981" s="562" t="s">
        <v>2353</v>
      </c>
      <c r="C4981" s="403">
        <v>8530.06</v>
      </c>
      <c r="D4981" s="400"/>
      <c r="E4981" s="400"/>
      <c r="F4981" s="400"/>
      <c r="G4981" s="400"/>
      <c r="H4981" s="396"/>
      <c r="J4981" s="666"/>
    </row>
    <row r="4982" spans="1:10" s="401" customFormat="1" ht="14.25" customHeight="1" x14ac:dyDescent="0.25">
      <c r="A4982" s="564" t="s">
        <v>2171</v>
      </c>
      <c r="B4982" s="562" t="s">
        <v>2353</v>
      </c>
      <c r="C4982" s="403">
        <v>8530.06</v>
      </c>
      <c r="D4982" s="400"/>
      <c r="E4982" s="400"/>
      <c r="F4982" s="400"/>
      <c r="G4982" s="400"/>
      <c r="H4982" s="396"/>
      <c r="J4982" s="666"/>
    </row>
    <row r="4983" spans="1:10" s="401" customFormat="1" ht="14.25" customHeight="1" x14ac:dyDescent="0.25">
      <c r="A4983" s="564" t="s">
        <v>2172</v>
      </c>
      <c r="B4983" s="562" t="s">
        <v>2353</v>
      </c>
      <c r="C4983" s="403">
        <v>8530.06</v>
      </c>
      <c r="D4983" s="400"/>
      <c r="E4983" s="400"/>
      <c r="F4983" s="400"/>
      <c r="G4983" s="400"/>
      <c r="H4983" s="396"/>
      <c r="J4983" s="666"/>
    </row>
    <row r="4984" spans="1:10" s="401" customFormat="1" ht="14.25" customHeight="1" x14ac:dyDescent="0.25">
      <c r="A4984" s="564" t="s">
        <v>2173</v>
      </c>
      <c r="B4984" s="562" t="s">
        <v>2353</v>
      </c>
      <c r="C4984" s="403">
        <v>8530.06</v>
      </c>
      <c r="D4984" s="400"/>
      <c r="E4984" s="400"/>
      <c r="F4984" s="400"/>
      <c r="G4984" s="400"/>
      <c r="H4984" s="396"/>
      <c r="J4984" s="666"/>
    </row>
    <row r="4985" spans="1:10" s="401" customFormat="1" ht="14.25" customHeight="1" x14ac:dyDescent="0.25">
      <c r="A4985" s="564" t="s">
        <v>2174</v>
      </c>
      <c r="B4985" s="562" t="s">
        <v>2353</v>
      </c>
      <c r="C4985" s="403">
        <v>8530.06</v>
      </c>
      <c r="D4985" s="400"/>
      <c r="E4985" s="400"/>
      <c r="F4985" s="400"/>
      <c r="G4985" s="400"/>
      <c r="H4985" s="396"/>
      <c r="J4985" s="666"/>
    </row>
    <row r="4986" spans="1:10" s="401" customFormat="1" ht="14.25" customHeight="1" x14ac:dyDescent="0.25">
      <c r="A4986" s="564" t="s">
        <v>2175</v>
      </c>
      <c r="B4986" s="562" t="s">
        <v>2353</v>
      </c>
      <c r="C4986" s="403">
        <v>8530.06</v>
      </c>
      <c r="D4986" s="400"/>
      <c r="E4986" s="400"/>
      <c r="F4986" s="400"/>
      <c r="G4986" s="400"/>
      <c r="H4986" s="396"/>
      <c r="J4986" s="666"/>
    </row>
    <row r="4987" spans="1:10" s="401" customFormat="1" ht="14.25" customHeight="1" x14ac:dyDescent="0.25">
      <c r="A4987" s="564" t="s">
        <v>2176</v>
      </c>
      <c r="B4987" s="562" t="s">
        <v>2353</v>
      </c>
      <c r="C4987" s="403">
        <v>8530.06</v>
      </c>
      <c r="D4987" s="400"/>
      <c r="E4987" s="400"/>
      <c r="F4987" s="400"/>
      <c r="G4987" s="400"/>
      <c r="H4987" s="396"/>
      <c r="J4987" s="666"/>
    </row>
    <row r="4988" spans="1:10" s="401" customFormat="1" ht="14.25" customHeight="1" x14ac:dyDescent="0.25">
      <c r="A4988" s="564" t="s">
        <v>2177</v>
      </c>
      <c r="B4988" s="562" t="s">
        <v>2353</v>
      </c>
      <c r="C4988" s="403">
        <v>8530.06</v>
      </c>
      <c r="D4988" s="400"/>
      <c r="E4988" s="400"/>
      <c r="F4988" s="400"/>
      <c r="G4988" s="400"/>
      <c r="H4988" s="396"/>
      <c r="J4988" s="666"/>
    </row>
    <row r="4989" spans="1:10" s="401" customFormat="1" ht="14.25" customHeight="1" x14ac:dyDescent="0.25">
      <c r="A4989" s="564" t="s">
        <v>2178</v>
      </c>
      <c r="B4989" s="562" t="s">
        <v>2353</v>
      </c>
      <c r="C4989" s="403">
        <v>8530.06</v>
      </c>
      <c r="D4989" s="400"/>
      <c r="E4989" s="400"/>
      <c r="F4989" s="400"/>
      <c r="G4989" s="400"/>
      <c r="H4989" s="396"/>
      <c r="J4989" s="666"/>
    </row>
    <row r="4990" spans="1:10" s="401" customFormat="1" ht="14.25" customHeight="1" x14ac:dyDescent="0.25">
      <c r="A4990" s="564" t="s">
        <v>2179</v>
      </c>
      <c r="B4990" s="562" t="s">
        <v>2353</v>
      </c>
      <c r="C4990" s="403">
        <v>8530.06</v>
      </c>
      <c r="D4990" s="400"/>
      <c r="E4990" s="400"/>
      <c r="F4990" s="400"/>
      <c r="G4990" s="400"/>
      <c r="H4990" s="396"/>
      <c r="J4990" s="666"/>
    </row>
    <row r="4991" spans="1:10" s="401" customFormat="1" ht="14.25" customHeight="1" x14ac:dyDescent="0.25">
      <c r="A4991" s="564" t="s">
        <v>2200</v>
      </c>
      <c r="B4991" s="562" t="s">
        <v>2354</v>
      </c>
      <c r="C4991" s="403">
        <v>8555.9975999999988</v>
      </c>
      <c r="D4991" s="400"/>
      <c r="E4991" s="400"/>
      <c r="F4991" s="400"/>
      <c r="G4991" s="400"/>
      <c r="H4991" s="396"/>
      <c r="J4991" s="666"/>
    </row>
    <row r="4992" spans="1:10" s="401" customFormat="1" ht="14.25" customHeight="1" x14ac:dyDescent="0.25">
      <c r="A4992" s="564" t="s">
        <v>2081</v>
      </c>
      <c r="B4992" s="562" t="s">
        <v>1007</v>
      </c>
      <c r="C4992" s="403">
        <v>8700</v>
      </c>
      <c r="D4992" s="400"/>
      <c r="E4992" s="400"/>
      <c r="F4992" s="400"/>
      <c r="G4992" s="400"/>
      <c r="H4992" s="396"/>
      <c r="J4992" s="666"/>
    </row>
    <row r="4993" spans="1:10" s="401" customFormat="1" ht="14.25" customHeight="1" x14ac:dyDescent="0.25">
      <c r="A4993" s="564" t="s">
        <v>2284</v>
      </c>
      <c r="B4993" s="562" t="s">
        <v>2354</v>
      </c>
      <c r="C4993" s="403">
        <v>8700</v>
      </c>
      <c r="D4993" s="400"/>
      <c r="E4993" s="400"/>
      <c r="F4993" s="400"/>
      <c r="G4993" s="400"/>
      <c r="H4993" s="396"/>
      <c r="J4993" s="666"/>
    </row>
    <row r="4994" spans="1:10" s="401" customFormat="1" ht="14.25" customHeight="1" x14ac:dyDescent="0.25">
      <c r="A4994" s="564" t="s">
        <v>2285</v>
      </c>
      <c r="B4994" s="562" t="s">
        <v>2354</v>
      </c>
      <c r="C4994" s="403">
        <v>8700</v>
      </c>
      <c r="D4994" s="400"/>
      <c r="E4994" s="400"/>
      <c r="F4994" s="400"/>
      <c r="G4994" s="400"/>
      <c r="H4994" s="396"/>
      <c r="J4994" s="666"/>
    </row>
    <row r="4995" spans="1:10" s="401" customFormat="1" ht="14.25" customHeight="1" x14ac:dyDescent="0.25">
      <c r="A4995" s="564" t="s">
        <v>2286</v>
      </c>
      <c r="B4995" s="562" t="s">
        <v>2354</v>
      </c>
      <c r="C4995" s="403">
        <v>8700</v>
      </c>
      <c r="D4995" s="400"/>
      <c r="E4995" s="400"/>
      <c r="F4995" s="400"/>
      <c r="G4995" s="400"/>
      <c r="H4995" s="396"/>
      <c r="J4995" s="666"/>
    </row>
    <row r="4996" spans="1:10" s="401" customFormat="1" ht="14.25" customHeight="1" x14ac:dyDescent="0.25">
      <c r="A4996" s="564" t="s">
        <v>2287</v>
      </c>
      <c r="B4996" s="562" t="s">
        <v>2354</v>
      </c>
      <c r="C4996" s="403">
        <v>8700</v>
      </c>
      <c r="D4996" s="400"/>
      <c r="E4996" s="400"/>
      <c r="F4996" s="400"/>
      <c r="G4996" s="400"/>
      <c r="H4996" s="396"/>
      <c r="J4996" s="666"/>
    </row>
    <row r="4997" spans="1:10" s="401" customFormat="1" ht="14.25" customHeight="1" x14ac:dyDescent="0.25">
      <c r="A4997" s="564" t="s">
        <v>2288</v>
      </c>
      <c r="B4997" s="562" t="s">
        <v>2354</v>
      </c>
      <c r="C4997" s="403">
        <v>8700</v>
      </c>
      <c r="D4997" s="400"/>
      <c r="E4997" s="400"/>
      <c r="F4997" s="400"/>
      <c r="G4997" s="400"/>
      <c r="H4997" s="396"/>
      <c r="J4997" s="666"/>
    </row>
    <row r="4998" spans="1:10" s="401" customFormat="1" ht="14.25" customHeight="1" x14ac:dyDescent="0.25">
      <c r="A4998" s="564" t="s">
        <v>2289</v>
      </c>
      <c r="B4998" s="562" t="s">
        <v>2354</v>
      </c>
      <c r="C4998" s="403">
        <v>8700</v>
      </c>
      <c r="D4998" s="400"/>
      <c r="E4998" s="400"/>
      <c r="F4998" s="400"/>
      <c r="G4998" s="400"/>
      <c r="H4998" s="396"/>
      <c r="J4998" s="666"/>
    </row>
    <row r="4999" spans="1:10" s="401" customFormat="1" ht="14.25" customHeight="1" x14ac:dyDescent="0.25">
      <c r="A4999" s="564" t="s">
        <v>2290</v>
      </c>
      <c r="B4999" s="562" t="s">
        <v>2354</v>
      </c>
      <c r="C4999" s="403">
        <v>8700</v>
      </c>
      <c r="D4999" s="400"/>
      <c r="E4999" s="400"/>
      <c r="F4999" s="400"/>
      <c r="G4999" s="400"/>
      <c r="H4999" s="396"/>
      <c r="J4999" s="666"/>
    </row>
    <row r="5000" spans="1:10" s="401" customFormat="1" ht="14.25" customHeight="1" x14ac:dyDescent="0.25">
      <c r="A5000" s="564" t="s">
        <v>2291</v>
      </c>
      <c r="B5000" s="562" t="s">
        <v>2354</v>
      </c>
      <c r="C5000" s="403">
        <v>8700</v>
      </c>
      <c r="D5000" s="400"/>
      <c r="E5000" s="400"/>
      <c r="F5000" s="400"/>
      <c r="G5000" s="400"/>
      <c r="H5000" s="396"/>
      <c r="J5000" s="666"/>
    </row>
    <row r="5001" spans="1:10" s="401" customFormat="1" ht="14.25" customHeight="1" x14ac:dyDescent="0.25">
      <c r="A5001" s="564" t="s">
        <v>2292</v>
      </c>
      <c r="B5001" s="562" t="s">
        <v>2354</v>
      </c>
      <c r="C5001" s="403">
        <v>8700</v>
      </c>
      <c r="D5001" s="400"/>
      <c r="E5001" s="400"/>
      <c r="F5001" s="400"/>
      <c r="G5001" s="400"/>
      <c r="H5001" s="396"/>
      <c r="J5001" s="666"/>
    </row>
    <row r="5002" spans="1:10" s="401" customFormat="1" ht="14.25" customHeight="1" x14ac:dyDescent="0.25">
      <c r="A5002" s="564" t="s">
        <v>2293</v>
      </c>
      <c r="B5002" s="562" t="s">
        <v>2354</v>
      </c>
      <c r="C5002" s="403">
        <v>8700</v>
      </c>
      <c r="D5002" s="400"/>
      <c r="E5002" s="400"/>
      <c r="F5002" s="400"/>
      <c r="G5002" s="400"/>
      <c r="H5002" s="396"/>
      <c r="J5002" s="666"/>
    </row>
    <row r="5003" spans="1:10" s="401" customFormat="1" ht="14.25" customHeight="1" x14ac:dyDescent="0.25">
      <c r="A5003" s="564" t="s">
        <v>2294</v>
      </c>
      <c r="B5003" s="562" t="s">
        <v>2354</v>
      </c>
      <c r="C5003" s="403">
        <v>8700</v>
      </c>
      <c r="D5003" s="400"/>
      <c r="E5003" s="400"/>
      <c r="F5003" s="400"/>
      <c r="G5003" s="400"/>
      <c r="H5003" s="396"/>
      <c r="J5003" s="666"/>
    </row>
    <row r="5004" spans="1:10" s="401" customFormat="1" ht="14.25" customHeight="1" x14ac:dyDescent="0.25">
      <c r="A5004" s="564" t="s">
        <v>2308</v>
      </c>
      <c r="B5004" s="562" t="s">
        <v>2354</v>
      </c>
      <c r="C5004" s="403">
        <v>8700</v>
      </c>
      <c r="D5004" s="400"/>
      <c r="E5004" s="400"/>
      <c r="F5004" s="400"/>
      <c r="G5004" s="400"/>
      <c r="H5004" s="396"/>
      <c r="J5004" s="666"/>
    </row>
    <row r="5005" spans="1:10" s="401" customFormat="1" ht="14.25" customHeight="1" x14ac:dyDescent="0.25">
      <c r="A5005" s="564" t="s">
        <v>2309</v>
      </c>
      <c r="B5005" s="562" t="s">
        <v>2354</v>
      </c>
      <c r="C5005" s="403">
        <v>8700</v>
      </c>
      <c r="D5005" s="400"/>
      <c r="E5005" s="400"/>
      <c r="F5005" s="400"/>
      <c r="G5005" s="400"/>
      <c r="H5005" s="396"/>
      <c r="J5005" s="666"/>
    </row>
    <row r="5006" spans="1:10" s="401" customFormat="1" ht="14.25" customHeight="1" x14ac:dyDescent="0.25">
      <c r="A5006" s="564" t="s">
        <v>2310</v>
      </c>
      <c r="B5006" s="562" t="s">
        <v>2354</v>
      </c>
      <c r="C5006" s="403">
        <v>8700</v>
      </c>
      <c r="D5006" s="400"/>
      <c r="E5006" s="400"/>
      <c r="F5006" s="400"/>
      <c r="G5006" s="400"/>
      <c r="H5006" s="396"/>
      <c r="J5006" s="666"/>
    </row>
    <row r="5007" spans="1:10" s="401" customFormat="1" ht="14.25" customHeight="1" x14ac:dyDescent="0.25">
      <c r="A5007" s="564" t="s">
        <v>2311</v>
      </c>
      <c r="B5007" s="562" t="s">
        <v>2354</v>
      </c>
      <c r="C5007" s="403">
        <v>8700</v>
      </c>
      <c r="D5007" s="400"/>
      <c r="E5007" s="400"/>
      <c r="F5007" s="400"/>
      <c r="G5007" s="400"/>
      <c r="H5007" s="396"/>
      <c r="J5007" s="666"/>
    </row>
    <row r="5008" spans="1:10" s="401" customFormat="1" ht="14.25" customHeight="1" x14ac:dyDescent="0.25">
      <c r="A5008" s="564" t="s">
        <v>2312</v>
      </c>
      <c r="B5008" s="562" t="s">
        <v>2354</v>
      </c>
      <c r="C5008" s="403">
        <v>8700</v>
      </c>
      <c r="D5008" s="400"/>
      <c r="E5008" s="400"/>
      <c r="F5008" s="400"/>
      <c r="G5008" s="400"/>
      <c r="H5008" s="396"/>
      <c r="J5008" s="666"/>
    </row>
    <row r="5009" spans="1:10" s="401" customFormat="1" ht="14.25" customHeight="1" x14ac:dyDescent="0.25">
      <c r="A5009" s="564" t="s">
        <v>2313</v>
      </c>
      <c r="B5009" s="562" t="s">
        <v>2354</v>
      </c>
      <c r="C5009" s="403">
        <v>8700</v>
      </c>
      <c r="D5009" s="400"/>
      <c r="E5009" s="400"/>
      <c r="F5009" s="400"/>
      <c r="G5009" s="400"/>
      <c r="H5009" s="396"/>
      <c r="J5009" s="666"/>
    </row>
    <row r="5010" spans="1:10" s="401" customFormat="1" ht="14.25" customHeight="1" x14ac:dyDescent="0.25">
      <c r="A5010" s="564" t="s">
        <v>2314</v>
      </c>
      <c r="B5010" s="562" t="s">
        <v>2354</v>
      </c>
      <c r="C5010" s="403">
        <v>8700</v>
      </c>
      <c r="D5010" s="400"/>
      <c r="E5010" s="400"/>
      <c r="F5010" s="400"/>
      <c r="G5010" s="400"/>
      <c r="H5010" s="396"/>
      <c r="J5010" s="666"/>
    </row>
    <row r="5011" spans="1:10" s="401" customFormat="1" ht="14.25" customHeight="1" x14ac:dyDescent="0.25">
      <c r="A5011" s="564" t="s">
        <v>2346</v>
      </c>
      <c r="B5011" s="562" t="s">
        <v>969</v>
      </c>
      <c r="C5011" s="403">
        <v>8700</v>
      </c>
      <c r="D5011" s="400"/>
      <c r="E5011" s="400"/>
      <c r="F5011" s="400"/>
      <c r="G5011" s="400"/>
      <c r="H5011" s="396"/>
      <c r="J5011" s="666"/>
    </row>
    <row r="5012" spans="1:10" s="401" customFormat="1" ht="14.25" customHeight="1" x14ac:dyDescent="0.25">
      <c r="A5012" s="564" t="s">
        <v>2347</v>
      </c>
      <c r="B5012" s="562" t="s">
        <v>969</v>
      </c>
      <c r="C5012" s="403">
        <v>8700</v>
      </c>
      <c r="D5012" s="400"/>
      <c r="E5012" s="400"/>
      <c r="F5012" s="400"/>
      <c r="G5012" s="400"/>
      <c r="H5012" s="396"/>
      <c r="J5012" s="666"/>
    </row>
    <row r="5013" spans="1:10" s="401" customFormat="1" ht="14.25" customHeight="1" x14ac:dyDescent="0.25">
      <c r="A5013" s="564" t="s">
        <v>2198</v>
      </c>
      <c r="B5013" s="562" t="s">
        <v>738</v>
      </c>
      <c r="C5013" s="403">
        <v>9099.1</v>
      </c>
      <c r="D5013" s="400"/>
      <c r="E5013" s="400"/>
      <c r="F5013" s="400"/>
      <c r="G5013" s="400"/>
      <c r="H5013" s="396"/>
      <c r="J5013" s="666"/>
    </row>
    <row r="5014" spans="1:10" s="401" customFormat="1" ht="14.25" customHeight="1" x14ac:dyDescent="0.25">
      <c r="A5014" s="564" t="s">
        <v>2252</v>
      </c>
      <c r="B5014" s="562" t="s">
        <v>877</v>
      </c>
      <c r="C5014" s="403">
        <v>9338</v>
      </c>
      <c r="D5014" s="400"/>
      <c r="E5014" s="400"/>
      <c r="F5014" s="400"/>
      <c r="G5014" s="400"/>
      <c r="H5014" s="396"/>
      <c r="J5014" s="666"/>
    </row>
    <row r="5015" spans="1:10" s="401" customFormat="1" ht="14.25" customHeight="1" x14ac:dyDescent="0.25">
      <c r="A5015" s="564" t="s">
        <v>2253</v>
      </c>
      <c r="B5015" s="562" t="s">
        <v>877</v>
      </c>
      <c r="C5015" s="403">
        <v>9338</v>
      </c>
      <c r="D5015" s="400"/>
      <c r="E5015" s="400"/>
      <c r="F5015" s="400"/>
      <c r="G5015" s="400"/>
      <c r="H5015" s="396"/>
      <c r="J5015" s="666"/>
    </row>
    <row r="5016" spans="1:10" s="401" customFormat="1" ht="14.25" customHeight="1" x14ac:dyDescent="0.25">
      <c r="A5016" s="564" t="s">
        <v>2254</v>
      </c>
      <c r="B5016" s="562" t="s">
        <v>877</v>
      </c>
      <c r="C5016" s="403">
        <v>9338</v>
      </c>
      <c r="D5016" s="400"/>
      <c r="E5016" s="400"/>
      <c r="F5016" s="400"/>
      <c r="G5016" s="400"/>
      <c r="H5016" s="396"/>
      <c r="J5016" s="666"/>
    </row>
    <row r="5017" spans="1:10" s="401" customFormat="1" ht="14.25" customHeight="1" x14ac:dyDescent="0.25">
      <c r="A5017" s="564" t="s">
        <v>2255</v>
      </c>
      <c r="B5017" s="562" t="s">
        <v>877</v>
      </c>
      <c r="C5017" s="403">
        <v>9338</v>
      </c>
      <c r="D5017" s="400"/>
      <c r="E5017" s="400"/>
      <c r="F5017" s="400"/>
      <c r="G5017" s="400"/>
      <c r="H5017" s="396"/>
      <c r="J5017" s="666"/>
    </row>
    <row r="5018" spans="1:10" s="401" customFormat="1" ht="14.25" customHeight="1" x14ac:dyDescent="0.25">
      <c r="A5018" s="564" t="s">
        <v>2256</v>
      </c>
      <c r="B5018" s="562" t="s">
        <v>877</v>
      </c>
      <c r="C5018" s="403">
        <v>9338</v>
      </c>
      <c r="D5018" s="400"/>
      <c r="E5018" s="400"/>
      <c r="F5018" s="400"/>
      <c r="G5018" s="400"/>
      <c r="H5018" s="396"/>
      <c r="J5018" s="666"/>
    </row>
    <row r="5019" spans="1:10" s="401" customFormat="1" ht="14.25" customHeight="1" x14ac:dyDescent="0.25">
      <c r="A5019" s="564" t="s">
        <v>2275</v>
      </c>
      <c r="B5019" s="562" t="s">
        <v>877</v>
      </c>
      <c r="C5019" s="403">
        <v>9338</v>
      </c>
      <c r="D5019" s="400"/>
      <c r="E5019" s="400"/>
      <c r="F5019" s="400"/>
      <c r="G5019" s="400"/>
      <c r="H5019" s="396"/>
      <c r="J5019" s="666"/>
    </row>
    <row r="5020" spans="1:10" s="401" customFormat="1" ht="14.25" customHeight="1" x14ac:dyDescent="0.25">
      <c r="A5020" s="564" t="s">
        <v>2307</v>
      </c>
      <c r="B5020" s="562" t="s">
        <v>2354</v>
      </c>
      <c r="C5020" s="403">
        <v>9999.99</v>
      </c>
      <c r="D5020" s="400"/>
      <c r="E5020" s="400"/>
      <c r="F5020" s="400"/>
      <c r="G5020" s="400"/>
      <c r="H5020" s="396"/>
      <c r="J5020" s="666"/>
    </row>
    <row r="5021" spans="1:10" s="401" customFormat="1" ht="14.25" customHeight="1" x14ac:dyDescent="0.25">
      <c r="A5021" s="564" t="s">
        <v>2076</v>
      </c>
      <c r="B5021" s="562" t="s">
        <v>2348</v>
      </c>
      <c r="C5021" s="403">
        <v>10328.61</v>
      </c>
      <c r="D5021" s="400"/>
      <c r="E5021" s="400"/>
      <c r="F5021" s="400"/>
      <c r="G5021" s="400"/>
      <c r="H5021" s="396"/>
      <c r="J5021" s="666"/>
    </row>
    <row r="5022" spans="1:10" s="401" customFormat="1" ht="14.25" customHeight="1" x14ac:dyDescent="0.25">
      <c r="A5022" s="564" t="s">
        <v>2077</v>
      </c>
      <c r="B5022" s="562" t="s">
        <v>2348</v>
      </c>
      <c r="C5022" s="403">
        <v>10328.61</v>
      </c>
      <c r="D5022" s="400"/>
      <c r="E5022" s="400"/>
      <c r="F5022" s="400"/>
      <c r="G5022" s="400"/>
      <c r="H5022" s="396"/>
      <c r="J5022" s="666"/>
    </row>
    <row r="5023" spans="1:10" s="401" customFormat="1" ht="14.25" customHeight="1" x14ac:dyDescent="0.25">
      <c r="A5023" s="564" t="s">
        <v>2078</v>
      </c>
      <c r="B5023" s="562" t="s">
        <v>2348</v>
      </c>
      <c r="C5023" s="403">
        <v>10328.61</v>
      </c>
      <c r="D5023" s="400"/>
      <c r="E5023" s="400"/>
      <c r="F5023" s="400"/>
      <c r="G5023" s="400"/>
      <c r="H5023" s="396"/>
      <c r="J5023" s="666"/>
    </row>
    <row r="5024" spans="1:10" s="401" customFormat="1" ht="14.25" customHeight="1" x14ac:dyDescent="0.25">
      <c r="A5024" s="564" t="s">
        <v>2079</v>
      </c>
      <c r="B5024" s="562" t="s">
        <v>2348</v>
      </c>
      <c r="C5024" s="403">
        <v>10328.61</v>
      </c>
      <c r="D5024" s="400"/>
      <c r="E5024" s="400"/>
      <c r="F5024" s="400"/>
      <c r="G5024" s="400"/>
      <c r="H5024" s="396"/>
      <c r="J5024" s="666"/>
    </row>
    <row r="5025" spans="1:10" s="401" customFormat="1" ht="14.25" customHeight="1" x14ac:dyDescent="0.25">
      <c r="A5025" s="564" t="s">
        <v>2344</v>
      </c>
      <c r="B5025" s="562" t="s">
        <v>969</v>
      </c>
      <c r="C5025" s="403">
        <v>10353.58</v>
      </c>
      <c r="D5025" s="400"/>
      <c r="E5025" s="400"/>
      <c r="F5025" s="400"/>
      <c r="G5025" s="400"/>
      <c r="H5025" s="396"/>
      <c r="J5025" s="666"/>
    </row>
    <row r="5026" spans="1:10" s="401" customFormat="1" ht="14.25" customHeight="1" x14ac:dyDescent="0.25">
      <c r="A5026" s="564" t="s">
        <v>2345</v>
      </c>
      <c r="B5026" s="562" t="s">
        <v>969</v>
      </c>
      <c r="C5026" s="403">
        <v>10353.58</v>
      </c>
      <c r="D5026" s="400"/>
      <c r="E5026" s="400"/>
      <c r="F5026" s="400"/>
      <c r="G5026" s="400"/>
      <c r="H5026" s="396"/>
      <c r="J5026" s="666"/>
    </row>
    <row r="5027" spans="1:10" s="401" customFormat="1" ht="14.25" customHeight="1" x14ac:dyDescent="0.25">
      <c r="A5027" s="564" t="s">
        <v>2269</v>
      </c>
      <c r="B5027" s="562" t="s">
        <v>877</v>
      </c>
      <c r="C5027" s="403">
        <v>10672</v>
      </c>
      <c r="D5027" s="400"/>
      <c r="E5027" s="400"/>
      <c r="F5027" s="400"/>
      <c r="G5027" s="400"/>
      <c r="H5027" s="396"/>
      <c r="J5027" s="666"/>
    </row>
    <row r="5028" spans="1:10" s="401" customFormat="1" ht="14.25" customHeight="1" x14ac:dyDescent="0.25">
      <c r="A5028" s="564" t="s">
        <v>2270</v>
      </c>
      <c r="B5028" s="562" t="s">
        <v>877</v>
      </c>
      <c r="C5028" s="403">
        <v>10672</v>
      </c>
      <c r="D5028" s="400"/>
      <c r="E5028" s="400"/>
      <c r="F5028" s="400"/>
      <c r="G5028" s="400"/>
      <c r="H5028" s="396"/>
      <c r="J5028" s="666"/>
    </row>
    <row r="5029" spans="1:10" s="401" customFormat="1" ht="14.25" customHeight="1" x14ac:dyDescent="0.25">
      <c r="A5029" s="564" t="s">
        <v>2271</v>
      </c>
      <c r="B5029" s="562" t="s">
        <v>877</v>
      </c>
      <c r="C5029" s="403">
        <v>10672</v>
      </c>
      <c r="D5029" s="400"/>
      <c r="E5029" s="400"/>
      <c r="F5029" s="400"/>
      <c r="G5029" s="400"/>
      <c r="H5029" s="396"/>
      <c r="J5029" s="666"/>
    </row>
    <row r="5030" spans="1:10" s="401" customFormat="1" ht="14.25" customHeight="1" x14ac:dyDescent="0.25">
      <c r="A5030" s="564" t="s">
        <v>2272</v>
      </c>
      <c r="B5030" s="562" t="s">
        <v>877</v>
      </c>
      <c r="C5030" s="403">
        <v>10672</v>
      </c>
      <c r="D5030" s="400"/>
      <c r="E5030" s="400"/>
      <c r="F5030" s="400"/>
      <c r="G5030" s="400"/>
      <c r="H5030" s="396"/>
      <c r="J5030" s="666"/>
    </row>
    <row r="5031" spans="1:10" s="401" customFormat="1" ht="14.25" customHeight="1" x14ac:dyDescent="0.25">
      <c r="A5031" s="564" t="s">
        <v>2273</v>
      </c>
      <c r="B5031" s="562" t="s">
        <v>877</v>
      </c>
      <c r="C5031" s="403">
        <v>10672</v>
      </c>
      <c r="D5031" s="400"/>
      <c r="E5031" s="400"/>
      <c r="F5031" s="400"/>
      <c r="G5031" s="400"/>
      <c r="H5031" s="396"/>
      <c r="J5031" s="666"/>
    </row>
    <row r="5032" spans="1:10" s="401" customFormat="1" ht="14.25" customHeight="1" x14ac:dyDescent="0.25">
      <c r="A5032" s="564" t="s">
        <v>2124</v>
      </c>
      <c r="B5032" s="562" t="s">
        <v>2353</v>
      </c>
      <c r="C5032" s="403">
        <v>10781.53</v>
      </c>
      <c r="D5032" s="400"/>
      <c r="E5032" s="400"/>
      <c r="F5032" s="400"/>
      <c r="G5032" s="400"/>
      <c r="H5032" s="396"/>
      <c r="J5032" s="666"/>
    </row>
    <row r="5033" spans="1:10" s="401" customFormat="1" ht="14.25" customHeight="1" x14ac:dyDescent="0.25">
      <c r="A5033" s="564" t="s">
        <v>2125</v>
      </c>
      <c r="B5033" s="562" t="s">
        <v>2353</v>
      </c>
      <c r="C5033" s="403">
        <v>10781.53</v>
      </c>
      <c r="D5033" s="400"/>
      <c r="E5033" s="400"/>
      <c r="F5033" s="400"/>
      <c r="G5033" s="400"/>
      <c r="H5033" s="396"/>
      <c r="J5033" s="666"/>
    </row>
    <row r="5034" spans="1:10" s="401" customFormat="1" ht="14.25" customHeight="1" x14ac:dyDescent="0.25">
      <c r="A5034" s="564" t="s">
        <v>2126</v>
      </c>
      <c r="B5034" s="562" t="s">
        <v>2353</v>
      </c>
      <c r="C5034" s="403">
        <v>10781.53</v>
      </c>
      <c r="D5034" s="400"/>
      <c r="E5034" s="400"/>
      <c r="F5034" s="400"/>
      <c r="G5034" s="400"/>
      <c r="H5034" s="396"/>
      <c r="J5034" s="666"/>
    </row>
    <row r="5035" spans="1:10" s="401" customFormat="1" ht="14.25" customHeight="1" x14ac:dyDescent="0.25">
      <c r="A5035" s="564" t="s">
        <v>2127</v>
      </c>
      <c r="B5035" s="562" t="s">
        <v>2353</v>
      </c>
      <c r="C5035" s="403">
        <v>10781.53</v>
      </c>
      <c r="D5035" s="400"/>
      <c r="E5035" s="400"/>
      <c r="F5035" s="400"/>
      <c r="G5035" s="400"/>
      <c r="H5035" s="396"/>
      <c r="J5035" s="666"/>
    </row>
    <row r="5036" spans="1:10" s="401" customFormat="1" ht="14.25" customHeight="1" x14ac:dyDescent="0.25">
      <c r="A5036" s="564" t="s">
        <v>2128</v>
      </c>
      <c r="B5036" s="562" t="s">
        <v>2353</v>
      </c>
      <c r="C5036" s="403">
        <v>10781.53</v>
      </c>
      <c r="D5036" s="400"/>
      <c r="E5036" s="400"/>
      <c r="F5036" s="400"/>
      <c r="G5036" s="400"/>
      <c r="H5036" s="396"/>
      <c r="J5036" s="666"/>
    </row>
    <row r="5037" spans="1:10" s="401" customFormat="1" ht="14.25" customHeight="1" x14ac:dyDescent="0.25">
      <c r="A5037" s="564" t="s">
        <v>2129</v>
      </c>
      <c r="B5037" s="562" t="s">
        <v>2353</v>
      </c>
      <c r="C5037" s="403">
        <v>10781.53</v>
      </c>
      <c r="D5037" s="400"/>
      <c r="E5037" s="400"/>
      <c r="F5037" s="400"/>
      <c r="G5037" s="400"/>
      <c r="H5037" s="396"/>
      <c r="J5037" s="666"/>
    </row>
    <row r="5038" spans="1:10" s="401" customFormat="1" ht="14.25" customHeight="1" x14ac:dyDescent="0.25">
      <c r="A5038" s="564" t="s">
        <v>2130</v>
      </c>
      <c r="B5038" s="562" t="s">
        <v>2353</v>
      </c>
      <c r="C5038" s="403">
        <v>10781.53</v>
      </c>
      <c r="D5038" s="400"/>
      <c r="E5038" s="400"/>
      <c r="F5038" s="400"/>
      <c r="G5038" s="400"/>
      <c r="H5038" s="396"/>
      <c r="J5038" s="666"/>
    </row>
    <row r="5039" spans="1:10" s="401" customFormat="1" ht="14.25" customHeight="1" x14ac:dyDescent="0.25">
      <c r="A5039" s="564" t="s">
        <v>2131</v>
      </c>
      <c r="B5039" s="562" t="s">
        <v>2353</v>
      </c>
      <c r="C5039" s="403">
        <v>10781.53</v>
      </c>
      <c r="D5039" s="400"/>
      <c r="E5039" s="400"/>
      <c r="F5039" s="400"/>
      <c r="G5039" s="400"/>
      <c r="H5039" s="396"/>
      <c r="J5039" s="666"/>
    </row>
    <row r="5040" spans="1:10" s="401" customFormat="1" ht="14.25" customHeight="1" x14ac:dyDescent="0.25">
      <c r="A5040" s="564" t="s">
        <v>2132</v>
      </c>
      <c r="B5040" s="562" t="s">
        <v>2353</v>
      </c>
      <c r="C5040" s="403">
        <v>10781.53</v>
      </c>
      <c r="D5040" s="400"/>
      <c r="E5040" s="400"/>
      <c r="F5040" s="400"/>
      <c r="G5040" s="400"/>
      <c r="H5040" s="396"/>
      <c r="J5040" s="666"/>
    </row>
    <row r="5041" spans="1:10" s="401" customFormat="1" ht="14.25" customHeight="1" x14ac:dyDescent="0.25">
      <c r="A5041" s="564" t="s">
        <v>2133</v>
      </c>
      <c r="B5041" s="562" t="s">
        <v>2353</v>
      </c>
      <c r="C5041" s="403">
        <v>10781.53</v>
      </c>
      <c r="D5041" s="400"/>
      <c r="E5041" s="400"/>
      <c r="F5041" s="400"/>
      <c r="G5041" s="400"/>
      <c r="H5041" s="396"/>
      <c r="J5041" s="666"/>
    </row>
    <row r="5042" spans="1:10" s="401" customFormat="1" ht="14.25" customHeight="1" x14ac:dyDescent="0.25">
      <c r="A5042" s="564" t="s">
        <v>2134</v>
      </c>
      <c r="B5042" s="562" t="s">
        <v>2353</v>
      </c>
      <c r="C5042" s="403">
        <v>10781.53</v>
      </c>
      <c r="D5042" s="400"/>
      <c r="E5042" s="400"/>
      <c r="F5042" s="400"/>
      <c r="G5042" s="400"/>
      <c r="H5042" s="396"/>
      <c r="J5042" s="666"/>
    </row>
    <row r="5043" spans="1:10" s="401" customFormat="1" ht="14.25" customHeight="1" x14ac:dyDescent="0.25">
      <c r="A5043" s="564" t="s">
        <v>2135</v>
      </c>
      <c r="B5043" s="562" t="s">
        <v>2353</v>
      </c>
      <c r="C5043" s="403">
        <v>10781.53</v>
      </c>
      <c r="D5043" s="400"/>
      <c r="E5043" s="400"/>
      <c r="F5043" s="400"/>
      <c r="G5043" s="400"/>
      <c r="H5043" s="396"/>
      <c r="J5043" s="666"/>
    </row>
    <row r="5044" spans="1:10" s="401" customFormat="1" ht="14.25" customHeight="1" x14ac:dyDescent="0.25">
      <c r="A5044" s="564" t="s">
        <v>2136</v>
      </c>
      <c r="B5044" s="562" t="s">
        <v>2353</v>
      </c>
      <c r="C5044" s="403">
        <v>10781.53</v>
      </c>
      <c r="D5044" s="400"/>
      <c r="E5044" s="400"/>
      <c r="F5044" s="400"/>
      <c r="G5044" s="400"/>
      <c r="H5044" s="396"/>
      <c r="J5044" s="666"/>
    </row>
    <row r="5045" spans="1:10" s="401" customFormat="1" ht="14.25" customHeight="1" x14ac:dyDescent="0.25">
      <c r="A5045" s="564" t="s">
        <v>2137</v>
      </c>
      <c r="B5045" s="562" t="s">
        <v>2353</v>
      </c>
      <c r="C5045" s="403">
        <v>10781.53</v>
      </c>
      <c r="D5045" s="400"/>
      <c r="E5045" s="400"/>
      <c r="F5045" s="400"/>
      <c r="G5045" s="400"/>
      <c r="H5045" s="396"/>
      <c r="J5045" s="666"/>
    </row>
    <row r="5046" spans="1:10" s="401" customFormat="1" ht="14.25" customHeight="1" x14ac:dyDescent="0.25">
      <c r="A5046" s="564" t="s">
        <v>2138</v>
      </c>
      <c r="B5046" s="562" t="s">
        <v>2353</v>
      </c>
      <c r="C5046" s="403">
        <v>10781.53</v>
      </c>
      <c r="D5046" s="400"/>
      <c r="E5046" s="400"/>
      <c r="F5046" s="400"/>
      <c r="G5046" s="400"/>
      <c r="H5046" s="396"/>
      <c r="J5046" s="666"/>
    </row>
    <row r="5047" spans="1:10" s="401" customFormat="1" ht="14.25" customHeight="1" x14ac:dyDescent="0.25">
      <c r="A5047" s="564" t="s">
        <v>2139</v>
      </c>
      <c r="B5047" s="562" t="s">
        <v>2353</v>
      </c>
      <c r="C5047" s="403">
        <v>10781.53</v>
      </c>
      <c r="D5047" s="400"/>
      <c r="E5047" s="400"/>
      <c r="F5047" s="400"/>
      <c r="G5047" s="400"/>
      <c r="H5047" s="396"/>
      <c r="J5047" s="666"/>
    </row>
    <row r="5048" spans="1:10" s="401" customFormat="1" ht="14.25" customHeight="1" x14ac:dyDescent="0.25">
      <c r="A5048" s="564" t="s">
        <v>2140</v>
      </c>
      <c r="B5048" s="562" t="s">
        <v>2353</v>
      </c>
      <c r="C5048" s="403">
        <v>10781.53</v>
      </c>
      <c r="D5048" s="400"/>
      <c r="E5048" s="400"/>
      <c r="F5048" s="400"/>
      <c r="G5048" s="400"/>
      <c r="H5048" s="396"/>
      <c r="J5048" s="666"/>
    </row>
    <row r="5049" spans="1:10" s="401" customFormat="1" ht="14.25" customHeight="1" x14ac:dyDescent="0.25">
      <c r="A5049" s="564" t="s">
        <v>2141</v>
      </c>
      <c r="B5049" s="562" t="s">
        <v>2353</v>
      </c>
      <c r="C5049" s="403">
        <v>10781.53</v>
      </c>
      <c r="D5049" s="400"/>
      <c r="E5049" s="400"/>
      <c r="F5049" s="400"/>
      <c r="G5049" s="400"/>
      <c r="H5049" s="396"/>
      <c r="J5049" s="666"/>
    </row>
    <row r="5050" spans="1:10" s="401" customFormat="1" ht="14.25" customHeight="1" x14ac:dyDescent="0.25">
      <c r="A5050" s="564" t="s">
        <v>2142</v>
      </c>
      <c r="B5050" s="562" t="s">
        <v>2353</v>
      </c>
      <c r="C5050" s="403">
        <v>10781.53</v>
      </c>
      <c r="D5050" s="400"/>
      <c r="E5050" s="400"/>
      <c r="F5050" s="400"/>
      <c r="G5050" s="400"/>
      <c r="H5050" s="396"/>
      <c r="J5050" s="666"/>
    </row>
    <row r="5051" spans="1:10" s="401" customFormat="1" ht="14.25" customHeight="1" x14ac:dyDescent="0.25">
      <c r="A5051" s="564" t="s">
        <v>2143</v>
      </c>
      <c r="B5051" s="562" t="s">
        <v>2353</v>
      </c>
      <c r="C5051" s="403">
        <v>10781.53</v>
      </c>
      <c r="D5051" s="400"/>
      <c r="E5051" s="400"/>
      <c r="F5051" s="400"/>
      <c r="G5051" s="400"/>
      <c r="H5051" s="396"/>
      <c r="J5051" s="666"/>
    </row>
    <row r="5052" spans="1:10" s="401" customFormat="1" ht="14.25" customHeight="1" x14ac:dyDescent="0.25">
      <c r="A5052" s="564" t="s">
        <v>2144</v>
      </c>
      <c r="B5052" s="562" t="s">
        <v>2353</v>
      </c>
      <c r="C5052" s="403">
        <v>10781.53</v>
      </c>
      <c r="D5052" s="400"/>
      <c r="E5052" s="400"/>
      <c r="F5052" s="400"/>
      <c r="G5052" s="400"/>
      <c r="H5052" s="396"/>
      <c r="J5052" s="666"/>
    </row>
    <row r="5053" spans="1:10" s="401" customFormat="1" ht="14.25" customHeight="1" x14ac:dyDescent="0.25">
      <c r="A5053" s="564" t="s">
        <v>2145</v>
      </c>
      <c r="B5053" s="562" t="s">
        <v>2353</v>
      </c>
      <c r="C5053" s="403">
        <v>10781.53</v>
      </c>
      <c r="D5053" s="400"/>
      <c r="E5053" s="400"/>
      <c r="F5053" s="400"/>
      <c r="G5053" s="400"/>
      <c r="H5053" s="396"/>
      <c r="J5053" s="666"/>
    </row>
    <row r="5054" spans="1:10" s="401" customFormat="1" ht="14.25" customHeight="1" x14ac:dyDescent="0.25">
      <c r="A5054" s="564" t="s">
        <v>2146</v>
      </c>
      <c r="B5054" s="562" t="s">
        <v>2353</v>
      </c>
      <c r="C5054" s="403">
        <v>10781.53</v>
      </c>
      <c r="D5054" s="400"/>
      <c r="E5054" s="400"/>
      <c r="F5054" s="400"/>
      <c r="G5054" s="400"/>
      <c r="H5054" s="396"/>
      <c r="J5054" s="666"/>
    </row>
    <row r="5055" spans="1:10" s="401" customFormat="1" ht="14.25" customHeight="1" x14ac:dyDescent="0.25">
      <c r="A5055" s="564" t="s">
        <v>2147</v>
      </c>
      <c r="B5055" s="562" t="s">
        <v>2353</v>
      </c>
      <c r="C5055" s="403">
        <v>10781.53</v>
      </c>
      <c r="D5055" s="400"/>
      <c r="E5055" s="400"/>
      <c r="F5055" s="400"/>
      <c r="G5055" s="400"/>
      <c r="H5055" s="396"/>
      <c r="J5055" s="666"/>
    </row>
    <row r="5056" spans="1:10" s="401" customFormat="1" ht="14.25" customHeight="1" x14ac:dyDescent="0.25">
      <c r="A5056" s="564" t="s">
        <v>2148</v>
      </c>
      <c r="B5056" s="562" t="s">
        <v>2353</v>
      </c>
      <c r="C5056" s="403">
        <v>10781.53</v>
      </c>
      <c r="D5056" s="400"/>
      <c r="E5056" s="400"/>
      <c r="F5056" s="400"/>
      <c r="G5056" s="400"/>
      <c r="H5056" s="396"/>
      <c r="J5056" s="666"/>
    </row>
    <row r="5057" spans="1:10" s="401" customFormat="1" ht="14.25" customHeight="1" x14ac:dyDescent="0.25">
      <c r="A5057" s="564" t="s">
        <v>2149</v>
      </c>
      <c r="B5057" s="562" t="s">
        <v>2353</v>
      </c>
      <c r="C5057" s="403">
        <v>10781.53</v>
      </c>
      <c r="D5057" s="400"/>
      <c r="E5057" s="400"/>
      <c r="F5057" s="400"/>
      <c r="G5057" s="400"/>
      <c r="H5057" s="396"/>
      <c r="J5057" s="666"/>
    </row>
    <row r="5058" spans="1:10" s="401" customFormat="1" ht="14.25" customHeight="1" x14ac:dyDescent="0.25">
      <c r="A5058" s="564" t="s">
        <v>2214</v>
      </c>
      <c r="B5058" s="562" t="s">
        <v>2360</v>
      </c>
      <c r="C5058" s="403">
        <v>10999</v>
      </c>
      <c r="D5058" s="400"/>
      <c r="E5058" s="400"/>
      <c r="F5058" s="400"/>
      <c r="G5058" s="400"/>
      <c r="H5058" s="396"/>
      <c r="J5058" s="666"/>
    </row>
    <row r="5059" spans="1:10" s="401" customFormat="1" ht="14.25" customHeight="1" x14ac:dyDescent="0.25">
      <c r="A5059" s="564" t="s">
        <v>2317</v>
      </c>
      <c r="B5059" s="562" t="s">
        <v>2354</v>
      </c>
      <c r="C5059" s="403">
        <v>11200</v>
      </c>
      <c r="D5059" s="400"/>
      <c r="E5059" s="400"/>
      <c r="F5059" s="400"/>
      <c r="G5059" s="400"/>
      <c r="H5059" s="396"/>
      <c r="J5059" s="666"/>
    </row>
    <row r="5060" spans="1:10" s="401" customFormat="1" ht="14.25" customHeight="1" x14ac:dyDescent="0.25">
      <c r="A5060" s="564" t="s">
        <v>2315</v>
      </c>
      <c r="B5060" s="562" t="s">
        <v>2354</v>
      </c>
      <c r="C5060" s="403">
        <v>11999.99</v>
      </c>
      <c r="D5060" s="400"/>
      <c r="E5060" s="400"/>
      <c r="F5060" s="400"/>
      <c r="G5060" s="400"/>
      <c r="H5060" s="396"/>
      <c r="J5060" s="666"/>
    </row>
    <row r="5061" spans="1:10" s="401" customFormat="1" ht="14.25" customHeight="1" x14ac:dyDescent="0.25">
      <c r="A5061" s="564" t="s">
        <v>2316</v>
      </c>
      <c r="B5061" s="562" t="s">
        <v>2354</v>
      </c>
      <c r="C5061" s="403">
        <v>11999.99</v>
      </c>
      <c r="D5061" s="400"/>
      <c r="E5061" s="400"/>
      <c r="F5061" s="400"/>
      <c r="G5061" s="400"/>
      <c r="H5061" s="396"/>
      <c r="J5061" s="666"/>
    </row>
    <row r="5062" spans="1:10" s="401" customFormat="1" ht="14.25" customHeight="1" x14ac:dyDescent="0.25">
      <c r="A5062" s="564" t="s">
        <v>2295</v>
      </c>
      <c r="B5062" s="562" t="s">
        <v>2354</v>
      </c>
      <c r="C5062" s="403">
        <v>12000</v>
      </c>
      <c r="D5062" s="400"/>
      <c r="E5062" s="400"/>
      <c r="F5062" s="400"/>
      <c r="G5062" s="400"/>
      <c r="H5062" s="396"/>
      <c r="J5062" s="666"/>
    </row>
    <row r="5063" spans="1:10" s="401" customFormat="1" ht="14.25" customHeight="1" x14ac:dyDescent="0.25">
      <c r="A5063" s="564" t="s">
        <v>2296</v>
      </c>
      <c r="B5063" s="562" t="s">
        <v>2354</v>
      </c>
      <c r="C5063" s="403">
        <v>12000</v>
      </c>
      <c r="D5063" s="400"/>
      <c r="E5063" s="400"/>
      <c r="F5063" s="400"/>
      <c r="G5063" s="400"/>
      <c r="H5063" s="396"/>
      <c r="J5063" s="666"/>
    </row>
    <row r="5064" spans="1:10" s="401" customFormat="1" ht="14.25" customHeight="1" x14ac:dyDescent="0.25">
      <c r="A5064" s="564" t="s">
        <v>2338</v>
      </c>
      <c r="B5064" s="562" t="s">
        <v>2368</v>
      </c>
      <c r="C5064" s="403">
        <v>12006</v>
      </c>
      <c r="D5064" s="400"/>
      <c r="E5064" s="400"/>
      <c r="F5064" s="400"/>
      <c r="G5064" s="400"/>
      <c r="H5064" s="396"/>
      <c r="J5064" s="666"/>
    </row>
    <row r="5065" spans="1:10" s="401" customFormat="1" ht="14.25" customHeight="1" x14ac:dyDescent="0.25">
      <c r="A5065" s="564" t="s">
        <v>2339</v>
      </c>
      <c r="B5065" s="562" t="s">
        <v>2368</v>
      </c>
      <c r="C5065" s="403">
        <v>12006</v>
      </c>
      <c r="D5065" s="400"/>
      <c r="E5065" s="400"/>
      <c r="F5065" s="400"/>
      <c r="G5065" s="400"/>
      <c r="H5065" s="396"/>
      <c r="J5065" s="666"/>
    </row>
    <row r="5066" spans="1:10" s="401" customFormat="1" ht="14.25" customHeight="1" x14ac:dyDescent="0.25">
      <c r="A5066" s="564" t="s">
        <v>2340</v>
      </c>
      <c r="B5066" s="562" t="s">
        <v>2368</v>
      </c>
      <c r="C5066" s="403">
        <v>12006</v>
      </c>
      <c r="D5066" s="400"/>
      <c r="E5066" s="400"/>
      <c r="F5066" s="400"/>
      <c r="G5066" s="400"/>
      <c r="H5066" s="396"/>
      <c r="J5066" s="666"/>
    </row>
    <row r="5067" spans="1:10" s="401" customFormat="1" ht="14.25" customHeight="1" x14ac:dyDescent="0.25">
      <c r="A5067" s="564" t="s">
        <v>2341</v>
      </c>
      <c r="B5067" s="562" t="s">
        <v>2368</v>
      </c>
      <c r="C5067" s="403">
        <v>12006</v>
      </c>
      <c r="D5067" s="400"/>
      <c r="E5067" s="400"/>
      <c r="F5067" s="400"/>
      <c r="G5067" s="400"/>
      <c r="H5067" s="396"/>
      <c r="J5067" s="666"/>
    </row>
    <row r="5068" spans="1:10" s="401" customFormat="1" ht="14.25" customHeight="1" x14ac:dyDescent="0.25">
      <c r="A5068" s="564" t="s">
        <v>2342</v>
      </c>
      <c r="B5068" s="562" t="s">
        <v>2368</v>
      </c>
      <c r="C5068" s="403">
        <v>12006</v>
      </c>
      <c r="D5068" s="400"/>
      <c r="E5068" s="400"/>
      <c r="F5068" s="400"/>
      <c r="G5068" s="400"/>
      <c r="H5068" s="396"/>
      <c r="J5068" s="666"/>
    </row>
    <row r="5069" spans="1:10" s="401" customFormat="1" ht="14.25" customHeight="1" x14ac:dyDescent="0.25">
      <c r="A5069" s="564" t="s">
        <v>2343</v>
      </c>
      <c r="B5069" s="562" t="s">
        <v>2368</v>
      </c>
      <c r="C5069" s="403">
        <v>12006</v>
      </c>
      <c r="D5069" s="400"/>
      <c r="E5069" s="400"/>
      <c r="F5069" s="400"/>
      <c r="G5069" s="400"/>
      <c r="H5069" s="396"/>
      <c r="J5069" s="666"/>
    </row>
    <row r="5070" spans="1:10" s="401" customFormat="1" ht="14.25" customHeight="1" x14ac:dyDescent="0.25">
      <c r="A5070" s="564" t="s">
        <v>2180</v>
      </c>
      <c r="B5070" s="562" t="s">
        <v>2354</v>
      </c>
      <c r="C5070" s="403">
        <v>12834.007999999998</v>
      </c>
      <c r="D5070" s="400"/>
      <c r="E5070" s="400"/>
      <c r="F5070" s="400"/>
      <c r="G5070" s="400"/>
      <c r="H5070" s="396"/>
      <c r="J5070" s="666"/>
    </row>
    <row r="5071" spans="1:10" s="401" customFormat="1" ht="14.25" customHeight="1" x14ac:dyDescent="0.25">
      <c r="A5071" s="564" t="s">
        <v>2215</v>
      </c>
      <c r="B5071" s="562" t="s">
        <v>2360</v>
      </c>
      <c r="C5071" s="403">
        <v>13688</v>
      </c>
      <c r="D5071" s="400"/>
      <c r="E5071" s="400"/>
      <c r="F5071" s="400"/>
      <c r="G5071" s="400"/>
      <c r="H5071" s="396"/>
      <c r="J5071" s="666"/>
    </row>
    <row r="5072" spans="1:10" s="401" customFormat="1" ht="14.25" customHeight="1" x14ac:dyDescent="0.25">
      <c r="A5072" s="564" t="s">
        <v>2216</v>
      </c>
      <c r="B5072" s="562" t="s">
        <v>2360</v>
      </c>
      <c r="C5072" s="403">
        <v>13688</v>
      </c>
      <c r="D5072" s="400"/>
      <c r="E5072" s="400"/>
      <c r="F5072" s="400"/>
      <c r="G5072" s="400"/>
      <c r="H5072" s="396"/>
      <c r="J5072" s="666"/>
    </row>
    <row r="5073" spans="1:10" s="401" customFormat="1" ht="14.25" customHeight="1" x14ac:dyDescent="0.25">
      <c r="A5073" s="564" t="s">
        <v>2217</v>
      </c>
      <c r="B5073" s="562" t="s">
        <v>2360</v>
      </c>
      <c r="C5073" s="403">
        <v>13688</v>
      </c>
      <c r="D5073" s="400"/>
      <c r="E5073" s="400"/>
      <c r="F5073" s="400"/>
      <c r="G5073" s="400"/>
      <c r="H5073" s="396"/>
      <c r="J5073" s="666"/>
    </row>
    <row r="5074" spans="1:10" s="401" customFormat="1" ht="14.25" customHeight="1" x14ac:dyDescent="0.25">
      <c r="A5074" s="564" t="s">
        <v>2183</v>
      </c>
      <c r="B5074" s="562" t="s">
        <v>2353</v>
      </c>
      <c r="C5074" s="403">
        <v>16000</v>
      </c>
      <c r="D5074" s="400"/>
      <c r="E5074" s="400"/>
      <c r="F5074" s="400"/>
      <c r="G5074" s="400"/>
      <c r="H5074" s="396"/>
      <c r="J5074" s="666"/>
    </row>
    <row r="5075" spans="1:10" s="401" customFormat="1" ht="14.25" customHeight="1" x14ac:dyDescent="0.25">
      <c r="A5075" s="564" t="s">
        <v>2184</v>
      </c>
      <c r="B5075" s="562" t="s">
        <v>2353</v>
      </c>
      <c r="C5075" s="403">
        <v>16000</v>
      </c>
      <c r="D5075" s="400"/>
      <c r="E5075" s="400"/>
      <c r="F5075" s="400"/>
      <c r="G5075" s="400"/>
      <c r="H5075" s="396"/>
      <c r="J5075" s="666"/>
    </row>
    <row r="5076" spans="1:10" s="401" customFormat="1" ht="14.25" customHeight="1" x14ac:dyDescent="0.25">
      <c r="A5076" s="564" t="s">
        <v>2185</v>
      </c>
      <c r="B5076" s="562" t="s">
        <v>2353</v>
      </c>
      <c r="C5076" s="403">
        <v>16000</v>
      </c>
      <c r="D5076" s="400"/>
      <c r="E5076" s="400"/>
      <c r="F5076" s="400"/>
      <c r="G5076" s="400"/>
      <c r="H5076" s="396"/>
      <c r="J5076" s="666"/>
    </row>
    <row r="5077" spans="1:10" s="401" customFormat="1" ht="14.25" customHeight="1" x14ac:dyDescent="0.25">
      <c r="A5077" s="564" t="s">
        <v>2186</v>
      </c>
      <c r="B5077" s="562" t="s">
        <v>2353</v>
      </c>
      <c r="C5077" s="403">
        <v>16000</v>
      </c>
      <c r="D5077" s="400"/>
      <c r="E5077" s="400"/>
      <c r="F5077" s="400"/>
      <c r="G5077" s="400"/>
      <c r="H5077" s="396"/>
      <c r="J5077" s="666"/>
    </row>
    <row r="5078" spans="1:10" s="401" customFormat="1" ht="14.25" customHeight="1" x14ac:dyDescent="0.25">
      <c r="A5078" s="564" t="s">
        <v>2150</v>
      </c>
      <c r="B5078" s="562" t="s">
        <v>2353</v>
      </c>
      <c r="C5078" s="403">
        <v>16182</v>
      </c>
      <c r="D5078" s="400"/>
      <c r="E5078" s="400"/>
      <c r="F5078" s="400"/>
      <c r="G5078" s="400"/>
      <c r="H5078" s="396"/>
      <c r="J5078" s="666"/>
    </row>
    <row r="5079" spans="1:10" s="401" customFormat="1" ht="14.25" customHeight="1" x14ac:dyDescent="0.25">
      <c r="A5079" s="564" t="s">
        <v>2151</v>
      </c>
      <c r="B5079" s="562" t="s">
        <v>2353</v>
      </c>
      <c r="C5079" s="403">
        <v>16182</v>
      </c>
      <c r="D5079" s="400"/>
      <c r="E5079" s="400"/>
      <c r="F5079" s="400"/>
      <c r="G5079" s="400"/>
      <c r="H5079" s="396"/>
      <c r="J5079" s="666"/>
    </row>
    <row r="5080" spans="1:10" s="401" customFormat="1" ht="14.25" customHeight="1" x14ac:dyDescent="0.25">
      <c r="A5080" s="564" t="s">
        <v>2152</v>
      </c>
      <c r="B5080" s="562" t="s">
        <v>2353</v>
      </c>
      <c r="C5080" s="403">
        <v>16182</v>
      </c>
      <c r="D5080" s="400"/>
      <c r="E5080" s="400"/>
      <c r="F5080" s="400"/>
      <c r="G5080" s="400"/>
      <c r="H5080" s="396"/>
      <c r="J5080" s="666"/>
    </row>
    <row r="5081" spans="1:10" s="401" customFormat="1" ht="14.25" customHeight="1" x14ac:dyDescent="0.25">
      <c r="A5081" s="564" t="s">
        <v>2153</v>
      </c>
      <c r="B5081" s="562" t="s">
        <v>2353</v>
      </c>
      <c r="C5081" s="403">
        <v>16182</v>
      </c>
      <c r="D5081" s="400"/>
      <c r="E5081" s="400"/>
      <c r="F5081" s="400"/>
      <c r="G5081" s="400"/>
      <c r="H5081" s="396"/>
      <c r="J5081" s="666"/>
    </row>
    <row r="5082" spans="1:10" s="401" customFormat="1" ht="14.25" customHeight="1" x14ac:dyDescent="0.25">
      <c r="A5082" s="564" t="s">
        <v>2118</v>
      </c>
      <c r="B5082" s="562" t="s">
        <v>2353</v>
      </c>
      <c r="C5082" s="403">
        <v>16472</v>
      </c>
      <c r="D5082" s="400"/>
      <c r="E5082" s="400"/>
      <c r="F5082" s="400"/>
      <c r="G5082" s="400"/>
      <c r="H5082" s="396"/>
      <c r="J5082" s="666"/>
    </row>
    <row r="5083" spans="1:10" s="401" customFormat="1" ht="14.25" customHeight="1" x14ac:dyDescent="0.25">
      <c r="A5083" s="564" t="s">
        <v>2119</v>
      </c>
      <c r="B5083" s="562" t="s">
        <v>2353</v>
      </c>
      <c r="C5083" s="403">
        <v>16472</v>
      </c>
      <c r="D5083" s="400"/>
      <c r="E5083" s="400"/>
      <c r="F5083" s="400"/>
      <c r="G5083" s="400"/>
      <c r="H5083" s="396"/>
      <c r="J5083" s="666"/>
    </row>
    <row r="5084" spans="1:10" s="401" customFormat="1" ht="14.25" customHeight="1" x14ac:dyDescent="0.25">
      <c r="A5084" s="564" t="s">
        <v>2120</v>
      </c>
      <c r="B5084" s="562" t="s">
        <v>2353</v>
      </c>
      <c r="C5084" s="403">
        <v>16472</v>
      </c>
      <c r="D5084" s="400"/>
      <c r="E5084" s="400"/>
      <c r="F5084" s="400"/>
      <c r="G5084" s="400"/>
      <c r="H5084" s="396"/>
      <c r="J5084" s="666"/>
    </row>
    <row r="5085" spans="1:10" s="401" customFormat="1" ht="14.25" customHeight="1" x14ac:dyDescent="0.25">
      <c r="A5085" s="564" t="s">
        <v>2121</v>
      </c>
      <c r="B5085" s="562" t="s">
        <v>2353</v>
      </c>
      <c r="C5085" s="403">
        <v>16472</v>
      </c>
      <c r="D5085" s="400"/>
      <c r="E5085" s="400"/>
      <c r="F5085" s="400"/>
      <c r="G5085" s="400"/>
      <c r="H5085" s="396"/>
      <c r="J5085" s="666"/>
    </row>
    <row r="5086" spans="1:10" s="401" customFormat="1" ht="14.25" customHeight="1" x14ac:dyDescent="0.25">
      <c r="A5086" s="564" t="s">
        <v>2122</v>
      </c>
      <c r="B5086" s="562" t="s">
        <v>2353</v>
      </c>
      <c r="C5086" s="403">
        <v>16472</v>
      </c>
      <c r="D5086" s="400"/>
      <c r="E5086" s="400"/>
      <c r="F5086" s="400"/>
      <c r="G5086" s="400"/>
      <c r="H5086" s="396"/>
      <c r="J5086" s="666"/>
    </row>
    <row r="5087" spans="1:10" s="401" customFormat="1" ht="14.25" customHeight="1" x14ac:dyDescent="0.25">
      <c r="A5087" s="564" t="s">
        <v>2123</v>
      </c>
      <c r="B5087" s="562" t="s">
        <v>2353</v>
      </c>
      <c r="C5087" s="403">
        <v>16472</v>
      </c>
      <c r="D5087" s="400"/>
      <c r="E5087" s="400"/>
      <c r="F5087" s="400"/>
      <c r="G5087" s="400"/>
      <c r="H5087" s="396"/>
      <c r="J5087" s="666"/>
    </row>
    <row r="5088" spans="1:10" s="401" customFormat="1" ht="14.25" customHeight="1" x14ac:dyDescent="0.25">
      <c r="A5088" s="564" t="s">
        <v>2104</v>
      </c>
      <c r="B5088" s="562" t="s">
        <v>2353</v>
      </c>
      <c r="C5088" s="403">
        <v>16489</v>
      </c>
      <c r="D5088" s="400"/>
      <c r="E5088" s="400"/>
      <c r="F5088" s="400"/>
      <c r="G5088" s="400"/>
      <c r="H5088" s="396"/>
      <c r="J5088" s="666"/>
    </row>
    <row r="5089" spans="1:10" s="401" customFormat="1" ht="14.25" customHeight="1" x14ac:dyDescent="0.25">
      <c r="A5089" s="564" t="s">
        <v>2105</v>
      </c>
      <c r="B5089" s="562" t="s">
        <v>2353</v>
      </c>
      <c r="C5089" s="403">
        <v>16489</v>
      </c>
      <c r="D5089" s="400"/>
      <c r="E5089" s="400"/>
      <c r="F5089" s="400"/>
      <c r="G5089" s="400"/>
      <c r="H5089" s="396"/>
      <c r="J5089" s="666"/>
    </row>
    <row r="5090" spans="1:10" s="401" customFormat="1" ht="14.25" customHeight="1" x14ac:dyDescent="0.25">
      <c r="A5090" s="564" t="s">
        <v>2106</v>
      </c>
      <c r="B5090" s="562" t="s">
        <v>2353</v>
      </c>
      <c r="C5090" s="403">
        <v>16489</v>
      </c>
      <c r="D5090" s="400"/>
      <c r="E5090" s="400"/>
      <c r="F5090" s="400"/>
      <c r="G5090" s="400"/>
      <c r="H5090" s="396"/>
      <c r="J5090" s="666"/>
    </row>
    <row r="5091" spans="1:10" s="401" customFormat="1" ht="14.25" customHeight="1" x14ac:dyDescent="0.25">
      <c r="A5091" s="564" t="s">
        <v>2107</v>
      </c>
      <c r="B5091" s="562" t="s">
        <v>2353</v>
      </c>
      <c r="C5091" s="403">
        <v>16489</v>
      </c>
      <c r="D5091" s="400"/>
      <c r="E5091" s="400"/>
      <c r="F5091" s="400"/>
      <c r="G5091" s="400"/>
      <c r="H5091" s="396"/>
      <c r="J5091" s="666"/>
    </row>
    <row r="5092" spans="1:10" s="401" customFormat="1" ht="14.25" customHeight="1" x14ac:dyDescent="0.25">
      <c r="A5092" s="564" t="s">
        <v>2108</v>
      </c>
      <c r="B5092" s="562" t="s">
        <v>2353</v>
      </c>
      <c r="C5092" s="403">
        <v>16489</v>
      </c>
      <c r="D5092" s="400"/>
      <c r="E5092" s="400"/>
      <c r="F5092" s="400"/>
      <c r="G5092" s="400"/>
      <c r="H5092" s="396"/>
      <c r="J5092" s="666"/>
    </row>
    <row r="5093" spans="1:10" s="401" customFormat="1" ht="14.25" customHeight="1" x14ac:dyDescent="0.25">
      <c r="A5093" s="564" t="s">
        <v>2109</v>
      </c>
      <c r="B5093" s="562" t="s">
        <v>2353</v>
      </c>
      <c r="C5093" s="403">
        <v>16489</v>
      </c>
      <c r="D5093" s="400"/>
      <c r="E5093" s="400"/>
      <c r="F5093" s="400"/>
      <c r="G5093" s="400"/>
      <c r="H5093" s="396"/>
      <c r="J5093" s="666"/>
    </row>
    <row r="5094" spans="1:10" s="401" customFormat="1" ht="14.25" customHeight="1" x14ac:dyDescent="0.25">
      <c r="A5094" s="564" t="s">
        <v>2110</v>
      </c>
      <c r="B5094" s="562" t="s">
        <v>2353</v>
      </c>
      <c r="C5094" s="403">
        <v>16489</v>
      </c>
      <c r="D5094" s="400"/>
      <c r="E5094" s="400"/>
      <c r="F5094" s="400"/>
      <c r="G5094" s="400"/>
      <c r="H5094" s="396"/>
      <c r="J5094" s="666"/>
    </row>
    <row r="5095" spans="1:10" s="401" customFormat="1" ht="14.25" customHeight="1" x14ac:dyDescent="0.25">
      <c r="A5095" s="564" t="s">
        <v>2111</v>
      </c>
      <c r="B5095" s="562" t="s">
        <v>2353</v>
      </c>
      <c r="C5095" s="403">
        <v>16489</v>
      </c>
      <c r="D5095" s="400"/>
      <c r="E5095" s="400"/>
      <c r="F5095" s="400"/>
      <c r="G5095" s="400"/>
      <c r="H5095" s="396"/>
      <c r="J5095" s="666"/>
    </row>
    <row r="5096" spans="1:10" s="401" customFormat="1" ht="14.25" customHeight="1" x14ac:dyDescent="0.25">
      <c r="A5096" s="564" t="s">
        <v>2112</v>
      </c>
      <c r="B5096" s="562" t="s">
        <v>2353</v>
      </c>
      <c r="C5096" s="403">
        <v>16489</v>
      </c>
      <c r="D5096" s="400"/>
      <c r="E5096" s="400"/>
      <c r="F5096" s="400"/>
      <c r="G5096" s="400"/>
      <c r="H5096" s="396"/>
      <c r="J5096" s="666"/>
    </row>
    <row r="5097" spans="1:10" s="401" customFormat="1" ht="14.25" customHeight="1" x14ac:dyDescent="0.25">
      <c r="A5097" s="564" t="s">
        <v>2113</v>
      </c>
      <c r="B5097" s="562" t="s">
        <v>2353</v>
      </c>
      <c r="C5097" s="403">
        <v>16489</v>
      </c>
      <c r="D5097" s="400"/>
      <c r="E5097" s="400"/>
      <c r="F5097" s="400"/>
      <c r="G5097" s="400"/>
      <c r="H5097" s="396"/>
      <c r="J5097" s="666"/>
    </row>
    <row r="5098" spans="1:10" s="401" customFormat="1" ht="14.25" customHeight="1" x14ac:dyDescent="0.25">
      <c r="A5098" s="564" t="s">
        <v>2114</v>
      </c>
      <c r="B5098" s="562" t="s">
        <v>2353</v>
      </c>
      <c r="C5098" s="403">
        <v>16489</v>
      </c>
      <c r="D5098" s="400"/>
      <c r="E5098" s="400"/>
      <c r="F5098" s="400"/>
      <c r="G5098" s="400"/>
      <c r="H5098" s="396"/>
      <c r="J5098" s="666"/>
    </row>
    <row r="5099" spans="1:10" s="401" customFormat="1" ht="14.25" customHeight="1" x14ac:dyDescent="0.25">
      <c r="A5099" s="564" t="s">
        <v>2115</v>
      </c>
      <c r="B5099" s="562" t="s">
        <v>2353</v>
      </c>
      <c r="C5099" s="403">
        <v>16489</v>
      </c>
      <c r="D5099" s="400"/>
      <c r="E5099" s="400"/>
      <c r="F5099" s="400"/>
      <c r="G5099" s="400"/>
      <c r="H5099" s="396"/>
      <c r="J5099" s="666"/>
    </row>
    <row r="5100" spans="1:10" s="401" customFormat="1" ht="14.25" customHeight="1" x14ac:dyDescent="0.25">
      <c r="A5100" s="564" t="s">
        <v>2116</v>
      </c>
      <c r="B5100" s="562" t="s">
        <v>2353</v>
      </c>
      <c r="C5100" s="403">
        <v>16489</v>
      </c>
      <c r="D5100" s="400"/>
      <c r="E5100" s="400"/>
      <c r="F5100" s="400"/>
      <c r="G5100" s="400"/>
      <c r="H5100" s="396"/>
      <c r="J5100" s="666"/>
    </row>
    <row r="5101" spans="1:10" s="401" customFormat="1" ht="14.25" customHeight="1" x14ac:dyDescent="0.25">
      <c r="A5101" s="564" t="s">
        <v>2117</v>
      </c>
      <c r="B5101" s="562" t="s">
        <v>2353</v>
      </c>
      <c r="C5101" s="403">
        <v>16489</v>
      </c>
      <c r="D5101" s="400"/>
      <c r="E5101" s="400"/>
      <c r="F5101" s="400"/>
      <c r="G5101" s="400"/>
      <c r="H5101" s="396"/>
      <c r="J5101" s="666"/>
    </row>
    <row r="5102" spans="1:10" s="401" customFormat="1" ht="14.25" customHeight="1" x14ac:dyDescent="0.25">
      <c r="A5102" s="564" t="s">
        <v>2218</v>
      </c>
      <c r="B5102" s="562" t="s">
        <v>788</v>
      </c>
      <c r="C5102" s="403">
        <v>32419.68</v>
      </c>
      <c r="D5102" s="400"/>
      <c r="E5102" s="400"/>
      <c r="F5102" s="400"/>
      <c r="G5102" s="400"/>
      <c r="H5102" s="396"/>
      <c r="J5102" s="666"/>
    </row>
    <row r="5103" spans="1:10" s="401" customFormat="1" ht="14.25" customHeight="1" x14ac:dyDescent="0.25">
      <c r="A5103" s="564" t="s">
        <v>2335</v>
      </c>
      <c r="B5103" s="562" t="s">
        <v>899</v>
      </c>
      <c r="C5103" s="403">
        <v>36380</v>
      </c>
      <c r="D5103" s="400"/>
      <c r="E5103" s="400"/>
      <c r="F5103" s="400"/>
      <c r="G5103" s="400"/>
      <c r="H5103" s="396"/>
      <c r="J5103" s="666"/>
    </row>
    <row r="5104" spans="1:10" s="401" customFormat="1" ht="14.25" customHeight="1" x14ac:dyDescent="0.25">
      <c r="A5104" s="564" t="s">
        <v>2197</v>
      </c>
      <c r="B5104" s="562" t="s">
        <v>738</v>
      </c>
      <c r="C5104" s="403">
        <v>44509.15</v>
      </c>
      <c r="D5104" s="400"/>
      <c r="E5104" s="400"/>
      <c r="F5104" s="400"/>
      <c r="G5104" s="400"/>
      <c r="H5104" s="396"/>
      <c r="J5104" s="666"/>
    </row>
    <row r="5105" spans="1:10" s="401" customFormat="1" ht="14.25" customHeight="1" x14ac:dyDescent="0.25">
      <c r="A5105" s="564" t="s">
        <v>2196</v>
      </c>
      <c r="B5105" s="562" t="s">
        <v>738</v>
      </c>
      <c r="C5105" s="403">
        <v>49168.18</v>
      </c>
      <c r="D5105" s="400"/>
      <c r="E5105" s="400"/>
      <c r="F5105" s="400"/>
      <c r="G5105" s="400"/>
      <c r="H5105" s="396"/>
      <c r="J5105" s="666"/>
    </row>
    <row r="5106" spans="1:10" s="401" customFormat="1" ht="14.25" customHeight="1" x14ac:dyDescent="0.25">
      <c r="A5106" s="564" t="s">
        <v>2090</v>
      </c>
      <c r="B5106" s="562" t="s">
        <v>989</v>
      </c>
      <c r="C5106" s="403">
        <v>310740</v>
      </c>
      <c r="D5106" s="400"/>
      <c r="E5106" s="400"/>
      <c r="F5106" s="400"/>
      <c r="G5106" s="400"/>
      <c r="H5106" s="396"/>
      <c r="J5106" s="666"/>
    </row>
    <row r="5107" spans="1:10" s="401" customFormat="1" ht="14.25" customHeight="1" x14ac:dyDescent="0.25">
      <c r="A5107" s="564" t="s">
        <v>2089</v>
      </c>
      <c r="B5107" s="562" t="s">
        <v>989</v>
      </c>
      <c r="C5107" s="403">
        <v>331430.40000000002</v>
      </c>
      <c r="D5107" s="400"/>
      <c r="E5107" s="400"/>
      <c r="F5107" s="400"/>
      <c r="G5107" s="400"/>
      <c r="H5107" s="396"/>
      <c r="J5107" s="666"/>
    </row>
    <row r="5108" spans="1:10" s="401" customFormat="1" ht="14.25" customHeight="1" x14ac:dyDescent="0.25">
      <c r="A5108" s="564" t="s">
        <v>2101</v>
      </c>
      <c r="B5108" s="562" t="s">
        <v>2350</v>
      </c>
      <c r="C5108" s="403">
        <v>556800</v>
      </c>
      <c r="D5108" s="400"/>
      <c r="E5108" s="400"/>
      <c r="F5108" s="400"/>
      <c r="G5108" s="400"/>
      <c r="H5108" s="396"/>
      <c r="J5108" s="666"/>
    </row>
    <row r="5109" spans="1:10" s="401" customFormat="1" ht="14.25" customHeight="1" x14ac:dyDescent="0.25">
      <c r="A5109" s="564">
        <v>5112800002</v>
      </c>
      <c r="B5109" s="562" t="s">
        <v>2474</v>
      </c>
      <c r="C5109" s="403">
        <v>41620.800000000003</v>
      </c>
      <c r="D5109" s="400"/>
      <c r="E5109" s="400"/>
      <c r="F5109" s="400"/>
      <c r="G5109" s="400"/>
      <c r="H5109" s="396"/>
    </row>
    <row r="5110" spans="1:10" s="401" customFormat="1" ht="14.25" customHeight="1" x14ac:dyDescent="0.25">
      <c r="A5110" s="564">
        <v>5112030049</v>
      </c>
      <c r="B5110" s="562" t="s">
        <v>798</v>
      </c>
      <c r="C5110" s="403">
        <v>2099</v>
      </c>
      <c r="D5110" s="400"/>
      <c r="E5110" s="400"/>
      <c r="F5110" s="400"/>
      <c r="G5110" s="400"/>
      <c r="H5110" s="396"/>
    </row>
    <row r="5111" spans="1:10" s="401" customFormat="1" ht="14.25" customHeight="1" x14ac:dyDescent="0.25">
      <c r="A5111" s="564">
        <v>5151130003</v>
      </c>
      <c r="B5111" s="562" t="s">
        <v>898</v>
      </c>
      <c r="C5111" s="403">
        <v>2393.9499999999998</v>
      </c>
      <c r="D5111" s="400"/>
      <c r="E5111" s="400"/>
      <c r="F5111" s="400"/>
      <c r="G5111" s="400"/>
      <c r="H5111" s="396"/>
    </row>
    <row r="5112" spans="1:10" s="401" customFormat="1" ht="14.25" customHeight="1" x14ac:dyDescent="0.25">
      <c r="A5112" s="564">
        <v>5410090043</v>
      </c>
      <c r="B5112" s="562" t="s">
        <v>2475</v>
      </c>
      <c r="C5112" s="403">
        <v>34720.97</v>
      </c>
      <c r="D5112" s="400"/>
      <c r="E5112" s="400"/>
      <c r="F5112" s="400"/>
      <c r="G5112" s="400"/>
      <c r="H5112" s="396"/>
    </row>
    <row r="5113" spans="1:10" s="401" customFormat="1" ht="14.25" customHeight="1" x14ac:dyDescent="0.25">
      <c r="A5113" s="564">
        <v>5410090024</v>
      </c>
      <c r="B5113" s="562" t="s">
        <v>2476</v>
      </c>
      <c r="C5113" s="403">
        <v>559000</v>
      </c>
      <c r="D5113" s="400"/>
      <c r="E5113" s="400"/>
      <c r="F5113" s="400"/>
      <c r="G5113" s="400"/>
      <c r="H5113" s="396"/>
    </row>
    <row r="5114" spans="1:10" s="401" customFormat="1" ht="14.25" customHeight="1" x14ac:dyDescent="0.25">
      <c r="A5114" s="564">
        <v>5410230055</v>
      </c>
      <c r="B5114" s="562" t="s">
        <v>2477</v>
      </c>
      <c r="C5114" s="403">
        <v>97400</v>
      </c>
      <c r="D5114" s="400"/>
      <c r="E5114" s="400"/>
      <c r="F5114" s="400"/>
      <c r="G5114" s="400"/>
      <c r="H5114" s="396"/>
    </row>
    <row r="5115" spans="1:10" s="401" customFormat="1" ht="14.25" customHeight="1" x14ac:dyDescent="0.25">
      <c r="A5115" s="564">
        <v>5410430001</v>
      </c>
      <c r="B5115" s="562" t="s">
        <v>2478</v>
      </c>
      <c r="C5115" s="403">
        <v>30000</v>
      </c>
      <c r="D5115" s="400"/>
      <c r="E5115" s="400"/>
      <c r="F5115" s="400"/>
      <c r="G5115" s="400"/>
      <c r="H5115" s="396"/>
    </row>
    <row r="5116" spans="1:10" s="401" customFormat="1" ht="14.25" customHeight="1" x14ac:dyDescent="0.25">
      <c r="A5116" s="564">
        <v>5410090019</v>
      </c>
      <c r="B5116" s="562" t="s">
        <v>2479</v>
      </c>
      <c r="C5116" s="403">
        <v>33934</v>
      </c>
      <c r="D5116" s="400"/>
      <c r="E5116" s="400"/>
      <c r="F5116" s="400"/>
      <c r="G5116" s="400"/>
      <c r="H5116" s="396"/>
    </row>
    <row r="5117" spans="1:10" s="401" customFormat="1" ht="14.25" customHeight="1" x14ac:dyDescent="0.25">
      <c r="A5117" s="564">
        <v>5410090020</v>
      </c>
      <c r="B5117" s="562" t="s">
        <v>2479</v>
      </c>
      <c r="C5117" s="403">
        <v>218500</v>
      </c>
      <c r="D5117" s="400"/>
      <c r="E5117" s="400"/>
      <c r="F5117" s="400"/>
      <c r="G5117" s="400"/>
      <c r="H5117" s="396"/>
    </row>
    <row r="5118" spans="1:10" s="401" customFormat="1" ht="14.25" customHeight="1" x14ac:dyDescent="0.25">
      <c r="A5118" s="564">
        <v>5410140001</v>
      </c>
      <c r="B5118" s="562" t="s">
        <v>2480</v>
      </c>
      <c r="C5118" s="403">
        <v>829250</v>
      </c>
      <c r="D5118" s="400"/>
      <c r="E5118" s="400"/>
      <c r="F5118" s="400"/>
      <c r="G5118" s="400"/>
      <c r="H5118" s="396"/>
    </row>
    <row r="5119" spans="1:10" s="401" customFormat="1" ht="14.25" customHeight="1" x14ac:dyDescent="0.25">
      <c r="A5119" s="564">
        <v>5410090021</v>
      </c>
      <c r="B5119" s="562" t="s">
        <v>2480</v>
      </c>
      <c r="C5119" s="403">
        <v>829250</v>
      </c>
      <c r="D5119" s="400"/>
      <c r="E5119" s="400"/>
      <c r="F5119" s="400"/>
      <c r="G5119" s="400"/>
      <c r="H5119" s="396"/>
    </row>
    <row r="5120" spans="1:10" s="401" customFormat="1" ht="14.25" customHeight="1" x14ac:dyDescent="0.25">
      <c r="A5120" s="564">
        <v>5410120001</v>
      </c>
      <c r="B5120" s="562" t="s">
        <v>2481</v>
      </c>
      <c r="C5120" s="403">
        <v>20000</v>
      </c>
      <c r="D5120" s="400"/>
      <c r="E5120" s="400"/>
      <c r="F5120" s="400"/>
      <c r="G5120" s="400"/>
      <c r="H5120" s="396"/>
    </row>
    <row r="5121" spans="1:8" s="401" customFormat="1" ht="14.25" customHeight="1" x14ac:dyDescent="0.25">
      <c r="A5121" s="564">
        <v>5410090023</v>
      </c>
      <c r="B5121" s="562" t="s">
        <v>2479</v>
      </c>
      <c r="C5121" s="403">
        <v>154000</v>
      </c>
      <c r="D5121" s="400"/>
      <c r="E5121" s="400"/>
      <c r="F5121" s="400"/>
      <c r="G5121" s="400"/>
      <c r="H5121" s="396"/>
    </row>
    <row r="5122" spans="1:8" s="401" customFormat="1" ht="14.25" customHeight="1" x14ac:dyDescent="0.25">
      <c r="A5122" s="564">
        <v>5410450001</v>
      </c>
      <c r="B5122" s="562" t="s">
        <v>2478</v>
      </c>
      <c r="C5122" s="403">
        <v>19000</v>
      </c>
      <c r="D5122" s="400"/>
      <c r="E5122" s="400"/>
      <c r="F5122" s="400"/>
      <c r="G5122" s="400"/>
      <c r="H5122" s="396"/>
    </row>
    <row r="5123" spans="1:8" s="401" customFormat="1" ht="14.25" customHeight="1" x14ac:dyDescent="0.25">
      <c r="A5123" s="564">
        <v>5410470002</v>
      </c>
      <c r="B5123" s="562" t="s">
        <v>988</v>
      </c>
      <c r="C5123" s="403">
        <v>1230000</v>
      </c>
      <c r="D5123" s="400"/>
      <c r="E5123" s="400"/>
      <c r="F5123" s="400"/>
      <c r="G5123" s="400"/>
      <c r="H5123" s="396"/>
    </row>
    <row r="5124" spans="1:8" s="401" customFormat="1" ht="14.25" customHeight="1" x14ac:dyDescent="0.25">
      <c r="A5124" s="564">
        <v>5410250042</v>
      </c>
      <c r="B5124" s="562" t="s">
        <v>988</v>
      </c>
      <c r="C5124" s="403">
        <v>1.1000000000000001</v>
      </c>
      <c r="D5124" s="400"/>
      <c r="E5124" s="400"/>
      <c r="F5124" s="400"/>
      <c r="G5124" s="400"/>
      <c r="H5124" s="396"/>
    </row>
    <row r="5125" spans="1:8" s="401" customFormat="1" ht="14.25" customHeight="1" x14ac:dyDescent="0.25">
      <c r="A5125" s="564">
        <v>5410250043</v>
      </c>
      <c r="B5125" s="562" t="s">
        <v>988</v>
      </c>
      <c r="C5125" s="403">
        <v>1.1000000000000001</v>
      </c>
      <c r="D5125" s="400"/>
      <c r="E5125" s="400"/>
      <c r="F5125" s="400"/>
      <c r="G5125" s="400"/>
      <c r="H5125" s="396"/>
    </row>
    <row r="5126" spans="1:8" s="401" customFormat="1" ht="14.25" customHeight="1" x14ac:dyDescent="0.25">
      <c r="A5126" s="564">
        <v>5410090035</v>
      </c>
      <c r="B5126" s="562" t="s">
        <v>2476</v>
      </c>
      <c r="C5126" s="403">
        <v>559000</v>
      </c>
      <c r="D5126" s="400"/>
      <c r="E5126" s="400"/>
      <c r="F5126" s="400"/>
      <c r="G5126" s="400"/>
      <c r="H5126" s="396"/>
    </row>
    <row r="5127" spans="1:8" s="401" customFormat="1" ht="14.25" customHeight="1" x14ac:dyDescent="0.25">
      <c r="A5127" s="564">
        <v>5410090029</v>
      </c>
      <c r="B5127" s="562" t="s">
        <v>2482</v>
      </c>
      <c r="C5127" s="403">
        <v>176180</v>
      </c>
      <c r="D5127" s="400"/>
      <c r="E5127" s="400"/>
      <c r="F5127" s="400"/>
      <c r="G5127" s="400"/>
      <c r="H5127" s="396"/>
    </row>
    <row r="5128" spans="1:8" s="401" customFormat="1" ht="14.25" customHeight="1" x14ac:dyDescent="0.25">
      <c r="A5128" s="564">
        <v>5410090036</v>
      </c>
      <c r="B5128" s="562" t="s">
        <v>2483</v>
      </c>
      <c r="C5128" s="403">
        <v>116319.73</v>
      </c>
      <c r="D5128" s="400"/>
      <c r="E5128" s="400"/>
      <c r="F5128" s="400"/>
      <c r="G5128" s="400"/>
      <c r="H5128" s="396"/>
    </row>
    <row r="5129" spans="1:8" s="401" customFormat="1" ht="14.25" customHeight="1" x14ac:dyDescent="0.25">
      <c r="A5129" s="564">
        <v>5410090042</v>
      </c>
      <c r="B5129" s="562" t="s">
        <v>2482</v>
      </c>
      <c r="C5129" s="403">
        <v>176180</v>
      </c>
      <c r="D5129" s="400"/>
      <c r="E5129" s="400"/>
      <c r="F5129" s="400"/>
      <c r="G5129" s="400"/>
      <c r="H5129" s="396"/>
    </row>
    <row r="5130" spans="1:8" s="401" customFormat="1" ht="14.25" customHeight="1" x14ac:dyDescent="0.25">
      <c r="A5130" s="564">
        <v>5410090027</v>
      </c>
      <c r="B5130" s="562" t="s">
        <v>2482</v>
      </c>
      <c r="C5130" s="403">
        <v>176180</v>
      </c>
      <c r="D5130" s="400"/>
      <c r="E5130" s="400"/>
      <c r="F5130" s="400"/>
      <c r="G5130" s="400"/>
      <c r="H5130" s="396"/>
    </row>
    <row r="5131" spans="1:8" s="401" customFormat="1" ht="14.25" customHeight="1" x14ac:dyDescent="0.25">
      <c r="A5131" s="564">
        <v>5410230054</v>
      </c>
      <c r="B5131" s="562" t="s">
        <v>2479</v>
      </c>
      <c r="C5131" s="403">
        <v>141908.85</v>
      </c>
      <c r="D5131" s="400"/>
      <c r="E5131" s="400"/>
      <c r="F5131" s="400"/>
      <c r="G5131" s="400"/>
      <c r="H5131" s="396"/>
    </row>
    <row r="5132" spans="1:8" s="401" customFormat="1" ht="14.25" customHeight="1" x14ac:dyDescent="0.25">
      <c r="A5132" s="564">
        <v>5410090025</v>
      </c>
      <c r="B5132" s="562" t="s">
        <v>2482</v>
      </c>
      <c r="C5132" s="403">
        <v>176180</v>
      </c>
      <c r="D5132" s="400"/>
      <c r="E5132" s="400"/>
      <c r="F5132" s="400"/>
      <c r="G5132" s="400"/>
      <c r="H5132" s="396"/>
    </row>
    <row r="5133" spans="1:8" s="401" customFormat="1" ht="14.25" customHeight="1" x14ac:dyDescent="0.25">
      <c r="A5133" s="564">
        <v>5410090026</v>
      </c>
      <c r="B5133" s="562" t="s">
        <v>2483</v>
      </c>
      <c r="C5133" s="403">
        <v>116319.73</v>
      </c>
      <c r="D5133" s="400"/>
      <c r="E5133" s="400"/>
      <c r="F5133" s="400"/>
      <c r="G5133" s="400"/>
      <c r="H5133" s="396"/>
    </row>
    <row r="5134" spans="1:8" s="401" customFormat="1" ht="14.25" customHeight="1" x14ac:dyDescent="0.25">
      <c r="A5134" s="564">
        <v>5410090030</v>
      </c>
      <c r="B5134" s="562" t="s">
        <v>2484</v>
      </c>
      <c r="C5134" s="403">
        <v>356500</v>
      </c>
      <c r="D5134" s="400"/>
      <c r="E5134" s="400"/>
      <c r="F5134" s="400"/>
      <c r="G5134" s="400"/>
      <c r="H5134" s="396"/>
    </row>
    <row r="5135" spans="1:8" s="401" customFormat="1" ht="14.25" customHeight="1" x14ac:dyDescent="0.25">
      <c r="A5135" s="564">
        <v>5410090031</v>
      </c>
      <c r="B5135" s="562" t="s">
        <v>2484</v>
      </c>
      <c r="C5135" s="403">
        <v>499728</v>
      </c>
      <c r="D5135" s="400"/>
      <c r="E5135" s="400"/>
      <c r="F5135" s="400"/>
      <c r="G5135" s="400"/>
      <c r="H5135" s="396"/>
    </row>
    <row r="5136" spans="1:8" s="401" customFormat="1" ht="14.25" customHeight="1" x14ac:dyDescent="0.25">
      <c r="A5136" s="564">
        <v>5410090032</v>
      </c>
      <c r="B5136" s="562" t="s">
        <v>2485</v>
      </c>
      <c r="C5136" s="403">
        <v>392542</v>
      </c>
      <c r="D5136" s="400"/>
      <c r="E5136" s="400"/>
      <c r="F5136" s="400"/>
      <c r="G5136" s="400"/>
      <c r="H5136" s="396"/>
    </row>
    <row r="5137" spans="1:8" s="401" customFormat="1" ht="14.25" customHeight="1" x14ac:dyDescent="0.25">
      <c r="A5137" s="564">
        <v>5410090041</v>
      </c>
      <c r="B5137" s="562" t="s">
        <v>2476</v>
      </c>
      <c r="C5137" s="403">
        <v>424235</v>
      </c>
      <c r="D5137" s="400"/>
      <c r="E5137" s="400"/>
      <c r="F5137" s="400"/>
      <c r="G5137" s="400"/>
      <c r="H5137" s="396"/>
    </row>
    <row r="5138" spans="1:8" s="401" customFormat="1" ht="14.25" customHeight="1" x14ac:dyDescent="0.25">
      <c r="A5138" s="564">
        <v>5410090034</v>
      </c>
      <c r="B5138" s="562" t="s">
        <v>2479</v>
      </c>
      <c r="C5138" s="403">
        <v>144865.5</v>
      </c>
      <c r="D5138" s="400"/>
      <c r="E5138" s="400"/>
      <c r="F5138" s="400"/>
      <c r="G5138" s="400"/>
      <c r="H5138" s="396"/>
    </row>
    <row r="5139" spans="1:8" s="401" customFormat="1" ht="14.25" customHeight="1" x14ac:dyDescent="0.25">
      <c r="A5139" s="564">
        <v>5410090037</v>
      </c>
      <c r="B5139" s="562" t="s">
        <v>2486</v>
      </c>
      <c r="C5139" s="403">
        <v>406870</v>
      </c>
      <c r="D5139" s="400"/>
      <c r="E5139" s="400"/>
      <c r="F5139" s="400"/>
      <c r="G5139" s="400"/>
      <c r="H5139" s="396"/>
    </row>
    <row r="5140" spans="1:8" s="401" customFormat="1" ht="14.25" customHeight="1" x14ac:dyDescent="0.25">
      <c r="A5140" s="564">
        <v>5410090038</v>
      </c>
      <c r="B5140" s="562" t="s">
        <v>2479</v>
      </c>
      <c r="C5140" s="403">
        <v>109800</v>
      </c>
      <c r="D5140" s="400"/>
      <c r="E5140" s="400"/>
      <c r="F5140" s="400"/>
      <c r="G5140" s="400"/>
      <c r="H5140" s="396"/>
    </row>
    <row r="5141" spans="1:8" s="401" customFormat="1" ht="14.25" customHeight="1" x14ac:dyDescent="0.25">
      <c r="A5141" s="564">
        <v>5410090039</v>
      </c>
      <c r="B5141" s="562" t="s">
        <v>2479</v>
      </c>
      <c r="C5141" s="403">
        <v>158740</v>
      </c>
      <c r="D5141" s="400"/>
      <c r="E5141" s="400"/>
      <c r="F5141" s="400"/>
      <c r="G5141" s="400"/>
      <c r="H5141" s="396"/>
    </row>
    <row r="5142" spans="1:8" s="401" customFormat="1" ht="14.25" customHeight="1" x14ac:dyDescent="0.25">
      <c r="A5142" s="564">
        <v>5410090028</v>
      </c>
      <c r="B5142" s="562" t="s">
        <v>2482</v>
      </c>
      <c r="C5142" s="403">
        <v>176180</v>
      </c>
      <c r="D5142" s="400"/>
      <c r="E5142" s="400"/>
      <c r="F5142" s="400"/>
      <c r="G5142" s="400"/>
      <c r="H5142" s="396"/>
    </row>
    <row r="5143" spans="1:8" s="401" customFormat="1" ht="14.25" customHeight="1" x14ac:dyDescent="0.25">
      <c r="A5143" s="564">
        <v>5410480001</v>
      </c>
      <c r="B5143" s="562" t="s">
        <v>1000</v>
      </c>
      <c r="C5143" s="403">
        <v>106672.01</v>
      </c>
      <c r="D5143" s="400"/>
      <c r="E5143" s="400"/>
      <c r="F5143" s="400"/>
      <c r="G5143" s="400"/>
      <c r="H5143" s="396"/>
    </row>
    <row r="5144" spans="1:8" s="401" customFormat="1" ht="14.25" customHeight="1" x14ac:dyDescent="0.25">
      <c r="A5144" s="564">
        <v>5410480002</v>
      </c>
      <c r="B5144" s="562" t="s">
        <v>1000</v>
      </c>
      <c r="C5144" s="403">
        <v>106672.01</v>
      </c>
      <c r="D5144" s="400"/>
      <c r="E5144" s="400"/>
      <c r="F5144" s="400"/>
      <c r="G5144" s="400"/>
      <c r="H5144" s="396"/>
    </row>
    <row r="5145" spans="1:8" s="401" customFormat="1" ht="14.25" customHeight="1" x14ac:dyDescent="0.25">
      <c r="A5145" s="564">
        <v>5410500001</v>
      </c>
      <c r="B5145" s="562" t="s">
        <v>2487</v>
      </c>
      <c r="C5145" s="403">
        <v>30000</v>
      </c>
      <c r="D5145" s="400"/>
      <c r="E5145" s="400"/>
      <c r="F5145" s="400"/>
      <c r="G5145" s="400"/>
      <c r="H5145" s="396"/>
    </row>
    <row r="5146" spans="1:8" s="401" customFormat="1" ht="14.25" customHeight="1" x14ac:dyDescent="0.25">
      <c r="A5146" s="564">
        <v>5410500002</v>
      </c>
      <c r="B5146" s="562" t="s">
        <v>2488</v>
      </c>
      <c r="C5146" s="403">
        <v>6938250</v>
      </c>
      <c r="D5146" s="400"/>
      <c r="E5146" s="400"/>
      <c r="F5146" s="400"/>
      <c r="G5146" s="400"/>
      <c r="H5146" s="396"/>
    </row>
    <row r="5147" spans="1:8" s="401" customFormat="1" ht="14.25" customHeight="1" x14ac:dyDescent="0.25">
      <c r="A5147" s="564">
        <v>5151300002</v>
      </c>
      <c r="B5147" s="562" t="s">
        <v>2489</v>
      </c>
      <c r="C5147" s="403">
        <v>18792</v>
      </c>
      <c r="D5147" s="400"/>
      <c r="E5147" s="400"/>
      <c r="F5147" s="400"/>
      <c r="G5147" s="400"/>
      <c r="H5147" s="396"/>
    </row>
    <row r="5148" spans="1:8" s="401" customFormat="1" ht="14.25" customHeight="1" x14ac:dyDescent="0.25">
      <c r="A5148" s="564">
        <v>5111050041</v>
      </c>
      <c r="B5148" s="562" t="s">
        <v>2490</v>
      </c>
      <c r="C5148" s="403">
        <v>9999</v>
      </c>
      <c r="D5148" s="400"/>
      <c r="E5148" s="400"/>
      <c r="F5148" s="400"/>
      <c r="G5148" s="400"/>
      <c r="H5148" s="396"/>
    </row>
    <row r="5149" spans="1:8" s="401" customFormat="1" ht="14.25" customHeight="1" x14ac:dyDescent="0.25">
      <c r="A5149" s="564">
        <v>5111620012</v>
      </c>
      <c r="B5149" s="562" t="s">
        <v>921</v>
      </c>
      <c r="C5149" s="403">
        <v>2740.49</v>
      </c>
      <c r="D5149" s="400"/>
      <c r="E5149" s="400"/>
      <c r="F5149" s="400"/>
      <c r="G5149" s="400"/>
      <c r="H5149" s="396"/>
    </row>
    <row r="5150" spans="1:8" s="401" customFormat="1" ht="14.25" customHeight="1" x14ac:dyDescent="0.25">
      <c r="A5150" s="564">
        <v>5111620013</v>
      </c>
      <c r="B5150" s="562" t="s">
        <v>921</v>
      </c>
      <c r="C5150" s="403">
        <v>3206.24</v>
      </c>
      <c r="D5150" s="400"/>
      <c r="E5150" s="400"/>
      <c r="F5150" s="400"/>
      <c r="G5150" s="400"/>
      <c r="H5150" s="396"/>
    </row>
    <row r="5151" spans="1:8" s="401" customFormat="1" ht="14.25" customHeight="1" x14ac:dyDescent="0.25">
      <c r="A5151" s="564">
        <v>5111200003</v>
      </c>
      <c r="B5151" s="562" t="s">
        <v>1003</v>
      </c>
      <c r="C5151" s="403">
        <v>3243.63</v>
      </c>
      <c r="D5151" s="400"/>
      <c r="E5151" s="400"/>
      <c r="F5151" s="400"/>
      <c r="G5151" s="400"/>
      <c r="H5151" s="396"/>
    </row>
    <row r="5152" spans="1:8" s="401" customFormat="1" ht="14.25" customHeight="1" x14ac:dyDescent="0.25">
      <c r="A5152" s="564">
        <v>5410250044</v>
      </c>
      <c r="B5152" s="562" t="s">
        <v>988</v>
      </c>
      <c r="C5152" s="403">
        <v>205825</v>
      </c>
      <c r="D5152" s="400"/>
      <c r="E5152" s="400"/>
      <c r="F5152" s="400"/>
      <c r="G5152" s="400"/>
      <c r="H5152" s="396"/>
    </row>
    <row r="5153" spans="1:8" s="401" customFormat="1" ht="14.25" customHeight="1" x14ac:dyDescent="0.25">
      <c r="A5153" s="564">
        <v>5410250045</v>
      </c>
      <c r="B5153" s="562" t="s">
        <v>988</v>
      </c>
      <c r="C5153" s="403">
        <v>251242</v>
      </c>
      <c r="D5153" s="400"/>
      <c r="E5153" s="400"/>
      <c r="F5153" s="400"/>
      <c r="G5153" s="400"/>
      <c r="H5153" s="396"/>
    </row>
    <row r="5154" spans="1:8" s="401" customFormat="1" ht="14.25" customHeight="1" x14ac:dyDescent="0.25">
      <c r="A5154" s="564">
        <v>5410310008</v>
      </c>
      <c r="B5154" s="562" t="s">
        <v>988</v>
      </c>
      <c r="C5154" s="403">
        <v>26117</v>
      </c>
      <c r="D5154" s="400"/>
      <c r="E5154" s="400"/>
      <c r="F5154" s="400"/>
      <c r="G5154" s="400"/>
      <c r="H5154" s="396"/>
    </row>
    <row r="5155" spans="1:8" s="401" customFormat="1" ht="14.25" customHeight="1" x14ac:dyDescent="0.25">
      <c r="A5155" s="564">
        <v>5410310007</v>
      </c>
      <c r="B5155" s="562" t="s">
        <v>2481</v>
      </c>
      <c r="C5155" s="403">
        <v>80000</v>
      </c>
      <c r="D5155" s="400"/>
      <c r="E5155" s="400"/>
      <c r="F5155" s="400"/>
      <c r="G5155" s="400"/>
      <c r="H5155" s="396"/>
    </row>
    <row r="5156" spans="1:8" s="401" customFormat="1" ht="14.25" customHeight="1" x14ac:dyDescent="0.25">
      <c r="A5156" s="564">
        <v>5410150011</v>
      </c>
      <c r="B5156" s="562" t="s">
        <v>2491</v>
      </c>
      <c r="C5156" s="403">
        <v>50000</v>
      </c>
      <c r="D5156" s="400"/>
      <c r="E5156" s="400"/>
      <c r="F5156" s="400"/>
      <c r="G5156" s="400"/>
      <c r="H5156" s="396"/>
    </row>
    <row r="5157" spans="1:8" s="401" customFormat="1" ht="14.25" customHeight="1" x14ac:dyDescent="0.25">
      <c r="A5157" s="564">
        <v>5410060152</v>
      </c>
      <c r="B5157" s="562" t="s">
        <v>2484</v>
      </c>
      <c r="C5157" s="403">
        <v>50000</v>
      </c>
      <c r="D5157" s="400"/>
      <c r="E5157" s="400"/>
      <c r="F5157" s="400"/>
      <c r="G5157" s="400"/>
      <c r="H5157" s="396"/>
    </row>
    <row r="5158" spans="1:8" s="401" customFormat="1" ht="14.25" customHeight="1" x14ac:dyDescent="0.25">
      <c r="A5158" s="564">
        <v>5410480004</v>
      </c>
      <c r="B5158" s="562" t="s">
        <v>1000</v>
      </c>
      <c r="C5158" s="403">
        <v>139200</v>
      </c>
      <c r="D5158" s="400"/>
      <c r="E5158" s="400"/>
      <c r="F5158" s="400"/>
      <c r="G5158" s="400"/>
      <c r="H5158" s="396"/>
    </row>
    <row r="5159" spans="1:8" s="401" customFormat="1" ht="14.25" customHeight="1" x14ac:dyDescent="0.25">
      <c r="A5159" s="564">
        <v>5410480003</v>
      </c>
      <c r="B5159" s="562" t="s">
        <v>1000</v>
      </c>
      <c r="C5159" s="403">
        <v>139200</v>
      </c>
      <c r="D5159" s="400"/>
      <c r="E5159" s="400"/>
      <c r="F5159" s="400"/>
      <c r="G5159" s="400"/>
      <c r="H5159" s="396"/>
    </row>
    <row r="5160" spans="1:8" s="401" customFormat="1" ht="14.25" customHeight="1" x14ac:dyDescent="0.25">
      <c r="A5160" s="564">
        <v>5410480006</v>
      </c>
      <c r="B5160" s="562" t="s">
        <v>1000</v>
      </c>
      <c r="C5160" s="403">
        <v>50000</v>
      </c>
      <c r="D5160" s="400"/>
      <c r="E5160" s="400"/>
      <c r="F5160" s="400"/>
      <c r="G5160" s="400"/>
      <c r="H5160" s="396"/>
    </row>
    <row r="5161" spans="1:8" s="401" customFormat="1" ht="14.25" customHeight="1" x14ac:dyDescent="0.25">
      <c r="A5161" s="564">
        <v>5410480011</v>
      </c>
      <c r="B5161" s="562" t="s">
        <v>1000</v>
      </c>
      <c r="C5161" s="403">
        <v>50000</v>
      </c>
      <c r="D5161" s="400"/>
      <c r="E5161" s="400"/>
      <c r="F5161" s="400"/>
      <c r="G5161" s="400"/>
      <c r="H5161" s="396"/>
    </row>
    <row r="5162" spans="1:8" s="401" customFormat="1" ht="14.25" customHeight="1" x14ac:dyDescent="0.25">
      <c r="A5162" s="564">
        <v>5410480008</v>
      </c>
      <c r="B5162" s="562" t="s">
        <v>1000</v>
      </c>
      <c r="C5162" s="403">
        <v>50000</v>
      </c>
      <c r="D5162" s="400"/>
      <c r="E5162" s="400"/>
      <c r="F5162" s="400"/>
      <c r="G5162" s="400"/>
      <c r="H5162" s="396"/>
    </row>
    <row r="5163" spans="1:8" s="401" customFormat="1" ht="14.25" customHeight="1" x14ac:dyDescent="0.25">
      <c r="A5163" s="564">
        <v>5410480009</v>
      </c>
      <c r="B5163" s="562" t="s">
        <v>1000</v>
      </c>
      <c r="C5163" s="403">
        <v>50000</v>
      </c>
      <c r="D5163" s="400"/>
      <c r="E5163" s="400"/>
      <c r="F5163" s="400"/>
      <c r="G5163" s="400"/>
      <c r="H5163" s="396"/>
    </row>
    <row r="5164" spans="1:8" s="401" customFormat="1" ht="14.25" customHeight="1" x14ac:dyDescent="0.25">
      <c r="A5164" s="564">
        <v>5410480007</v>
      </c>
      <c r="B5164" s="562" t="s">
        <v>1000</v>
      </c>
      <c r="C5164" s="403">
        <v>50000</v>
      </c>
      <c r="D5164" s="400"/>
      <c r="E5164" s="400"/>
      <c r="F5164" s="400"/>
      <c r="G5164" s="400"/>
      <c r="H5164" s="396"/>
    </row>
    <row r="5165" spans="1:8" s="401" customFormat="1" ht="14.25" customHeight="1" x14ac:dyDescent="0.25">
      <c r="A5165" s="564">
        <v>5410480010</v>
      </c>
      <c r="B5165" s="562" t="s">
        <v>1000</v>
      </c>
      <c r="C5165" s="403">
        <v>139200</v>
      </c>
      <c r="D5165" s="400"/>
      <c r="E5165" s="400"/>
      <c r="F5165" s="400"/>
      <c r="G5165" s="400"/>
      <c r="H5165" s="396"/>
    </row>
    <row r="5166" spans="1:8" s="401" customFormat="1" ht="14.25" customHeight="1" x14ac:dyDescent="0.25">
      <c r="A5166" s="564">
        <v>5410480005</v>
      </c>
      <c r="B5166" s="562" t="s">
        <v>1000</v>
      </c>
      <c r="C5166" s="403">
        <v>50000</v>
      </c>
      <c r="D5166" s="400"/>
      <c r="E5166" s="400"/>
      <c r="F5166" s="400"/>
      <c r="G5166" s="400"/>
      <c r="H5166" s="396"/>
    </row>
    <row r="5167" spans="1:8" s="401" customFormat="1" ht="14.25" customHeight="1" x14ac:dyDescent="0.25">
      <c r="A5167" s="564">
        <v>5112270010</v>
      </c>
      <c r="B5167" s="562" t="s">
        <v>1056</v>
      </c>
      <c r="C5167" s="403">
        <v>6200</v>
      </c>
      <c r="D5167" s="400"/>
      <c r="E5167" s="400"/>
      <c r="F5167" s="400"/>
      <c r="G5167" s="400"/>
      <c r="H5167" s="396"/>
    </row>
    <row r="5168" spans="1:8" s="401" customFormat="1" ht="14.25" customHeight="1" x14ac:dyDescent="0.25">
      <c r="A5168" s="564">
        <v>5112270009</v>
      </c>
      <c r="B5168" s="562" t="s">
        <v>1056</v>
      </c>
      <c r="C5168" s="403">
        <v>8350</v>
      </c>
      <c r="D5168" s="400"/>
      <c r="E5168" s="400"/>
      <c r="F5168" s="400"/>
      <c r="G5168" s="400"/>
      <c r="H5168" s="396"/>
    </row>
    <row r="5169" spans="1:8" s="401" customFormat="1" ht="14.25" customHeight="1" x14ac:dyDescent="0.25">
      <c r="A5169" s="564">
        <v>5111490017</v>
      </c>
      <c r="B5169" s="562" t="s">
        <v>737</v>
      </c>
      <c r="C5169" s="403">
        <v>17064.54</v>
      </c>
      <c r="D5169" s="400"/>
      <c r="E5169" s="400"/>
      <c r="F5169" s="400"/>
      <c r="G5169" s="400"/>
      <c r="H5169" s="396"/>
    </row>
    <row r="5170" spans="1:8" s="401" customFormat="1" ht="14.25" customHeight="1" x14ac:dyDescent="0.25">
      <c r="A5170" s="564">
        <v>5111490018</v>
      </c>
      <c r="B5170" s="562" t="s">
        <v>737</v>
      </c>
      <c r="C5170" s="403">
        <v>17064.54</v>
      </c>
      <c r="D5170" s="400"/>
      <c r="E5170" s="400"/>
      <c r="F5170" s="400"/>
      <c r="G5170" s="400"/>
      <c r="H5170" s="396"/>
    </row>
    <row r="5171" spans="1:8" s="401" customFormat="1" ht="14.25" customHeight="1" x14ac:dyDescent="0.25">
      <c r="A5171" s="564">
        <v>5111490019</v>
      </c>
      <c r="B5171" s="562" t="s">
        <v>737</v>
      </c>
      <c r="C5171" s="403">
        <v>17064.54</v>
      </c>
      <c r="D5171" s="400"/>
      <c r="E5171" s="400"/>
      <c r="F5171" s="400"/>
      <c r="G5171" s="400"/>
      <c r="H5171" s="396"/>
    </row>
    <row r="5172" spans="1:8" s="401" customFormat="1" ht="14.25" customHeight="1" x14ac:dyDescent="0.25">
      <c r="A5172" s="564">
        <v>5111490020</v>
      </c>
      <c r="B5172" s="562" t="s">
        <v>737</v>
      </c>
      <c r="C5172" s="403">
        <v>17064.54</v>
      </c>
      <c r="D5172" s="400"/>
      <c r="E5172" s="400"/>
      <c r="F5172" s="400"/>
      <c r="G5172" s="400"/>
      <c r="H5172" s="396"/>
    </row>
    <row r="5173" spans="1:8" s="401" customFormat="1" ht="14.25" customHeight="1" x14ac:dyDescent="0.25">
      <c r="A5173" s="564">
        <v>5111490021</v>
      </c>
      <c r="B5173" s="562" t="s">
        <v>737</v>
      </c>
      <c r="C5173" s="403">
        <v>17064.54</v>
      </c>
      <c r="D5173" s="400"/>
      <c r="E5173" s="400"/>
      <c r="F5173" s="400"/>
      <c r="G5173" s="400"/>
      <c r="H5173" s="396"/>
    </row>
    <row r="5174" spans="1:8" s="401" customFormat="1" ht="14.25" customHeight="1" x14ac:dyDescent="0.25">
      <c r="A5174" s="564">
        <v>5111490022</v>
      </c>
      <c r="B5174" s="562" t="s">
        <v>737</v>
      </c>
      <c r="C5174" s="403">
        <v>17064.54</v>
      </c>
      <c r="D5174" s="400"/>
      <c r="E5174" s="400"/>
      <c r="F5174" s="400"/>
      <c r="G5174" s="400"/>
      <c r="H5174" s="396"/>
    </row>
    <row r="5175" spans="1:8" s="401" customFormat="1" ht="14.25" customHeight="1" x14ac:dyDescent="0.25">
      <c r="A5175" s="564">
        <v>5111490023</v>
      </c>
      <c r="B5175" s="562" t="s">
        <v>737</v>
      </c>
      <c r="C5175" s="403">
        <v>17064.54</v>
      </c>
      <c r="D5175" s="400"/>
      <c r="E5175" s="400"/>
      <c r="F5175" s="400"/>
      <c r="G5175" s="400"/>
      <c r="H5175" s="396"/>
    </row>
    <row r="5176" spans="1:8" s="401" customFormat="1" ht="14.25" customHeight="1" x14ac:dyDescent="0.25">
      <c r="A5176" s="564">
        <v>5111490024</v>
      </c>
      <c r="B5176" s="562" t="s">
        <v>737</v>
      </c>
      <c r="C5176" s="403">
        <v>17064.54</v>
      </c>
      <c r="D5176" s="400"/>
      <c r="E5176" s="400"/>
      <c r="F5176" s="400"/>
      <c r="G5176" s="400"/>
      <c r="H5176" s="396"/>
    </row>
    <row r="5177" spans="1:8" s="401" customFormat="1" ht="14.25" customHeight="1" x14ac:dyDescent="0.25">
      <c r="A5177" s="564">
        <v>5111490025</v>
      </c>
      <c r="B5177" s="562" t="s">
        <v>737</v>
      </c>
      <c r="C5177" s="403">
        <v>17064.54</v>
      </c>
      <c r="D5177" s="400"/>
      <c r="E5177" s="400"/>
      <c r="F5177" s="400"/>
      <c r="G5177" s="400"/>
      <c r="H5177" s="396"/>
    </row>
    <row r="5178" spans="1:8" s="401" customFormat="1" ht="14.25" customHeight="1" x14ac:dyDescent="0.25">
      <c r="A5178" s="564">
        <v>5111490026</v>
      </c>
      <c r="B5178" s="562" t="s">
        <v>737</v>
      </c>
      <c r="C5178" s="403">
        <v>17064.54</v>
      </c>
      <c r="D5178" s="400"/>
      <c r="E5178" s="400"/>
      <c r="F5178" s="400"/>
      <c r="G5178" s="400"/>
      <c r="H5178" s="396"/>
    </row>
    <row r="5179" spans="1:8" s="401" customFormat="1" ht="14.25" customHeight="1" x14ac:dyDescent="0.25">
      <c r="A5179" s="564">
        <v>5111490027</v>
      </c>
      <c r="B5179" s="562" t="s">
        <v>737</v>
      </c>
      <c r="C5179" s="403">
        <v>17064.54</v>
      </c>
      <c r="D5179" s="400"/>
      <c r="E5179" s="400"/>
      <c r="F5179" s="400"/>
      <c r="G5179" s="400"/>
      <c r="H5179" s="396"/>
    </row>
    <row r="5180" spans="1:8" s="401" customFormat="1" ht="14.25" customHeight="1" x14ac:dyDescent="0.25">
      <c r="A5180" s="564">
        <v>5111490028</v>
      </c>
      <c r="B5180" s="562" t="s">
        <v>737</v>
      </c>
      <c r="C5180" s="403">
        <v>17064.54</v>
      </c>
      <c r="D5180" s="400"/>
      <c r="E5180" s="400"/>
      <c r="F5180" s="400"/>
      <c r="G5180" s="400"/>
      <c r="H5180" s="396"/>
    </row>
    <row r="5181" spans="1:8" s="401" customFormat="1" ht="14.25" customHeight="1" x14ac:dyDescent="0.25">
      <c r="A5181" s="564">
        <v>5111490029</v>
      </c>
      <c r="B5181" s="562" t="s">
        <v>737</v>
      </c>
      <c r="C5181" s="403">
        <v>17064.54</v>
      </c>
      <c r="D5181" s="400"/>
      <c r="E5181" s="400"/>
      <c r="F5181" s="400"/>
      <c r="G5181" s="400"/>
      <c r="H5181" s="396"/>
    </row>
    <row r="5182" spans="1:8" s="401" customFormat="1" ht="14.25" customHeight="1" x14ac:dyDescent="0.25">
      <c r="A5182" s="564">
        <v>5110232169</v>
      </c>
      <c r="B5182" s="562" t="s">
        <v>2492</v>
      </c>
      <c r="C5182" s="403">
        <v>2676.4</v>
      </c>
      <c r="D5182" s="400"/>
      <c r="E5182" s="400"/>
      <c r="F5182" s="400"/>
      <c r="G5182" s="400"/>
      <c r="H5182" s="396"/>
    </row>
    <row r="5183" spans="1:8" s="401" customFormat="1" ht="14.25" customHeight="1" x14ac:dyDescent="0.25">
      <c r="A5183" s="564">
        <v>5112670002</v>
      </c>
      <c r="B5183" s="562" t="s">
        <v>812</v>
      </c>
      <c r="C5183" s="403">
        <v>2799.98</v>
      </c>
      <c r="D5183" s="400"/>
      <c r="E5183" s="400"/>
      <c r="F5183" s="400"/>
      <c r="G5183" s="400"/>
      <c r="H5183" s="396"/>
    </row>
    <row r="5184" spans="1:8" s="401" customFormat="1" ht="14.25" customHeight="1" x14ac:dyDescent="0.25">
      <c r="A5184" s="564">
        <v>5110360048</v>
      </c>
      <c r="B5184" s="562" t="s">
        <v>787</v>
      </c>
      <c r="C5184" s="403">
        <v>4153.87</v>
      </c>
      <c r="D5184" s="400"/>
      <c r="E5184" s="400"/>
      <c r="F5184" s="400"/>
      <c r="G5184" s="400"/>
      <c r="H5184" s="396"/>
    </row>
    <row r="5185" spans="1:8" s="401" customFormat="1" ht="14.25" customHeight="1" x14ac:dyDescent="0.25">
      <c r="A5185" s="564">
        <v>5110360049</v>
      </c>
      <c r="B5185" s="562" t="s">
        <v>787</v>
      </c>
      <c r="C5185" s="403">
        <v>4153.87</v>
      </c>
      <c r="D5185" s="400"/>
      <c r="E5185" s="400"/>
      <c r="F5185" s="400"/>
      <c r="G5185" s="400"/>
      <c r="H5185" s="396"/>
    </row>
    <row r="5186" spans="1:8" s="401" customFormat="1" ht="14.25" customHeight="1" x14ac:dyDescent="0.25">
      <c r="A5186" s="564">
        <v>5111040007</v>
      </c>
      <c r="B5186" s="562" t="s">
        <v>2492</v>
      </c>
      <c r="C5186" s="403">
        <v>3545</v>
      </c>
      <c r="D5186" s="400"/>
      <c r="E5186" s="400"/>
      <c r="F5186" s="400"/>
      <c r="G5186" s="400"/>
      <c r="H5186" s="396"/>
    </row>
    <row r="5187" spans="1:8" s="401" customFormat="1" ht="14.25" customHeight="1" x14ac:dyDescent="0.25">
      <c r="A5187" s="564">
        <v>5111100015</v>
      </c>
      <c r="B5187" s="562" t="s">
        <v>2492</v>
      </c>
      <c r="C5187" s="403">
        <v>3545</v>
      </c>
      <c r="D5187" s="400"/>
      <c r="E5187" s="400"/>
      <c r="F5187" s="400"/>
      <c r="G5187" s="400"/>
      <c r="H5187" s="396"/>
    </row>
    <row r="5188" spans="1:8" s="401" customFormat="1" ht="14.25" customHeight="1" x14ac:dyDescent="0.25">
      <c r="A5188" s="564">
        <v>5111100017</v>
      </c>
      <c r="B5188" s="562" t="s">
        <v>2492</v>
      </c>
      <c r="C5188" s="403">
        <v>3545</v>
      </c>
      <c r="D5188" s="400"/>
      <c r="E5188" s="400"/>
      <c r="F5188" s="400"/>
      <c r="G5188" s="400"/>
      <c r="H5188" s="396"/>
    </row>
    <row r="5189" spans="1:8" s="401" customFormat="1" ht="14.25" customHeight="1" x14ac:dyDescent="0.25">
      <c r="A5189" s="564">
        <v>5111100018</v>
      </c>
      <c r="B5189" s="562" t="s">
        <v>2492</v>
      </c>
      <c r="C5189" s="403">
        <v>3545</v>
      </c>
      <c r="D5189" s="400"/>
      <c r="E5189" s="400"/>
      <c r="F5189" s="400"/>
      <c r="G5189" s="400"/>
      <c r="H5189" s="396"/>
    </row>
    <row r="5190" spans="1:8" s="401" customFormat="1" ht="14.25" customHeight="1" x14ac:dyDescent="0.25">
      <c r="A5190" s="564">
        <v>5111100014</v>
      </c>
      <c r="B5190" s="562" t="s">
        <v>2492</v>
      </c>
      <c r="C5190" s="403">
        <v>3545</v>
      </c>
      <c r="D5190" s="400"/>
      <c r="E5190" s="400"/>
      <c r="F5190" s="400"/>
      <c r="G5190" s="400"/>
      <c r="H5190" s="396"/>
    </row>
    <row r="5191" spans="1:8" s="401" customFormat="1" ht="14.25" customHeight="1" x14ac:dyDescent="0.25">
      <c r="A5191" s="564">
        <v>5111100016</v>
      </c>
      <c r="B5191" s="562" t="s">
        <v>2492</v>
      </c>
      <c r="C5191" s="403">
        <v>3545</v>
      </c>
      <c r="D5191" s="400"/>
      <c r="E5191" s="400"/>
      <c r="F5191" s="400"/>
      <c r="G5191" s="400"/>
      <c r="H5191" s="396"/>
    </row>
    <row r="5192" spans="1:8" s="401" customFormat="1" ht="14.25" customHeight="1" x14ac:dyDescent="0.25">
      <c r="A5192" s="564">
        <v>5110320001</v>
      </c>
      <c r="B5192" s="562" t="s">
        <v>2493</v>
      </c>
      <c r="C5192" s="403">
        <v>4400</v>
      </c>
      <c r="D5192" s="400"/>
      <c r="E5192" s="400"/>
      <c r="F5192" s="400"/>
      <c r="G5192" s="400"/>
      <c r="H5192" s="396"/>
    </row>
    <row r="5193" spans="1:8" s="401" customFormat="1" ht="14.25" customHeight="1" x14ac:dyDescent="0.25">
      <c r="A5193" s="564">
        <v>5112650080</v>
      </c>
      <c r="B5193" s="562" t="s">
        <v>2494</v>
      </c>
      <c r="C5193" s="403">
        <v>1119</v>
      </c>
      <c r="D5193" s="400"/>
      <c r="E5193" s="400"/>
      <c r="F5193" s="400"/>
      <c r="G5193" s="400"/>
      <c r="H5193" s="396"/>
    </row>
    <row r="5194" spans="1:8" s="401" customFormat="1" ht="14.25" customHeight="1" x14ac:dyDescent="0.25">
      <c r="A5194" s="564">
        <v>5112650081</v>
      </c>
      <c r="B5194" s="562" t="s">
        <v>2494</v>
      </c>
      <c r="C5194" s="403">
        <v>1119</v>
      </c>
      <c r="D5194" s="400"/>
      <c r="E5194" s="400"/>
      <c r="F5194" s="400"/>
      <c r="G5194" s="400"/>
      <c r="H5194" s="396"/>
    </row>
    <row r="5195" spans="1:8" s="401" customFormat="1" ht="14.25" customHeight="1" x14ac:dyDescent="0.25">
      <c r="A5195" s="564">
        <v>5112650082</v>
      </c>
      <c r="B5195" s="562" t="s">
        <v>2494</v>
      </c>
      <c r="C5195" s="403">
        <v>1119</v>
      </c>
      <c r="D5195" s="400"/>
      <c r="E5195" s="400"/>
      <c r="F5195" s="400"/>
      <c r="G5195" s="400"/>
      <c r="H5195" s="396"/>
    </row>
    <row r="5196" spans="1:8" s="401" customFormat="1" ht="14.25" customHeight="1" x14ac:dyDescent="0.25">
      <c r="A5196" s="564">
        <v>5112650083</v>
      </c>
      <c r="B5196" s="562" t="s">
        <v>2494</v>
      </c>
      <c r="C5196" s="403">
        <v>1119</v>
      </c>
      <c r="D5196" s="400"/>
      <c r="E5196" s="400"/>
      <c r="F5196" s="400"/>
      <c r="G5196" s="400"/>
      <c r="H5196" s="396"/>
    </row>
    <row r="5197" spans="1:8" s="401" customFormat="1" ht="14.25" customHeight="1" x14ac:dyDescent="0.25">
      <c r="A5197" s="564">
        <v>5112650085</v>
      </c>
      <c r="B5197" s="562" t="s">
        <v>2494</v>
      </c>
      <c r="C5197" s="403">
        <v>1119</v>
      </c>
      <c r="D5197" s="400"/>
      <c r="E5197" s="400"/>
      <c r="F5197" s="400"/>
      <c r="G5197" s="400"/>
      <c r="H5197" s="396"/>
    </row>
    <row r="5198" spans="1:8" s="401" customFormat="1" ht="14.25" customHeight="1" x14ac:dyDescent="0.25">
      <c r="A5198" s="564">
        <v>5112650086</v>
      </c>
      <c r="B5198" s="562" t="s">
        <v>2494</v>
      </c>
      <c r="C5198" s="403">
        <v>1119</v>
      </c>
      <c r="D5198" s="400"/>
      <c r="E5198" s="400"/>
      <c r="F5198" s="400"/>
      <c r="G5198" s="400"/>
      <c r="H5198" s="396"/>
    </row>
    <row r="5199" spans="1:8" s="401" customFormat="1" ht="14.25" customHeight="1" x14ac:dyDescent="0.25">
      <c r="A5199" s="564">
        <v>5112650084</v>
      </c>
      <c r="B5199" s="562" t="s">
        <v>2494</v>
      </c>
      <c r="C5199" s="403">
        <v>1119</v>
      </c>
      <c r="D5199" s="400"/>
      <c r="E5199" s="400"/>
      <c r="F5199" s="400"/>
      <c r="G5199" s="400"/>
      <c r="H5199" s="396"/>
    </row>
    <row r="5200" spans="1:8" s="401" customFormat="1" ht="14.25" customHeight="1" x14ac:dyDescent="0.25">
      <c r="A5200" s="564">
        <v>5111630041</v>
      </c>
      <c r="B5200" s="562" t="s">
        <v>787</v>
      </c>
      <c r="C5200" s="403">
        <v>2546</v>
      </c>
      <c r="D5200" s="400"/>
      <c r="E5200" s="400"/>
      <c r="F5200" s="400"/>
      <c r="G5200" s="400"/>
      <c r="H5200" s="396"/>
    </row>
    <row r="5201" spans="1:8" s="401" customFormat="1" ht="14.25" customHeight="1" x14ac:dyDescent="0.25">
      <c r="A5201" s="564">
        <v>5111630042</v>
      </c>
      <c r="B5201" s="562" t="s">
        <v>787</v>
      </c>
      <c r="C5201" s="403">
        <v>2546</v>
      </c>
      <c r="D5201" s="400"/>
      <c r="E5201" s="400"/>
      <c r="F5201" s="400"/>
      <c r="G5201" s="400"/>
      <c r="H5201" s="396"/>
    </row>
    <row r="5202" spans="1:8" s="401" customFormat="1" ht="14.25" customHeight="1" x14ac:dyDescent="0.25">
      <c r="A5202" s="564">
        <v>5111040008</v>
      </c>
      <c r="B5202" s="562" t="s">
        <v>787</v>
      </c>
      <c r="C5202" s="403">
        <v>2546</v>
      </c>
      <c r="D5202" s="400"/>
      <c r="E5202" s="400"/>
      <c r="F5202" s="400"/>
      <c r="G5202" s="400"/>
      <c r="H5202" s="396"/>
    </row>
    <row r="5203" spans="1:8" s="401" customFormat="1" ht="14.25" customHeight="1" x14ac:dyDescent="0.25">
      <c r="A5203" s="564">
        <v>5111630043</v>
      </c>
      <c r="B5203" s="562" t="s">
        <v>787</v>
      </c>
      <c r="C5203" s="403">
        <v>2546</v>
      </c>
      <c r="D5203" s="400"/>
      <c r="E5203" s="400"/>
      <c r="F5203" s="400"/>
      <c r="G5203" s="400"/>
      <c r="H5203" s="396"/>
    </row>
    <row r="5204" spans="1:8" s="401" customFormat="1" ht="14.25" customHeight="1" x14ac:dyDescent="0.25">
      <c r="A5204" s="564">
        <v>5110360047</v>
      </c>
      <c r="B5204" s="562" t="s">
        <v>787</v>
      </c>
      <c r="C5204" s="403">
        <v>2546</v>
      </c>
      <c r="D5204" s="400"/>
      <c r="E5204" s="400"/>
      <c r="F5204" s="400"/>
      <c r="G5204" s="400"/>
      <c r="H5204" s="396"/>
    </row>
    <row r="5205" spans="1:8" s="401" customFormat="1" ht="14.25" customHeight="1" x14ac:dyDescent="0.25">
      <c r="A5205" s="564">
        <v>5111630044</v>
      </c>
      <c r="B5205" s="562" t="s">
        <v>787</v>
      </c>
      <c r="C5205" s="403">
        <v>2546</v>
      </c>
      <c r="D5205" s="400"/>
      <c r="E5205" s="400"/>
      <c r="F5205" s="400"/>
      <c r="G5205" s="400"/>
      <c r="H5205" s="396"/>
    </row>
    <row r="5206" spans="1:8" s="401" customFormat="1" ht="14.25" customHeight="1" x14ac:dyDescent="0.25">
      <c r="A5206" s="564">
        <v>5111630045</v>
      </c>
      <c r="B5206" s="562" t="s">
        <v>787</v>
      </c>
      <c r="C5206" s="403">
        <v>2546</v>
      </c>
      <c r="D5206" s="400"/>
      <c r="E5206" s="400"/>
      <c r="F5206" s="400"/>
      <c r="G5206" s="400"/>
      <c r="H5206" s="396"/>
    </row>
    <row r="5207" spans="1:8" s="401" customFormat="1" ht="14.25" customHeight="1" x14ac:dyDescent="0.25">
      <c r="A5207" s="564">
        <v>5111630036</v>
      </c>
      <c r="B5207" s="562" t="s">
        <v>787</v>
      </c>
      <c r="C5207" s="403">
        <v>2300</v>
      </c>
      <c r="D5207" s="400"/>
      <c r="E5207" s="400"/>
      <c r="F5207" s="400"/>
      <c r="G5207" s="400"/>
      <c r="H5207" s="396"/>
    </row>
    <row r="5208" spans="1:8" s="401" customFormat="1" ht="14.25" customHeight="1" x14ac:dyDescent="0.25">
      <c r="A5208" s="564">
        <v>5110360045</v>
      </c>
      <c r="B5208" s="562" t="s">
        <v>787</v>
      </c>
      <c r="C5208" s="403">
        <v>2300</v>
      </c>
      <c r="D5208" s="400"/>
      <c r="E5208" s="400"/>
      <c r="F5208" s="400"/>
      <c r="G5208" s="400"/>
      <c r="H5208" s="396"/>
    </row>
    <row r="5209" spans="1:8" s="401" customFormat="1" ht="14.25" customHeight="1" x14ac:dyDescent="0.25">
      <c r="A5209" s="564">
        <v>5110360046</v>
      </c>
      <c r="B5209" s="562" t="s">
        <v>787</v>
      </c>
      <c r="C5209" s="403">
        <v>2300</v>
      </c>
      <c r="D5209" s="400"/>
      <c r="E5209" s="400"/>
      <c r="F5209" s="400"/>
      <c r="G5209" s="400"/>
      <c r="H5209" s="396"/>
    </row>
    <row r="5210" spans="1:8" s="401" customFormat="1" ht="14.25" customHeight="1" x14ac:dyDescent="0.25">
      <c r="A5210" s="564">
        <v>5111630038</v>
      </c>
      <c r="B5210" s="562" t="s">
        <v>787</v>
      </c>
      <c r="C5210" s="403">
        <v>2300</v>
      </c>
      <c r="D5210" s="400"/>
      <c r="E5210" s="400"/>
      <c r="F5210" s="400"/>
      <c r="G5210" s="400"/>
      <c r="H5210" s="396"/>
    </row>
    <row r="5211" spans="1:8" s="401" customFormat="1" ht="14.25" customHeight="1" x14ac:dyDescent="0.25">
      <c r="A5211" s="564">
        <v>5111630039</v>
      </c>
      <c r="B5211" s="562" t="s">
        <v>787</v>
      </c>
      <c r="C5211" s="403">
        <v>2300</v>
      </c>
      <c r="D5211" s="400"/>
      <c r="E5211" s="400"/>
      <c r="F5211" s="400"/>
      <c r="G5211" s="400"/>
      <c r="H5211" s="396"/>
    </row>
    <row r="5212" spans="1:8" s="401" customFormat="1" ht="14.25" customHeight="1" x14ac:dyDescent="0.25">
      <c r="A5212" s="564">
        <v>5111630037</v>
      </c>
      <c r="B5212" s="562" t="s">
        <v>787</v>
      </c>
      <c r="C5212" s="403">
        <v>2300</v>
      </c>
      <c r="D5212" s="400"/>
      <c r="E5212" s="400"/>
      <c r="F5212" s="400"/>
      <c r="G5212" s="400"/>
      <c r="H5212" s="396"/>
    </row>
    <row r="5213" spans="1:8" s="401" customFormat="1" ht="14.25" customHeight="1" x14ac:dyDescent="0.25">
      <c r="A5213" s="564">
        <v>5111630040</v>
      </c>
      <c r="B5213" s="562" t="s">
        <v>787</v>
      </c>
      <c r="C5213" s="403">
        <v>2300</v>
      </c>
      <c r="D5213" s="400"/>
      <c r="E5213" s="400"/>
      <c r="F5213" s="400"/>
      <c r="G5213" s="400"/>
      <c r="H5213" s="396"/>
    </row>
    <row r="5214" spans="1:8" s="401" customFormat="1" ht="14.25" customHeight="1" x14ac:dyDescent="0.25">
      <c r="A5214" s="564">
        <v>5151100005</v>
      </c>
      <c r="B5214" s="562" t="s">
        <v>2360</v>
      </c>
      <c r="C5214" s="403">
        <v>5510</v>
      </c>
      <c r="D5214" s="400"/>
      <c r="E5214" s="400"/>
      <c r="F5214" s="400"/>
      <c r="G5214" s="400"/>
      <c r="H5214" s="396"/>
    </row>
    <row r="5215" spans="1:8" s="401" customFormat="1" ht="14.25" customHeight="1" x14ac:dyDescent="0.25">
      <c r="A5215" s="564">
        <v>5151390034</v>
      </c>
      <c r="B5215" s="562" t="s">
        <v>2353</v>
      </c>
      <c r="C5215" s="403">
        <v>5997.2</v>
      </c>
      <c r="D5215" s="400"/>
      <c r="E5215" s="400"/>
      <c r="F5215" s="400"/>
      <c r="G5215" s="400"/>
      <c r="H5215" s="396"/>
    </row>
    <row r="5216" spans="1:8" s="401" customFormat="1" ht="14.25" customHeight="1" x14ac:dyDescent="0.25">
      <c r="A5216" s="564">
        <v>5652700007</v>
      </c>
      <c r="B5216" s="562" t="s">
        <v>891</v>
      </c>
      <c r="C5216" s="403">
        <v>8468</v>
      </c>
      <c r="D5216" s="400"/>
      <c r="E5216" s="400"/>
      <c r="F5216" s="400"/>
      <c r="G5216" s="400"/>
      <c r="H5216" s="396"/>
    </row>
    <row r="5217" spans="1:8" s="401" customFormat="1" ht="14.25" customHeight="1" x14ac:dyDescent="0.25">
      <c r="A5217" s="564">
        <v>5410150013</v>
      </c>
      <c r="B5217" s="562" t="s">
        <v>2491</v>
      </c>
      <c r="C5217" s="403">
        <v>108808</v>
      </c>
      <c r="D5217" s="400"/>
      <c r="E5217" s="400"/>
      <c r="F5217" s="400"/>
      <c r="G5217" s="400"/>
      <c r="H5217" s="396"/>
    </row>
    <row r="5218" spans="1:8" s="401" customFormat="1" ht="14.25" customHeight="1" x14ac:dyDescent="0.25">
      <c r="A5218" s="564">
        <v>5410150012</v>
      </c>
      <c r="B5218" s="562" t="s">
        <v>2495</v>
      </c>
      <c r="C5218" s="403">
        <v>64148</v>
      </c>
      <c r="D5218" s="400"/>
      <c r="E5218" s="400"/>
      <c r="F5218" s="400"/>
      <c r="G5218" s="400"/>
      <c r="H5218" s="396"/>
    </row>
    <row r="5219" spans="1:8" s="401" customFormat="1" ht="14.25" customHeight="1" x14ac:dyDescent="0.25">
      <c r="A5219" s="564">
        <v>5112930001</v>
      </c>
      <c r="B5219" s="562" t="s">
        <v>2496</v>
      </c>
      <c r="C5219" s="403">
        <v>3590</v>
      </c>
      <c r="D5219" s="400"/>
      <c r="E5219" s="400"/>
      <c r="F5219" s="400"/>
      <c r="G5219" s="400"/>
      <c r="H5219" s="396"/>
    </row>
    <row r="5220" spans="1:8" s="401" customFormat="1" ht="14.25" customHeight="1" x14ac:dyDescent="0.25">
      <c r="A5220" s="564">
        <v>5112930002</v>
      </c>
      <c r="B5220" s="562" t="s">
        <v>2496</v>
      </c>
      <c r="C5220" s="403">
        <v>3590</v>
      </c>
      <c r="D5220" s="400"/>
      <c r="E5220" s="400"/>
      <c r="F5220" s="400"/>
      <c r="G5220" s="400"/>
      <c r="H5220" s="396"/>
    </row>
    <row r="5221" spans="1:8" s="401" customFormat="1" ht="14.25" customHeight="1" x14ac:dyDescent="0.25">
      <c r="A5221" s="564">
        <v>5112930003</v>
      </c>
      <c r="B5221" s="562" t="s">
        <v>2496</v>
      </c>
      <c r="C5221" s="403">
        <v>3590</v>
      </c>
      <c r="D5221" s="400"/>
      <c r="E5221" s="400"/>
      <c r="F5221" s="400"/>
      <c r="G5221" s="400"/>
      <c r="H5221" s="396"/>
    </row>
    <row r="5222" spans="1:8" s="401" customFormat="1" ht="14.25" customHeight="1" x14ac:dyDescent="0.25">
      <c r="A5222" s="564">
        <v>5112930004</v>
      </c>
      <c r="B5222" s="562" t="s">
        <v>2496</v>
      </c>
      <c r="C5222" s="403">
        <v>3590</v>
      </c>
      <c r="D5222" s="400"/>
      <c r="E5222" s="400"/>
      <c r="F5222" s="400"/>
      <c r="G5222" s="400"/>
      <c r="H5222" s="396"/>
    </row>
    <row r="5223" spans="1:8" s="401" customFormat="1" ht="14.25" customHeight="1" x14ac:dyDescent="0.25">
      <c r="A5223" s="564">
        <v>5112930005</v>
      </c>
      <c r="B5223" s="562" t="s">
        <v>2496</v>
      </c>
      <c r="C5223" s="403">
        <v>3590</v>
      </c>
      <c r="D5223" s="400"/>
      <c r="E5223" s="400"/>
      <c r="F5223" s="400"/>
      <c r="G5223" s="400"/>
      <c r="H5223" s="396"/>
    </row>
    <row r="5224" spans="1:8" s="401" customFormat="1" ht="14.25" customHeight="1" x14ac:dyDescent="0.25">
      <c r="A5224" s="564">
        <v>5112930006</v>
      </c>
      <c r="B5224" s="562" t="s">
        <v>2496</v>
      </c>
      <c r="C5224" s="403">
        <v>3590</v>
      </c>
      <c r="D5224" s="400"/>
      <c r="E5224" s="400"/>
      <c r="F5224" s="400"/>
      <c r="G5224" s="400"/>
      <c r="H5224" s="396"/>
    </row>
    <row r="5225" spans="1:8" s="401" customFormat="1" ht="14.25" customHeight="1" x14ac:dyDescent="0.25">
      <c r="A5225" s="564">
        <v>5111200004</v>
      </c>
      <c r="B5225" s="562" t="s">
        <v>1003</v>
      </c>
      <c r="C5225" s="403">
        <v>77600</v>
      </c>
      <c r="D5225" s="400"/>
      <c r="E5225" s="400"/>
      <c r="F5225" s="400"/>
      <c r="G5225" s="400"/>
      <c r="H5225" s="396"/>
    </row>
    <row r="5226" spans="1:8" s="401" customFormat="1" ht="14.25" customHeight="1" x14ac:dyDescent="0.25">
      <c r="A5226" s="564">
        <v>5112270011</v>
      </c>
      <c r="B5226" s="562" t="s">
        <v>1056</v>
      </c>
      <c r="C5226" s="403">
        <v>8150</v>
      </c>
      <c r="D5226" s="400"/>
      <c r="E5226" s="400"/>
      <c r="F5226" s="400"/>
      <c r="G5226" s="400"/>
      <c r="H5226" s="396"/>
    </row>
    <row r="5227" spans="1:8" s="401" customFormat="1" ht="14.25" customHeight="1" x14ac:dyDescent="0.25">
      <c r="A5227" s="564">
        <v>5112270012</v>
      </c>
      <c r="B5227" s="562" t="s">
        <v>1056</v>
      </c>
      <c r="C5227" s="403">
        <v>8150</v>
      </c>
      <c r="D5227" s="400"/>
      <c r="E5227" s="400"/>
      <c r="F5227" s="400"/>
      <c r="G5227" s="400"/>
      <c r="H5227" s="396"/>
    </row>
    <row r="5228" spans="1:8" s="401" customFormat="1" ht="14.25" customHeight="1" x14ac:dyDescent="0.25">
      <c r="A5228" s="564">
        <v>5112270013</v>
      </c>
      <c r="B5228" s="562" t="s">
        <v>1056</v>
      </c>
      <c r="C5228" s="403">
        <v>8150</v>
      </c>
      <c r="D5228" s="400"/>
      <c r="E5228" s="400"/>
      <c r="F5228" s="400"/>
      <c r="G5228" s="400"/>
      <c r="H5228" s="396"/>
    </row>
    <row r="5229" spans="1:8" s="401" customFormat="1" ht="14.25" customHeight="1" x14ac:dyDescent="0.25">
      <c r="A5229" s="564">
        <v>5111490006</v>
      </c>
      <c r="B5229" s="562" t="s">
        <v>737</v>
      </c>
      <c r="C5229" s="403">
        <v>17064.54</v>
      </c>
      <c r="D5229" s="400"/>
      <c r="E5229" s="400"/>
      <c r="F5229" s="400"/>
      <c r="G5229" s="400"/>
      <c r="H5229" s="396"/>
    </row>
    <row r="5230" spans="1:8" s="401" customFormat="1" ht="14.25" customHeight="1" x14ac:dyDescent="0.25">
      <c r="A5230" s="564">
        <v>5111490007</v>
      </c>
      <c r="B5230" s="562" t="s">
        <v>737</v>
      </c>
      <c r="C5230" s="403">
        <v>17064.54</v>
      </c>
      <c r="D5230" s="400"/>
      <c r="E5230" s="400"/>
      <c r="F5230" s="400"/>
      <c r="G5230" s="400"/>
      <c r="H5230" s="396"/>
    </row>
    <row r="5231" spans="1:8" s="401" customFormat="1" ht="14.25" customHeight="1" x14ac:dyDescent="0.25">
      <c r="A5231" s="564">
        <v>5111490008</v>
      </c>
      <c r="B5231" s="562" t="s">
        <v>737</v>
      </c>
      <c r="C5231" s="403">
        <v>17064.54</v>
      </c>
      <c r="D5231" s="400"/>
      <c r="E5231" s="400"/>
      <c r="F5231" s="400"/>
      <c r="G5231" s="400"/>
      <c r="H5231" s="396"/>
    </row>
    <row r="5232" spans="1:8" s="401" customFormat="1" ht="14.25" customHeight="1" x14ac:dyDescent="0.25">
      <c r="A5232" s="564">
        <v>5111490009</v>
      </c>
      <c r="B5232" s="562" t="s">
        <v>737</v>
      </c>
      <c r="C5232" s="403">
        <v>17064.54</v>
      </c>
      <c r="D5232" s="400"/>
      <c r="E5232" s="400"/>
      <c r="F5232" s="400"/>
      <c r="G5232" s="400"/>
      <c r="H5232" s="396"/>
    </row>
    <row r="5233" spans="1:8" s="401" customFormat="1" ht="14.25" customHeight="1" x14ac:dyDescent="0.25">
      <c r="A5233" s="564">
        <v>5111490010</v>
      </c>
      <c r="B5233" s="562" t="s">
        <v>737</v>
      </c>
      <c r="C5233" s="403">
        <v>17064.54</v>
      </c>
      <c r="D5233" s="400"/>
      <c r="E5233" s="400"/>
      <c r="F5233" s="400"/>
      <c r="G5233" s="400"/>
      <c r="H5233" s="396"/>
    </row>
    <row r="5234" spans="1:8" s="401" customFormat="1" ht="14.25" customHeight="1" x14ac:dyDescent="0.25">
      <c r="A5234" s="564">
        <v>5111490011</v>
      </c>
      <c r="B5234" s="562" t="s">
        <v>737</v>
      </c>
      <c r="C5234" s="403">
        <v>17064.54</v>
      </c>
      <c r="D5234" s="400"/>
      <c r="E5234" s="400"/>
      <c r="F5234" s="400"/>
      <c r="G5234" s="400"/>
      <c r="H5234" s="396"/>
    </row>
    <row r="5235" spans="1:8" s="401" customFormat="1" ht="14.25" customHeight="1" x14ac:dyDescent="0.25">
      <c r="A5235" s="564">
        <v>5111490012</v>
      </c>
      <c r="B5235" s="562" t="s">
        <v>737</v>
      </c>
      <c r="C5235" s="403">
        <v>17064.54</v>
      </c>
      <c r="D5235" s="400"/>
      <c r="E5235" s="400"/>
      <c r="F5235" s="400"/>
      <c r="G5235" s="400"/>
      <c r="H5235" s="396"/>
    </row>
    <row r="5236" spans="1:8" s="401" customFormat="1" ht="14.25" customHeight="1" x14ac:dyDescent="0.25">
      <c r="A5236" s="564">
        <v>5111490013</v>
      </c>
      <c r="B5236" s="562" t="s">
        <v>737</v>
      </c>
      <c r="C5236" s="403">
        <v>17064.54</v>
      </c>
      <c r="D5236" s="400"/>
      <c r="E5236" s="400"/>
      <c r="F5236" s="400"/>
      <c r="G5236" s="400"/>
      <c r="H5236" s="396"/>
    </row>
    <row r="5237" spans="1:8" s="401" customFormat="1" ht="14.25" customHeight="1" x14ac:dyDescent="0.25">
      <c r="A5237" s="564">
        <v>5111490014</v>
      </c>
      <c r="B5237" s="562" t="s">
        <v>737</v>
      </c>
      <c r="C5237" s="403">
        <v>17064.54</v>
      </c>
      <c r="D5237" s="400"/>
      <c r="E5237" s="400"/>
      <c r="F5237" s="400"/>
      <c r="G5237" s="400"/>
      <c r="H5237" s="396"/>
    </row>
    <row r="5238" spans="1:8" s="401" customFormat="1" ht="14.25" customHeight="1" x14ac:dyDescent="0.25">
      <c r="A5238" s="564">
        <v>5111490015</v>
      </c>
      <c r="B5238" s="562" t="s">
        <v>737</v>
      </c>
      <c r="C5238" s="403">
        <v>17064.54</v>
      </c>
      <c r="D5238" s="400"/>
      <c r="E5238" s="400"/>
      <c r="F5238" s="400"/>
      <c r="G5238" s="400"/>
      <c r="H5238" s="396"/>
    </row>
    <row r="5239" spans="1:8" s="401" customFormat="1" ht="14.25" customHeight="1" x14ac:dyDescent="0.25">
      <c r="A5239" s="564">
        <v>5111490016</v>
      </c>
      <c r="B5239" s="562" t="s">
        <v>737</v>
      </c>
      <c r="C5239" s="403">
        <v>17064.54</v>
      </c>
      <c r="D5239" s="400"/>
      <c r="E5239" s="400"/>
      <c r="F5239" s="400"/>
      <c r="G5239" s="400"/>
      <c r="H5239" s="396"/>
    </row>
    <row r="5240" spans="1:8" s="401" customFormat="1" ht="14.25" customHeight="1" x14ac:dyDescent="0.25">
      <c r="A5240" s="564">
        <v>5111490004</v>
      </c>
      <c r="B5240" s="562" t="s">
        <v>737</v>
      </c>
      <c r="C5240" s="403">
        <v>17064.54</v>
      </c>
      <c r="D5240" s="400"/>
      <c r="E5240" s="400"/>
      <c r="F5240" s="400"/>
      <c r="G5240" s="400"/>
      <c r="H5240" s="396"/>
    </row>
    <row r="5241" spans="1:8" s="401" customFormat="1" ht="14.25" customHeight="1" x14ac:dyDescent="0.25">
      <c r="A5241" s="564">
        <v>5111490005</v>
      </c>
      <c r="B5241" s="562" t="s">
        <v>737</v>
      </c>
      <c r="C5241" s="403">
        <v>17064.54</v>
      </c>
      <c r="D5241" s="400"/>
      <c r="E5241" s="400"/>
      <c r="F5241" s="400"/>
      <c r="G5241" s="400"/>
      <c r="H5241" s="396"/>
    </row>
    <row r="5242" spans="1:8" s="401" customFormat="1" ht="14.25" customHeight="1" x14ac:dyDescent="0.25">
      <c r="A5242" s="564">
        <v>5150640002</v>
      </c>
      <c r="B5242" s="562" t="s">
        <v>2497</v>
      </c>
      <c r="C5242" s="403">
        <v>23142</v>
      </c>
      <c r="D5242" s="400"/>
      <c r="E5242" s="400"/>
      <c r="F5242" s="400"/>
      <c r="G5242" s="400"/>
      <c r="H5242" s="396"/>
    </row>
    <row r="5243" spans="1:8" s="401" customFormat="1" ht="14.25" customHeight="1" x14ac:dyDescent="0.25">
      <c r="A5243" s="564">
        <v>5150640003</v>
      </c>
      <c r="B5243" s="562" t="s">
        <v>2497</v>
      </c>
      <c r="C5243" s="403">
        <v>27776.2</v>
      </c>
      <c r="D5243" s="400"/>
      <c r="E5243" s="400"/>
      <c r="F5243" s="400"/>
      <c r="G5243" s="400"/>
      <c r="H5243" s="396"/>
    </row>
    <row r="5244" spans="1:8" s="401" customFormat="1" ht="14.25" customHeight="1" x14ac:dyDescent="0.25">
      <c r="A5244" s="564">
        <v>5151170009</v>
      </c>
      <c r="B5244" s="562" t="s">
        <v>2498</v>
      </c>
      <c r="C5244" s="403">
        <v>6554</v>
      </c>
      <c r="D5244" s="400"/>
      <c r="E5244" s="400"/>
      <c r="F5244" s="400"/>
      <c r="G5244" s="400"/>
      <c r="H5244" s="396"/>
    </row>
    <row r="5245" spans="1:8" s="401" customFormat="1" ht="14.25" customHeight="1" x14ac:dyDescent="0.25">
      <c r="A5245" s="564">
        <v>5150640004</v>
      </c>
      <c r="B5245" s="562" t="s">
        <v>899</v>
      </c>
      <c r="C5245" s="403">
        <v>20822</v>
      </c>
      <c r="D5245" s="400"/>
      <c r="E5245" s="400"/>
      <c r="F5245" s="400"/>
      <c r="G5245" s="400"/>
      <c r="H5245" s="396"/>
    </row>
    <row r="5246" spans="1:8" s="401" customFormat="1" ht="14.25" customHeight="1" x14ac:dyDescent="0.25">
      <c r="A5246" s="564">
        <v>5151260020</v>
      </c>
      <c r="B5246" s="562" t="s">
        <v>2499</v>
      </c>
      <c r="C5246" s="403">
        <v>16472</v>
      </c>
      <c r="D5246" s="400"/>
      <c r="E5246" s="400"/>
      <c r="F5246" s="400"/>
      <c r="G5246" s="400"/>
      <c r="H5246" s="396"/>
    </row>
    <row r="5247" spans="1:8" s="401" customFormat="1" ht="14.25" customHeight="1" x14ac:dyDescent="0.25">
      <c r="A5247" s="564">
        <v>5151260031</v>
      </c>
      <c r="B5247" s="562" t="s">
        <v>2499</v>
      </c>
      <c r="C5247" s="403">
        <v>16472</v>
      </c>
      <c r="D5247" s="400"/>
      <c r="E5247" s="400"/>
      <c r="F5247" s="400"/>
      <c r="G5247" s="400"/>
      <c r="H5247" s="396"/>
    </row>
    <row r="5248" spans="1:8" s="401" customFormat="1" ht="14.25" customHeight="1" x14ac:dyDescent="0.25">
      <c r="A5248" s="564">
        <v>5151260022</v>
      </c>
      <c r="B5248" s="562" t="s">
        <v>2499</v>
      </c>
      <c r="C5248" s="403">
        <v>16472</v>
      </c>
      <c r="D5248" s="400"/>
      <c r="E5248" s="400"/>
      <c r="F5248" s="400"/>
      <c r="G5248" s="400"/>
      <c r="H5248" s="396"/>
    </row>
    <row r="5249" spans="1:8" s="401" customFormat="1" ht="14.25" customHeight="1" x14ac:dyDescent="0.25">
      <c r="A5249" s="564">
        <v>5151260023</v>
      </c>
      <c r="B5249" s="562" t="s">
        <v>2499</v>
      </c>
      <c r="C5249" s="403">
        <v>16472</v>
      </c>
      <c r="D5249" s="400"/>
      <c r="E5249" s="400"/>
      <c r="F5249" s="400"/>
      <c r="G5249" s="400"/>
      <c r="H5249" s="396"/>
    </row>
    <row r="5250" spans="1:8" s="401" customFormat="1" ht="14.25" customHeight="1" x14ac:dyDescent="0.25">
      <c r="A5250" s="564">
        <v>5151260024</v>
      </c>
      <c r="B5250" s="562" t="s">
        <v>2499</v>
      </c>
      <c r="C5250" s="403">
        <v>16472</v>
      </c>
      <c r="D5250" s="400"/>
      <c r="E5250" s="400"/>
      <c r="F5250" s="400"/>
      <c r="G5250" s="400"/>
      <c r="H5250" s="396"/>
    </row>
    <row r="5251" spans="1:8" s="401" customFormat="1" ht="14.25" customHeight="1" x14ac:dyDescent="0.25">
      <c r="A5251" s="564">
        <v>5151260025</v>
      </c>
      <c r="B5251" s="562" t="s">
        <v>2499</v>
      </c>
      <c r="C5251" s="403">
        <v>16472</v>
      </c>
      <c r="D5251" s="400"/>
      <c r="E5251" s="400"/>
      <c r="F5251" s="400"/>
      <c r="G5251" s="400"/>
      <c r="H5251" s="396"/>
    </row>
    <row r="5252" spans="1:8" s="401" customFormat="1" ht="14.25" customHeight="1" x14ac:dyDescent="0.25">
      <c r="A5252" s="564">
        <v>5151260026</v>
      </c>
      <c r="B5252" s="562" t="s">
        <v>2499</v>
      </c>
      <c r="C5252" s="403">
        <v>16472</v>
      </c>
      <c r="D5252" s="400"/>
      <c r="E5252" s="400"/>
      <c r="F5252" s="400"/>
      <c r="G5252" s="400"/>
      <c r="H5252" s="396"/>
    </row>
    <row r="5253" spans="1:8" s="401" customFormat="1" ht="14.25" customHeight="1" x14ac:dyDescent="0.25">
      <c r="A5253" s="564">
        <v>5151260027</v>
      </c>
      <c r="B5253" s="562" t="s">
        <v>2499</v>
      </c>
      <c r="C5253" s="403">
        <v>16472</v>
      </c>
      <c r="D5253" s="400"/>
      <c r="E5253" s="400"/>
      <c r="F5253" s="400"/>
      <c r="G5253" s="400"/>
      <c r="H5253" s="396"/>
    </row>
    <row r="5254" spans="1:8" s="401" customFormat="1" ht="14.25" customHeight="1" x14ac:dyDescent="0.25">
      <c r="A5254" s="564">
        <v>5151260028</v>
      </c>
      <c r="B5254" s="562" t="s">
        <v>2499</v>
      </c>
      <c r="C5254" s="403">
        <v>16472</v>
      </c>
      <c r="D5254" s="400"/>
      <c r="E5254" s="400"/>
      <c r="F5254" s="400"/>
      <c r="G5254" s="400"/>
      <c r="H5254" s="396"/>
    </row>
    <row r="5255" spans="1:8" s="401" customFormat="1" ht="14.25" customHeight="1" x14ac:dyDescent="0.25">
      <c r="A5255" s="564">
        <v>5151260029</v>
      </c>
      <c r="B5255" s="562" t="s">
        <v>2499</v>
      </c>
      <c r="C5255" s="403">
        <v>16472</v>
      </c>
      <c r="D5255" s="400"/>
      <c r="E5255" s="400"/>
      <c r="F5255" s="400"/>
      <c r="G5255" s="400"/>
      <c r="H5255" s="396"/>
    </row>
    <row r="5256" spans="1:8" s="401" customFormat="1" ht="14.25" customHeight="1" x14ac:dyDescent="0.25">
      <c r="A5256" s="564">
        <v>5112030050</v>
      </c>
      <c r="B5256" s="562" t="s">
        <v>2500</v>
      </c>
      <c r="C5256" s="403">
        <v>4878.7299999999996</v>
      </c>
      <c r="D5256" s="400"/>
      <c r="E5256" s="400"/>
      <c r="F5256" s="400"/>
      <c r="G5256" s="400"/>
      <c r="H5256" s="396"/>
    </row>
    <row r="5257" spans="1:8" s="401" customFormat="1" ht="14.25" customHeight="1" x14ac:dyDescent="0.25">
      <c r="A5257" s="564">
        <v>5111050042</v>
      </c>
      <c r="B5257" s="562" t="s">
        <v>1007</v>
      </c>
      <c r="C5257" s="403">
        <v>10191</v>
      </c>
      <c r="D5257" s="400"/>
      <c r="E5257" s="400"/>
      <c r="F5257" s="400"/>
      <c r="G5257" s="400"/>
      <c r="H5257" s="396"/>
    </row>
    <row r="5258" spans="1:8" s="401" customFormat="1" ht="14.25" customHeight="1" x14ac:dyDescent="0.25">
      <c r="A5258" s="564">
        <v>5111050043</v>
      </c>
      <c r="B5258" s="562" t="s">
        <v>1007</v>
      </c>
      <c r="C5258" s="403">
        <v>6399</v>
      </c>
      <c r="D5258" s="400"/>
      <c r="E5258" s="400"/>
      <c r="F5258" s="400"/>
      <c r="G5258" s="400"/>
      <c r="H5258" s="396"/>
    </row>
    <row r="5259" spans="1:8" s="401" customFormat="1" ht="14.25" customHeight="1" x14ac:dyDescent="0.25">
      <c r="A5259" s="564">
        <v>5111050044</v>
      </c>
      <c r="B5259" s="562" t="s">
        <v>1007</v>
      </c>
      <c r="C5259" s="403">
        <v>6905</v>
      </c>
      <c r="D5259" s="400"/>
      <c r="E5259" s="400"/>
      <c r="F5259" s="400"/>
      <c r="G5259" s="400"/>
      <c r="H5259" s="396"/>
    </row>
    <row r="5260" spans="1:8" s="401" customFormat="1" ht="14.25" customHeight="1" x14ac:dyDescent="0.25">
      <c r="A5260" s="564">
        <v>5111050060</v>
      </c>
      <c r="B5260" s="562" t="s">
        <v>1007</v>
      </c>
      <c r="C5260" s="403">
        <v>5280</v>
      </c>
      <c r="D5260" s="400"/>
      <c r="E5260" s="400"/>
      <c r="F5260" s="400"/>
      <c r="G5260" s="400"/>
      <c r="H5260" s="396"/>
    </row>
    <row r="5261" spans="1:8" s="401" customFormat="1" ht="14.25" customHeight="1" x14ac:dyDescent="0.25">
      <c r="A5261" s="564">
        <v>5111050045</v>
      </c>
      <c r="B5261" s="562" t="s">
        <v>1007</v>
      </c>
      <c r="C5261" s="403">
        <v>9704</v>
      </c>
      <c r="D5261" s="400"/>
      <c r="E5261" s="400"/>
      <c r="F5261" s="400"/>
      <c r="G5261" s="400"/>
      <c r="H5261" s="396"/>
    </row>
    <row r="5262" spans="1:8" s="401" customFormat="1" ht="14.25" customHeight="1" x14ac:dyDescent="0.25">
      <c r="A5262" s="564">
        <v>5111050046</v>
      </c>
      <c r="B5262" s="562" t="s">
        <v>1007</v>
      </c>
      <c r="C5262" s="403">
        <v>9704</v>
      </c>
      <c r="D5262" s="400"/>
      <c r="E5262" s="400"/>
      <c r="F5262" s="400"/>
      <c r="G5262" s="400"/>
      <c r="H5262" s="396"/>
    </row>
    <row r="5263" spans="1:8" s="401" customFormat="1" ht="14.25" customHeight="1" x14ac:dyDescent="0.25">
      <c r="A5263" s="564">
        <v>5111050047</v>
      </c>
      <c r="B5263" s="562" t="s">
        <v>1007</v>
      </c>
      <c r="C5263" s="403">
        <v>9224</v>
      </c>
      <c r="D5263" s="400"/>
      <c r="E5263" s="400"/>
      <c r="F5263" s="400"/>
      <c r="G5263" s="400"/>
      <c r="H5263" s="396"/>
    </row>
    <row r="5264" spans="1:8" s="401" customFormat="1" ht="14.25" customHeight="1" x14ac:dyDescent="0.25">
      <c r="A5264" s="564">
        <v>5111050048</v>
      </c>
      <c r="B5264" s="562" t="s">
        <v>1007</v>
      </c>
      <c r="C5264" s="403">
        <v>9224</v>
      </c>
      <c r="D5264" s="400"/>
      <c r="E5264" s="400"/>
      <c r="F5264" s="400"/>
      <c r="G5264" s="400"/>
      <c r="H5264" s="396"/>
    </row>
    <row r="5265" spans="1:8" s="401" customFormat="1" ht="14.25" customHeight="1" x14ac:dyDescent="0.25">
      <c r="A5265" s="564">
        <v>5111050061</v>
      </c>
      <c r="B5265" s="562" t="s">
        <v>1007</v>
      </c>
      <c r="C5265" s="403">
        <v>5280</v>
      </c>
      <c r="D5265" s="400"/>
      <c r="E5265" s="400"/>
      <c r="F5265" s="400"/>
      <c r="G5265" s="400"/>
      <c r="H5265" s="396"/>
    </row>
    <row r="5266" spans="1:8" s="401" customFormat="1" ht="14.25" customHeight="1" x14ac:dyDescent="0.25">
      <c r="A5266" s="564">
        <v>5111050049</v>
      </c>
      <c r="B5266" s="562" t="s">
        <v>1007</v>
      </c>
      <c r="C5266" s="403">
        <v>9224</v>
      </c>
      <c r="D5266" s="400"/>
      <c r="E5266" s="400"/>
      <c r="F5266" s="400"/>
      <c r="G5266" s="400"/>
      <c r="H5266" s="396"/>
    </row>
    <row r="5267" spans="1:8" s="401" customFormat="1" ht="14.25" customHeight="1" x14ac:dyDescent="0.25">
      <c r="A5267" s="564">
        <v>5111050050</v>
      </c>
      <c r="B5267" s="562" t="s">
        <v>1007</v>
      </c>
      <c r="C5267" s="403">
        <v>8336</v>
      </c>
      <c r="D5267" s="400"/>
      <c r="E5267" s="400"/>
      <c r="F5267" s="400"/>
      <c r="G5267" s="400"/>
      <c r="H5267" s="396"/>
    </row>
    <row r="5268" spans="1:8" s="401" customFormat="1" ht="14.25" customHeight="1" x14ac:dyDescent="0.25">
      <c r="A5268" s="564">
        <v>5111050051</v>
      </c>
      <c r="B5268" s="562" t="s">
        <v>1007</v>
      </c>
      <c r="C5268" s="403">
        <v>10695</v>
      </c>
      <c r="D5268" s="400"/>
      <c r="E5268" s="400"/>
      <c r="F5268" s="400"/>
      <c r="G5268" s="400"/>
      <c r="H5268" s="396"/>
    </row>
    <row r="5269" spans="1:8" s="401" customFormat="1" ht="14.25" customHeight="1" x14ac:dyDescent="0.25">
      <c r="A5269" s="564">
        <v>5111050052</v>
      </c>
      <c r="B5269" s="562" t="s">
        <v>1007</v>
      </c>
      <c r="C5269" s="403">
        <v>9224</v>
      </c>
      <c r="D5269" s="400"/>
      <c r="E5269" s="400"/>
      <c r="F5269" s="400"/>
      <c r="G5269" s="400"/>
      <c r="H5269" s="396"/>
    </row>
    <row r="5270" spans="1:8" s="401" customFormat="1" ht="14.25" customHeight="1" x14ac:dyDescent="0.25">
      <c r="A5270" s="564">
        <v>5111050053</v>
      </c>
      <c r="B5270" s="562" t="s">
        <v>1007</v>
      </c>
      <c r="C5270" s="403">
        <v>6905</v>
      </c>
      <c r="D5270" s="400"/>
      <c r="E5270" s="400"/>
      <c r="F5270" s="400"/>
      <c r="G5270" s="400"/>
      <c r="H5270" s="396"/>
    </row>
    <row r="5271" spans="1:8" s="401" customFormat="1" ht="14.25" customHeight="1" x14ac:dyDescent="0.25">
      <c r="A5271" s="564">
        <v>5111050054</v>
      </c>
      <c r="B5271" s="562" t="s">
        <v>1007</v>
      </c>
      <c r="C5271" s="403">
        <v>10695</v>
      </c>
      <c r="D5271" s="400"/>
      <c r="E5271" s="400"/>
      <c r="F5271" s="400"/>
      <c r="G5271" s="400"/>
      <c r="H5271" s="396"/>
    </row>
    <row r="5272" spans="1:8" s="401" customFormat="1" ht="14.25" customHeight="1" x14ac:dyDescent="0.25">
      <c r="A5272" s="564">
        <v>5111050055</v>
      </c>
      <c r="B5272" s="562" t="s">
        <v>1007</v>
      </c>
      <c r="C5272" s="403">
        <v>6999</v>
      </c>
      <c r="D5272" s="400"/>
      <c r="E5272" s="400"/>
      <c r="F5272" s="400"/>
      <c r="G5272" s="400"/>
      <c r="H5272" s="396"/>
    </row>
    <row r="5273" spans="1:8" s="401" customFormat="1" ht="14.25" customHeight="1" x14ac:dyDescent="0.25">
      <c r="A5273" s="564">
        <v>5111050056</v>
      </c>
      <c r="B5273" s="562" t="s">
        <v>1007</v>
      </c>
      <c r="C5273" s="403">
        <v>6999</v>
      </c>
      <c r="D5273" s="400"/>
      <c r="E5273" s="400"/>
      <c r="F5273" s="400"/>
      <c r="G5273" s="400"/>
      <c r="H5273" s="396"/>
    </row>
    <row r="5274" spans="1:8" s="401" customFormat="1" ht="14.25" customHeight="1" x14ac:dyDescent="0.25">
      <c r="A5274" s="564">
        <v>5111050057</v>
      </c>
      <c r="B5274" s="562" t="s">
        <v>1007</v>
      </c>
      <c r="C5274" s="403">
        <v>7800</v>
      </c>
      <c r="D5274" s="400"/>
      <c r="E5274" s="400"/>
      <c r="F5274" s="400"/>
      <c r="G5274" s="400"/>
      <c r="H5274" s="396"/>
    </row>
    <row r="5275" spans="1:8" s="401" customFormat="1" ht="14.25" customHeight="1" x14ac:dyDescent="0.25">
      <c r="A5275" s="564">
        <v>5111050058</v>
      </c>
      <c r="B5275" s="562" t="s">
        <v>1007</v>
      </c>
      <c r="C5275" s="403">
        <v>8725</v>
      </c>
      <c r="D5275" s="400"/>
      <c r="E5275" s="400"/>
      <c r="F5275" s="400"/>
      <c r="G5275" s="400"/>
      <c r="H5275" s="396"/>
    </row>
    <row r="5276" spans="1:8" s="401" customFormat="1" ht="14.25" customHeight="1" x14ac:dyDescent="0.25">
      <c r="A5276" s="564">
        <v>5111050062</v>
      </c>
      <c r="B5276" s="562" t="s">
        <v>1007</v>
      </c>
      <c r="C5276" s="403">
        <v>5280</v>
      </c>
      <c r="D5276" s="400"/>
      <c r="E5276" s="400"/>
      <c r="F5276" s="400"/>
      <c r="G5276" s="400"/>
      <c r="H5276" s="396"/>
    </row>
    <row r="5277" spans="1:8" s="401" customFormat="1" ht="14.25" customHeight="1" x14ac:dyDescent="0.25">
      <c r="A5277" s="564">
        <v>5111050059</v>
      </c>
      <c r="B5277" s="562" t="s">
        <v>1007</v>
      </c>
      <c r="C5277" s="403">
        <v>5999</v>
      </c>
      <c r="D5277" s="400"/>
      <c r="E5277" s="400"/>
      <c r="F5277" s="400"/>
      <c r="G5277" s="400"/>
      <c r="H5277" s="396"/>
    </row>
    <row r="5278" spans="1:8" s="401" customFormat="1" ht="14.25" customHeight="1" x14ac:dyDescent="0.25">
      <c r="A5278" s="564">
        <v>5112540002</v>
      </c>
      <c r="B5278" s="562" t="s">
        <v>936</v>
      </c>
      <c r="C5278" s="403">
        <v>10297.780000000001</v>
      </c>
      <c r="D5278" s="400"/>
      <c r="E5278" s="400"/>
      <c r="F5278" s="400"/>
      <c r="G5278" s="400"/>
      <c r="H5278" s="396"/>
    </row>
    <row r="5279" spans="1:8" s="401" customFormat="1" ht="14.25" customHeight="1" x14ac:dyDescent="0.25">
      <c r="A5279" s="564">
        <v>5652550006</v>
      </c>
      <c r="B5279" s="562" t="s">
        <v>2501</v>
      </c>
      <c r="C5279" s="403">
        <v>105560</v>
      </c>
      <c r="D5279" s="400"/>
      <c r="E5279" s="400"/>
      <c r="F5279" s="400"/>
      <c r="G5279" s="400"/>
      <c r="H5279" s="396"/>
    </row>
    <row r="5280" spans="1:8" s="401" customFormat="1" ht="14.25" customHeight="1" x14ac:dyDescent="0.25">
      <c r="A5280" s="564">
        <v>5410250040</v>
      </c>
      <c r="B5280" s="562" t="s">
        <v>2502</v>
      </c>
      <c r="C5280" s="403">
        <v>1650000.01</v>
      </c>
      <c r="D5280" s="400"/>
      <c r="E5280" s="400"/>
      <c r="F5280" s="400"/>
      <c r="G5280" s="400"/>
      <c r="H5280" s="396"/>
    </row>
    <row r="5281" spans="1:8" s="401" customFormat="1" ht="14.25" customHeight="1" x14ac:dyDescent="0.25">
      <c r="A5281" s="564">
        <v>5410250046</v>
      </c>
      <c r="B5281" s="562" t="s">
        <v>2502</v>
      </c>
      <c r="C5281" s="403">
        <v>1650000.01</v>
      </c>
      <c r="D5281" s="400"/>
      <c r="E5281" s="400"/>
      <c r="F5281" s="400"/>
      <c r="G5281" s="400"/>
      <c r="H5281" s="396"/>
    </row>
    <row r="5282" spans="1:8" s="401" customFormat="1" ht="14.25" customHeight="1" x14ac:dyDescent="0.25">
      <c r="A5282" s="564">
        <v>5410250047</v>
      </c>
      <c r="B5282" s="562" t="s">
        <v>2502</v>
      </c>
      <c r="C5282" s="403">
        <v>1650000.01</v>
      </c>
      <c r="D5282" s="400"/>
      <c r="E5282" s="400"/>
      <c r="F5282" s="400"/>
      <c r="G5282" s="400"/>
      <c r="H5282" s="396"/>
    </row>
    <row r="5283" spans="1:8" s="401" customFormat="1" ht="14.25" customHeight="1" x14ac:dyDescent="0.25">
      <c r="A5283" s="564">
        <v>5410250048</v>
      </c>
      <c r="B5283" s="562" t="s">
        <v>2502</v>
      </c>
      <c r="C5283" s="403">
        <v>825000</v>
      </c>
      <c r="D5283" s="400"/>
      <c r="E5283" s="400"/>
      <c r="F5283" s="400"/>
      <c r="G5283" s="400"/>
      <c r="H5283" s="396"/>
    </row>
    <row r="5284" spans="1:8" s="401" customFormat="1" ht="14.25" customHeight="1" x14ac:dyDescent="0.25">
      <c r="A5284" s="564">
        <v>5410250049</v>
      </c>
      <c r="B5284" s="562" t="s">
        <v>2502</v>
      </c>
      <c r="C5284" s="403">
        <v>825000</v>
      </c>
      <c r="D5284" s="400"/>
      <c r="E5284" s="400"/>
      <c r="F5284" s="400"/>
      <c r="G5284" s="400"/>
      <c r="H5284" s="396"/>
    </row>
    <row r="5285" spans="1:8" s="401" customFormat="1" ht="14.25" customHeight="1" x14ac:dyDescent="0.25">
      <c r="A5285" s="564">
        <v>5410250050</v>
      </c>
      <c r="B5285" s="562" t="s">
        <v>2502</v>
      </c>
      <c r="C5285" s="403">
        <v>825000</v>
      </c>
      <c r="D5285" s="400"/>
      <c r="E5285" s="400"/>
      <c r="F5285" s="400"/>
      <c r="G5285" s="400"/>
      <c r="H5285" s="396"/>
    </row>
    <row r="5286" spans="1:8" s="401" customFormat="1" ht="14.25" customHeight="1" x14ac:dyDescent="0.25">
      <c r="A5286" s="564">
        <v>5410250051</v>
      </c>
      <c r="B5286" s="562" t="s">
        <v>2502</v>
      </c>
      <c r="C5286" s="403">
        <v>825000</v>
      </c>
      <c r="D5286" s="400"/>
      <c r="E5286" s="400"/>
      <c r="F5286" s="400"/>
      <c r="G5286" s="400"/>
      <c r="H5286" s="396"/>
    </row>
    <row r="5287" spans="1:8" s="401" customFormat="1" ht="14.25" customHeight="1" x14ac:dyDescent="0.25">
      <c r="A5287" s="564">
        <v>5410250051</v>
      </c>
      <c r="B5287" s="562" t="s">
        <v>2502</v>
      </c>
      <c r="C5287" s="403">
        <v>1650000.01</v>
      </c>
      <c r="D5287" s="400"/>
      <c r="E5287" s="400"/>
      <c r="F5287" s="400"/>
      <c r="G5287" s="400"/>
      <c r="H5287" s="396"/>
    </row>
    <row r="5288" spans="1:8" s="401" customFormat="1" ht="14.25" customHeight="1" x14ac:dyDescent="0.25">
      <c r="A5288" s="564">
        <v>5410250052</v>
      </c>
      <c r="B5288" s="562" t="s">
        <v>2502</v>
      </c>
      <c r="C5288" s="403">
        <v>1650000.01</v>
      </c>
      <c r="D5288" s="400"/>
      <c r="E5288" s="400"/>
      <c r="F5288" s="400"/>
      <c r="G5288" s="400"/>
      <c r="H5288" s="396"/>
    </row>
    <row r="5289" spans="1:8" s="401" customFormat="1" ht="14.25" customHeight="1" x14ac:dyDescent="0.25">
      <c r="A5289" s="564">
        <v>5410250053</v>
      </c>
      <c r="B5289" s="562" t="s">
        <v>2502</v>
      </c>
      <c r="C5289" s="403">
        <v>1650000.01</v>
      </c>
      <c r="D5289" s="400"/>
      <c r="E5289" s="400"/>
      <c r="F5289" s="400"/>
      <c r="G5289" s="400"/>
      <c r="H5289" s="396"/>
    </row>
    <row r="5290" spans="1:8" s="401" customFormat="1" ht="14.25" customHeight="1" x14ac:dyDescent="0.25">
      <c r="A5290" s="564">
        <v>5410250054</v>
      </c>
      <c r="B5290" s="562" t="s">
        <v>2502</v>
      </c>
      <c r="C5290" s="403">
        <v>825000</v>
      </c>
      <c r="D5290" s="400"/>
      <c r="E5290" s="400"/>
      <c r="F5290" s="400"/>
      <c r="G5290" s="400"/>
      <c r="H5290" s="396"/>
    </row>
    <row r="5291" spans="1:8" s="401" customFormat="1" ht="14.25" customHeight="1" x14ac:dyDescent="0.25">
      <c r="A5291" s="564">
        <v>5410250055</v>
      </c>
      <c r="B5291" s="562" t="s">
        <v>2502</v>
      </c>
      <c r="C5291" s="403">
        <v>825000</v>
      </c>
      <c r="D5291" s="400"/>
      <c r="E5291" s="400"/>
      <c r="F5291" s="400"/>
      <c r="G5291" s="400"/>
      <c r="H5291" s="396"/>
    </row>
    <row r="5292" spans="1:8" s="401" customFormat="1" ht="14.25" customHeight="1" x14ac:dyDescent="0.25">
      <c r="A5292" s="564">
        <v>5410250056</v>
      </c>
      <c r="B5292" s="562" t="s">
        <v>2502</v>
      </c>
      <c r="C5292" s="403">
        <v>1650000.01</v>
      </c>
      <c r="D5292" s="400"/>
      <c r="E5292" s="400"/>
      <c r="F5292" s="400"/>
      <c r="G5292" s="400"/>
      <c r="H5292" s="396"/>
    </row>
    <row r="5293" spans="1:8" s="401" customFormat="1" ht="14.25" customHeight="1" x14ac:dyDescent="0.25">
      <c r="A5293" s="564">
        <v>5410250057</v>
      </c>
      <c r="B5293" s="562" t="s">
        <v>2502</v>
      </c>
      <c r="C5293" s="403">
        <v>1650000.01</v>
      </c>
      <c r="D5293" s="400"/>
      <c r="E5293" s="400"/>
      <c r="F5293" s="400"/>
      <c r="G5293" s="400"/>
      <c r="H5293" s="396"/>
    </row>
    <row r="5294" spans="1:8" s="401" customFormat="1" ht="14.25" customHeight="1" x14ac:dyDescent="0.25">
      <c r="A5294" s="564">
        <v>5410250058</v>
      </c>
      <c r="B5294" s="562" t="s">
        <v>2502</v>
      </c>
      <c r="C5294" s="403">
        <v>825000</v>
      </c>
      <c r="D5294" s="400"/>
      <c r="E5294" s="400"/>
      <c r="F5294" s="400"/>
      <c r="G5294" s="400"/>
      <c r="H5294" s="396"/>
    </row>
    <row r="5295" spans="1:8" s="401" customFormat="1" ht="14.25" customHeight="1" x14ac:dyDescent="0.25">
      <c r="A5295" s="564">
        <v>5410250059</v>
      </c>
      <c r="B5295" s="562" t="s">
        <v>2502</v>
      </c>
      <c r="C5295" s="403">
        <v>1650000.01</v>
      </c>
      <c r="D5295" s="400"/>
      <c r="E5295" s="400"/>
      <c r="F5295" s="400"/>
      <c r="G5295" s="400"/>
      <c r="H5295" s="396"/>
    </row>
    <row r="5296" spans="1:8" s="401" customFormat="1" ht="14.25" customHeight="1" x14ac:dyDescent="0.25">
      <c r="A5296" s="564">
        <v>5410250060</v>
      </c>
      <c r="B5296" s="562" t="s">
        <v>2502</v>
      </c>
      <c r="C5296" s="403">
        <v>1650000.01</v>
      </c>
      <c r="D5296" s="400"/>
      <c r="E5296" s="400"/>
      <c r="F5296" s="400"/>
      <c r="G5296" s="400"/>
      <c r="H5296" s="396"/>
    </row>
    <row r="5297" spans="1:8" s="401" customFormat="1" ht="14.25" customHeight="1" x14ac:dyDescent="0.25">
      <c r="A5297" s="564">
        <v>5410250062</v>
      </c>
      <c r="B5297" s="562" t="s">
        <v>2502</v>
      </c>
      <c r="C5297" s="403">
        <v>825000</v>
      </c>
      <c r="D5297" s="400"/>
      <c r="E5297" s="400"/>
      <c r="F5297" s="400"/>
      <c r="G5297" s="400"/>
      <c r="H5297" s="396"/>
    </row>
    <row r="5298" spans="1:8" s="401" customFormat="1" ht="14.25" customHeight="1" x14ac:dyDescent="0.25">
      <c r="A5298" s="564">
        <v>5410250063</v>
      </c>
      <c r="B5298" s="562" t="s">
        <v>2502</v>
      </c>
      <c r="C5298" s="403">
        <v>1650000.01</v>
      </c>
      <c r="D5298" s="400"/>
      <c r="E5298" s="400"/>
      <c r="F5298" s="400"/>
      <c r="G5298" s="400"/>
      <c r="H5298" s="396"/>
    </row>
    <row r="5299" spans="1:8" s="401" customFormat="1" ht="14.25" customHeight="1" x14ac:dyDescent="0.25">
      <c r="A5299" s="564">
        <v>5410250064</v>
      </c>
      <c r="B5299" s="562" t="s">
        <v>2502</v>
      </c>
      <c r="C5299" s="403">
        <v>1650000.01</v>
      </c>
      <c r="D5299" s="400"/>
      <c r="E5299" s="400"/>
      <c r="F5299" s="400"/>
      <c r="G5299" s="400"/>
      <c r="H5299" s="396"/>
    </row>
    <row r="5300" spans="1:8" s="401" customFormat="1" ht="14.25" customHeight="1" x14ac:dyDescent="0.25">
      <c r="A5300" s="564">
        <v>5410250065</v>
      </c>
      <c r="B5300" s="562" t="s">
        <v>2502</v>
      </c>
      <c r="C5300" s="403">
        <v>1650000.01</v>
      </c>
      <c r="D5300" s="400"/>
      <c r="E5300" s="400"/>
      <c r="F5300" s="400"/>
      <c r="G5300" s="400"/>
      <c r="H5300" s="396"/>
    </row>
    <row r="5301" spans="1:8" s="401" customFormat="1" ht="14.25" customHeight="1" x14ac:dyDescent="0.25">
      <c r="A5301" s="564">
        <v>5410250066</v>
      </c>
      <c r="B5301" s="562" t="s">
        <v>2502</v>
      </c>
      <c r="C5301" s="403">
        <v>1650000.01</v>
      </c>
      <c r="D5301" s="400"/>
      <c r="E5301" s="400"/>
      <c r="F5301" s="400"/>
      <c r="G5301" s="400"/>
      <c r="H5301" s="396"/>
    </row>
    <row r="5302" spans="1:8" s="401" customFormat="1" ht="14.25" customHeight="1" x14ac:dyDescent="0.25">
      <c r="A5302" s="564">
        <v>5410250067</v>
      </c>
      <c r="B5302" s="562" t="s">
        <v>2502</v>
      </c>
      <c r="C5302" s="403">
        <v>825000</v>
      </c>
      <c r="D5302" s="400"/>
      <c r="E5302" s="400"/>
      <c r="F5302" s="400"/>
      <c r="G5302" s="400"/>
      <c r="H5302" s="396"/>
    </row>
    <row r="5303" spans="1:8" s="401" customFormat="1" ht="14.25" customHeight="1" x14ac:dyDescent="0.25">
      <c r="A5303" s="564">
        <v>5410250068</v>
      </c>
      <c r="B5303" s="562" t="s">
        <v>2502</v>
      </c>
      <c r="C5303" s="403">
        <v>1650000.01</v>
      </c>
      <c r="D5303" s="400"/>
      <c r="E5303" s="400"/>
      <c r="F5303" s="400"/>
      <c r="G5303" s="400"/>
      <c r="H5303" s="396"/>
    </row>
    <row r="5304" spans="1:8" s="401" customFormat="1" ht="14.25" customHeight="1" x14ac:dyDescent="0.25">
      <c r="A5304" s="564">
        <v>5410250069</v>
      </c>
      <c r="B5304" s="562" t="s">
        <v>2502</v>
      </c>
      <c r="C5304" s="403">
        <v>825000</v>
      </c>
      <c r="D5304" s="400"/>
      <c r="E5304" s="400"/>
      <c r="F5304" s="400"/>
      <c r="G5304" s="400"/>
      <c r="H5304" s="396"/>
    </row>
    <row r="5305" spans="1:8" s="401" customFormat="1" ht="14.25" customHeight="1" x14ac:dyDescent="0.25">
      <c r="A5305" s="564">
        <v>5112940001</v>
      </c>
      <c r="B5305" s="562" t="s">
        <v>2503</v>
      </c>
      <c r="C5305" s="403">
        <v>3410.93</v>
      </c>
      <c r="D5305" s="400"/>
      <c r="E5305" s="400"/>
      <c r="F5305" s="400"/>
      <c r="G5305" s="400"/>
      <c r="H5305" s="396"/>
    </row>
    <row r="5306" spans="1:8" s="401" customFormat="1" ht="14.25" customHeight="1" x14ac:dyDescent="0.25">
      <c r="A5306" s="564">
        <v>5112950001</v>
      </c>
      <c r="B5306" s="562" t="s">
        <v>2504</v>
      </c>
      <c r="C5306" s="403">
        <v>7775.7</v>
      </c>
      <c r="D5306" s="400"/>
      <c r="E5306" s="400"/>
      <c r="F5306" s="400"/>
      <c r="G5306" s="400"/>
      <c r="H5306" s="396"/>
    </row>
    <row r="5307" spans="1:8" s="401" customFormat="1" ht="14.25" customHeight="1" x14ac:dyDescent="0.25">
      <c r="A5307" s="564">
        <v>5111810001</v>
      </c>
      <c r="B5307" s="562" t="s">
        <v>1006</v>
      </c>
      <c r="C5307" s="403">
        <v>10500</v>
      </c>
      <c r="D5307" s="400"/>
      <c r="E5307" s="400"/>
      <c r="F5307" s="400"/>
      <c r="G5307" s="400"/>
      <c r="H5307" s="396"/>
    </row>
    <row r="5308" spans="1:8" s="401" customFormat="1" ht="14.25" customHeight="1" x14ac:dyDescent="0.25">
      <c r="A5308" s="564">
        <v>5111810002</v>
      </c>
      <c r="B5308" s="562" t="s">
        <v>1006</v>
      </c>
      <c r="C5308" s="403">
        <v>10500</v>
      </c>
      <c r="D5308" s="400"/>
      <c r="E5308" s="400"/>
      <c r="F5308" s="400"/>
      <c r="G5308" s="400"/>
      <c r="H5308" s="396"/>
    </row>
    <row r="5309" spans="1:8" s="401" customFormat="1" ht="14.25" customHeight="1" x14ac:dyDescent="0.25">
      <c r="A5309" s="564">
        <v>5111810003</v>
      </c>
      <c r="B5309" s="562" t="s">
        <v>1006</v>
      </c>
      <c r="C5309" s="403">
        <v>10499.99</v>
      </c>
      <c r="D5309" s="400"/>
      <c r="E5309" s="400"/>
      <c r="F5309" s="400"/>
      <c r="G5309" s="400"/>
      <c r="H5309" s="396"/>
    </row>
    <row r="5310" spans="1:8" s="401" customFormat="1" ht="14.25" customHeight="1" x14ac:dyDescent="0.25">
      <c r="A5310" s="564" t="s">
        <v>8471</v>
      </c>
      <c r="B5310" s="562" t="s">
        <v>898</v>
      </c>
      <c r="C5310" s="403">
        <v>12506.19875</v>
      </c>
      <c r="D5310" s="400"/>
      <c r="E5310" s="400"/>
      <c r="F5310" s="400"/>
      <c r="G5310" s="400"/>
      <c r="H5310" s="396"/>
    </row>
    <row r="5311" spans="1:8" s="401" customFormat="1" ht="14.25" customHeight="1" x14ac:dyDescent="0.25">
      <c r="A5311" s="564" t="s">
        <v>8443</v>
      </c>
      <c r="B5311" s="562" t="s">
        <v>8520</v>
      </c>
      <c r="C5311" s="403">
        <v>1</v>
      </c>
      <c r="D5311" s="400"/>
      <c r="E5311" s="400"/>
      <c r="F5311" s="400"/>
      <c r="G5311" s="400"/>
      <c r="H5311" s="396"/>
    </row>
    <row r="5312" spans="1:8" s="401" customFormat="1" ht="14.25" customHeight="1" x14ac:dyDescent="0.25">
      <c r="A5312" s="564" t="s">
        <v>8514</v>
      </c>
      <c r="B5312" s="562" t="s">
        <v>8521</v>
      </c>
      <c r="C5312" s="403">
        <v>1</v>
      </c>
      <c r="D5312" s="400"/>
      <c r="E5312" s="400"/>
      <c r="F5312" s="400"/>
      <c r="G5312" s="400"/>
      <c r="H5312" s="396"/>
    </row>
    <row r="5313" spans="1:8" s="401" customFormat="1" ht="14.25" customHeight="1" x14ac:dyDescent="0.25">
      <c r="A5313" s="564" t="s">
        <v>8508</v>
      </c>
      <c r="B5313" s="562" t="s">
        <v>8522</v>
      </c>
      <c r="C5313" s="403">
        <v>243.05555555555566</v>
      </c>
      <c r="D5313" s="400"/>
      <c r="E5313" s="400"/>
      <c r="F5313" s="400"/>
      <c r="G5313" s="400"/>
      <c r="H5313" s="396"/>
    </row>
    <row r="5314" spans="1:8" s="401" customFormat="1" ht="14.25" customHeight="1" x14ac:dyDescent="0.25">
      <c r="A5314" s="564" t="s">
        <v>8508</v>
      </c>
      <c r="B5314" s="562" t="s">
        <v>8522</v>
      </c>
      <c r="C5314" s="403">
        <v>243.05555555555566</v>
      </c>
      <c r="D5314" s="400"/>
      <c r="E5314" s="400"/>
      <c r="F5314" s="400"/>
      <c r="G5314" s="400"/>
      <c r="H5314" s="396"/>
    </row>
    <row r="5315" spans="1:8" s="401" customFormat="1" ht="14.25" customHeight="1" x14ac:dyDescent="0.25">
      <c r="A5315" s="564" t="s">
        <v>8508</v>
      </c>
      <c r="B5315" s="562" t="s">
        <v>8522</v>
      </c>
      <c r="C5315" s="403">
        <v>243.05555555555566</v>
      </c>
      <c r="D5315" s="400"/>
      <c r="E5315" s="400"/>
      <c r="F5315" s="400"/>
      <c r="G5315" s="400"/>
      <c r="H5315" s="396"/>
    </row>
    <row r="5316" spans="1:8" s="401" customFormat="1" ht="14.25" customHeight="1" x14ac:dyDescent="0.25">
      <c r="A5316" s="564" t="s">
        <v>8487</v>
      </c>
      <c r="B5316" s="562" t="s">
        <v>8523</v>
      </c>
      <c r="C5316" s="403">
        <v>1689.12</v>
      </c>
      <c r="D5316" s="400"/>
      <c r="E5316" s="400"/>
      <c r="F5316" s="400"/>
      <c r="G5316" s="400"/>
      <c r="H5316" s="396"/>
    </row>
    <row r="5317" spans="1:8" s="401" customFormat="1" ht="14.25" customHeight="1" x14ac:dyDescent="0.25">
      <c r="A5317" s="564">
        <v>5151100006</v>
      </c>
      <c r="B5317" s="562" t="s">
        <v>2360</v>
      </c>
      <c r="C5317" s="403">
        <v>8004</v>
      </c>
      <c r="D5317" s="400"/>
      <c r="E5317" s="400"/>
      <c r="F5317" s="400"/>
      <c r="G5317" s="400"/>
      <c r="H5317" s="396"/>
    </row>
    <row r="5318" spans="1:8" s="401" customFormat="1" ht="14.25" customHeight="1" x14ac:dyDescent="0.25">
      <c r="A5318" s="564">
        <v>5111050067</v>
      </c>
      <c r="B5318" s="562" t="s">
        <v>1007</v>
      </c>
      <c r="C5318" s="403">
        <v>11774</v>
      </c>
      <c r="D5318" s="400"/>
      <c r="E5318" s="400"/>
      <c r="F5318" s="400"/>
      <c r="G5318" s="400"/>
      <c r="H5318" s="396"/>
    </row>
    <row r="5319" spans="1:8" s="401" customFormat="1" ht="14.25" customHeight="1" x14ac:dyDescent="0.25">
      <c r="A5319" s="564">
        <v>5111050065</v>
      </c>
      <c r="B5319" s="562" t="s">
        <v>1007</v>
      </c>
      <c r="C5319" s="403">
        <v>14198.504999999999</v>
      </c>
      <c r="D5319" s="400"/>
      <c r="E5319" s="400"/>
      <c r="F5319" s="400"/>
      <c r="G5319" s="400"/>
      <c r="H5319" s="396"/>
    </row>
    <row r="5320" spans="1:8" s="401" customFormat="1" ht="14.25" customHeight="1" x14ac:dyDescent="0.25">
      <c r="A5320" s="564">
        <v>5111050066</v>
      </c>
      <c r="B5320" s="562" t="s">
        <v>1007</v>
      </c>
      <c r="C5320" s="403">
        <v>14198.504999999999</v>
      </c>
      <c r="D5320" s="400"/>
      <c r="E5320" s="400"/>
      <c r="F5320" s="400"/>
      <c r="G5320" s="400"/>
      <c r="H5320" s="396"/>
    </row>
    <row r="5321" spans="1:8" s="401" customFormat="1" ht="14.25" customHeight="1" x14ac:dyDescent="0.25">
      <c r="A5321" s="564">
        <v>5410060010</v>
      </c>
      <c r="B5321" s="562" t="s">
        <v>2484</v>
      </c>
      <c r="C5321" s="403">
        <v>1033903.15</v>
      </c>
      <c r="D5321" s="400"/>
      <c r="E5321" s="400"/>
      <c r="F5321" s="400"/>
      <c r="G5321" s="400"/>
      <c r="H5321" s="396"/>
    </row>
    <row r="5322" spans="1:8" s="401" customFormat="1" ht="14.25" customHeight="1" x14ac:dyDescent="0.25">
      <c r="A5322" s="564">
        <v>5624700001</v>
      </c>
      <c r="B5322" s="562" t="s">
        <v>8524</v>
      </c>
      <c r="C5322" s="403">
        <v>4386.25</v>
      </c>
      <c r="D5322" s="400"/>
      <c r="E5322" s="400"/>
      <c r="F5322" s="400"/>
      <c r="G5322" s="400"/>
      <c r="H5322" s="396"/>
    </row>
    <row r="5323" spans="1:8" s="401" customFormat="1" ht="14.25" customHeight="1" x14ac:dyDescent="0.25">
      <c r="A5323" s="564">
        <v>5652030001</v>
      </c>
      <c r="B5323" s="562" t="s">
        <v>8525</v>
      </c>
      <c r="C5323" s="403">
        <v>3692.8370000000004</v>
      </c>
      <c r="D5323" s="400"/>
      <c r="E5323" s="400"/>
      <c r="F5323" s="400"/>
      <c r="G5323" s="400"/>
      <c r="H5323" s="396"/>
    </row>
    <row r="5324" spans="1:8" s="401" customFormat="1" ht="14.25" customHeight="1" x14ac:dyDescent="0.25">
      <c r="A5324" s="564">
        <v>5652030002</v>
      </c>
      <c r="B5324" s="562" t="s">
        <v>8525</v>
      </c>
      <c r="C5324" s="403">
        <v>3692.8370000000004</v>
      </c>
      <c r="D5324" s="400"/>
      <c r="E5324" s="400"/>
      <c r="F5324" s="400"/>
      <c r="G5324" s="400"/>
      <c r="H5324" s="396"/>
    </row>
    <row r="5325" spans="1:8" s="401" customFormat="1" ht="14.25" customHeight="1" x14ac:dyDescent="0.25">
      <c r="A5325" s="564">
        <v>5652030003</v>
      </c>
      <c r="B5325" s="562" t="s">
        <v>8525</v>
      </c>
      <c r="C5325" s="403">
        <v>3692.8370000000004</v>
      </c>
      <c r="D5325" s="400"/>
      <c r="E5325" s="400"/>
      <c r="F5325" s="400"/>
      <c r="G5325" s="400"/>
      <c r="H5325" s="396"/>
    </row>
    <row r="5326" spans="1:8" s="401" customFormat="1" ht="14.25" customHeight="1" x14ac:dyDescent="0.25">
      <c r="A5326" s="564">
        <v>5652030004</v>
      </c>
      <c r="B5326" s="562" t="s">
        <v>8525</v>
      </c>
      <c r="C5326" s="403">
        <v>3692.8370000000004</v>
      </c>
      <c r="D5326" s="400"/>
      <c r="E5326" s="400"/>
      <c r="F5326" s="400"/>
      <c r="G5326" s="400"/>
      <c r="H5326" s="396"/>
    </row>
    <row r="5327" spans="1:8" s="401" customFormat="1" ht="14.25" customHeight="1" x14ac:dyDescent="0.25">
      <c r="A5327" s="564">
        <v>5652030006</v>
      </c>
      <c r="B5327" s="562" t="s">
        <v>8525</v>
      </c>
      <c r="C5327" s="403">
        <v>3692.8370000000004</v>
      </c>
      <c r="D5327" s="400"/>
      <c r="E5327" s="400"/>
      <c r="F5327" s="400"/>
      <c r="G5327" s="400"/>
      <c r="H5327" s="396"/>
    </row>
    <row r="5328" spans="1:8" s="401" customFormat="1" ht="14.25" customHeight="1" x14ac:dyDescent="0.25">
      <c r="A5328" s="564">
        <v>5652030007</v>
      </c>
      <c r="B5328" s="562" t="s">
        <v>8525</v>
      </c>
      <c r="C5328" s="403">
        <v>3692.8370000000004</v>
      </c>
      <c r="D5328" s="400"/>
      <c r="E5328" s="400"/>
      <c r="F5328" s="400"/>
      <c r="G5328" s="400"/>
      <c r="H5328" s="396"/>
    </row>
    <row r="5329" spans="1:8" s="401" customFormat="1" ht="14.25" customHeight="1" x14ac:dyDescent="0.25">
      <c r="A5329" s="564">
        <v>5652030008</v>
      </c>
      <c r="B5329" s="562" t="s">
        <v>8525</v>
      </c>
      <c r="C5329" s="403">
        <v>3692.8370000000004</v>
      </c>
      <c r="D5329" s="400"/>
      <c r="E5329" s="400"/>
      <c r="F5329" s="400"/>
      <c r="G5329" s="400"/>
      <c r="H5329" s="396"/>
    </row>
    <row r="5330" spans="1:8" s="401" customFormat="1" ht="14.25" customHeight="1" x14ac:dyDescent="0.25">
      <c r="A5330" s="564">
        <v>5652030009</v>
      </c>
      <c r="B5330" s="562" t="s">
        <v>8525</v>
      </c>
      <c r="C5330" s="403">
        <v>3692.8370000000004</v>
      </c>
      <c r="D5330" s="400"/>
      <c r="E5330" s="400"/>
      <c r="F5330" s="400"/>
      <c r="G5330" s="400"/>
      <c r="H5330" s="396"/>
    </row>
    <row r="5331" spans="1:8" s="401" customFormat="1" ht="14.25" customHeight="1" x14ac:dyDescent="0.25">
      <c r="A5331" s="564">
        <v>5652030010</v>
      </c>
      <c r="B5331" s="562" t="s">
        <v>8525</v>
      </c>
      <c r="C5331" s="403">
        <v>3692.8370000000004</v>
      </c>
      <c r="D5331" s="400"/>
      <c r="E5331" s="400"/>
      <c r="F5331" s="400"/>
      <c r="G5331" s="400"/>
      <c r="H5331" s="396"/>
    </row>
    <row r="5332" spans="1:8" s="401" customFormat="1" ht="14.25" customHeight="1" x14ac:dyDescent="0.25">
      <c r="A5332" s="564">
        <v>5652030011</v>
      </c>
      <c r="B5332" s="562" t="s">
        <v>8525</v>
      </c>
      <c r="C5332" s="403">
        <v>3692.8370000000004</v>
      </c>
      <c r="D5332" s="400"/>
      <c r="E5332" s="400"/>
      <c r="F5332" s="400"/>
      <c r="G5332" s="400"/>
      <c r="H5332" s="396"/>
    </row>
    <row r="5333" spans="1:8" s="401" customFormat="1" ht="14.25" customHeight="1" x14ac:dyDescent="0.25">
      <c r="A5333" s="564">
        <v>5652030012</v>
      </c>
      <c r="B5333" s="562" t="s">
        <v>8525</v>
      </c>
      <c r="C5333" s="403">
        <v>3692.8370000000004</v>
      </c>
      <c r="D5333" s="400"/>
      <c r="E5333" s="400"/>
      <c r="F5333" s="400"/>
      <c r="G5333" s="400"/>
      <c r="H5333" s="396"/>
    </row>
    <row r="5334" spans="1:8" s="401" customFormat="1" ht="14.25" customHeight="1" x14ac:dyDescent="0.25">
      <c r="A5334" s="564">
        <v>5652030013</v>
      </c>
      <c r="B5334" s="562" t="s">
        <v>8525</v>
      </c>
      <c r="C5334" s="403">
        <v>3692.8370000000004</v>
      </c>
      <c r="D5334" s="400"/>
      <c r="E5334" s="400"/>
      <c r="F5334" s="400"/>
      <c r="G5334" s="400"/>
      <c r="H5334" s="396"/>
    </row>
    <row r="5335" spans="1:8" s="401" customFormat="1" ht="14.25" customHeight="1" x14ac:dyDescent="0.25">
      <c r="A5335" s="564">
        <v>5652030035</v>
      </c>
      <c r="B5335" s="562" t="s">
        <v>8525</v>
      </c>
      <c r="C5335" s="403">
        <v>3692.8370000000004</v>
      </c>
      <c r="D5335" s="400"/>
      <c r="E5335" s="400"/>
      <c r="F5335" s="400"/>
      <c r="G5335" s="400"/>
      <c r="H5335" s="396"/>
    </row>
    <row r="5336" spans="1:8" s="401" customFormat="1" ht="14.25" customHeight="1" x14ac:dyDescent="0.25">
      <c r="A5336" s="564">
        <v>5652030036</v>
      </c>
      <c r="B5336" s="562" t="s">
        <v>8525</v>
      </c>
      <c r="C5336" s="403">
        <v>3692.8370000000004</v>
      </c>
      <c r="D5336" s="400"/>
      <c r="E5336" s="400"/>
      <c r="F5336" s="400"/>
      <c r="G5336" s="400"/>
      <c r="H5336" s="396"/>
    </row>
    <row r="5337" spans="1:8" s="401" customFormat="1" ht="14.25" customHeight="1" x14ac:dyDescent="0.25">
      <c r="A5337" s="564">
        <v>5652030037</v>
      </c>
      <c r="B5337" s="562" t="s">
        <v>8525</v>
      </c>
      <c r="C5337" s="403">
        <v>3692.8370000000004</v>
      </c>
      <c r="D5337" s="400"/>
      <c r="E5337" s="400"/>
      <c r="F5337" s="400"/>
      <c r="G5337" s="400"/>
      <c r="H5337" s="396"/>
    </row>
    <row r="5338" spans="1:8" s="401" customFormat="1" ht="14.25" customHeight="1" x14ac:dyDescent="0.25">
      <c r="A5338" s="564">
        <v>5652030038</v>
      </c>
      <c r="B5338" s="562" t="s">
        <v>8525</v>
      </c>
      <c r="C5338" s="403">
        <v>3692.8370000000004</v>
      </c>
      <c r="D5338" s="400"/>
      <c r="E5338" s="400"/>
      <c r="F5338" s="400"/>
      <c r="G5338" s="400"/>
      <c r="H5338" s="396"/>
    </row>
    <row r="5339" spans="1:8" s="401" customFormat="1" ht="14.25" customHeight="1" x14ac:dyDescent="0.25">
      <c r="A5339" s="564">
        <v>5652030039</v>
      </c>
      <c r="B5339" s="562" t="s">
        <v>8525</v>
      </c>
      <c r="C5339" s="403">
        <v>3692.8370000000004</v>
      </c>
      <c r="D5339" s="400"/>
      <c r="E5339" s="400"/>
      <c r="F5339" s="400"/>
      <c r="G5339" s="400"/>
      <c r="H5339" s="396"/>
    </row>
    <row r="5340" spans="1:8" s="401" customFormat="1" ht="14.25" customHeight="1" x14ac:dyDescent="0.25">
      <c r="A5340" s="564">
        <v>5652030040</v>
      </c>
      <c r="B5340" s="562" t="s">
        <v>8525</v>
      </c>
      <c r="C5340" s="403">
        <v>3692.8370000000004</v>
      </c>
      <c r="D5340" s="400"/>
      <c r="E5340" s="400"/>
      <c r="F5340" s="400"/>
      <c r="G5340" s="400"/>
      <c r="H5340" s="396"/>
    </row>
    <row r="5341" spans="1:8" s="401" customFormat="1" ht="14.25" customHeight="1" x14ac:dyDescent="0.25">
      <c r="A5341" s="564">
        <v>5652030014</v>
      </c>
      <c r="B5341" s="562" t="s">
        <v>8525</v>
      </c>
      <c r="C5341" s="403">
        <v>3692.8370000000004</v>
      </c>
      <c r="D5341" s="400"/>
      <c r="E5341" s="400"/>
      <c r="F5341" s="400"/>
      <c r="G5341" s="400"/>
      <c r="H5341" s="396"/>
    </row>
    <row r="5342" spans="1:8" s="401" customFormat="1" ht="14.25" customHeight="1" x14ac:dyDescent="0.25">
      <c r="A5342" s="564">
        <v>5652030015</v>
      </c>
      <c r="B5342" s="562" t="s">
        <v>8525</v>
      </c>
      <c r="C5342" s="403">
        <v>3692.8370000000004</v>
      </c>
      <c r="D5342" s="400"/>
      <c r="E5342" s="400"/>
      <c r="F5342" s="400"/>
      <c r="G5342" s="400"/>
      <c r="H5342" s="396"/>
    </row>
    <row r="5343" spans="1:8" s="401" customFormat="1" ht="14.25" customHeight="1" x14ac:dyDescent="0.25">
      <c r="A5343" s="564">
        <v>5652030016</v>
      </c>
      <c r="B5343" s="562" t="s">
        <v>8525</v>
      </c>
      <c r="C5343" s="403">
        <v>3692.8370000000004</v>
      </c>
      <c r="D5343" s="400"/>
      <c r="E5343" s="400"/>
      <c r="F5343" s="400"/>
      <c r="G5343" s="400"/>
      <c r="H5343" s="396"/>
    </row>
    <row r="5344" spans="1:8" s="401" customFormat="1" ht="14.25" customHeight="1" x14ac:dyDescent="0.25">
      <c r="A5344" s="564">
        <v>5652030017</v>
      </c>
      <c r="B5344" s="562" t="s">
        <v>8525</v>
      </c>
      <c r="C5344" s="403">
        <v>3692.8370000000004</v>
      </c>
      <c r="D5344" s="400"/>
      <c r="E5344" s="400"/>
      <c r="F5344" s="400"/>
      <c r="G5344" s="400"/>
      <c r="H5344" s="396"/>
    </row>
    <row r="5345" spans="1:8" s="401" customFormat="1" ht="14.25" customHeight="1" x14ac:dyDescent="0.25">
      <c r="A5345" s="564">
        <v>5652030018</v>
      </c>
      <c r="B5345" s="562" t="s">
        <v>8525</v>
      </c>
      <c r="C5345" s="403">
        <v>3692.8370000000004</v>
      </c>
      <c r="D5345" s="400"/>
      <c r="E5345" s="400"/>
      <c r="F5345" s="400"/>
      <c r="G5345" s="400"/>
      <c r="H5345" s="396"/>
    </row>
    <row r="5346" spans="1:8" s="401" customFormat="1" ht="14.25" customHeight="1" x14ac:dyDescent="0.25">
      <c r="A5346" s="564">
        <v>5652030019</v>
      </c>
      <c r="B5346" s="562" t="s">
        <v>8525</v>
      </c>
      <c r="C5346" s="403">
        <v>3692.8370000000004</v>
      </c>
      <c r="D5346" s="400"/>
      <c r="E5346" s="400"/>
      <c r="F5346" s="400"/>
      <c r="G5346" s="400"/>
      <c r="H5346" s="396"/>
    </row>
    <row r="5347" spans="1:8" s="401" customFormat="1" ht="14.25" customHeight="1" x14ac:dyDescent="0.25">
      <c r="A5347" s="564">
        <v>5652030020</v>
      </c>
      <c r="B5347" s="562" t="s">
        <v>8525</v>
      </c>
      <c r="C5347" s="403">
        <v>3692.8370000000004</v>
      </c>
      <c r="D5347" s="400"/>
      <c r="E5347" s="400"/>
      <c r="F5347" s="400"/>
      <c r="G5347" s="400"/>
      <c r="H5347" s="396"/>
    </row>
    <row r="5348" spans="1:8" s="401" customFormat="1" ht="14.25" customHeight="1" x14ac:dyDescent="0.25">
      <c r="A5348" s="564">
        <v>5652030021</v>
      </c>
      <c r="B5348" s="562" t="s">
        <v>8525</v>
      </c>
      <c r="C5348" s="403">
        <v>3692.8370000000004</v>
      </c>
      <c r="D5348" s="400"/>
      <c r="E5348" s="400"/>
      <c r="F5348" s="400"/>
      <c r="G5348" s="400"/>
      <c r="H5348" s="396"/>
    </row>
    <row r="5349" spans="1:8" s="401" customFormat="1" ht="14.25" customHeight="1" x14ac:dyDescent="0.25">
      <c r="A5349" s="564">
        <v>5652030022</v>
      </c>
      <c r="B5349" s="562" t="s">
        <v>8525</v>
      </c>
      <c r="C5349" s="403">
        <v>3692.8370000000004</v>
      </c>
      <c r="D5349" s="400"/>
      <c r="E5349" s="400"/>
      <c r="F5349" s="400"/>
      <c r="G5349" s="400"/>
      <c r="H5349" s="396"/>
    </row>
    <row r="5350" spans="1:8" s="401" customFormat="1" ht="14.25" customHeight="1" x14ac:dyDescent="0.25">
      <c r="A5350" s="564">
        <v>5652030023</v>
      </c>
      <c r="B5350" s="562" t="s">
        <v>8525</v>
      </c>
      <c r="C5350" s="403">
        <v>3692.8370000000004</v>
      </c>
      <c r="D5350" s="400"/>
      <c r="E5350" s="400"/>
      <c r="F5350" s="400"/>
      <c r="G5350" s="400"/>
      <c r="H5350" s="396"/>
    </row>
    <row r="5351" spans="1:8" s="401" customFormat="1" ht="14.25" customHeight="1" x14ac:dyDescent="0.25">
      <c r="A5351" s="564">
        <v>5652030024</v>
      </c>
      <c r="B5351" s="562" t="s">
        <v>8525</v>
      </c>
      <c r="C5351" s="403">
        <v>3692.8370000000004</v>
      </c>
      <c r="D5351" s="400"/>
      <c r="E5351" s="400"/>
      <c r="F5351" s="400"/>
      <c r="G5351" s="400"/>
      <c r="H5351" s="396"/>
    </row>
    <row r="5352" spans="1:8" s="401" customFormat="1" ht="14.25" customHeight="1" x14ac:dyDescent="0.25">
      <c r="A5352" s="564">
        <v>5652030025</v>
      </c>
      <c r="B5352" s="562" t="s">
        <v>8525</v>
      </c>
      <c r="C5352" s="403">
        <v>3692.8370000000004</v>
      </c>
      <c r="D5352" s="400"/>
      <c r="E5352" s="400"/>
      <c r="F5352" s="400"/>
      <c r="G5352" s="400"/>
      <c r="H5352" s="396"/>
    </row>
    <row r="5353" spans="1:8" s="401" customFormat="1" ht="14.25" customHeight="1" x14ac:dyDescent="0.25">
      <c r="A5353" s="564">
        <v>5652030026</v>
      </c>
      <c r="B5353" s="562" t="s">
        <v>8525</v>
      </c>
      <c r="C5353" s="403">
        <v>3692.8370000000004</v>
      </c>
      <c r="D5353" s="400"/>
      <c r="E5353" s="400"/>
      <c r="F5353" s="400"/>
      <c r="G5353" s="400"/>
      <c r="H5353" s="396"/>
    </row>
    <row r="5354" spans="1:8" s="401" customFormat="1" ht="14.25" customHeight="1" x14ac:dyDescent="0.25">
      <c r="A5354" s="564">
        <v>5652030027</v>
      </c>
      <c r="B5354" s="562" t="s">
        <v>8525</v>
      </c>
      <c r="C5354" s="403">
        <v>3692.8370000000004</v>
      </c>
      <c r="D5354" s="400"/>
      <c r="E5354" s="400"/>
      <c r="F5354" s="400"/>
      <c r="G5354" s="400"/>
      <c r="H5354" s="396"/>
    </row>
    <row r="5355" spans="1:8" s="401" customFormat="1" ht="14.25" customHeight="1" x14ac:dyDescent="0.25">
      <c r="A5355" s="564">
        <v>5652030028</v>
      </c>
      <c r="B5355" s="562" t="s">
        <v>8525</v>
      </c>
      <c r="C5355" s="403">
        <v>3692.8370000000004</v>
      </c>
      <c r="D5355" s="400"/>
      <c r="E5355" s="400"/>
      <c r="F5355" s="400"/>
      <c r="G5355" s="400"/>
      <c r="H5355" s="396"/>
    </row>
    <row r="5356" spans="1:8" s="401" customFormat="1" ht="14.25" customHeight="1" x14ac:dyDescent="0.25">
      <c r="A5356" s="564">
        <v>5652030029</v>
      </c>
      <c r="B5356" s="562" t="s">
        <v>8525</v>
      </c>
      <c r="C5356" s="403">
        <v>3692.8370000000004</v>
      </c>
      <c r="D5356" s="400"/>
      <c r="E5356" s="400"/>
      <c r="F5356" s="400"/>
      <c r="G5356" s="400"/>
      <c r="H5356" s="396"/>
    </row>
    <row r="5357" spans="1:8" s="401" customFormat="1" ht="14.25" customHeight="1" x14ac:dyDescent="0.25">
      <c r="A5357" s="564">
        <v>5652030030</v>
      </c>
      <c r="B5357" s="562" t="s">
        <v>8525</v>
      </c>
      <c r="C5357" s="403">
        <v>3692.8370000000004</v>
      </c>
      <c r="D5357" s="400"/>
      <c r="E5357" s="400"/>
      <c r="F5357" s="400"/>
      <c r="G5357" s="400"/>
      <c r="H5357" s="396"/>
    </row>
    <row r="5358" spans="1:8" s="401" customFormat="1" ht="14.25" customHeight="1" x14ac:dyDescent="0.25">
      <c r="A5358" s="564">
        <v>5652030031</v>
      </c>
      <c r="B5358" s="562" t="s">
        <v>8525</v>
      </c>
      <c r="C5358" s="403">
        <v>3692.8370000000004</v>
      </c>
      <c r="D5358" s="400"/>
      <c r="E5358" s="400"/>
      <c r="F5358" s="400"/>
      <c r="G5358" s="400"/>
      <c r="H5358" s="396"/>
    </row>
    <row r="5359" spans="1:8" s="401" customFormat="1" ht="14.25" customHeight="1" x14ac:dyDescent="0.25">
      <c r="A5359" s="564">
        <v>5652030032</v>
      </c>
      <c r="B5359" s="562" t="s">
        <v>8525</v>
      </c>
      <c r="C5359" s="403">
        <v>3692.8370000000004</v>
      </c>
      <c r="D5359" s="400"/>
      <c r="E5359" s="400"/>
      <c r="F5359" s="400"/>
      <c r="G5359" s="400"/>
      <c r="H5359" s="396"/>
    </row>
    <row r="5360" spans="1:8" s="401" customFormat="1" ht="14.25" customHeight="1" x14ac:dyDescent="0.25">
      <c r="A5360" s="564">
        <v>5652030033</v>
      </c>
      <c r="B5360" s="562" t="s">
        <v>8525</v>
      </c>
      <c r="C5360" s="403">
        <v>3692.8370000000004</v>
      </c>
      <c r="D5360" s="400"/>
      <c r="E5360" s="400"/>
      <c r="F5360" s="400"/>
      <c r="G5360" s="400"/>
      <c r="H5360" s="396"/>
    </row>
    <row r="5361" spans="1:8" s="401" customFormat="1" ht="14.25" customHeight="1" x14ac:dyDescent="0.25">
      <c r="A5361" s="564">
        <v>5652030034</v>
      </c>
      <c r="B5361" s="562" t="s">
        <v>8525</v>
      </c>
      <c r="C5361" s="403">
        <v>3692.8370000000004</v>
      </c>
      <c r="D5361" s="400"/>
      <c r="E5361" s="400"/>
      <c r="F5361" s="400"/>
      <c r="G5361" s="400"/>
      <c r="H5361" s="396"/>
    </row>
    <row r="5362" spans="1:8" s="401" customFormat="1" ht="14.25" customHeight="1" x14ac:dyDescent="0.25">
      <c r="A5362" s="564">
        <v>5652030005</v>
      </c>
      <c r="B5362" s="562" t="s">
        <v>8525</v>
      </c>
      <c r="C5362" s="403">
        <v>3692.8370000000004</v>
      </c>
      <c r="D5362" s="400"/>
      <c r="E5362" s="400"/>
      <c r="F5362" s="400"/>
      <c r="G5362" s="400"/>
      <c r="H5362" s="396"/>
    </row>
    <row r="5363" spans="1:8" s="401" customFormat="1" ht="14.25" customHeight="1" x14ac:dyDescent="0.25">
      <c r="A5363" s="564">
        <v>5652470001</v>
      </c>
      <c r="B5363" s="562" t="s">
        <v>8526</v>
      </c>
      <c r="C5363" s="403">
        <v>7551.6</v>
      </c>
      <c r="D5363" s="400"/>
      <c r="E5363" s="400"/>
      <c r="F5363" s="400"/>
      <c r="G5363" s="400"/>
      <c r="H5363" s="396"/>
    </row>
    <row r="5364" spans="1:8" s="401" customFormat="1" ht="14.25" customHeight="1" x14ac:dyDescent="0.25">
      <c r="A5364" s="564" t="s">
        <v>8496</v>
      </c>
      <c r="B5364" s="562" t="s">
        <v>791</v>
      </c>
      <c r="C5364" s="403">
        <v>767.9699999999998</v>
      </c>
      <c r="D5364" s="400"/>
      <c r="E5364" s="400"/>
      <c r="F5364" s="400"/>
      <c r="G5364" s="400"/>
      <c r="H5364" s="396"/>
    </row>
    <row r="5365" spans="1:8" s="401" customFormat="1" ht="14.25" customHeight="1" x14ac:dyDescent="0.25">
      <c r="A5365" s="564" t="s">
        <v>8496</v>
      </c>
      <c r="B5365" s="562" t="s">
        <v>791</v>
      </c>
      <c r="C5365" s="403">
        <v>767.9699999999998</v>
      </c>
      <c r="D5365" s="400"/>
      <c r="E5365" s="400"/>
      <c r="F5365" s="400"/>
      <c r="G5365" s="400"/>
      <c r="H5365" s="396"/>
    </row>
    <row r="5366" spans="1:8" s="401" customFormat="1" ht="14.25" customHeight="1" x14ac:dyDescent="0.25">
      <c r="A5366" s="564" t="s">
        <v>8496</v>
      </c>
      <c r="B5366" s="562" t="s">
        <v>791</v>
      </c>
      <c r="C5366" s="403">
        <v>767.9699999999998</v>
      </c>
      <c r="D5366" s="400"/>
      <c r="E5366" s="400"/>
      <c r="F5366" s="400"/>
      <c r="G5366" s="400"/>
      <c r="H5366" s="396"/>
    </row>
    <row r="5367" spans="1:8" s="401" customFormat="1" ht="14.25" customHeight="1" x14ac:dyDescent="0.25">
      <c r="A5367" s="564" t="s">
        <v>8496</v>
      </c>
      <c r="B5367" s="562" t="s">
        <v>791</v>
      </c>
      <c r="C5367" s="403">
        <v>767.9699999999998</v>
      </c>
      <c r="D5367" s="400"/>
      <c r="E5367" s="400"/>
      <c r="F5367" s="400"/>
      <c r="G5367" s="400"/>
      <c r="H5367" s="396"/>
    </row>
    <row r="5368" spans="1:8" s="401" customFormat="1" ht="14.25" customHeight="1" x14ac:dyDescent="0.25">
      <c r="A5368" s="564">
        <v>5111100019</v>
      </c>
      <c r="B5368" s="562" t="s">
        <v>791</v>
      </c>
      <c r="C5368" s="403">
        <v>5249</v>
      </c>
      <c r="D5368" s="400"/>
      <c r="E5368" s="400"/>
      <c r="F5368" s="400"/>
      <c r="G5368" s="400"/>
      <c r="H5368" s="396"/>
    </row>
    <row r="5369" spans="1:8" s="401" customFormat="1" ht="14.25" customHeight="1" x14ac:dyDescent="0.25">
      <c r="A5369" s="564">
        <v>5110230059</v>
      </c>
      <c r="B5369" s="562" t="s">
        <v>791</v>
      </c>
      <c r="C5369" s="403">
        <v>4033.3199999999997</v>
      </c>
      <c r="D5369" s="400"/>
      <c r="E5369" s="400"/>
      <c r="F5369" s="400"/>
      <c r="G5369" s="400"/>
      <c r="H5369" s="396"/>
    </row>
    <row r="5370" spans="1:8" s="401" customFormat="1" ht="14.25" customHeight="1" x14ac:dyDescent="0.25">
      <c r="A5370" s="564">
        <v>5110230060</v>
      </c>
      <c r="B5370" s="562" t="s">
        <v>791</v>
      </c>
      <c r="C5370" s="403">
        <v>4033.3199999999997</v>
      </c>
      <c r="D5370" s="400"/>
      <c r="E5370" s="400"/>
      <c r="F5370" s="400"/>
      <c r="G5370" s="400"/>
      <c r="H5370" s="396"/>
    </row>
    <row r="5371" spans="1:8" s="401" customFormat="1" ht="14.25" customHeight="1" x14ac:dyDescent="0.25">
      <c r="A5371" s="564">
        <v>5110230061</v>
      </c>
      <c r="B5371" s="562" t="s">
        <v>791</v>
      </c>
      <c r="C5371" s="403">
        <v>4033.3199999999997</v>
      </c>
      <c r="D5371" s="400"/>
      <c r="E5371" s="400"/>
      <c r="F5371" s="400"/>
      <c r="G5371" s="400"/>
      <c r="H5371" s="396"/>
    </row>
    <row r="5372" spans="1:8" s="401" customFormat="1" ht="14.25" customHeight="1" x14ac:dyDescent="0.25">
      <c r="A5372" s="564">
        <v>5110230062</v>
      </c>
      <c r="B5372" s="562" t="s">
        <v>791</v>
      </c>
      <c r="C5372" s="403">
        <v>4033.3199999999997</v>
      </c>
      <c r="D5372" s="400"/>
      <c r="E5372" s="400"/>
      <c r="F5372" s="400"/>
      <c r="G5372" s="400"/>
      <c r="H5372" s="396"/>
    </row>
    <row r="5373" spans="1:8" s="401" customFormat="1" ht="14.25" customHeight="1" x14ac:dyDescent="0.25">
      <c r="A5373" s="564">
        <v>5110230063</v>
      </c>
      <c r="B5373" s="562" t="s">
        <v>791</v>
      </c>
      <c r="C5373" s="403">
        <v>4033.3199999999997</v>
      </c>
      <c r="D5373" s="400"/>
      <c r="E5373" s="400"/>
      <c r="F5373" s="400"/>
      <c r="G5373" s="400"/>
      <c r="H5373" s="396"/>
    </row>
    <row r="5374" spans="1:8" s="401" customFormat="1" ht="14.25" customHeight="1" x14ac:dyDescent="0.25">
      <c r="A5374" s="564">
        <v>5110240028</v>
      </c>
      <c r="B5374" s="562" t="s">
        <v>791</v>
      </c>
      <c r="C5374" s="403">
        <v>3648.1999999999994</v>
      </c>
      <c r="D5374" s="400"/>
      <c r="E5374" s="400"/>
      <c r="F5374" s="400"/>
      <c r="G5374" s="400"/>
      <c r="H5374" s="396"/>
    </row>
    <row r="5375" spans="1:8" s="401" customFormat="1" ht="14.25" customHeight="1" x14ac:dyDescent="0.25">
      <c r="A5375" s="564">
        <v>5110240029</v>
      </c>
      <c r="B5375" s="562" t="s">
        <v>791</v>
      </c>
      <c r="C5375" s="403">
        <v>3648.1999999999994</v>
      </c>
      <c r="D5375" s="400"/>
      <c r="E5375" s="400"/>
      <c r="F5375" s="400"/>
      <c r="G5375" s="400"/>
      <c r="H5375" s="396"/>
    </row>
    <row r="5376" spans="1:8" s="401" customFormat="1" ht="14.25" customHeight="1" x14ac:dyDescent="0.25">
      <c r="A5376" s="564">
        <v>5110240030</v>
      </c>
      <c r="B5376" s="562" t="s">
        <v>791</v>
      </c>
      <c r="C5376" s="403">
        <v>3648.1999999999994</v>
      </c>
      <c r="D5376" s="400"/>
      <c r="E5376" s="400"/>
      <c r="F5376" s="400"/>
      <c r="G5376" s="400"/>
      <c r="H5376" s="396"/>
    </row>
    <row r="5377" spans="1:8" s="401" customFormat="1" ht="14.25" customHeight="1" x14ac:dyDescent="0.25">
      <c r="A5377" s="564">
        <v>5110240031</v>
      </c>
      <c r="B5377" s="562" t="s">
        <v>791</v>
      </c>
      <c r="C5377" s="403">
        <v>3648.1999999999994</v>
      </c>
      <c r="D5377" s="400"/>
      <c r="E5377" s="400"/>
      <c r="F5377" s="400"/>
      <c r="G5377" s="400"/>
      <c r="H5377" s="396"/>
    </row>
    <row r="5378" spans="1:8" s="401" customFormat="1" ht="14.25" customHeight="1" x14ac:dyDescent="0.25">
      <c r="A5378" s="564">
        <v>5110240032</v>
      </c>
      <c r="B5378" s="562" t="s">
        <v>791</v>
      </c>
      <c r="C5378" s="403">
        <v>3648.1999999999994</v>
      </c>
      <c r="D5378" s="400"/>
      <c r="E5378" s="400"/>
      <c r="F5378" s="400"/>
      <c r="G5378" s="400"/>
      <c r="H5378" s="396"/>
    </row>
    <row r="5379" spans="1:8" s="401" customFormat="1" ht="14.25" customHeight="1" x14ac:dyDescent="0.25">
      <c r="A5379" s="564">
        <v>5110240033</v>
      </c>
      <c r="B5379" s="562" t="s">
        <v>791</v>
      </c>
      <c r="C5379" s="403">
        <v>3648.1999999999994</v>
      </c>
      <c r="D5379" s="400"/>
      <c r="E5379" s="400"/>
      <c r="F5379" s="400"/>
      <c r="G5379" s="400"/>
      <c r="H5379" s="396"/>
    </row>
    <row r="5380" spans="1:8" s="401" customFormat="1" ht="14.25" customHeight="1" x14ac:dyDescent="0.25">
      <c r="A5380" s="564">
        <v>5111110002</v>
      </c>
      <c r="B5380" s="562" t="s">
        <v>8527</v>
      </c>
      <c r="C5380" s="403">
        <v>14020</v>
      </c>
      <c r="D5380" s="400"/>
      <c r="E5380" s="400"/>
      <c r="F5380" s="400"/>
      <c r="G5380" s="400"/>
      <c r="H5380" s="396"/>
    </row>
    <row r="5381" spans="1:8" s="401" customFormat="1" ht="14.25" customHeight="1" x14ac:dyDescent="0.25">
      <c r="A5381" s="564">
        <v>5110030001</v>
      </c>
      <c r="B5381" s="562" t="s">
        <v>8319</v>
      </c>
      <c r="C5381" s="403">
        <v>4078.56</v>
      </c>
      <c r="D5381" s="400"/>
      <c r="E5381" s="400"/>
      <c r="F5381" s="400"/>
      <c r="G5381" s="400"/>
      <c r="H5381" s="396"/>
    </row>
    <row r="5382" spans="1:8" s="401" customFormat="1" ht="14.25" customHeight="1" x14ac:dyDescent="0.25">
      <c r="A5382" s="564">
        <v>5652200038</v>
      </c>
      <c r="B5382" s="562" t="s">
        <v>8528</v>
      </c>
      <c r="C5382" s="403">
        <v>2089</v>
      </c>
      <c r="D5382" s="400"/>
      <c r="E5382" s="400"/>
      <c r="F5382" s="400"/>
      <c r="G5382" s="400"/>
      <c r="H5382" s="396"/>
    </row>
    <row r="5383" spans="1:8" s="401" customFormat="1" ht="14.25" customHeight="1" x14ac:dyDescent="0.25">
      <c r="A5383" s="564" t="s">
        <v>8516</v>
      </c>
      <c r="B5383" s="562" t="s">
        <v>8529</v>
      </c>
      <c r="C5383" s="403">
        <v>408.18333333333339</v>
      </c>
      <c r="D5383" s="400"/>
      <c r="E5383" s="400"/>
      <c r="F5383" s="400"/>
      <c r="G5383" s="400"/>
      <c r="H5383" s="396"/>
    </row>
    <row r="5384" spans="1:8" s="401" customFormat="1" ht="14.25" customHeight="1" x14ac:dyDescent="0.25">
      <c r="A5384" s="564">
        <v>5652200039</v>
      </c>
      <c r="B5384" s="562" t="s">
        <v>907</v>
      </c>
      <c r="C5384" s="403">
        <v>3724.89</v>
      </c>
      <c r="D5384" s="400"/>
      <c r="E5384" s="400"/>
      <c r="F5384" s="400"/>
      <c r="G5384" s="400"/>
      <c r="H5384" s="396"/>
    </row>
    <row r="5385" spans="1:8" s="401" customFormat="1" ht="14.25" customHeight="1" x14ac:dyDescent="0.25">
      <c r="A5385" s="564">
        <v>5652200040</v>
      </c>
      <c r="B5385" s="562" t="s">
        <v>907</v>
      </c>
      <c r="C5385" s="403">
        <v>3724.89</v>
      </c>
      <c r="D5385" s="400"/>
      <c r="E5385" s="400"/>
      <c r="F5385" s="400"/>
      <c r="G5385" s="400"/>
      <c r="H5385" s="396"/>
    </row>
    <row r="5386" spans="1:8" s="401" customFormat="1" ht="14.25" customHeight="1" x14ac:dyDescent="0.25">
      <c r="A5386" s="564">
        <v>5111230001</v>
      </c>
      <c r="B5386" s="562" t="s">
        <v>8530</v>
      </c>
      <c r="C5386" s="403">
        <v>11753.119999999999</v>
      </c>
      <c r="D5386" s="400"/>
      <c r="E5386" s="400"/>
      <c r="F5386" s="400"/>
      <c r="G5386" s="400"/>
      <c r="H5386" s="396"/>
    </row>
    <row r="5387" spans="1:8" s="401" customFormat="1" ht="14.25" customHeight="1" x14ac:dyDescent="0.25">
      <c r="A5387" s="564">
        <v>5111230002</v>
      </c>
      <c r="B5387" s="562" t="s">
        <v>8530</v>
      </c>
      <c r="C5387" s="403">
        <v>13919.999999999998</v>
      </c>
      <c r="D5387" s="400"/>
      <c r="E5387" s="400"/>
      <c r="F5387" s="400"/>
      <c r="G5387" s="400"/>
      <c r="H5387" s="396"/>
    </row>
    <row r="5388" spans="1:8" s="401" customFormat="1" ht="14.25" customHeight="1" x14ac:dyDescent="0.25">
      <c r="A5388" s="564">
        <v>5111300015</v>
      </c>
      <c r="B5388" s="562" t="s">
        <v>8531</v>
      </c>
      <c r="C5388" s="403">
        <v>1450</v>
      </c>
      <c r="D5388" s="400"/>
      <c r="E5388" s="400"/>
      <c r="F5388" s="400"/>
      <c r="G5388" s="400"/>
      <c r="H5388" s="396"/>
    </row>
    <row r="5389" spans="1:8" s="401" customFormat="1" ht="14.25" customHeight="1" x14ac:dyDescent="0.25">
      <c r="A5389" s="564">
        <v>5111300016</v>
      </c>
      <c r="B5389" s="562" t="s">
        <v>8531</v>
      </c>
      <c r="C5389" s="403">
        <v>1450</v>
      </c>
      <c r="D5389" s="400"/>
      <c r="E5389" s="400"/>
      <c r="F5389" s="400"/>
      <c r="G5389" s="400"/>
      <c r="H5389" s="396"/>
    </row>
    <row r="5390" spans="1:8" s="401" customFormat="1" ht="14.25" customHeight="1" x14ac:dyDescent="0.25">
      <c r="A5390" s="564">
        <v>5111300017</v>
      </c>
      <c r="B5390" s="562" t="s">
        <v>8531</v>
      </c>
      <c r="C5390" s="403">
        <v>1450</v>
      </c>
      <c r="D5390" s="400"/>
      <c r="E5390" s="400"/>
      <c r="F5390" s="400"/>
      <c r="G5390" s="400"/>
      <c r="H5390" s="396"/>
    </row>
    <row r="5391" spans="1:8" s="401" customFormat="1" ht="14.25" customHeight="1" x14ac:dyDescent="0.25">
      <c r="A5391" s="564">
        <v>5111300018</v>
      </c>
      <c r="B5391" s="562" t="s">
        <v>8531</v>
      </c>
      <c r="C5391" s="403">
        <v>1450</v>
      </c>
      <c r="D5391" s="400"/>
      <c r="E5391" s="400"/>
      <c r="F5391" s="400"/>
      <c r="G5391" s="400"/>
      <c r="H5391" s="396"/>
    </row>
    <row r="5392" spans="1:8" s="401" customFormat="1" ht="14.25" customHeight="1" x14ac:dyDescent="0.25">
      <c r="A5392" s="564">
        <v>5111300019</v>
      </c>
      <c r="B5392" s="562" t="s">
        <v>8531</v>
      </c>
      <c r="C5392" s="403">
        <v>1450</v>
      </c>
      <c r="D5392" s="400"/>
      <c r="E5392" s="400"/>
      <c r="F5392" s="400"/>
      <c r="G5392" s="400"/>
      <c r="H5392" s="396"/>
    </row>
    <row r="5393" spans="1:8" s="401" customFormat="1" ht="14.25" customHeight="1" x14ac:dyDescent="0.25">
      <c r="A5393" s="564">
        <v>5111300020</v>
      </c>
      <c r="B5393" s="562" t="s">
        <v>8531</v>
      </c>
      <c r="C5393" s="403">
        <v>1450</v>
      </c>
      <c r="D5393" s="400"/>
      <c r="E5393" s="400"/>
      <c r="F5393" s="400"/>
      <c r="G5393" s="400"/>
      <c r="H5393" s="396"/>
    </row>
    <row r="5394" spans="1:8" s="401" customFormat="1" ht="14.25" customHeight="1" x14ac:dyDescent="0.25">
      <c r="A5394" s="564">
        <v>5111300021</v>
      </c>
      <c r="B5394" s="562" t="s">
        <v>8531</v>
      </c>
      <c r="C5394" s="403">
        <v>1450</v>
      </c>
      <c r="D5394" s="400"/>
      <c r="E5394" s="400"/>
      <c r="F5394" s="400"/>
      <c r="G5394" s="400"/>
      <c r="H5394" s="396"/>
    </row>
    <row r="5395" spans="1:8" s="401" customFormat="1" ht="14.25" customHeight="1" x14ac:dyDescent="0.25">
      <c r="A5395" s="564">
        <v>5111300022</v>
      </c>
      <c r="B5395" s="562" t="s">
        <v>8531</v>
      </c>
      <c r="C5395" s="403">
        <v>1450</v>
      </c>
      <c r="D5395" s="400"/>
      <c r="E5395" s="400"/>
      <c r="F5395" s="400"/>
      <c r="G5395" s="400"/>
      <c r="H5395" s="396"/>
    </row>
    <row r="5396" spans="1:8" s="401" customFormat="1" ht="14.25" customHeight="1" x14ac:dyDescent="0.25">
      <c r="A5396" s="564">
        <v>5111300023</v>
      </c>
      <c r="B5396" s="562" t="s">
        <v>8531</v>
      </c>
      <c r="C5396" s="403">
        <v>1450</v>
      </c>
      <c r="D5396" s="400"/>
      <c r="E5396" s="400"/>
      <c r="F5396" s="400"/>
      <c r="G5396" s="400"/>
      <c r="H5396" s="396"/>
    </row>
    <row r="5397" spans="1:8" s="401" customFormat="1" ht="14.25" customHeight="1" x14ac:dyDescent="0.25">
      <c r="A5397" s="564">
        <v>5652270016</v>
      </c>
      <c r="B5397" s="562" t="s">
        <v>975</v>
      </c>
      <c r="C5397" s="403">
        <v>3422</v>
      </c>
      <c r="D5397" s="400"/>
      <c r="E5397" s="400"/>
      <c r="F5397" s="400"/>
      <c r="G5397" s="400"/>
      <c r="H5397" s="396"/>
    </row>
    <row r="5398" spans="1:8" s="401" customFormat="1" ht="14.25" customHeight="1" x14ac:dyDescent="0.25">
      <c r="A5398" s="564" t="s">
        <v>8452</v>
      </c>
      <c r="B5398" s="562" t="s">
        <v>975</v>
      </c>
      <c r="C5398" s="403">
        <v>0</v>
      </c>
      <c r="D5398" s="400"/>
      <c r="E5398" s="400"/>
      <c r="F5398" s="400"/>
      <c r="G5398" s="400"/>
      <c r="H5398" s="396"/>
    </row>
    <row r="5399" spans="1:8" s="401" customFormat="1" ht="14.25" customHeight="1" x14ac:dyDescent="0.25">
      <c r="A5399" s="564" t="s">
        <v>8451</v>
      </c>
      <c r="B5399" s="562" t="s">
        <v>975</v>
      </c>
      <c r="C5399" s="403">
        <v>1</v>
      </c>
      <c r="D5399" s="400"/>
      <c r="E5399" s="400"/>
      <c r="F5399" s="400"/>
      <c r="G5399" s="400"/>
      <c r="H5399" s="396"/>
    </row>
    <row r="5400" spans="1:8" s="401" customFormat="1" ht="14.25" customHeight="1" x14ac:dyDescent="0.25">
      <c r="A5400" s="564">
        <v>5410150014</v>
      </c>
      <c r="B5400" s="562" t="s">
        <v>2350</v>
      </c>
      <c r="C5400" s="403">
        <v>812000</v>
      </c>
      <c r="D5400" s="400"/>
      <c r="E5400" s="400"/>
      <c r="F5400" s="400"/>
      <c r="G5400" s="400"/>
      <c r="H5400" s="396"/>
    </row>
    <row r="5401" spans="1:8" s="401" customFormat="1" ht="14.25" customHeight="1" x14ac:dyDescent="0.25">
      <c r="A5401" s="564">
        <v>5410560001</v>
      </c>
      <c r="B5401" s="562" t="s">
        <v>8532</v>
      </c>
      <c r="C5401" s="403">
        <v>202492.01</v>
      </c>
      <c r="D5401" s="400"/>
      <c r="E5401" s="400"/>
      <c r="F5401" s="400"/>
      <c r="G5401" s="400"/>
      <c r="H5401" s="396"/>
    </row>
    <row r="5402" spans="1:8" s="401" customFormat="1" ht="14.25" customHeight="1" x14ac:dyDescent="0.25">
      <c r="A5402" s="564">
        <v>5410560002</v>
      </c>
      <c r="B5402" s="562" t="s">
        <v>8532</v>
      </c>
      <c r="C5402" s="403">
        <v>202492.01</v>
      </c>
      <c r="D5402" s="400"/>
      <c r="E5402" s="400"/>
      <c r="F5402" s="400"/>
      <c r="G5402" s="400"/>
      <c r="H5402" s="396"/>
    </row>
    <row r="5403" spans="1:8" s="401" customFormat="1" ht="14.25" customHeight="1" x14ac:dyDescent="0.25">
      <c r="A5403" s="564">
        <v>5410560003</v>
      </c>
      <c r="B5403" s="562" t="s">
        <v>8532</v>
      </c>
      <c r="C5403" s="403">
        <v>202492.01</v>
      </c>
      <c r="D5403" s="400"/>
      <c r="E5403" s="400"/>
      <c r="F5403" s="400"/>
      <c r="G5403" s="400"/>
      <c r="H5403" s="396"/>
    </row>
    <row r="5404" spans="1:8" s="401" customFormat="1" ht="14.25" customHeight="1" x14ac:dyDescent="0.25">
      <c r="A5404" s="564">
        <v>5410560004</v>
      </c>
      <c r="B5404" s="562" t="s">
        <v>8532</v>
      </c>
      <c r="C5404" s="403">
        <v>202492.01</v>
      </c>
      <c r="D5404" s="400"/>
      <c r="E5404" s="400"/>
      <c r="F5404" s="400"/>
      <c r="G5404" s="400"/>
      <c r="H5404" s="396"/>
    </row>
    <row r="5405" spans="1:8" s="401" customFormat="1" ht="14.25" customHeight="1" x14ac:dyDescent="0.25">
      <c r="A5405" s="564">
        <v>5410230061</v>
      </c>
      <c r="B5405" s="562" t="s">
        <v>8532</v>
      </c>
      <c r="C5405" s="403">
        <v>305800</v>
      </c>
      <c r="D5405" s="400"/>
      <c r="E5405" s="400"/>
      <c r="F5405" s="400"/>
      <c r="G5405" s="400"/>
      <c r="H5405" s="396"/>
    </row>
    <row r="5406" spans="1:8" s="401" customFormat="1" ht="14.25" customHeight="1" x14ac:dyDescent="0.25">
      <c r="A5406" s="564">
        <v>5410230058</v>
      </c>
      <c r="B5406" s="562" t="s">
        <v>8532</v>
      </c>
      <c r="C5406" s="403">
        <v>311800</v>
      </c>
      <c r="D5406" s="400"/>
      <c r="E5406" s="400"/>
      <c r="F5406" s="400"/>
      <c r="G5406" s="400"/>
      <c r="H5406" s="396"/>
    </row>
    <row r="5407" spans="1:8" s="401" customFormat="1" ht="14.25" customHeight="1" x14ac:dyDescent="0.25">
      <c r="A5407" s="564">
        <v>5410230060</v>
      </c>
      <c r="B5407" s="562" t="s">
        <v>8532</v>
      </c>
      <c r="C5407" s="403">
        <v>292700</v>
      </c>
      <c r="D5407" s="400"/>
      <c r="E5407" s="400"/>
      <c r="F5407" s="400"/>
      <c r="G5407" s="400"/>
      <c r="H5407" s="396"/>
    </row>
    <row r="5408" spans="1:8" s="401" customFormat="1" ht="14.25" customHeight="1" x14ac:dyDescent="0.25">
      <c r="A5408" s="564">
        <v>5410230056</v>
      </c>
      <c r="B5408" s="562" t="s">
        <v>8532</v>
      </c>
      <c r="C5408" s="403">
        <v>285500</v>
      </c>
      <c r="D5408" s="400"/>
      <c r="E5408" s="400"/>
      <c r="F5408" s="400"/>
      <c r="G5408" s="400"/>
      <c r="H5408" s="396"/>
    </row>
    <row r="5409" spans="1:8" s="401" customFormat="1" ht="14.25" customHeight="1" x14ac:dyDescent="0.25">
      <c r="A5409" s="564">
        <v>5410230057</v>
      </c>
      <c r="B5409" s="562" t="s">
        <v>8532</v>
      </c>
      <c r="C5409" s="403">
        <v>285500</v>
      </c>
      <c r="D5409" s="400"/>
      <c r="E5409" s="400"/>
      <c r="F5409" s="400"/>
      <c r="G5409" s="400"/>
      <c r="H5409" s="396"/>
    </row>
    <row r="5410" spans="1:8" s="401" customFormat="1" ht="14.25" customHeight="1" x14ac:dyDescent="0.25">
      <c r="A5410" s="564">
        <v>5410230059</v>
      </c>
      <c r="B5410" s="562" t="s">
        <v>8532</v>
      </c>
      <c r="C5410" s="403">
        <v>249300</v>
      </c>
      <c r="D5410" s="400"/>
      <c r="E5410" s="400"/>
      <c r="F5410" s="400"/>
      <c r="G5410" s="400"/>
      <c r="H5410" s="396"/>
    </row>
    <row r="5411" spans="1:8" s="401" customFormat="1" ht="14.25" customHeight="1" x14ac:dyDescent="0.25">
      <c r="A5411" s="564">
        <v>5410230062</v>
      </c>
      <c r="B5411" s="562" t="s">
        <v>8532</v>
      </c>
      <c r="C5411" s="403">
        <v>181009</v>
      </c>
      <c r="D5411" s="400"/>
      <c r="E5411" s="400"/>
      <c r="F5411" s="400"/>
      <c r="G5411" s="400"/>
      <c r="H5411" s="396"/>
    </row>
    <row r="5412" spans="1:8" s="401" customFormat="1" ht="14.25" customHeight="1" x14ac:dyDescent="0.25">
      <c r="A5412" s="564">
        <v>5410560005</v>
      </c>
      <c r="B5412" s="562" t="s">
        <v>8532</v>
      </c>
      <c r="C5412" s="403">
        <v>216844</v>
      </c>
      <c r="D5412" s="400"/>
      <c r="E5412" s="400"/>
      <c r="F5412" s="400"/>
      <c r="G5412" s="400"/>
      <c r="H5412" s="396"/>
    </row>
    <row r="5413" spans="1:8" s="401" customFormat="1" ht="14.25" customHeight="1" x14ac:dyDescent="0.25">
      <c r="A5413" s="564">
        <v>5410560006</v>
      </c>
      <c r="B5413" s="562" t="s">
        <v>8532</v>
      </c>
      <c r="C5413" s="403">
        <v>216844</v>
      </c>
      <c r="D5413" s="400"/>
      <c r="E5413" s="400"/>
      <c r="F5413" s="400"/>
      <c r="G5413" s="400"/>
      <c r="H5413" s="396"/>
    </row>
    <row r="5414" spans="1:8" s="401" customFormat="1" ht="14.25" customHeight="1" x14ac:dyDescent="0.25">
      <c r="A5414" s="564">
        <v>5410560007</v>
      </c>
      <c r="B5414" s="562" t="s">
        <v>8532</v>
      </c>
      <c r="C5414" s="403">
        <v>216844</v>
      </c>
      <c r="D5414" s="400"/>
      <c r="E5414" s="400"/>
      <c r="F5414" s="400"/>
      <c r="G5414" s="400"/>
      <c r="H5414" s="396"/>
    </row>
    <row r="5415" spans="1:8" s="401" customFormat="1" ht="14.25" customHeight="1" x14ac:dyDescent="0.25">
      <c r="A5415" s="564">
        <v>5410560008</v>
      </c>
      <c r="B5415" s="562" t="s">
        <v>8532</v>
      </c>
      <c r="C5415" s="403">
        <v>216844</v>
      </c>
      <c r="D5415" s="400"/>
      <c r="E5415" s="400"/>
      <c r="F5415" s="400"/>
      <c r="G5415" s="400"/>
      <c r="H5415" s="396"/>
    </row>
    <row r="5416" spans="1:8" s="401" customFormat="1" ht="14.25" customHeight="1" x14ac:dyDescent="0.25">
      <c r="A5416" s="564">
        <v>5410560009</v>
      </c>
      <c r="B5416" s="562" t="s">
        <v>8532</v>
      </c>
      <c r="C5416" s="403">
        <v>216844</v>
      </c>
      <c r="D5416" s="400"/>
      <c r="E5416" s="400"/>
      <c r="F5416" s="400"/>
      <c r="G5416" s="400"/>
      <c r="H5416" s="396"/>
    </row>
    <row r="5417" spans="1:8" s="401" customFormat="1" ht="14.25" customHeight="1" x14ac:dyDescent="0.25">
      <c r="A5417" s="564">
        <v>5410560010</v>
      </c>
      <c r="B5417" s="562" t="s">
        <v>8532</v>
      </c>
      <c r="C5417" s="403">
        <v>216844</v>
      </c>
      <c r="D5417" s="400"/>
      <c r="E5417" s="400"/>
      <c r="F5417" s="400"/>
      <c r="G5417" s="400"/>
      <c r="H5417" s="396"/>
    </row>
    <row r="5418" spans="1:8" s="401" customFormat="1" ht="14.25" customHeight="1" x14ac:dyDescent="0.25">
      <c r="A5418" s="564">
        <v>5410560011</v>
      </c>
      <c r="B5418" s="562" t="s">
        <v>8532</v>
      </c>
      <c r="C5418" s="403">
        <v>216844</v>
      </c>
      <c r="D5418" s="400"/>
      <c r="E5418" s="400"/>
      <c r="F5418" s="400"/>
      <c r="G5418" s="400"/>
      <c r="H5418" s="396"/>
    </row>
    <row r="5419" spans="1:8" s="401" customFormat="1" ht="14.25" customHeight="1" x14ac:dyDescent="0.25">
      <c r="A5419" s="564">
        <v>5410560012</v>
      </c>
      <c r="B5419" s="562" t="s">
        <v>8532</v>
      </c>
      <c r="C5419" s="403">
        <v>216844</v>
      </c>
      <c r="D5419" s="400"/>
      <c r="E5419" s="400"/>
      <c r="F5419" s="400"/>
      <c r="G5419" s="400"/>
      <c r="H5419" s="396"/>
    </row>
    <row r="5420" spans="1:8" s="401" customFormat="1" ht="14.25" customHeight="1" x14ac:dyDescent="0.25">
      <c r="A5420" s="564">
        <v>5410560013</v>
      </c>
      <c r="B5420" s="562" t="s">
        <v>8532</v>
      </c>
      <c r="C5420" s="403">
        <v>216844</v>
      </c>
      <c r="D5420" s="400"/>
      <c r="E5420" s="400"/>
      <c r="F5420" s="400"/>
      <c r="G5420" s="400"/>
      <c r="H5420" s="396"/>
    </row>
    <row r="5421" spans="1:8" s="401" customFormat="1" ht="14.25" customHeight="1" x14ac:dyDescent="0.25">
      <c r="A5421" s="564">
        <v>5410560014</v>
      </c>
      <c r="B5421" s="562" t="s">
        <v>8532</v>
      </c>
      <c r="C5421" s="403">
        <v>216844</v>
      </c>
      <c r="D5421" s="400"/>
      <c r="E5421" s="400"/>
      <c r="F5421" s="400"/>
      <c r="G5421" s="400"/>
      <c r="H5421" s="396"/>
    </row>
    <row r="5422" spans="1:8" s="401" customFormat="1" ht="14.25" customHeight="1" x14ac:dyDescent="0.25">
      <c r="A5422" s="564">
        <v>5410560015</v>
      </c>
      <c r="B5422" s="562" t="s">
        <v>8532</v>
      </c>
      <c r="C5422" s="403">
        <v>216844</v>
      </c>
      <c r="D5422" s="400"/>
      <c r="E5422" s="400"/>
      <c r="F5422" s="400"/>
      <c r="G5422" s="400"/>
      <c r="H5422" s="396"/>
    </row>
    <row r="5423" spans="1:8" s="401" customFormat="1" ht="14.25" customHeight="1" x14ac:dyDescent="0.25">
      <c r="A5423" s="564">
        <v>5410560016</v>
      </c>
      <c r="B5423" s="562" t="s">
        <v>8532</v>
      </c>
      <c r="C5423" s="403">
        <v>216844</v>
      </c>
      <c r="D5423" s="400"/>
      <c r="E5423" s="400"/>
      <c r="F5423" s="400"/>
      <c r="G5423" s="400"/>
      <c r="H5423" s="396"/>
    </row>
    <row r="5424" spans="1:8" s="401" customFormat="1" ht="14.25" customHeight="1" x14ac:dyDescent="0.25">
      <c r="A5424" s="564">
        <v>5410560017</v>
      </c>
      <c r="B5424" s="562" t="s">
        <v>8532</v>
      </c>
      <c r="C5424" s="403">
        <v>216844</v>
      </c>
      <c r="D5424" s="400"/>
      <c r="E5424" s="400"/>
      <c r="F5424" s="400"/>
      <c r="G5424" s="400"/>
      <c r="H5424" s="396"/>
    </row>
    <row r="5425" spans="1:8" s="401" customFormat="1" ht="14.25" customHeight="1" x14ac:dyDescent="0.25">
      <c r="A5425" s="564">
        <v>5410560018</v>
      </c>
      <c r="B5425" s="562" t="s">
        <v>8532</v>
      </c>
      <c r="C5425" s="403">
        <v>216844</v>
      </c>
      <c r="D5425" s="400"/>
      <c r="E5425" s="400"/>
      <c r="F5425" s="400"/>
      <c r="G5425" s="400"/>
      <c r="H5425" s="396"/>
    </row>
    <row r="5426" spans="1:8" s="401" customFormat="1" ht="14.25" customHeight="1" x14ac:dyDescent="0.25">
      <c r="A5426" s="564">
        <v>5410560019</v>
      </c>
      <c r="B5426" s="562" t="s">
        <v>8532</v>
      </c>
      <c r="C5426" s="403">
        <v>216844</v>
      </c>
      <c r="D5426" s="400"/>
      <c r="E5426" s="400"/>
      <c r="F5426" s="400"/>
      <c r="G5426" s="400"/>
      <c r="H5426" s="396"/>
    </row>
    <row r="5427" spans="1:8" s="401" customFormat="1" ht="14.25" customHeight="1" x14ac:dyDescent="0.25">
      <c r="A5427" s="564">
        <v>5410560020</v>
      </c>
      <c r="B5427" s="562" t="s">
        <v>8532</v>
      </c>
      <c r="C5427" s="403">
        <v>216844</v>
      </c>
      <c r="D5427" s="400"/>
      <c r="E5427" s="400"/>
      <c r="F5427" s="400"/>
      <c r="G5427" s="400"/>
      <c r="H5427" s="396"/>
    </row>
    <row r="5428" spans="1:8" s="401" customFormat="1" ht="14.25" customHeight="1" x14ac:dyDescent="0.25">
      <c r="A5428" s="564">
        <v>5620750034</v>
      </c>
      <c r="B5428" s="562" t="s">
        <v>8533</v>
      </c>
      <c r="C5428" s="403">
        <v>4619.2011666666667</v>
      </c>
      <c r="D5428" s="400"/>
      <c r="E5428" s="400"/>
      <c r="F5428" s="400"/>
      <c r="G5428" s="400"/>
      <c r="H5428" s="396"/>
    </row>
    <row r="5429" spans="1:8" s="401" customFormat="1" ht="14.25" customHeight="1" x14ac:dyDescent="0.25">
      <c r="A5429" s="564">
        <v>5620750035</v>
      </c>
      <c r="B5429" s="562" t="s">
        <v>8533</v>
      </c>
      <c r="C5429" s="403">
        <v>4619.2011666666667</v>
      </c>
      <c r="D5429" s="400"/>
      <c r="E5429" s="400"/>
      <c r="F5429" s="400"/>
      <c r="G5429" s="400"/>
      <c r="H5429" s="396"/>
    </row>
    <row r="5430" spans="1:8" s="401" customFormat="1" ht="14.25" customHeight="1" x14ac:dyDescent="0.25">
      <c r="A5430" s="564">
        <v>5620750021</v>
      </c>
      <c r="B5430" s="562" t="s">
        <v>8533</v>
      </c>
      <c r="C5430" s="403">
        <v>4619.2011666666667</v>
      </c>
      <c r="D5430" s="400"/>
      <c r="E5430" s="400"/>
      <c r="F5430" s="400"/>
      <c r="G5430" s="400"/>
      <c r="H5430" s="396"/>
    </row>
    <row r="5431" spans="1:8" s="401" customFormat="1" ht="14.25" customHeight="1" x14ac:dyDescent="0.25">
      <c r="A5431" s="564">
        <v>5620750022</v>
      </c>
      <c r="B5431" s="562" t="s">
        <v>8533</v>
      </c>
      <c r="C5431" s="403">
        <v>4619.2011666666667</v>
      </c>
      <c r="D5431" s="400"/>
      <c r="E5431" s="400"/>
      <c r="F5431" s="400"/>
      <c r="G5431" s="400"/>
      <c r="H5431" s="396"/>
    </row>
    <row r="5432" spans="1:8" s="401" customFormat="1" ht="14.25" customHeight="1" x14ac:dyDescent="0.25">
      <c r="A5432" s="564">
        <v>5620750023</v>
      </c>
      <c r="B5432" s="562" t="s">
        <v>8533</v>
      </c>
      <c r="C5432" s="403">
        <v>4619.2011666666667</v>
      </c>
      <c r="D5432" s="400"/>
      <c r="E5432" s="400"/>
      <c r="F5432" s="400"/>
      <c r="G5432" s="400"/>
      <c r="H5432" s="396"/>
    </row>
    <row r="5433" spans="1:8" s="401" customFormat="1" ht="14.25" customHeight="1" x14ac:dyDescent="0.25">
      <c r="A5433" s="564">
        <v>5620750024</v>
      </c>
      <c r="B5433" s="562" t="s">
        <v>8533</v>
      </c>
      <c r="C5433" s="403">
        <v>4619.2011666666667</v>
      </c>
      <c r="D5433" s="400"/>
      <c r="E5433" s="400"/>
      <c r="F5433" s="400"/>
      <c r="G5433" s="400"/>
      <c r="H5433" s="396"/>
    </row>
    <row r="5434" spans="1:8" s="401" customFormat="1" ht="14.25" customHeight="1" x14ac:dyDescent="0.25">
      <c r="A5434" s="564">
        <v>5620750025</v>
      </c>
      <c r="B5434" s="562" t="s">
        <v>8533</v>
      </c>
      <c r="C5434" s="403">
        <v>4619.2011666666667</v>
      </c>
      <c r="D5434" s="400"/>
      <c r="E5434" s="400"/>
      <c r="F5434" s="400"/>
      <c r="G5434" s="400"/>
      <c r="H5434" s="396"/>
    </row>
    <row r="5435" spans="1:8" s="401" customFormat="1" ht="14.25" customHeight="1" x14ac:dyDescent="0.25">
      <c r="A5435" s="564">
        <v>5620750026</v>
      </c>
      <c r="B5435" s="562" t="s">
        <v>8533</v>
      </c>
      <c r="C5435" s="403">
        <v>4619.2011666666667</v>
      </c>
      <c r="D5435" s="400"/>
      <c r="E5435" s="400"/>
      <c r="F5435" s="400"/>
      <c r="G5435" s="400"/>
      <c r="H5435" s="396"/>
    </row>
    <row r="5436" spans="1:8" s="401" customFormat="1" ht="14.25" customHeight="1" x14ac:dyDescent="0.25">
      <c r="A5436" s="564">
        <v>5620750027</v>
      </c>
      <c r="B5436" s="562" t="s">
        <v>8533</v>
      </c>
      <c r="C5436" s="403">
        <v>4619.2011666666667</v>
      </c>
      <c r="D5436" s="400"/>
      <c r="E5436" s="400"/>
      <c r="F5436" s="400"/>
      <c r="G5436" s="400"/>
      <c r="H5436" s="396"/>
    </row>
    <row r="5437" spans="1:8" s="401" customFormat="1" ht="14.25" customHeight="1" x14ac:dyDescent="0.25">
      <c r="A5437" s="564">
        <v>5620750028</v>
      </c>
      <c r="B5437" s="562" t="s">
        <v>8533</v>
      </c>
      <c r="C5437" s="403">
        <v>4619.2011666666667</v>
      </c>
      <c r="D5437" s="400"/>
      <c r="E5437" s="400"/>
      <c r="F5437" s="400"/>
      <c r="G5437" s="400"/>
      <c r="H5437" s="396"/>
    </row>
    <row r="5438" spans="1:8" s="401" customFormat="1" ht="14.25" customHeight="1" x14ac:dyDescent="0.25">
      <c r="A5438" s="564">
        <v>5620750029</v>
      </c>
      <c r="B5438" s="562" t="s">
        <v>8533</v>
      </c>
      <c r="C5438" s="403">
        <v>4619.2011666666667</v>
      </c>
      <c r="D5438" s="400"/>
      <c r="E5438" s="400"/>
      <c r="F5438" s="400"/>
      <c r="G5438" s="400"/>
      <c r="H5438" s="396"/>
    </row>
    <row r="5439" spans="1:8" s="401" customFormat="1" ht="14.25" customHeight="1" x14ac:dyDescent="0.25">
      <c r="A5439" s="564">
        <v>5620750030</v>
      </c>
      <c r="B5439" s="562" t="s">
        <v>8533</v>
      </c>
      <c r="C5439" s="403">
        <v>4619.2011666666667</v>
      </c>
      <c r="D5439" s="400"/>
      <c r="E5439" s="400"/>
      <c r="F5439" s="400"/>
      <c r="G5439" s="400"/>
      <c r="H5439" s="396"/>
    </row>
    <row r="5440" spans="1:8" s="401" customFormat="1" ht="14.25" customHeight="1" x14ac:dyDescent="0.25">
      <c r="A5440" s="564">
        <v>5620750031</v>
      </c>
      <c r="B5440" s="562" t="s">
        <v>8533</v>
      </c>
      <c r="C5440" s="403">
        <v>4619.2011666666667</v>
      </c>
      <c r="D5440" s="400"/>
      <c r="E5440" s="400"/>
      <c r="F5440" s="400"/>
      <c r="G5440" s="400"/>
      <c r="H5440" s="396"/>
    </row>
    <row r="5441" spans="1:8" s="401" customFormat="1" ht="14.25" customHeight="1" x14ac:dyDescent="0.25">
      <c r="A5441" s="564">
        <v>5620750032</v>
      </c>
      <c r="B5441" s="562" t="s">
        <v>8533</v>
      </c>
      <c r="C5441" s="403">
        <v>4619.2011666666667</v>
      </c>
      <c r="D5441" s="400"/>
      <c r="E5441" s="400"/>
      <c r="F5441" s="400"/>
      <c r="G5441" s="400"/>
      <c r="H5441" s="396"/>
    </row>
    <row r="5442" spans="1:8" s="401" customFormat="1" ht="14.25" customHeight="1" x14ac:dyDescent="0.25">
      <c r="A5442" s="564">
        <v>5620750033</v>
      </c>
      <c r="B5442" s="562" t="s">
        <v>8533</v>
      </c>
      <c r="C5442" s="403">
        <v>4619.2011666666667</v>
      </c>
      <c r="D5442" s="400"/>
      <c r="E5442" s="400"/>
      <c r="F5442" s="400"/>
      <c r="G5442" s="400"/>
      <c r="H5442" s="396"/>
    </row>
    <row r="5443" spans="1:8" s="401" customFormat="1" ht="14.25" customHeight="1" x14ac:dyDescent="0.25">
      <c r="A5443" s="564">
        <v>5620750036</v>
      </c>
      <c r="B5443" s="562" t="s">
        <v>8533</v>
      </c>
      <c r="C5443" s="403">
        <v>4619.2011666666667</v>
      </c>
      <c r="D5443" s="400"/>
      <c r="E5443" s="400"/>
      <c r="F5443" s="400"/>
      <c r="G5443" s="400"/>
      <c r="H5443" s="396"/>
    </row>
    <row r="5444" spans="1:8" s="401" customFormat="1" ht="14.25" customHeight="1" x14ac:dyDescent="0.25">
      <c r="A5444" s="564">
        <v>5620750037</v>
      </c>
      <c r="B5444" s="562" t="s">
        <v>8533</v>
      </c>
      <c r="C5444" s="403">
        <v>4619.2011666666667</v>
      </c>
      <c r="D5444" s="400"/>
      <c r="E5444" s="400"/>
      <c r="F5444" s="400"/>
      <c r="G5444" s="400"/>
      <c r="H5444" s="396"/>
    </row>
    <row r="5445" spans="1:8" s="401" customFormat="1" ht="14.25" customHeight="1" x14ac:dyDescent="0.25">
      <c r="A5445" s="564">
        <v>5620750038</v>
      </c>
      <c r="B5445" s="562" t="s">
        <v>8533</v>
      </c>
      <c r="C5445" s="403">
        <v>4619.2011666666667</v>
      </c>
      <c r="D5445" s="400"/>
      <c r="E5445" s="400"/>
      <c r="F5445" s="400"/>
      <c r="G5445" s="400"/>
      <c r="H5445" s="396"/>
    </row>
    <row r="5446" spans="1:8" s="401" customFormat="1" ht="14.25" customHeight="1" x14ac:dyDescent="0.25">
      <c r="A5446" s="564">
        <v>5620750039</v>
      </c>
      <c r="B5446" s="562" t="s">
        <v>8533</v>
      </c>
      <c r="C5446" s="403">
        <v>4619.2011666666667</v>
      </c>
      <c r="D5446" s="400"/>
      <c r="E5446" s="400"/>
      <c r="F5446" s="400"/>
      <c r="G5446" s="400"/>
      <c r="H5446" s="396"/>
    </row>
    <row r="5447" spans="1:8" s="401" customFormat="1" ht="14.25" customHeight="1" x14ac:dyDescent="0.25">
      <c r="A5447" s="564">
        <v>5620750040</v>
      </c>
      <c r="B5447" s="562" t="s">
        <v>8533</v>
      </c>
      <c r="C5447" s="403">
        <v>4619.2011666666667</v>
      </c>
      <c r="D5447" s="400"/>
      <c r="E5447" s="400"/>
      <c r="F5447" s="400"/>
      <c r="G5447" s="400"/>
      <c r="H5447" s="396"/>
    </row>
    <row r="5448" spans="1:8" s="401" customFormat="1" ht="14.25" customHeight="1" x14ac:dyDescent="0.25">
      <c r="A5448" s="564">
        <v>5620750041</v>
      </c>
      <c r="B5448" s="562" t="s">
        <v>8533</v>
      </c>
      <c r="C5448" s="403">
        <v>4619.2011666666667</v>
      </c>
      <c r="D5448" s="400"/>
      <c r="E5448" s="400"/>
      <c r="F5448" s="400"/>
      <c r="G5448" s="400"/>
      <c r="H5448" s="396"/>
    </row>
    <row r="5449" spans="1:8" s="401" customFormat="1" ht="14.25" customHeight="1" x14ac:dyDescent="0.25">
      <c r="A5449" s="564">
        <v>5620750042</v>
      </c>
      <c r="B5449" s="562" t="s">
        <v>8533</v>
      </c>
      <c r="C5449" s="403">
        <v>4619.2011666666667</v>
      </c>
      <c r="D5449" s="400"/>
      <c r="E5449" s="400"/>
      <c r="F5449" s="400"/>
      <c r="G5449" s="400"/>
      <c r="H5449" s="396"/>
    </row>
    <row r="5450" spans="1:8" s="401" customFormat="1" ht="14.25" customHeight="1" x14ac:dyDescent="0.25">
      <c r="A5450" s="564">
        <v>5620750043</v>
      </c>
      <c r="B5450" s="562" t="s">
        <v>8533</v>
      </c>
      <c r="C5450" s="403">
        <v>4619.2011666666667</v>
      </c>
      <c r="D5450" s="400"/>
      <c r="E5450" s="400"/>
      <c r="F5450" s="400"/>
      <c r="G5450" s="400"/>
      <c r="H5450" s="396"/>
    </row>
    <row r="5451" spans="1:8" s="401" customFormat="1" ht="14.25" customHeight="1" x14ac:dyDescent="0.25">
      <c r="A5451" s="564">
        <v>5620750044</v>
      </c>
      <c r="B5451" s="562" t="s">
        <v>8533</v>
      </c>
      <c r="C5451" s="403">
        <v>4619.2011666666667</v>
      </c>
      <c r="D5451" s="400"/>
      <c r="E5451" s="400"/>
      <c r="F5451" s="400"/>
      <c r="G5451" s="400"/>
      <c r="H5451" s="396"/>
    </row>
    <row r="5452" spans="1:8" s="401" customFormat="1" ht="14.25" customHeight="1" x14ac:dyDescent="0.25">
      <c r="A5452" s="564">
        <v>5620750045</v>
      </c>
      <c r="B5452" s="562" t="s">
        <v>8533</v>
      </c>
      <c r="C5452" s="403">
        <v>4619.2011666666667</v>
      </c>
      <c r="D5452" s="400"/>
      <c r="E5452" s="400"/>
      <c r="F5452" s="400"/>
      <c r="G5452" s="400"/>
      <c r="H5452" s="396"/>
    </row>
    <row r="5453" spans="1:8" s="401" customFormat="1" ht="14.25" customHeight="1" x14ac:dyDescent="0.25">
      <c r="A5453" s="564">
        <v>5620750046</v>
      </c>
      <c r="B5453" s="562" t="s">
        <v>8533</v>
      </c>
      <c r="C5453" s="403">
        <v>4619.2011666666667</v>
      </c>
      <c r="D5453" s="400"/>
      <c r="E5453" s="400"/>
      <c r="F5453" s="400"/>
      <c r="G5453" s="400"/>
      <c r="H5453" s="396"/>
    </row>
    <row r="5454" spans="1:8" s="401" customFormat="1" ht="14.25" customHeight="1" x14ac:dyDescent="0.25">
      <c r="A5454" s="564">
        <v>5620750047</v>
      </c>
      <c r="B5454" s="562" t="s">
        <v>8533</v>
      </c>
      <c r="C5454" s="403">
        <v>4619.2011666666667</v>
      </c>
      <c r="D5454" s="400"/>
      <c r="E5454" s="400"/>
      <c r="F5454" s="400"/>
      <c r="G5454" s="400"/>
      <c r="H5454" s="396"/>
    </row>
    <row r="5455" spans="1:8" s="401" customFormat="1" ht="14.25" customHeight="1" x14ac:dyDescent="0.25">
      <c r="A5455" s="564">
        <v>5620750048</v>
      </c>
      <c r="B5455" s="562" t="s">
        <v>8533</v>
      </c>
      <c r="C5455" s="403">
        <v>4619.2011666666667</v>
      </c>
      <c r="D5455" s="400"/>
      <c r="E5455" s="400"/>
      <c r="F5455" s="400"/>
      <c r="G5455" s="400"/>
      <c r="H5455" s="396"/>
    </row>
    <row r="5456" spans="1:8" s="401" customFormat="1" ht="14.25" customHeight="1" x14ac:dyDescent="0.25">
      <c r="A5456" s="564">
        <v>5620750049</v>
      </c>
      <c r="B5456" s="562" t="s">
        <v>8533</v>
      </c>
      <c r="C5456" s="403">
        <v>4619.2011666666667</v>
      </c>
      <c r="D5456" s="400"/>
      <c r="E5456" s="400"/>
      <c r="F5456" s="400"/>
      <c r="G5456" s="400"/>
      <c r="H5456" s="396"/>
    </row>
    <row r="5457" spans="1:8" s="401" customFormat="1" ht="14.25" customHeight="1" x14ac:dyDescent="0.25">
      <c r="A5457" s="564">
        <v>5620750050</v>
      </c>
      <c r="B5457" s="562" t="s">
        <v>8533</v>
      </c>
      <c r="C5457" s="403">
        <v>4619.2011666666667</v>
      </c>
      <c r="D5457" s="400"/>
      <c r="E5457" s="400"/>
      <c r="F5457" s="400"/>
      <c r="G5457" s="400"/>
      <c r="H5457" s="396"/>
    </row>
    <row r="5458" spans="1:8" s="401" customFormat="1" ht="14.25" customHeight="1" x14ac:dyDescent="0.25">
      <c r="A5458" s="564">
        <v>5620750051</v>
      </c>
      <c r="B5458" s="562" t="s">
        <v>8533</v>
      </c>
      <c r="C5458" s="403">
        <v>4619.2011666666667</v>
      </c>
      <c r="D5458" s="400"/>
      <c r="E5458" s="400"/>
      <c r="F5458" s="400"/>
      <c r="G5458" s="400"/>
      <c r="H5458" s="396"/>
    </row>
    <row r="5459" spans="1:8" s="401" customFormat="1" ht="14.25" customHeight="1" x14ac:dyDescent="0.25">
      <c r="A5459" s="564">
        <v>5620750052</v>
      </c>
      <c r="B5459" s="562" t="s">
        <v>8533</v>
      </c>
      <c r="C5459" s="403">
        <v>4619.2011666666667</v>
      </c>
      <c r="D5459" s="400"/>
      <c r="E5459" s="400"/>
      <c r="F5459" s="400"/>
      <c r="G5459" s="400"/>
      <c r="H5459" s="396"/>
    </row>
    <row r="5460" spans="1:8" s="401" customFormat="1" ht="14.25" customHeight="1" x14ac:dyDescent="0.25">
      <c r="A5460" s="564">
        <v>5620750053</v>
      </c>
      <c r="B5460" s="562" t="s">
        <v>8533</v>
      </c>
      <c r="C5460" s="403">
        <v>4619.2011666666667</v>
      </c>
      <c r="D5460" s="400"/>
      <c r="E5460" s="400"/>
      <c r="F5460" s="400"/>
      <c r="G5460" s="400"/>
      <c r="H5460" s="396"/>
    </row>
    <row r="5461" spans="1:8" s="401" customFormat="1" ht="14.25" customHeight="1" x14ac:dyDescent="0.25">
      <c r="A5461" s="564">
        <v>5620750054</v>
      </c>
      <c r="B5461" s="562" t="s">
        <v>8533</v>
      </c>
      <c r="C5461" s="403">
        <v>4619.2011666666667</v>
      </c>
      <c r="D5461" s="400"/>
      <c r="E5461" s="400"/>
      <c r="F5461" s="400"/>
      <c r="G5461" s="400"/>
      <c r="H5461" s="396"/>
    </row>
    <row r="5462" spans="1:8" s="401" customFormat="1" ht="14.25" customHeight="1" x14ac:dyDescent="0.25">
      <c r="A5462" s="564">
        <v>5620750055</v>
      </c>
      <c r="B5462" s="562" t="s">
        <v>8533</v>
      </c>
      <c r="C5462" s="403">
        <v>4619.2011666666667</v>
      </c>
      <c r="D5462" s="400"/>
      <c r="E5462" s="400"/>
      <c r="F5462" s="400"/>
      <c r="G5462" s="400"/>
      <c r="H5462" s="396"/>
    </row>
    <row r="5463" spans="1:8" s="401" customFormat="1" ht="14.25" customHeight="1" x14ac:dyDescent="0.25">
      <c r="A5463" s="564">
        <v>5620750056</v>
      </c>
      <c r="B5463" s="562" t="s">
        <v>8533</v>
      </c>
      <c r="C5463" s="403">
        <v>4619.2011666666667</v>
      </c>
      <c r="D5463" s="400"/>
      <c r="E5463" s="400"/>
      <c r="F5463" s="400"/>
      <c r="G5463" s="400"/>
      <c r="H5463" s="396"/>
    </row>
    <row r="5464" spans="1:8" s="401" customFormat="1" ht="14.25" customHeight="1" x14ac:dyDescent="0.25">
      <c r="A5464" s="564">
        <v>5620750057</v>
      </c>
      <c r="B5464" s="562" t="s">
        <v>8533</v>
      </c>
      <c r="C5464" s="403">
        <v>4619.2011666666667</v>
      </c>
      <c r="D5464" s="400"/>
      <c r="E5464" s="400"/>
      <c r="F5464" s="400"/>
      <c r="G5464" s="400"/>
      <c r="H5464" s="396"/>
    </row>
    <row r="5465" spans="1:8" s="401" customFormat="1" ht="14.25" customHeight="1" x14ac:dyDescent="0.25">
      <c r="A5465" s="564">
        <v>5620750058</v>
      </c>
      <c r="B5465" s="562" t="s">
        <v>8533</v>
      </c>
      <c r="C5465" s="403">
        <v>4619.2011666666667</v>
      </c>
      <c r="D5465" s="400"/>
      <c r="E5465" s="400"/>
      <c r="F5465" s="400"/>
      <c r="G5465" s="400"/>
      <c r="H5465" s="396"/>
    </row>
    <row r="5466" spans="1:8" s="401" customFormat="1" ht="14.25" customHeight="1" x14ac:dyDescent="0.25">
      <c r="A5466" s="564">
        <v>5620750059</v>
      </c>
      <c r="B5466" s="562" t="s">
        <v>8533</v>
      </c>
      <c r="C5466" s="403">
        <v>4619.2011666666667</v>
      </c>
      <c r="D5466" s="400"/>
      <c r="E5466" s="400"/>
      <c r="F5466" s="400"/>
      <c r="G5466" s="400"/>
      <c r="H5466" s="396"/>
    </row>
    <row r="5467" spans="1:8" s="401" customFormat="1" ht="14.25" customHeight="1" x14ac:dyDescent="0.25">
      <c r="A5467" s="564">
        <v>5620750060</v>
      </c>
      <c r="B5467" s="562" t="s">
        <v>8533</v>
      </c>
      <c r="C5467" s="403">
        <v>4619.2011666666667</v>
      </c>
      <c r="D5467" s="400"/>
      <c r="E5467" s="400"/>
      <c r="F5467" s="400"/>
      <c r="G5467" s="400"/>
      <c r="H5467" s="396"/>
    </row>
    <row r="5468" spans="1:8" s="401" customFormat="1" ht="14.25" customHeight="1" x14ac:dyDescent="0.25">
      <c r="A5468" s="564">
        <v>5620750061</v>
      </c>
      <c r="B5468" s="562" t="s">
        <v>8533</v>
      </c>
      <c r="C5468" s="403">
        <v>4619.2011666666667</v>
      </c>
      <c r="D5468" s="400"/>
      <c r="E5468" s="400"/>
      <c r="F5468" s="400"/>
      <c r="G5468" s="400"/>
      <c r="H5468" s="396"/>
    </row>
    <row r="5469" spans="1:8" s="401" customFormat="1" ht="14.25" customHeight="1" x14ac:dyDescent="0.25">
      <c r="A5469" s="564">
        <v>5620750062</v>
      </c>
      <c r="B5469" s="562" t="s">
        <v>8533</v>
      </c>
      <c r="C5469" s="403">
        <v>4619.2011666666667</v>
      </c>
      <c r="D5469" s="400"/>
      <c r="E5469" s="400"/>
      <c r="F5469" s="400"/>
      <c r="G5469" s="400"/>
      <c r="H5469" s="396"/>
    </row>
    <row r="5470" spans="1:8" s="401" customFormat="1" ht="14.25" customHeight="1" x14ac:dyDescent="0.25">
      <c r="A5470" s="564">
        <v>5620750063</v>
      </c>
      <c r="B5470" s="562" t="s">
        <v>8533</v>
      </c>
      <c r="C5470" s="403">
        <v>4619.2011666666667</v>
      </c>
      <c r="D5470" s="400"/>
      <c r="E5470" s="400"/>
      <c r="F5470" s="400"/>
      <c r="G5470" s="400"/>
      <c r="H5470" s="396"/>
    </row>
    <row r="5471" spans="1:8" s="401" customFormat="1" ht="14.25" customHeight="1" x14ac:dyDescent="0.25">
      <c r="A5471" s="564">
        <v>5620750064</v>
      </c>
      <c r="B5471" s="562" t="s">
        <v>8533</v>
      </c>
      <c r="C5471" s="403">
        <v>4619.2011666666667</v>
      </c>
      <c r="D5471" s="400"/>
      <c r="E5471" s="400"/>
      <c r="F5471" s="400"/>
      <c r="G5471" s="400"/>
      <c r="H5471" s="396"/>
    </row>
    <row r="5472" spans="1:8" s="401" customFormat="1" ht="14.25" customHeight="1" x14ac:dyDescent="0.25">
      <c r="A5472" s="564">
        <v>5620750065</v>
      </c>
      <c r="B5472" s="562" t="s">
        <v>8533</v>
      </c>
      <c r="C5472" s="403">
        <v>4619.2011666666667</v>
      </c>
      <c r="D5472" s="400"/>
      <c r="E5472" s="400"/>
      <c r="F5472" s="400"/>
      <c r="G5472" s="400"/>
      <c r="H5472" s="396"/>
    </row>
    <row r="5473" spans="1:8" s="401" customFormat="1" ht="14.25" customHeight="1" x14ac:dyDescent="0.25">
      <c r="A5473" s="564">
        <v>5620750066</v>
      </c>
      <c r="B5473" s="562" t="s">
        <v>8533</v>
      </c>
      <c r="C5473" s="403">
        <v>4619.2011666666667</v>
      </c>
      <c r="D5473" s="400"/>
      <c r="E5473" s="400"/>
      <c r="F5473" s="400"/>
      <c r="G5473" s="400"/>
      <c r="H5473" s="396"/>
    </row>
    <row r="5474" spans="1:8" s="401" customFormat="1" ht="14.25" customHeight="1" x14ac:dyDescent="0.25">
      <c r="A5474" s="564">
        <v>5620750067</v>
      </c>
      <c r="B5474" s="562" t="s">
        <v>8533</v>
      </c>
      <c r="C5474" s="403">
        <v>4619.2011666666667</v>
      </c>
      <c r="D5474" s="400"/>
      <c r="E5474" s="400"/>
      <c r="F5474" s="400"/>
      <c r="G5474" s="400"/>
      <c r="H5474" s="396"/>
    </row>
    <row r="5475" spans="1:8" s="401" customFormat="1" ht="14.25" customHeight="1" x14ac:dyDescent="0.25">
      <c r="A5475" s="564">
        <v>5620750068</v>
      </c>
      <c r="B5475" s="562" t="s">
        <v>8533</v>
      </c>
      <c r="C5475" s="403">
        <v>4619.2011666666667</v>
      </c>
      <c r="D5475" s="400"/>
      <c r="E5475" s="400"/>
      <c r="F5475" s="400"/>
      <c r="G5475" s="400"/>
      <c r="H5475" s="396"/>
    </row>
    <row r="5476" spans="1:8" s="401" customFormat="1" ht="14.25" customHeight="1" x14ac:dyDescent="0.25">
      <c r="A5476" s="564">
        <v>5620750070</v>
      </c>
      <c r="B5476" s="562" t="s">
        <v>8533</v>
      </c>
      <c r="C5476" s="403">
        <v>4619.2011666666667</v>
      </c>
      <c r="D5476" s="400"/>
      <c r="E5476" s="400"/>
      <c r="F5476" s="400"/>
      <c r="G5476" s="400"/>
      <c r="H5476" s="396"/>
    </row>
    <row r="5477" spans="1:8" s="401" customFormat="1" ht="14.25" customHeight="1" x14ac:dyDescent="0.25">
      <c r="A5477" s="564">
        <v>5620750071</v>
      </c>
      <c r="B5477" s="562" t="s">
        <v>8533</v>
      </c>
      <c r="C5477" s="403">
        <v>4619.2011666666667</v>
      </c>
      <c r="D5477" s="400"/>
      <c r="E5477" s="400"/>
      <c r="F5477" s="400"/>
      <c r="G5477" s="400"/>
      <c r="H5477" s="396"/>
    </row>
    <row r="5478" spans="1:8" s="401" customFormat="1" ht="14.25" customHeight="1" x14ac:dyDescent="0.25">
      <c r="A5478" s="564">
        <v>5620750072</v>
      </c>
      <c r="B5478" s="562" t="s">
        <v>8533</v>
      </c>
      <c r="C5478" s="403">
        <v>4619.2011666666667</v>
      </c>
      <c r="D5478" s="400"/>
      <c r="E5478" s="400"/>
      <c r="F5478" s="400"/>
      <c r="G5478" s="400"/>
      <c r="H5478" s="396"/>
    </row>
    <row r="5479" spans="1:8" s="401" customFormat="1" ht="14.25" customHeight="1" x14ac:dyDescent="0.25">
      <c r="A5479" s="564">
        <v>5620750073</v>
      </c>
      <c r="B5479" s="562" t="s">
        <v>8533</v>
      </c>
      <c r="C5479" s="403">
        <v>4619.2011666666667</v>
      </c>
      <c r="D5479" s="400"/>
      <c r="E5479" s="400"/>
      <c r="F5479" s="400"/>
      <c r="G5479" s="400"/>
      <c r="H5479" s="396"/>
    </row>
    <row r="5480" spans="1:8" s="401" customFormat="1" ht="14.25" customHeight="1" x14ac:dyDescent="0.25">
      <c r="A5480" s="564">
        <v>5620750074</v>
      </c>
      <c r="B5480" s="562" t="s">
        <v>8533</v>
      </c>
      <c r="C5480" s="403">
        <v>4619.2011666666667</v>
      </c>
      <c r="D5480" s="400"/>
      <c r="E5480" s="400"/>
      <c r="F5480" s="400"/>
      <c r="G5480" s="400"/>
      <c r="H5480" s="396"/>
    </row>
    <row r="5481" spans="1:8" s="401" customFormat="1" ht="14.25" customHeight="1" x14ac:dyDescent="0.25">
      <c r="A5481" s="564">
        <v>5620750075</v>
      </c>
      <c r="B5481" s="562" t="s">
        <v>8533</v>
      </c>
      <c r="C5481" s="403">
        <v>4619.2011666666667</v>
      </c>
      <c r="D5481" s="400"/>
      <c r="E5481" s="400"/>
      <c r="F5481" s="400"/>
      <c r="G5481" s="400"/>
      <c r="H5481" s="396"/>
    </row>
    <row r="5482" spans="1:8" s="401" customFormat="1" ht="14.25" customHeight="1" x14ac:dyDescent="0.25">
      <c r="A5482" s="564">
        <v>5620750076</v>
      </c>
      <c r="B5482" s="562" t="s">
        <v>8533</v>
      </c>
      <c r="C5482" s="403">
        <v>4619.2011666666667</v>
      </c>
      <c r="D5482" s="400"/>
      <c r="E5482" s="400"/>
      <c r="F5482" s="400"/>
      <c r="G5482" s="400"/>
      <c r="H5482" s="396"/>
    </row>
    <row r="5483" spans="1:8" s="401" customFormat="1" ht="14.25" customHeight="1" x14ac:dyDescent="0.25">
      <c r="A5483" s="564">
        <v>5620750077</v>
      </c>
      <c r="B5483" s="562" t="s">
        <v>8533</v>
      </c>
      <c r="C5483" s="403">
        <v>4619.2011666666667</v>
      </c>
      <c r="D5483" s="400"/>
      <c r="E5483" s="400"/>
      <c r="F5483" s="400"/>
      <c r="G5483" s="400"/>
      <c r="H5483" s="396"/>
    </row>
    <row r="5484" spans="1:8" s="401" customFormat="1" ht="14.25" customHeight="1" x14ac:dyDescent="0.25">
      <c r="A5484" s="564">
        <v>5620750078</v>
      </c>
      <c r="B5484" s="562" t="s">
        <v>8533</v>
      </c>
      <c r="C5484" s="403">
        <v>4619.2011666666667</v>
      </c>
      <c r="D5484" s="400"/>
      <c r="E5484" s="400"/>
      <c r="F5484" s="400"/>
      <c r="G5484" s="400"/>
      <c r="H5484" s="396"/>
    </row>
    <row r="5485" spans="1:8" s="401" customFormat="1" ht="14.25" customHeight="1" x14ac:dyDescent="0.25">
      <c r="A5485" s="564">
        <v>5620750079</v>
      </c>
      <c r="B5485" s="562" t="s">
        <v>8533</v>
      </c>
      <c r="C5485" s="403">
        <v>4619.2011666666667</v>
      </c>
      <c r="D5485" s="400"/>
      <c r="E5485" s="400"/>
      <c r="F5485" s="400"/>
      <c r="G5485" s="400"/>
      <c r="H5485" s="396"/>
    </row>
    <row r="5486" spans="1:8" s="401" customFormat="1" ht="14.25" customHeight="1" x14ac:dyDescent="0.25">
      <c r="A5486" s="564">
        <v>5620750080</v>
      </c>
      <c r="B5486" s="562" t="s">
        <v>8533</v>
      </c>
      <c r="C5486" s="403">
        <v>4619.2011666666667</v>
      </c>
      <c r="D5486" s="400"/>
      <c r="E5486" s="400"/>
      <c r="F5486" s="400"/>
      <c r="G5486" s="400"/>
      <c r="H5486" s="396"/>
    </row>
    <row r="5487" spans="1:8" s="401" customFormat="1" ht="14.25" customHeight="1" x14ac:dyDescent="0.25">
      <c r="A5487" s="564">
        <v>5620750069</v>
      </c>
      <c r="B5487" s="562" t="s">
        <v>8533</v>
      </c>
      <c r="C5487" s="403">
        <v>4619.2011666666667</v>
      </c>
      <c r="D5487" s="400"/>
      <c r="E5487" s="400"/>
      <c r="F5487" s="400"/>
      <c r="G5487" s="400"/>
      <c r="H5487" s="396"/>
    </row>
    <row r="5488" spans="1:8" s="401" customFormat="1" ht="14.25" customHeight="1" x14ac:dyDescent="0.25">
      <c r="A5488" s="564">
        <v>5620750001</v>
      </c>
      <c r="B5488" s="562" t="s">
        <v>8534</v>
      </c>
      <c r="C5488" s="403">
        <v>3499.9985000000001</v>
      </c>
      <c r="D5488" s="400"/>
      <c r="E5488" s="400"/>
      <c r="F5488" s="400"/>
      <c r="G5488" s="400"/>
      <c r="H5488" s="396"/>
    </row>
    <row r="5489" spans="1:8" s="401" customFormat="1" ht="14.25" customHeight="1" x14ac:dyDescent="0.25">
      <c r="A5489" s="564">
        <v>5620750002</v>
      </c>
      <c r="B5489" s="562" t="s">
        <v>8534</v>
      </c>
      <c r="C5489" s="403">
        <v>3499.9985000000001</v>
      </c>
      <c r="D5489" s="400"/>
      <c r="E5489" s="400"/>
      <c r="F5489" s="400"/>
      <c r="G5489" s="400"/>
      <c r="H5489" s="396"/>
    </row>
    <row r="5490" spans="1:8" s="401" customFormat="1" ht="14.25" customHeight="1" x14ac:dyDescent="0.25">
      <c r="A5490" s="564">
        <v>5620750003</v>
      </c>
      <c r="B5490" s="562" t="s">
        <v>8534</v>
      </c>
      <c r="C5490" s="403">
        <v>3499.9985000000001</v>
      </c>
      <c r="D5490" s="400"/>
      <c r="E5490" s="400"/>
      <c r="F5490" s="400"/>
      <c r="G5490" s="400"/>
      <c r="H5490" s="396"/>
    </row>
    <row r="5491" spans="1:8" s="401" customFormat="1" ht="14.25" customHeight="1" x14ac:dyDescent="0.25">
      <c r="A5491" s="564">
        <v>5620750004</v>
      </c>
      <c r="B5491" s="562" t="s">
        <v>8534</v>
      </c>
      <c r="C5491" s="403">
        <v>3499.9985000000001</v>
      </c>
      <c r="D5491" s="400"/>
      <c r="E5491" s="400"/>
      <c r="F5491" s="400"/>
      <c r="G5491" s="400"/>
      <c r="H5491" s="396"/>
    </row>
    <row r="5492" spans="1:8" s="401" customFormat="1" ht="14.25" customHeight="1" x14ac:dyDescent="0.25">
      <c r="A5492" s="564">
        <v>5620750005</v>
      </c>
      <c r="B5492" s="562" t="s">
        <v>8534</v>
      </c>
      <c r="C5492" s="403">
        <v>3499.9985000000001</v>
      </c>
      <c r="D5492" s="400"/>
      <c r="E5492" s="400"/>
      <c r="F5492" s="400"/>
      <c r="G5492" s="400"/>
      <c r="H5492" s="396"/>
    </row>
    <row r="5493" spans="1:8" s="401" customFormat="1" ht="14.25" customHeight="1" x14ac:dyDescent="0.25">
      <c r="A5493" s="564">
        <v>5620750006</v>
      </c>
      <c r="B5493" s="562" t="s">
        <v>8534</v>
      </c>
      <c r="C5493" s="403">
        <v>3499.9985000000001</v>
      </c>
      <c r="D5493" s="400"/>
      <c r="E5493" s="400"/>
      <c r="F5493" s="400"/>
      <c r="G5493" s="400"/>
      <c r="H5493" s="396"/>
    </row>
    <row r="5494" spans="1:8" s="401" customFormat="1" ht="14.25" customHeight="1" x14ac:dyDescent="0.25">
      <c r="A5494" s="564">
        <v>5620750007</v>
      </c>
      <c r="B5494" s="562" t="s">
        <v>8534</v>
      </c>
      <c r="C5494" s="403">
        <v>3499.9985000000001</v>
      </c>
      <c r="D5494" s="400"/>
      <c r="E5494" s="400"/>
      <c r="F5494" s="400"/>
      <c r="G5494" s="400"/>
      <c r="H5494" s="396"/>
    </row>
    <row r="5495" spans="1:8" s="401" customFormat="1" ht="14.25" customHeight="1" x14ac:dyDescent="0.25">
      <c r="A5495" s="564">
        <v>5620750008</v>
      </c>
      <c r="B5495" s="562" t="s">
        <v>8534</v>
      </c>
      <c r="C5495" s="403">
        <v>3499.9985000000001</v>
      </c>
      <c r="D5495" s="400"/>
      <c r="E5495" s="400"/>
      <c r="F5495" s="400"/>
      <c r="G5495" s="400"/>
      <c r="H5495" s="396"/>
    </row>
    <row r="5496" spans="1:8" s="401" customFormat="1" ht="14.25" customHeight="1" x14ac:dyDescent="0.25">
      <c r="A5496" s="564">
        <v>5620750009</v>
      </c>
      <c r="B5496" s="562" t="s">
        <v>8534</v>
      </c>
      <c r="C5496" s="403">
        <v>3499.9985000000001</v>
      </c>
      <c r="D5496" s="400"/>
      <c r="E5496" s="400"/>
      <c r="F5496" s="400"/>
      <c r="G5496" s="400"/>
      <c r="H5496" s="396"/>
    </row>
    <row r="5497" spans="1:8" s="401" customFormat="1" ht="14.25" customHeight="1" x14ac:dyDescent="0.25">
      <c r="A5497" s="564">
        <v>5620750010</v>
      </c>
      <c r="B5497" s="562" t="s">
        <v>8534</v>
      </c>
      <c r="C5497" s="403">
        <v>3499.9985000000001</v>
      </c>
      <c r="D5497" s="400"/>
      <c r="E5497" s="400"/>
      <c r="F5497" s="400"/>
      <c r="G5497" s="400"/>
      <c r="H5497" s="396"/>
    </row>
    <row r="5498" spans="1:8" s="401" customFormat="1" ht="14.25" customHeight="1" x14ac:dyDescent="0.25">
      <c r="A5498" s="564">
        <v>5620750011</v>
      </c>
      <c r="B5498" s="562" t="s">
        <v>8534</v>
      </c>
      <c r="C5498" s="403">
        <v>3499.9985000000001</v>
      </c>
      <c r="D5498" s="400"/>
      <c r="E5498" s="400"/>
      <c r="F5498" s="400"/>
      <c r="G5498" s="400"/>
      <c r="H5498" s="396"/>
    </row>
    <row r="5499" spans="1:8" s="401" customFormat="1" ht="14.25" customHeight="1" x14ac:dyDescent="0.25">
      <c r="A5499" s="564">
        <v>5620750012</v>
      </c>
      <c r="B5499" s="562" t="s">
        <v>8534</v>
      </c>
      <c r="C5499" s="403">
        <v>3499.9985000000001</v>
      </c>
      <c r="D5499" s="400"/>
      <c r="E5499" s="400"/>
      <c r="F5499" s="400"/>
      <c r="G5499" s="400"/>
      <c r="H5499" s="396"/>
    </row>
    <row r="5500" spans="1:8" s="401" customFormat="1" ht="14.25" customHeight="1" x14ac:dyDescent="0.25">
      <c r="A5500" s="564">
        <v>5620750013</v>
      </c>
      <c r="B5500" s="562" t="s">
        <v>8534</v>
      </c>
      <c r="C5500" s="403">
        <v>3499.9985000000001</v>
      </c>
      <c r="D5500" s="400"/>
      <c r="E5500" s="400"/>
      <c r="F5500" s="400"/>
      <c r="G5500" s="400"/>
      <c r="H5500" s="396"/>
    </row>
    <row r="5501" spans="1:8" s="401" customFormat="1" ht="14.25" customHeight="1" x14ac:dyDescent="0.25">
      <c r="A5501" s="564">
        <v>5620750014</v>
      </c>
      <c r="B5501" s="562" t="s">
        <v>8534</v>
      </c>
      <c r="C5501" s="403">
        <v>3499.9985000000001</v>
      </c>
      <c r="D5501" s="400"/>
      <c r="E5501" s="400"/>
      <c r="F5501" s="400"/>
      <c r="G5501" s="400"/>
      <c r="H5501" s="396"/>
    </row>
    <row r="5502" spans="1:8" s="401" customFormat="1" ht="14.25" customHeight="1" x14ac:dyDescent="0.25">
      <c r="A5502" s="564">
        <v>5620750015</v>
      </c>
      <c r="B5502" s="562" t="s">
        <v>8534</v>
      </c>
      <c r="C5502" s="403">
        <v>3499.9985000000001</v>
      </c>
      <c r="D5502" s="400"/>
      <c r="E5502" s="400"/>
      <c r="F5502" s="400"/>
      <c r="G5502" s="400"/>
      <c r="H5502" s="396"/>
    </row>
    <row r="5503" spans="1:8" s="401" customFormat="1" ht="14.25" customHeight="1" x14ac:dyDescent="0.25">
      <c r="A5503" s="564">
        <v>5620750016</v>
      </c>
      <c r="B5503" s="562" t="s">
        <v>8534</v>
      </c>
      <c r="C5503" s="403">
        <v>3499.9985000000001</v>
      </c>
      <c r="D5503" s="400"/>
      <c r="E5503" s="400"/>
      <c r="F5503" s="400"/>
      <c r="G5503" s="400"/>
      <c r="H5503" s="396"/>
    </row>
    <row r="5504" spans="1:8" s="401" customFormat="1" ht="14.25" customHeight="1" x14ac:dyDescent="0.25">
      <c r="A5504" s="564">
        <v>5620750017</v>
      </c>
      <c r="B5504" s="562" t="s">
        <v>8534</v>
      </c>
      <c r="C5504" s="403">
        <v>3499.9985000000001</v>
      </c>
      <c r="D5504" s="400"/>
      <c r="E5504" s="400"/>
      <c r="F5504" s="400"/>
      <c r="G5504" s="400"/>
      <c r="H5504" s="396"/>
    </row>
    <row r="5505" spans="1:8" s="401" customFormat="1" ht="14.25" customHeight="1" x14ac:dyDescent="0.25">
      <c r="A5505" s="564">
        <v>5620750018</v>
      </c>
      <c r="B5505" s="562" t="s">
        <v>8534</v>
      </c>
      <c r="C5505" s="403">
        <v>3499.9985000000001</v>
      </c>
      <c r="D5505" s="400"/>
      <c r="E5505" s="400"/>
      <c r="F5505" s="400"/>
      <c r="G5505" s="400"/>
      <c r="H5505" s="396"/>
    </row>
    <row r="5506" spans="1:8" s="401" customFormat="1" ht="14.25" customHeight="1" x14ac:dyDescent="0.25">
      <c r="A5506" s="564">
        <v>5620750019</v>
      </c>
      <c r="B5506" s="562" t="s">
        <v>8534</v>
      </c>
      <c r="C5506" s="403">
        <v>3499.9985000000001</v>
      </c>
      <c r="D5506" s="400"/>
      <c r="E5506" s="400"/>
      <c r="F5506" s="400"/>
      <c r="G5506" s="400"/>
      <c r="H5506" s="396"/>
    </row>
    <row r="5507" spans="1:8" s="401" customFormat="1" ht="14.25" customHeight="1" x14ac:dyDescent="0.25">
      <c r="A5507" s="564">
        <v>5620750020</v>
      </c>
      <c r="B5507" s="562" t="s">
        <v>8534</v>
      </c>
      <c r="C5507" s="403">
        <v>3499.9985000000001</v>
      </c>
      <c r="D5507" s="400"/>
      <c r="E5507" s="400"/>
      <c r="F5507" s="400"/>
      <c r="G5507" s="400"/>
      <c r="H5507" s="396"/>
    </row>
    <row r="5508" spans="1:8" s="401" customFormat="1" ht="14.25" customHeight="1" x14ac:dyDescent="0.25">
      <c r="A5508" s="564">
        <v>5410580001</v>
      </c>
      <c r="B5508" s="562" t="s">
        <v>8320</v>
      </c>
      <c r="C5508" s="403">
        <v>26680</v>
      </c>
      <c r="D5508" s="400"/>
      <c r="E5508" s="400"/>
      <c r="F5508" s="400"/>
      <c r="G5508" s="400"/>
      <c r="H5508" s="396"/>
    </row>
    <row r="5509" spans="1:8" s="401" customFormat="1" ht="14.25" customHeight="1" x14ac:dyDescent="0.25">
      <c r="A5509" s="564">
        <v>5410580002</v>
      </c>
      <c r="B5509" s="562" t="s">
        <v>8320</v>
      </c>
      <c r="C5509" s="403">
        <v>26680</v>
      </c>
      <c r="D5509" s="400"/>
      <c r="E5509" s="400"/>
      <c r="F5509" s="400"/>
      <c r="G5509" s="400"/>
      <c r="H5509" s="396"/>
    </row>
    <row r="5510" spans="1:8" s="401" customFormat="1" ht="14.25" customHeight="1" x14ac:dyDescent="0.25">
      <c r="A5510" s="564">
        <v>5151260044</v>
      </c>
      <c r="B5510" s="562" t="s">
        <v>8535</v>
      </c>
      <c r="C5510" s="403">
        <v>9206.66</v>
      </c>
      <c r="D5510" s="400"/>
      <c r="E5510" s="400"/>
      <c r="F5510" s="400"/>
      <c r="G5510" s="400"/>
      <c r="H5510" s="396"/>
    </row>
    <row r="5511" spans="1:8" s="401" customFormat="1" ht="14.25" customHeight="1" x14ac:dyDescent="0.25">
      <c r="A5511" s="564">
        <v>5151210024</v>
      </c>
      <c r="B5511" s="562" t="s">
        <v>8535</v>
      </c>
      <c r="C5511" s="403">
        <v>12950.47</v>
      </c>
      <c r="D5511" s="400"/>
      <c r="E5511" s="400"/>
      <c r="F5511" s="400"/>
      <c r="G5511" s="400"/>
      <c r="H5511" s="396"/>
    </row>
    <row r="5512" spans="1:8" s="401" customFormat="1" ht="14.25" customHeight="1" x14ac:dyDescent="0.25">
      <c r="A5512" s="564">
        <v>5151260042</v>
      </c>
      <c r="B5512" s="562" t="s">
        <v>8535</v>
      </c>
      <c r="C5512" s="403">
        <v>9206.5</v>
      </c>
      <c r="D5512" s="400"/>
      <c r="E5512" s="400"/>
      <c r="F5512" s="400"/>
      <c r="G5512" s="400"/>
      <c r="H5512" s="396"/>
    </row>
    <row r="5513" spans="1:8" s="401" customFormat="1" ht="14.25" customHeight="1" x14ac:dyDescent="0.25">
      <c r="A5513" s="564">
        <v>5151260043</v>
      </c>
      <c r="B5513" s="562" t="s">
        <v>8535</v>
      </c>
      <c r="C5513" s="403">
        <v>9206.5</v>
      </c>
      <c r="D5513" s="400"/>
      <c r="E5513" s="400"/>
      <c r="F5513" s="400"/>
      <c r="G5513" s="400"/>
      <c r="H5513" s="396"/>
    </row>
    <row r="5514" spans="1:8" s="401" customFormat="1" ht="14.25" customHeight="1" x14ac:dyDescent="0.25">
      <c r="A5514" s="564">
        <v>5151260045</v>
      </c>
      <c r="B5514" s="562" t="s">
        <v>8535</v>
      </c>
      <c r="C5514" s="403">
        <v>9206.6633333333339</v>
      </c>
      <c r="D5514" s="400"/>
      <c r="E5514" s="400"/>
      <c r="F5514" s="400"/>
      <c r="G5514" s="400"/>
      <c r="H5514" s="396"/>
    </row>
    <row r="5515" spans="1:8" s="401" customFormat="1" ht="14.25" customHeight="1" x14ac:dyDescent="0.25">
      <c r="A5515" s="564">
        <v>5151260046</v>
      </c>
      <c r="B5515" s="562" t="s">
        <v>8535</v>
      </c>
      <c r="C5515" s="403">
        <v>9206.6633333333339</v>
      </c>
      <c r="D5515" s="400"/>
      <c r="E5515" s="400"/>
      <c r="F5515" s="400"/>
      <c r="G5515" s="400"/>
      <c r="H5515" s="396"/>
    </row>
    <row r="5516" spans="1:8" s="401" customFormat="1" ht="14.25" customHeight="1" x14ac:dyDescent="0.25">
      <c r="A5516" s="564">
        <v>5151260047</v>
      </c>
      <c r="B5516" s="562" t="s">
        <v>8535</v>
      </c>
      <c r="C5516" s="403">
        <v>9206.6633333333339</v>
      </c>
      <c r="D5516" s="400"/>
      <c r="E5516" s="400"/>
      <c r="F5516" s="400"/>
      <c r="G5516" s="400"/>
      <c r="H5516" s="396"/>
    </row>
    <row r="5517" spans="1:8" s="401" customFormat="1" ht="14.25" customHeight="1" x14ac:dyDescent="0.25">
      <c r="A5517" s="564">
        <v>5151260062</v>
      </c>
      <c r="B5517" s="562" t="s">
        <v>8535</v>
      </c>
      <c r="C5517" s="403">
        <v>10137.379999999999</v>
      </c>
      <c r="D5517" s="400"/>
      <c r="E5517" s="400"/>
      <c r="F5517" s="400"/>
      <c r="G5517" s="400"/>
      <c r="H5517" s="396"/>
    </row>
    <row r="5518" spans="1:8" s="401" customFormat="1" ht="14.25" customHeight="1" x14ac:dyDescent="0.25">
      <c r="A5518" s="564">
        <v>5151260058</v>
      </c>
      <c r="B5518" s="562" t="s">
        <v>8535</v>
      </c>
      <c r="C5518" s="403">
        <v>10137.379999999999</v>
      </c>
      <c r="D5518" s="400"/>
      <c r="E5518" s="400"/>
      <c r="F5518" s="400"/>
      <c r="G5518" s="400"/>
      <c r="H5518" s="396"/>
    </row>
    <row r="5519" spans="1:8" s="401" customFormat="1" ht="14.25" customHeight="1" x14ac:dyDescent="0.25">
      <c r="A5519" s="564">
        <v>5151260063</v>
      </c>
      <c r="B5519" s="562" t="s">
        <v>8535</v>
      </c>
      <c r="C5519" s="403">
        <v>10137.379999999999</v>
      </c>
      <c r="D5519" s="400"/>
      <c r="E5519" s="400"/>
      <c r="F5519" s="400"/>
      <c r="G5519" s="400"/>
      <c r="H5519" s="396"/>
    </row>
    <row r="5520" spans="1:8" s="401" customFormat="1" ht="14.25" customHeight="1" x14ac:dyDescent="0.25">
      <c r="A5520" s="564">
        <v>5151260061</v>
      </c>
      <c r="B5520" s="562" t="s">
        <v>8535</v>
      </c>
      <c r="C5520" s="403">
        <v>10137.379999999999</v>
      </c>
      <c r="D5520" s="400"/>
      <c r="E5520" s="400"/>
      <c r="F5520" s="400"/>
      <c r="G5520" s="400"/>
      <c r="H5520" s="396"/>
    </row>
    <row r="5521" spans="1:8" s="401" customFormat="1" ht="14.25" customHeight="1" x14ac:dyDescent="0.25">
      <c r="A5521" s="564" t="s">
        <v>8458</v>
      </c>
      <c r="B5521" s="562" t="s">
        <v>8535</v>
      </c>
      <c r="C5521" s="403">
        <v>1</v>
      </c>
      <c r="D5521" s="400"/>
      <c r="E5521" s="400"/>
      <c r="F5521" s="400"/>
      <c r="G5521" s="400"/>
      <c r="H5521" s="396"/>
    </row>
    <row r="5522" spans="1:8" s="401" customFormat="1" ht="14.25" customHeight="1" x14ac:dyDescent="0.25">
      <c r="A5522" s="564" t="s">
        <v>8459</v>
      </c>
      <c r="B5522" s="562" t="s">
        <v>8535</v>
      </c>
      <c r="C5522" s="403">
        <v>1</v>
      </c>
      <c r="D5522" s="400"/>
      <c r="E5522" s="400"/>
      <c r="F5522" s="400"/>
      <c r="G5522" s="400"/>
      <c r="H5522" s="396"/>
    </row>
    <row r="5523" spans="1:8" s="401" customFormat="1" ht="14.25" customHeight="1" x14ac:dyDescent="0.25">
      <c r="A5523" s="564" t="s">
        <v>8460</v>
      </c>
      <c r="B5523" s="562" t="s">
        <v>8535</v>
      </c>
      <c r="C5523" s="403">
        <v>1</v>
      </c>
      <c r="D5523" s="400"/>
      <c r="E5523" s="400"/>
      <c r="F5523" s="400"/>
      <c r="G5523" s="400"/>
      <c r="H5523" s="396"/>
    </row>
    <row r="5524" spans="1:8" s="401" customFormat="1" ht="14.25" customHeight="1" x14ac:dyDescent="0.25">
      <c r="A5524" s="564" t="s">
        <v>8461</v>
      </c>
      <c r="B5524" s="562" t="s">
        <v>8535</v>
      </c>
      <c r="C5524" s="403">
        <v>1</v>
      </c>
      <c r="D5524" s="400"/>
      <c r="E5524" s="400"/>
      <c r="F5524" s="400"/>
      <c r="G5524" s="400"/>
      <c r="H5524" s="396"/>
    </row>
    <row r="5525" spans="1:8" s="401" customFormat="1" ht="14.25" customHeight="1" x14ac:dyDescent="0.25">
      <c r="A5525" s="564" t="s">
        <v>8462</v>
      </c>
      <c r="B5525" s="562" t="s">
        <v>8535</v>
      </c>
      <c r="C5525" s="403">
        <v>1</v>
      </c>
      <c r="D5525" s="400"/>
      <c r="E5525" s="400"/>
      <c r="F5525" s="400"/>
      <c r="G5525" s="400"/>
      <c r="H5525" s="396"/>
    </row>
    <row r="5526" spans="1:8" s="401" customFormat="1" ht="14.25" customHeight="1" x14ac:dyDescent="0.25">
      <c r="A5526" s="564" t="s">
        <v>8463</v>
      </c>
      <c r="B5526" s="562" t="s">
        <v>8535</v>
      </c>
      <c r="C5526" s="403">
        <v>1</v>
      </c>
      <c r="D5526" s="400"/>
      <c r="E5526" s="400"/>
      <c r="F5526" s="400"/>
      <c r="G5526" s="400"/>
      <c r="H5526" s="396"/>
    </row>
    <row r="5527" spans="1:8" s="401" customFormat="1" ht="14.25" customHeight="1" x14ac:dyDescent="0.25">
      <c r="A5527" s="564" t="s">
        <v>8464</v>
      </c>
      <c r="B5527" s="562" t="s">
        <v>8535</v>
      </c>
      <c r="C5527" s="403">
        <v>1</v>
      </c>
      <c r="D5527" s="400"/>
      <c r="E5527" s="400"/>
      <c r="F5527" s="400"/>
      <c r="G5527" s="400"/>
      <c r="H5527" s="396"/>
    </row>
    <row r="5528" spans="1:8" s="401" customFormat="1" ht="14.25" customHeight="1" x14ac:dyDescent="0.25">
      <c r="A5528" s="564" t="s">
        <v>8465</v>
      </c>
      <c r="B5528" s="562" t="s">
        <v>8535</v>
      </c>
      <c r="C5528" s="403">
        <v>1</v>
      </c>
      <c r="D5528" s="400"/>
      <c r="E5528" s="400"/>
      <c r="F5528" s="400"/>
      <c r="G5528" s="400"/>
      <c r="H5528" s="396"/>
    </row>
    <row r="5529" spans="1:8" s="401" customFormat="1" ht="14.25" customHeight="1" x14ac:dyDescent="0.25">
      <c r="A5529" s="564" t="s">
        <v>8466</v>
      </c>
      <c r="B5529" s="562" t="s">
        <v>8535</v>
      </c>
      <c r="C5529" s="403">
        <v>1</v>
      </c>
      <c r="D5529" s="400"/>
      <c r="E5529" s="400"/>
      <c r="F5529" s="400"/>
      <c r="G5529" s="400"/>
      <c r="H5529" s="396"/>
    </row>
    <row r="5530" spans="1:8" s="401" customFormat="1" ht="14.25" customHeight="1" x14ac:dyDescent="0.25">
      <c r="A5530" s="564">
        <v>5151260048</v>
      </c>
      <c r="B5530" s="562" t="s">
        <v>8535</v>
      </c>
      <c r="C5530" s="403">
        <v>9222</v>
      </c>
      <c r="D5530" s="400"/>
      <c r="E5530" s="400"/>
      <c r="F5530" s="400"/>
      <c r="G5530" s="400"/>
      <c r="H5530" s="396"/>
    </row>
    <row r="5531" spans="1:8" s="401" customFormat="1" ht="14.25" customHeight="1" x14ac:dyDescent="0.25">
      <c r="A5531" s="564">
        <v>5151260049</v>
      </c>
      <c r="B5531" s="562" t="s">
        <v>8535</v>
      </c>
      <c r="C5531" s="403">
        <v>9222</v>
      </c>
      <c r="D5531" s="400"/>
      <c r="E5531" s="400"/>
      <c r="F5531" s="400"/>
      <c r="G5531" s="400"/>
      <c r="H5531" s="396"/>
    </row>
    <row r="5532" spans="1:8" s="401" customFormat="1" ht="14.25" customHeight="1" x14ac:dyDescent="0.25">
      <c r="A5532" s="564">
        <v>5151260050</v>
      </c>
      <c r="B5532" s="562" t="s">
        <v>8535</v>
      </c>
      <c r="C5532" s="403">
        <v>9222</v>
      </c>
      <c r="D5532" s="400"/>
      <c r="E5532" s="400"/>
      <c r="F5532" s="400"/>
      <c r="G5532" s="400"/>
      <c r="H5532" s="396"/>
    </row>
    <row r="5533" spans="1:8" s="401" customFormat="1" ht="14.25" customHeight="1" x14ac:dyDescent="0.25">
      <c r="A5533" s="564">
        <v>5151260051</v>
      </c>
      <c r="B5533" s="562" t="s">
        <v>8535</v>
      </c>
      <c r="C5533" s="403">
        <v>9222</v>
      </c>
      <c r="D5533" s="400"/>
      <c r="E5533" s="400"/>
      <c r="F5533" s="400"/>
      <c r="G5533" s="400"/>
      <c r="H5533" s="396"/>
    </row>
    <row r="5534" spans="1:8" s="401" customFormat="1" ht="14.25" customHeight="1" x14ac:dyDescent="0.25">
      <c r="A5534" s="564">
        <v>5151260052</v>
      </c>
      <c r="B5534" s="562" t="s">
        <v>8535</v>
      </c>
      <c r="C5534" s="403">
        <v>9222</v>
      </c>
      <c r="D5534" s="400"/>
      <c r="E5534" s="400"/>
      <c r="F5534" s="400"/>
      <c r="G5534" s="400"/>
      <c r="H5534" s="396"/>
    </row>
    <row r="5535" spans="1:8" s="401" customFormat="1" ht="14.25" customHeight="1" x14ac:dyDescent="0.25">
      <c r="A5535" s="564">
        <v>5151260032</v>
      </c>
      <c r="B5535" s="562" t="s">
        <v>8535</v>
      </c>
      <c r="C5535" s="403">
        <v>14085.912999999997</v>
      </c>
      <c r="D5535" s="400"/>
      <c r="E5535" s="400"/>
      <c r="F5535" s="400"/>
      <c r="G5535" s="400"/>
      <c r="H5535" s="396"/>
    </row>
    <row r="5536" spans="1:8" s="401" customFormat="1" ht="14.25" customHeight="1" x14ac:dyDescent="0.25">
      <c r="A5536" s="564">
        <v>5151260033</v>
      </c>
      <c r="B5536" s="562" t="s">
        <v>8535</v>
      </c>
      <c r="C5536" s="403">
        <v>14085.912999999997</v>
      </c>
      <c r="D5536" s="400"/>
      <c r="E5536" s="400"/>
      <c r="F5536" s="400"/>
      <c r="G5536" s="400"/>
      <c r="H5536" s="396"/>
    </row>
    <row r="5537" spans="1:8" s="401" customFormat="1" ht="14.25" customHeight="1" x14ac:dyDescent="0.25">
      <c r="A5537" s="564">
        <v>5151260034</v>
      </c>
      <c r="B5537" s="562" t="s">
        <v>8535</v>
      </c>
      <c r="C5537" s="403">
        <v>14085.912999999997</v>
      </c>
      <c r="D5537" s="400"/>
      <c r="E5537" s="400"/>
      <c r="F5537" s="400"/>
      <c r="G5537" s="400"/>
      <c r="H5537" s="396"/>
    </row>
    <row r="5538" spans="1:8" s="401" customFormat="1" ht="14.25" customHeight="1" x14ac:dyDescent="0.25">
      <c r="A5538" s="564">
        <v>5151260035</v>
      </c>
      <c r="B5538" s="562" t="s">
        <v>8535</v>
      </c>
      <c r="C5538" s="403">
        <v>14085.912999999997</v>
      </c>
      <c r="D5538" s="400"/>
      <c r="E5538" s="400"/>
      <c r="F5538" s="400"/>
      <c r="G5538" s="400"/>
      <c r="H5538" s="396"/>
    </row>
    <row r="5539" spans="1:8" s="401" customFormat="1" ht="14.25" customHeight="1" x14ac:dyDescent="0.25">
      <c r="A5539" s="564">
        <v>5151260036</v>
      </c>
      <c r="B5539" s="562" t="s">
        <v>8535</v>
      </c>
      <c r="C5539" s="403">
        <v>14085.912999999997</v>
      </c>
      <c r="D5539" s="400"/>
      <c r="E5539" s="400"/>
      <c r="F5539" s="400"/>
      <c r="G5539" s="400"/>
      <c r="H5539" s="396"/>
    </row>
    <row r="5540" spans="1:8" s="401" customFormat="1" ht="14.25" customHeight="1" x14ac:dyDescent="0.25">
      <c r="A5540" s="564">
        <v>5151260037</v>
      </c>
      <c r="B5540" s="562" t="s">
        <v>8535</v>
      </c>
      <c r="C5540" s="403">
        <v>14085.912999999997</v>
      </c>
      <c r="D5540" s="400"/>
      <c r="E5540" s="400"/>
      <c r="F5540" s="400"/>
      <c r="G5540" s="400"/>
      <c r="H5540" s="396"/>
    </row>
    <row r="5541" spans="1:8" s="401" customFormat="1" ht="14.25" customHeight="1" x14ac:dyDescent="0.25">
      <c r="A5541" s="564">
        <v>5151260038</v>
      </c>
      <c r="B5541" s="562" t="s">
        <v>8535</v>
      </c>
      <c r="C5541" s="403">
        <v>14085.912999999997</v>
      </c>
      <c r="D5541" s="400"/>
      <c r="E5541" s="400"/>
      <c r="F5541" s="400"/>
      <c r="G5541" s="400"/>
      <c r="H5541" s="396"/>
    </row>
    <row r="5542" spans="1:8" s="401" customFormat="1" ht="14.25" customHeight="1" x14ac:dyDescent="0.25">
      <c r="A5542" s="564">
        <v>5151260039</v>
      </c>
      <c r="B5542" s="562" t="s">
        <v>8535</v>
      </c>
      <c r="C5542" s="403">
        <v>14085.912999999997</v>
      </c>
      <c r="D5542" s="400"/>
      <c r="E5542" s="400"/>
      <c r="F5542" s="400"/>
      <c r="G5542" s="400"/>
      <c r="H5542" s="396"/>
    </row>
    <row r="5543" spans="1:8" s="401" customFormat="1" ht="14.25" customHeight="1" x14ac:dyDescent="0.25">
      <c r="A5543" s="564">
        <v>5151260040</v>
      </c>
      <c r="B5543" s="562" t="s">
        <v>8535</v>
      </c>
      <c r="C5543" s="403">
        <v>14085.912999999997</v>
      </c>
      <c r="D5543" s="400"/>
      <c r="E5543" s="400"/>
      <c r="F5543" s="400"/>
      <c r="G5543" s="400"/>
      <c r="H5543" s="396"/>
    </row>
    <row r="5544" spans="1:8" s="401" customFormat="1" ht="14.25" customHeight="1" x14ac:dyDescent="0.25">
      <c r="A5544" s="564">
        <v>5151260041</v>
      </c>
      <c r="B5544" s="562" t="s">
        <v>8535</v>
      </c>
      <c r="C5544" s="403">
        <v>14085.912999999997</v>
      </c>
      <c r="D5544" s="400"/>
      <c r="E5544" s="400"/>
      <c r="F5544" s="400"/>
      <c r="G5544" s="400"/>
      <c r="H5544" s="396"/>
    </row>
    <row r="5545" spans="1:8" s="401" customFormat="1" ht="14.25" customHeight="1" x14ac:dyDescent="0.25">
      <c r="A5545" s="564" t="s">
        <v>8449</v>
      </c>
      <c r="B5545" s="562" t="s">
        <v>8535</v>
      </c>
      <c r="C5545" s="403">
        <v>1</v>
      </c>
      <c r="D5545" s="400"/>
      <c r="E5545" s="400"/>
      <c r="F5545" s="400"/>
      <c r="G5545" s="400"/>
      <c r="H5545" s="396"/>
    </row>
    <row r="5546" spans="1:8" s="401" customFormat="1" ht="14.25" customHeight="1" x14ac:dyDescent="0.25">
      <c r="A5546" s="564">
        <v>5151260053</v>
      </c>
      <c r="B5546" s="562" t="s">
        <v>8535</v>
      </c>
      <c r="C5546" s="403">
        <v>9206.6550000000007</v>
      </c>
      <c r="D5546" s="400"/>
      <c r="E5546" s="400"/>
      <c r="F5546" s="400"/>
      <c r="G5546" s="400"/>
      <c r="H5546" s="396"/>
    </row>
    <row r="5547" spans="1:8" s="401" customFormat="1" ht="14.25" customHeight="1" x14ac:dyDescent="0.25">
      <c r="A5547" s="564">
        <v>5151260054</v>
      </c>
      <c r="B5547" s="562" t="s">
        <v>8535</v>
      </c>
      <c r="C5547" s="403">
        <v>9206.6550000000007</v>
      </c>
      <c r="D5547" s="400"/>
      <c r="E5547" s="400"/>
      <c r="F5547" s="400"/>
      <c r="G5547" s="400"/>
      <c r="H5547" s="396"/>
    </row>
    <row r="5548" spans="1:8" s="401" customFormat="1" ht="14.25" customHeight="1" x14ac:dyDescent="0.25">
      <c r="A5548" s="564">
        <v>5151260064</v>
      </c>
      <c r="B5548" s="562" t="s">
        <v>8535</v>
      </c>
      <c r="C5548" s="403">
        <v>10328.64</v>
      </c>
      <c r="D5548" s="400"/>
      <c r="E5548" s="400"/>
      <c r="F5548" s="400"/>
      <c r="G5548" s="400"/>
      <c r="H5548" s="396"/>
    </row>
    <row r="5549" spans="1:8" s="401" customFormat="1" ht="14.25" customHeight="1" x14ac:dyDescent="0.25">
      <c r="A5549" s="564">
        <v>5151260060</v>
      </c>
      <c r="B5549" s="562" t="s">
        <v>8535</v>
      </c>
      <c r="C5549" s="403">
        <v>10328.64</v>
      </c>
      <c r="D5549" s="400"/>
      <c r="E5549" s="400"/>
      <c r="F5549" s="400"/>
      <c r="G5549" s="400"/>
      <c r="H5549" s="396"/>
    </row>
    <row r="5550" spans="1:8" s="401" customFormat="1" ht="14.25" customHeight="1" x14ac:dyDescent="0.25">
      <c r="A5550" s="564">
        <v>5151260055</v>
      </c>
      <c r="B5550" s="562" t="s">
        <v>8535</v>
      </c>
      <c r="C5550" s="403">
        <v>10328.64</v>
      </c>
      <c r="D5550" s="400"/>
      <c r="E5550" s="400"/>
      <c r="F5550" s="400"/>
      <c r="G5550" s="400"/>
      <c r="H5550" s="396"/>
    </row>
    <row r="5551" spans="1:8" s="401" customFormat="1" ht="14.25" customHeight="1" x14ac:dyDescent="0.25">
      <c r="A5551" s="564">
        <v>5151260056</v>
      </c>
      <c r="B5551" s="562" t="s">
        <v>8535</v>
      </c>
      <c r="C5551" s="403">
        <v>10328.64</v>
      </c>
      <c r="D5551" s="400"/>
      <c r="E5551" s="400"/>
      <c r="F5551" s="400"/>
      <c r="G5551" s="400"/>
      <c r="H5551" s="396"/>
    </row>
    <row r="5552" spans="1:8" s="401" customFormat="1" ht="14.25" customHeight="1" x14ac:dyDescent="0.25">
      <c r="A5552" s="564">
        <v>5151260057</v>
      </c>
      <c r="B5552" s="562" t="s">
        <v>8535</v>
      </c>
      <c r="C5552" s="403">
        <v>10328.64</v>
      </c>
      <c r="D5552" s="400"/>
      <c r="E5552" s="400"/>
      <c r="F5552" s="400"/>
      <c r="G5552" s="400"/>
      <c r="H5552" s="396"/>
    </row>
    <row r="5553" spans="1:8" s="401" customFormat="1" ht="14.25" customHeight="1" x14ac:dyDescent="0.25">
      <c r="A5553" s="564">
        <v>5151260059</v>
      </c>
      <c r="B5553" s="562" t="s">
        <v>8535</v>
      </c>
      <c r="C5553" s="403">
        <v>10328.64</v>
      </c>
      <c r="D5553" s="400"/>
      <c r="E5553" s="400"/>
      <c r="F5553" s="400"/>
      <c r="G5553" s="400"/>
      <c r="H5553" s="396"/>
    </row>
    <row r="5554" spans="1:8" s="401" customFormat="1" ht="14.25" customHeight="1" x14ac:dyDescent="0.25">
      <c r="A5554" s="564">
        <v>5652460002</v>
      </c>
      <c r="B5554" s="562" t="s">
        <v>8536</v>
      </c>
      <c r="C5554" s="403">
        <v>29000</v>
      </c>
      <c r="D5554" s="400"/>
      <c r="E5554" s="400"/>
      <c r="F5554" s="400"/>
      <c r="G5554" s="400"/>
      <c r="H5554" s="396"/>
    </row>
    <row r="5555" spans="1:8" s="401" customFormat="1" ht="14.25" customHeight="1" x14ac:dyDescent="0.25">
      <c r="A5555" s="564">
        <v>5111440001</v>
      </c>
      <c r="B5555" s="562" t="s">
        <v>8537</v>
      </c>
      <c r="C5555" s="403">
        <v>3380</v>
      </c>
      <c r="D5555" s="400"/>
      <c r="E5555" s="400"/>
      <c r="F5555" s="400"/>
      <c r="G5555" s="400"/>
      <c r="H5555" s="396"/>
    </row>
    <row r="5556" spans="1:8" s="401" customFormat="1" ht="14.25" customHeight="1" x14ac:dyDescent="0.25">
      <c r="A5556" s="564">
        <v>5624740001</v>
      </c>
      <c r="B5556" s="562" t="s">
        <v>8538</v>
      </c>
      <c r="C5556" s="403">
        <v>3190</v>
      </c>
      <c r="D5556" s="400"/>
      <c r="E5556" s="400"/>
      <c r="F5556" s="400"/>
      <c r="G5556" s="400"/>
      <c r="H5556" s="396"/>
    </row>
    <row r="5557" spans="1:8" s="401" customFormat="1" ht="14.25" customHeight="1" x14ac:dyDescent="0.25">
      <c r="A5557" s="564">
        <v>5624740002</v>
      </c>
      <c r="B5557" s="562" t="s">
        <v>8538</v>
      </c>
      <c r="C5557" s="403">
        <v>3190</v>
      </c>
      <c r="D5557" s="400"/>
      <c r="E5557" s="400"/>
      <c r="F5557" s="400"/>
      <c r="G5557" s="400"/>
      <c r="H5557" s="396"/>
    </row>
    <row r="5558" spans="1:8" s="401" customFormat="1" ht="14.25" customHeight="1" x14ac:dyDescent="0.25">
      <c r="A5558" s="564" t="s">
        <v>8518</v>
      </c>
      <c r="B5558" s="562" t="s">
        <v>806</v>
      </c>
      <c r="C5558" s="403">
        <v>693.54000000000008</v>
      </c>
      <c r="D5558" s="400"/>
      <c r="E5558" s="400"/>
      <c r="F5558" s="400"/>
      <c r="G5558" s="400"/>
      <c r="H5558" s="396"/>
    </row>
    <row r="5559" spans="1:8" s="401" customFormat="1" ht="14.25" customHeight="1" x14ac:dyDescent="0.25">
      <c r="A5559" s="564">
        <v>5111460003</v>
      </c>
      <c r="B5559" s="562" t="s">
        <v>806</v>
      </c>
      <c r="C5559" s="403">
        <v>7890.32</v>
      </c>
      <c r="D5559" s="400"/>
      <c r="E5559" s="400"/>
      <c r="F5559" s="400"/>
      <c r="G5559" s="400"/>
      <c r="H5559" s="396"/>
    </row>
    <row r="5560" spans="1:8" s="401" customFormat="1" ht="14.25" customHeight="1" x14ac:dyDescent="0.25">
      <c r="A5560" s="564">
        <v>5111460005</v>
      </c>
      <c r="B5560" s="562" t="s">
        <v>806</v>
      </c>
      <c r="C5560" s="403">
        <v>7890.32</v>
      </c>
      <c r="D5560" s="400"/>
      <c r="E5560" s="400"/>
      <c r="F5560" s="400"/>
      <c r="G5560" s="400"/>
      <c r="H5560" s="396"/>
    </row>
    <row r="5561" spans="1:8" s="401" customFormat="1" ht="14.25" customHeight="1" x14ac:dyDescent="0.25">
      <c r="A5561" s="564">
        <v>5111460004</v>
      </c>
      <c r="B5561" s="562" t="s">
        <v>806</v>
      </c>
      <c r="C5561" s="403">
        <v>7890.32</v>
      </c>
      <c r="D5561" s="400"/>
      <c r="E5561" s="400"/>
      <c r="F5561" s="400"/>
      <c r="G5561" s="400"/>
      <c r="H5561" s="396"/>
    </row>
    <row r="5562" spans="1:8" s="401" customFormat="1" ht="14.25" customHeight="1" x14ac:dyDescent="0.25">
      <c r="A5562" s="564" t="s">
        <v>8501</v>
      </c>
      <c r="B5562" s="562" t="s">
        <v>8539</v>
      </c>
      <c r="C5562" s="403">
        <v>461.41059999999993</v>
      </c>
      <c r="D5562" s="400"/>
      <c r="E5562" s="400"/>
      <c r="F5562" s="400"/>
      <c r="G5562" s="400"/>
      <c r="H5562" s="396"/>
    </row>
    <row r="5563" spans="1:8" s="401" customFormat="1" ht="14.25" customHeight="1" x14ac:dyDescent="0.25">
      <c r="A5563" s="564" t="s">
        <v>8501</v>
      </c>
      <c r="B5563" s="562" t="s">
        <v>8539</v>
      </c>
      <c r="C5563" s="403">
        <v>461.41059999999993</v>
      </c>
      <c r="D5563" s="400"/>
      <c r="E5563" s="400"/>
      <c r="F5563" s="400"/>
      <c r="G5563" s="400"/>
      <c r="H5563" s="396"/>
    </row>
    <row r="5564" spans="1:8" s="401" customFormat="1" ht="14.25" customHeight="1" x14ac:dyDescent="0.25">
      <c r="A5564" s="564" t="s">
        <v>8501</v>
      </c>
      <c r="B5564" s="562" t="s">
        <v>8539</v>
      </c>
      <c r="C5564" s="403">
        <v>461.41059999999993</v>
      </c>
      <c r="D5564" s="400"/>
      <c r="E5564" s="400"/>
      <c r="F5564" s="400"/>
      <c r="G5564" s="400"/>
      <c r="H5564" s="396"/>
    </row>
    <row r="5565" spans="1:8" s="401" customFormat="1" ht="14.25" customHeight="1" x14ac:dyDescent="0.25">
      <c r="A5565" s="564" t="s">
        <v>8501</v>
      </c>
      <c r="B5565" s="562" t="s">
        <v>8539</v>
      </c>
      <c r="C5565" s="403">
        <v>461.41059999999993</v>
      </c>
      <c r="D5565" s="400"/>
      <c r="E5565" s="400"/>
      <c r="F5565" s="400"/>
      <c r="G5565" s="400"/>
      <c r="H5565" s="396"/>
    </row>
    <row r="5566" spans="1:8" s="401" customFormat="1" ht="14.25" customHeight="1" x14ac:dyDescent="0.25">
      <c r="A5566" s="564" t="s">
        <v>8501</v>
      </c>
      <c r="B5566" s="562" t="s">
        <v>8539</v>
      </c>
      <c r="C5566" s="403">
        <v>461.41059999999993</v>
      </c>
      <c r="D5566" s="400"/>
      <c r="E5566" s="400"/>
      <c r="F5566" s="400"/>
      <c r="G5566" s="400"/>
      <c r="H5566" s="396"/>
    </row>
    <row r="5567" spans="1:8" s="401" customFormat="1" ht="14.25" customHeight="1" x14ac:dyDescent="0.25">
      <c r="A5567" s="564" t="s">
        <v>8457</v>
      </c>
      <c r="B5567" s="562" t="s">
        <v>8540</v>
      </c>
      <c r="C5567" s="403">
        <v>1</v>
      </c>
      <c r="D5567" s="400"/>
      <c r="E5567" s="400"/>
      <c r="F5567" s="400"/>
      <c r="G5567" s="400"/>
      <c r="H5567" s="396"/>
    </row>
    <row r="5568" spans="1:8" s="401" customFormat="1" ht="14.25" customHeight="1" x14ac:dyDescent="0.25">
      <c r="A5568" s="564" t="s">
        <v>8453</v>
      </c>
      <c r="B5568" s="562" t="s">
        <v>8535</v>
      </c>
      <c r="C5568" s="403">
        <v>1</v>
      </c>
      <c r="D5568" s="400"/>
      <c r="E5568" s="400"/>
      <c r="F5568" s="400"/>
      <c r="G5568" s="400"/>
      <c r="H5568" s="396"/>
    </row>
    <row r="5569" spans="1:8" s="401" customFormat="1" ht="14.25" customHeight="1" x14ac:dyDescent="0.25">
      <c r="A5569" s="564" t="s">
        <v>8453</v>
      </c>
      <c r="B5569" s="562" t="s">
        <v>8535</v>
      </c>
      <c r="C5569" s="403">
        <v>1</v>
      </c>
      <c r="D5569" s="400"/>
      <c r="E5569" s="400"/>
      <c r="F5569" s="400"/>
      <c r="G5569" s="400"/>
      <c r="H5569" s="396"/>
    </row>
    <row r="5570" spans="1:8" s="401" customFormat="1" ht="14.25" customHeight="1" x14ac:dyDescent="0.25">
      <c r="A5570" s="564" t="s">
        <v>8440</v>
      </c>
      <c r="B5570" s="562" t="s">
        <v>8535</v>
      </c>
      <c r="C5570" s="403">
        <v>1</v>
      </c>
      <c r="D5570" s="400"/>
      <c r="E5570" s="400"/>
      <c r="F5570" s="400"/>
      <c r="G5570" s="400"/>
      <c r="H5570" s="396"/>
    </row>
    <row r="5571" spans="1:8" s="401" customFormat="1" ht="14.25" customHeight="1" x14ac:dyDescent="0.25">
      <c r="A5571" s="564" t="s">
        <v>8441</v>
      </c>
      <c r="B5571" s="562" t="s">
        <v>8535</v>
      </c>
      <c r="C5571" s="403">
        <v>1</v>
      </c>
      <c r="D5571" s="400"/>
      <c r="E5571" s="400"/>
      <c r="F5571" s="400"/>
      <c r="G5571" s="400"/>
      <c r="H5571" s="396"/>
    </row>
    <row r="5572" spans="1:8" s="401" customFormat="1" ht="14.25" customHeight="1" x14ac:dyDescent="0.25">
      <c r="A5572" s="564" t="s">
        <v>8468</v>
      </c>
      <c r="B5572" s="562" t="s">
        <v>8535</v>
      </c>
      <c r="C5572" s="403">
        <v>1</v>
      </c>
      <c r="D5572" s="400"/>
      <c r="E5572" s="400"/>
      <c r="F5572" s="400"/>
      <c r="G5572" s="400"/>
      <c r="H5572" s="396"/>
    </row>
    <row r="5573" spans="1:8" s="401" customFormat="1" ht="14.25" customHeight="1" x14ac:dyDescent="0.25">
      <c r="A5573" s="564" t="s">
        <v>8469</v>
      </c>
      <c r="B5573" s="562" t="s">
        <v>8535</v>
      </c>
      <c r="C5573" s="403">
        <v>6064.9725499999913</v>
      </c>
      <c r="D5573" s="400"/>
      <c r="E5573" s="400"/>
      <c r="F5573" s="400"/>
      <c r="G5573" s="400"/>
      <c r="H5573" s="396"/>
    </row>
    <row r="5574" spans="1:8" s="401" customFormat="1" ht="14.25" customHeight="1" x14ac:dyDescent="0.25">
      <c r="A5574" s="564">
        <v>5111490030</v>
      </c>
      <c r="B5574" s="562" t="s">
        <v>737</v>
      </c>
      <c r="C5574" s="403">
        <v>22359.347999999998</v>
      </c>
      <c r="D5574" s="400"/>
      <c r="E5574" s="400"/>
      <c r="F5574" s="400"/>
      <c r="G5574" s="400"/>
      <c r="H5574" s="396"/>
    </row>
    <row r="5575" spans="1:8" s="401" customFormat="1" ht="14.25" customHeight="1" x14ac:dyDescent="0.25">
      <c r="A5575" s="564">
        <v>5111490031</v>
      </c>
      <c r="B5575" s="562" t="s">
        <v>737</v>
      </c>
      <c r="C5575" s="403">
        <v>22359.347999999998</v>
      </c>
      <c r="D5575" s="400"/>
      <c r="E5575" s="400"/>
      <c r="F5575" s="400"/>
      <c r="G5575" s="400"/>
      <c r="H5575" s="396"/>
    </row>
    <row r="5576" spans="1:8" s="401" customFormat="1" ht="14.25" customHeight="1" x14ac:dyDescent="0.25">
      <c r="A5576" s="564">
        <v>5111490032</v>
      </c>
      <c r="B5576" s="562" t="s">
        <v>737</v>
      </c>
      <c r="C5576" s="403">
        <v>22359.347999999998</v>
      </c>
      <c r="D5576" s="400"/>
      <c r="E5576" s="400"/>
      <c r="F5576" s="400"/>
      <c r="G5576" s="400"/>
      <c r="H5576" s="396"/>
    </row>
    <row r="5577" spans="1:8" s="401" customFormat="1" ht="14.25" customHeight="1" x14ac:dyDescent="0.25">
      <c r="A5577" s="564">
        <v>5111490033</v>
      </c>
      <c r="B5577" s="562" t="s">
        <v>737</v>
      </c>
      <c r="C5577" s="403">
        <v>22359.347999999998</v>
      </c>
      <c r="D5577" s="400"/>
      <c r="E5577" s="400"/>
      <c r="F5577" s="400"/>
      <c r="G5577" s="400"/>
      <c r="H5577" s="396"/>
    </row>
    <row r="5578" spans="1:8" s="401" customFormat="1" ht="14.25" customHeight="1" x14ac:dyDescent="0.25">
      <c r="A5578" s="564">
        <v>5111490034</v>
      </c>
      <c r="B5578" s="562" t="s">
        <v>737</v>
      </c>
      <c r="C5578" s="403">
        <v>22359.347999999998</v>
      </c>
      <c r="D5578" s="400"/>
      <c r="E5578" s="400"/>
      <c r="F5578" s="400"/>
      <c r="G5578" s="400"/>
      <c r="H5578" s="396"/>
    </row>
    <row r="5579" spans="1:8" s="401" customFormat="1" ht="14.25" customHeight="1" x14ac:dyDescent="0.25">
      <c r="A5579" s="564">
        <v>5111490035</v>
      </c>
      <c r="B5579" s="562" t="s">
        <v>737</v>
      </c>
      <c r="C5579" s="403">
        <v>22359.347999999998</v>
      </c>
      <c r="D5579" s="400"/>
      <c r="E5579" s="400"/>
      <c r="F5579" s="400"/>
      <c r="G5579" s="400"/>
      <c r="H5579" s="396"/>
    </row>
    <row r="5580" spans="1:8" s="401" customFormat="1" ht="14.25" customHeight="1" x14ac:dyDescent="0.25">
      <c r="A5580" s="564">
        <v>5111490036</v>
      </c>
      <c r="B5580" s="562" t="s">
        <v>737</v>
      </c>
      <c r="C5580" s="403">
        <v>22359.347999999998</v>
      </c>
      <c r="D5580" s="400"/>
      <c r="E5580" s="400"/>
      <c r="F5580" s="400"/>
      <c r="G5580" s="400"/>
      <c r="H5580" s="396"/>
    </row>
    <row r="5581" spans="1:8" s="401" customFormat="1" ht="14.25" customHeight="1" x14ac:dyDescent="0.25">
      <c r="A5581" s="564">
        <v>5111490037</v>
      </c>
      <c r="B5581" s="562" t="s">
        <v>737</v>
      </c>
      <c r="C5581" s="403">
        <v>22359.347999999998</v>
      </c>
      <c r="D5581" s="400"/>
      <c r="E5581" s="400"/>
      <c r="F5581" s="400"/>
      <c r="G5581" s="400"/>
      <c r="H5581" s="396"/>
    </row>
    <row r="5582" spans="1:8" s="401" customFormat="1" ht="14.25" customHeight="1" x14ac:dyDescent="0.25">
      <c r="A5582" s="564">
        <v>5111490038</v>
      </c>
      <c r="B5582" s="562" t="s">
        <v>737</v>
      </c>
      <c r="C5582" s="403">
        <v>22359.347999999998</v>
      </c>
      <c r="D5582" s="400"/>
      <c r="E5582" s="400"/>
      <c r="F5582" s="400"/>
      <c r="G5582" s="400"/>
      <c r="H5582" s="396"/>
    </row>
    <row r="5583" spans="1:8" s="401" customFormat="1" ht="14.25" customHeight="1" x14ac:dyDescent="0.25">
      <c r="A5583" s="564">
        <v>5111490039</v>
      </c>
      <c r="B5583" s="562" t="s">
        <v>737</v>
      </c>
      <c r="C5583" s="403">
        <v>22359.347999999998</v>
      </c>
      <c r="D5583" s="400"/>
      <c r="E5583" s="400"/>
      <c r="F5583" s="400"/>
      <c r="G5583" s="400"/>
      <c r="H5583" s="396"/>
    </row>
    <row r="5584" spans="1:8" s="401" customFormat="1" ht="14.25" customHeight="1" x14ac:dyDescent="0.25">
      <c r="A5584" s="564">
        <v>5111490040</v>
      </c>
      <c r="B5584" s="562" t="s">
        <v>737</v>
      </c>
      <c r="C5584" s="403">
        <v>22359.347999999998</v>
      </c>
      <c r="D5584" s="400"/>
      <c r="E5584" s="400"/>
      <c r="F5584" s="400"/>
      <c r="G5584" s="400"/>
      <c r="H5584" s="396"/>
    </row>
    <row r="5585" spans="1:8" s="401" customFormat="1" ht="14.25" customHeight="1" x14ac:dyDescent="0.25">
      <c r="A5585" s="564">
        <v>5111490041</v>
      </c>
      <c r="B5585" s="562" t="s">
        <v>737</v>
      </c>
      <c r="C5585" s="403">
        <v>22359.347999999998</v>
      </c>
      <c r="D5585" s="400"/>
      <c r="E5585" s="400"/>
      <c r="F5585" s="400"/>
      <c r="G5585" s="400"/>
      <c r="H5585" s="396"/>
    </row>
    <row r="5586" spans="1:8" s="401" customFormat="1" ht="14.25" customHeight="1" x14ac:dyDescent="0.25">
      <c r="A5586" s="564">
        <v>5111490042</v>
      </c>
      <c r="B5586" s="562" t="s">
        <v>737</v>
      </c>
      <c r="C5586" s="403">
        <v>22359.347999999998</v>
      </c>
      <c r="D5586" s="400"/>
      <c r="E5586" s="400"/>
      <c r="F5586" s="400"/>
      <c r="G5586" s="400"/>
      <c r="H5586" s="396"/>
    </row>
    <row r="5587" spans="1:8" s="401" customFormat="1" ht="14.25" customHeight="1" x14ac:dyDescent="0.25">
      <c r="A5587" s="564">
        <v>5111490043</v>
      </c>
      <c r="B5587" s="562" t="s">
        <v>737</v>
      </c>
      <c r="C5587" s="403">
        <v>22359.347999999998</v>
      </c>
      <c r="D5587" s="400"/>
      <c r="E5587" s="400"/>
      <c r="F5587" s="400"/>
      <c r="G5587" s="400"/>
      <c r="H5587" s="396"/>
    </row>
    <row r="5588" spans="1:8" s="401" customFormat="1" ht="14.25" customHeight="1" x14ac:dyDescent="0.25">
      <c r="A5588" s="564">
        <v>5111490044</v>
      </c>
      <c r="B5588" s="562" t="s">
        <v>737</v>
      </c>
      <c r="C5588" s="403">
        <v>22359.347999999998</v>
      </c>
      <c r="D5588" s="400"/>
      <c r="E5588" s="400"/>
      <c r="F5588" s="400"/>
      <c r="G5588" s="400"/>
      <c r="H5588" s="396"/>
    </row>
    <row r="5589" spans="1:8" s="401" customFormat="1" ht="14.25" customHeight="1" x14ac:dyDescent="0.25">
      <c r="A5589" s="564">
        <v>5111490045</v>
      </c>
      <c r="B5589" s="562" t="s">
        <v>737</v>
      </c>
      <c r="C5589" s="403">
        <v>22359.347999999998</v>
      </c>
      <c r="D5589" s="400"/>
      <c r="E5589" s="400"/>
      <c r="F5589" s="400"/>
      <c r="G5589" s="400"/>
      <c r="H5589" s="396"/>
    </row>
    <row r="5590" spans="1:8" s="401" customFormat="1" ht="14.25" customHeight="1" x14ac:dyDescent="0.25">
      <c r="A5590" s="564">
        <v>5111490046</v>
      </c>
      <c r="B5590" s="562" t="s">
        <v>737</v>
      </c>
      <c r="C5590" s="403">
        <v>22359.347999999998</v>
      </c>
      <c r="D5590" s="400"/>
      <c r="E5590" s="400"/>
      <c r="F5590" s="400"/>
      <c r="G5590" s="400"/>
      <c r="H5590" s="396"/>
    </row>
    <row r="5591" spans="1:8" s="401" customFormat="1" ht="14.25" customHeight="1" x14ac:dyDescent="0.25">
      <c r="A5591" s="564">
        <v>5111490047</v>
      </c>
      <c r="B5591" s="562" t="s">
        <v>737</v>
      </c>
      <c r="C5591" s="403">
        <v>22359.347999999998</v>
      </c>
      <c r="D5591" s="400"/>
      <c r="E5591" s="400"/>
      <c r="F5591" s="400"/>
      <c r="G5591" s="400"/>
      <c r="H5591" s="396"/>
    </row>
    <row r="5592" spans="1:8" s="401" customFormat="1" ht="14.25" customHeight="1" x14ac:dyDescent="0.25">
      <c r="A5592" s="564">
        <v>5111490048</v>
      </c>
      <c r="B5592" s="562" t="s">
        <v>737</v>
      </c>
      <c r="C5592" s="403">
        <v>22359.347999999998</v>
      </c>
      <c r="D5592" s="400"/>
      <c r="E5592" s="400"/>
      <c r="F5592" s="400"/>
      <c r="G5592" s="400"/>
      <c r="H5592" s="396"/>
    </row>
    <row r="5593" spans="1:8" s="401" customFormat="1" ht="14.25" customHeight="1" x14ac:dyDescent="0.25">
      <c r="A5593" s="564">
        <v>5111490049</v>
      </c>
      <c r="B5593" s="562" t="s">
        <v>737</v>
      </c>
      <c r="C5593" s="403">
        <v>22359.347999999998</v>
      </c>
      <c r="D5593" s="400"/>
      <c r="E5593" s="400"/>
      <c r="F5593" s="400"/>
      <c r="G5593" s="400"/>
      <c r="H5593" s="396"/>
    </row>
    <row r="5594" spans="1:8" s="401" customFormat="1" ht="14.25" customHeight="1" x14ac:dyDescent="0.25">
      <c r="A5594" s="564">
        <v>5111490050</v>
      </c>
      <c r="B5594" s="562" t="s">
        <v>737</v>
      </c>
      <c r="C5594" s="403">
        <v>22359.347999999998</v>
      </c>
      <c r="D5594" s="400"/>
      <c r="E5594" s="400"/>
      <c r="F5594" s="400"/>
      <c r="G5594" s="400"/>
      <c r="H5594" s="396"/>
    </row>
    <row r="5595" spans="1:8" s="401" customFormat="1" ht="14.25" customHeight="1" x14ac:dyDescent="0.25">
      <c r="A5595" s="564">
        <v>5111490051</v>
      </c>
      <c r="B5595" s="562" t="s">
        <v>737</v>
      </c>
      <c r="C5595" s="403">
        <v>22359.347999999998</v>
      </c>
      <c r="D5595" s="400"/>
      <c r="E5595" s="400"/>
      <c r="F5595" s="400"/>
      <c r="G5595" s="400"/>
      <c r="H5595" s="396"/>
    </row>
    <row r="5596" spans="1:8" s="401" customFormat="1" ht="14.25" customHeight="1" x14ac:dyDescent="0.25">
      <c r="A5596" s="564">
        <v>5111490052</v>
      </c>
      <c r="B5596" s="562" t="s">
        <v>737</v>
      </c>
      <c r="C5596" s="403">
        <v>22359.347999999998</v>
      </c>
      <c r="D5596" s="400"/>
      <c r="E5596" s="400"/>
      <c r="F5596" s="400"/>
      <c r="G5596" s="400"/>
      <c r="H5596" s="396"/>
    </row>
    <row r="5597" spans="1:8" s="401" customFormat="1" ht="14.25" customHeight="1" x14ac:dyDescent="0.25">
      <c r="A5597" s="564">
        <v>5111490053</v>
      </c>
      <c r="B5597" s="562" t="s">
        <v>737</v>
      </c>
      <c r="C5597" s="403">
        <v>22359.347999999998</v>
      </c>
      <c r="D5597" s="400"/>
      <c r="E5597" s="400"/>
      <c r="F5597" s="400"/>
      <c r="G5597" s="400"/>
      <c r="H5597" s="396"/>
    </row>
    <row r="5598" spans="1:8" s="401" customFormat="1" ht="14.25" customHeight="1" x14ac:dyDescent="0.25">
      <c r="A5598" s="564">
        <v>5111490054</v>
      </c>
      <c r="B5598" s="562" t="s">
        <v>737</v>
      </c>
      <c r="C5598" s="403">
        <v>22359.347999999998</v>
      </c>
      <c r="D5598" s="400"/>
      <c r="E5598" s="400"/>
      <c r="F5598" s="400"/>
      <c r="G5598" s="400"/>
      <c r="H5598" s="396"/>
    </row>
    <row r="5599" spans="1:8" s="401" customFormat="1" ht="14.25" customHeight="1" x14ac:dyDescent="0.25">
      <c r="A5599" s="564">
        <v>5151130006</v>
      </c>
      <c r="B5599" s="562" t="s">
        <v>898</v>
      </c>
      <c r="C5599" s="403">
        <v>2900</v>
      </c>
      <c r="D5599" s="400"/>
      <c r="E5599" s="400"/>
      <c r="F5599" s="400"/>
      <c r="G5599" s="400"/>
      <c r="H5599" s="396"/>
    </row>
    <row r="5600" spans="1:8" s="401" customFormat="1" ht="14.25" customHeight="1" x14ac:dyDescent="0.25">
      <c r="A5600" s="564">
        <v>5151130007</v>
      </c>
      <c r="B5600" s="562" t="s">
        <v>898</v>
      </c>
      <c r="C5600" s="403">
        <v>4648.0050000000001</v>
      </c>
      <c r="D5600" s="400"/>
      <c r="E5600" s="400"/>
      <c r="F5600" s="400"/>
      <c r="G5600" s="400"/>
      <c r="H5600" s="396"/>
    </row>
    <row r="5601" spans="1:8" s="401" customFormat="1" ht="14.25" customHeight="1" x14ac:dyDescent="0.25">
      <c r="A5601" s="564">
        <v>5151130008</v>
      </c>
      <c r="B5601" s="562" t="s">
        <v>898</v>
      </c>
      <c r="C5601" s="403">
        <v>4648.0050000000001</v>
      </c>
      <c r="D5601" s="400"/>
      <c r="E5601" s="400"/>
      <c r="F5601" s="400"/>
      <c r="G5601" s="400"/>
      <c r="H5601" s="396"/>
    </row>
    <row r="5602" spans="1:8" s="401" customFormat="1" ht="14.25" customHeight="1" x14ac:dyDescent="0.25">
      <c r="A5602" s="564">
        <v>5151130004</v>
      </c>
      <c r="B5602" s="562" t="s">
        <v>898</v>
      </c>
      <c r="C5602" s="403">
        <v>2668</v>
      </c>
      <c r="D5602" s="400"/>
      <c r="E5602" s="400"/>
      <c r="F5602" s="400"/>
      <c r="G5602" s="400"/>
      <c r="H5602" s="396"/>
    </row>
    <row r="5603" spans="1:8" s="401" customFormat="1" ht="14.25" customHeight="1" x14ac:dyDescent="0.25">
      <c r="A5603" s="564">
        <v>5151120005</v>
      </c>
      <c r="B5603" s="562" t="s">
        <v>898</v>
      </c>
      <c r="C5603" s="403">
        <v>1682</v>
      </c>
      <c r="D5603" s="400"/>
      <c r="E5603" s="400"/>
      <c r="F5603" s="400"/>
      <c r="G5603" s="400"/>
      <c r="H5603" s="396"/>
    </row>
    <row r="5604" spans="1:8" s="401" customFormat="1" ht="14.25" customHeight="1" x14ac:dyDescent="0.25">
      <c r="A5604" s="564" t="s">
        <v>8512</v>
      </c>
      <c r="B5604" s="562" t="s">
        <v>807</v>
      </c>
      <c r="C5604" s="403">
        <v>634.46250000000009</v>
      </c>
      <c r="D5604" s="400"/>
      <c r="E5604" s="400"/>
      <c r="F5604" s="400"/>
      <c r="G5604" s="400"/>
      <c r="H5604" s="396"/>
    </row>
    <row r="5605" spans="1:8" s="401" customFormat="1" ht="14.25" customHeight="1" x14ac:dyDescent="0.25">
      <c r="A5605" s="564" t="s">
        <v>8510</v>
      </c>
      <c r="B5605" s="562" t="s">
        <v>8541</v>
      </c>
      <c r="C5605" s="403">
        <v>674.77500000000009</v>
      </c>
      <c r="D5605" s="400"/>
      <c r="E5605" s="400"/>
      <c r="F5605" s="400"/>
      <c r="G5605" s="400"/>
      <c r="H5605" s="396"/>
    </row>
    <row r="5606" spans="1:8" s="401" customFormat="1" ht="14.25" customHeight="1" x14ac:dyDescent="0.25">
      <c r="A5606" s="564">
        <v>5111560001</v>
      </c>
      <c r="B5606" s="562" t="s">
        <v>8542</v>
      </c>
      <c r="C5606" s="403">
        <v>10857.99</v>
      </c>
      <c r="D5606" s="400"/>
      <c r="E5606" s="400"/>
      <c r="F5606" s="400"/>
      <c r="G5606" s="400"/>
      <c r="H5606" s="396"/>
    </row>
    <row r="5607" spans="1:8" s="401" customFormat="1" ht="14.25" customHeight="1" x14ac:dyDescent="0.25">
      <c r="A5607" s="564">
        <v>5111560002</v>
      </c>
      <c r="B5607" s="562" t="s">
        <v>8542</v>
      </c>
      <c r="C5607" s="403">
        <v>15089.72</v>
      </c>
      <c r="D5607" s="400"/>
      <c r="E5607" s="400"/>
      <c r="F5607" s="400"/>
      <c r="G5607" s="400"/>
      <c r="H5607" s="396"/>
    </row>
    <row r="5608" spans="1:8" s="401" customFormat="1" ht="14.25" customHeight="1" x14ac:dyDescent="0.25">
      <c r="A5608" s="564">
        <v>5111630032</v>
      </c>
      <c r="B5608" s="562" t="s">
        <v>8542</v>
      </c>
      <c r="C5608" s="403">
        <v>10857.99</v>
      </c>
      <c r="D5608" s="400"/>
      <c r="E5608" s="400"/>
      <c r="F5608" s="400"/>
      <c r="G5608" s="400"/>
      <c r="H5608" s="396"/>
    </row>
    <row r="5609" spans="1:8" s="401" customFormat="1" ht="14.25" customHeight="1" x14ac:dyDescent="0.25">
      <c r="A5609" s="564" t="s">
        <v>8434</v>
      </c>
      <c r="B5609" s="562" t="s">
        <v>2354</v>
      </c>
      <c r="C5609" s="403">
        <v>4799.8500000000004</v>
      </c>
      <c r="D5609" s="400"/>
      <c r="E5609" s="400"/>
      <c r="F5609" s="400"/>
      <c r="G5609" s="400"/>
      <c r="H5609" s="396"/>
    </row>
    <row r="5610" spans="1:8" s="401" customFormat="1" ht="14.25" customHeight="1" x14ac:dyDescent="0.25">
      <c r="A5610" s="564" t="s">
        <v>8434</v>
      </c>
      <c r="B5610" s="562" t="s">
        <v>2354</v>
      </c>
      <c r="C5610" s="403">
        <v>4799.8499999999985</v>
      </c>
      <c r="D5610" s="400"/>
      <c r="E5610" s="400"/>
      <c r="F5610" s="400"/>
      <c r="G5610" s="400"/>
      <c r="H5610" s="396"/>
    </row>
    <row r="5611" spans="1:8" s="401" customFormat="1" ht="14.25" customHeight="1" x14ac:dyDescent="0.25">
      <c r="A5611" s="564" t="s">
        <v>8434</v>
      </c>
      <c r="B5611" s="562" t="s">
        <v>2354</v>
      </c>
      <c r="C5611" s="403">
        <v>4799.8499999999985</v>
      </c>
      <c r="D5611" s="400"/>
      <c r="E5611" s="400"/>
      <c r="F5611" s="400"/>
      <c r="G5611" s="400"/>
      <c r="H5611" s="396"/>
    </row>
    <row r="5612" spans="1:8" s="401" customFormat="1" ht="14.25" customHeight="1" x14ac:dyDescent="0.25">
      <c r="A5612" s="564">
        <v>5150230013</v>
      </c>
      <c r="B5612" s="562" t="s">
        <v>8543</v>
      </c>
      <c r="C5612" s="403">
        <v>6000</v>
      </c>
      <c r="D5612" s="400"/>
      <c r="E5612" s="400"/>
      <c r="F5612" s="400"/>
      <c r="G5612" s="400"/>
      <c r="H5612" s="396"/>
    </row>
    <row r="5613" spans="1:8" s="401" customFormat="1" ht="14.25" customHeight="1" x14ac:dyDescent="0.25">
      <c r="A5613" s="564">
        <v>5111560003</v>
      </c>
      <c r="B5613" s="562" t="s">
        <v>843</v>
      </c>
      <c r="C5613" s="403">
        <v>11224.72</v>
      </c>
      <c r="D5613" s="400"/>
      <c r="E5613" s="400"/>
      <c r="F5613" s="400"/>
      <c r="G5613" s="400"/>
      <c r="H5613" s="396"/>
    </row>
    <row r="5614" spans="1:8" s="401" customFormat="1" ht="14.25" customHeight="1" x14ac:dyDescent="0.25">
      <c r="A5614" s="564">
        <v>5111620016</v>
      </c>
      <c r="B5614" s="562" t="s">
        <v>921</v>
      </c>
      <c r="C5614" s="403">
        <v>4377.5200000000004</v>
      </c>
      <c r="D5614" s="400"/>
      <c r="E5614" s="400"/>
      <c r="F5614" s="400"/>
      <c r="G5614" s="400"/>
      <c r="H5614" s="396"/>
    </row>
    <row r="5615" spans="1:8" s="401" customFormat="1" ht="14.25" customHeight="1" x14ac:dyDescent="0.25">
      <c r="A5615" s="564" t="s">
        <v>8446</v>
      </c>
      <c r="B5615" s="562" t="s">
        <v>8544</v>
      </c>
      <c r="C5615" s="403">
        <v>1</v>
      </c>
      <c r="D5615" s="400"/>
      <c r="E5615" s="400"/>
      <c r="F5615" s="400"/>
      <c r="G5615" s="400"/>
      <c r="H5615" s="396"/>
    </row>
    <row r="5616" spans="1:8" s="401" customFormat="1" ht="14.25" customHeight="1" x14ac:dyDescent="0.25">
      <c r="A5616" s="564" t="s">
        <v>8438</v>
      </c>
      <c r="B5616" s="562" t="s">
        <v>8544</v>
      </c>
      <c r="C5616" s="403">
        <v>1</v>
      </c>
      <c r="D5616" s="400"/>
      <c r="E5616" s="400"/>
      <c r="F5616" s="400"/>
      <c r="G5616" s="400"/>
      <c r="H5616" s="396"/>
    </row>
    <row r="5617" spans="1:8" s="401" customFormat="1" ht="14.25" customHeight="1" x14ac:dyDescent="0.25">
      <c r="A5617" s="564">
        <v>5110360054</v>
      </c>
      <c r="B5617" s="562" t="s">
        <v>8545</v>
      </c>
      <c r="C5617" s="403">
        <v>3654</v>
      </c>
      <c r="D5617" s="400"/>
      <c r="E5617" s="400"/>
      <c r="F5617" s="400"/>
      <c r="G5617" s="400"/>
      <c r="H5617" s="396"/>
    </row>
    <row r="5618" spans="1:8" s="401" customFormat="1" ht="14.25" customHeight="1" x14ac:dyDescent="0.25">
      <c r="A5618" s="564">
        <v>5110360057</v>
      </c>
      <c r="B5618" s="562" t="s">
        <v>8545</v>
      </c>
      <c r="C5618" s="403">
        <v>3654</v>
      </c>
      <c r="D5618" s="400"/>
      <c r="E5618" s="400"/>
      <c r="F5618" s="400"/>
      <c r="G5618" s="400"/>
      <c r="H5618" s="396"/>
    </row>
    <row r="5619" spans="1:8" s="401" customFormat="1" ht="14.25" customHeight="1" x14ac:dyDescent="0.25">
      <c r="A5619" s="564">
        <v>5110360058</v>
      </c>
      <c r="B5619" s="562" t="s">
        <v>8545</v>
      </c>
      <c r="C5619" s="403">
        <v>3654</v>
      </c>
      <c r="D5619" s="400"/>
      <c r="E5619" s="400"/>
      <c r="F5619" s="400"/>
      <c r="G5619" s="400"/>
      <c r="H5619" s="396"/>
    </row>
    <row r="5620" spans="1:8" s="401" customFormat="1" ht="14.25" customHeight="1" x14ac:dyDescent="0.25">
      <c r="A5620" s="564">
        <v>5110360050</v>
      </c>
      <c r="B5620" s="562" t="s">
        <v>8545</v>
      </c>
      <c r="C5620" s="403">
        <v>3333.8399999999997</v>
      </c>
      <c r="D5620" s="400"/>
      <c r="E5620" s="400"/>
      <c r="F5620" s="400"/>
      <c r="G5620" s="400"/>
      <c r="H5620" s="396"/>
    </row>
    <row r="5621" spans="1:8" s="401" customFormat="1" ht="14.25" customHeight="1" x14ac:dyDescent="0.25">
      <c r="A5621" s="564">
        <v>5110360051</v>
      </c>
      <c r="B5621" s="562" t="s">
        <v>8545</v>
      </c>
      <c r="C5621" s="403">
        <v>3333.8399999999997</v>
      </c>
      <c r="D5621" s="400"/>
      <c r="E5621" s="400"/>
      <c r="F5621" s="400"/>
      <c r="G5621" s="400"/>
      <c r="H5621" s="396"/>
    </row>
    <row r="5622" spans="1:8" s="401" customFormat="1" ht="14.25" customHeight="1" x14ac:dyDescent="0.25">
      <c r="A5622" s="564">
        <v>5110360059</v>
      </c>
      <c r="B5622" s="562" t="s">
        <v>8545</v>
      </c>
      <c r="C5622" s="403">
        <v>3199.6048000000001</v>
      </c>
      <c r="D5622" s="400"/>
      <c r="E5622" s="400"/>
      <c r="F5622" s="400"/>
      <c r="G5622" s="400"/>
      <c r="H5622" s="396"/>
    </row>
    <row r="5623" spans="1:8" s="401" customFormat="1" ht="14.25" customHeight="1" x14ac:dyDescent="0.25">
      <c r="A5623" s="564">
        <v>5110370131</v>
      </c>
      <c r="B5623" s="562" t="s">
        <v>8545</v>
      </c>
      <c r="C5623" s="403">
        <v>3654</v>
      </c>
      <c r="D5623" s="400"/>
      <c r="E5623" s="400"/>
      <c r="F5623" s="400"/>
      <c r="G5623" s="400"/>
      <c r="H5623" s="396"/>
    </row>
    <row r="5624" spans="1:8" s="401" customFormat="1" ht="14.25" customHeight="1" x14ac:dyDescent="0.25">
      <c r="A5624" s="564">
        <v>5110370132</v>
      </c>
      <c r="B5624" s="562" t="s">
        <v>8545</v>
      </c>
      <c r="C5624" s="403">
        <v>3654</v>
      </c>
      <c r="D5624" s="400"/>
      <c r="E5624" s="400"/>
      <c r="F5624" s="400"/>
      <c r="G5624" s="400"/>
      <c r="H5624" s="396"/>
    </row>
    <row r="5625" spans="1:8" s="401" customFormat="1" ht="14.25" customHeight="1" x14ac:dyDescent="0.25">
      <c r="A5625" s="564">
        <v>5110370133</v>
      </c>
      <c r="B5625" s="562" t="s">
        <v>8545</v>
      </c>
      <c r="C5625" s="403">
        <v>3654</v>
      </c>
      <c r="D5625" s="400"/>
      <c r="E5625" s="400"/>
      <c r="F5625" s="400"/>
      <c r="G5625" s="400"/>
      <c r="H5625" s="396"/>
    </row>
    <row r="5626" spans="1:8" s="401" customFormat="1" ht="14.25" customHeight="1" x14ac:dyDescent="0.25">
      <c r="A5626" s="564">
        <v>5110360052</v>
      </c>
      <c r="B5626" s="562" t="s">
        <v>8545</v>
      </c>
      <c r="C5626" s="403">
        <v>2859.3999999999996</v>
      </c>
      <c r="D5626" s="400"/>
      <c r="E5626" s="400"/>
      <c r="F5626" s="400"/>
      <c r="G5626" s="400"/>
      <c r="H5626" s="396"/>
    </row>
    <row r="5627" spans="1:8" s="401" customFormat="1" ht="14.25" customHeight="1" x14ac:dyDescent="0.25">
      <c r="A5627" s="564">
        <v>5110360053</v>
      </c>
      <c r="B5627" s="562" t="s">
        <v>8545</v>
      </c>
      <c r="C5627" s="403">
        <v>2859.3999999999996</v>
      </c>
      <c r="D5627" s="400"/>
      <c r="E5627" s="400"/>
      <c r="F5627" s="400"/>
      <c r="G5627" s="400"/>
      <c r="H5627" s="396"/>
    </row>
    <row r="5628" spans="1:8" s="401" customFormat="1" ht="14.25" customHeight="1" x14ac:dyDescent="0.25">
      <c r="A5628" s="564">
        <v>5111700010</v>
      </c>
      <c r="B5628" s="562" t="s">
        <v>8546</v>
      </c>
      <c r="C5628" s="403">
        <v>2705.12</v>
      </c>
      <c r="D5628" s="400"/>
      <c r="E5628" s="400"/>
      <c r="F5628" s="400"/>
      <c r="G5628" s="400"/>
      <c r="H5628" s="396"/>
    </row>
    <row r="5629" spans="1:8" s="401" customFormat="1" ht="14.25" customHeight="1" x14ac:dyDescent="0.25">
      <c r="A5629" s="564">
        <v>5111700011</v>
      </c>
      <c r="B5629" s="562" t="s">
        <v>8546</v>
      </c>
      <c r="C5629" s="403">
        <v>2705.12</v>
      </c>
      <c r="D5629" s="400"/>
      <c r="E5629" s="400"/>
      <c r="F5629" s="400"/>
      <c r="G5629" s="400"/>
      <c r="H5629" s="396"/>
    </row>
    <row r="5630" spans="1:8" s="401" customFormat="1" ht="14.25" customHeight="1" x14ac:dyDescent="0.25">
      <c r="A5630" s="564">
        <v>5111700012</v>
      </c>
      <c r="B5630" s="562" t="s">
        <v>8546</v>
      </c>
      <c r="C5630" s="403">
        <v>2705.12</v>
      </c>
      <c r="D5630" s="400"/>
      <c r="E5630" s="400"/>
      <c r="F5630" s="400"/>
      <c r="G5630" s="400"/>
      <c r="H5630" s="396"/>
    </row>
    <row r="5631" spans="1:8" s="401" customFormat="1" ht="14.25" customHeight="1" x14ac:dyDescent="0.25">
      <c r="A5631" s="564">
        <v>5111700013</v>
      </c>
      <c r="B5631" s="562" t="s">
        <v>8546</v>
      </c>
      <c r="C5631" s="403">
        <v>2705.12</v>
      </c>
      <c r="D5631" s="400"/>
      <c r="E5631" s="400"/>
      <c r="F5631" s="400"/>
      <c r="G5631" s="400"/>
      <c r="H5631" s="396"/>
    </row>
    <row r="5632" spans="1:8" s="401" customFormat="1" ht="14.25" customHeight="1" x14ac:dyDescent="0.25">
      <c r="A5632" s="564">
        <v>5111700014</v>
      </c>
      <c r="B5632" s="562" t="s">
        <v>8546</v>
      </c>
      <c r="C5632" s="403">
        <v>2705.12</v>
      </c>
      <c r="D5632" s="400"/>
      <c r="E5632" s="400"/>
      <c r="F5632" s="400"/>
      <c r="G5632" s="400"/>
      <c r="H5632" s="396"/>
    </row>
    <row r="5633" spans="1:8" s="401" customFormat="1" ht="14.25" customHeight="1" x14ac:dyDescent="0.25">
      <c r="A5633" s="564">
        <v>5111700015</v>
      </c>
      <c r="B5633" s="562" t="s">
        <v>8546</v>
      </c>
      <c r="C5633" s="403">
        <v>2705.12</v>
      </c>
      <c r="D5633" s="400"/>
      <c r="E5633" s="400"/>
      <c r="F5633" s="400"/>
      <c r="G5633" s="400"/>
      <c r="H5633" s="396"/>
    </row>
    <row r="5634" spans="1:8" s="401" customFormat="1" ht="14.25" customHeight="1" x14ac:dyDescent="0.25">
      <c r="A5634" s="564">
        <v>5111700016</v>
      </c>
      <c r="B5634" s="562" t="s">
        <v>8546</v>
      </c>
      <c r="C5634" s="403">
        <v>2705.12</v>
      </c>
      <c r="D5634" s="400"/>
      <c r="E5634" s="400"/>
      <c r="F5634" s="400"/>
      <c r="G5634" s="400"/>
      <c r="H5634" s="396"/>
    </row>
    <row r="5635" spans="1:8" s="401" customFormat="1" ht="14.25" customHeight="1" x14ac:dyDescent="0.25">
      <c r="A5635" s="564">
        <v>5111700017</v>
      </c>
      <c r="B5635" s="562" t="s">
        <v>8546</v>
      </c>
      <c r="C5635" s="403">
        <v>2705.12</v>
      </c>
      <c r="D5635" s="400"/>
      <c r="E5635" s="400"/>
      <c r="F5635" s="400"/>
      <c r="G5635" s="400"/>
      <c r="H5635" s="396"/>
    </row>
    <row r="5636" spans="1:8" s="401" customFormat="1" ht="14.25" customHeight="1" x14ac:dyDescent="0.25">
      <c r="A5636" s="564">
        <v>5111700018</v>
      </c>
      <c r="B5636" s="562" t="s">
        <v>8546</v>
      </c>
      <c r="C5636" s="403">
        <v>2705.12</v>
      </c>
      <c r="D5636" s="400"/>
      <c r="E5636" s="400"/>
      <c r="F5636" s="400"/>
      <c r="G5636" s="400"/>
      <c r="H5636" s="396"/>
    </row>
    <row r="5637" spans="1:8" s="401" customFormat="1" ht="14.25" customHeight="1" x14ac:dyDescent="0.25">
      <c r="A5637" s="564">
        <v>5111700019</v>
      </c>
      <c r="B5637" s="562" t="s">
        <v>8546</v>
      </c>
      <c r="C5637" s="403">
        <v>2705.12</v>
      </c>
      <c r="D5637" s="400"/>
      <c r="E5637" s="400"/>
      <c r="F5637" s="400"/>
      <c r="G5637" s="400"/>
      <c r="H5637" s="396"/>
    </row>
    <row r="5638" spans="1:8" s="401" customFormat="1" ht="14.25" customHeight="1" x14ac:dyDescent="0.25">
      <c r="A5638" s="564">
        <v>5111700020</v>
      </c>
      <c r="B5638" s="562" t="s">
        <v>8546</v>
      </c>
      <c r="C5638" s="403">
        <v>2705.12</v>
      </c>
      <c r="D5638" s="400"/>
      <c r="E5638" s="400"/>
      <c r="F5638" s="400"/>
      <c r="G5638" s="400"/>
      <c r="H5638" s="396"/>
    </row>
    <row r="5639" spans="1:8" s="401" customFormat="1" ht="14.25" customHeight="1" x14ac:dyDescent="0.25">
      <c r="A5639" s="564">
        <v>5111700009</v>
      </c>
      <c r="B5639" s="562" t="s">
        <v>8546</v>
      </c>
      <c r="C5639" s="403">
        <v>2705.12</v>
      </c>
      <c r="D5639" s="400"/>
      <c r="E5639" s="400"/>
      <c r="F5639" s="400"/>
      <c r="G5639" s="400"/>
      <c r="H5639" s="396"/>
    </row>
    <row r="5640" spans="1:8" s="401" customFormat="1" ht="14.25" customHeight="1" x14ac:dyDescent="0.25">
      <c r="A5640" s="564" t="s">
        <v>8445</v>
      </c>
      <c r="B5640" s="562" t="s">
        <v>8547</v>
      </c>
      <c r="C5640" s="403">
        <v>948.90000000000009</v>
      </c>
      <c r="D5640" s="400"/>
      <c r="E5640" s="400"/>
      <c r="F5640" s="400"/>
      <c r="G5640" s="400"/>
      <c r="H5640" s="396"/>
    </row>
    <row r="5641" spans="1:8" s="401" customFormat="1" ht="14.25" customHeight="1" x14ac:dyDescent="0.25">
      <c r="A5641" s="564">
        <v>5112160001</v>
      </c>
      <c r="B5641" s="562" t="s">
        <v>8303</v>
      </c>
      <c r="C5641" s="403">
        <v>10428.885</v>
      </c>
      <c r="D5641" s="400"/>
      <c r="E5641" s="400"/>
      <c r="F5641" s="400"/>
      <c r="G5641" s="400"/>
      <c r="H5641" s="396"/>
    </row>
    <row r="5642" spans="1:8" s="401" customFormat="1" ht="14.25" customHeight="1" x14ac:dyDescent="0.25">
      <c r="A5642" s="564">
        <v>5112160002</v>
      </c>
      <c r="B5642" s="562" t="s">
        <v>8303</v>
      </c>
      <c r="C5642" s="403">
        <v>10428.885</v>
      </c>
      <c r="D5642" s="400"/>
      <c r="E5642" s="400"/>
      <c r="F5642" s="400"/>
      <c r="G5642" s="400"/>
      <c r="H5642" s="396"/>
    </row>
    <row r="5643" spans="1:8" s="401" customFormat="1" ht="14.25" customHeight="1" x14ac:dyDescent="0.25">
      <c r="A5643" s="564" t="s">
        <v>8509</v>
      </c>
      <c r="B5643" s="562" t="s">
        <v>8548</v>
      </c>
      <c r="C5643" s="403">
        <v>899.77500000000009</v>
      </c>
      <c r="D5643" s="400"/>
      <c r="E5643" s="400"/>
      <c r="F5643" s="400"/>
      <c r="G5643" s="400"/>
      <c r="H5643" s="396"/>
    </row>
    <row r="5644" spans="1:8" s="401" customFormat="1" ht="14.25" customHeight="1" x14ac:dyDescent="0.25">
      <c r="A5644" s="564" t="s">
        <v>8455</v>
      </c>
      <c r="B5644" s="562" t="s">
        <v>8549</v>
      </c>
      <c r="C5644" s="403">
        <v>8114.5025000000005</v>
      </c>
      <c r="D5644" s="400"/>
      <c r="E5644" s="400"/>
      <c r="F5644" s="400"/>
      <c r="G5644" s="400"/>
      <c r="H5644" s="396"/>
    </row>
    <row r="5645" spans="1:8" s="401" customFormat="1" ht="14.25" customHeight="1" x14ac:dyDescent="0.25">
      <c r="A5645" s="564" t="s">
        <v>8455</v>
      </c>
      <c r="B5645" s="562" t="s">
        <v>8549</v>
      </c>
      <c r="C5645" s="403">
        <v>8114.5025000000005</v>
      </c>
      <c r="D5645" s="400"/>
      <c r="E5645" s="400"/>
      <c r="F5645" s="400"/>
      <c r="G5645" s="400"/>
      <c r="H5645" s="396"/>
    </row>
    <row r="5646" spans="1:8" s="401" customFormat="1" ht="14.25" customHeight="1" x14ac:dyDescent="0.25">
      <c r="A5646" s="564" t="s">
        <v>8442</v>
      </c>
      <c r="B5646" s="562" t="s">
        <v>8550</v>
      </c>
      <c r="C5646" s="403">
        <v>1</v>
      </c>
      <c r="D5646" s="400"/>
      <c r="E5646" s="400"/>
      <c r="F5646" s="400"/>
      <c r="G5646" s="400"/>
      <c r="H5646" s="396"/>
    </row>
    <row r="5647" spans="1:8" s="401" customFormat="1" ht="14.25" customHeight="1" x14ac:dyDescent="0.25">
      <c r="A5647" s="564">
        <v>5151170015</v>
      </c>
      <c r="B5647" s="562" t="s">
        <v>8551</v>
      </c>
      <c r="C5647" s="403">
        <v>9570</v>
      </c>
      <c r="D5647" s="400"/>
      <c r="E5647" s="400"/>
      <c r="F5647" s="400"/>
      <c r="G5647" s="400"/>
      <c r="H5647" s="396"/>
    </row>
    <row r="5648" spans="1:8" s="401" customFormat="1" ht="14.25" customHeight="1" x14ac:dyDescent="0.25">
      <c r="A5648" s="564">
        <v>5150710005</v>
      </c>
      <c r="B5648" s="562" t="s">
        <v>892</v>
      </c>
      <c r="C5648" s="403">
        <v>5220</v>
      </c>
      <c r="D5648" s="400"/>
      <c r="E5648" s="400"/>
      <c r="F5648" s="400"/>
      <c r="G5648" s="400"/>
      <c r="H5648" s="396"/>
    </row>
    <row r="5649" spans="1:8" s="401" customFormat="1" ht="14.25" customHeight="1" x14ac:dyDescent="0.25">
      <c r="A5649" s="564">
        <v>5151170014</v>
      </c>
      <c r="B5649" s="562" t="s">
        <v>892</v>
      </c>
      <c r="C5649" s="403">
        <v>1693.6</v>
      </c>
      <c r="D5649" s="400"/>
      <c r="E5649" s="400"/>
      <c r="F5649" s="400"/>
      <c r="G5649" s="400"/>
      <c r="H5649" s="396"/>
    </row>
    <row r="5650" spans="1:8" s="401" customFormat="1" ht="14.25" customHeight="1" x14ac:dyDescent="0.25">
      <c r="A5650" s="564" t="s">
        <v>8437</v>
      </c>
      <c r="B5650" s="562" t="s">
        <v>892</v>
      </c>
      <c r="C5650" s="403">
        <v>1</v>
      </c>
      <c r="D5650" s="400"/>
      <c r="E5650" s="400"/>
      <c r="F5650" s="400"/>
      <c r="G5650" s="400"/>
      <c r="H5650" s="396"/>
    </row>
    <row r="5651" spans="1:8" s="401" customFormat="1" ht="14.25" customHeight="1" x14ac:dyDescent="0.25">
      <c r="A5651" s="564">
        <v>5151170010</v>
      </c>
      <c r="B5651" s="562" t="s">
        <v>892</v>
      </c>
      <c r="C5651" s="403">
        <v>4255.46</v>
      </c>
      <c r="D5651" s="400"/>
      <c r="E5651" s="400"/>
      <c r="F5651" s="400"/>
      <c r="G5651" s="400"/>
      <c r="H5651" s="396"/>
    </row>
    <row r="5652" spans="1:8" s="401" customFormat="1" ht="14.25" customHeight="1" x14ac:dyDescent="0.25">
      <c r="A5652" s="564" t="s">
        <v>8435</v>
      </c>
      <c r="B5652" s="562" t="s">
        <v>892</v>
      </c>
      <c r="C5652" s="403">
        <v>1</v>
      </c>
      <c r="D5652" s="400"/>
      <c r="E5652" s="400"/>
      <c r="F5652" s="400"/>
      <c r="G5652" s="400"/>
      <c r="H5652" s="396"/>
    </row>
    <row r="5653" spans="1:8" s="401" customFormat="1" ht="14.25" customHeight="1" x14ac:dyDescent="0.25">
      <c r="A5653" s="564">
        <v>5150710006</v>
      </c>
      <c r="B5653" s="562" t="s">
        <v>892</v>
      </c>
      <c r="C5653" s="403">
        <v>8108.4</v>
      </c>
      <c r="D5653" s="400"/>
      <c r="E5653" s="400"/>
      <c r="F5653" s="400"/>
      <c r="G5653" s="400"/>
      <c r="H5653" s="396"/>
    </row>
    <row r="5654" spans="1:8" s="401" customFormat="1" ht="14.25" customHeight="1" x14ac:dyDescent="0.25">
      <c r="A5654" s="564" t="s">
        <v>8436</v>
      </c>
      <c r="B5654" s="562" t="s">
        <v>892</v>
      </c>
      <c r="C5654" s="403">
        <v>1</v>
      </c>
      <c r="D5654" s="400"/>
      <c r="E5654" s="400"/>
      <c r="F5654" s="400"/>
      <c r="G5654" s="400"/>
      <c r="H5654" s="396"/>
    </row>
    <row r="5655" spans="1:8" s="401" customFormat="1" ht="14.25" customHeight="1" x14ac:dyDescent="0.25">
      <c r="A5655" s="564">
        <v>5151400001</v>
      </c>
      <c r="B5655" s="562" t="s">
        <v>892</v>
      </c>
      <c r="C5655" s="403">
        <v>5394</v>
      </c>
      <c r="D5655" s="400"/>
      <c r="E5655" s="400"/>
      <c r="F5655" s="400"/>
      <c r="G5655" s="400"/>
      <c r="H5655" s="396"/>
    </row>
    <row r="5656" spans="1:8" s="401" customFormat="1" ht="14.25" customHeight="1" x14ac:dyDescent="0.25">
      <c r="A5656" s="564">
        <v>5150710004</v>
      </c>
      <c r="B5656" s="562" t="s">
        <v>892</v>
      </c>
      <c r="C5656" s="403">
        <v>8700</v>
      </c>
      <c r="D5656" s="400"/>
      <c r="E5656" s="400"/>
      <c r="F5656" s="400"/>
      <c r="G5656" s="400"/>
      <c r="H5656" s="396"/>
    </row>
    <row r="5657" spans="1:8" s="401" customFormat="1" ht="14.25" customHeight="1" x14ac:dyDescent="0.25">
      <c r="A5657" s="564">
        <v>5151170013</v>
      </c>
      <c r="B5657" s="562" t="s">
        <v>892</v>
      </c>
      <c r="C5657" s="403">
        <v>5742</v>
      </c>
      <c r="D5657" s="400"/>
      <c r="E5657" s="400"/>
      <c r="F5657" s="400"/>
      <c r="G5657" s="400"/>
      <c r="H5657" s="396"/>
    </row>
    <row r="5658" spans="1:8" s="401" customFormat="1" ht="14.25" customHeight="1" x14ac:dyDescent="0.25">
      <c r="A5658" s="564">
        <v>5150890696</v>
      </c>
      <c r="B5658" s="562" t="s">
        <v>892</v>
      </c>
      <c r="C5658" s="403">
        <v>7250</v>
      </c>
      <c r="D5658" s="400"/>
      <c r="E5658" s="400"/>
      <c r="F5658" s="400"/>
      <c r="G5658" s="400"/>
      <c r="H5658" s="396"/>
    </row>
    <row r="5659" spans="1:8" s="401" customFormat="1" ht="14.25" customHeight="1" x14ac:dyDescent="0.25">
      <c r="A5659" s="564" t="s">
        <v>8492</v>
      </c>
      <c r="B5659" s="562" t="s">
        <v>8552</v>
      </c>
      <c r="C5659" s="403">
        <v>377.69737499999997</v>
      </c>
      <c r="D5659" s="400"/>
      <c r="E5659" s="400"/>
      <c r="F5659" s="400"/>
      <c r="G5659" s="400"/>
      <c r="H5659" s="396"/>
    </row>
    <row r="5660" spans="1:8" s="401" customFormat="1" ht="14.25" customHeight="1" x14ac:dyDescent="0.25">
      <c r="A5660" s="564" t="s">
        <v>8492</v>
      </c>
      <c r="B5660" s="562" t="s">
        <v>8552</v>
      </c>
      <c r="C5660" s="403">
        <v>377.69737499999997</v>
      </c>
      <c r="D5660" s="400"/>
      <c r="E5660" s="400"/>
      <c r="F5660" s="400"/>
      <c r="G5660" s="400"/>
      <c r="H5660" s="396"/>
    </row>
    <row r="5661" spans="1:8" s="401" customFormat="1" ht="14.25" customHeight="1" x14ac:dyDescent="0.25">
      <c r="A5661" s="564" t="s">
        <v>8492</v>
      </c>
      <c r="B5661" s="562" t="s">
        <v>8552</v>
      </c>
      <c r="C5661" s="403">
        <v>377.69737499999997</v>
      </c>
      <c r="D5661" s="400"/>
      <c r="E5661" s="400"/>
      <c r="F5661" s="400"/>
      <c r="G5661" s="400"/>
      <c r="H5661" s="396"/>
    </row>
    <row r="5662" spans="1:8" s="401" customFormat="1" ht="14.25" customHeight="1" x14ac:dyDescent="0.25">
      <c r="A5662" s="564" t="s">
        <v>8492</v>
      </c>
      <c r="B5662" s="562" t="s">
        <v>8552</v>
      </c>
      <c r="C5662" s="403">
        <v>377.69737499999997</v>
      </c>
      <c r="D5662" s="400"/>
      <c r="E5662" s="400"/>
      <c r="F5662" s="400"/>
      <c r="G5662" s="400"/>
      <c r="H5662" s="396"/>
    </row>
    <row r="5663" spans="1:8" s="401" customFormat="1" ht="14.25" customHeight="1" x14ac:dyDescent="0.25">
      <c r="A5663" s="564" t="s">
        <v>8492</v>
      </c>
      <c r="B5663" s="562" t="s">
        <v>8552</v>
      </c>
      <c r="C5663" s="403">
        <v>377.69737499999997</v>
      </c>
      <c r="D5663" s="400"/>
      <c r="E5663" s="400"/>
      <c r="F5663" s="400"/>
      <c r="G5663" s="400"/>
      <c r="H5663" s="396"/>
    </row>
    <row r="5664" spans="1:8" s="401" customFormat="1" ht="14.25" customHeight="1" x14ac:dyDescent="0.25">
      <c r="A5664" s="564" t="s">
        <v>8492</v>
      </c>
      <c r="B5664" s="562" t="s">
        <v>8552</v>
      </c>
      <c r="C5664" s="403">
        <v>377.69737499999997</v>
      </c>
      <c r="D5664" s="400"/>
      <c r="E5664" s="400"/>
      <c r="F5664" s="400"/>
      <c r="G5664" s="400"/>
      <c r="H5664" s="396"/>
    </row>
    <row r="5665" spans="1:8" s="401" customFormat="1" ht="14.25" customHeight="1" x14ac:dyDescent="0.25">
      <c r="A5665" s="564" t="s">
        <v>8492</v>
      </c>
      <c r="B5665" s="562" t="s">
        <v>8552</v>
      </c>
      <c r="C5665" s="403">
        <v>377.69737499999997</v>
      </c>
      <c r="D5665" s="400"/>
      <c r="E5665" s="400"/>
      <c r="F5665" s="400"/>
      <c r="G5665" s="400"/>
      <c r="H5665" s="396"/>
    </row>
    <row r="5666" spans="1:8" s="401" customFormat="1" ht="14.25" customHeight="1" x14ac:dyDescent="0.25">
      <c r="A5666" s="564" t="s">
        <v>8492</v>
      </c>
      <c r="B5666" s="562" t="s">
        <v>8552</v>
      </c>
      <c r="C5666" s="403">
        <v>377.69737499999997</v>
      </c>
      <c r="D5666" s="400"/>
      <c r="E5666" s="400"/>
      <c r="F5666" s="400"/>
      <c r="G5666" s="400"/>
      <c r="H5666" s="396"/>
    </row>
    <row r="5667" spans="1:8" s="401" customFormat="1" ht="14.25" customHeight="1" x14ac:dyDescent="0.25">
      <c r="A5667" s="564">
        <v>5150120004</v>
      </c>
      <c r="B5667" s="562" t="s">
        <v>2360</v>
      </c>
      <c r="C5667" s="403">
        <v>11252</v>
      </c>
      <c r="D5667" s="400"/>
      <c r="E5667" s="400"/>
      <c r="F5667" s="400"/>
      <c r="G5667" s="400"/>
      <c r="H5667" s="396"/>
    </row>
    <row r="5668" spans="1:8" s="401" customFormat="1" ht="14.25" customHeight="1" x14ac:dyDescent="0.25">
      <c r="A5668" s="564" t="s">
        <v>8454</v>
      </c>
      <c r="B5668" s="562" t="s">
        <v>2360</v>
      </c>
      <c r="C5668" s="403">
        <v>1</v>
      </c>
      <c r="D5668" s="400"/>
      <c r="E5668" s="400"/>
      <c r="F5668" s="400"/>
      <c r="G5668" s="400"/>
      <c r="H5668" s="396"/>
    </row>
    <row r="5669" spans="1:8" s="401" customFormat="1" ht="14.25" customHeight="1" x14ac:dyDescent="0.25">
      <c r="A5669" s="564" t="s">
        <v>8494</v>
      </c>
      <c r="B5669" s="562" t="s">
        <v>788</v>
      </c>
      <c r="C5669" s="403">
        <v>702.76499999999987</v>
      </c>
      <c r="D5669" s="400"/>
      <c r="E5669" s="400"/>
      <c r="F5669" s="400"/>
      <c r="G5669" s="400"/>
      <c r="H5669" s="396"/>
    </row>
    <row r="5670" spans="1:8" s="401" customFormat="1" ht="14.25" customHeight="1" x14ac:dyDescent="0.25">
      <c r="A5670" s="564">
        <v>5110480003</v>
      </c>
      <c r="B5670" s="562" t="s">
        <v>788</v>
      </c>
      <c r="C5670" s="403">
        <v>6260.5199999999995</v>
      </c>
      <c r="D5670" s="400"/>
      <c r="E5670" s="400"/>
      <c r="F5670" s="400"/>
      <c r="G5670" s="400"/>
      <c r="H5670" s="396"/>
    </row>
    <row r="5671" spans="1:8" s="401" customFormat="1" ht="14.25" customHeight="1" x14ac:dyDescent="0.25">
      <c r="A5671" s="564">
        <v>5110480004</v>
      </c>
      <c r="B5671" s="562" t="s">
        <v>788</v>
      </c>
      <c r="C5671" s="403">
        <v>6260.5199999999995</v>
      </c>
      <c r="D5671" s="400"/>
      <c r="E5671" s="400"/>
      <c r="F5671" s="400"/>
      <c r="G5671" s="400"/>
      <c r="H5671" s="396"/>
    </row>
    <row r="5672" spans="1:8" s="401" customFormat="1" ht="14.25" customHeight="1" x14ac:dyDescent="0.25">
      <c r="A5672" s="564" t="s">
        <v>8498</v>
      </c>
      <c r="B5672" s="562" t="s">
        <v>788</v>
      </c>
      <c r="C5672" s="403">
        <v>488.93399999999997</v>
      </c>
      <c r="D5672" s="400"/>
      <c r="E5672" s="400"/>
      <c r="F5672" s="400"/>
      <c r="G5672" s="400"/>
      <c r="H5672" s="396"/>
    </row>
    <row r="5673" spans="1:8" s="401" customFormat="1" ht="14.25" customHeight="1" x14ac:dyDescent="0.25">
      <c r="A5673" s="564">
        <v>5111870002</v>
      </c>
      <c r="B5673" s="562" t="s">
        <v>869</v>
      </c>
      <c r="C5673" s="403">
        <v>5989.9966666666669</v>
      </c>
      <c r="D5673" s="400"/>
      <c r="E5673" s="400"/>
      <c r="F5673" s="400"/>
      <c r="G5673" s="400"/>
      <c r="H5673" s="396"/>
    </row>
    <row r="5674" spans="1:8" s="401" customFormat="1" ht="14.25" customHeight="1" x14ac:dyDescent="0.25">
      <c r="A5674" s="564">
        <v>5111870003</v>
      </c>
      <c r="B5674" s="562" t="s">
        <v>869</v>
      </c>
      <c r="C5674" s="403">
        <v>5989.9966666666669</v>
      </c>
      <c r="D5674" s="400"/>
      <c r="E5674" s="400"/>
      <c r="F5674" s="400"/>
      <c r="G5674" s="400"/>
      <c r="H5674" s="396"/>
    </row>
    <row r="5675" spans="1:8" s="401" customFormat="1" ht="14.25" customHeight="1" x14ac:dyDescent="0.25">
      <c r="A5675" s="564">
        <v>5111870004</v>
      </c>
      <c r="B5675" s="562" t="s">
        <v>869</v>
      </c>
      <c r="C5675" s="403">
        <v>5989.9966666666669</v>
      </c>
      <c r="D5675" s="400"/>
      <c r="E5675" s="400"/>
      <c r="F5675" s="400"/>
      <c r="G5675" s="400"/>
      <c r="H5675" s="396"/>
    </row>
    <row r="5676" spans="1:8" s="401" customFormat="1" ht="14.25" customHeight="1" x14ac:dyDescent="0.25">
      <c r="A5676" s="564">
        <v>5111870005</v>
      </c>
      <c r="B5676" s="562" t="s">
        <v>869</v>
      </c>
      <c r="C5676" s="403">
        <v>5989.9966666666669</v>
      </c>
      <c r="D5676" s="400"/>
      <c r="E5676" s="400"/>
      <c r="F5676" s="400"/>
      <c r="G5676" s="400"/>
      <c r="H5676" s="396"/>
    </row>
    <row r="5677" spans="1:8" s="401" customFormat="1" ht="14.25" customHeight="1" x14ac:dyDescent="0.25">
      <c r="A5677" s="564">
        <v>5111870006</v>
      </c>
      <c r="B5677" s="562" t="s">
        <v>869</v>
      </c>
      <c r="C5677" s="403">
        <v>5989.9966666666669</v>
      </c>
      <c r="D5677" s="400"/>
      <c r="E5677" s="400"/>
      <c r="F5677" s="400"/>
      <c r="G5677" s="400"/>
      <c r="H5677" s="396"/>
    </row>
    <row r="5678" spans="1:8" s="401" customFormat="1" ht="14.25" customHeight="1" x14ac:dyDescent="0.25">
      <c r="A5678" s="564">
        <v>5111870007</v>
      </c>
      <c r="B5678" s="562" t="s">
        <v>869</v>
      </c>
      <c r="C5678" s="403">
        <v>5989.9966666666669</v>
      </c>
      <c r="D5678" s="400"/>
      <c r="E5678" s="400"/>
      <c r="F5678" s="400"/>
      <c r="G5678" s="400"/>
      <c r="H5678" s="396"/>
    </row>
    <row r="5679" spans="1:8" s="401" customFormat="1" ht="14.25" customHeight="1" x14ac:dyDescent="0.25">
      <c r="A5679" s="564">
        <v>5111870009</v>
      </c>
      <c r="B5679" s="562" t="s">
        <v>869</v>
      </c>
      <c r="C5679" s="403">
        <v>4569.0066666666671</v>
      </c>
      <c r="D5679" s="400"/>
      <c r="E5679" s="400"/>
      <c r="F5679" s="400"/>
      <c r="G5679" s="400"/>
      <c r="H5679" s="396"/>
    </row>
    <row r="5680" spans="1:8" s="401" customFormat="1" ht="14.25" customHeight="1" x14ac:dyDescent="0.25">
      <c r="A5680" s="564">
        <v>5111870010</v>
      </c>
      <c r="B5680" s="562" t="s">
        <v>869</v>
      </c>
      <c r="C5680" s="403">
        <v>4569.0066666666671</v>
      </c>
      <c r="D5680" s="400"/>
      <c r="E5680" s="400"/>
      <c r="F5680" s="400"/>
      <c r="G5680" s="400"/>
      <c r="H5680" s="396"/>
    </row>
    <row r="5681" spans="1:8" s="401" customFormat="1" ht="14.25" customHeight="1" x14ac:dyDescent="0.25">
      <c r="A5681" s="564">
        <v>5111870008</v>
      </c>
      <c r="B5681" s="562" t="s">
        <v>869</v>
      </c>
      <c r="C5681" s="403">
        <v>4569.0066666666671</v>
      </c>
      <c r="D5681" s="400"/>
      <c r="E5681" s="400"/>
      <c r="F5681" s="400"/>
      <c r="G5681" s="400"/>
      <c r="H5681" s="396"/>
    </row>
    <row r="5682" spans="1:8" s="401" customFormat="1" ht="14.25" customHeight="1" x14ac:dyDescent="0.25">
      <c r="A5682" s="564" t="s">
        <v>8489</v>
      </c>
      <c r="B5682" s="562" t="s">
        <v>8523</v>
      </c>
      <c r="C5682" s="403">
        <v>404.47799999999984</v>
      </c>
      <c r="D5682" s="400"/>
      <c r="E5682" s="400"/>
      <c r="F5682" s="400"/>
      <c r="G5682" s="400"/>
      <c r="H5682" s="396"/>
    </row>
    <row r="5683" spans="1:8" s="401" customFormat="1" ht="14.25" customHeight="1" x14ac:dyDescent="0.25">
      <c r="A5683" s="564" t="s">
        <v>8489</v>
      </c>
      <c r="B5683" s="562" t="s">
        <v>8523</v>
      </c>
      <c r="C5683" s="403">
        <v>404.47799999999984</v>
      </c>
      <c r="D5683" s="400"/>
      <c r="E5683" s="400"/>
      <c r="F5683" s="400"/>
      <c r="G5683" s="400"/>
      <c r="H5683" s="396"/>
    </row>
    <row r="5684" spans="1:8" s="401" customFormat="1" ht="14.25" customHeight="1" x14ac:dyDescent="0.25">
      <c r="A5684" s="564" t="s">
        <v>8489</v>
      </c>
      <c r="B5684" s="562" t="s">
        <v>8523</v>
      </c>
      <c r="C5684" s="403">
        <v>404.47799999999984</v>
      </c>
      <c r="D5684" s="400"/>
      <c r="E5684" s="400"/>
      <c r="F5684" s="400"/>
      <c r="G5684" s="400"/>
      <c r="H5684" s="396"/>
    </row>
    <row r="5685" spans="1:8" s="401" customFormat="1" ht="14.25" customHeight="1" x14ac:dyDescent="0.25">
      <c r="A5685" s="564" t="s">
        <v>8489</v>
      </c>
      <c r="B5685" s="562" t="s">
        <v>8523</v>
      </c>
      <c r="C5685" s="403">
        <v>404.47799999999984</v>
      </c>
      <c r="D5685" s="400"/>
      <c r="E5685" s="400"/>
      <c r="F5685" s="400"/>
      <c r="G5685" s="400"/>
      <c r="H5685" s="396"/>
    </row>
    <row r="5686" spans="1:8" s="401" customFormat="1" ht="14.25" customHeight="1" x14ac:dyDescent="0.25">
      <c r="A5686" s="564" t="s">
        <v>8489</v>
      </c>
      <c r="B5686" s="562" t="s">
        <v>8523</v>
      </c>
      <c r="C5686" s="403">
        <v>404.47799999999984</v>
      </c>
      <c r="D5686" s="400"/>
      <c r="E5686" s="400"/>
      <c r="F5686" s="400"/>
      <c r="G5686" s="400"/>
      <c r="H5686" s="396"/>
    </row>
    <row r="5687" spans="1:8" s="401" customFormat="1" ht="14.25" customHeight="1" x14ac:dyDescent="0.25">
      <c r="A5687" s="564" t="s">
        <v>8490</v>
      </c>
      <c r="B5687" s="562" t="s">
        <v>8523</v>
      </c>
      <c r="C5687" s="403">
        <v>563.75399999999991</v>
      </c>
      <c r="D5687" s="400"/>
      <c r="E5687" s="400"/>
      <c r="F5687" s="400"/>
      <c r="G5687" s="400"/>
      <c r="H5687" s="396"/>
    </row>
    <row r="5688" spans="1:8" s="401" customFormat="1" ht="14.25" customHeight="1" x14ac:dyDescent="0.25">
      <c r="A5688" s="564" t="s">
        <v>8490</v>
      </c>
      <c r="B5688" s="562" t="s">
        <v>8523</v>
      </c>
      <c r="C5688" s="403">
        <v>563.75399999999991</v>
      </c>
      <c r="D5688" s="400"/>
      <c r="E5688" s="400"/>
      <c r="F5688" s="400"/>
      <c r="G5688" s="400"/>
      <c r="H5688" s="396"/>
    </row>
    <row r="5689" spans="1:8" s="401" customFormat="1" ht="14.25" customHeight="1" x14ac:dyDescent="0.25">
      <c r="A5689" s="564" t="s">
        <v>8490</v>
      </c>
      <c r="B5689" s="562" t="s">
        <v>8523</v>
      </c>
      <c r="C5689" s="403">
        <v>563.75399999999991</v>
      </c>
      <c r="D5689" s="400"/>
      <c r="E5689" s="400"/>
      <c r="F5689" s="400"/>
      <c r="G5689" s="400"/>
      <c r="H5689" s="396"/>
    </row>
    <row r="5690" spans="1:8" s="401" customFormat="1" ht="14.25" customHeight="1" x14ac:dyDescent="0.25">
      <c r="A5690" s="564" t="s">
        <v>8490</v>
      </c>
      <c r="B5690" s="562" t="s">
        <v>8523</v>
      </c>
      <c r="C5690" s="403">
        <v>563.75399999999991</v>
      </c>
      <c r="D5690" s="400"/>
      <c r="E5690" s="400"/>
      <c r="F5690" s="400"/>
      <c r="G5690" s="400"/>
      <c r="H5690" s="396"/>
    </row>
    <row r="5691" spans="1:8" s="401" customFormat="1" ht="14.25" customHeight="1" x14ac:dyDescent="0.25">
      <c r="A5691" s="564" t="s">
        <v>8490</v>
      </c>
      <c r="B5691" s="562" t="s">
        <v>8523</v>
      </c>
      <c r="C5691" s="403">
        <v>563.75399999999991</v>
      </c>
      <c r="D5691" s="400"/>
      <c r="E5691" s="400"/>
      <c r="F5691" s="400"/>
      <c r="G5691" s="400"/>
      <c r="H5691" s="396"/>
    </row>
    <row r="5692" spans="1:8" s="401" customFormat="1" ht="14.25" customHeight="1" x14ac:dyDescent="0.25">
      <c r="A5692" s="564" t="s">
        <v>8488</v>
      </c>
      <c r="B5692" s="562" t="s">
        <v>8523</v>
      </c>
      <c r="C5692" s="403">
        <v>542.27999999999975</v>
      </c>
      <c r="D5692" s="400"/>
      <c r="E5692" s="400"/>
      <c r="F5692" s="400"/>
      <c r="G5692" s="400"/>
      <c r="H5692" s="396"/>
    </row>
    <row r="5693" spans="1:8" s="401" customFormat="1" ht="14.25" customHeight="1" x14ac:dyDescent="0.25">
      <c r="A5693" s="564" t="s">
        <v>8488</v>
      </c>
      <c r="B5693" s="562" t="s">
        <v>8523</v>
      </c>
      <c r="C5693" s="403">
        <v>542.27999999999975</v>
      </c>
      <c r="D5693" s="400"/>
      <c r="E5693" s="400"/>
      <c r="F5693" s="400"/>
      <c r="G5693" s="400"/>
      <c r="H5693" s="396"/>
    </row>
    <row r="5694" spans="1:8" s="401" customFormat="1" ht="14.25" customHeight="1" x14ac:dyDescent="0.25">
      <c r="A5694" s="564" t="s">
        <v>8488</v>
      </c>
      <c r="B5694" s="562" t="s">
        <v>8523</v>
      </c>
      <c r="C5694" s="403">
        <v>542.27999999999975</v>
      </c>
      <c r="D5694" s="400"/>
      <c r="E5694" s="400"/>
      <c r="F5694" s="400"/>
      <c r="G5694" s="400"/>
      <c r="H5694" s="396"/>
    </row>
    <row r="5695" spans="1:8" s="401" customFormat="1" ht="14.25" customHeight="1" x14ac:dyDescent="0.25">
      <c r="A5695" s="564" t="s">
        <v>8488</v>
      </c>
      <c r="B5695" s="562" t="s">
        <v>8523</v>
      </c>
      <c r="C5695" s="403">
        <v>542.27999999999975</v>
      </c>
      <c r="D5695" s="400"/>
      <c r="E5695" s="400"/>
      <c r="F5695" s="400"/>
      <c r="G5695" s="400"/>
      <c r="H5695" s="396"/>
    </row>
    <row r="5696" spans="1:8" s="401" customFormat="1" ht="14.25" customHeight="1" x14ac:dyDescent="0.25">
      <c r="A5696" s="564" t="s">
        <v>8488</v>
      </c>
      <c r="B5696" s="562" t="s">
        <v>8523</v>
      </c>
      <c r="C5696" s="403">
        <v>542.27999999999975</v>
      </c>
      <c r="D5696" s="400"/>
      <c r="E5696" s="400"/>
      <c r="F5696" s="400"/>
      <c r="G5696" s="400"/>
      <c r="H5696" s="396"/>
    </row>
    <row r="5697" spans="1:8" s="401" customFormat="1" ht="14.25" customHeight="1" x14ac:dyDescent="0.25">
      <c r="A5697" s="564" t="s">
        <v>8488</v>
      </c>
      <c r="B5697" s="562" t="s">
        <v>8523</v>
      </c>
      <c r="C5697" s="403">
        <v>542.27999999999975</v>
      </c>
      <c r="D5697" s="400"/>
      <c r="E5697" s="400"/>
      <c r="F5697" s="400"/>
      <c r="G5697" s="400"/>
      <c r="H5697" s="396"/>
    </row>
    <row r="5698" spans="1:8" s="401" customFormat="1" ht="14.25" customHeight="1" x14ac:dyDescent="0.25">
      <c r="A5698" s="564" t="s">
        <v>8488</v>
      </c>
      <c r="B5698" s="562" t="s">
        <v>8523</v>
      </c>
      <c r="C5698" s="403">
        <v>542.27999999999975</v>
      </c>
      <c r="D5698" s="400"/>
      <c r="E5698" s="400"/>
      <c r="F5698" s="400"/>
      <c r="G5698" s="400"/>
      <c r="H5698" s="396"/>
    </row>
    <row r="5699" spans="1:8" s="401" customFormat="1" ht="14.25" customHeight="1" x14ac:dyDescent="0.25">
      <c r="A5699" s="564" t="s">
        <v>8488</v>
      </c>
      <c r="B5699" s="562" t="s">
        <v>8523</v>
      </c>
      <c r="C5699" s="403">
        <v>542.27999999999975</v>
      </c>
      <c r="D5699" s="400"/>
      <c r="E5699" s="400"/>
      <c r="F5699" s="400"/>
      <c r="G5699" s="400"/>
      <c r="H5699" s="396"/>
    </row>
    <row r="5700" spans="1:8" s="401" customFormat="1" ht="14.25" customHeight="1" x14ac:dyDescent="0.25">
      <c r="A5700" s="564" t="s">
        <v>8488</v>
      </c>
      <c r="B5700" s="562" t="s">
        <v>8523</v>
      </c>
      <c r="C5700" s="403">
        <v>542.27999999999975</v>
      </c>
      <c r="D5700" s="400"/>
      <c r="E5700" s="400"/>
      <c r="F5700" s="400"/>
      <c r="G5700" s="400"/>
      <c r="H5700" s="396"/>
    </row>
    <row r="5701" spans="1:8" s="401" customFormat="1" ht="14.25" customHeight="1" x14ac:dyDescent="0.25">
      <c r="A5701" s="564" t="s">
        <v>8488</v>
      </c>
      <c r="B5701" s="562" t="s">
        <v>8523</v>
      </c>
      <c r="C5701" s="403">
        <v>542.27999999999975</v>
      </c>
      <c r="D5701" s="400"/>
      <c r="E5701" s="400"/>
      <c r="F5701" s="400"/>
      <c r="G5701" s="400"/>
      <c r="H5701" s="396"/>
    </row>
    <row r="5702" spans="1:8" s="401" customFormat="1" ht="14.25" customHeight="1" x14ac:dyDescent="0.25">
      <c r="A5702" s="564">
        <v>5111590003</v>
      </c>
      <c r="B5702" s="562" t="s">
        <v>8553</v>
      </c>
      <c r="C5702" s="403">
        <v>342200</v>
      </c>
      <c r="D5702" s="400"/>
      <c r="E5702" s="400"/>
      <c r="F5702" s="400"/>
      <c r="G5702" s="400"/>
      <c r="H5702" s="396"/>
    </row>
    <row r="5703" spans="1:8" s="401" customFormat="1" ht="14.25" customHeight="1" x14ac:dyDescent="0.25">
      <c r="A5703" s="564">
        <v>5110020001</v>
      </c>
      <c r="B5703" s="562" t="s">
        <v>8554</v>
      </c>
      <c r="C5703" s="403">
        <v>6150.11</v>
      </c>
      <c r="D5703" s="400"/>
      <c r="E5703" s="400"/>
      <c r="F5703" s="400"/>
      <c r="G5703" s="400"/>
      <c r="H5703" s="396"/>
    </row>
    <row r="5704" spans="1:8" s="401" customFormat="1" ht="14.25" customHeight="1" x14ac:dyDescent="0.25">
      <c r="A5704" s="564">
        <v>5110020002</v>
      </c>
      <c r="B5704" s="562" t="s">
        <v>8554</v>
      </c>
      <c r="C5704" s="403">
        <v>6150.11</v>
      </c>
      <c r="D5704" s="400"/>
      <c r="E5704" s="400"/>
      <c r="F5704" s="400"/>
      <c r="G5704" s="400"/>
      <c r="H5704" s="396"/>
    </row>
    <row r="5705" spans="1:8" s="401" customFormat="1" ht="14.25" customHeight="1" x14ac:dyDescent="0.25">
      <c r="A5705" s="564">
        <v>5110020003</v>
      </c>
      <c r="B5705" s="562" t="s">
        <v>8554</v>
      </c>
      <c r="C5705" s="403">
        <v>6150.11</v>
      </c>
      <c r="D5705" s="400"/>
      <c r="E5705" s="400"/>
      <c r="F5705" s="400"/>
      <c r="G5705" s="400"/>
      <c r="H5705" s="396"/>
    </row>
    <row r="5706" spans="1:8" s="401" customFormat="1" ht="14.25" customHeight="1" x14ac:dyDescent="0.25">
      <c r="A5706" s="564">
        <v>5110020004</v>
      </c>
      <c r="B5706" s="562" t="s">
        <v>8554</v>
      </c>
      <c r="C5706" s="403">
        <v>6150.11</v>
      </c>
      <c r="D5706" s="400"/>
      <c r="E5706" s="400"/>
      <c r="F5706" s="400"/>
      <c r="G5706" s="400"/>
      <c r="H5706" s="396"/>
    </row>
    <row r="5707" spans="1:8" s="401" customFormat="1" ht="14.25" customHeight="1" x14ac:dyDescent="0.25">
      <c r="A5707" s="564" t="s">
        <v>8495</v>
      </c>
      <c r="B5707" s="562" t="s">
        <v>790</v>
      </c>
      <c r="C5707" s="403">
        <v>423.31499999999983</v>
      </c>
      <c r="D5707" s="400"/>
      <c r="E5707" s="400"/>
      <c r="F5707" s="400"/>
      <c r="G5707" s="400"/>
      <c r="H5707" s="396"/>
    </row>
    <row r="5708" spans="1:8" s="401" customFormat="1" ht="14.25" customHeight="1" x14ac:dyDescent="0.25">
      <c r="A5708" s="564">
        <v>5110620011</v>
      </c>
      <c r="B5708" s="562" t="s">
        <v>790</v>
      </c>
      <c r="C5708" s="403">
        <v>2338.56</v>
      </c>
      <c r="D5708" s="400"/>
      <c r="E5708" s="400"/>
      <c r="F5708" s="400"/>
      <c r="G5708" s="400"/>
      <c r="H5708" s="396"/>
    </row>
    <row r="5709" spans="1:8" s="401" customFormat="1" ht="14.25" customHeight="1" x14ac:dyDescent="0.25">
      <c r="A5709" s="564">
        <v>5110920001</v>
      </c>
      <c r="B5709" s="562" t="s">
        <v>790</v>
      </c>
      <c r="C5709" s="403">
        <v>3167.96</v>
      </c>
      <c r="D5709" s="400"/>
      <c r="E5709" s="400"/>
      <c r="F5709" s="400"/>
      <c r="G5709" s="400"/>
      <c r="H5709" s="396"/>
    </row>
    <row r="5710" spans="1:8" s="401" customFormat="1" ht="14.25" customHeight="1" x14ac:dyDescent="0.25">
      <c r="A5710" s="564">
        <v>5110920002</v>
      </c>
      <c r="B5710" s="562" t="s">
        <v>790</v>
      </c>
      <c r="C5710" s="403">
        <v>3167.9599999999996</v>
      </c>
      <c r="D5710" s="400"/>
      <c r="E5710" s="400"/>
      <c r="F5710" s="400"/>
      <c r="G5710" s="400"/>
      <c r="H5710" s="396"/>
    </row>
    <row r="5711" spans="1:8" s="401" customFormat="1" ht="14.25" customHeight="1" x14ac:dyDescent="0.25">
      <c r="A5711" s="564">
        <v>5110920003</v>
      </c>
      <c r="B5711" s="562" t="s">
        <v>790</v>
      </c>
      <c r="C5711" s="403">
        <v>3167.9599999999996</v>
      </c>
      <c r="D5711" s="400"/>
      <c r="E5711" s="400"/>
      <c r="F5711" s="400"/>
      <c r="G5711" s="400"/>
      <c r="H5711" s="396"/>
    </row>
    <row r="5712" spans="1:8" s="401" customFormat="1" ht="14.25" customHeight="1" x14ac:dyDescent="0.25">
      <c r="A5712" s="564">
        <v>5110920004</v>
      </c>
      <c r="B5712" s="562" t="s">
        <v>790</v>
      </c>
      <c r="C5712" s="403">
        <v>3167.9599999999996</v>
      </c>
      <c r="D5712" s="400"/>
      <c r="E5712" s="400"/>
      <c r="F5712" s="400"/>
      <c r="G5712" s="400"/>
      <c r="H5712" s="396"/>
    </row>
    <row r="5713" spans="1:8" s="401" customFormat="1" ht="14.25" customHeight="1" x14ac:dyDescent="0.25">
      <c r="A5713" s="564">
        <v>5110920005</v>
      </c>
      <c r="B5713" s="562" t="s">
        <v>790</v>
      </c>
      <c r="C5713" s="403">
        <v>3167.9599999999996</v>
      </c>
      <c r="D5713" s="400"/>
      <c r="E5713" s="400"/>
      <c r="F5713" s="400"/>
      <c r="G5713" s="400"/>
      <c r="H5713" s="396"/>
    </row>
    <row r="5714" spans="1:8" s="401" customFormat="1" ht="14.25" customHeight="1" x14ac:dyDescent="0.25">
      <c r="A5714" s="564">
        <v>5110600001</v>
      </c>
      <c r="B5714" s="562" t="s">
        <v>790</v>
      </c>
      <c r="C5714" s="403">
        <v>7162.9999999999991</v>
      </c>
      <c r="D5714" s="400"/>
      <c r="E5714" s="400"/>
      <c r="F5714" s="400"/>
      <c r="G5714" s="400"/>
      <c r="H5714" s="396"/>
    </row>
    <row r="5715" spans="1:8" s="401" customFormat="1" ht="14.25" customHeight="1" x14ac:dyDescent="0.25">
      <c r="A5715" s="564">
        <v>5110600002</v>
      </c>
      <c r="B5715" s="562" t="s">
        <v>790</v>
      </c>
      <c r="C5715" s="403">
        <v>14685.599999999999</v>
      </c>
      <c r="D5715" s="400"/>
      <c r="E5715" s="400"/>
      <c r="F5715" s="400"/>
      <c r="G5715" s="400"/>
      <c r="H5715" s="396"/>
    </row>
    <row r="5716" spans="1:8" s="401" customFormat="1" ht="14.25" customHeight="1" x14ac:dyDescent="0.25">
      <c r="A5716" s="564">
        <v>5624720003</v>
      </c>
      <c r="B5716" s="562" t="s">
        <v>790</v>
      </c>
      <c r="C5716" s="403">
        <v>8700</v>
      </c>
      <c r="D5716" s="400"/>
      <c r="E5716" s="400"/>
      <c r="F5716" s="400"/>
      <c r="G5716" s="400"/>
      <c r="H5716" s="396"/>
    </row>
    <row r="5717" spans="1:8" s="401" customFormat="1" ht="14.25" customHeight="1" x14ac:dyDescent="0.25">
      <c r="A5717" s="564">
        <v>5624720004</v>
      </c>
      <c r="B5717" s="562" t="s">
        <v>790</v>
      </c>
      <c r="C5717" s="403">
        <v>8700</v>
      </c>
      <c r="D5717" s="400"/>
      <c r="E5717" s="400"/>
      <c r="F5717" s="400"/>
      <c r="G5717" s="400"/>
      <c r="H5717" s="396"/>
    </row>
    <row r="5718" spans="1:8" s="401" customFormat="1" ht="14.25" customHeight="1" x14ac:dyDescent="0.25">
      <c r="A5718" s="564">
        <v>5624720001</v>
      </c>
      <c r="B5718" s="562" t="s">
        <v>790</v>
      </c>
      <c r="C5718" s="403">
        <v>8700</v>
      </c>
      <c r="D5718" s="400"/>
      <c r="E5718" s="400"/>
      <c r="F5718" s="400"/>
      <c r="G5718" s="400"/>
      <c r="H5718" s="396"/>
    </row>
    <row r="5719" spans="1:8" s="401" customFormat="1" ht="14.25" customHeight="1" x14ac:dyDescent="0.25">
      <c r="A5719" s="564">
        <v>5624720002</v>
      </c>
      <c r="B5719" s="562" t="s">
        <v>790</v>
      </c>
      <c r="C5719" s="403">
        <v>8700</v>
      </c>
      <c r="D5719" s="400"/>
      <c r="E5719" s="400"/>
      <c r="F5719" s="400"/>
      <c r="G5719" s="400"/>
      <c r="H5719" s="396"/>
    </row>
    <row r="5720" spans="1:8" s="401" customFormat="1" ht="14.25" customHeight="1" x14ac:dyDescent="0.25">
      <c r="A5720" s="564" t="s">
        <v>8515</v>
      </c>
      <c r="B5720" s="562" t="s">
        <v>790</v>
      </c>
      <c r="C5720" s="403">
        <v>275.87816666666674</v>
      </c>
      <c r="D5720" s="400"/>
      <c r="E5720" s="400"/>
      <c r="F5720" s="400"/>
      <c r="G5720" s="400"/>
      <c r="H5720" s="396"/>
    </row>
    <row r="5721" spans="1:8" s="401" customFormat="1" ht="14.25" customHeight="1" x14ac:dyDescent="0.25">
      <c r="A5721" s="564" t="s">
        <v>8515</v>
      </c>
      <c r="B5721" s="562" t="s">
        <v>790</v>
      </c>
      <c r="C5721" s="403">
        <v>275.87816666666674</v>
      </c>
      <c r="D5721" s="400"/>
      <c r="E5721" s="400"/>
      <c r="F5721" s="400"/>
      <c r="G5721" s="400"/>
      <c r="H5721" s="396"/>
    </row>
    <row r="5722" spans="1:8" s="401" customFormat="1" ht="14.25" customHeight="1" x14ac:dyDescent="0.25">
      <c r="A5722" s="564">
        <v>5110930001</v>
      </c>
      <c r="B5722" s="562" t="s">
        <v>790</v>
      </c>
      <c r="C5722" s="403">
        <v>2608.2600000000002</v>
      </c>
      <c r="D5722" s="400"/>
      <c r="E5722" s="400"/>
      <c r="F5722" s="400"/>
      <c r="G5722" s="400"/>
      <c r="H5722" s="396"/>
    </row>
    <row r="5723" spans="1:8" s="401" customFormat="1" ht="14.25" customHeight="1" x14ac:dyDescent="0.25">
      <c r="A5723" s="564" t="s">
        <v>8499</v>
      </c>
      <c r="B5723" s="562" t="s">
        <v>790</v>
      </c>
      <c r="C5723" s="403">
        <v>467.81999999999994</v>
      </c>
      <c r="D5723" s="400"/>
      <c r="E5723" s="400"/>
      <c r="F5723" s="400"/>
      <c r="G5723" s="400"/>
      <c r="H5723" s="396"/>
    </row>
    <row r="5724" spans="1:8" s="401" customFormat="1" ht="14.25" customHeight="1" x14ac:dyDescent="0.25">
      <c r="A5724" s="564">
        <v>5652780018</v>
      </c>
      <c r="B5724" s="562" t="s">
        <v>1017</v>
      </c>
      <c r="C5724" s="403">
        <v>599.74</v>
      </c>
      <c r="D5724" s="400"/>
      <c r="E5724" s="400"/>
      <c r="F5724" s="400"/>
      <c r="G5724" s="400"/>
      <c r="H5724" s="396"/>
    </row>
    <row r="5725" spans="1:8" s="401" customFormat="1" ht="14.25" customHeight="1" x14ac:dyDescent="0.25">
      <c r="A5725" s="564">
        <v>5652780017</v>
      </c>
      <c r="B5725" s="562" t="s">
        <v>1017</v>
      </c>
      <c r="C5725" s="403">
        <v>599.74</v>
      </c>
      <c r="D5725" s="400"/>
      <c r="E5725" s="400"/>
      <c r="F5725" s="400"/>
      <c r="G5725" s="400"/>
      <c r="H5725" s="396"/>
    </row>
    <row r="5726" spans="1:8" s="401" customFormat="1" ht="14.25" customHeight="1" x14ac:dyDescent="0.25">
      <c r="A5726" s="564">
        <v>5652780016</v>
      </c>
      <c r="B5726" s="562" t="s">
        <v>1017</v>
      </c>
      <c r="C5726" s="403">
        <v>599.82000000000005</v>
      </c>
      <c r="D5726" s="400"/>
      <c r="E5726" s="400"/>
      <c r="F5726" s="400"/>
      <c r="G5726" s="400"/>
      <c r="H5726" s="396"/>
    </row>
    <row r="5727" spans="1:8" s="401" customFormat="1" ht="14.25" customHeight="1" x14ac:dyDescent="0.25">
      <c r="A5727" s="564">
        <v>5652780019</v>
      </c>
      <c r="B5727" s="562" t="s">
        <v>1017</v>
      </c>
      <c r="C5727" s="403">
        <v>599.74</v>
      </c>
      <c r="D5727" s="400"/>
      <c r="E5727" s="400"/>
      <c r="F5727" s="400"/>
      <c r="G5727" s="400"/>
      <c r="H5727" s="396"/>
    </row>
    <row r="5728" spans="1:8" s="401" customFormat="1" ht="14.25" customHeight="1" x14ac:dyDescent="0.25">
      <c r="A5728" s="564">
        <v>5111050063</v>
      </c>
      <c r="B5728" s="562" t="s">
        <v>2490</v>
      </c>
      <c r="C5728" s="403">
        <v>10598.99</v>
      </c>
      <c r="D5728" s="400"/>
      <c r="E5728" s="400"/>
      <c r="F5728" s="400"/>
      <c r="G5728" s="400"/>
      <c r="H5728" s="396"/>
    </row>
    <row r="5729" spans="1:8" s="401" customFormat="1" ht="14.25" customHeight="1" x14ac:dyDescent="0.25">
      <c r="A5729" s="564">
        <v>5112180003</v>
      </c>
      <c r="B5729" s="562" t="s">
        <v>923</v>
      </c>
      <c r="C5729" s="403">
        <v>5193.32</v>
      </c>
      <c r="D5729" s="400"/>
      <c r="E5729" s="400"/>
      <c r="F5729" s="400"/>
      <c r="G5729" s="400"/>
      <c r="H5729" s="396"/>
    </row>
    <row r="5730" spans="1:8" s="401" customFormat="1" ht="14.25" customHeight="1" x14ac:dyDescent="0.25">
      <c r="A5730" s="564">
        <v>5112180004</v>
      </c>
      <c r="B5730" s="562" t="s">
        <v>923</v>
      </c>
      <c r="C5730" s="403">
        <v>5193.32</v>
      </c>
      <c r="D5730" s="400"/>
      <c r="E5730" s="400"/>
      <c r="F5730" s="400"/>
      <c r="G5730" s="400"/>
      <c r="H5730" s="396"/>
    </row>
    <row r="5731" spans="1:8" s="401" customFormat="1" ht="14.25" customHeight="1" x14ac:dyDescent="0.25">
      <c r="A5731" s="564">
        <v>5112180005</v>
      </c>
      <c r="B5731" s="562" t="s">
        <v>923</v>
      </c>
      <c r="C5731" s="403">
        <v>5193.32</v>
      </c>
      <c r="D5731" s="400"/>
      <c r="E5731" s="400"/>
      <c r="F5731" s="400"/>
      <c r="G5731" s="400"/>
      <c r="H5731" s="396"/>
    </row>
    <row r="5732" spans="1:8" s="401" customFormat="1" ht="14.25" customHeight="1" x14ac:dyDescent="0.25">
      <c r="A5732" s="564">
        <v>5112180006</v>
      </c>
      <c r="B5732" s="562" t="s">
        <v>923</v>
      </c>
      <c r="C5732" s="403">
        <v>5193.32</v>
      </c>
      <c r="D5732" s="400"/>
      <c r="E5732" s="400"/>
      <c r="F5732" s="400"/>
      <c r="G5732" s="400"/>
      <c r="H5732" s="396"/>
    </row>
    <row r="5733" spans="1:8" s="401" customFormat="1" ht="14.25" customHeight="1" x14ac:dyDescent="0.25">
      <c r="A5733" s="564" t="s">
        <v>8493</v>
      </c>
      <c r="B5733" s="562" t="s">
        <v>801</v>
      </c>
      <c r="C5733" s="403">
        <v>1759.5</v>
      </c>
      <c r="D5733" s="400"/>
      <c r="E5733" s="400"/>
      <c r="F5733" s="400"/>
      <c r="G5733" s="400"/>
      <c r="H5733" s="396"/>
    </row>
    <row r="5734" spans="1:8" s="401" customFormat="1" ht="14.25" customHeight="1" x14ac:dyDescent="0.25">
      <c r="A5734" s="564">
        <v>5112200011</v>
      </c>
      <c r="B5734" s="562" t="s">
        <v>801</v>
      </c>
      <c r="C5734" s="403">
        <v>11915.519999999999</v>
      </c>
      <c r="D5734" s="400"/>
      <c r="E5734" s="400"/>
      <c r="F5734" s="400"/>
      <c r="G5734" s="400"/>
      <c r="H5734" s="396"/>
    </row>
    <row r="5735" spans="1:8" s="401" customFormat="1" ht="14.25" customHeight="1" x14ac:dyDescent="0.25">
      <c r="A5735" s="564">
        <v>5112200009</v>
      </c>
      <c r="B5735" s="562" t="s">
        <v>801</v>
      </c>
      <c r="C5735" s="403">
        <v>12760</v>
      </c>
      <c r="D5735" s="400"/>
      <c r="E5735" s="400"/>
      <c r="F5735" s="400"/>
      <c r="G5735" s="400"/>
      <c r="H5735" s="396"/>
    </row>
    <row r="5736" spans="1:8" s="401" customFormat="1" ht="14.25" customHeight="1" x14ac:dyDescent="0.25">
      <c r="A5736" s="564">
        <v>5112200009</v>
      </c>
      <c r="B5736" s="562" t="s">
        <v>801</v>
      </c>
      <c r="C5736" s="403">
        <v>12760</v>
      </c>
      <c r="D5736" s="400"/>
      <c r="E5736" s="400"/>
      <c r="F5736" s="400"/>
      <c r="G5736" s="400"/>
      <c r="H5736" s="396"/>
    </row>
    <row r="5737" spans="1:8" s="401" customFormat="1" ht="14.25" customHeight="1" x14ac:dyDescent="0.25">
      <c r="A5737" s="564">
        <v>5112200007</v>
      </c>
      <c r="B5737" s="562" t="s">
        <v>801</v>
      </c>
      <c r="C5737" s="403">
        <v>13404.96</v>
      </c>
      <c r="D5737" s="400"/>
      <c r="E5737" s="400"/>
      <c r="F5737" s="400"/>
      <c r="G5737" s="400"/>
      <c r="H5737" s="396"/>
    </row>
    <row r="5738" spans="1:8" s="401" customFormat="1" ht="14.25" customHeight="1" x14ac:dyDescent="0.25">
      <c r="A5738" s="564">
        <v>5112200008</v>
      </c>
      <c r="B5738" s="562" t="s">
        <v>801</v>
      </c>
      <c r="C5738" s="403">
        <v>11915.519999999999</v>
      </c>
      <c r="D5738" s="400"/>
      <c r="E5738" s="400"/>
      <c r="F5738" s="400"/>
      <c r="G5738" s="400"/>
      <c r="H5738" s="396"/>
    </row>
    <row r="5739" spans="1:8" s="401" customFormat="1" ht="14.25" customHeight="1" x14ac:dyDescent="0.25">
      <c r="A5739" s="564" t="s">
        <v>8497</v>
      </c>
      <c r="B5739" s="562" t="s">
        <v>8555</v>
      </c>
      <c r="C5739" s="403">
        <v>579.59999999999991</v>
      </c>
      <c r="D5739" s="400"/>
      <c r="E5739" s="400"/>
      <c r="F5739" s="400"/>
      <c r="G5739" s="400"/>
      <c r="H5739" s="396"/>
    </row>
    <row r="5740" spans="1:8" s="401" customFormat="1" ht="14.25" customHeight="1" x14ac:dyDescent="0.25">
      <c r="A5740" s="564" t="s">
        <v>8497</v>
      </c>
      <c r="B5740" s="562" t="s">
        <v>8555</v>
      </c>
      <c r="C5740" s="403">
        <v>579.59999999999991</v>
      </c>
      <c r="D5740" s="400"/>
      <c r="E5740" s="400"/>
      <c r="F5740" s="400"/>
      <c r="G5740" s="400"/>
      <c r="H5740" s="396"/>
    </row>
    <row r="5741" spans="1:8" s="401" customFormat="1" ht="14.25" customHeight="1" x14ac:dyDescent="0.25">
      <c r="A5741" s="564" t="s">
        <v>8497</v>
      </c>
      <c r="B5741" s="562" t="s">
        <v>8555</v>
      </c>
      <c r="C5741" s="403">
        <v>579.59999999999991</v>
      </c>
      <c r="D5741" s="400"/>
      <c r="E5741" s="400"/>
      <c r="F5741" s="400"/>
      <c r="G5741" s="400"/>
      <c r="H5741" s="396"/>
    </row>
    <row r="5742" spans="1:8" s="401" customFormat="1" ht="14.25" customHeight="1" x14ac:dyDescent="0.25">
      <c r="A5742" s="564" t="s">
        <v>8497</v>
      </c>
      <c r="B5742" s="562" t="s">
        <v>8555</v>
      </c>
      <c r="C5742" s="403">
        <v>579.59999999999991</v>
      </c>
      <c r="D5742" s="400"/>
      <c r="E5742" s="400"/>
      <c r="F5742" s="400"/>
      <c r="G5742" s="400"/>
      <c r="H5742" s="396"/>
    </row>
    <row r="5743" spans="1:8" s="401" customFormat="1" ht="14.25" customHeight="1" x14ac:dyDescent="0.25">
      <c r="A5743" s="564" t="s">
        <v>8497</v>
      </c>
      <c r="B5743" s="562" t="s">
        <v>8555</v>
      </c>
      <c r="C5743" s="403">
        <v>579.59999999999991</v>
      </c>
      <c r="D5743" s="400"/>
      <c r="E5743" s="400"/>
      <c r="F5743" s="400"/>
      <c r="G5743" s="400"/>
      <c r="H5743" s="396"/>
    </row>
    <row r="5744" spans="1:8" s="401" customFormat="1" ht="14.25" customHeight="1" x14ac:dyDescent="0.25">
      <c r="A5744" s="564">
        <v>5112170004</v>
      </c>
      <c r="B5744" s="562" t="s">
        <v>8556</v>
      </c>
      <c r="C5744" s="403">
        <v>8864.7199999999993</v>
      </c>
      <c r="D5744" s="400"/>
      <c r="E5744" s="400"/>
      <c r="F5744" s="400"/>
      <c r="G5744" s="400"/>
      <c r="H5744" s="396"/>
    </row>
    <row r="5745" spans="1:8" s="401" customFormat="1" ht="14.25" customHeight="1" x14ac:dyDescent="0.25">
      <c r="A5745" s="564">
        <v>5112170002</v>
      </c>
      <c r="B5745" s="562" t="s">
        <v>8557</v>
      </c>
      <c r="C5745" s="403">
        <v>6344.04</v>
      </c>
      <c r="D5745" s="400"/>
      <c r="E5745" s="400"/>
      <c r="F5745" s="400"/>
      <c r="G5745" s="400"/>
      <c r="H5745" s="396"/>
    </row>
    <row r="5746" spans="1:8" s="401" customFormat="1" ht="14.25" customHeight="1" x14ac:dyDescent="0.25">
      <c r="A5746" s="564">
        <v>5112230002</v>
      </c>
      <c r="B5746" s="562" t="s">
        <v>810</v>
      </c>
      <c r="C5746" s="403">
        <v>4475.28</v>
      </c>
      <c r="D5746" s="400"/>
      <c r="E5746" s="400"/>
      <c r="F5746" s="400"/>
      <c r="G5746" s="400"/>
      <c r="H5746" s="396"/>
    </row>
    <row r="5747" spans="1:8" s="401" customFormat="1" ht="14.25" customHeight="1" x14ac:dyDescent="0.25">
      <c r="A5747" s="564">
        <v>5112230004</v>
      </c>
      <c r="B5747" s="562" t="s">
        <v>810</v>
      </c>
      <c r="C5747" s="403">
        <v>4475.28</v>
      </c>
      <c r="D5747" s="400"/>
      <c r="E5747" s="400"/>
      <c r="F5747" s="400"/>
      <c r="G5747" s="400"/>
      <c r="H5747" s="396"/>
    </row>
    <row r="5748" spans="1:8" s="401" customFormat="1" ht="14.25" customHeight="1" x14ac:dyDescent="0.25">
      <c r="A5748" s="564">
        <v>5112230005</v>
      </c>
      <c r="B5748" s="562" t="s">
        <v>810</v>
      </c>
      <c r="C5748" s="403">
        <v>4475.28</v>
      </c>
      <c r="D5748" s="400"/>
      <c r="E5748" s="400"/>
      <c r="F5748" s="400"/>
      <c r="G5748" s="400"/>
      <c r="H5748" s="396"/>
    </row>
    <row r="5749" spans="1:8" s="401" customFormat="1" ht="14.25" customHeight="1" x14ac:dyDescent="0.25">
      <c r="A5749" s="564">
        <v>5112230006</v>
      </c>
      <c r="B5749" s="562" t="s">
        <v>810</v>
      </c>
      <c r="C5749" s="403">
        <v>4475.28</v>
      </c>
      <c r="D5749" s="400"/>
      <c r="E5749" s="400"/>
      <c r="F5749" s="400"/>
      <c r="G5749" s="400"/>
      <c r="H5749" s="396"/>
    </row>
    <row r="5750" spans="1:8" s="401" customFormat="1" ht="14.25" customHeight="1" x14ac:dyDescent="0.25">
      <c r="A5750" s="564">
        <v>5112230003</v>
      </c>
      <c r="B5750" s="562" t="s">
        <v>810</v>
      </c>
      <c r="C5750" s="403">
        <v>4475.28</v>
      </c>
      <c r="D5750" s="400"/>
      <c r="E5750" s="400"/>
      <c r="F5750" s="400"/>
      <c r="G5750" s="400"/>
      <c r="H5750" s="396"/>
    </row>
    <row r="5751" spans="1:8" s="401" customFormat="1" ht="14.25" customHeight="1" x14ac:dyDescent="0.25">
      <c r="A5751" s="564" t="s">
        <v>8467</v>
      </c>
      <c r="B5751" s="562" t="s">
        <v>8558</v>
      </c>
      <c r="C5751" s="403">
        <v>1</v>
      </c>
      <c r="D5751" s="400"/>
      <c r="E5751" s="400"/>
      <c r="F5751" s="400"/>
      <c r="G5751" s="400"/>
      <c r="H5751" s="396"/>
    </row>
    <row r="5752" spans="1:8" s="401" customFormat="1" ht="14.25" customHeight="1" x14ac:dyDescent="0.25">
      <c r="A5752" s="564">
        <v>5151260065</v>
      </c>
      <c r="B5752" s="562" t="s">
        <v>8559</v>
      </c>
      <c r="C5752" s="403">
        <v>2430.0100000000002</v>
      </c>
      <c r="D5752" s="400"/>
      <c r="E5752" s="400"/>
      <c r="F5752" s="400"/>
      <c r="G5752" s="400"/>
      <c r="H5752" s="396"/>
    </row>
    <row r="5753" spans="1:8" s="401" customFormat="1" ht="14.25" customHeight="1" x14ac:dyDescent="0.25">
      <c r="A5753" s="564">
        <v>5410480022</v>
      </c>
      <c r="B5753" s="562" t="s">
        <v>1000</v>
      </c>
      <c r="C5753" s="403">
        <v>19400</v>
      </c>
      <c r="D5753" s="400"/>
      <c r="E5753" s="400"/>
      <c r="F5753" s="400"/>
      <c r="G5753" s="400"/>
      <c r="H5753" s="396"/>
    </row>
    <row r="5754" spans="1:8" s="401" customFormat="1" ht="14.25" customHeight="1" x14ac:dyDescent="0.25">
      <c r="A5754" s="564">
        <v>5410480012</v>
      </c>
      <c r="B5754" s="562" t="s">
        <v>1000</v>
      </c>
      <c r="C5754" s="403">
        <v>19400</v>
      </c>
      <c r="D5754" s="400"/>
      <c r="E5754" s="400"/>
      <c r="F5754" s="400"/>
      <c r="G5754" s="400"/>
      <c r="H5754" s="396"/>
    </row>
    <row r="5755" spans="1:8" s="401" customFormat="1" ht="14.25" customHeight="1" x14ac:dyDescent="0.25">
      <c r="A5755" s="564">
        <v>5410480013</v>
      </c>
      <c r="B5755" s="562" t="s">
        <v>1000</v>
      </c>
      <c r="C5755" s="403">
        <v>19400</v>
      </c>
      <c r="D5755" s="400"/>
      <c r="E5755" s="400"/>
      <c r="F5755" s="400"/>
      <c r="G5755" s="400"/>
      <c r="H5755" s="396"/>
    </row>
    <row r="5756" spans="1:8" s="401" customFormat="1" ht="14.25" customHeight="1" x14ac:dyDescent="0.25">
      <c r="A5756" s="564">
        <v>5410480014</v>
      </c>
      <c r="B5756" s="562" t="s">
        <v>1000</v>
      </c>
      <c r="C5756" s="403">
        <v>19400</v>
      </c>
      <c r="D5756" s="400"/>
      <c r="E5756" s="400"/>
      <c r="F5756" s="400"/>
      <c r="G5756" s="400"/>
      <c r="H5756" s="396"/>
    </row>
    <row r="5757" spans="1:8" s="401" customFormat="1" ht="14.25" customHeight="1" x14ac:dyDescent="0.25">
      <c r="A5757" s="564">
        <v>5410480015</v>
      </c>
      <c r="B5757" s="562" t="s">
        <v>1000</v>
      </c>
      <c r="C5757" s="403">
        <v>19400</v>
      </c>
      <c r="D5757" s="400"/>
      <c r="E5757" s="400"/>
      <c r="F5757" s="400"/>
      <c r="G5757" s="400"/>
      <c r="H5757" s="396"/>
    </row>
    <row r="5758" spans="1:8" s="401" customFormat="1" ht="14.25" customHeight="1" x14ac:dyDescent="0.25">
      <c r="A5758" s="564">
        <v>5410480016</v>
      </c>
      <c r="B5758" s="562" t="s">
        <v>1000</v>
      </c>
      <c r="C5758" s="403">
        <v>19400</v>
      </c>
      <c r="D5758" s="400"/>
      <c r="E5758" s="400"/>
      <c r="F5758" s="400"/>
      <c r="G5758" s="400"/>
      <c r="H5758" s="396"/>
    </row>
    <row r="5759" spans="1:8" s="401" customFormat="1" ht="14.25" customHeight="1" x14ac:dyDescent="0.25">
      <c r="A5759" s="564">
        <v>5410480017</v>
      </c>
      <c r="B5759" s="562" t="s">
        <v>1000</v>
      </c>
      <c r="C5759" s="403">
        <v>19400</v>
      </c>
      <c r="D5759" s="400"/>
      <c r="E5759" s="400"/>
      <c r="F5759" s="400"/>
      <c r="G5759" s="400"/>
      <c r="H5759" s="396"/>
    </row>
    <row r="5760" spans="1:8" s="401" customFormat="1" ht="14.25" customHeight="1" x14ac:dyDescent="0.25">
      <c r="A5760" s="564">
        <v>5410480018</v>
      </c>
      <c r="B5760" s="562" t="s">
        <v>1000</v>
      </c>
      <c r="C5760" s="403">
        <v>19400</v>
      </c>
      <c r="D5760" s="400"/>
      <c r="E5760" s="400"/>
      <c r="F5760" s="400"/>
      <c r="G5760" s="400"/>
      <c r="H5760" s="396"/>
    </row>
    <row r="5761" spans="1:8" s="401" customFormat="1" ht="14.25" customHeight="1" x14ac:dyDescent="0.25">
      <c r="A5761" s="564">
        <v>5410480019</v>
      </c>
      <c r="B5761" s="562" t="s">
        <v>1000</v>
      </c>
      <c r="C5761" s="403">
        <v>19400</v>
      </c>
      <c r="D5761" s="400"/>
      <c r="E5761" s="400"/>
      <c r="F5761" s="400"/>
      <c r="G5761" s="400"/>
      <c r="H5761" s="396"/>
    </row>
    <row r="5762" spans="1:8" s="401" customFormat="1" ht="14.25" customHeight="1" x14ac:dyDescent="0.25">
      <c r="A5762" s="564">
        <v>5410480020</v>
      </c>
      <c r="B5762" s="562" t="s">
        <v>1000</v>
      </c>
      <c r="C5762" s="403">
        <v>19400</v>
      </c>
      <c r="D5762" s="400"/>
      <c r="E5762" s="400"/>
      <c r="F5762" s="400"/>
      <c r="G5762" s="400"/>
      <c r="H5762" s="396"/>
    </row>
    <row r="5763" spans="1:8" s="401" customFormat="1" ht="14.25" customHeight="1" x14ac:dyDescent="0.25">
      <c r="A5763" s="564">
        <v>5410480021</v>
      </c>
      <c r="B5763" s="562" t="s">
        <v>1000</v>
      </c>
      <c r="C5763" s="403">
        <v>19400</v>
      </c>
      <c r="D5763" s="400"/>
      <c r="E5763" s="400"/>
      <c r="F5763" s="400"/>
      <c r="G5763" s="400"/>
      <c r="H5763" s="396"/>
    </row>
    <row r="5764" spans="1:8" s="401" customFormat="1" ht="14.25" customHeight="1" x14ac:dyDescent="0.25">
      <c r="A5764" s="564">
        <v>5410480023</v>
      </c>
      <c r="B5764" s="562" t="s">
        <v>1000</v>
      </c>
      <c r="C5764" s="403">
        <v>20490</v>
      </c>
      <c r="D5764" s="400"/>
      <c r="E5764" s="400"/>
      <c r="F5764" s="400"/>
      <c r="G5764" s="400"/>
      <c r="H5764" s="396"/>
    </row>
    <row r="5765" spans="1:8" s="401" customFormat="1" ht="14.25" customHeight="1" x14ac:dyDescent="0.25">
      <c r="A5765" s="564">
        <v>5112270017</v>
      </c>
      <c r="B5765" s="562" t="s">
        <v>1056</v>
      </c>
      <c r="C5765" s="403">
        <v>33500</v>
      </c>
      <c r="D5765" s="400"/>
      <c r="E5765" s="400"/>
      <c r="F5765" s="400"/>
      <c r="G5765" s="400"/>
      <c r="H5765" s="396"/>
    </row>
    <row r="5766" spans="1:8" s="401" customFormat="1" ht="14.25" customHeight="1" x14ac:dyDescent="0.25">
      <c r="A5766" s="564">
        <v>5112270018</v>
      </c>
      <c r="B5766" s="562" t="s">
        <v>1056</v>
      </c>
      <c r="C5766" s="403">
        <v>4400</v>
      </c>
      <c r="D5766" s="400"/>
      <c r="E5766" s="400"/>
      <c r="F5766" s="400"/>
      <c r="G5766" s="400"/>
      <c r="H5766" s="396"/>
    </row>
    <row r="5767" spans="1:8" s="401" customFormat="1" ht="14.25" customHeight="1" x14ac:dyDescent="0.25">
      <c r="A5767" s="564">
        <v>5112270014</v>
      </c>
      <c r="B5767" s="562" t="s">
        <v>1056</v>
      </c>
      <c r="C5767" s="403">
        <v>15006.92</v>
      </c>
      <c r="D5767" s="400"/>
      <c r="E5767" s="400"/>
      <c r="F5767" s="400"/>
      <c r="G5767" s="400"/>
      <c r="H5767" s="396"/>
    </row>
    <row r="5768" spans="1:8" s="401" customFormat="1" ht="14.25" customHeight="1" x14ac:dyDescent="0.25">
      <c r="A5768" s="564">
        <v>5112270015</v>
      </c>
      <c r="B5768" s="562" t="s">
        <v>1056</v>
      </c>
      <c r="C5768" s="403">
        <v>15006.92</v>
      </c>
      <c r="D5768" s="400"/>
      <c r="E5768" s="400"/>
      <c r="F5768" s="400"/>
      <c r="G5768" s="400"/>
      <c r="H5768" s="396"/>
    </row>
    <row r="5769" spans="1:8" s="401" customFormat="1" ht="14.25" customHeight="1" x14ac:dyDescent="0.25">
      <c r="A5769" s="564" t="s">
        <v>8511</v>
      </c>
      <c r="B5769" s="562" t="s">
        <v>8560</v>
      </c>
      <c r="C5769" s="403">
        <v>469.80000000000018</v>
      </c>
      <c r="D5769" s="400"/>
      <c r="E5769" s="400"/>
      <c r="F5769" s="400"/>
      <c r="G5769" s="400"/>
      <c r="H5769" s="396"/>
    </row>
    <row r="5770" spans="1:8" s="401" customFormat="1" ht="14.25" customHeight="1" x14ac:dyDescent="0.25">
      <c r="A5770" s="564">
        <v>5110970001</v>
      </c>
      <c r="B5770" s="562" t="s">
        <v>8560</v>
      </c>
      <c r="C5770" s="403">
        <v>2996.2799999999997</v>
      </c>
      <c r="D5770" s="400"/>
      <c r="E5770" s="400"/>
      <c r="F5770" s="400"/>
      <c r="G5770" s="400"/>
      <c r="H5770" s="396"/>
    </row>
    <row r="5771" spans="1:8" s="401" customFormat="1" ht="14.25" customHeight="1" x14ac:dyDescent="0.25">
      <c r="A5771" s="564">
        <v>5110970002</v>
      </c>
      <c r="B5771" s="562" t="s">
        <v>8560</v>
      </c>
      <c r="C5771" s="403">
        <v>2996.2799999999997</v>
      </c>
      <c r="D5771" s="400"/>
      <c r="E5771" s="400"/>
      <c r="F5771" s="400"/>
      <c r="G5771" s="400"/>
      <c r="H5771" s="396"/>
    </row>
    <row r="5772" spans="1:8" s="401" customFormat="1" ht="14.25" customHeight="1" x14ac:dyDescent="0.25">
      <c r="A5772" s="564">
        <v>5150230012</v>
      </c>
      <c r="B5772" s="562" t="s">
        <v>8561</v>
      </c>
      <c r="C5772" s="403">
        <v>4628.3999999999996</v>
      </c>
      <c r="D5772" s="400"/>
      <c r="E5772" s="400"/>
      <c r="F5772" s="400"/>
      <c r="G5772" s="400"/>
      <c r="H5772" s="396"/>
    </row>
    <row r="5773" spans="1:8" s="401" customFormat="1" ht="14.25" customHeight="1" x14ac:dyDescent="0.25">
      <c r="A5773" s="564">
        <v>5151400002</v>
      </c>
      <c r="B5773" s="562" t="s">
        <v>8561</v>
      </c>
      <c r="C5773" s="403">
        <v>4699</v>
      </c>
      <c r="D5773" s="400"/>
      <c r="E5773" s="400"/>
      <c r="F5773" s="400"/>
      <c r="G5773" s="400"/>
      <c r="H5773" s="396"/>
    </row>
    <row r="5774" spans="1:8" s="401" customFormat="1" ht="14.25" customHeight="1" x14ac:dyDescent="0.25">
      <c r="A5774" s="564" t="s">
        <v>8479</v>
      </c>
      <c r="B5774" s="562" t="s">
        <v>2364</v>
      </c>
      <c r="C5774" s="403">
        <v>1</v>
      </c>
      <c r="D5774" s="400"/>
      <c r="E5774" s="400"/>
      <c r="F5774" s="400"/>
      <c r="G5774" s="400"/>
      <c r="H5774" s="396"/>
    </row>
    <row r="5775" spans="1:8" s="401" customFormat="1" ht="14.25" customHeight="1" x14ac:dyDescent="0.25">
      <c r="A5775" s="564">
        <v>5151130004</v>
      </c>
      <c r="B5775" s="562" t="s">
        <v>2364</v>
      </c>
      <c r="C5775" s="403">
        <v>1972</v>
      </c>
      <c r="D5775" s="400"/>
      <c r="E5775" s="400"/>
      <c r="F5775" s="400"/>
      <c r="G5775" s="400"/>
      <c r="H5775" s="396"/>
    </row>
    <row r="5776" spans="1:8" s="401" customFormat="1" ht="14.25" customHeight="1" x14ac:dyDescent="0.25">
      <c r="A5776" s="564" t="s">
        <v>8456</v>
      </c>
      <c r="B5776" s="562" t="s">
        <v>2364</v>
      </c>
      <c r="C5776" s="403">
        <v>1</v>
      </c>
      <c r="D5776" s="400"/>
      <c r="E5776" s="400"/>
      <c r="F5776" s="400"/>
      <c r="G5776" s="400"/>
      <c r="H5776" s="396"/>
    </row>
    <row r="5777" spans="1:8" s="401" customFormat="1" ht="14.25" customHeight="1" x14ac:dyDescent="0.25">
      <c r="A5777" s="564" t="s">
        <v>8448</v>
      </c>
      <c r="B5777" s="562" t="s">
        <v>1012</v>
      </c>
      <c r="C5777" s="403">
        <v>1</v>
      </c>
      <c r="D5777" s="400"/>
      <c r="E5777" s="400"/>
      <c r="F5777" s="400"/>
      <c r="G5777" s="400"/>
      <c r="H5777" s="396"/>
    </row>
    <row r="5778" spans="1:8" s="401" customFormat="1" ht="14.25" customHeight="1" x14ac:dyDescent="0.25">
      <c r="A5778" s="564">
        <v>5652650020</v>
      </c>
      <c r="B5778" s="562" t="s">
        <v>1012</v>
      </c>
      <c r="C5778" s="403">
        <v>11049</v>
      </c>
      <c r="D5778" s="400"/>
      <c r="E5778" s="400"/>
      <c r="F5778" s="400"/>
      <c r="G5778" s="400"/>
      <c r="H5778" s="396"/>
    </row>
    <row r="5779" spans="1:8" s="401" customFormat="1" ht="14.25" customHeight="1" x14ac:dyDescent="0.25">
      <c r="A5779" s="564" t="s">
        <v>8444</v>
      </c>
      <c r="B5779" s="562" t="s">
        <v>1012</v>
      </c>
      <c r="C5779" s="403">
        <v>1</v>
      </c>
      <c r="D5779" s="400"/>
      <c r="E5779" s="400"/>
      <c r="F5779" s="400"/>
      <c r="G5779" s="400"/>
      <c r="H5779" s="396"/>
    </row>
    <row r="5780" spans="1:8" s="401" customFormat="1" ht="14.25" customHeight="1" x14ac:dyDescent="0.25">
      <c r="A5780" s="564">
        <v>5151230003</v>
      </c>
      <c r="B5780" s="562" t="s">
        <v>8562</v>
      </c>
      <c r="C5780" s="403">
        <v>3479.9999999999995</v>
      </c>
      <c r="D5780" s="400"/>
      <c r="E5780" s="400"/>
      <c r="F5780" s="400"/>
      <c r="G5780" s="400"/>
      <c r="H5780" s="396"/>
    </row>
    <row r="5781" spans="1:8" s="401" customFormat="1" ht="14.25" customHeight="1" x14ac:dyDescent="0.25">
      <c r="A5781" s="564">
        <v>5112360001</v>
      </c>
      <c r="B5781" s="562" t="s">
        <v>8563</v>
      </c>
      <c r="C5781" s="403">
        <v>4472.96</v>
      </c>
      <c r="D5781" s="400"/>
      <c r="E5781" s="400"/>
      <c r="F5781" s="400"/>
      <c r="G5781" s="400"/>
      <c r="H5781" s="396"/>
    </row>
    <row r="5782" spans="1:8" s="401" customFormat="1" ht="14.25" customHeight="1" x14ac:dyDescent="0.25">
      <c r="A5782" s="564">
        <v>5112360002</v>
      </c>
      <c r="B5782" s="562" t="s">
        <v>8563</v>
      </c>
      <c r="C5782" s="403">
        <v>4472.96</v>
      </c>
      <c r="D5782" s="400"/>
      <c r="E5782" s="400"/>
      <c r="F5782" s="400"/>
      <c r="G5782" s="400"/>
      <c r="H5782" s="396"/>
    </row>
    <row r="5783" spans="1:8" s="401" customFormat="1" ht="14.25" customHeight="1" x14ac:dyDescent="0.25">
      <c r="A5783" s="564" t="s">
        <v>8507</v>
      </c>
      <c r="B5783" s="562" t="s">
        <v>789</v>
      </c>
      <c r="C5783" s="403">
        <v>360.70399999999995</v>
      </c>
      <c r="D5783" s="400"/>
      <c r="E5783" s="400"/>
      <c r="F5783" s="400"/>
      <c r="G5783" s="400"/>
      <c r="H5783" s="396"/>
    </row>
    <row r="5784" spans="1:8" s="401" customFormat="1" ht="14.25" customHeight="1" x14ac:dyDescent="0.25">
      <c r="A5784" s="564" t="s">
        <v>8491</v>
      </c>
      <c r="B5784" s="562" t="s">
        <v>8564</v>
      </c>
      <c r="C5784" s="403">
        <v>77.625</v>
      </c>
      <c r="D5784" s="400"/>
      <c r="E5784" s="400"/>
      <c r="F5784" s="400"/>
      <c r="G5784" s="400"/>
      <c r="H5784" s="396"/>
    </row>
    <row r="5785" spans="1:8" s="401" customFormat="1" ht="14.25" customHeight="1" x14ac:dyDescent="0.25">
      <c r="A5785" s="564" t="s">
        <v>8491</v>
      </c>
      <c r="B5785" s="562" t="s">
        <v>8564</v>
      </c>
      <c r="C5785" s="403">
        <v>77.625</v>
      </c>
      <c r="D5785" s="400"/>
      <c r="E5785" s="400"/>
      <c r="F5785" s="400"/>
      <c r="G5785" s="400"/>
      <c r="H5785" s="396"/>
    </row>
    <row r="5786" spans="1:8" s="401" customFormat="1" ht="14.25" customHeight="1" x14ac:dyDescent="0.25">
      <c r="A5786" s="564" t="s">
        <v>8491</v>
      </c>
      <c r="B5786" s="562" t="s">
        <v>8564</v>
      </c>
      <c r="C5786" s="403">
        <v>77.625</v>
      </c>
      <c r="D5786" s="400"/>
      <c r="E5786" s="400"/>
      <c r="F5786" s="400"/>
      <c r="G5786" s="400"/>
      <c r="H5786" s="396"/>
    </row>
    <row r="5787" spans="1:8" s="401" customFormat="1" ht="14.25" customHeight="1" x14ac:dyDescent="0.25">
      <c r="A5787" s="564">
        <v>5150070001</v>
      </c>
      <c r="B5787" s="562" t="s">
        <v>8565</v>
      </c>
      <c r="C5787" s="403">
        <v>45813.41</v>
      </c>
      <c r="D5787" s="400"/>
      <c r="E5787" s="400"/>
      <c r="F5787" s="400"/>
      <c r="G5787" s="400"/>
      <c r="H5787" s="396"/>
    </row>
    <row r="5788" spans="1:8" s="401" customFormat="1" ht="14.25" customHeight="1" x14ac:dyDescent="0.25">
      <c r="A5788" s="564" t="s">
        <v>8470</v>
      </c>
      <c r="B5788" s="562" t="s">
        <v>891</v>
      </c>
      <c r="C5788" s="403">
        <v>2734.6999999999989</v>
      </c>
      <c r="D5788" s="400"/>
      <c r="E5788" s="400"/>
      <c r="F5788" s="400"/>
      <c r="G5788" s="400"/>
      <c r="H5788" s="396"/>
    </row>
    <row r="5789" spans="1:8" s="401" customFormat="1" ht="14.25" customHeight="1" x14ac:dyDescent="0.25">
      <c r="A5789" s="564">
        <v>5652570002</v>
      </c>
      <c r="B5789" s="562" t="s">
        <v>891</v>
      </c>
      <c r="C5789" s="403">
        <v>13514</v>
      </c>
      <c r="D5789" s="400"/>
      <c r="E5789" s="400"/>
      <c r="F5789" s="400"/>
      <c r="G5789" s="400"/>
      <c r="H5789" s="396"/>
    </row>
    <row r="5790" spans="1:8" s="401" customFormat="1" ht="14.25" customHeight="1" x14ac:dyDescent="0.25">
      <c r="A5790" s="564" t="s">
        <v>8447</v>
      </c>
      <c r="B5790" s="562" t="s">
        <v>8386</v>
      </c>
      <c r="C5790" s="403">
        <v>7947.5</v>
      </c>
      <c r="D5790" s="400"/>
      <c r="E5790" s="400"/>
      <c r="F5790" s="400"/>
      <c r="G5790" s="400"/>
      <c r="H5790" s="396"/>
    </row>
    <row r="5791" spans="1:8" s="401" customFormat="1" ht="14.25" customHeight="1" x14ac:dyDescent="0.25">
      <c r="A5791" s="564">
        <v>5652020002</v>
      </c>
      <c r="B5791" s="562" t="s">
        <v>8566</v>
      </c>
      <c r="C5791" s="403">
        <v>3250</v>
      </c>
      <c r="D5791" s="400"/>
      <c r="E5791" s="400"/>
      <c r="F5791" s="400"/>
      <c r="G5791" s="400"/>
      <c r="H5791" s="396"/>
    </row>
    <row r="5792" spans="1:8" s="401" customFormat="1" ht="14.25" customHeight="1" x14ac:dyDescent="0.25">
      <c r="A5792" s="564" t="s">
        <v>8500</v>
      </c>
      <c r="B5792" s="562" t="s">
        <v>8567</v>
      </c>
      <c r="C5792" s="403">
        <v>1007.2999999999997</v>
      </c>
      <c r="D5792" s="400"/>
      <c r="E5792" s="400"/>
      <c r="F5792" s="400"/>
      <c r="G5792" s="400"/>
      <c r="H5792" s="396"/>
    </row>
    <row r="5793" spans="1:8" s="401" customFormat="1" ht="14.25" customHeight="1" x14ac:dyDescent="0.25">
      <c r="A5793" s="564">
        <v>5112170003</v>
      </c>
      <c r="B5793" s="562" t="s">
        <v>8567</v>
      </c>
      <c r="C5793" s="403">
        <v>16847.84</v>
      </c>
      <c r="D5793" s="400"/>
      <c r="E5793" s="400"/>
      <c r="F5793" s="400"/>
      <c r="G5793" s="400"/>
      <c r="H5793" s="396"/>
    </row>
    <row r="5794" spans="1:8" s="401" customFormat="1" ht="14.25" customHeight="1" x14ac:dyDescent="0.25">
      <c r="A5794" s="564">
        <v>5624690001</v>
      </c>
      <c r="B5794" s="562" t="s">
        <v>8568</v>
      </c>
      <c r="C5794" s="403">
        <v>5165.4799999999996</v>
      </c>
      <c r="D5794" s="400"/>
      <c r="E5794" s="400"/>
      <c r="F5794" s="400"/>
      <c r="G5794" s="400"/>
      <c r="H5794" s="396"/>
    </row>
    <row r="5795" spans="1:8" s="401" customFormat="1" ht="14.25" customHeight="1" x14ac:dyDescent="0.25">
      <c r="A5795" s="564">
        <v>5624690002</v>
      </c>
      <c r="B5795" s="562" t="s">
        <v>8568</v>
      </c>
      <c r="C5795" s="403">
        <v>5165.4799999999996</v>
      </c>
      <c r="D5795" s="400"/>
      <c r="E5795" s="400"/>
      <c r="F5795" s="400"/>
      <c r="G5795" s="400"/>
      <c r="H5795" s="396"/>
    </row>
    <row r="5796" spans="1:8" s="401" customFormat="1" ht="14.25" customHeight="1" x14ac:dyDescent="0.25">
      <c r="A5796" s="564">
        <v>5624690003</v>
      </c>
      <c r="B5796" s="562" t="s">
        <v>8568</v>
      </c>
      <c r="C5796" s="403">
        <v>5165.4799999999996</v>
      </c>
      <c r="D5796" s="400"/>
      <c r="E5796" s="400"/>
      <c r="F5796" s="400"/>
      <c r="G5796" s="400"/>
      <c r="H5796" s="396"/>
    </row>
    <row r="5797" spans="1:8" s="401" customFormat="1" ht="14.25" customHeight="1" x14ac:dyDescent="0.25">
      <c r="A5797" s="564">
        <v>5624690004</v>
      </c>
      <c r="B5797" s="562" t="s">
        <v>8568</v>
      </c>
      <c r="C5797" s="403">
        <v>5165.4799999999996</v>
      </c>
      <c r="D5797" s="400"/>
      <c r="E5797" s="400"/>
      <c r="F5797" s="400"/>
      <c r="G5797" s="400"/>
      <c r="H5797" s="396"/>
    </row>
    <row r="5798" spans="1:8" s="401" customFormat="1" ht="14.25" customHeight="1" x14ac:dyDescent="0.25">
      <c r="A5798" s="564">
        <v>5624690005</v>
      </c>
      <c r="B5798" s="562" t="s">
        <v>8568</v>
      </c>
      <c r="C5798" s="403">
        <v>5165.4799999999996</v>
      </c>
      <c r="D5798" s="400"/>
      <c r="E5798" s="400"/>
      <c r="F5798" s="400"/>
      <c r="G5798" s="400"/>
      <c r="H5798" s="396"/>
    </row>
    <row r="5799" spans="1:8" s="401" customFormat="1" ht="14.25" customHeight="1" x14ac:dyDescent="0.25">
      <c r="A5799" s="564" t="s">
        <v>8472</v>
      </c>
      <c r="B5799" s="562" t="s">
        <v>889</v>
      </c>
      <c r="C5799" s="403">
        <v>1</v>
      </c>
      <c r="D5799" s="400"/>
      <c r="E5799" s="400"/>
      <c r="F5799" s="400"/>
      <c r="G5799" s="400"/>
      <c r="H5799" s="396"/>
    </row>
    <row r="5800" spans="1:8" s="401" customFormat="1" ht="14.25" customHeight="1" x14ac:dyDescent="0.25">
      <c r="A5800" s="564" t="s">
        <v>8473</v>
      </c>
      <c r="B5800" s="562" t="s">
        <v>889</v>
      </c>
      <c r="C5800" s="403">
        <v>1</v>
      </c>
      <c r="D5800" s="400"/>
      <c r="E5800" s="400"/>
      <c r="F5800" s="400"/>
      <c r="G5800" s="400"/>
      <c r="H5800" s="396"/>
    </row>
    <row r="5801" spans="1:8" s="401" customFormat="1" ht="14.25" customHeight="1" x14ac:dyDescent="0.25">
      <c r="A5801" s="564" t="s">
        <v>8474</v>
      </c>
      <c r="B5801" s="562" t="s">
        <v>889</v>
      </c>
      <c r="C5801" s="403">
        <v>1</v>
      </c>
      <c r="D5801" s="400"/>
      <c r="E5801" s="400"/>
      <c r="F5801" s="400"/>
      <c r="G5801" s="400"/>
      <c r="H5801" s="396"/>
    </row>
    <row r="5802" spans="1:8" s="401" customFormat="1" ht="14.25" customHeight="1" x14ac:dyDescent="0.25">
      <c r="A5802" s="564" t="s">
        <v>8475</v>
      </c>
      <c r="B5802" s="562" t="s">
        <v>889</v>
      </c>
      <c r="C5802" s="403">
        <v>1</v>
      </c>
      <c r="D5802" s="400"/>
      <c r="E5802" s="400"/>
      <c r="F5802" s="400"/>
      <c r="G5802" s="400"/>
      <c r="H5802" s="396"/>
    </row>
    <row r="5803" spans="1:8" s="401" customFormat="1" ht="14.25" customHeight="1" x14ac:dyDescent="0.25">
      <c r="A5803" s="564" t="s">
        <v>8476</v>
      </c>
      <c r="B5803" s="562" t="s">
        <v>889</v>
      </c>
      <c r="C5803" s="403">
        <v>1</v>
      </c>
      <c r="D5803" s="400"/>
      <c r="E5803" s="400"/>
      <c r="F5803" s="400"/>
      <c r="G5803" s="400"/>
      <c r="H5803" s="396"/>
    </row>
    <row r="5804" spans="1:8" s="401" customFormat="1" ht="14.25" customHeight="1" x14ac:dyDescent="0.25">
      <c r="A5804" s="564" t="s">
        <v>8477</v>
      </c>
      <c r="B5804" s="562" t="s">
        <v>889</v>
      </c>
      <c r="C5804" s="403">
        <v>1</v>
      </c>
      <c r="D5804" s="400"/>
      <c r="E5804" s="400"/>
      <c r="F5804" s="400"/>
      <c r="G5804" s="400"/>
      <c r="H5804" s="396"/>
    </row>
    <row r="5805" spans="1:8" s="401" customFormat="1" ht="14.25" customHeight="1" x14ac:dyDescent="0.25">
      <c r="A5805" s="564" t="s">
        <v>8478</v>
      </c>
      <c r="B5805" s="562" t="s">
        <v>889</v>
      </c>
      <c r="C5805" s="403">
        <v>1</v>
      </c>
      <c r="D5805" s="400"/>
      <c r="E5805" s="400"/>
      <c r="F5805" s="400"/>
      <c r="G5805" s="400"/>
      <c r="H5805" s="396"/>
    </row>
    <row r="5806" spans="1:8" s="401" customFormat="1" ht="14.25" customHeight="1" x14ac:dyDescent="0.25">
      <c r="A5806" s="564" t="s">
        <v>8517</v>
      </c>
      <c r="B5806" s="562" t="s">
        <v>8569</v>
      </c>
      <c r="C5806" s="403">
        <v>1305.1999999999998</v>
      </c>
      <c r="D5806" s="400"/>
      <c r="E5806" s="400"/>
      <c r="F5806" s="400"/>
      <c r="G5806" s="400"/>
      <c r="H5806" s="396"/>
    </row>
    <row r="5807" spans="1:8" s="401" customFormat="1" ht="14.25" customHeight="1" x14ac:dyDescent="0.25">
      <c r="A5807" s="564">
        <v>5112540003</v>
      </c>
      <c r="B5807" s="562" t="s">
        <v>936</v>
      </c>
      <c r="C5807" s="403">
        <v>4826.74</v>
      </c>
      <c r="D5807" s="400"/>
      <c r="E5807" s="400"/>
      <c r="F5807" s="400"/>
      <c r="G5807" s="400"/>
      <c r="H5807" s="396"/>
    </row>
    <row r="5808" spans="1:8" s="401" customFormat="1" ht="14.25" customHeight="1" x14ac:dyDescent="0.25">
      <c r="A5808" s="564">
        <v>5112540004</v>
      </c>
      <c r="B5808" s="562" t="s">
        <v>936</v>
      </c>
      <c r="C5808" s="403">
        <v>5760.59</v>
      </c>
      <c r="D5808" s="400"/>
      <c r="E5808" s="400"/>
      <c r="F5808" s="400"/>
      <c r="G5808" s="400"/>
      <c r="H5808" s="396"/>
    </row>
    <row r="5809" spans="1:8" s="401" customFormat="1" ht="14.25" customHeight="1" x14ac:dyDescent="0.25">
      <c r="A5809" s="564" t="s">
        <v>8519</v>
      </c>
      <c r="B5809" s="562" t="s">
        <v>8570</v>
      </c>
      <c r="C5809" s="403">
        <v>1334</v>
      </c>
      <c r="D5809" s="400"/>
      <c r="E5809" s="400"/>
      <c r="F5809" s="400"/>
      <c r="G5809" s="400"/>
      <c r="H5809" s="396"/>
    </row>
    <row r="5810" spans="1:8" s="401" customFormat="1" ht="14.25" customHeight="1" x14ac:dyDescent="0.25">
      <c r="A5810" s="564" t="s">
        <v>8519</v>
      </c>
      <c r="B5810" s="562" t="s">
        <v>8570</v>
      </c>
      <c r="C5810" s="403">
        <v>1334</v>
      </c>
      <c r="D5810" s="400"/>
      <c r="E5810" s="400"/>
      <c r="F5810" s="400"/>
      <c r="G5810" s="400"/>
      <c r="H5810" s="396"/>
    </row>
    <row r="5811" spans="1:8" s="401" customFormat="1" ht="14.25" customHeight="1" x14ac:dyDescent="0.25">
      <c r="A5811" s="564">
        <v>5150590002</v>
      </c>
      <c r="B5811" s="562" t="s">
        <v>8571</v>
      </c>
      <c r="C5811" s="403">
        <v>1499.9959999999999</v>
      </c>
      <c r="D5811" s="400"/>
      <c r="E5811" s="400"/>
      <c r="F5811" s="400"/>
      <c r="G5811" s="400"/>
      <c r="H5811" s="396"/>
    </row>
    <row r="5812" spans="1:8" s="401" customFormat="1" ht="14.25" customHeight="1" x14ac:dyDescent="0.25">
      <c r="A5812" s="564">
        <v>5150590003</v>
      </c>
      <c r="B5812" s="562" t="s">
        <v>8571</v>
      </c>
      <c r="C5812" s="403">
        <v>1499.9959999999999</v>
      </c>
      <c r="D5812" s="400"/>
      <c r="E5812" s="400"/>
      <c r="F5812" s="400"/>
      <c r="G5812" s="400"/>
      <c r="H5812" s="396"/>
    </row>
    <row r="5813" spans="1:8" s="401" customFormat="1" ht="14.25" customHeight="1" x14ac:dyDescent="0.25">
      <c r="A5813" s="564">
        <v>5150590001</v>
      </c>
      <c r="B5813" s="562" t="s">
        <v>8571</v>
      </c>
      <c r="C5813" s="403">
        <v>4408</v>
      </c>
      <c r="D5813" s="400"/>
      <c r="E5813" s="400"/>
      <c r="F5813" s="400"/>
      <c r="G5813" s="400"/>
      <c r="H5813" s="396"/>
    </row>
    <row r="5814" spans="1:8" s="401" customFormat="1" ht="14.25" customHeight="1" x14ac:dyDescent="0.25">
      <c r="A5814" s="564">
        <v>5110940001</v>
      </c>
      <c r="B5814" s="562" t="s">
        <v>785</v>
      </c>
      <c r="C5814" s="403">
        <v>644.95999999999992</v>
      </c>
      <c r="D5814" s="400"/>
      <c r="E5814" s="400"/>
      <c r="F5814" s="400"/>
      <c r="G5814" s="400"/>
      <c r="H5814" s="396"/>
    </row>
    <row r="5815" spans="1:8" s="401" customFormat="1" ht="14.25" customHeight="1" x14ac:dyDescent="0.25">
      <c r="A5815" s="564">
        <v>5110940002</v>
      </c>
      <c r="B5815" s="562" t="s">
        <v>785</v>
      </c>
      <c r="C5815" s="403">
        <v>644.95999999999992</v>
      </c>
      <c r="D5815" s="400"/>
      <c r="E5815" s="400"/>
      <c r="F5815" s="400"/>
      <c r="G5815" s="400"/>
      <c r="H5815" s="396"/>
    </row>
    <row r="5816" spans="1:8" s="401" customFormat="1" ht="14.25" customHeight="1" x14ac:dyDescent="0.25">
      <c r="A5816" s="564">
        <v>5110940003</v>
      </c>
      <c r="B5816" s="562" t="s">
        <v>785</v>
      </c>
      <c r="C5816" s="403">
        <v>644.95999999999992</v>
      </c>
      <c r="D5816" s="400"/>
      <c r="E5816" s="400"/>
      <c r="F5816" s="400"/>
      <c r="G5816" s="400"/>
      <c r="H5816" s="396"/>
    </row>
    <row r="5817" spans="1:8" s="401" customFormat="1" ht="14.25" customHeight="1" x14ac:dyDescent="0.25">
      <c r="A5817" s="564">
        <v>5110940004</v>
      </c>
      <c r="B5817" s="562" t="s">
        <v>785</v>
      </c>
      <c r="C5817" s="403">
        <v>644.95999999999992</v>
      </c>
      <c r="D5817" s="400"/>
      <c r="E5817" s="400"/>
      <c r="F5817" s="400"/>
      <c r="G5817" s="400"/>
      <c r="H5817" s="396"/>
    </row>
    <row r="5818" spans="1:8" s="401" customFormat="1" ht="14.25" customHeight="1" x14ac:dyDescent="0.25">
      <c r="A5818" s="564">
        <v>5110940011</v>
      </c>
      <c r="B5818" s="562" t="s">
        <v>785</v>
      </c>
      <c r="C5818" s="403">
        <v>644.95999999999992</v>
      </c>
      <c r="D5818" s="400"/>
      <c r="E5818" s="400"/>
      <c r="F5818" s="400"/>
      <c r="G5818" s="400"/>
      <c r="H5818" s="396"/>
    </row>
    <row r="5819" spans="1:8" s="401" customFormat="1" ht="14.25" customHeight="1" x14ac:dyDescent="0.25">
      <c r="A5819" s="564">
        <v>5110940012</v>
      </c>
      <c r="B5819" s="562" t="s">
        <v>785</v>
      </c>
      <c r="C5819" s="403">
        <v>644.95999999999992</v>
      </c>
      <c r="D5819" s="400"/>
      <c r="E5819" s="400"/>
      <c r="F5819" s="400"/>
      <c r="G5819" s="400"/>
      <c r="H5819" s="396"/>
    </row>
    <row r="5820" spans="1:8" s="401" customFormat="1" ht="14.25" customHeight="1" x14ac:dyDescent="0.25">
      <c r="A5820" s="564">
        <v>5110940021</v>
      </c>
      <c r="B5820" s="562" t="s">
        <v>785</v>
      </c>
      <c r="C5820" s="403">
        <v>644.95999999999992</v>
      </c>
      <c r="D5820" s="400"/>
      <c r="E5820" s="400"/>
      <c r="F5820" s="400"/>
      <c r="G5820" s="400"/>
      <c r="H5820" s="396"/>
    </row>
    <row r="5821" spans="1:8" s="401" customFormat="1" ht="14.25" customHeight="1" x14ac:dyDescent="0.25">
      <c r="A5821" s="564">
        <v>5110940022</v>
      </c>
      <c r="B5821" s="562" t="s">
        <v>785</v>
      </c>
      <c r="C5821" s="403">
        <v>644.95999999999992</v>
      </c>
      <c r="D5821" s="400"/>
      <c r="E5821" s="400"/>
      <c r="F5821" s="400"/>
      <c r="G5821" s="400"/>
      <c r="H5821" s="396"/>
    </row>
    <row r="5822" spans="1:8" s="401" customFormat="1" ht="14.25" customHeight="1" x14ac:dyDescent="0.25">
      <c r="A5822" s="564">
        <v>5110940019</v>
      </c>
      <c r="B5822" s="562" t="s">
        <v>785</v>
      </c>
      <c r="C5822" s="403">
        <v>644.95999999999992</v>
      </c>
      <c r="D5822" s="400"/>
      <c r="E5822" s="400"/>
      <c r="F5822" s="400"/>
      <c r="G5822" s="400"/>
      <c r="H5822" s="396"/>
    </row>
    <row r="5823" spans="1:8" s="401" customFormat="1" ht="14.25" customHeight="1" x14ac:dyDescent="0.25">
      <c r="A5823" s="564">
        <v>5110940020</v>
      </c>
      <c r="B5823" s="562" t="s">
        <v>785</v>
      </c>
      <c r="C5823" s="403">
        <v>644.95999999999992</v>
      </c>
      <c r="D5823" s="400"/>
      <c r="E5823" s="400"/>
      <c r="F5823" s="400"/>
      <c r="G5823" s="400"/>
      <c r="H5823" s="396"/>
    </row>
    <row r="5824" spans="1:8" s="401" customFormat="1" ht="14.25" customHeight="1" x14ac:dyDescent="0.25">
      <c r="A5824" s="564">
        <v>5110940013</v>
      </c>
      <c r="B5824" s="562" t="s">
        <v>785</v>
      </c>
      <c r="C5824" s="403">
        <v>644.95999999999992</v>
      </c>
      <c r="D5824" s="400"/>
      <c r="E5824" s="400"/>
      <c r="F5824" s="400"/>
      <c r="G5824" s="400"/>
      <c r="H5824" s="396"/>
    </row>
    <row r="5825" spans="1:8" s="401" customFormat="1" ht="14.25" customHeight="1" x14ac:dyDescent="0.25">
      <c r="A5825" s="564">
        <v>5110940014</v>
      </c>
      <c r="B5825" s="562" t="s">
        <v>785</v>
      </c>
      <c r="C5825" s="403">
        <v>644.95999999999992</v>
      </c>
      <c r="D5825" s="400"/>
      <c r="E5825" s="400"/>
      <c r="F5825" s="400"/>
      <c r="G5825" s="400"/>
      <c r="H5825" s="396"/>
    </row>
    <row r="5826" spans="1:8" s="401" customFormat="1" ht="14.25" customHeight="1" x14ac:dyDescent="0.25">
      <c r="A5826" s="564">
        <v>5110940005</v>
      </c>
      <c r="B5826" s="562" t="s">
        <v>785</v>
      </c>
      <c r="C5826" s="403">
        <v>644.95999999999992</v>
      </c>
      <c r="D5826" s="400"/>
      <c r="E5826" s="400"/>
      <c r="F5826" s="400"/>
      <c r="G5826" s="400"/>
      <c r="H5826" s="396"/>
    </row>
    <row r="5827" spans="1:8" s="401" customFormat="1" ht="14.25" customHeight="1" x14ac:dyDescent="0.25">
      <c r="A5827" s="564">
        <v>5110940006</v>
      </c>
      <c r="B5827" s="562" t="s">
        <v>785</v>
      </c>
      <c r="C5827" s="403">
        <v>644.95999999999992</v>
      </c>
      <c r="D5827" s="400"/>
      <c r="E5827" s="400"/>
      <c r="F5827" s="400"/>
      <c r="G5827" s="400"/>
      <c r="H5827" s="396"/>
    </row>
    <row r="5828" spans="1:8" s="401" customFormat="1" ht="14.25" customHeight="1" x14ac:dyDescent="0.25">
      <c r="A5828" s="564">
        <v>5110940007</v>
      </c>
      <c r="B5828" s="562" t="s">
        <v>785</v>
      </c>
      <c r="C5828" s="403">
        <v>644.95999999999992</v>
      </c>
      <c r="D5828" s="400"/>
      <c r="E5828" s="400"/>
      <c r="F5828" s="400"/>
      <c r="G5828" s="400"/>
      <c r="H5828" s="396"/>
    </row>
    <row r="5829" spans="1:8" s="401" customFormat="1" ht="14.25" customHeight="1" x14ac:dyDescent="0.25">
      <c r="A5829" s="564">
        <v>5110940008</v>
      </c>
      <c r="B5829" s="562" t="s">
        <v>785</v>
      </c>
      <c r="C5829" s="403">
        <v>644.95999999999992</v>
      </c>
      <c r="D5829" s="400"/>
      <c r="E5829" s="400"/>
      <c r="F5829" s="400"/>
      <c r="G5829" s="400"/>
      <c r="H5829" s="396"/>
    </row>
    <row r="5830" spans="1:8" s="401" customFormat="1" ht="14.25" customHeight="1" x14ac:dyDescent="0.25">
      <c r="A5830" s="564">
        <v>5110940010</v>
      </c>
      <c r="B5830" s="562" t="s">
        <v>785</v>
      </c>
      <c r="C5830" s="403">
        <v>644.95999999999992</v>
      </c>
      <c r="D5830" s="400"/>
      <c r="E5830" s="400"/>
      <c r="F5830" s="400"/>
      <c r="G5830" s="400"/>
      <c r="H5830" s="396"/>
    </row>
    <row r="5831" spans="1:8" s="401" customFormat="1" ht="14.25" customHeight="1" x14ac:dyDescent="0.25">
      <c r="A5831" s="564">
        <v>5110940015</v>
      </c>
      <c r="B5831" s="562" t="s">
        <v>785</v>
      </c>
      <c r="C5831" s="403">
        <v>644.95999999999992</v>
      </c>
      <c r="D5831" s="400"/>
      <c r="E5831" s="400"/>
      <c r="F5831" s="400"/>
      <c r="G5831" s="400"/>
      <c r="H5831" s="396"/>
    </row>
    <row r="5832" spans="1:8" s="401" customFormat="1" ht="14.25" customHeight="1" x14ac:dyDescent="0.25">
      <c r="A5832" s="564">
        <v>5110940016</v>
      </c>
      <c r="B5832" s="562" t="s">
        <v>785</v>
      </c>
      <c r="C5832" s="403">
        <v>644.95999999999992</v>
      </c>
      <c r="D5832" s="400"/>
      <c r="E5832" s="400"/>
      <c r="F5832" s="400"/>
      <c r="G5832" s="400"/>
      <c r="H5832" s="396"/>
    </row>
    <row r="5833" spans="1:8" s="401" customFormat="1" ht="14.25" customHeight="1" x14ac:dyDescent="0.25">
      <c r="A5833" s="564">
        <v>5110940017</v>
      </c>
      <c r="B5833" s="562" t="s">
        <v>785</v>
      </c>
      <c r="C5833" s="403">
        <v>644.95999999999992</v>
      </c>
      <c r="D5833" s="400"/>
      <c r="E5833" s="400"/>
      <c r="F5833" s="400"/>
      <c r="G5833" s="400"/>
      <c r="H5833" s="396"/>
    </row>
    <row r="5834" spans="1:8" s="401" customFormat="1" ht="14.25" customHeight="1" x14ac:dyDescent="0.25">
      <c r="A5834" s="564">
        <v>5110940018</v>
      </c>
      <c r="B5834" s="562" t="s">
        <v>785</v>
      </c>
      <c r="C5834" s="403">
        <v>644.95999999999992</v>
      </c>
      <c r="D5834" s="400"/>
      <c r="E5834" s="400"/>
      <c r="F5834" s="400"/>
      <c r="G5834" s="400"/>
      <c r="H5834" s="396"/>
    </row>
    <row r="5835" spans="1:8" s="401" customFormat="1" ht="14.25" customHeight="1" x14ac:dyDescent="0.25">
      <c r="A5835" s="564">
        <v>5110940031</v>
      </c>
      <c r="B5835" s="562" t="s">
        <v>785</v>
      </c>
      <c r="C5835" s="403">
        <v>788.99719999999991</v>
      </c>
      <c r="D5835" s="400"/>
      <c r="E5835" s="400"/>
      <c r="F5835" s="400"/>
      <c r="G5835" s="400"/>
      <c r="H5835" s="396"/>
    </row>
    <row r="5836" spans="1:8" s="401" customFormat="1" ht="14.25" customHeight="1" x14ac:dyDescent="0.25">
      <c r="A5836" s="564">
        <v>5110940032</v>
      </c>
      <c r="B5836" s="562" t="s">
        <v>785</v>
      </c>
      <c r="C5836" s="403">
        <v>788.99719999999991</v>
      </c>
      <c r="D5836" s="400"/>
      <c r="E5836" s="400"/>
      <c r="F5836" s="400"/>
      <c r="G5836" s="400"/>
      <c r="H5836" s="396"/>
    </row>
    <row r="5837" spans="1:8" s="401" customFormat="1" ht="14.25" customHeight="1" x14ac:dyDescent="0.25">
      <c r="A5837" s="564" t="s">
        <v>8503</v>
      </c>
      <c r="B5837" s="562" t="s">
        <v>785</v>
      </c>
      <c r="C5837" s="403">
        <v>99.077727272727316</v>
      </c>
      <c r="D5837" s="400"/>
      <c r="E5837" s="400"/>
      <c r="F5837" s="400"/>
      <c r="G5837" s="400"/>
      <c r="H5837" s="396"/>
    </row>
    <row r="5838" spans="1:8" s="401" customFormat="1" ht="14.25" customHeight="1" x14ac:dyDescent="0.25">
      <c r="A5838" s="564" t="s">
        <v>8503</v>
      </c>
      <c r="B5838" s="562" t="s">
        <v>785</v>
      </c>
      <c r="C5838" s="403">
        <v>99.077727272727316</v>
      </c>
      <c r="D5838" s="400"/>
      <c r="E5838" s="400"/>
      <c r="F5838" s="400"/>
      <c r="G5838" s="400"/>
      <c r="H5838" s="396"/>
    </row>
    <row r="5839" spans="1:8" s="401" customFormat="1" ht="14.25" customHeight="1" x14ac:dyDescent="0.25">
      <c r="A5839" s="564" t="s">
        <v>8503</v>
      </c>
      <c r="B5839" s="562" t="s">
        <v>785</v>
      </c>
      <c r="C5839" s="403">
        <v>99.077727272727316</v>
      </c>
      <c r="D5839" s="400"/>
      <c r="E5839" s="400"/>
      <c r="F5839" s="400"/>
      <c r="G5839" s="400"/>
      <c r="H5839" s="396"/>
    </row>
    <row r="5840" spans="1:8" s="401" customFormat="1" ht="14.25" customHeight="1" x14ac:dyDescent="0.25">
      <c r="A5840" s="564" t="s">
        <v>8503</v>
      </c>
      <c r="B5840" s="562" t="s">
        <v>785</v>
      </c>
      <c r="C5840" s="403">
        <v>99.077727272727316</v>
      </c>
      <c r="D5840" s="400"/>
      <c r="E5840" s="400"/>
      <c r="F5840" s="400"/>
      <c r="G5840" s="400"/>
      <c r="H5840" s="396"/>
    </row>
    <row r="5841" spans="1:8" s="401" customFormat="1" ht="14.25" customHeight="1" x14ac:dyDescent="0.25">
      <c r="A5841" s="564" t="s">
        <v>8503</v>
      </c>
      <c r="B5841" s="562" t="s">
        <v>785</v>
      </c>
      <c r="C5841" s="403">
        <v>99.077727272727316</v>
      </c>
      <c r="D5841" s="400"/>
      <c r="E5841" s="400"/>
      <c r="F5841" s="400"/>
      <c r="G5841" s="400"/>
      <c r="H5841" s="396"/>
    </row>
    <row r="5842" spans="1:8" s="401" customFormat="1" ht="14.25" customHeight="1" x14ac:dyDescent="0.25">
      <c r="A5842" s="564" t="s">
        <v>8503</v>
      </c>
      <c r="B5842" s="562" t="s">
        <v>785</v>
      </c>
      <c r="C5842" s="403">
        <v>99.077727272727316</v>
      </c>
      <c r="D5842" s="400"/>
      <c r="E5842" s="400"/>
      <c r="F5842" s="400"/>
      <c r="G5842" s="400"/>
      <c r="H5842" s="396"/>
    </row>
    <row r="5843" spans="1:8" s="401" customFormat="1" ht="14.25" customHeight="1" x14ac:dyDescent="0.25">
      <c r="A5843" s="564" t="s">
        <v>8503</v>
      </c>
      <c r="B5843" s="562" t="s">
        <v>785</v>
      </c>
      <c r="C5843" s="403">
        <v>99.077727272727316</v>
      </c>
      <c r="D5843" s="400"/>
      <c r="E5843" s="400"/>
      <c r="F5843" s="400"/>
      <c r="G5843" s="400"/>
      <c r="H5843" s="396"/>
    </row>
    <row r="5844" spans="1:8" s="401" customFormat="1" ht="14.25" customHeight="1" x14ac:dyDescent="0.25">
      <c r="A5844" s="564" t="s">
        <v>8503</v>
      </c>
      <c r="B5844" s="562" t="s">
        <v>785</v>
      </c>
      <c r="C5844" s="403">
        <v>99.077727272727316</v>
      </c>
      <c r="D5844" s="400"/>
      <c r="E5844" s="400"/>
      <c r="F5844" s="400"/>
      <c r="G5844" s="400"/>
      <c r="H5844" s="396"/>
    </row>
    <row r="5845" spans="1:8" s="401" customFormat="1" ht="14.25" customHeight="1" x14ac:dyDescent="0.25">
      <c r="A5845" s="564" t="s">
        <v>8503</v>
      </c>
      <c r="B5845" s="562" t="s">
        <v>785</v>
      </c>
      <c r="C5845" s="403">
        <v>99.077727272727316</v>
      </c>
      <c r="D5845" s="400"/>
      <c r="E5845" s="400"/>
      <c r="F5845" s="400"/>
      <c r="G5845" s="400"/>
      <c r="H5845" s="396"/>
    </row>
    <row r="5846" spans="1:8" s="401" customFormat="1" ht="14.25" customHeight="1" x14ac:dyDescent="0.25">
      <c r="A5846" s="564" t="s">
        <v>8503</v>
      </c>
      <c r="B5846" s="562" t="s">
        <v>785</v>
      </c>
      <c r="C5846" s="403">
        <v>99.077727272727316</v>
      </c>
      <c r="D5846" s="400"/>
      <c r="E5846" s="400"/>
      <c r="F5846" s="400"/>
      <c r="G5846" s="400"/>
      <c r="H5846" s="396"/>
    </row>
    <row r="5847" spans="1:8" s="401" customFormat="1" ht="14.25" customHeight="1" x14ac:dyDescent="0.25">
      <c r="A5847" s="564" t="s">
        <v>8503</v>
      </c>
      <c r="B5847" s="562" t="s">
        <v>785</v>
      </c>
      <c r="C5847" s="403">
        <v>99.077727272727316</v>
      </c>
      <c r="D5847" s="400"/>
      <c r="E5847" s="400"/>
      <c r="F5847" s="400"/>
      <c r="G5847" s="400"/>
      <c r="H5847" s="396"/>
    </row>
    <row r="5848" spans="1:8" s="401" customFormat="1" ht="14.25" customHeight="1" x14ac:dyDescent="0.25">
      <c r="A5848" s="564">
        <v>5112640004</v>
      </c>
      <c r="B5848" s="562" t="s">
        <v>785</v>
      </c>
      <c r="C5848" s="403">
        <v>696</v>
      </c>
      <c r="D5848" s="400"/>
      <c r="E5848" s="400"/>
      <c r="F5848" s="400"/>
      <c r="G5848" s="400"/>
      <c r="H5848" s="396"/>
    </row>
    <row r="5849" spans="1:8" s="401" customFormat="1" ht="14.25" customHeight="1" x14ac:dyDescent="0.25">
      <c r="A5849" s="564">
        <v>5112640005</v>
      </c>
      <c r="B5849" s="562" t="s">
        <v>785</v>
      </c>
      <c r="C5849" s="403">
        <v>696</v>
      </c>
      <c r="D5849" s="400"/>
      <c r="E5849" s="400"/>
      <c r="F5849" s="400"/>
      <c r="G5849" s="400"/>
      <c r="H5849" s="396"/>
    </row>
    <row r="5850" spans="1:8" s="401" customFormat="1" ht="14.25" customHeight="1" x14ac:dyDescent="0.25">
      <c r="A5850" s="564">
        <v>5112640006</v>
      </c>
      <c r="B5850" s="562" t="s">
        <v>785</v>
      </c>
      <c r="C5850" s="403">
        <v>696</v>
      </c>
      <c r="D5850" s="400"/>
      <c r="E5850" s="400"/>
      <c r="F5850" s="400"/>
      <c r="G5850" s="400"/>
      <c r="H5850" s="396"/>
    </row>
    <row r="5851" spans="1:8" s="401" customFormat="1" ht="14.25" customHeight="1" x14ac:dyDescent="0.25">
      <c r="A5851" s="564">
        <v>5112640007</v>
      </c>
      <c r="B5851" s="562" t="s">
        <v>785</v>
      </c>
      <c r="C5851" s="403">
        <v>696</v>
      </c>
      <c r="D5851" s="400"/>
      <c r="E5851" s="400"/>
      <c r="F5851" s="400"/>
      <c r="G5851" s="400"/>
      <c r="H5851" s="396"/>
    </row>
    <row r="5852" spans="1:8" s="401" customFormat="1" ht="14.25" customHeight="1" x14ac:dyDescent="0.25">
      <c r="A5852" s="564">
        <v>5112640008</v>
      </c>
      <c r="B5852" s="562" t="s">
        <v>785</v>
      </c>
      <c r="C5852" s="403">
        <v>696</v>
      </c>
      <c r="D5852" s="400"/>
      <c r="E5852" s="400"/>
      <c r="F5852" s="400"/>
      <c r="G5852" s="400"/>
      <c r="H5852" s="396"/>
    </row>
    <row r="5853" spans="1:8" s="401" customFormat="1" ht="14.25" customHeight="1" x14ac:dyDescent="0.25">
      <c r="A5853" s="564">
        <v>5112640009</v>
      </c>
      <c r="B5853" s="562" t="s">
        <v>785</v>
      </c>
      <c r="C5853" s="403">
        <v>696</v>
      </c>
      <c r="D5853" s="400"/>
      <c r="E5853" s="400"/>
      <c r="F5853" s="400"/>
      <c r="G5853" s="400"/>
      <c r="H5853" s="396"/>
    </row>
    <row r="5854" spans="1:8" s="401" customFormat="1" ht="14.25" customHeight="1" x14ac:dyDescent="0.25">
      <c r="A5854" s="564">
        <v>5112640010</v>
      </c>
      <c r="B5854" s="562" t="s">
        <v>785</v>
      </c>
      <c r="C5854" s="403">
        <v>696</v>
      </c>
      <c r="D5854" s="400"/>
      <c r="E5854" s="400"/>
      <c r="F5854" s="400"/>
      <c r="G5854" s="400"/>
      <c r="H5854" s="396"/>
    </row>
    <row r="5855" spans="1:8" s="401" customFormat="1" ht="14.25" customHeight="1" x14ac:dyDescent="0.25">
      <c r="A5855" s="564">
        <v>5112640011</v>
      </c>
      <c r="B5855" s="562" t="s">
        <v>785</v>
      </c>
      <c r="C5855" s="403">
        <v>696</v>
      </c>
      <c r="D5855" s="400"/>
      <c r="E5855" s="400"/>
      <c r="F5855" s="400"/>
      <c r="G5855" s="400"/>
      <c r="H5855" s="396"/>
    </row>
    <row r="5856" spans="1:8" s="401" customFormat="1" ht="14.25" customHeight="1" x14ac:dyDescent="0.25">
      <c r="A5856" s="564">
        <v>5112640012</v>
      </c>
      <c r="B5856" s="562" t="s">
        <v>785</v>
      </c>
      <c r="C5856" s="403">
        <v>696</v>
      </c>
      <c r="D5856" s="400"/>
      <c r="E5856" s="400"/>
      <c r="F5856" s="400"/>
      <c r="G5856" s="400"/>
      <c r="H5856" s="396"/>
    </row>
    <row r="5857" spans="1:8" s="401" customFormat="1" ht="14.25" customHeight="1" x14ac:dyDescent="0.25">
      <c r="A5857" s="564">
        <v>5112640013</v>
      </c>
      <c r="B5857" s="562" t="s">
        <v>785</v>
      </c>
      <c r="C5857" s="403">
        <v>696</v>
      </c>
      <c r="D5857" s="400"/>
      <c r="E5857" s="400"/>
      <c r="F5857" s="400"/>
      <c r="G5857" s="400"/>
      <c r="H5857" s="396"/>
    </row>
    <row r="5858" spans="1:8" s="401" customFormat="1" ht="14.25" customHeight="1" x14ac:dyDescent="0.25">
      <c r="A5858" s="564">
        <v>5112640014</v>
      </c>
      <c r="B5858" s="562" t="s">
        <v>785</v>
      </c>
      <c r="C5858" s="403">
        <v>696</v>
      </c>
      <c r="D5858" s="400"/>
      <c r="E5858" s="400"/>
      <c r="F5858" s="400"/>
      <c r="G5858" s="400"/>
      <c r="H5858" s="396"/>
    </row>
    <row r="5859" spans="1:8" s="401" customFormat="1" ht="14.25" customHeight="1" x14ac:dyDescent="0.25">
      <c r="A5859" s="564">
        <v>5112640015</v>
      </c>
      <c r="B5859" s="562" t="s">
        <v>785</v>
      </c>
      <c r="C5859" s="403">
        <v>696</v>
      </c>
      <c r="D5859" s="400"/>
      <c r="E5859" s="400"/>
      <c r="F5859" s="400"/>
      <c r="G5859" s="400"/>
      <c r="H5859" s="396"/>
    </row>
    <row r="5860" spans="1:8" s="401" customFormat="1" ht="14.25" customHeight="1" x14ac:dyDescent="0.25">
      <c r="A5860" s="564">
        <v>5112640016</v>
      </c>
      <c r="B5860" s="562" t="s">
        <v>785</v>
      </c>
      <c r="C5860" s="403">
        <v>696</v>
      </c>
      <c r="D5860" s="400"/>
      <c r="E5860" s="400"/>
      <c r="F5860" s="400"/>
      <c r="G5860" s="400"/>
      <c r="H5860" s="396"/>
    </row>
    <row r="5861" spans="1:8" s="401" customFormat="1" ht="14.25" customHeight="1" x14ac:dyDescent="0.25">
      <c r="A5861" s="564">
        <v>5112640017</v>
      </c>
      <c r="B5861" s="562" t="s">
        <v>785</v>
      </c>
      <c r="C5861" s="403">
        <v>696</v>
      </c>
      <c r="D5861" s="400"/>
      <c r="E5861" s="400"/>
      <c r="F5861" s="400"/>
      <c r="G5861" s="400"/>
      <c r="H5861" s="396"/>
    </row>
    <row r="5862" spans="1:8" s="401" customFormat="1" ht="14.25" customHeight="1" x14ac:dyDescent="0.25">
      <c r="A5862" s="564">
        <v>5110760042</v>
      </c>
      <c r="B5862" s="562" t="s">
        <v>785</v>
      </c>
      <c r="C5862" s="403">
        <v>1999.0163999999997</v>
      </c>
      <c r="D5862" s="400"/>
      <c r="E5862" s="400"/>
      <c r="F5862" s="400"/>
      <c r="G5862" s="400"/>
      <c r="H5862" s="396"/>
    </row>
    <row r="5863" spans="1:8" s="401" customFormat="1" ht="14.25" customHeight="1" x14ac:dyDescent="0.25">
      <c r="A5863" s="564" t="s">
        <v>8513</v>
      </c>
      <c r="B5863" s="562" t="s">
        <v>785</v>
      </c>
      <c r="C5863" s="403">
        <v>69.999967999999996</v>
      </c>
      <c r="D5863" s="400"/>
      <c r="E5863" s="400"/>
      <c r="F5863" s="400"/>
      <c r="G5863" s="400"/>
      <c r="H5863" s="396"/>
    </row>
    <row r="5864" spans="1:8" s="401" customFormat="1" ht="14.25" customHeight="1" x14ac:dyDescent="0.25">
      <c r="A5864" s="564" t="s">
        <v>8513</v>
      </c>
      <c r="B5864" s="562" t="s">
        <v>785</v>
      </c>
      <c r="C5864" s="403">
        <v>69.999967999999996</v>
      </c>
      <c r="D5864" s="400"/>
      <c r="E5864" s="400"/>
      <c r="F5864" s="400"/>
      <c r="G5864" s="400"/>
      <c r="H5864" s="396"/>
    </row>
    <row r="5865" spans="1:8" s="401" customFormat="1" ht="14.25" customHeight="1" x14ac:dyDescent="0.25">
      <c r="A5865" s="564" t="s">
        <v>8513</v>
      </c>
      <c r="B5865" s="562" t="s">
        <v>785</v>
      </c>
      <c r="C5865" s="403">
        <v>69.999967999999996</v>
      </c>
      <c r="D5865" s="400"/>
      <c r="E5865" s="400"/>
      <c r="F5865" s="400"/>
      <c r="G5865" s="400"/>
      <c r="H5865" s="396"/>
    </row>
    <row r="5866" spans="1:8" s="401" customFormat="1" ht="14.25" customHeight="1" x14ac:dyDescent="0.25">
      <c r="A5866" s="564" t="s">
        <v>8513</v>
      </c>
      <c r="B5866" s="562" t="s">
        <v>785</v>
      </c>
      <c r="C5866" s="403">
        <v>69.999967999999996</v>
      </c>
      <c r="D5866" s="400"/>
      <c r="E5866" s="400"/>
      <c r="F5866" s="400"/>
      <c r="G5866" s="400"/>
      <c r="H5866" s="396"/>
    </row>
    <row r="5867" spans="1:8" s="401" customFormat="1" ht="14.25" customHeight="1" x14ac:dyDescent="0.25">
      <c r="A5867" s="564" t="s">
        <v>8513</v>
      </c>
      <c r="B5867" s="562" t="s">
        <v>785</v>
      </c>
      <c r="C5867" s="403">
        <v>69.999967999999996</v>
      </c>
      <c r="D5867" s="400"/>
      <c r="E5867" s="400"/>
      <c r="F5867" s="400"/>
      <c r="G5867" s="400"/>
      <c r="H5867" s="396"/>
    </row>
    <row r="5868" spans="1:8" s="401" customFormat="1" ht="14.25" customHeight="1" x14ac:dyDescent="0.25">
      <c r="A5868" s="564" t="s">
        <v>8513</v>
      </c>
      <c r="B5868" s="562" t="s">
        <v>785</v>
      </c>
      <c r="C5868" s="403">
        <v>69.999967999999996</v>
      </c>
      <c r="D5868" s="400"/>
      <c r="E5868" s="400"/>
      <c r="F5868" s="400"/>
      <c r="G5868" s="400"/>
      <c r="H5868" s="396"/>
    </row>
    <row r="5869" spans="1:8" s="401" customFormat="1" ht="14.25" customHeight="1" x14ac:dyDescent="0.25">
      <c r="A5869" s="564" t="s">
        <v>8513</v>
      </c>
      <c r="B5869" s="562" t="s">
        <v>785</v>
      </c>
      <c r="C5869" s="403">
        <v>69.999967999999996</v>
      </c>
      <c r="D5869" s="400"/>
      <c r="E5869" s="400"/>
      <c r="F5869" s="400"/>
      <c r="G5869" s="400"/>
      <c r="H5869" s="396"/>
    </row>
    <row r="5870" spans="1:8" s="401" customFormat="1" ht="14.25" customHeight="1" x14ac:dyDescent="0.25">
      <c r="A5870" s="564" t="s">
        <v>8513</v>
      </c>
      <c r="B5870" s="562" t="s">
        <v>785</v>
      </c>
      <c r="C5870" s="403">
        <v>69.999967999999996</v>
      </c>
      <c r="D5870" s="400"/>
      <c r="E5870" s="400"/>
      <c r="F5870" s="400"/>
      <c r="G5870" s="400"/>
      <c r="H5870" s="396"/>
    </row>
    <row r="5871" spans="1:8" s="401" customFormat="1" ht="14.25" customHeight="1" x14ac:dyDescent="0.25">
      <c r="A5871" s="564" t="s">
        <v>8513</v>
      </c>
      <c r="B5871" s="562" t="s">
        <v>785</v>
      </c>
      <c r="C5871" s="403">
        <v>69.999967999999996</v>
      </c>
      <c r="D5871" s="400"/>
      <c r="E5871" s="400"/>
      <c r="F5871" s="400"/>
      <c r="G5871" s="400"/>
      <c r="H5871" s="396"/>
    </row>
    <row r="5872" spans="1:8" s="401" customFormat="1" ht="14.25" customHeight="1" x14ac:dyDescent="0.25">
      <c r="A5872" s="564" t="s">
        <v>8513</v>
      </c>
      <c r="B5872" s="562" t="s">
        <v>785</v>
      </c>
      <c r="C5872" s="403">
        <v>69.999967999999996</v>
      </c>
      <c r="D5872" s="400"/>
      <c r="E5872" s="400"/>
      <c r="F5872" s="400"/>
      <c r="G5872" s="400"/>
      <c r="H5872" s="396"/>
    </row>
    <row r="5873" spans="1:8" s="401" customFormat="1" ht="14.25" customHeight="1" x14ac:dyDescent="0.25">
      <c r="A5873" s="564" t="s">
        <v>8513</v>
      </c>
      <c r="B5873" s="562" t="s">
        <v>785</v>
      </c>
      <c r="C5873" s="403">
        <v>69.999967999999996</v>
      </c>
      <c r="D5873" s="400"/>
      <c r="E5873" s="400"/>
      <c r="F5873" s="400"/>
      <c r="G5873" s="400"/>
      <c r="H5873" s="396"/>
    </row>
    <row r="5874" spans="1:8" s="401" customFormat="1" ht="14.25" customHeight="1" x14ac:dyDescent="0.25">
      <c r="A5874" s="564" t="s">
        <v>8513</v>
      </c>
      <c r="B5874" s="562" t="s">
        <v>785</v>
      </c>
      <c r="C5874" s="403">
        <v>69.999967999999996</v>
      </c>
      <c r="D5874" s="400"/>
      <c r="E5874" s="400"/>
      <c r="F5874" s="400"/>
      <c r="G5874" s="400"/>
      <c r="H5874" s="396"/>
    </row>
    <row r="5875" spans="1:8" s="401" customFormat="1" ht="14.25" customHeight="1" x14ac:dyDescent="0.25">
      <c r="A5875" s="564" t="s">
        <v>8513</v>
      </c>
      <c r="B5875" s="562" t="s">
        <v>785</v>
      </c>
      <c r="C5875" s="403">
        <v>69.999967999999996</v>
      </c>
      <c r="D5875" s="400"/>
      <c r="E5875" s="400"/>
      <c r="F5875" s="400"/>
      <c r="G5875" s="400"/>
      <c r="H5875" s="396"/>
    </row>
    <row r="5876" spans="1:8" s="401" customFormat="1" ht="14.25" customHeight="1" x14ac:dyDescent="0.25">
      <c r="A5876" s="564" t="s">
        <v>8513</v>
      </c>
      <c r="B5876" s="562" t="s">
        <v>785</v>
      </c>
      <c r="C5876" s="403">
        <v>69.999967999999996</v>
      </c>
      <c r="D5876" s="400"/>
      <c r="E5876" s="400"/>
      <c r="F5876" s="400"/>
      <c r="G5876" s="400"/>
      <c r="H5876" s="396"/>
    </row>
    <row r="5877" spans="1:8" s="401" customFormat="1" ht="14.25" customHeight="1" x14ac:dyDescent="0.25">
      <c r="A5877" s="564" t="s">
        <v>8513</v>
      </c>
      <c r="B5877" s="562" t="s">
        <v>785</v>
      </c>
      <c r="C5877" s="403">
        <v>69.999967999999996</v>
      </c>
      <c r="D5877" s="400"/>
      <c r="E5877" s="400"/>
      <c r="F5877" s="400"/>
      <c r="G5877" s="400"/>
      <c r="H5877" s="396"/>
    </row>
    <row r="5878" spans="1:8" s="401" customFormat="1" ht="14.25" customHeight="1" x14ac:dyDescent="0.25">
      <c r="A5878" s="564" t="s">
        <v>8513</v>
      </c>
      <c r="B5878" s="562" t="s">
        <v>785</v>
      </c>
      <c r="C5878" s="403">
        <v>69.999967999999996</v>
      </c>
      <c r="D5878" s="400"/>
      <c r="E5878" s="400"/>
      <c r="F5878" s="400"/>
      <c r="G5878" s="400"/>
      <c r="H5878" s="396"/>
    </row>
    <row r="5879" spans="1:8" s="401" customFormat="1" ht="14.25" customHeight="1" x14ac:dyDescent="0.25">
      <c r="A5879" s="564" t="s">
        <v>8513</v>
      </c>
      <c r="B5879" s="562" t="s">
        <v>785</v>
      </c>
      <c r="C5879" s="403">
        <v>69.999967999999996</v>
      </c>
      <c r="D5879" s="400"/>
      <c r="E5879" s="400"/>
      <c r="F5879" s="400"/>
      <c r="G5879" s="400"/>
      <c r="H5879" s="396"/>
    </row>
    <row r="5880" spans="1:8" s="401" customFormat="1" ht="14.25" customHeight="1" x14ac:dyDescent="0.25">
      <c r="A5880" s="564" t="s">
        <v>8513</v>
      </c>
      <c r="B5880" s="562" t="s">
        <v>785</v>
      </c>
      <c r="C5880" s="403">
        <v>69.999967999999996</v>
      </c>
      <c r="D5880" s="400"/>
      <c r="E5880" s="400"/>
      <c r="F5880" s="400"/>
      <c r="G5880" s="400"/>
      <c r="H5880" s="396"/>
    </row>
    <row r="5881" spans="1:8" s="401" customFormat="1" ht="14.25" customHeight="1" x14ac:dyDescent="0.25">
      <c r="A5881" s="564" t="s">
        <v>8513</v>
      </c>
      <c r="B5881" s="562" t="s">
        <v>785</v>
      </c>
      <c r="C5881" s="403">
        <v>69.999967999999996</v>
      </c>
      <c r="D5881" s="400"/>
      <c r="E5881" s="400"/>
      <c r="F5881" s="400"/>
      <c r="G5881" s="400"/>
      <c r="H5881" s="396"/>
    </row>
    <row r="5882" spans="1:8" s="401" customFormat="1" ht="14.25" customHeight="1" x14ac:dyDescent="0.25">
      <c r="A5882" s="564" t="s">
        <v>8513</v>
      </c>
      <c r="B5882" s="562" t="s">
        <v>785</v>
      </c>
      <c r="C5882" s="403">
        <v>69.999967999999996</v>
      </c>
      <c r="D5882" s="400"/>
      <c r="E5882" s="400"/>
      <c r="F5882" s="400"/>
      <c r="G5882" s="400"/>
      <c r="H5882" s="396"/>
    </row>
    <row r="5883" spans="1:8" s="401" customFormat="1" ht="14.25" customHeight="1" x14ac:dyDescent="0.25">
      <c r="A5883" s="564" t="s">
        <v>8513</v>
      </c>
      <c r="B5883" s="562" t="s">
        <v>785</v>
      </c>
      <c r="C5883" s="403">
        <v>69.999967999999996</v>
      </c>
      <c r="D5883" s="400"/>
      <c r="E5883" s="400"/>
      <c r="F5883" s="400"/>
      <c r="G5883" s="400"/>
      <c r="H5883" s="396"/>
    </row>
    <row r="5884" spans="1:8" s="401" customFormat="1" ht="14.25" customHeight="1" x14ac:dyDescent="0.25">
      <c r="A5884" s="564" t="s">
        <v>8513</v>
      </c>
      <c r="B5884" s="562" t="s">
        <v>785</v>
      </c>
      <c r="C5884" s="403">
        <v>69.999967999999996</v>
      </c>
      <c r="D5884" s="400"/>
      <c r="E5884" s="400"/>
      <c r="F5884" s="400"/>
      <c r="G5884" s="400"/>
      <c r="H5884" s="396"/>
    </row>
    <row r="5885" spans="1:8" s="401" customFormat="1" ht="14.25" customHeight="1" x14ac:dyDescent="0.25">
      <c r="A5885" s="564" t="s">
        <v>8513</v>
      </c>
      <c r="B5885" s="562" t="s">
        <v>785</v>
      </c>
      <c r="C5885" s="403">
        <v>69.999967999999996</v>
      </c>
      <c r="D5885" s="400"/>
      <c r="E5885" s="400"/>
      <c r="F5885" s="400"/>
      <c r="G5885" s="400"/>
      <c r="H5885" s="396"/>
    </row>
    <row r="5886" spans="1:8" s="401" customFormat="1" ht="14.25" customHeight="1" x14ac:dyDescent="0.25">
      <c r="A5886" s="564" t="s">
        <v>8513</v>
      </c>
      <c r="B5886" s="562" t="s">
        <v>785</v>
      </c>
      <c r="C5886" s="403">
        <v>69.999967999999996</v>
      </c>
      <c r="D5886" s="400"/>
      <c r="E5886" s="400"/>
      <c r="F5886" s="400"/>
      <c r="G5886" s="400"/>
      <c r="H5886" s="396"/>
    </row>
    <row r="5887" spans="1:8" s="401" customFormat="1" ht="14.25" customHeight="1" x14ac:dyDescent="0.25">
      <c r="A5887" s="564" t="s">
        <v>8513</v>
      </c>
      <c r="B5887" s="562" t="s">
        <v>785</v>
      </c>
      <c r="C5887" s="403">
        <v>69.999967999999996</v>
      </c>
      <c r="D5887" s="400"/>
      <c r="E5887" s="400"/>
      <c r="F5887" s="400"/>
      <c r="G5887" s="400"/>
      <c r="H5887" s="396"/>
    </row>
    <row r="5888" spans="1:8" s="401" customFormat="1" ht="14.25" customHeight="1" x14ac:dyDescent="0.25">
      <c r="A5888" s="564" t="s">
        <v>8513</v>
      </c>
      <c r="B5888" s="562" t="s">
        <v>785</v>
      </c>
      <c r="C5888" s="403">
        <v>69.999967999999996</v>
      </c>
      <c r="D5888" s="400"/>
      <c r="E5888" s="400"/>
      <c r="F5888" s="400"/>
      <c r="G5888" s="400"/>
      <c r="H5888" s="396"/>
    </row>
    <row r="5889" spans="1:8" s="401" customFormat="1" ht="14.25" customHeight="1" x14ac:dyDescent="0.25">
      <c r="A5889" s="564" t="s">
        <v>8513</v>
      </c>
      <c r="B5889" s="562" t="s">
        <v>785</v>
      </c>
      <c r="C5889" s="403">
        <v>69.999967999999996</v>
      </c>
      <c r="D5889" s="400"/>
      <c r="E5889" s="400"/>
      <c r="F5889" s="400"/>
      <c r="G5889" s="400"/>
      <c r="H5889" s="396"/>
    </row>
    <row r="5890" spans="1:8" s="401" customFormat="1" ht="14.25" customHeight="1" x14ac:dyDescent="0.25">
      <c r="A5890" s="564" t="s">
        <v>8513</v>
      </c>
      <c r="B5890" s="562" t="s">
        <v>785</v>
      </c>
      <c r="C5890" s="403">
        <v>69.999967999999996</v>
      </c>
      <c r="D5890" s="400"/>
      <c r="E5890" s="400"/>
      <c r="F5890" s="400"/>
      <c r="G5890" s="400"/>
      <c r="H5890" s="396"/>
    </row>
    <row r="5891" spans="1:8" s="401" customFormat="1" ht="14.25" customHeight="1" x14ac:dyDescent="0.25">
      <c r="A5891" s="564" t="s">
        <v>8513</v>
      </c>
      <c r="B5891" s="562" t="s">
        <v>785</v>
      </c>
      <c r="C5891" s="403">
        <v>69.999967999999996</v>
      </c>
      <c r="D5891" s="400"/>
      <c r="E5891" s="400"/>
      <c r="F5891" s="400"/>
      <c r="G5891" s="400"/>
      <c r="H5891" s="396"/>
    </row>
    <row r="5892" spans="1:8" s="401" customFormat="1" ht="14.25" customHeight="1" x14ac:dyDescent="0.25">
      <c r="A5892" s="564" t="s">
        <v>8513</v>
      </c>
      <c r="B5892" s="562" t="s">
        <v>785</v>
      </c>
      <c r="C5892" s="403">
        <v>69.999967999999996</v>
      </c>
      <c r="D5892" s="400"/>
      <c r="E5892" s="400"/>
      <c r="F5892" s="400"/>
      <c r="G5892" s="400"/>
      <c r="H5892" s="396"/>
    </row>
    <row r="5893" spans="1:8" s="401" customFormat="1" ht="14.25" customHeight="1" x14ac:dyDescent="0.25">
      <c r="A5893" s="564" t="s">
        <v>8504</v>
      </c>
      <c r="B5893" s="562" t="s">
        <v>785</v>
      </c>
      <c r="C5893" s="403">
        <v>310.5</v>
      </c>
      <c r="D5893" s="400"/>
      <c r="E5893" s="400"/>
      <c r="F5893" s="400"/>
      <c r="G5893" s="400"/>
      <c r="H5893" s="396"/>
    </row>
    <row r="5894" spans="1:8" s="401" customFormat="1" ht="14.25" customHeight="1" x14ac:dyDescent="0.25">
      <c r="A5894" s="564" t="s">
        <v>8504</v>
      </c>
      <c r="B5894" s="562" t="s">
        <v>785</v>
      </c>
      <c r="C5894" s="403">
        <v>310.5</v>
      </c>
      <c r="D5894" s="400"/>
      <c r="E5894" s="400"/>
      <c r="F5894" s="400"/>
      <c r="G5894" s="400"/>
      <c r="H5894" s="396"/>
    </row>
    <row r="5895" spans="1:8" s="401" customFormat="1" ht="14.25" customHeight="1" x14ac:dyDescent="0.25">
      <c r="A5895" s="564" t="s">
        <v>8504</v>
      </c>
      <c r="B5895" s="562" t="s">
        <v>785</v>
      </c>
      <c r="C5895" s="403">
        <v>310.5</v>
      </c>
      <c r="D5895" s="400"/>
      <c r="E5895" s="400"/>
      <c r="F5895" s="400"/>
      <c r="G5895" s="400"/>
      <c r="H5895" s="396"/>
    </row>
    <row r="5896" spans="1:8" s="401" customFormat="1" ht="14.25" customHeight="1" x14ac:dyDescent="0.25">
      <c r="A5896" s="564" t="s">
        <v>8505</v>
      </c>
      <c r="B5896" s="562" t="s">
        <v>785</v>
      </c>
      <c r="C5896" s="403">
        <v>164.56742857142854</v>
      </c>
      <c r="D5896" s="400"/>
      <c r="E5896" s="400"/>
      <c r="F5896" s="400"/>
      <c r="G5896" s="400"/>
      <c r="H5896" s="396"/>
    </row>
    <row r="5897" spans="1:8" s="401" customFormat="1" ht="14.25" customHeight="1" x14ac:dyDescent="0.25">
      <c r="A5897" s="564" t="s">
        <v>8505</v>
      </c>
      <c r="B5897" s="562" t="s">
        <v>785</v>
      </c>
      <c r="C5897" s="403">
        <v>164.56742857142854</v>
      </c>
      <c r="D5897" s="400"/>
      <c r="E5897" s="400"/>
      <c r="F5897" s="400"/>
      <c r="G5897" s="400"/>
      <c r="H5897" s="396"/>
    </row>
    <row r="5898" spans="1:8" s="401" customFormat="1" ht="14.25" customHeight="1" x14ac:dyDescent="0.25">
      <c r="A5898" s="564" t="s">
        <v>8505</v>
      </c>
      <c r="B5898" s="562" t="s">
        <v>785</v>
      </c>
      <c r="C5898" s="403">
        <v>164.56742857142854</v>
      </c>
      <c r="D5898" s="400"/>
      <c r="E5898" s="400"/>
      <c r="F5898" s="400"/>
      <c r="G5898" s="400"/>
      <c r="H5898" s="396"/>
    </row>
    <row r="5899" spans="1:8" s="401" customFormat="1" ht="14.25" customHeight="1" x14ac:dyDescent="0.25">
      <c r="A5899" s="564" t="s">
        <v>8505</v>
      </c>
      <c r="B5899" s="562" t="s">
        <v>785</v>
      </c>
      <c r="C5899" s="403">
        <v>164.56742857142854</v>
      </c>
      <c r="D5899" s="400"/>
      <c r="E5899" s="400"/>
      <c r="F5899" s="400"/>
      <c r="G5899" s="400"/>
      <c r="H5899" s="396"/>
    </row>
    <row r="5900" spans="1:8" s="401" customFormat="1" ht="14.25" customHeight="1" x14ac:dyDescent="0.25">
      <c r="A5900" s="564" t="s">
        <v>8505</v>
      </c>
      <c r="B5900" s="562" t="s">
        <v>785</v>
      </c>
      <c r="C5900" s="403">
        <v>164.56742857142854</v>
      </c>
      <c r="D5900" s="400"/>
      <c r="E5900" s="400"/>
      <c r="F5900" s="400"/>
      <c r="G5900" s="400"/>
      <c r="H5900" s="396"/>
    </row>
    <row r="5901" spans="1:8" s="401" customFormat="1" ht="14.25" customHeight="1" x14ac:dyDescent="0.25">
      <c r="A5901" s="564" t="s">
        <v>8505</v>
      </c>
      <c r="B5901" s="562" t="s">
        <v>785</v>
      </c>
      <c r="C5901" s="403">
        <v>164.56742857142854</v>
      </c>
      <c r="D5901" s="400"/>
      <c r="E5901" s="400"/>
      <c r="F5901" s="400"/>
      <c r="G5901" s="400"/>
      <c r="H5901" s="396"/>
    </row>
    <row r="5902" spans="1:8" s="401" customFormat="1" ht="14.25" customHeight="1" x14ac:dyDescent="0.25">
      <c r="A5902" s="564" t="s">
        <v>8505</v>
      </c>
      <c r="B5902" s="562" t="s">
        <v>785</v>
      </c>
      <c r="C5902" s="403">
        <v>164.56742857142854</v>
      </c>
      <c r="D5902" s="400"/>
      <c r="E5902" s="400"/>
      <c r="F5902" s="400"/>
      <c r="G5902" s="400"/>
      <c r="H5902" s="396"/>
    </row>
    <row r="5903" spans="1:8" s="401" customFormat="1" ht="14.25" customHeight="1" x14ac:dyDescent="0.25">
      <c r="A5903" s="564">
        <v>5112670030</v>
      </c>
      <c r="B5903" s="562" t="s">
        <v>785</v>
      </c>
      <c r="C5903" s="403">
        <v>1328.1999999999998</v>
      </c>
      <c r="D5903" s="400"/>
      <c r="E5903" s="400"/>
      <c r="F5903" s="400"/>
      <c r="G5903" s="400"/>
      <c r="H5903" s="396"/>
    </row>
    <row r="5904" spans="1:8" s="401" customFormat="1" ht="14.25" customHeight="1" x14ac:dyDescent="0.25">
      <c r="A5904" s="564">
        <v>5112670031</v>
      </c>
      <c r="B5904" s="562" t="s">
        <v>785</v>
      </c>
      <c r="C5904" s="403">
        <v>1328.1999999999998</v>
      </c>
      <c r="D5904" s="400"/>
      <c r="E5904" s="400"/>
      <c r="F5904" s="400"/>
      <c r="G5904" s="400"/>
      <c r="H5904" s="396"/>
    </row>
    <row r="5905" spans="1:8" s="401" customFormat="1" ht="14.25" customHeight="1" x14ac:dyDescent="0.25">
      <c r="A5905" s="564">
        <v>5112670012</v>
      </c>
      <c r="B5905" s="562" t="s">
        <v>785</v>
      </c>
      <c r="C5905" s="403">
        <v>1490.6</v>
      </c>
      <c r="D5905" s="400"/>
      <c r="E5905" s="400"/>
      <c r="F5905" s="400"/>
      <c r="G5905" s="400"/>
      <c r="H5905" s="396"/>
    </row>
    <row r="5906" spans="1:8" s="401" customFormat="1" ht="14.25" customHeight="1" x14ac:dyDescent="0.25">
      <c r="A5906" s="564">
        <v>5112670013</v>
      </c>
      <c r="B5906" s="562" t="s">
        <v>785</v>
      </c>
      <c r="C5906" s="403">
        <v>1490.6</v>
      </c>
      <c r="D5906" s="400"/>
      <c r="E5906" s="400"/>
      <c r="F5906" s="400"/>
      <c r="G5906" s="400"/>
      <c r="H5906" s="396"/>
    </row>
    <row r="5907" spans="1:8" s="401" customFormat="1" ht="14.25" customHeight="1" x14ac:dyDescent="0.25">
      <c r="A5907" s="564">
        <v>5112670014</v>
      </c>
      <c r="B5907" s="562" t="s">
        <v>785</v>
      </c>
      <c r="C5907" s="403">
        <v>1490.6</v>
      </c>
      <c r="D5907" s="400"/>
      <c r="E5907" s="400"/>
      <c r="F5907" s="400"/>
      <c r="G5907" s="400"/>
      <c r="H5907" s="396"/>
    </row>
    <row r="5908" spans="1:8" s="401" customFormat="1" ht="14.25" customHeight="1" x14ac:dyDescent="0.25">
      <c r="A5908" s="564">
        <v>5112670015</v>
      </c>
      <c r="B5908" s="562" t="s">
        <v>785</v>
      </c>
      <c r="C5908" s="403">
        <v>1490.6</v>
      </c>
      <c r="D5908" s="400"/>
      <c r="E5908" s="400"/>
      <c r="F5908" s="400"/>
      <c r="G5908" s="400"/>
      <c r="H5908" s="396"/>
    </row>
    <row r="5909" spans="1:8" s="401" customFormat="1" ht="14.25" customHeight="1" x14ac:dyDescent="0.25">
      <c r="A5909" s="564">
        <v>5112670016</v>
      </c>
      <c r="B5909" s="562" t="s">
        <v>785</v>
      </c>
      <c r="C5909" s="403">
        <v>1490.6</v>
      </c>
      <c r="D5909" s="400"/>
      <c r="E5909" s="400"/>
      <c r="F5909" s="400"/>
      <c r="G5909" s="400"/>
      <c r="H5909" s="396"/>
    </row>
    <row r="5910" spans="1:8" s="401" customFormat="1" ht="14.25" customHeight="1" x14ac:dyDescent="0.25">
      <c r="A5910" s="564">
        <v>5112670032</v>
      </c>
      <c r="B5910" s="562" t="s">
        <v>785</v>
      </c>
      <c r="C5910" s="403">
        <v>1490.6</v>
      </c>
      <c r="D5910" s="400"/>
      <c r="E5910" s="400"/>
      <c r="F5910" s="400"/>
      <c r="G5910" s="400"/>
      <c r="H5910" s="396"/>
    </row>
    <row r="5911" spans="1:8" s="401" customFormat="1" ht="14.25" customHeight="1" x14ac:dyDescent="0.25">
      <c r="A5911" s="564">
        <v>5112670033</v>
      </c>
      <c r="B5911" s="562" t="s">
        <v>785</v>
      </c>
      <c r="C5911" s="403">
        <v>1490.6</v>
      </c>
      <c r="D5911" s="400"/>
      <c r="E5911" s="400"/>
      <c r="F5911" s="400"/>
      <c r="G5911" s="400"/>
      <c r="H5911" s="396"/>
    </row>
    <row r="5912" spans="1:8" s="401" customFormat="1" ht="14.25" customHeight="1" x14ac:dyDescent="0.25">
      <c r="A5912" s="564">
        <v>5112670043</v>
      </c>
      <c r="B5912" s="562" t="s">
        <v>785</v>
      </c>
      <c r="C5912" s="403">
        <v>1473.2</v>
      </c>
      <c r="D5912" s="400"/>
      <c r="E5912" s="400"/>
      <c r="F5912" s="400"/>
      <c r="G5912" s="400"/>
      <c r="H5912" s="396"/>
    </row>
    <row r="5913" spans="1:8" s="401" customFormat="1" ht="14.25" customHeight="1" x14ac:dyDescent="0.25">
      <c r="A5913" s="564">
        <v>5112670044</v>
      </c>
      <c r="B5913" s="562" t="s">
        <v>785</v>
      </c>
      <c r="C5913" s="403">
        <v>1473.2</v>
      </c>
      <c r="D5913" s="400"/>
      <c r="E5913" s="400"/>
      <c r="F5913" s="400"/>
      <c r="G5913" s="400"/>
      <c r="H5913" s="396"/>
    </row>
    <row r="5914" spans="1:8" s="401" customFormat="1" ht="14.25" customHeight="1" x14ac:dyDescent="0.25">
      <c r="A5914" s="564">
        <v>5112670029</v>
      </c>
      <c r="B5914" s="562" t="s">
        <v>785</v>
      </c>
      <c r="C5914" s="403">
        <v>1497.56</v>
      </c>
      <c r="D5914" s="400"/>
      <c r="E5914" s="400"/>
      <c r="F5914" s="400"/>
      <c r="G5914" s="400"/>
      <c r="H5914" s="396"/>
    </row>
    <row r="5915" spans="1:8" s="401" customFormat="1" ht="14.25" customHeight="1" x14ac:dyDescent="0.25">
      <c r="A5915" s="564">
        <v>5112670023</v>
      </c>
      <c r="B5915" s="562" t="s">
        <v>785</v>
      </c>
      <c r="C5915" s="403">
        <v>1497.56</v>
      </c>
      <c r="D5915" s="400"/>
      <c r="E5915" s="400"/>
      <c r="F5915" s="400"/>
      <c r="G5915" s="400"/>
      <c r="H5915" s="396"/>
    </row>
    <row r="5916" spans="1:8" s="401" customFormat="1" ht="14.25" customHeight="1" x14ac:dyDescent="0.25">
      <c r="A5916" s="564">
        <v>5112670018</v>
      </c>
      <c r="B5916" s="562" t="s">
        <v>785</v>
      </c>
      <c r="C5916" s="403">
        <v>1497.56</v>
      </c>
      <c r="D5916" s="400"/>
      <c r="E5916" s="400"/>
      <c r="F5916" s="400"/>
      <c r="G5916" s="400"/>
      <c r="H5916" s="396"/>
    </row>
    <row r="5917" spans="1:8" s="401" customFormat="1" ht="14.25" customHeight="1" x14ac:dyDescent="0.25">
      <c r="A5917" s="564">
        <v>5112670019</v>
      </c>
      <c r="B5917" s="562" t="s">
        <v>785</v>
      </c>
      <c r="C5917" s="403">
        <v>1497.56</v>
      </c>
      <c r="D5917" s="400"/>
      <c r="E5917" s="400"/>
      <c r="F5917" s="400"/>
      <c r="G5917" s="400"/>
      <c r="H5917" s="396"/>
    </row>
    <row r="5918" spans="1:8" s="401" customFormat="1" ht="14.25" customHeight="1" x14ac:dyDescent="0.25">
      <c r="A5918" s="564">
        <v>5112670020</v>
      </c>
      <c r="B5918" s="562" t="s">
        <v>785</v>
      </c>
      <c r="C5918" s="403">
        <v>1497.56</v>
      </c>
      <c r="D5918" s="400"/>
      <c r="E5918" s="400"/>
      <c r="F5918" s="400"/>
      <c r="G5918" s="400"/>
      <c r="H5918" s="396"/>
    </row>
    <row r="5919" spans="1:8" s="401" customFormat="1" ht="14.25" customHeight="1" x14ac:dyDescent="0.25">
      <c r="A5919" s="564">
        <v>5112670021</v>
      </c>
      <c r="B5919" s="562" t="s">
        <v>785</v>
      </c>
      <c r="C5919" s="403">
        <v>1497.56</v>
      </c>
      <c r="D5919" s="400"/>
      <c r="E5919" s="400"/>
      <c r="F5919" s="400"/>
      <c r="G5919" s="400"/>
      <c r="H5919" s="396"/>
    </row>
    <row r="5920" spans="1:8" s="401" customFormat="1" ht="14.25" customHeight="1" x14ac:dyDescent="0.25">
      <c r="A5920" s="564">
        <v>5112670022</v>
      </c>
      <c r="B5920" s="562" t="s">
        <v>785</v>
      </c>
      <c r="C5920" s="403">
        <v>1497.56</v>
      </c>
      <c r="D5920" s="400"/>
      <c r="E5920" s="400"/>
      <c r="F5920" s="400"/>
      <c r="G5920" s="400"/>
      <c r="H5920" s="396"/>
    </row>
    <row r="5921" spans="1:8" s="401" customFormat="1" ht="14.25" customHeight="1" x14ac:dyDescent="0.25">
      <c r="A5921" s="564">
        <v>5112670024</v>
      </c>
      <c r="B5921" s="562" t="s">
        <v>785</v>
      </c>
      <c r="C5921" s="403">
        <v>1497.56</v>
      </c>
      <c r="D5921" s="400"/>
      <c r="E5921" s="400"/>
      <c r="F5921" s="400"/>
      <c r="G5921" s="400"/>
      <c r="H5921" s="396"/>
    </row>
    <row r="5922" spans="1:8" s="401" customFormat="1" ht="14.25" customHeight="1" x14ac:dyDescent="0.25">
      <c r="A5922" s="564">
        <v>5112670025</v>
      </c>
      <c r="B5922" s="562" t="s">
        <v>785</v>
      </c>
      <c r="C5922" s="403">
        <v>1497.56</v>
      </c>
      <c r="D5922" s="400"/>
      <c r="E5922" s="400"/>
      <c r="F5922" s="400"/>
      <c r="G5922" s="400"/>
      <c r="H5922" s="396"/>
    </row>
    <row r="5923" spans="1:8" s="401" customFormat="1" ht="14.25" customHeight="1" x14ac:dyDescent="0.25">
      <c r="A5923" s="564">
        <v>5112670026</v>
      </c>
      <c r="B5923" s="562" t="s">
        <v>785</v>
      </c>
      <c r="C5923" s="403">
        <v>1497.5599999999997</v>
      </c>
      <c r="D5923" s="400"/>
      <c r="E5923" s="400"/>
      <c r="F5923" s="400"/>
      <c r="G5923" s="400"/>
      <c r="H5923" s="396"/>
    </row>
    <row r="5924" spans="1:8" s="401" customFormat="1" ht="14.25" customHeight="1" x14ac:dyDescent="0.25">
      <c r="A5924" s="564">
        <v>5112670027</v>
      </c>
      <c r="B5924" s="562" t="s">
        <v>785</v>
      </c>
      <c r="C5924" s="403">
        <v>1497.5599999999997</v>
      </c>
      <c r="D5924" s="400"/>
      <c r="E5924" s="400"/>
      <c r="F5924" s="400"/>
      <c r="G5924" s="400"/>
      <c r="H5924" s="396"/>
    </row>
    <row r="5925" spans="1:8" s="401" customFormat="1" ht="14.25" customHeight="1" x14ac:dyDescent="0.25">
      <c r="A5925" s="564">
        <v>5112670028</v>
      </c>
      <c r="B5925" s="562" t="s">
        <v>785</v>
      </c>
      <c r="C5925" s="403">
        <v>1497.5599999999997</v>
      </c>
      <c r="D5925" s="400"/>
      <c r="E5925" s="400"/>
      <c r="F5925" s="400"/>
      <c r="G5925" s="400"/>
      <c r="H5925" s="396"/>
    </row>
    <row r="5926" spans="1:8" s="401" customFormat="1" ht="14.25" customHeight="1" x14ac:dyDescent="0.25">
      <c r="A5926" s="564">
        <v>5112670017</v>
      </c>
      <c r="B5926" s="562" t="s">
        <v>785</v>
      </c>
      <c r="C5926" s="403">
        <v>1497.56</v>
      </c>
      <c r="D5926" s="400"/>
      <c r="E5926" s="400"/>
      <c r="F5926" s="400"/>
      <c r="G5926" s="400"/>
      <c r="H5926" s="396"/>
    </row>
    <row r="5927" spans="1:8" s="401" customFormat="1" ht="14.25" customHeight="1" x14ac:dyDescent="0.25">
      <c r="A5927" s="564">
        <v>5112670036</v>
      </c>
      <c r="B5927" s="562" t="s">
        <v>785</v>
      </c>
      <c r="C5927" s="403">
        <v>1571.8</v>
      </c>
      <c r="D5927" s="400"/>
      <c r="E5927" s="400"/>
      <c r="F5927" s="400"/>
      <c r="G5927" s="400"/>
      <c r="H5927" s="396"/>
    </row>
    <row r="5928" spans="1:8" s="401" customFormat="1" ht="14.25" customHeight="1" x14ac:dyDescent="0.25">
      <c r="A5928" s="564">
        <v>5112670037</v>
      </c>
      <c r="B5928" s="562" t="s">
        <v>785</v>
      </c>
      <c r="C5928" s="403">
        <v>1571.8</v>
      </c>
      <c r="D5928" s="400"/>
      <c r="E5928" s="400"/>
      <c r="F5928" s="400"/>
      <c r="G5928" s="400"/>
      <c r="H5928" s="396"/>
    </row>
    <row r="5929" spans="1:8" s="401" customFormat="1" ht="14.25" customHeight="1" x14ac:dyDescent="0.25">
      <c r="A5929" s="564">
        <v>5112670042</v>
      </c>
      <c r="B5929" s="562" t="s">
        <v>785</v>
      </c>
      <c r="C5929" s="403">
        <v>1571.8</v>
      </c>
      <c r="D5929" s="400"/>
      <c r="E5929" s="400"/>
      <c r="F5929" s="400"/>
      <c r="G5929" s="400"/>
      <c r="H5929" s="396"/>
    </row>
    <row r="5930" spans="1:8" s="401" customFormat="1" ht="14.25" customHeight="1" x14ac:dyDescent="0.25">
      <c r="A5930" s="564">
        <v>5112670034</v>
      </c>
      <c r="B5930" s="562" t="s">
        <v>785</v>
      </c>
      <c r="C5930" s="403">
        <v>1548.6</v>
      </c>
      <c r="D5930" s="400"/>
      <c r="E5930" s="400"/>
      <c r="F5930" s="400"/>
      <c r="G5930" s="400"/>
      <c r="H5930" s="396"/>
    </row>
    <row r="5931" spans="1:8" s="401" customFormat="1" ht="14.25" customHeight="1" x14ac:dyDescent="0.25">
      <c r="A5931" s="564">
        <v>5112670035</v>
      </c>
      <c r="B5931" s="562" t="s">
        <v>785</v>
      </c>
      <c r="C5931" s="403">
        <v>1548.6</v>
      </c>
      <c r="D5931" s="400"/>
      <c r="E5931" s="400"/>
      <c r="F5931" s="400"/>
      <c r="G5931" s="400"/>
      <c r="H5931" s="396"/>
    </row>
    <row r="5932" spans="1:8" s="401" customFormat="1" ht="14.25" customHeight="1" x14ac:dyDescent="0.25">
      <c r="A5932" s="564">
        <v>5110940023</v>
      </c>
      <c r="B5932" s="562" t="s">
        <v>785</v>
      </c>
      <c r="C5932" s="403">
        <v>696</v>
      </c>
      <c r="D5932" s="400"/>
      <c r="E5932" s="400"/>
      <c r="F5932" s="400"/>
      <c r="G5932" s="400"/>
      <c r="H5932" s="396"/>
    </row>
    <row r="5933" spans="1:8" s="401" customFormat="1" ht="14.25" customHeight="1" x14ac:dyDescent="0.25">
      <c r="A5933" s="564">
        <v>5110940024</v>
      </c>
      <c r="B5933" s="562" t="s">
        <v>785</v>
      </c>
      <c r="C5933" s="403">
        <v>696</v>
      </c>
      <c r="D5933" s="400"/>
      <c r="E5933" s="400"/>
      <c r="F5933" s="400"/>
      <c r="G5933" s="400"/>
      <c r="H5933" s="396"/>
    </row>
    <row r="5934" spans="1:8" s="401" customFormat="1" ht="14.25" customHeight="1" x14ac:dyDescent="0.25">
      <c r="A5934" s="564">
        <v>5110940025</v>
      </c>
      <c r="B5934" s="562" t="s">
        <v>785</v>
      </c>
      <c r="C5934" s="403">
        <v>696</v>
      </c>
      <c r="D5934" s="400"/>
      <c r="E5934" s="400"/>
      <c r="F5934" s="400"/>
      <c r="G5934" s="400"/>
      <c r="H5934" s="396"/>
    </row>
    <row r="5935" spans="1:8" s="401" customFormat="1" ht="14.25" customHeight="1" x14ac:dyDescent="0.25">
      <c r="A5935" s="564">
        <v>5110940026</v>
      </c>
      <c r="B5935" s="562" t="s">
        <v>785</v>
      </c>
      <c r="C5935" s="403">
        <v>696</v>
      </c>
      <c r="D5935" s="400"/>
      <c r="E5935" s="400"/>
      <c r="F5935" s="400"/>
      <c r="G5935" s="400"/>
      <c r="H5935" s="396"/>
    </row>
    <row r="5936" spans="1:8" s="401" customFormat="1" ht="14.25" customHeight="1" x14ac:dyDescent="0.25">
      <c r="A5936" s="564">
        <v>5110940027</v>
      </c>
      <c r="B5936" s="562" t="s">
        <v>785</v>
      </c>
      <c r="C5936" s="403">
        <v>696</v>
      </c>
      <c r="D5936" s="400"/>
      <c r="E5936" s="400"/>
      <c r="F5936" s="400"/>
      <c r="G5936" s="400"/>
      <c r="H5936" s="396"/>
    </row>
    <row r="5937" spans="1:8" s="401" customFormat="1" ht="14.25" customHeight="1" x14ac:dyDescent="0.25">
      <c r="A5937" s="564">
        <v>5110940028</v>
      </c>
      <c r="B5937" s="562" t="s">
        <v>785</v>
      </c>
      <c r="C5937" s="403">
        <v>696</v>
      </c>
      <c r="D5937" s="400"/>
      <c r="E5937" s="400"/>
      <c r="F5937" s="400"/>
      <c r="G5937" s="400"/>
      <c r="H5937" s="396"/>
    </row>
    <row r="5938" spans="1:8" s="401" customFormat="1" ht="14.25" customHeight="1" x14ac:dyDescent="0.25">
      <c r="A5938" s="564">
        <v>5110940029</v>
      </c>
      <c r="B5938" s="562" t="s">
        <v>785</v>
      </c>
      <c r="C5938" s="403">
        <v>696</v>
      </c>
      <c r="D5938" s="400"/>
      <c r="E5938" s="400"/>
      <c r="F5938" s="400"/>
      <c r="G5938" s="400"/>
      <c r="H5938" s="396"/>
    </row>
    <row r="5939" spans="1:8" s="401" customFormat="1" ht="14.25" customHeight="1" x14ac:dyDescent="0.25">
      <c r="A5939" s="564">
        <v>5110940030</v>
      </c>
      <c r="B5939" s="562" t="s">
        <v>785</v>
      </c>
      <c r="C5939" s="403">
        <v>696</v>
      </c>
      <c r="D5939" s="400"/>
      <c r="E5939" s="400"/>
      <c r="F5939" s="400"/>
      <c r="G5939" s="400"/>
      <c r="H5939" s="396"/>
    </row>
    <row r="5940" spans="1:8" s="401" customFormat="1" ht="14.25" customHeight="1" x14ac:dyDescent="0.25">
      <c r="A5940" s="564">
        <v>5112670040</v>
      </c>
      <c r="B5940" s="562" t="s">
        <v>785</v>
      </c>
      <c r="C5940" s="403">
        <v>1571.8</v>
      </c>
      <c r="D5940" s="400"/>
      <c r="E5940" s="400"/>
      <c r="F5940" s="400"/>
      <c r="G5940" s="400"/>
      <c r="H5940" s="396"/>
    </row>
    <row r="5941" spans="1:8" s="401" customFormat="1" ht="14.25" customHeight="1" x14ac:dyDescent="0.25">
      <c r="A5941" s="564">
        <v>5112670041</v>
      </c>
      <c r="B5941" s="562" t="s">
        <v>785</v>
      </c>
      <c r="C5941" s="403">
        <v>1571.8</v>
      </c>
      <c r="D5941" s="400"/>
      <c r="E5941" s="400"/>
      <c r="F5941" s="400"/>
      <c r="G5941" s="400"/>
      <c r="H5941" s="396"/>
    </row>
    <row r="5942" spans="1:8" s="401" customFormat="1" ht="14.25" customHeight="1" x14ac:dyDescent="0.25">
      <c r="A5942" s="564" t="s">
        <v>8502</v>
      </c>
      <c r="B5942" s="562" t="s">
        <v>786</v>
      </c>
      <c r="C5942" s="403">
        <v>699.90499999999975</v>
      </c>
      <c r="D5942" s="400"/>
      <c r="E5942" s="400"/>
      <c r="F5942" s="400"/>
      <c r="G5942" s="400"/>
      <c r="H5942" s="396"/>
    </row>
    <row r="5943" spans="1:8" s="401" customFormat="1" ht="14.25" customHeight="1" x14ac:dyDescent="0.25">
      <c r="A5943" s="564">
        <v>5110980003</v>
      </c>
      <c r="B5943" s="562" t="s">
        <v>786</v>
      </c>
      <c r="C5943" s="403">
        <v>4711.92</v>
      </c>
      <c r="D5943" s="400"/>
      <c r="E5943" s="400"/>
      <c r="F5943" s="400"/>
      <c r="G5943" s="400"/>
      <c r="H5943" s="396"/>
    </row>
    <row r="5944" spans="1:8" s="401" customFormat="1" ht="14.25" customHeight="1" x14ac:dyDescent="0.25">
      <c r="A5944" s="564">
        <v>5110980001</v>
      </c>
      <c r="B5944" s="562" t="s">
        <v>786</v>
      </c>
      <c r="C5944" s="403">
        <v>2155.2799999999997</v>
      </c>
      <c r="D5944" s="400"/>
      <c r="E5944" s="400"/>
      <c r="F5944" s="400"/>
      <c r="G5944" s="400"/>
      <c r="H5944" s="396"/>
    </row>
    <row r="5945" spans="1:8" s="401" customFormat="1" ht="14.25" customHeight="1" x14ac:dyDescent="0.25">
      <c r="A5945" s="564">
        <v>5110980012</v>
      </c>
      <c r="B5945" s="562" t="s">
        <v>786</v>
      </c>
      <c r="C5945" s="403">
        <v>2155.2799999999997</v>
      </c>
      <c r="D5945" s="400"/>
      <c r="E5945" s="400"/>
      <c r="F5945" s="400"/>
      <c r="G5945" s="400"/>
      <c r="H5945" s="396"/>
    </row>
    <row r="5946" spans="1:8" s="401" customFormat="1" ht="14.25" customHeight="1" x14ac:dyDescent="0.25">
      <c r="A5946" s="564">
        <v>5110980013</v>
      </c>
      <c r="B5946" s="562" t="s">
        <v>786</v>
      </c>
      <c r="C5946" s="403">
        <v>2155.2799999999997</v>
      </c>
      <c r="D5946" s="400"/>
      <c r="E5946" s="400"/>
      <c r="F5946" s="400"/>
      <c r="G5946" s="400"/>
      <c r="H5946" s="396"/>
    </row>
    <row r="5947" spans="1:8" s="401" customFormat="1" ht="14.25" customHeight="1" x14ac:dyDescent="0.25">
      <c r="A5947" s="564">
        <v>5110980002</v>
      </c>
      <c r="B5947" s="562" t="s">
        <v>786</v>
      </c>
      <c r="C5947" s="403">
        <v>2155.2799999999997</v>
      </c>
      <c r="D5947" s="400"/>
      <c r="E5947" s="400"/>
      <c r="F5947" s="400"/>
      <c r="G5947" s="400"/>
      <c r="H5947" s="396"/>
    </row>
    <row r="5948" spans="1:8" s="401" customFormat="1" ht="14.25" customHeight="1" x14ac:dyDescent="0.25">
      <c r="A5948" s="564">
        <v>5110980004</v>
      </c>
      <c r="B5948" s="562" t="s">
        <v>786</v>
      </c>
      <c r="C5948" s="403">
        <v>4375.5199999999995</v>
      </c>
      <c r="D5948" s="400"/>
      <c r="E5948" s="400"/>
      <c r="F5948" s="400"/>
      <c r="G5948" s="400"/>
      <c r="H5948" s="396"/>
    </row>
    <row r="5949" spans="1:8" s="401" customFormat="1" ht="14.25" customHeight="1" x14ac:dyDescent="0.25">
      <c r="A5949" s="564">
        <v>5110980005</v>
      </c>
      <c r="B5949" s="562" t="s">
        <v>786</v>
      </c>
      <c r="C5949" s="403">
        <v>4375.5199999999995</v>
      </c>
      <c r="D5949" s="400"/>
      <c r="E5949" s="400"/>
      <c r="F5949" s="400"/>
      <c r="G5949" s="400"/>
      <c r="H5949" s="396"/>
    </row>
    <row r="5950" spans="1:8" s="401" customFormat="1" ht="14.25" customHeight="1" x14ac:dyDescent="0.25">
      <c r="A5950" s="564">
        <v>5110980006</v>
      </c>
      <c r="B5950" s="562" t="s">
        <v>786</v>
      </c>
      <c r="C5950" s="403">
        <v>4375.5199999999995</v>
      </c>
      <c r="D5950" s="400"/>
      <c r="E5950" s="400"/>
      <c r="F5950" s="400"/>
      <c r="G5950" s="400"/>
      <c r="H5950" s="396"/>
    </row>
    <row r="5951" spans="1:8" s="401" customFormat="1" ht="14.25" customHeight="1" x14ac:dyDescent="0.25">
      <c r="A5951" s="564">
        <v>5110980007</v>
      </c>
      <c r="B5951" s="562" t="s">
        <v>786</v>
      </c>
      <c r="C5951" s="403">
        <v>4375.5199999999995</v>
      </c>
      <c r="D5951" s="400"/>
      <c r="E5951" s="400"/>
      <c r="F5951" s="400"/>
      <c r="G5951" s="400"/>
      <c r="H5951" s="396"/>
    </row>
    <row r="5952" spans="1:8" s="401" customFormat="1" ht="14.25" customHeight="1" x14ac:dyDescent="0.25">
      <c r="A5952" s="564">
        <v>5110980008</v>
      </c>
      <c r="B5952" s="562" t="s">
        <v>786</v>
      </c>
      <c r="C5952" s="403">
        <v>4375.5199999999995</v>
      </c>
      <c r="D5952" s="400"/>
      <c r="E5952" s="400"/>
      <c r="F5952" s="400"/>
      <c r="G5952" s="400"/>
      <c r="H5952" s="396"/>
    </row>
    <row r="5953" spans="1:8" s="401" customFormat="1" ht="14.25" customHeight="1" x14ac:dyDescent="0.25">
      <c r="A5953" s="564">
        <v>5110980009</v>
      </c>
      <c r="B5953" s="562" t="s">
        <v>786</v>
      </c>
      <c r="C5953" s="403">
        <v>4375.5199999999995</v>
      </c>
      <c r="D5953" s="400"/>
      <c r="E5953" s="400"/>
      <c r="F5953" s="400"/>
      <c r="G5953" s="400"/>
      <c r="H5953" s="396"/>
    </row>
    <row r="5954" spans="1:8" s="401" customFormat="1" ht="14.25" customHeight="1" x14ac:dyDescent="0.25">
      <c r="A5954" s="564">
        <v>5110980010</v>
      </c>
      <c r="B5954" s="562" t="s">
        <v>786</v>
      </c>
      <c r="C5954" s="403">
        <v>4375.5199999999995</v>
      </c>
      <c r="D5954" s="400"/>
      <c r="E5954" s="400"/>
      <c r="F5954" s="400"/>
      <c r="G5954" s="400"/>
      <c r="H5954" s="396"/>
    </row>
    <row r="5955" spans="1:8" s="401" customFormat="1" ht="14.25" customHeight="1" x14ac:dyDescent="0.25">
      <c r="A5955" s="564">
        <v>5110980011</v>
      </c>
      <c r="B5955" s="562" t="s">
        <v>786</v>
      </c>
      <c r="C5955" s="403">
        <v>4375.5199999999995</v>
      </c>
      <c r="D5955" s="400"/>
      <c r="E5955" s="400"/>
      <c r="F5955" s="400"/>
      <c r="G5955" s="400"/>
      <c r="H5955" s="396"/>
    </row>
    <row r="5956" spans="1:8" s="401" customFormat="1" ht="14.25" customHeight="1" x14ac:dyDescent="0.25">
      <c r="A5956" s="564" t="s">
        <v>8506</v>
      </c>
      <c r="B5956" s="562" t="s">
        <v>795</v>
      </c>
      <c r="C5956" s="403">
        <v>1401.6639499999992</v>
      </c>
      <c r="D5956" s="400"/>
      <c r="E5956" s="400"/>
      <c r="F5956" s="400"/>
      <c r="G5956" s="400"/>
      <c r="H5956" s="396"/>
    </row>
    <row r="5957" spans="1:8" s="401" customFormat="1" ht="14.25" customHeight="1" x14ac:dyDescent="0.25">
      <c r="A5957" s="564">
        <v>5112690003</v>
      </c>
      <c r="B5957" s="562" t="s">
        <v>795</v>
      </c>
      <c r="C5957" s="403">
        <v>5284.96</v>
      </c>
      <c r="D5957" s="400"/>
      <c r="E5957" s="400"/>
      <c r="F5957" s="400"/>
      <c r="G5957" s="400"/>
      <c r="H5957" s="396"/>
    </row>
    <row r="5958" spans="1:8" s="401" customFormat="1" ht="14.25" customHeight="1" x14ac:dyDescent="0.25">
      <c r="A5958" s="564">
        <v>5112690004</v>
      </c>
      <c r="B5958" s="562" t="s">
        <v>795</v>
      </c>
      <c r="C5958" s="403">
        <v>5284.96</v>
      </c>
      <c r="D5958" s="400"/>
      <c r="E5958" s="400"/>
      <c r="F5958" s="400"/>
      <c r="G5958" s="400"/>
      <c r="H5958" s="396"/>
    </row>
    <row r="5959" spans="1:8" s="401" customFormat="1" ht="14.25" customHeight="1" x14ac:dyDescent="0.25">
      <c r="A5959" s="564">
        <v>5112690005</v>
      </c>
      <c r="B5959" s="562" t="s">
        <v>795</v>
      </c>
      <c r="C5959" s="403">
        <v>5284.96</v>
      </c>
      <c r="D5959" s="400"/>
      <c r="E5959" s="400"/>
      <c r="F5959" s="400"/>
      <c r="G5959" s="400"/>
      <c r="H5959" s="396"/>
    </row>
    <row r="5960" spans="1:8" s="401" customFormat="1" ht="14.25" customHeight="1" x14ac:dyDescent="0.25">
      <c r="A5960" s="564">
        <v>5620020001</v>
      </c>
      <c r="B5960" s="562" t="s">
        <v>8332</v>
      </c>
      <c r="C5960" s="403">
        <v>3394.16</v>
      </c>
      <c r="D5960" s="400"/>
      <c r="E5960" s="400"/>
      <c r="F5960" s="400"/>
      <c r="G5960" s="400"/>
      <c r="H5960" s="396"/>
    </row>
    <row r="5961" spans="1:8" s="401" customFormat="1" ht="14.25" customHeight="1" x14ac:dyDescent="0.25">
      <c r="A5961" s="564">
        <v>5112970001</v>
      </c>
      <c r="B5961" s="562" t="s">
        <v>8572</v>
      </c>
      <c r="C5961" s="403">
        <v>6345.2</v>
      </c>
      <c r="D5961" s="400"/>
      <c r="E5961" s="400"/>
      <c r="F5961" s="400"/>
      <c r="G5961" s="400"/>
      <c r="H5961" s="396"/>
    </row>
    <row r="5962" spans="1:8" s="401" customFormat="1" ht="14.25" customHeight="1" x14ac:dyDescent="0.25">
      <c r="A5962" s="564">
        <v>5112970002</v>
      </c>
      <c r="B5962" s="562" t="s">
        <v>8572</v>
      </c>
      <c r="C5962" s="403">
        <v>6345.2</v>
      </c>
      <c r="D5962" s="400"/>
      <c r="E5962" s="400"/>
      <c r="F5962" s="400"/>
      <c r="G5962" s="400"/>
      <c r="H5962" s="396"/>
    </row>
    <row r="5963" spans="1:8" s="401" customFormat="1" ht="14.25" customHeight="1" x14ac:dyDescent="0.25">
      <c r="A5963" s="564">
        <v>5112960001</v>
      </c>
      <c r="B5963" s="562" t="s">
        <v>8572</v>
      </c>
      <c r="C5963" s="403">
        <v>13896.8</v>
      </c>
      <c r="D5963" s="400"/>
      <c r="E5963" s="400"/>
      <c r="F5963" s="400"/>
      <c r="G5963" s="400"/>
      <c r="H5963" s="396"/>
    </row>
    <row r="5964" spans="1:8" s="401" customFormat="1" ht="14.25" customHeight="1" x14ac:dyDescent="0.25">
      <c r="A5964" s="564">
        <v>5112960002</v>
      </c>
      <c r="B5964" s="562" t="s">
        <v>8572</v>
      </c>
      <c r="C5964" s="403">
        <v>13896.8</v>
      </c>
      <c r="D5964" s="400"/>
      <c r="E5964" s="400"/>
      <c r="F5964" s="400"/>
      <c r="G5964" s="400"/>
      <c r="H5964" s="396"/>
    </row>
    <row r="5965" spans="1:8" s="401" customFormat="1" ht="14.25" customHeight="1" x14ac:dyDescent="0.25">
      <c r="A5965" s="564">
        <v>5620010001</v>
      </c>
      <c r="B5965" s="562" t="s">
        <v>8573</v>
      </c>
      <c r="C5965" s="403">
        <v>3630.9980000000005</v>
      </c>
      <c r="D5965" s="400"/>
      <c r="E5965" s="400"/>
      <c r="F5965" s="400"/>
      <c r="G5965" s="400"/>
      <c r="H5965" s="396"/>
    </row>
    <row r="5966" spans="1:8" s="401" customFormat="1" ht="14.25" customHeight="1" x14ac:dyDescent="0.25">
      <c r="A5966" s="564">
        <v>5620010002</v>
      </c>
      <c r="B5966" s="562" t="s">
        <v>8573</v>
      </c>
      <c r="C5966" s="403">
        <v>3630.9980000000005</v>
      </c>
      <c r="D5966" s="400"/>
      <c r="E5966" s="400"/>
      <c r="F5966" s="400"/>
      <c r="G5966" s="400"/>
      <c r="H5966" s="396"/>
    </row>
    <row r="5967" spans="1:8" s="401" customFormat="1" ht="14.25" customHeight="1" x14ac:dyDescent="0.25">
      <c r="A5967" s="564">
        <v>5620010003</v>
      </c>
      <c r="B5967" s="562" t="s">
        <v>8573</v>
      </c>
      <c r="C5967" s="403">
        <v>3630.9980000000005</v>
      </c>
      <c r="D5967" s="400"/>
      <c r="E5967" s="400"/>
      <c r="F5967" s="400"/>
      <c r="G5967" s="400"/>
      <c r="H5967" s="396"/>
    </row>
    <row r="5968" spans="1:8" s="401" customFormat="1" ht="14.25" customHeight="1" x14ac:dyDescent="0.25">
      <c r="A5968" s="564">
        <v>5620010004</v>
      </c>
      <c r="B5968" s="562" t="s">
        <v>8573</v>
      </c>
      <c r="C5968" s="403">
        <v>3630.9980000000005</v>
      </c>
      <c r="D5968" s="400"/>
      <c r="E5968" s="400"/>
      <c r="F5968" s="400"/>
      <c r="G5968" s="400"/>
      <c r="H5968" s="396"/>
    </row>
    <row r="5969" spans="1:8" s="401" customFormat="1" ht="14.25" customHeight="1" x14ac:dyDescent="0.25">
      <c r="A5969" s="564">
        <v>5620010005</v>
      </c>
      <c r="B5969" s="562" t="s">
        <v>8573</v>
      </c>
      <c r="C5969" s="403">
        <v>3630.9980000000005</v>
      </c>
      <c r="D5969" s="400"/>
      <c r="E5969" s="400"/>
      <c r="F5969" s="400"/>
      <c r="G5969" s="400"/>
      <c r="H5969" s="396"/>
    </row>
    <row r="5970" spans="1:8" s="401" customFormat="1" ht="14.25" customHeight="1" x14ac:dyDescent="0.25">
      <c r="A5970" s="564" t="s">
        <v>8450</v>
      </c>
      <c r="B5970" s="562" t="s">
        <v>8389</v>
      </c>
      <c r="C5970" s="403">
        <v>1</v>
      </c>
      <c r="D5970" s="400"/>
      <c r="E5970" s="400"/>
      <c r="F5970" s="400"/>
      <c r="G5970" s="400"/>
      <c r="H5970" s="396"/>
    </row>
    <row r="5971" spans="1:8" s="401" customFormat="1" ht="14.25" customHeight="1" x14ac:dyDescent="0.25">
      <c r="A5971" s="564">
        <v>5620030002</v>
      </c>
      <c r="B5971" s="562" t="s">
        <v>8574</v>
      </c>
      <c r="C5971" s="403">
        <v>83981.1</v>
      </c>
      <c r="D5971" s="400"/>
      <c r="E5971" s="400"/>
      <c r="F5971" s="400"/>
      <c r="G5971" s="400"/>
      <c r="H5971" s="396"/>
    </row>
    <row r="5972" spans="1:8" s="401" customFormat="1" ht="14.25" customHeight="1" x14ac:dyDescent="0.25">
      <c r="A5972" s="564">
        <v>5620030001</v>
      </c>
      <c r="B5972" s="562" t="s">
        <v>8575</v>
      </c>
      <c r="C5972" s="403">
        <v>88857.42</v>
      </c>
      <c r="D5972" s="400"/>
      <c r="E5972" s="400"/>
      <c r="F5972" s="400"/>
      <c r="G5972" s="400"/>
      <c r="H5972" s="396"/>
    </row>
    <row r="5973" spans="1:8" s="401" customFormat="1" ht="14.25" customHeight="1" x14ac:dyDescent="0.25">
      <c r="A5973" s="564">
        <v>5151110013</v>
      </c>
      <c r="B5973" s="562" t="s">
        <v>8576</v>
      </c>
      <c r="C5973" s="403">
        <v>3398.9971999999998</v>
      </c>
      <c r="D5973" s="400"/>
      <c r="E5973" s="400"/>
      <c r="F5973" s="400"/>
      <c r="G5973" s="400"/>
      <c r="H5973" s="396"/>
    </row>
    <row r="5974" spans="1:8" s="401" customFormat="1" ht="14.25" customHeight="1" x14ac:dyDescent="0.25">
      <c r="A5974" s="564">
        <v>5112590002</v>
      </c>
      <c r="B5974" s="562" t="s">
        <v>8577</v>
      </c>
      <c r="C5974" s="403">
        <v>2775.2</v>
      </c>
      <c r="D5974" s="400"/>
      <c r="E5974" s="400"/>
      <c r="F5974" s="400"/>
      <c r="G5974" s="400"/>
      <c r="H5974" s="396"/>
    </row>
    <row r="5975" spans="1:8" s="401" customFormat="1" ht="14.25" customHeight="1" x14ac:dyDescent="0.25">
      <c r="A5975" s="564" t="s">
        <v>8480</v>
      </c>
      <c r="B5975" s="562" t="s">
        <v>1020</v>
      </c>
      <c r="C5975" s="403">
        <v>1</v>
      </c>
      <c r="D5975" s="400"/>
      <c r="E5975" s="400"/>
      <c r="F5975" s="400"/>
      <c r="G5975" s="400"/>
      <c r="H5975" s="396"/>
    </row>
    <row r="5976" spans="1:8" s="401" customFormat="1" ht="14.25" customHeight="1" x14ac:dyDescent="0.25">
      <c r="A5976" s="564" t="s">
        <v>8481</v>
      </c>
      <c r="B5976" s="562" t="s">
        <v>1020</v>
      </c>
      <c r="C5976" s="403">
        <v>1</v>
      </c>
      <c r="D5976" s="400"/>
      <c r="E5976" s="400"/>
      <c r="F5976" s="400"/>
      <c r="G5976" s="400"/>
      <c r="H5976" s="396"/>
    </row>
    <row r="5977" spans="1:8" s="401" customFormat="1" ht="14.25" customHeight="1" x14ac:dyDescent="0.25">
      <c r="A5977" s="564" t="s">
        <v>8482</v>
      </c>
      <c r="B5977" s="562" t="s">
        <v>1020</v>
      </c>
      <c r="C5977" s="403">
        <v>1</v>
      </c>
      <c r="D5977" s="400"/>
      <c r="E5977" s="400"/>
      <c r="F5977" s="400"/>
      <c r="G5977" s="400"/>
      <c r="H5977" s="396"/>
    </row>
    <row r="5978" spans="1:8" s="401" customFormat="1" ht="14.25" customHeight="1" x14ac:dyDescent="0.25">
      <c r="A5978" s="564" t="s">
        <v>8483</v>
      </c>
      <c r="B5978" s="562" t="s">
        <v>1020</v>
      </c>
      <c r="C5978" s="403">
        <v>1</v>
      </c>
      <c r="D5978" s="400"/>
      <c r="E5978" s="400"/>
      <c r="F5978" s="400"/>
      <c r="G5978" s="400"/>
      <c r="H5978" s="396"/>
    </row>
    <row r="5979" spans="1:8" s="401" customFormat="1" ht="14.25" customHeight="1" x14ac:dyDescent="0.25">
      <c r="A5979" s="564" t="s">
        <v>8484</v>
      </c>
      <c r="B5979" s="562" t="s">
        <v>1020</v>
      </c>
      <c r="C5979" s="403">
        <v>1</v>
      </c>
      <c r="D5979" s="400"/>
      <c r="E5979" s="400"/>
      <c r="F5979" s="400"/>
      <c r="G5979" s="400"/>
      <c r="H5979" s="396"/>
    </row>
    <row r="5980" spans="1:8" s="401" customFormat="1" ht="14.25" customHeight="1" x14ac:dyDescent="0.25">
      <c r="A5980" s="564" t="s">
        <v>8485</v>
      </c>
      <c r="B5980" s="562" t="s">
        <v>1020</v>
      </c>
      <c r="C5980" s="403">
        <v>1</v>
      </c>
      <c r="D5980" s="400"/>
      <c r="E5980" s="400"/>
      <c r="F5980" s="400"/>
      <c r="G5980" s="400"/>
      <c r="H5980" s="396"/>
    </row>
    <row r="5981" spans="1:8" s="401" customFormat="1" ht="14.25" customHeight="1" x14ac:dyDescent="0.25">
      <c r="A5981" s="564" t="s">
        <v>8486</v>
      </c>
      <c r="B5981" s="562" t="s">
        <v>1020</v>
      </c>
      <c r="C5981" s="403">
        <v>1</v>
      </c>
      <c r="D5981" s="400"/>
      <c r="E5981" s="400"/>
      <c r="F5981" s="400"/>
      <c r="G5981" s="400"/>
      <c r="H5981" s="396"/>
    </row>
    <row r="5982" spans="1:8" s="401" customFormat="1" ht="14.25" customHeight="1" x14ac:dyDescent="0.25">
      <c r="A5982" s="564">
        <v>5651060001</v>
      </c>
      <c r="B5982" s="562" t="s">
        <v>1020</v>
      </c>
      <c r="C5982" s="403">
        <v>3474.2</v>
      </c>
      <c r="D5982" s="400"/>
      <c r="E5982" s="400"/>
      <c r="F5982" s="400"/>
      <c r="G5982" s="400"/>
      <c r="H5982" s="396"/>
    </row>
    <row r="5983" spans="1:8" s="401" customFormat="1" ht="14.25" customHeight="1" x14ac:dyDescent="0.25">
      <c r="A5983" s="564">
        <v>5112760002</v>
      </c>
      <c r="B5983" s="562" t="s">
        <v>929</v>
      </c>
      <c r="C5983" s="403">
        <v>3395.49</v>
      </c>
      <c r="D5983" s="400"/>
      <c r="E5983" s="400"/>
      <c r="F5983" s="400"/>
      <c r="G5983" s="400"/>
      <c r="H5983" s="396"/>
    </row>
    <row r="5984" spans="1:8" s="401" customFormat="1" ht="14.25" customHeight="1" x14ac:dyDescent="0.25">
      <c r="A5984" s="564">
        <v>5112760001</v>
      </c>
      <c r="B5984" s="562" t="s">
        <v>929</v>
      </c>
      <c r="C5984" s="403">
        <v>2825.55</v>
      </c>
      <c r="D5984" s="400"/>
      <c r="E5984" s="400"/>
      <c r="F5984" s="400"/>
      <c r="G5984" s="400"/>
      <c r="H5984" s="396"/>
    </row>
    <row r="5985" spans="1:8" s="401" customFormat="1" ht="14.25" customHeight="1" x14ac:dyDescent="0.25">
      <c r="A5985" s="564">
        <v>5410570001</v>
      </c>
      <c r="B5985" s="562" t="s">
        <v>8578</v>
      </c>
      <c r="C5985" s="403">
        <v>96790.399999999994</v>
      </c>
      <c r="D5985" s="400"/>
      <c r="E5985" s="400"/>
      <c r="F5985" s="400"/>
      <c r="G5985" s="400"/>
      <c r="H5985" s="396"/>
    </row>
    <row r="5986" spans="1:8" s="401" customFormat="1" ht="14.25" customHeight="1" x14ac:dyDescent="0.25">
      <c r="A5986" s="564">
        <v>5410570002</v>
      </c>
      <c r="B5986" s="562" t="s">
        <v>8578</v>
      </c>
      <c r="C5986" s="403">
        <v>96790.399999999994</v>
      </c>
      <c r="D5986" s="400"/>
      <c r="E5986" s="400"/>
      <c r="F5986" s="400"/>
      <c r="G5986" s="400"/>
      <c r="H5986" s="396"/>
    </row>
    <row r="5987" spans="1:8" s="401" customFormat="1" ht="14.25" customHeight="1" x14ac:dyDescent="0.25">
      <c r="A5987" s="564">
        <v>5410570003</v>
      </c>
      <c r="B5987" s="562" t="s">
        <v>8578</v>
      </c>
      <c r="C5987" s="403">
        <v>96790.399999999994</v>
      </c>
      <c r="D5987" s="400"/>
      <c r="E5987" s="400"/>
      <c r="F5987" s="400"/>
      <c r="G5987" s="400"/>
      <c r="H5987" s="396"/>
    </row>
    <row r="5988" spans="1:8" s="401" customFormat="1" ht="14.25" customHeight="1" x14ac:dyDescent="0.25">
      <c r="A5988" s="564">
        <v>5410570004</v>
      </c>
      <c r="B5988" s="562" t="s">
        <v>8578</v>
      </c>
      <c r="C5988" s="403">
        <v>96790.399999999994</v>
      </c>
      <c r="D5988" s="400"/>
      <c r="E5988" s="400"/>
      <c r="F5988" s="400"/>
      <c r="G5988" s="400"/>
      <c r="H5988" s="396"/>
    </row>
    <row r="5989" spans="1:8" s="401" customFormat="1" ht="14.25" customHeight="1" x14ac:dyDescent="0.25">
      <c r="A5989" s="564">
        <v>5410570005</v>
      </c>
      <c r="B5989" s="562" t="s">
        <v>8578</v>
      </c>
      <c r="C5989" s="403">
        <v>96790.399999999994</v>
      </c>
      <c r="D5989" s="400"/>
      <c r="E5989" s="400"/>
      <c r="F5989" s="400"/>
      <c r="G5989" s="400"/>
      <c r="H5989" s="396"/>
    </row>
    <row r="5990" spans="1:8" s="401" customFormat="1" ht="14.25" customHeight="1" x14ac:dyDescent="0.25">
      <c r="A5990" s="564">
        <v>5624730001</v>
      </c>
      <c r="B5990" s="562" t="s">
        <v>8370</v>
      </c>
      <c r="C5990" s="403">
        <v>3034.56</v>
      </c>
      <c r="D5990" s="400"/>
      <c r="E5990" s="400"/>
      <c r="F5990" s="400"/>
      <c r="G5990" s="400"/>
      <c r="H5990" s="396"/>
    </row>
    <row r="5991" spans="1:8" s="401" customFormat="1" ht="14.25" customHeight="1" x14ac:dyDescent="0.25">
      <c r="A5991" s="564">
        <v>5624730002</v>
      </c>
      <c r="B5991" s="562" t="s">
        <v>8370</v>
      </c>
      <c r="C5991" s="403">
        <v>3034.56</v>
      </c>
      <c r="D5991" s="400"/>
      <c r="E5991" s="400"/>
      <c r="F5991" s="400"/>
      <c r="G5991" s="400"/>
      <c r="H5991" s="396"/>
    </row>
    <row r="5992" spans="1:8" s="401" customFormat="1" ht="14.25" customHeight="1" x14ac:dyDescent="0.25">
      <c r="A5992" s="564">
        <v>5624730003</v>
      </c>
      <c r="B5992" s="562" t="s">
        <v>8370</v>
      </c>
      <c r="C5992" s="403">
        <v>3034.56</v>
      </c>
      <c r="D5992" s="400"/>
      <c r="E5992" s="400"/>
      <c r="F5992" s="400"/>
      <c r="G5992" s="400"/>
      <c r="H5992" s="396"/>
    </row>
    <row r="5993" spans="1:8" s="401" customFormat="1" ht="14.25" customHeight="1" x14ac:dyDescent="0.25">
      <c r="A5993" s="564">
        <v>5624730004</v>
      </c>
      <c r="B5993" s="562" t="s">
        <v>8370</v>
      </c>
      <c r="C5993" s="403">
        <v>3034.56</v>
      </c>
      <c r="D5993" s="400"/>
      <c r="E5993" s="400"/>
      <c r="F5993" s="400"/>
      <c r="G5993" s="400"/>
      <c r="H5993" s="396"/>
    </row>
    <row r="5994" spans="1:8" s="401" customFormat="1" ht="14.25" customHeight="1" x14ac:dyDescent="0.25">
      <c r="A5994" s="564">
        <v>5624730005</v>
      </c>
      <c r="B5994" s="562" t="s">
        <v>8370</v>
      </c>
      <c r="C5994" s="403">
        <v>3034.56</v>
      </c>
      <c r="D5994" s="400"/>
      <c r="E5994" s="400"/>
      <c r="F5994" s="400"/>
      <c r="G5994" s="400"/>
      <c r="H5994" s="396"/>
    </row>
    <row r="5995" spans="1:8" s="401" customFormat="1" ht="14.25" customHeight="1" x14ac:dyDescent="0.25">
      <c r="A5995" s="564">
        <v>5112800003</v>
      </c>
      <c r="B5995" s="562" t="s">
        <v>8579</v>
      </c>
      <c r="C5995" s="403">
        <v>61172.6</v>
      </c>
      <c r="D5995" s="400"/>
      <c r="E5995" s="400"/>
      <c r="F5995" s="400"/>
      <c r="G5995" s="400"/>
      <c r="H5995" s="396"/>
    </row>
    <row r="5996" spans="1:8" s="401" customFormat="1" ht="14.25" customHeight="1" x14ac:dyDescent="0.25">
      <c r="A5996" s="564">
        <v>5112810003</v>
      </c>
      <c r="B5996" s="562" t="s">
        <v>8580</v>
      </c>
      <c r="C5996" s="403">
        <v>498.99</v>
      </c>
      <c r="D5996" s="400"/>
      <c r="E5996" s="400"/>
      <c r="F5996" s="400"/>
      <c r="G5996" s="400"/>
      <c r="H5996" s="396"/>
    </row>
    <row r="5997" spans="1:8" s="401" customFormat="1" ht="14.25" customHeight="1" x14ac:dyDescent="0.25">
      <c r="A5997" s="564">
        <v>5112810004</v>
      </c>
      <c r="B5997" s="562" t="s">
        <v>8580</v>
      </c>
      <c r="C5997" s="403">
        <v>498.99</v>
      </c>
      <c r="D5997" s="400"/>
      <c r="E5997" s="400"/>
      <c r="F5997" s="400"/>
      <c r="G5997" s="400"/>
      <c r="H5997" s="396"/>
    </row>
    <row r="5998" spans="1:8" s="401" customFormat="1" ht="14.25" customHeight="1" x14ac:dyDescent="0.25">
      <c r="A5998" s="564">
        <v>5111510003</v>
      </c>
      <c r="B5998" s="562" t="s">
        <v>8581</v>
      </c>
      <c r="C5998" s="403">
        <v>2784.87</v>
      </c>
      <c r="D5998" s="400"/>
      <c r="E5998" s="400"/>
      <c r="F5998" s="400"/>
      <c r="G5998" s="400"/>
      <c r="H5998" s="396"/>
    </row>
    <row r="5999" spans="1:8" s="401" customFormat="1" ht="14.25" customHeight="1" x14ac:dyDescent="0.25">
      <c r="A5999" s="564">
        <v>5111510004</v>
      </c>
      <c r="B5999" s="562" t="s">
        <v>8581</v>
      </c>
      <c r="C5999" s="403">
        <v>7957.6</v>
      </c>
      <c r="D5999" s="400"/>
      <c r="E5999" s="400"/>
      <c r="F5999" s="400"/>
      <c r="G5999" s="400"/>
      <c r="H5999" s="396"/>
    </row>
    <row r="6000" spans="1:8" s="401" customFormat="1" ht="14.25" customHeight="1" x14ac:dyDescent="0.25">
      <c r="A6000" s="564">
        <v>5410330001</v>
      </c>
      <c r="B6000" s="562" t="s">
        <v>8582</v>
      </c>
      <c r="C6000" s="403">
        <v>1761499.99</v>
      </c>
      <c r="D6000" s="400"/>
      <c r="E6000" s="400"/>
      <c r="F6000" s="400"/>
      <c r="G6000" s="400"/>
      <c r="H6000" s="396"/>
    </row>
    <row r="6001" spans="1:8" s="401" customFormat="1" ht="14.25" customHeight="1" x14ac:dyDescent="0.25">
      <c r="A6001" s="564" t="s">
        <v>8439</v>
      </c>
      <c r="B6001" s="562" t="s">
        <v>8378</v>
      </c>
      <c r="C6001" s="403">
        <v>1</v>
      </c>
      <c r="D6001" s="400"/>
      <c r="E6001" s="400"/>
      <c r="F6001" s="400"/>
      <c r="G6001" s="400"/>
      <c r="H6001" s="396"/>
    </row>
    <row r="6002" spans="1:8" s="401" customFormat="1" ht="14.25" customHeight="1" x14ac:dyDescent="0.25">
      <c r="A6002" s="564">
        <v>5410530002</v>
      </c>
      <c r="B6002" s="562" t="s">
        <v>8583</v>
      </c>
      <c r="C6002" s="403">
        <v>1367897</v>
      </c>
      <c r="D6002" s="400"/>
      <c r="E6002" s="400"/>
      <c r="F6002" s="400"/>
      <c r="G6002" s="400"/>
      <c r="H6002" s="396"/>
    </row>
    <row r="6003" spans="1:8" s="401" customFormat="1" ht="14.25" customHeight="1" x14ac:dyDescent="0.25">
      <c r="A6003" s="564">
        <v>5410090046</v>
      </c>
      <c r="B6003" s="562" t="s">
        <v>8584</v>
      </c>
      <c r="C6003" s="403">
        <v>259350</v>
      </c>
      <c r="D6003" s="400"/>
      <c r="E6003" s="400"/>
      <c r="F6003" s="400"/>
      <c r="G6003" s="400"/>
      <c r="H6003" s="396"/>
    </row>
    <row r="6004" spans="1:8" s="401" customFormat="1" ht="14.25" customHeight="1" x14ac:dyDescent="0.25">
      <c r="A6004" s="564">
        <v>5410090047</v>
      </c>
      <c r="B6004" s="562" t="s">
        <v>8584</v>
      </c>
      <c r="C6004" s="403">
        <v>259350</v>
      </c>
      <c r="D6004" s="400"/>
      <c r="E6004" s="400"/>
      <c r="F6004" s="400"/>
      <c r="G6004" s="400"/>
      <c r="H6004" s="396"/>
    </row>
    <row r="6005" spans="1:8" s="401" customFormat="1" ht="14.25" customHeight="1" x14ac:dyDescent="0.25">
      <c r="A6005" s="564">
        <v>5410090048</v>
      </c>
      <c r="B6005" s="562" t="s">
        <v>8584</v>
      </c>
      <c r="C6005" s="403">
        <v>259350</v>
      </c>
      <c r="D6005" s="400"/>
      <c r="E6005" s="400"/>
      <c r="F6005" s="400"/>
      <c r="G6005" s="400"/>
      <c r="H6005" s="396"/>
    </row>
    <row r="6006" spans="1:8" s="401" customFormat="1" ht="14.25" customHeight="1" x14ac:dyDescent="0.25">
      <c r="A6006" s="564">
        <v>5410090049</v>
      </c>
      <c r="B6006" s="562" t="s">
        <v>8584</v>
      </c>
      <c r="C6006" s="403">
        <v>259350</v>
      </c>
      <c r="D6006" s="400"/>
      <c r="E6006" s="400"/>
      <c r="F6006" s="400"/>
      <c r="G6006" s="400"/>
      <c r="H6006" s="396"/>
    </row>
    <row r="6007" spans="1:8" s="401" customFormat="1" ht="14.25" customHeight="1" x14ac:dyDescent="0.25">
      <c r="A6007" s="564">
        <v>5410090050</v>
      </c>
      <c r="B6007" s="562" t="s">
        <v>8584</v>
      </c>
      <c r="C6007" s="403">
        <v>259350</v>
      </c>
      <c r="D6007" s="400"/>
      <c r="E6007" s="400"/>
      <c r="F6007" s="400"/>
      <c r="G6007" s="400"/>
      <c r="H6007" s="396"/>
    </row>
    <row r="6008" spans="1:8" s="401" customFormat="1" ht="14.25" customHeight="1" x14ac:dyDescent="0.25">
      <c r="A6008" s="564">
        <v>5410090051</v>
      </c>
      <c r="B6008" s="562" t="s">
        <v>8584</v>
      </c>
      <c r="C6008" s="403">
        <v>259350</v>
      </c>
      <c r="D6008" s="400"/>
      <c r="E6008" s="400"/>
      <c r="F6008" s="400"/>
      <c r="G6008" s="400"/>
      <c r="H6008" s="396"/>
    </row>
    <row r="6009" spans="1:8" s="401" customFormat="1" ht="14.25" customHeight="1" x14ac:dyDescent="0.25">
      <c r="A6009" s="564">
        <v>5410090052</v>
      </c>
      <c r="B6009" s="562" t="s">
        <v>8584</v>
      </c>
      <c r="C6009" s="403">
        <v>259350</v>
      </c>
      <c r="D6009" s="400"/>
      <c r="E6009" s="400"/>
      <c r="F6009" s="400"/>
      <c r="G6009" s="400"/>
      <c r="H6009" s="396"/>
    </row>
    <row r="6010" spans="1:8" s="401" customFormat="1" ht="14.25" customHeight="1" x14ac:dyDescent="0.25">
      <c r="A6010" s="564">
        <v>5410090053</v>
      </c>
      <c r="B6010" s="562" t="s">
        <v>8584</v>
      </c>
      <c r="C6010" s="403">
        <v>259350</v>
      </c>
      <c r="D6010" s="400"/>
      <c r="E6010" s="400"/>
      <c r="F6010" s="400"/>
      <c r="G6010" s="400"/>
      <c r="H6010" s="396"/>
    </row>
    <row r="6011" spans="1:8" s="401" customFormat="1" ht="14.25" customHeight="1" x14ac:dyDescent="0.25">
      <c r="A6011" s="564">
        <v>5410090054</v>
      </c>
      <c r="B6011" s="562" t="s">
        <v>8584</v>
      </c>
      <c r="C6011" s="403">
        <v>259350</v>
      </c>
      <c r="D6011" s="400"/>
      <c r="E6011" s="400"/>
      <c r="F6011" s="400"/>
      <c r="G6011" s="400"/>
      <c r="H6011" s="396"/>
    </row>
    <row r="6012" spans="1:8" s="401" customFormat="1" ht="14.25" customHeight="1" x14ac:dyDescent="0.25">
      <c r="A6012" s="564">
        <v>5410090055</v>
      </c>
      <c r="B6012" s="562" t="s">
        <v>8584</v>
      </c>
      <c r="C6012" s="403">
        <v>259350</v>
      </c>
      <c r="D6012" s="400"/>
      <c r="E6012" s="400"/>
      <c r="F6012" s="400"/>
      <c r="G6012" s="400"/>
      <c r="H6012" s="396"/>
    </row>
    <row r="6013" spans="1:8" s="401" customFormat="1" ht="14.25" customHeight="1" x14ac:dyDescent="0.25">
      <c r="A6013" s="564">
        <v>5410090056</v>
      </c>
      <c r="B6013" s="562" t="s">
        <v>8584</v>
      </c>
      <c r="C6013" s="403">
        <v>259350</v>
      </c>
      <c r="D6013" s="400"/>
      <c r="E6013" s="400"/>
      <c r="F6013" s="400"/>
      <c r="G6013" s="400"/>
      <c r="H6013" s="396"/>
    </row>
    <row r="6014" spans="1:8" s="401" customFormat="1" ht="14.25" customHeight="1" x14ac:dyDescent="0.25">
      <c r="A6014" s="564">
        <v>5410090057</v>
      </c>
      <c r="B6014" s="562" t="s">
        <v>8584</v>
      </c>
      <c r="C6014" s="403">
        <v>259350</v>
      </c>
      <c r="D6014" s="400"/>
      <c r="E6014" s="400"/>
      <c r="F6014" s="400"/>
      <c r="G6014" s="400"/>
      <c r="H6014" s="396"/>
    </row>
    <row r="6015" spans="1:8" s="401" customFormat="1" ht="14.25" customHeight="1" x14ac:dyDescent="0.25">
      <c r="A6015" s="564">
        <v>5410090058</v>
      </c>
      <c r="B6015" s="562" t="s">
        <v>8584</v>
      </c>
      <c r="C6015" s="403">
        <v>259350</v>
      </c>
      <c r="D6015" s="400"/>
      <c r="E6015" s="400"/>
      <c r="F6015" s="400"/>
      <c r="G6015" s="400"/>
      <c r="H6015" s="396"/>
    </row>
    <row r="6016" spans="1:8" s="401" customFormat="1" ht="14.25" customHeight="1" x14ac:dyDescent="0.25">
      <c r="A6016" s="564">
        <v>5410090059</v>
      </c>
      <c r="B6016" s="562" t="s">
        <v>8584</v>
      </c>
      <c r="C6016" s="403">
        <v>259350</v>
      </c>
      <c r="D6016" s="400"/>
      <c r="E6016" s="400"/>
      <c r="F6016" s="400"/>
      <c r="G6016" s="400"/>
      <c r="H6016" s="396"/>
    </row>
    <row r="6017" spans="1:8" s="401" customFormat="1" ht="14.25" customHeight="1" x14ac:dyDescent="0.25">
      <c r="A6017" s="564">
        <v>5410090060</v>
      </c>
      <c r="B6017" s="562" t="s">
        <v>8584</v>
      </c>
      <c r="C6017" s="403">
        <v>259350</v>
      </c>
      <c r="D6017" s="400"/>
      <c r="E6017" s="400"/>
      <c r="F6017" s="400"/>
      <c r="G6017" s="400"/>
      <c r="H6017" s="396"/>
    </row>
    <row r="6018" spans="1:8" s="401" customFormat="1" ht="14.25" customHeight="1" x14ac:dyDescent="0.25">
      <c r="A6018" s="564">
        <v>5410090061</v>
      </c>
      <c r="B6018" s="562" t="s">
        <v>8584</v>
      </c>
      <c r="C6018" s="403">
        <v>259350</v>
      </c>
      <c r="D6018" s="400"/>
      <c r="E6018" s="400"/>
      <c r="F6018" s="400"/>
      <c r="G6018" s="400"/>
      <c r="H6018" s="396"/>
    </row>
    <row r="6019" spans="1:8" s="401" customFormat="1" ht="14.25" customHeight="1" x14ac:dyDescent="0.25">
      <c r="A6019" s="564">
        <v>5410090062</v>
      </c>
      <c r="B6019" s="562" t="s">
        <v>8584</v>
      </c>
      <c r="C6019" s="403">
        <v>259350</v>
      </c>
      <c r="D6019" s="400"/>
      <c r="E6019" s="400"/>
      <c r="F6019" s="400"/>
      <c r="G6019" s="400"/>
      <c r="H6019" s="396"/>
    </row>
    <row r="6020" spans="1:8" s="401" customFormat="1" ht="14.25" customHeight="1" x14ac:dyDescent="0.25">
      <c r="A6020" s="564">
        <v>5410090063</v>
      </c>
      <c r="B6020" s="562" t="s">
        <v>8584</v>
      </c>
      <c r="C6020" s="403">
        <v>259350</v>
      </c>
      <c r="D6020" s="400"/>
      <c r="E6020" s="400"/>
      <c r="F6020" s="400"/>
      <c r="G6020" s="400"/>
      <c r="H6020" s="396"/>
    </row>
    <row r="6021" spans="1:8" s="401" customFormat="1" ht="14.25" customHeight="1" x14ac:dyDescent="0.25">
      <c r="A6021" s="564">
        <v>5410090044</v>
      </c>
      <c r="B6021" s="562" t="s">
        <v>8584</v>
      </c>
      <c r="C6021" s="403">
        <v>259350</v>
      </c>
      <c r="D6021" s="400"/>
      <c r="E6021" s="400"/>
      <c r="F6021" s="400"/>
      <c r="G6021" s="400"/>
      <c r="H6021" s="396"/>
    </row>
    <row r="6022" spans="1:8" s="401" customFormat="1" ht="14.25" customHeight="1" x14ac:dyDescent="0.25">
      <c r="A6022" s="564">
        <v>5410090045</v>
      </c>
      <c r="B6022" s="562" t="s">
        <v>8584</v>
      </c>
      <c r="C6022" s="403">
        <v>259350</v>
      </c>
      <c r="D6022" s="400"/>
      <c r="E6022" s="400"/>
      <c r="F6022" s="400"/>
      <c r="G6022" s="400"/>
      <c r="H6022" s="396"/>
    </row>
    <row r="6023" spans="1:8" s="401" customFormat="1" ht="14.25" customHeight="1" x14ac:dyDescent="0.25">
      <c r="A6023" s="564">
        <v>5112830002</v>
      </c>
      <c r="B6023" s="562" t="s">
        <v>819</v>
      </c>
      <c r="C6023" s="403">
        <v>1043</v>
      </c>
      <c r="D6023" s="400"/>
      <c r="E6023" s="400"/>
      <c r="F6023" s="400"/>
      <c r="G6023" s="400"/>
      <c r="H6023" s="396"/>
    </row>
    <row r="6024" spans="1:8" s="401" customFormat="1" ht="14.25" customHeight="1" x14ac:dyDescent="0.25">
      <c r="A6024" s="564">
        <v>5112830003</v>
      </c>
      <c r="B6024" s="562" t="s">
        <v>819</v>
      </c>
      <c r="C6024" s="403">
        <v>1043</v>
      </c>
      <c r="D6024" s="400"/>
      <c r="E6024" s="400"/>
      <c r="F6024" s="400"/>
      <c r="G6024" s="400"/>
      <c r="H6024" s="396"/>
    </row>
    <row r="6025" spans="1:8" s="401" customFormat="1" ht="14.25" customHeight="1" x14ac:dyDescent="0.25">
      <c r="A6025" s="564">
        <v>5112830004</v>
      </c>
      <c r="B6025" s="562" t="s">
        <v>819</v>
      </c>
      <c r="C6025" s="403">
        <v>999</v>
      </c>
      <c r="D6025" s="400"/>
      <c r="E6025" s="400"/>
      <c r="F6025" s="400"/>
      <c r="G6025" s="400"/>
      <c r="H6025" s="396"/>
    </row>
    <row r="6026" spans="1:8" s="401" customFormat="1" ht="14.25" customHeight="1" x14ac:dyDescent="0.25">
      <c r="A6026" s="564">
        <v>5151130010</v>
      </c>
      <c r="B6026" s="562" t="s">
        <v>902</v>
      </c>
      <c r="C6026" s="403">
        <v>1508</v>
      </c>
      <c r="D6026" s="400"/>
      <c r="E6026" s="400"/>
      <c r="F6026" s="400"/>
      <c r="G6026" s="400"/>
      <c r="H6026" s="396"/>
    </row>
    <row r="6027" spans="1:8" s="401" customFormat="1" ht="14.25" customHeight="1" x14ac:dyDescent="0.25">
      <c r="A6027" s="564">
        <v>5110590002</v>
      </c>
      <c r="B6027" s="562" t="s">
        <v>8737</v>
      </c>
      <c r="C6027" s="403">
        <v>4402.2</v>
      </c>
      <c r="D6027" s="400"/>
      <c r="E6027" s="400"/>
      <c r="F6027" s="400"/>
      <c r="G6027" s="400"/>
      <c r="H6027" s="396"/>
    </row>
    <row r="6028" spans="1:8" s="401" customFormat="1" ht="14.25" customHeight="1" x14ac:dyDescent="0.25">
      <c r="A6028" s="564">
        <v>5110940033</v>
      </c>
      <c r="B6028" s="562" t="s">
        <v>8598</v>
      </c>
      <c r="C6028" s="403">
        <v>694.83999999999992</v>
      </c>
      <c r="D6028" s="400"/>
      <c r="E6028" s="400"/>
      <c r="F6028" s="400"/>
      <c r="G6028" s="400"/>
      <c r="H6028" s="396"/>
    </row>
    <row r="6029" spans="1:8" s="401" customFormat="1" ht="14.25" customHeight="1" x14ac:dyDescent="0.25">
      <c r="A6029" s="564">
        <v>5110940034</v>
      </c>
      <c r="B6029" s="562" t="s">
        <v>8598</v>
      </c>
      <c r="C6029" s="403">
        <v>694.83999999999992</v>
      </c>
      <c r="D6029" s="400"/>
      <c r="E6029" s="400"/>
      <c r="F6029" s="400"/>
      <c r="G6029" s="400"/>
      <c r="H6029" s="396"/>
    </row>
    <row r="6030" spans="1:8" s="401" customFormat="1" ht="14.25" customHeight="1" x14ac:dyDescent="0.25">
      <c r="A6030" s="564">
        <v>5110940035</v>
      </c>
      <c r="B6030" s="562" t="s">
        <v>8598</v>
      </c>
      <c r="C6030" s="403">
        <v>694.83999999999992</v>
      </c>
      <c r="D6030" s="400"/>
      <c r="E6030" s="400"/>
      <c r="F6030" s="400"/>
      <c r="G6030" s="400"/>
      <c r="H6030" s="396"/>
    </row>
    <row r="6031" spans="1:8" s="401" customFormat="1" ht="14.25" customHeight="1" x14ac:dyDescent="0.25">
      <c r="A6031" s="564">
        <v>5110940036</v>
      </c>
      <c r="B6031" s="562" t="s">
        <v>8598</v>
      </c>
      <c r="C6031" s="403">
        <v>694.83999999999992</v>
      </c>
      <c r="D6031" s="400"/>
      <c r="E6031" s="400"/>
      <c r="F6031" s="400"/>
      <c r="G6031" s="400"/>
      <c r="H6031" s="396"/>
    </row>
    <row r="6032" spans="1:8" s="401" customFormat="1" ht="14.25" customHeight="1" x14ac:dyDescent="0.25">
      <c r="A6032" s="564">
        <v>5110940037</v>
      </c>
      <c r="B6032" s="562" t="s">
        <v>8598</v>
      </c>
      <c r="C6032" s="403">
        <v>694.83999999999992</v>
      </c>
      <c r="D6032" s="400"/>
      <c r="E6032" s="400"/>
      <c r="F6032" s="400"/>
      <c r="G6032" s="400"/>
      <c r="H6032" s="396"/>
    </row>
    <row r="6033" spans="1:8" s="401" customFormat="1" ht="14.25" customHeight="1" x14ac:dyDescent="0.25">
      <c r="A6033" s="564">
        <v>5110940038</v>
      </c>
      <c r="B6033" s="562" t="s">
        <v>8598</v>
      </c>
      <c r="C6033" s="403">
        <v>694.83999999999992</v>
      </c>
      <c r="D6033" s="400"/>
      <c r="E6033" s="400"/>
      <c r="F6033" s="400"/>
      <c r="G6033" s="400"/>
      <c r="H6033" s="396"/>
    </row>
    <row r="6034" spans="1:8" s="401" customFormat="1" ht="14.25" customHeight="1" x14ac:dyDescent="0.25">
      <c r="A6034" s="564">
        <v>5112670043</v>
      </c>
      <c r="B6034" s="562" t="s">
        <v>812</v>
      </c>
      <c r="C6034" s="403">
        <v>1473.1999999999998</v>
      </c>
      <c r="D6034" s="400"/>
      <c r="E6034" s="400"/>
      <c r="F6034" s="400"/>
      <c r="G6034" s="400"/>
      <c r="H6034" s="396"/>
    </row>
    <row r="6035" spans="1:8" s="401" customFormat="1" ht="14.25" customHeight="1" x14ac:dyDescent="0.25">
      <c r="A6035" s="564">
        <v>5112670044</v>
      </c>
      <c r="B6035" s="562" t="s">
        <v>812</v>
      </c>
      <c r="C6035" s="403">
        <v>1473.1999999999998</v>
      </c>
      <c r="D6035" s="400"/>
      <c r="E6035" s="400"/>
      <c r="F6035" s="400"/>
      <c r="G6035" s="400"/>
      <c r="H6035" s="396"/>
    </row>
    <row r="6036" spans="1:8" s="401" customFormat="1" ht="14.25" customHeight="1" x14ac:dyDescent="0.25">
      <c r="A6036" s="564">
        <v>5112670045</v>
      </c>
      <c r="B6036" s="562" t="s">
        <v>812</v>
      </c>
      <c r="C6036" s="403">
        <v>1473.1999999999998</v>
      </c>
      <c r="D6036" s="400"/>
      <c r="E6036" s="400"/>
      <c r="F6036" s="400"/>
      <c r="G6036" s="400"/>
      <c r="H6036" s="396"/>
    </row>
    <row r="6037" spans="1:8" s="401" customFormat="1" ht="14.25" customHeight="1" x14ac:dyDescent="0.25">
      <c r="A6037" s="564">
        <v>5112670046</v>
      </c>
      <c r="B6037" s="562" t="s">
        <v>812</v>
      </c>
      <c r="C6037" s="403">
        <v>1473.1999999999998</v>
      </c>
      <c r="D6037" s="400"/>
      <c r="E6037" s="400"/>
      <c r="F6037" s="400"/>
      <c r="G6037" s="400"/>
      <c r="H6037" s="396"/>
    </row>
    <row r="6038" spans="1:8" s="401" customFormat="1" ht="14.25" customHeight="1" x14ac:dyDescent="0.25">
      <c r="A6038" s="564">
        <v>5112670047</v>
      </c>
      <c r="B6038" s="562" t="s">
        <v>812</v>
      </c>
      <c r="C6038" s="403">
        <v>1473.1999999999998</v>
      </c>
      <c r="D6038" s="400"/>
      <c r="E6038" s="400"/>
      <c r="F6038" s="400"/>
      <c r="G6038" s="400"/>
      <c r="H6038" s="396"/>
    </row>
    <row r="6039" spans="1:8" s="401" customFormat="1" ht="14.25" customHeight="1" x14ac:dyDescent="0.25">
      <c r="A6039" s="564">
        <v>5112670048</v>
      </c>
      <c r="B6039" s="562" t="s">
        <v>812</v>
      </c>
      <c r="C6039" s="403">
        <v>1571.8</v>
      </c>
      <c r="D6039" s="400"/>
      <c r="E6039" s="400"/>
      <c r="F6039" s="400"/>
      <c r="G6039" s="400"/>
      <c r="H6039" s="396"/>
    </row>
    <row r="6040" spans="1:8" s="401" customFormat="1" ht="14.25" customHeight="1" x14ac:dyDescent="0.25">
      <c r="A6040" s="564">
        <v>5112670049</v>
      </c>
      <c r="B6040" s="562" t="s">
        <v>812</v>
      </c>
      <c r="C6040" s="403">
        <v>1571.8</v>
      </c>
      <c r="D6040" s="400"/>
      <c r="E6040" s="400"/>
      <c r="F6040" s="400"/>
      <c r="G6040" s="400"/>
      <c r="H6040" s="396"/>
    </row>
    <row r="6041" spans="1:8" s="401" customFormat="1" ht="14.25" customHeight="1" x14ac:dyDescent="0.25">
      <c r="A6041" s="564">
        <v>5112670050</v>
      </c>
      <c r="B6041" s="562" t="s">
        <v>812</v>
      </c>
      <c r="C6041" s="403">
        <v>1571.8</v>
      </c>
      <c r="D6041" s="400"/>
      <c r="E6041" s="400"/>
      <c r="F6041" s="400"/>
      <c r="G6041" s="400"/>
      <c r="H6041" s="396"/>
    </row>
    <row r="6042" spans="1:8" s="401" customFormat="1" ht="14.25" customHeight="1" x14ac:dyDescent="0.25">
      <c r="A6042" s="564">
        <v>5112670051</v>
      </c>
      <c r="B6042" s="562" t="s">
        <v>812</v>
      </c>
      <c r="C6042" s="403">
        <v>1571.8</v>
      </c>
      <c r="D6042" s="400"/>
      <c r="E6042" s="400"/>
      <c r="F6042" s="400"/>
      <c r="G6042" s="400"/>
      <c r="H6042" s="396"/>
    </row>
    <row r="6043" spans="1:8" s="401" customFormat="1" ht="14.25" customHeight="1" x14ac:dyDescent="0.25">
      <c r="A6043" s="564">
        <v>5110980015</v>
      </c>
      <c r="B6043" s="562" t="s">
        <v>833</v>
      </c>
      <c r="C6043" s="403">
        <v>2043.9199999999998</v>
      </c>
      <c r="D6043" s="400"/>
      <c r="E6043" s="400"/>
      <c r="F6043" s="400"/>
      <c r="G6043" s="400"/>
      <c r="H6043" s="396"/>
    </row>
    <row r="6044" spans="1:8" s="401" customFormat="1" ht="14.25" customHeight="1" x14ac:dyDescent="0.25">
      <c r="A6044" s="564">
        <v>5112180008</v>
      </c>
      <c r="B6044" s="562" t="s">
        <v>8738</v>
      </c>
      <c r="C6044" s="403">
        <v>4234</v>
      </c>
      <c r="D6044" s="400"/>
      <c r="E6044" s="400"/>
      <c r="F6044" s="400"/>
      <c r="G6044" s="400"/>
      <c r="H6044" s="396"/>
    </row>
    <row r="6045" spans="1:8" s="401" customFormat="1" ht="14.25" customHeight="1" x14ac:dyDescent="0.25">
      <c r="A6045" s="564">
        <v>5112180009</v>
      </c>
      <c r="B6045" s="562" t="s">
        <v>8738</v>
      </c>
      <c r="C6045" s="403">
        <v>4234</v>
      </c>
      <c r="D6045" s="400"/>
      <c r="E6045" s="400"/>
      <c r="F6045" s="400"/>
      <c r="G6045" s="400"/>
      <c r="H6045" s="396"/>
    </row>
    <row r="6046" spans="1:8" s="401" customFormat="1" ht="14.25" customHeight="1" x14ac:dyDescent="0.25">
      <c r="A6046" s="564">
        <v>5112180010</v>
      </c>
      <c r="B6046" s="562" t="s">
        <v>8738</v>
      </c>
      <c r="C6046" s="403">
        <v>4234</v>
      </c>
      <c r="D6046" s="400"/>
      <c r="E6046" s="400"/>
      <c r="F6046" s="400"/>
      <c r="G6046" s="400"/>
      <c r="H6046" s="396"/>
    </row>
    <row r="6047" spans="1:8" s="401" customFormat="1" ht="14.25" customHeight="1" x14ac:dyDescent="0.25">
      <c r="A6047" s="564">
        <v>5112180013</v>
      </c>
      <c r="B6047" s="562" t="s">
        <v>8738</v>
      </c>
      <c r="C6047" s="403">
        <v>5127.2</v>
      </c>
      <c r="D6047" s="400"/>
      <c r="E6047" s="400"/>
      <c r="F6047" s="400"/>
      <c r="G6047" s="400"/>
      <c r="H6047" s="396"/>
    </row>
    <row r="6048" spans="1:8" s="401" customFormat="1" ht="14.25" customHeight="1" x14ac:dyDescent="0.25">
      <c r="A6048" s="564">
        <v>5112180011</v>
      </c>
      <c r="B6048" s="562" t="s">
        <v>8739</v>
      </c>
      <c r="C6048" s="403">
        <v>2088</v>
      </c>
      <c r="D6048" s="400"/>
      <c r="E6048" s="400"/>
      <c r="F6048" s="400"/>
      <c r="G6048" s="400"/>
      <c r="H6048" s="396"/>
    </row>
    <row r="6049" spans="1:8" s="401" customFormat="1" ht="14.25" customHeight="1" x14ac:dyDescent="0.25">
      <c r="A6049" s="564">
        <v>5112180012</v>
      </c>
      <c r="B6049" s="562" t="s">
        <v>8739</v>
      </c>
      <c r="C6049" s="403">
        <v>2088</v>
      </c>
      <c r="D6049" s="400"/>
      <c r="E6049" s="400"/>
      <c r="F6049" s="400"/>
      <c r="G6049" s="400"/>
      <c r="H6049" s="396"/>
    </row>
    <row r="6050" spans="1:8" s="401" customFormat="1" ht="14.25" customHeight="1" x14ac:dyDescent="0.25">
      <c r="A6050" s="564">
        <v>5110360060</v>
      </c>
      <c r="B6050" s="562" t="s">
        <v>787</v>
      </c>
      <c r="C6050" s="403">
        <v>3653.9999999999995</v>
      </c>
      <c r="D6050" s="400"/>
      <c r="E6050" s="400"/>
      <c r="F6050" s="400"/>
      <c r="G6050" s="400"/>
      <c r="H6050" s="396"/>
    </row>
    <row r="6051" spans="1:8" s="401" customFormat="1" ht="14.25" customHeight="1" x14ac:dyDescent="0.25">
      <c r="A6051" s="564">
        <v>5110360061</v>
      </c>
      <c r="B6051" s="562" t="s">
        <v>787</v>
      </c>
      <c r="C6051" s="403">
        <v>3653.9999999999995</v>
      </c>
      <c r="D6051" s="400"/>
      <c r="E6051" s="400"/>
      <c r="F6051" s="400"/>
      <c r="G6051" s="400"/>
      <c r="H6051" s="396"/>
    </row>
    <row r="6052" spans="1:8" s="401" customFormat="1" ht="14.25" customHeight="1" x14ac:dyDescent="0.25">
      <c r="A6052" s="564">
        <v>5110360062</v>
      </c>
      <c r="B6052" s="562" t="s">
        <v>787</v>
      </c>
      <c r="C6052" s="403">
        <v>3653.9999999999995</v>
      </c>
      <c r="D6052" s="400"/>
      <c r="E6052" s="400"/>
      <c r="F6052" s="400"/>
      <c r="G6052" s="400"/>
      <c r="H6052" s="396"/>
    </row>
    <row r="6053" spans="1:8" s="401" customFormat="1" ht="14.25" customHeight="1" x14ac:dyDescent="0.25">
      <c r="A6053" s="564">
        <v>5112670052</v>
      </c>
      <c r="B6053" s="562" t="s">
        <v>812</v>
      </c>
      <c r="C6053" s="403">
        <v>1469.7199999999998</v>
      </c>
      <c r="D6053" s="400"/>
      <c r="E6053" s="400"/>
      <c r="F6053" s="400"/>
      <c r="G6053" s="400"/>
      <c r="H6053" s="396"/>
    </row>
    <row r="6054" spans="1:8" s="401" customFormat="1" ht="14.25" customHeight="1" x14ac:dyDescent="0.25">
      <c r="A6054" s="564">
        <v>5112670053</v>
      </c>
      <c r="B6054" s="562" t="s">
        <v>812</v>
      </c>
      <c r="C6054" s="403">
        <v>1469.7199999999998</v>
      </c>
      <c r="D6054" s="400"/>
      <c r="E6054" s="400"/>
      <c r="F6054" s="400"/>
      <c r="G6054" s="400"/>
      <c r="H6054" s="396"/>
    </row>
    <row r="6055" spans="1:8" s="401" customFormat="1" ht="14.25" customHeight="1" x14ac:dyDescent="0.25">
      <c r="A6055" s="564">
        <v>5112670054</v>
      </c>
      <c r="B6055" s="562" t="s">
        <v>812</v>
      </c>
      <c r="C6055" s="403">
        <v>1469.7199999999998</v>
      </c>
      <c r="D6055" s="400"/>
      <c r="E6055" s="400"/>
      <c r="F6055" s="400"/>
      <c r="G6055" s="400"/>
      <c r="H6055" s="396"/>
    </row>
    <row r="6056" spans="1:8" s="401" customFormat="1" ht="14.25" customHeight="1" x14ac:dyDescent="0.25">
      <c r="A6056" s="564">
        <v>5110620012</v>
      </c>
      <c r="B6056" s="562" t="s">
        <v>2362</v>
      </c>
      <c r="C6056" s="403">
        <v>2378</v>
      </c>
      <c r="D6056" s="400"/>
      <c r="E6056" s="400"/>
      <c r="F6056" s="400"/>
      <c r="G6056" s="400"/>
      <c r="H6056" s="396"/>
    </row>
    <row r="6057" spans="1:8" s="401" customFormat="1" ht="14.25" customHeight="1" x14ac:dyDescent="0.25">
      <c r="A6057" s="564">
        <v>5110230064</v>
      </c>
      <c r="B6057" s="562" t="s">
        <v>8740</v>
      </c>
      <c r="C6057" s="403">
        <v>4100.5999999999995</v>
      </c>
      <c r="D6057" s="400"/>
      <c r="E6057" s="400"/>
      <c r="F6057" s="400"/>
      <c r="G6057" s="400"/>
      <c r="H6057" s="396"/>
    </row>
    <row r="6058" spans="1:8" s="401" customFormat="1" ht="14.25" customHeight="1" x14ac:dyDescent="0.25">
      <c r="A6058" s="564">
        <v>5112640018</v>
      </c>
      <c r="B6058" s="562" t="s">
        <v>838</v>
      </c>
      <c r="C6058" s="403">
        <v>696</v>
      </c>
      <c r="D6058" s="400"/>
      <c r="E6058" s="400"/>
      <c r="F6058" s="400"/>
      <c r="G6058" s="400"/>
      <c r="H6058" s="396"/>
    </row>
    <row r="6059" spans="1:8" s="401" customFormat="1" ht="14.25" customHeight="1" x14ac:dyDescent="0.25">
      <c r="A6059" s="564">
        <v>5112640019</v>
      </c>
      <c r="B6059" s="562" t="s">
        <v>838</v>
      </c>
      <c r="C6059" s="403">
        <v>696</v>
      </c>
      <c r="D6059" s="400"/>
      <c r="E6059" s="400"/>
      <c r="F6059" s="400"/>
      <c r="G6059" s="400"/>
      <c r="H6059" s="396"/>
    </row>
    <row r="6060" spans="1:8" s="401" customFormat="1" ht="14.25" customHeight="1" x14ac:dyDescent="0.25">
      <c r="A6060" s="564">
        <v>5112640020</v>
      </c>
      <c r="B6060" s="562" t="s">
        <v>838</v>
      </c>
      <c r="C6060" s="403">
        <v>696</v>
      </c>
      <c r="D6060" s="400"/>
      <c r="E6060" s="400"/>
      <c r="F6060" s="400"/>
      <c r="G6060" s="400"/>
      <c r="H6060" s="396"/>
    </row>
    <row r="6061" spans="1:8" s="401" customFormat="1" ht="14.25" customHeight="1" x14ac:dyDescent="0.25">
      <c r="A6061" s="564">
        <v>5112640021</v>
      </c>
      <c r="B6061" s="562" t="s">
        <v>838</v>
      </c>
      <c r="C6061" s="403">
        <v>696</v>
      </c>
      <c r="D6061" s="400"/>
      <c r="E6061" s="400"/>
      <c r="F6061" s="400"/>
      <c r="G6061" s="400"/>
      <c r="H6061" s="396"/>
    </row>
    <row r="6062" spans="1:8" s="401" customFormat="1" ht="14.25" customHeight="1" x14ac:dyDescent="0.25">
      <c r="A6062" s="564">
        <v>5110480005</v>
      </c>
      <c r="B6062" s="562" t="s">
        <v>788</v>
      </c>
      <c r="C6062" s="403">
        <v>5220</v>
      </c>
      <c r="D6062" s="400"/>
      <c r="E6062" s="400"/>
      <c r="F6062" s="400"/>
      <c r="G6062" s="400"/>
      <c r="H6062" s="396"/>
    </row>
    <row r="6063" spans="1:8" s="401" customFormat="1" ht="14.25" customHeight="1" x14ac:dyDescent="0.25">
      <c r="A6063" s="564">
        <v>5151290004</v>
      </c>
      <c r="B6063" s="562" t="s">
        <v>8544</v>
      </c>
      <c r="C6063" s="403">
        <v>31204</v>
      </c>
      <c r="D6063" s="400"/>
      <c r="E6063" s="400"/>
      <c r="F6063" s="400"/>
      <c r="G6063" s="400"/>
      <c r="H6063" s="396"/>
    </row>
    <row r="6064" spans="1:8" s="401" customFormat="1" ht="14.25" customHeight="1" x14ac:dyDescent="0.25">
      <c r="A6064" s="564">
        <v>5151260082</v>
      </c>
      <c r="B6064" s="562" t="s">
        <v>8535</v>
      </c>
      <c r="C6064" s="403">
        <v>6042.44</v>
      </c>
      <c r="D6064" s="400"/>
      <c r="E6064" s="400"/>
      <c r="F6064" s="400"/>
      <c r="G6064" s="400"/>
      <c r="H6064" s="396"/>
    </row>
    <row r="6065" spans="1:8" s="401" customFormat="1" ht="14.25" customHeight="1" x14ac:dyDescent="0.25">
      <c r="A6065" s="564">
        <v>5151260083</v>
      </c>
      <c r="B6065" s="562" t="s">
        <v>8535</v>
      </c>
      <c r="C6065" s="403">
        <v>6042.44</v>
      </c>
      <c r="D6065" s="400"/>
      <c r="E6065" s="400"/>
      <c r="F6065" s="400"/>
      <c r="G6065" s="400"/>
      <c r="H6065" s="396"/>
    </row>
    <row r="6066" spans="1:8" s="401" customFormat="1" ht="14.25" customHeight="1" x14ac:dyDescent="0.25">
      <c r="A6066" s="564">
        <v>5150930066</v>
      </c>
      <c r="B6066" s="562" t="s">
        <v>893</v>
      </c>
      <c r="C6066" s="403">
        <v>2320</v>
      </c>
      <c r="D6066" s="400"/>
      <c r="E6066" s="400"/>
      <c r="F6066" s="400"/>
      <c r="G6066" s="400"/>
      <c r="H6066" s="396"/>
    </row>
    <row r="6067" spans="1:8" s="401" customFormat="1" ht="14.25" customHeight="1" x14ac:dyDescent="0.25">
      <c r="A6067" s="564">
        <v>5150930067</v>
      </c>
      <c r="B6067" s="562" t="s">
        <v>893</v>
      </c>
      <c r="C6067" s="403">
        <v>2320</v>
      </c>
      <c r="D6067" s="400"/>
      <c r="E6067" s="400"/>
      <c r="F6067" s="400"/>
      <c r="G6067" s="400"/>
      <c r="H6067" s="396"/>
    </row>
    <row r="6068" spans="1:8" s="401" customFormat="1" ht="14.25" customHeight="1" x14ac:dyDescent="0.25">
      <c r="A6068" s="564">
        <v>5151350081</v>
      </c>
      <c r="B6068" s="562" t="s">
        <v>8704</v>
      </c>
      <c r="C6068" s="403">
        <v>348</v>
      </c>
      <c r="D6068" s="400"/>
      <c r="E6068" s="400"/>
      <c r="F6068" s="400"/>
      <c r="G6068" s="400"/>
      <c r="H6068" s="396"/>
    </row>
    <row r="6069" spans="1:8" s="401" customFormat="1" ht="14.25" customHeight="1" x14ac:dyDescent="0.25">
      <c r="A6069" s="564">
        <v>5151350082</v>
      </c>
      <c r="B6069" s="562" t="s">
        <v>8704</v>
      </c>
      <c r="C6069" s="403">
        <v>348</v>
      </c>
      <c r="D6069" s="400"/>
      <c r="E6069" s="400"/>
      <c r="F6069" s="400"/>
      <c r="G6069" s="400"/>
      <c r="H6069" s="396"/>
    </row>
    <row r="6070" spans="1:8" s="401" customFormat="1" ht="14.25" customHeight="1" x14ac:dyDescent="0.25">
      <c r="A6070" s="564">
        <v>5151290005</v>
      </c>
      <c r="B6070" s="562" t="s">
        <v>8544</v>
      </c>
      <c r="C6070" s="403">
        <v>10100.120000000001</v>
      </c>
      <c r="D6070" s="400"/>
      <c r="E6070" s="400"/>
      <c r="F6070" s="400"/>
      <c r="G6070" s="400"/>
      <c r="H6070" s="396"/>
    </row>
    <row r="6071" spans="1:8" s="401" customFormat="1" ht="14.25" customHeight="1" x14ac:dyDescent="0.25">
      <c r="A6071" s="564">
        <v>5150590004</v>
      </c>
      <c r="B6071" s="562" t="s">
        <v>8741</v>
      </c>
      <c r="C6071" s="403">
        <v>1390</v>
      </c>
      <c r="D6071" s="400"/>
      <c r="E6071" s="400"/>
      <c r="F6071" s="400"/>
      <c r="G6071" s="400"/>
      <c r="H6071" s="396"/>
    </row>
    <row r="6072" spans="1:8" s="401" customFormat="1" ht="14.25" customHeight="1" x14ac:dyDescent="0.25">
      <c r="A6072" s="564">
        <v>5151170020</v>
      </c>
      <c r="B6072" s="562" t="s">
        <v>8742</v>
      </c>
      <c r="C6072" s="403">
        <v>7957.6</v>
      </c>
      <c r="D6072" s="400"/>
      <c r="E6072" s="400"/>
      <c r="F6072" s="400"/>
      <c r="G6072" s="400"/>
      <c r="H6072" s="396"/>
    </row>
    <row r="6073" spans="1:8" s="401" customFormat="1" ht="14.25" customHeight="1" x14ac:dyDescent="0.25">
      <c r="A6073" s="564">
        <v>5151170021</v>
      </c>
      <c r="B6073" s="562" t="s">
        <v>8742</v>
      </c>
      <c r="C6073" s="403">
        <v>7957.6</v>
      </c>
      <c r="D6073" s="400"/>
      <c r="E6073" s="400"/>
      <c r="F6073" s="400"/>
      <c r="G6073" s="400"/>
      <c r="H6073" s="396"/>
    </row>
    <row r="6074" spans="1:8" s="401" customFormat="1" ht="14.25" customHeight="1" x14ac:dyDescent="0.25">
      <c r="A6074" s="564">
        <v>5151260084</v>
      </c>
      <c r="B6074" s="562" t="s">
        <v>8535</v>
      </c>
      <c r="C6074" s="403">
        <v>9744</v>
      </c>
      <c r="D6074" s="400"/>
      <c r="E6074" s="400"/>
      <c r="F6074" s="400"/>
      <c r="G6074" s="400"/>
      <c r="H6074" s="396"/>
    </row>
    <row r="6075" spans="1:8" s="401" customFormat="1" ht="14.25" customHeight="1" x14ac:dyDescent="0.25">
      <c r="A6075" s="564">
        <v>5151260085</v>
      </c>
      <c r="B6075" s="562" t="s">
        <v>8535</v>
      </c>
      <c r="C6075" s="403">
        <v>9744</v>
      </c>
      <c r="D6075" s="400"/>
      <c r="E6075" s="400"/>
      <c r="F6075" s="400"/>
      <c r="G6075" s="400"/>
      <c r="H6075" s="396"/>
    </row>
    <row r="6076" spans="1:8" s="401" customFormat="1" ht="14.25" customHeight="1" x14ac:dyDescent="0.25">
      <c r="A6076" s="564">
        <v>5151260086</v>
      </c>
      <c r="B6076" s="562" t="s">
        <v>8535</v>
      </c>
      <c r="C6076" s="403">
        <v>9744</v>
      </c>
      <c r="D6076" s="400"/>
      <c r="E6076" s="400"/>
      <c r="F6076" s="400"/>
      <c r="G6076" s="400"/>
      <c r="H6076" s="396"/>
    </row>
    <row r="6077" spans="1:8" s="401" customFormat="1" ht="14.25" customHeight="1" x14ac:dyDescent="0.25">
      <c r="A6077" s="564">
        <v>5151260088</v>
      </c>
      <c r="B6077" s="562" t="s">
        <v>8535</v>
      </c>
      <c r="C6077" s="403">
        <v>6042.44</v>
      </c>
      <c r="D6077" s="400"/>
      <c r="E6077" s="400"/>
      <c r="F6077" s="400"/>
      <c r="G6077" s="400"/>
      <c r="H6077" s="396"/>
    </row>
    <row r="6078" spans="1:8" s="401" customFormat="1" ht="14.25" customHeight="1" x14ac:dyDescent="0.25">
      <c r="A6078" s="564">
        <v>5151260089</v>
      </c>
      <c r="B6078" s="562" t="s">
        <v>8535</v>
      </c>
      <c r="C6078" s="403">
        <v>6042.44</v>
      </c>
      <c r="D6078" s="400"/>
      <c r="E6078" s="400"/>
      <c r="F6078" s="400"/>
      <c r="G6078" s="400"/>
      <c r="H6078" s="396"/>
    </row>
    <row r="6079" spans="1:8" s="401" customFormat="1" ht="14.25" customHeight="1" x14ac:dyDescent="0.25">
      <c r="A6079" s="564">
        <v>5150930072</v>
      </c>
      <c r="B6079" s="562" t="s">
        <v>893</v>
      </c>
      <c r="C6079" s="403">
        <v>2320</v>
      </c>
      <c r="D6079" s="400"/>
      <c r="E6079" s="400"/>
      <c r="F6079" s="400"/>
      <c r="G6079" s="400"/>
      <c r="H6079" s="396"/>
    </row>
    <row r="6080" spans="1:8" s="401" customFormat="1" ht="14.25" customHeight="1" x14ac:dyDescent="0.25">
      <c r="A6080" s="564">
        <v>5150930073</v>
      </c>
      <c r="B6080" s="562" t="s">
        <v>893</v>
      </c>
      <c r="C6080" s="403">
        <v>2320</v>
      </c>
      <c r="D6080" s="400"/>
      <c r="E6080" s="400"/>
      <c r="F6080" s="400"/>
      <c r="G6080" s="400"/>
      <c r="H6080" s="396"/>
    </row>
    <row r="6081" spans="1:8" s="401" customFormat="1" ht="14.25" customHeight="1" x14ac:dyDescent="0.25">
      <c r="A6081" s="564">
        <v>5151350087</v>
      </c>
      <c r="B6081" s="562" t="s">
        <v>8704</v>
      </c>
      <c r="C6081" s="403">
        <v>348</v>
      </c>
      <c r="D6081" s="400"/>
      <c r="E6081" s="400"/>
      <c r="F6081" s="400"/>
      <c r="G6081" s="400"/>
      <c r="H6081" s="396"/>
    </row>
    <row r="6082" spans="1:8" s="401" customFormat="1" ht="14.25" customHeight="1" x14ac:dyDescent="0.25">
      <c r="A6082" s="564">
        <v>5151350088</v>
      </c>
      <c r="B6082" s="562" t="s">
        <v>8704</v>
      </c>
      <c r="C6082" s="403">
        <v>348</v>
      </c>
      <c r="D6082" s="400"/>
      <c r="E6082" s="400"/>
      <c r="F6082" s="400"/>
      <c r="G6082" s="400"/>
      <c r="H6082" s="396"/>
    </row>
    <row r="6083" spans="1:8" s="401" customFormat="1" ht="14.25" customHeight="1" x14ac:dyDescent="0.25">
      <c r="A6083" s="564">
        <v>5410480024</v>
      </c>
      <c r="B6083" s="562" t="s">
        <v>8743</v>
      </c>
      <c r="C6083" s="403">
        <v>25500</v>
      </c>
      <c r="D6083" s="400"/>
      <c r="E6083" s="400"/>
      <c r="F6083" s="400"/>
      <c r="G6083" s="400"/>
      <c r="H6083" s="396"/>
    </row>
    <row r="6084" spans="1:8" s="401" customFormat="1" ht="14.25" customHeight="1" x14ac:dyDescent="0.25">
      <c r="A6084" s="564">
        <v>5151260087</v>
      </c>
      <c r="B6084" s="562" t="s">
        <v>8535</v>
      </c>
      <c r="C6084" s="403">
        <v>7748.8</v>
      </c>
      <c r="D6084" s="400"/>
      <c r="E6084" s="400"/>
      <c r="F6084" s="400"/>
      <c r="G6084" s="400"/>
      <c r="H6084" s="396"/>
    </row>
    <row r="6085" spans="1:8" s="401" customFormat="1" ht="14.25" customHeight="1" x14ac:dyDescent="0.25">
      <c r="A6085" s="564">
        <v>5151260090</v>
      </c>
      <c r="B6085" s="562" t="s">
        <v>8535</v>
      </c>
      <c r="C6085" s="403">
        <v>6960</v>
      </c>
      <c r="D6085" s="400"/>
      <c r="E6085" s="400"/>
      <c r="F6085" s="400"/>
      <c r="G6085" s="400"/>
      <c r="H6085" s="396"/>
    </row>
    <row r="6086" spans="1:8" s="401" customFormat="1" ht="14.25" customHeight="1" x14ac:dyDescent="0.25">
      <c r="A6086" s="564">
        <v>5111050070</v>
      </c>
      <c r="B6086" s="562" t="s">
        <v>2490</v>
      </c>
      <c r="C6086" s="403">
        <v>17499.009999999998</v>
      </c>
      <c r="D6086" s="400"/>
      <c r="E6086" s="400"/>
      <c r="F6086" s="400"/>
      <c r="G6086" s="400"/>
      <c r="H6086" s="396"/>
    </row>
    <row r="6087" spans="1:8" s="401" customFormat="1" ht="14.25" customHeight="1" x14ac:dyDescent="0.25">
      <c r="A6087" s="564">
        <v>5111050071</v>
      </c>
      <c r="B6087" s="562" t="s">
        <v>2490</v>
      </c>
      <c r="C6087" s="403">
        <v>17499.009999999998</v>
      </c>
      <c r="D6087" s="400"/>
      <c r="E6087" s="400"/>
      <c r="F6087" s="400"/>
      <c r="G6087" s="400"/>
      <c r="H6087" s="396"/>
    </row>
    <row r="6088" spans="1:8" s="401" customFormat="1" ht="14.25" customHeight="1" x14ac:dyDescent="0.25">
      <c r="A6088" s="564">
        <v>5111740001</v>
      </c>
      <c r="B6088" s="562" t="s">
        <v>8744</v>
      </c>
      <c r="C6088" s="403">
        <v>6264</v>
      </c>
      <c r="D6088" s="400"/>
      <c r="E6088" s="400"/>
      <c r="F6088" s="400"/>
      <c r="G6088" s="400"/>
      <c r="H6088" s="396"/>
    </row>
    <row r="6089" spans="1:8" s="401" customFormat="1" ht="14.25" customHeight="1" x14ac:dyDescent="0.25">
      <c r="A6089" s="564">
        <v>5111740002</v>
      </c>
      <c r="B6089" s="562" t="s">
        <v>8744</v>
      </c>
      <c r="C6089" s="403">
        <v>6264</v>
      </c>
      <c r="D6089" s="400"/>
      <c r="E6089" s="400"/>
      <c r="F6089" s="400"/>
      <c r="G6089" s="400"/>
      <c r="H6089" s="396"/>
    </row>
    <row r="6090" spans="1:8" s="401" customFormat="1" ht="14.25" customHeight="1" x14ac:dyDescent="0.25">
      <c r="A6090" s="564">
        <v>5111740017</v>
      </c>
      <c r="B6090" s="562" t="s">
        <v>8744</v>
      </c>
      <c r="C6090" s="403">
        <v>6264</v>
      </c>
      <c r="D6090" s="400"/>
      <c r="E6090" s="400"/>
      <c r="F6090" s="400"/>
      <c r="G6090" s="400"/>
      <c r="H6090" s="396"/>
    </row>
    <row r="6091" spans="1:8" s="401" customFormat="1" ht="14.25" customHeight="1" x14ac:dyDescent="0.25">
      <c r="A6091" s="564">
        <v>5111740018</v>
      </c>
      <c r="B6091" s="562" t="s">
        <v>8744</v>
      </c>
      <c r="C6091" s="403">
        <v>6264</v>
      </c>
      <c r="D6091" s="400"/>
      <c r="E6091" s="400"/>
      <c r="F6091" s="400"/>
      <c r="G6091" s="400"/>
      <c r="H6091" s="396"/>
    </row>
    <row r="6092" spans="1:8" s="401" customFormat="1" ht="14.25" customHeight="1" x14ac:dyDescent="0.25">
      <c r="A6092" s="564">
        <v>5111740019</v>
      </c>
      <c r="B6092" s="562" t="s">
        <v>8744</v>
      </c>
      <c r="C6092" s="403">
        <v>6264</v>
      </c>
      <c r="D6092" s="400"/>
      <c r="E6092" s="400"/>
      <c r="F6092" s="400"/>
      <c r="G6092" s="400"/>
      <c r="H6092" s="396"/>
    </row>
    <row r="6093" spans="1:8" s="401" customFormat="1" ht="14.25" customHeight="1" x14ac:dyDescent="0.25">
      <c r="A6093" s="564">
        <v>5111740020</v>
      </c>
      <c r="B6093" s="562" t="s">
        <v>8744</v>
      </c>
      <c r="C6093" s="403">
        <v>6264</v>
      </c>
      <c r="D6093" s="400"/>
      <c r="E6093" s="400"/>
      <c r="F6093" s="400"/>
      <c r="G6093" s="400"/>
      <c r="H6093" s="396"/>
    </row>
    <row r="6094" spans="1:8" s="401" customFormat="1" ht="14.25" customHeight="1" x14ac:dyDescent="0.25">
      <c r="A6094" s="564">
        <v>5111740003</v>
      </c>
      <c r="B6094" s="562" t="s">
        <v>8744</v>
      </c>
      <c r="C6094" s="403">
        <v>6264</v>
      </c>
      <c r="D6094" s="400"/>
      <c r="E6094" s="400"/>
      <c r="F6094" s="400"/>
      <c r="G6094" s="400"/>
      <c r="H6094" s="396"/>
    </row>
    <row r="6095" spans="1:8" s="401" customFormat="1" ht="14.25" customHeight="1" x14ac:dyDescent="0.25">
      <c r="A6095" s="564">
        <v>5111740005</v>
      </c>
      <c r="B6095" s="562" t="s">
        <v>8744</v>
      </c>
      <c r="C6095" s="403">
        <v>6264</v>
      </c>
      <c r="D6095" s="400"/>
      <c r="E6095" s="400"/>
      <c r="F6095" s="400"/>
      <c r="G6095" s="400"/>
      <c r="H6095" s="396"/>
    </row>
    <row r="6096" spans="1:8" s="401" customFormat="1" ht="14.25" customHeight="1" x14ac:dyDescent="0.25">
      <c r="A6096" s="564">
        <v>5111740006</v>
      </c>
      <c r="B6096" s="562" t="s">
        <v>8744</v>
      </c>
      <c r="C6096" s="403">
        <v>6264</v>
      </c>
      <c r="D6096" s="400"/>
      <c r="E6096" s="400"/>
      <c r="F6096" s="400"/>
      <c r="G6096" s="400"/>
      <c r="H6096" s="396"/>
    </row>
    <row r="6097" spans="1:8" s="401" customFormat="1" ht="14.25" customHeight="1" x14ac:dyDescent="0.25">
      <c r="A6097" s="564">
        <v>5111740010</v>
      </c>
      <c r="B6097" s="562" t="s">
        <v>8744</v>
      </c>
      <c r="C6097" s="403">
        <v>6264</v>
      </c>
      <c r="D6097" s="400"/>
      <c r="E6097" s="400"/>
      <c r="F6097" s="400"/>
      <c r="G6097" s="400"/>
      <c r="H6097" s="396"/>
    </row>
    <row r="6098" spans="1:8" s="401" customFormat="1" ht="14.25" customHeight="1" x14ac:dyDescent="0.25">
      <c r="A6098" s="564">
        <v>5111740012</v>
      </c>
      <c r="B6098" s="562" t="s">
        <v>8744</v>
      </c>
      <c r="C6098" s="403">
        <v>6264</v>
      </c>
      <c r="D6098" s="400"/>
      <c r="E6098" s="400"/>
      <c r="F6098" s="400"/>
      <c r="G6098" s="400"/>
      <c r="H6098" s="396"/>
    </row>
    <row r="6099" spans="1:8" s="401" customFormat="1" ht="14.25" customHeight="1" x14ac:dyDescent="0.25">
      <c r="A6099" s="564">
        <v>5111740014</v>
      </c>
      <c r="B6099" s="562" t="s">
        <v>8744</v>
      </c>
      <c r="C6099" s="403">
        <v>6264</v>
      </c>
      <c r="D6099" s="400"/>
      <c r="E6099" s="400"/>
      <c r="F6099" s="400"/>
      <c r="G6099" s="400"/>
      <c r="H6099" s="396"/>
    </row>
    <row r="6100" spans="1:8" s="401" customFormat="1" ht="14.25" customHeight="1" x14ac:dyDescent="0.25">
      <c r="A6100" s="564">
        <v>5111740015</v>
      </c>
      <c r="B6100" s="562" t="s">
        <v>8744</v>
      </c>
      <c r="C6100" s="403">
        <v>6264</v>
      </c>
      <c r="D6100" s="400"/>
      <c r="E6100" s="400"/>
      <c r="F6100" s="400"/>
      <c r="G6100" s="400"/>
      <c r="H6100" s="396"/>
    </row>
    <row r="6101" spans="1:8" s="401" customFormat="1" ht="14.25" customHeight="1" x14ac:dyDescent="0.25">
      <c r="A6101" s="564">
        <v>5111740016</v>
      </c>
      <c r="B6101" s="562" t="s">
        <v>8744</v>
      </c>
      <c r="C6101" s="403">
        <v>6264</v>
      </c>
      <c r="D6101" s="400"/>
      <c r="E6101" s="400"/>
      <c r="F6101" s="400"/>
      <c r="G6101" s="400"/>
      <c r="H6101" s="396"/>
    </row>
    <row r="6102" spans="1:8" s="401" customFormat="1" ht="14.25" customHeight="1" x14ac:dyDescent="0.25">
      <c r="A6102" s="564">
        <v>5112250003</v>
      </c>
      <c r="B6102" s="562" t="s">
        <v>976</v>
      </c>
      <c r="C6102" s="403">
        <v>24882</v>
      </c>
      <c r="D6102" s="400"/>
      <c r="E6102" s="400"/>
      <c r="F6102" s="400"/>
      <c r="G6102" s="400"/>
      <c r="H6102" s="396"/>
    </row>
    <row r="6103" spans="1:8" s="401" customFormat="1" ht="14.25" customHeight="1" x14ac:dyDescent="0.25">
      <c r="A6103" s="564">
        <v>5111740004</v>
      </c>
      <c r="B6103" s="562" t="s">
        <v>8744</v>
      </c>
      <c r="C6103" s="403">
        <v>4364.9986666666673</v>
      </c>
      <c r="D6103" s="400"/>
      <c r="E6103" s="400"/>
      <c r="F6103" s="400"/>
      <c r="G6103" s="400"/>
      <c r="H6103" s="396"/>
    </row>
    <row r="6104" spans="1:8" s="401" customFormat="1" ht="14.25" customHeight="1" x14ac:dyDescent="0.25">
      <c r="A6104" s="564">
        <v>5111740007</v>
      </c>
      <c r="B6104" s="562" t="s">
        <v>8744</v>
      </c>
      <c r="C6104" s="403">
        <v>4364.9986666666673</v>
      </c>
      <c r="D6104" s="400"/>
      <c r="E6104" s="400"/>
      <c r="F6104" s="400"/>
      <c r="G6104" s="400"/>
      <c r="H6104" s="396"/>
    </row>
    <row r="6105" spans="1:8" s="401" customFormat="1" ht="14.25" customHeight="1" x14ac:dyDescent="0.25">
      <c r="A6105" s="564">
        <v>5111740025</v>
      </c>
      <c r="B6105" s="562" t="s">
        <v>8744</v>
      </c>
      <c r="C6105" s="403">
        <v>4364.9986666666673</v>
      </c>
      <c r="D6105" s="400"/>
      <c r="E6105" s="400"/>
      <c r="F6105" s="400"/>
      <c r="G6105" s="400"/>
      <c r="H6105" s="396"/>
    </row>
    <row r="6106" spans="1:8" s="401" customFormat="1" ht="14.25" customHeight="1" x14ac:dyDescent="0.25">
      <c r="A6106" s="564">
        <v>5111740026</v>
      </c>
      <c r="B6106" s="562" t="s">
        <v>8744</v>
      </c>
      <c r="C6106" s="403">
        <v>4364.9986666666673</v>
      </c>
      <c r="D6106" s="400"/>
      <c r="E6106" s="400"/>
      <c r="F6106" s="400"/>
      <c r="G6106" s="400"/>
      <c r="H6106" s="396"/>
    </row>
    <row r="6107" spans="1:8" s="401" customFormat="1" ht="14.25" customHeight="1" x14ac:dyDescent="0.25">
      <c r="A6107" s="564">
        <v>5111740027</v>
      </c>
      <c r="B6107" s="562" t="s">
        <v>8744</v>
      </c>
      <c r="C6107" s="403">
        <v>4364.9986666666673</v>
      </c>
      <c r="D6107" s="400"/>
      <c r="E6107" s="400"/>
      <c r="F6107" s="400"/>
      <c r="G6107" s="400"/>
      <c r="H6107" s="396"/>
    </row>
    <row r="6108" spans="1:8" s="401" customFormat="1" ht="14.25" customHeight="1" x14ac:dyDescent="0.25">
      <c r="A6108" s="564">
        <v>5111740028</v>
      </c>
      <c r="B6108" s="562" t="s">
        <v>8744</v>
      </c>
      <c r="C6108" s="403">
        <v>4364.9986666666673</v>
      </c>
      <c r="D6108" s="400"/>
      <c r="E6108" s="400"/>
      <c r="F6108" s="400"/>
      <c r="G6108" s="400"/>
      <c r="H6108" s="396"/>
    </row>
    <row r="6109" spans="1:8" s="401" customFormat="1" ht="14.25" customHeight="1" x14ac:dyDescent="0.25">
      <c r="A6109" s="564">
        <v>5111740029</v>
      </c>
      <c r="B6109" s="562" t="s">
        <v>8744</v>
      </c>
      <c r="C6109" s="403">
        <v>4364.9986666666673</v>
      </c>
      <c r="D6109" s="400"/>
      <c r="E6109" s="400"/>
      <c r="F6109" s="400"/>
      <c r="G6109" s="400"/>
      <c r="H6109" s="396"/>
    </row>
    <row r="6110" spans="1:8" s="401" customFormat="1" ht="14.25" customHeight="1" x14ac:dyDescent="0.25">
      <c r="A6110" s="564">
        <v>5111740030</v>
      </c>
      <c r="B6110" s="562" t="s">
        <v>8744</v>
      </c>
      <c r="C6110" s="403">
        <v>4364.9986666666673</v>
      </c>
      <c r="D6110" s="400"/>
      <c r="E6110" s="400"/>
      <c r="F6110" s="400"/>
      <c r="G6110" s="400"/>
      <c r="H6110" s="396"/>
    </row>
    <row r="6111" spans="1:8" s="401" customFormat="1" ht="14.25" customHeight="1" x14ac:dyDescent="0.25">
      <c r="A6111" s="564">
        <v>5111740031</v>
      </c>
      <c r="B6111" s="562" t="s">
        <v>8744</v>
      </c>
      <c r="C6111" s="403">
        <v>4364.9986666666673</v>
      </c>
      <c r="D6111" s="400"/>
      <c r="E6111" s="400"/>
      <c r="F6111" s="400"/>
      <c r="G6111" s="400"/>
      <c r="H6111" s="396"/>
    </row>
    <row r="6112" spans="1:8" s="401" customFormat="1" ht="14.25" customHeight="1" x14ac:dyDescent="0.25">
      <c r="A6112" s="564">
        <v>5111740032</v>
      </c>
      <c r="B6112" s="562" t="s">
        <v>8744</v>
      </c>
      <c r="C6112" s="403">
        <v>4364.9986666666673</v>
      </c>
      <c r="D6112" s="400"/>
      <c r="E6112" s="400"/>
      <c r="F6112" s="400"/>
      <c r="G6112" s="400"/>
      <c r="H6112" s="396"/>
    </row>
    <row r="6113" spans="1:8" s="401" customFormat="1" ht="14.25" customHeight="1" x14ac:dyDescent="0.25">
      <c r="A6113" s="564">
        <v>5111740033</v>
      </c>
      <c r="B6113" s="562" t="s">
        <v>8744</v>
      </c>
      <c r="C6113" s="403">
        <v>4364.9986666666673</v>
      </c>
      <c r="D6113" s="400"/>
      <c r="E6113" s="400"/>
      <c r="F6113" s="400"/>
      <c r="G6113" s="400"/>
      <c r="H6113" s="396"/>
    </row>
    <row r="6114" spans="1:8" s="401" customFormat="1" ht="14.25" customHeight="1" x14ac:dyDescent="0.25">
      <c r="A6114" s="564">
        <v>5111740034</v>
      </c>
      <c r="B6114" s="562" t="s">
        <v>8744</v>
      </c>
      <c r="C6114" s="403">
        <v>4364.9986666666673</v>
      </c>
      <c r="D6114" s="400"/>
      <c r="E6114" s="400"/>
      <c r="F6114" s="400"/>
      <c r="G6114" s="400"/>
      <c r="H6114" s="396"/>
    </row>
    <row r="6115" spans="1:8" s="401" customFormat="1" ht="14.25" customHeight="1" x14ac:dyDescent="0.25">
      <c r="A6115" s="564">
        <v>5111740008</v>
      </c>
      <c r="B6115" s="562" t="s">
        <v>8744</v>
      </c>
      <c r="C6115" s="403">
        <v>4364.9986666666673</v>
      </c>
      <c r="D6115" s="400"/>
      <c r="E6115" s="400"/>
      <c r="F6115" s="400"/>
      <c r="G6115" s="400"/>
      <c r="H6115" s="396"/>
    </row>
    <row r="6116" spans="1:8" s="401" customFormat="1" ht="14.25" customHeight="1" x14ac:dyDescent="0.25">
      <c r="A6116" s="564">
        <v>5111740035</v>
      </c>
      <c r="B6116" s="562" t="s">
        <v>8744</v>
      </c>
      <c r="C6116" s="403">
        <v>4364.9986666666673</v>
      </c>
      <c r="D6116" s="400"/>
      <c r="E6116" s="400"/>
      <c r="F6116" s="400"/>
      <c r="G6116" s="400"/>
      <c r="H6116" s="396"/>
    </row>
    <row r="6117" spans="1:8" s="401" customFormat="1" ht="14.25" customHeight="1" x14ac:dyDescent="0.25">
      <c r="A6117" s="564">
        <v>5111740036</v>
      </c>
      <c r="B6117" s="562" t="s">
        <v>8744</v>
      </c>
      <c r="C6117" s="403">
        <v>4364.9986666666673</v>
      </c>
      <c r="D6117" s="400"/>
      <c r="E6117" s="400"/>
      <c r="F6117" s="400"/>
      <c r="G6117" s="400"/>
      <c r="H6117" s="396"/>
    </row>
    <row r="6118" spans="1:8" s="401" customFormat="1" ht="14.25" customHeight="1" x14ac:dyDescent="0.25">
      <c r="A6118" s="564">
        <v>5111740037</v>
      </c>
      <c r="B6118" s="562" t="s">
        <v>8744</v>
      </c>
      <c r="C6118" s="403">
        <v>4364.9986666666673</v>
      </c>
      <c r="D6118" s="400"/>
      <c r="E6118" s="400"/>
      <c r="F6118" s="400"/>
      <c r="G6118" s="400"/>
      <c r="H6118" s="396"/>
    </row>
    <row r="6119" spans="1:8" s="401" customFormat="1" ht="14.25" customHeight="1" x14ac:dyDescent="0.25">
      <c r="A6119" s="564">
        <v>5111740038</v>
      </c>
      <c r="B6119" s="562" t="s">
        <v>8744</v>
      </c>
      <c r="C6119" s="403">
        <v>4364.9986666666673</v>
      </c>
      <c r="D6119" s="400"/>
      <c r="E6119" s="400"/>
      <c r="F6119" s="400"/>
      <c r="G6119" s="400"/>
      <c r="H6119" s="396"/>
    </row>
    <row r="6120" spans="1:8" s="401" customFormat="1" ht="14.25" customHeight="1" x14ac:dyDescent="0.25">
      <c r="A6120" s="564">
        <v>5111740039</v>
      </c>
      <c r="B6120" s="562" t="s">
        <v>8744</v>
      </c>
      <c r="C6120" s="403">
        <v>4364.9986666666673</v>
      </c>
      <c r="D6120" s="400"/>
      <c r="E6120" s="400"/>
      <c r="F6120" s="400"/>
      <c r="G6120" s="400"/>
      <c r="H6120" s="396"/>
    </row>
    <row r="6121" spans="1:8" s="401" customFormat="1" ht="14.25" customHeight="1" x14ac:dyDescent="0.25">
      <c r="A6121" s="564">
        <v>5111740040</v>
      </c>
      <c r="B6121" s="562" t="s">
        <v>8744</v>
      </c>
      <c r="C6121" s="403">
        <v>4364.9986666666673</v>
      </c>
      <c r="D6121" s="400"/>
      <c r="E6121" s="400"/>
      <c r="F6121" s="400"/>
      <c r="G6121" s="400"/>
      <c r="H6121" s="396"/>
    </row>
    <row r="6122" spans="1:8" s="401" customFormat="1" ht="14.25" customHeight="1" x14ac:dyDescent="0.25">
      <c r="A6122" s="564">
        <v>5111740041</v>
      </c>
      <c r="B6122" s="562" t="s">
        <v>8744</v>
      </c>
      <c r="C6122" s="403">
        <v>4364.9986666666673</v>
      </c>
      <c r="D6122" s="400"/>
      <c r="E6122" s="400"/>
      <c r="F6122" s="400"/>
      <c r="G6122" s="400"/>
      <c r="H6122" s="396"/>
    </row>
    <row r="6123" spans="1:8" s="401" customFormat="1" ht="14.25" customHeight="1" x14ac:dyDescent="0.25">
      <c r="A6123" s="564">
        <v>5111740042</v>
      </c>
      <c r="B6123" s="562" t="s">
        <v>8744</v>
      </c>
      <c r="C6123" s="403">
        <v>4364.9986666666673</v>
      </c>
      <c r="D6123" s="400"/>
      <c r="E6123" s="400"/>
      <c r="F6123" s="400"/>
      <c r="G6123" s="400"/>
      <c r="H6123" s="396"/>
    </row>
    <row r="6124" spans="1:8" s="401" customFormat="1" ht="14.25" customHeight="1" x14ac:dyDescent="0.25">
      <c r="A6124" s="564">
        <v>5111740043</v>
      </c>
      <c r="B6124" s="562" t="s">
        <v>8744</v>
      </c>
      <c r="C6124" s="403">
        <v>4364.9986666666673</v>
      </c>
      <c r="D6124" s="400"/>
      <c r="E6124" s="400"/>
      <c r="F6124" s="400"/>
      <c r="G6124" s="400"/>
      <c r="H6124" s="396"/>
    </row>
    <row r="6125" spans="1:8" s="401" customFormat="1" ht="14.25" customHeight="1" x14ac:dyDescent="0.25">
      <c r="A6125" s="564">
        <v>5111740044</v>
      </c>
      <c r="B6125" s="562" t="s">
        <v>8744</v>
      </c>
      <c r="C6125" s="403">
        <v>4364.9986666666673</v>
      </c>
      <c r="D6125" s="400"/>
      <c r="E6125" s="400"/>
      <c r="F6125" s="400"/>
      <c r="G6125" s="400"/>
      <c r="H6125" s="396"/>
    </row>
    <row r="6126" spans="1:8" s="401" customFormat="1" ht="14.25" customHeight="1" x14ac:dyDescent="0.25">
      <c r="A6126" s="564">
        <v>5111740009</v>
      </c>
      <c r="B6126" s="562" t="s">
        <v>8744</v>
      </c>
      <c r="C6126" s="403">
        <v>4364.9986666666673</v>
      </c>
      <c r="D6126" s="400"/>
      <c r="E6126" s="400"/>
      <c r="F6126" s="400"/>
      <c r="G6126" s="400"/>
      <c r="H6126" s="396"/>
    </row>
    <row r="6127" spans="1:8" s="401" customFormat="1" ht="14.25" customHeight="1" x14ac:dyDescent="0.25">
      <c r="A6127" s="564">
        <v>5111740011</v>
      </c>
      <c r="B6127" s="562" t="s">
        <v>8744</v>
      </c>
      <c r="C6127" s="403">
        <v>4364.9986666666673</v>
      </c>
      <c r="D6127" s="400"/>
      <c r="E6127" s="400"/>
      <c r="F6127" s="400"/>
      <c r="G6127" s="400"/>
      <c r="H6127" s="396"/>
    </row>
    <row r="6128" spans="1:8" s="401" customFormat="1" ht="14.25" customHeight="1" x14ac:dyDescent="0.25">
      <c r="A6128" s="564">
        <v>5111740013</v>
      </c>
      <c r="B6128" s="562" t="s">
        <v>8744</v>
      </c>
      <c r="C6128" s="403">
        <v>4364.9986666666673</v>
      </c>
      <c r="D6128" s="400"/>
      <c r="E6128" s="400"/>
      <c r="F6128" s="400"/>
      <c r="G6128" s="400"/>
      <c r="H6128" s="396"/>
    </row>
    <row r="6129" spans="1:8" s="401" customFormat="1" ht="14.25" customHeight="1" x14ac:dyDescent="0.25">
      <c r="A6129" s="564">
        <v>5111740021</v>
      </c>
      <c r="B6129" s="562" t="s">
        <v>8744</v>
      </c>
      <c r="C6129" s="403">
        <v>4364.9986666666673</v>
      </c>
      <c r="D6129" s="400"/>
      <c r="E6129" s="400"/>
      <c r="F6129" s="400"/>
      <c r="G6129" s="400"/>
      <c r="H6129" s="396"/>
    </row>
    <row r="6130" spans="1:8" s="401" customFormat="1" ht="14.25" customHeight="1" x14ac:dyDescent="0.25">
      <c r="A6130" s="564">
        <v>5111740022</v>
      </c>
      <c r="B6130" s="562" t="s">
        <v>8744</v>
      </c>
      <c r="C6130" s="403">
        <v>4364.9986666666673</v>
      </c>
      <c r="D6130" s="400"/>
      <c r="E6130" s="400"/>
      <c r="F6130" s="400"/>
      <c r="G6130" s="400"/>
      <c r="H6130" s="396"/>
    </row>
    <row r="6131" spans="1:8" s="401" customFormat="1" ht="14.25" customHeight="1" x14ac:dyDescent="0.25">
      <c r="A6131" s="564">
        <v>5111740023</v>
      </c>
      <c r="B6131" s="562" t="s">
        <v>8744</v>
      </c>
      <c r="C6131" s="403">
        <v>4364.9986666666673</v>
      </c>
      <c r="D6131" s="400"/>
      <c r="E6131" s="400"/>
      <c r="F6131" s="400"/>
      <c r="G6131" s="400"/>
      <c r="H6131" s="396"/>
    </row>
    <row r="6132" spans="1:8" s="401" customFormat="1" ht="14.25" customHeight="1" x14ac:dyDescent="0.25">
      <c r="A6132" s="564">
        <v>5111740024</v>
      </c>
      <c r="B6132" s="562" t="s">
        <v>8744</v>
      </c>
      <c r="C6132" s="403">
        <v>4364.9986666666673</v>
      </c>
      <c r="D6132" s="400"/>
      <c r="E6132" s="400"/>
      <c r="F6132" s="400"/>
      <c r="G6132" s="400"/>
      <c r="H6132" s="396"/>
    </row>
    <row r="6133" spans="1:8" s="401" customFormat="1" ht="14.25" customHeight="1" x14ac:dyDescent="0.25">
      <c r="A6133" s="564">
        <v>5112570001</v>
      </c>
      <c r="B6133" s="562" t="s">
        <v>8745</v>
      </c>
      <c r="C6133" s="403">
        <v>6677.03</v>
      </c>
      <c r="D6133" s="400"/>
      <c r="E6133" s="400"/>
      <c r="F6133" s="400"/>
      <c r="G6133" s="400"/>
      <c r="H6133" s="396"/>
    </row>
    <row r="6134" spans="1:8" s="401" customFormat="1" ht="14.25" customHeight="1" x14ac:dyDescent="0.25">
      <c r="A6134" s="564">
        <v>5112570002</v>
      </c>
      <c r="B6134" s="562" t="s">
        <v>8745</v>
      </c>
      <c r="C6134" s="403">
        <v>6677.03</v>
      </c>
      <c r="D6134" s="400"/>
      <c r="E6134" s="400"/>
      <c r="F6134" s="400"/>
      <c r="G6134" s="400"/>
      <c r="H6134" s="396"/>
    </row>
    <row r="6135" spans="1:8" s="401" customFormat="1" ht="14.25" customHeight="1" x14ac:dyDescent="0.25">
      <c r="A6135" s="564">
        <v>5112230007</v>
      </c>
      <c r="B6135" s="562" t="s">
        <v>8746</v>
      </c>
      <c r="C6135" s="403">
        <v>13496.599999999999</v>
      </c>
      <c r="D6135" s="400"/>
      <c r="E6135" s="400"/>
      <c r="F6135" s="400"/>
      <c r="G6135" s="400"/>
      <c r="H6135" s="396"/>
    </row>
    <row r="6136" spans="1:8" s="401" customFormat="1" ht="14.25" customHeight="1" x14ac:dyDescent="0.25">
      <c r="A6136" s="564">
        <v>5110360063</v>
      </c>
      <c r="B6136" s="562" t="s">
        <v>787</v>
      </c>
      <c r="C6136" s="403">
        <v>3479.9999999999995</v>
      </c>
      <c r="D6136" s="400"/>
      <c r="E6136" s="400"/>
      <c r="F6136" s="400"/>
      <c r="G6136" s="400"/>
      <c r="H6136" s="396"/>
    </row>
    <row r="6137" spans="1:8" s="401" customFormat="1" ht="14.25" customHeight="1" x14ac:dyDescent="0.25">
      <c r="A6137" s="564">
        <v>5110760086</v>
      </c>
      <c r="B6137" s="562" t="s">
        <v>8747</v>
      </c>
      <c r="C6137" s="403">
        <v>663.52</v>
      </c>
      <c r="D6137" s="400"/>
      <c r="E6137" s="400"/>
      <c r="F6137" s="400"/>
      <c r="G6137" s="400"/>
      <c r="H6137" s="396"/>
    </row>
    <row r="6138" spans="1:8" s="401" customFormat="1" ht="14.25" customHeight="1" x14ac:dyDescent="0.25">
      <c r="A6138" s="564">
        <v>5111630035</v>
      </c>
      <c r="B6138" s="562" t="s">
        <v>8747</v>
      </c>
      <c r="C6138" s="403">
        <v>663.52</v>
      </c>
      <c r="D6138" s="400"/>
      <c r="E6138" s="400"/>
      <c r="F6138" s="400"/>
      <c r="G6138" s="400"/>
      <c r="H6138" s="396"/>
    </row>
    <row r="6139" spans="1:8" s="401" customFormat="1" ht="14.25" customHeight="1" x14ac:dyDescent="0.25">
      <c r="A6139" s="564">
        <v>5110760087</v>
      </c>
      <c r="B6139" s="562" t="s">
        <v>8747</v>
      </c>
      <c r="C6139" s="403">
        <v>663.52</v>
      </c>
      <c r="D6139" s="400"/>
      <c r="E6139" s="400"/>
      <c r="F6139" s="400"/>
      <c r="G6139" s="400"/>
      <c r="H6139" s="396"/>
    </row>
    <row r="6140" spans="1:8" s="401" customFormat="1" ht="14.25" customHeight="1" x14ac:dyDescent="0.25">
      <c r="A6140" s="564">
        <v>5110760088</v>
      </c>
      <c r="B6140" s="562" t="s">
        <v>8747</v>
      </c>
      <c r="C6140" s="403">
        <v>663.52</v>
      </c>
      <c r="D6140" s="400"/>
      <c r="E6140" s="400"/>
      <c r="F6140" s="400"/>
      <c r="G6140" s="400"/>
      <c r="H6140" s="396"/>
    </row>
    <row r="6141" spans="1:8" s="401" customFormat="1" ht="14.25" customHeight="1" x14ac:dyDescent="0.25">
      <c r="A6141" s="564">
        <v>5110760089</v>
      </c>
      <c r="B6141" s="562" t="s">
        <v>8747</v>
      </c>
      <c r="C6141" s="403">
        <v>663.52</v>
      </c>
      <c r="D6141" s="400"/>
      <c r="E6141" s="400"/>
      <c r="F6141" s="400"/>
      <c r="G6141" s="400"/>
      <c r="H6141" s="396"/>
    </row>
    <row r="6142" spans="1:8" s="401" customFormat="1" ht="14.25" customHeight="1" x14ac:dyDescent="0.25">
      <c r="A6142" s="564">
        <v>5110760090</v>
      </c>
      <c r="B6142" s="562" t="s">
        <v>8747</v>
      </c>
      <c r="C6142" s="403">
        <v>663.52</v>
      </c>
      <c r="D6142" s="400"/>
      <c r="E6142" s="400"/>
      <c r="F6142" s="400"/>
      <c r="G6142" s="400"/>
      <c r="H6142" s="396"/>
    </row>
    <row r="6143" spans="1:8" s="401" customFormat="1" ht="14.25" customHeight="1" x14ac:dyDescent="0.25">
      <c r="A6143" s="564">
        <v>5112230008</v>
      </c>
      <c r="B6143" s="562" t="s">
        <v>8748</v>
      </c>
      <c r="C6143" s="403">
        <v>3242.2</v>
      </c>
      <c r="D6143" s="400"/>
      <c r="E6143" s="400"/>
      <c r="F6143" s="400"/>
      <c r="G6143" s="400"/>
      <c r="H6143" s="396"/>
    </row>
    <row r="6144" spans="1:8" s="401" customFormat="1" ht="14.25" customHeight="1" x14ac:dyDescent="0.25">
      <c r="A6144" s="564">
        <v>5111700021</v>
      </c>
      <c r="B6144" s="562" t="s">
        <v>829</v>
      </c>
      <c r="C6144" s="403">
        <v>2390.9225000000001</v>
      </c>
      <c r="D6144" s="400"/>
      <c r="E6144" s="400"/>
      <c r="F6144" s="400"/>
      <c r="G6144" s="400"/>
      <c r="H6144" s="396"/>
    </row>
    <row r="6145" spans="1:8" s="401" customFormat="1" ht="14.25" customHeight="1" x14ac:dyDescent="0.25">
      <c r="A6145" s="564">
        <v>5111700022</v>
      </c>
      <c r="B6145" s="562" t="s">
        <v>829</v>
      </c>
      <c r="C6145" s="403">
        <v>2390.9225000000001</v>
      </c>
      <c r="D6145" s="400"/>
      <c r="E6145" s="400"/>
      <c r="F6145" s="400"/>
      <c r="G6145" s="400"/>
      <c r="H6145" s="396"/>
    </row>
    <row r="6146" spans="1:8" s="401" customFormat="1" ht="14.25" customHeight="1" x14ac:dyDescent="0.25">
      <c r="A6146" s="564">
        <v>5111700031</v>
      </c>
      <c r="B6146" s="562" t="s">
        <v>829</v>
      </c>
      <c r="C6146" s="403">
        <v>2390.9225000000001</v>
      </c>
      <c r="D6146" s="400"/>
      <c r="E6146" s="400"/>
      <c r="F6146" s="400"/>
      <c r="G6146" s="400"/>
      <c r="H6146" s="396"/>
    </row>
    <row r="6147" spans="1:8" s="401" customFormat="1" ht="14.25" customHeight="1" x14ac:dyDescent="0.25">
      <c r="A6147" s="564">
        <v>5111700032</v>
      </c>
      <c r="B6147" s="562" t="s">
        <v>829</v>
      </c>
      <c r="C6147" s="403">
        <v>2390.9225000000001</v>
      </c>
      <c r="D6147" s="400"/>
      <c r="E6147" s="400"/>
      <c r="F6147" s="400"/>
      <c r="G6147" s="400"/>
      <c r="H6147" s="396"/>
    </row>
    <row r="6148" spans="1:8" s="401" customFormat="1" ht="14.25" customHeight="1" x14ac:dyDescent="0.25">
      <c r="A6148" s="564">
        <v>5111700023</v>
      </c>
      <c r="B6148" s="562" t="s">
        <v>829</v>
      </c>
      <c r="C6148" s="403">
        <v>2390.9225000000001</v>
      </c>
      <c r="D6148" s="400"/>
      <c r="E6148" s="400"/>
      <c r="F6148" s="400"/>
      <c r="G6148" s="400"/>
      <c r="H6148" s="396"/>
    </row>
    <row r="6149" spans="1:8" s="401" customFormat="1" ht="14.25" customHeight="1" x14ac:dyDescent="0.25">
      <c r="A6149" s="564">
        <v>5111700024</v>
      </c>
      <c r="B6149" s="562" t="s">
        <v>829</v>
      </c>
      <c r="C6149" s="403">
        <v>2390.9225000000001</v>
      </c>
      <c r="D6149" s="400"/>
      <c r="E6149" s="400"/>
      <c r="F6149" s="400"/>
      <c r="G6149" s="400"/>
      <c r="H6149" s="396"/>
    </row>
    <row r="6150" spans="1:8" s="401" customFormat="1" ht="14.25" customHeight="1" x14ac:dyDescent="0.25">
      <c r="A6150" s="564">
        <v>5111700025</v>
      </c>
      <c r="B6150" s="562" t="s">
        <v>829</v>
      </c>
      <c r="C6150" s="403">
        <v>2390.9225000000001</v>
      </c>
      <c r="D6150" s="400"/>
      <c r="E6150" s="400"/>
      <c r="F6150" s="400"/>
      <c r="G6150" s="400"/>
      <c r="H6150" s="396"/>
    </row>
    <row r="6151" spans="1:8" s="401" customFormat="1" ht="14.25" customHeight="1" x14ac:dyDescent="0.25">
      <c r="A6151" s="564">
        <v>5111700026</v>
      </c>
      <c r="B6151" s="562" t="s">
        <v>829</v>
      </c>
      <c r="C6151" s="403">
        <v>2390.9225000000001</v>
      </c>
      <c r="D6151" s="400"/>
      <c r="E6151" s="400"/>
      <c r="F6151" s="400"/>
      <c r="G6151" s="400"/>
      <c r="H6151" s="396"/>
    </row>
    <row r="6152" spans="1:8" s="401" customFormat="1" ht="14.25" customHeight="1" x14ac:dyDescent="0.25">
      <c r="A6152" s="564">
        <v>5111700027</v>
      </c>
      <c r="B6152" s="562" t="s">
        <v>829</v>
      </c>
      <c r="C6152" s="403">
        <v>2390.9225000000001</v>
      </c>
      <c r="D6152" s="400"/>
      <c r="E6152" s="400"/>
      <c r="F6152" s="400"/>
      <c r="G6152" s="400"/>
      <c r="H6152" s="396"/>
    </row>
    <row r="6153" spans="1:8" s="401" customFormat="1" ht="14.25" customHeight="1" x14ac:dyDescent="0.25">
      <c r="A6153" s="564">
        <v>5111700028</v>
      </c>
      <c r="B6153" s="562" t="s">
        <v>829</v>
      </c>
      <c r="C6153" s="403">
        <v>2390.9225000000001</v>
      </c>
      <c r="D6153" s="400"/>
      <c r="E6153" s="400"/>
      <c r="F6153" s="400"/>
      <c r="G6153" s="400"/>
      <c r="H6153" s="396"/>
    </row>
    <row r="6154" spans="1:8" s="401" customFormat="1" ht="14.25" customHeight="1" x14ac:dyDescent="0.25">
      <c r="A6154" s="564">
        <v>5111700029</v>
      </c>
      <c r="B6154" s="562" t="s">
        <v>829</v>
      </c>
      <c r="C6154" s="403">
        <v>2390.9225000000001</v>
      </c>
      <c r="D6154" s="400"/>
      <c r="E6154" s="400"/>
      <c r="F6154" s="400"/>
      <c r="G6154" s="400"/>
      <c r="H6154" s="396"/>
    </row>
    <row r="6155" spans="1:8" s="401" customFormat="1" ht="14.25" customHeight="1" x14ac:dyDescent="0.25">
      <c r="A6155" s="564">
        <v>5111700030</v>
      </c>
      <c r="B6155" s="562" t="s">
        <v>829</v>
      </c>
      <c r="C6155" s="403">
        <v>2390.9225000000001</v>
      </c>
      <c r="D6155" s="400"/>
      <c r="E6155" s="400"/>
      <c r="F6155" s="400"/>
      <c r="G6155" s="400"/>
      <c r="H6155" s="396"/>
    </row>
    <row r="6156" spans="1:8" s="401" customFormat="1" ht="14.25" customHeight="1" x14ac:dyDescent="0.25">
      <c r="A6156" s="564">
        <v>5111510005</v>
      </c>
      <c r="B6156" s="562" t="s">
        <v>8581</v>
      </c>
      <c r="C6156" s="403">
        <v>1999</v>
      </c>
      <c r="D6156" s="400"/>
      <c r="E6156" s="400"/>
      <c r="F6156" s="400"/>
      <c r="G6156" s="400"/>
      <c r="H6156" s="396"/>
    </row>
    <row r="6157" spans="1:8" s="401" customFormat="1" ht="14.25" customHeight="1" x14ac:dyDescent="0.25">
      <c r="A6157" s="564">
        <v>5110070001</v>
      </c>
      <c r="B6157" s="562" t="s">
        <v>867</v>
      </c>
      <c r="C6157" s="403">
        <v>919.99599999999998</v>
      </c>
      <c r="D6157" s="400"/>
      <c r="E6157" s="400"/>
      <c r="F6157" s="400"/>
      <c r="G6157" s="400"/>
      <c r="H6157" s="396"/>
    </row>
    <row r="6158" spans="1:8" s="401" customFormat="1" ht="14.25" customHeight="1" x14ac:dyDescent="0.25">
      <c r="A6158" s="564">
        <v>5111280003</v>
      </c>
      <c r="B6158" s="562" t="s">
        <v>8731</v>
      </c>
      <c r="C6158" s="403">
        <v>1185</v>
      </c>
      <c r="D6158" s="400"/>
      <c r="E6158" s="400"/>
      <c r="F6158" s="400"/>
      <c r="G6158" s="400"/>
      <c r="H6158" s="396"/>
    </row>
    <row r="6159" spans="1:8" s="401" customFormat="1" ht="14.25" customHeight="1" x14ac:dyDescent="0.25">
      <c r="A6159" s="564">
        <v>5111550004</v>
      </c>
      <c r="B6159" s="562" t="s">
        <v>8749</v>
      </c>
      <c r="C6159" s="403">
        <v>3959.08</v>
      </c>
      <c r="D6159" s="400"/>
      <c r="E6159" s="400"/>
      <c r="F6159" s="400"/>
      <c r="G6159" s="400"/>
      <c r="H6159" s="396"/>
    </row>
    <row r="6160" spans="1:8" s="401" customFormat="1" ht="14.25" customHeight="1" x14ac:dyDescent="0.25">
      <c r="A6160" s="564">
        <v>5112520005</v>
      </c>
      <c r="B6160" s="562" t="s">
        <v>8548</v>
      </c>
      <c r="C6160" s="403">
        <v>5098.99</v>
      </c>
      <c r="D6160" s="400"/>
      <c r="E6160" s="400"/>
      <c r="F6160" s="400"/>
      <c r="G6160" s="400"/>
      <c r="H6160" s="396"/>
    </row>
    <row r="6161" spans="1:8" s="401" customFormat="1" ht="14.25" customHeight="1" x14ac:dyDescent="0.25">
      <c r="A6161" s="564">
        <v>5151170022</v>
      </c>
      <c r="B6161" s="562" t="s">
        <v>892</v>
      </c>
      <c r="C6161" s="403">
        <v>2989</v>
      </c>
      <c r="D6161" s="400"/>
      <c r="E6161" s="400"/>
      <c r="F6161" s="400"/>
      <c r="G6161" s="400"/>
      <c r="H6161" s="396"/>
    </row>
    <row r="6162" spans="1:8" s="401" customFormat="1" ht="14.25" customHeight="1" x14ac:dyDescent="0.25">
      <c r="A6162" s="564" t="s">
        <v>12255</v>
      </c>
      <c r="B6162" s="562" t="s">
        <v>936</v>
      </c>
      <c r="C6162" s="403">
        <v>5100.01</v>
      </c>
      <c r="D6162" s="400"/>
      <c r="E6162" s="400"/>
      <c r="F6162" s="400"/>
      <c r="G6162" s="400"/>
      <c r="H6162" s="396"/>
    </row>
    <row r="6163" spans="1:8" s="401" customFormat="1" ht="14.25" customHeight="1" x14ac:dyDescent="0.25">
      <c r="A6163" s="564">
        <v>5151180021</v>
      </c>
      <c r="B6163" s="562" t="s">
        <v>8750</v>
      </c>
      <c r="C6163" s="403">
        <v>3120.4</v>
      </c>
      <c r="D6163" s="400"/>
      <c r="E6163" s="400"/>
      <c r="F6163" s="400"/>
      <c r="G6163" s="400"/>
      <c r="H6163" s="396"/>
    </row>
    <row r="6164" spans="1:8" s="401" customFormat="1" ht="14.25" customHeight="1" x14ac:dyDescent="0.25">
      <c r="A6164" s="564">
        <v>5111280004</v>
      </c>
      <c r="B6164" s="562" t="s">
        <v>867</v>
      </c>
      <c r="C6164" s="403">
        <v>765.59999999999991</v>
      </c>
      <c r="D6164" s="400"/>
      <c r="E6164" s="400"/>
      <c r="F6164" s="400"/>
      <c r="G6164" s="400"/>
      <c r="H6164" s="396"/>
    </row>
    <row r="6165" spans="1:8" s="401" customFormat="1" ht="14.25" customHeight="1" x14ac:dyDescent="0.25">
      <c r="A6165" s="564">
        <v>5110070002</v>
      </c>
      <c r="B6165" s="562" t="s">
        <v>8731</v>
      </c>
      <c r="C6165" s="403">
        <v>2310.7199999999998</v>
      </c>
      <c r="D6165" s="400"/>
      <c r="E6165" s="400"/>
      <c r="F6165" s="400"/>
      <c r="G6165" s="400"/>
      <c r="H6165" s="396"/>
    </row>
    <row r="6166" spans="1:8" s="401" customFormat="1" ht="14.25" customHeight="1" x14ac:dyDescent="0.25">
      <c r="A6166" s="564">
        <v>5652270021</v>
      </c>
      <c r="B6166" s="562" t="s">
        <v>975</v>
      </c>
      <c r="C6166" s="403">
        <v>2399.25</v>
      </c>
      <c r="D6166" s="400"/>
      <c r="E6166" s="400"/>
      <c r="F6166" s="400"/>
      <c r="G6166" s="400"/>
      <c r="H6166" s="396"/>
    </row>
    <row r="6167" spans="1:8" s="401" customFormat="1" ht="14.25" customHeight="1" x14ac:dyDescent="0.25">
      <c r="A6167" s="564">
        <v>5150590005</v>
      </c>
      <c r="B6167" s="562" t="s">
        <v>8751</v>
      </c>
      <c r="C6167" s="403">
        <v>3410.4</v>
      </c>
      <c r="D6167" s="400"/>
      <c r="E6167" s="400"/>
      <c r="F6167" s="400"/>
      <c r="G6167" s="400"/>
      <c r="H6167" s="396"/>
    </row>
    <row r="6168" spans="1:8" s="401" customFormat="1" ht="14.25" customHeight="1" x14ac:dyDescent="0.25">
      <c r="A6168" s="564">
        <v>5650670045</v>
      </c>
      <c r="B6168" s="562" t="s">
        <v>8752</v>
      </c>
      <c r="C6168" s="403">
        <v>2030</v>
      </c>
      <c r="D6168" s="400"/>
      <c r="E6168" s="400"/>
      <c r="F6168" s="400"/>
      <c r="G6168" s="400"/>
      <c r="H6168" s="396"/>
    </row>
    <row r="6169" spans="1:8" s="401" customFormat="1" ht="14.25" customHeight="1" x14ac:dyDescent="0.25">
      <c r="A6169" s="564">
        <v>5650670046</v>
      </c>
      <c r="B6169" s="562" t="s">
        <v>8752</v>
      </c>
      <c r="C6169" s="403">
        <v>2030</v>
      </c>
      <c r="D6169" s="400"/>
      <c r="E6169" s="400"/>
      <c r="F6169" s="400"/>
      <c r="G6169" s="400"/>
      <c r="H6169" s="396"/>
    </row>
    <row r="6170" spans="1:8" s="401" customFormat="1" ht="14.25" customHeight="1" x14ac:dyDescent="0.25">
      <c r="A6170" s="564">
        <v>5652470004</v>
      </c>
      <c r="B6170" s="562" t="s">
        <v>8753</v>
      </c>
      <c r="C6170" s="403">
        <v>13920</v>
      </c>
      <c r="D6170" s="400"/>
      <c r="E6170" s="400"/>
      <c r="F6170" s="400"/>
      <c r="G6170" s="400"/>
      <c r="H6170" s="396"/>
    </row>
    <row r="6171" spans="1:8" s="401" customFormat="1" ht="14.25" customHeight="1" x14ac:dyDescent="0.25">
      <c r="A6171" s="564">
        <v>5652270019</v>
      </c>
      <c r="B6171" s="562" t="s">
        <v>975</v>
      </c>
      <c r="C6171" s="403">
        <v>4152.8</v>
      </c>
      <c r="D6171" s="400"/>
      <c r="E6171" s="400"/>
      <c r="F6171" s="400"/>
      <c r="G6171" s="400"/>
      <c r="H6171" s="396"/>
    </row>
    <row r="6172" spans="1:8" s="401" customFormat="1" ht="14.25" customHeight="1" x14ac:dyDescent="0.25">
      <c r="A6172" s="564">
        <v>5652270020</v>
      </c>
      <c r="B6172" s="562" t="s">
        <v>975</v>
      </c>
      <c r="C6172" s="403">
        <v>4152.8</v>
      </c>
      <c r="D6172" s="400"/>
      <c r="E6172" s="400"/>
      <c r="F6172" s="400"/>
      <c r="G6172" s="400"/>
      <c r="H6172" s="396"/>
    </row>
    <row r="6173" spans="1:8" s="401" customFormat="1" x14ac:dyDescent="0.25">
      <c r="A6173" s="564"/>
      <c r="B6173" s="562"/>
      <c r="C6173" s="403"/>
      <c r="D6173" s="400"/>
      <c r="E6173" s="400"/>
      <c r="F6173" s="400"/>
      <c r="G6173" s="400"/>
      <c r="H6173" s="396"/>
    </row>
    <row r="6174" spans="1:8" s="404" customFormat="1" x14ac:dyDescent="0.25">
      <c r="A6174" s="565"/>
      <c r="B6174" s="576" t="s">
        <v>188</v>
      </c>
      <c r="C6174" s="577">
        <f>SUM(C10:C6173)</f>
        <v>137169749.29152355</v>
      </c>
    </row>
    <row r="6175" spans="1:8" ht="12.75" customHeight="1" x14ac:dyDescent="0.2">
      <c r="A6175" s="566"/>
      <c r="B6175" s="567"/>
      <c r="C6175" s="413"/>
    </row>
    <row r="6176" spans="1:8" ht="12.75" customHeight="1" x14ac:dyDescent="0.2">
      <c r="A6176" s="568"/>
      <c r="B6176" s="307"/>
      <c r="C6176" s="578"/>
    </row>
    <row r="6177" spans="1:3" ht="12.75" customHeight="1" x14ac:dyDescent="0.2">
      <c r="A6177" s="568"/>
      <c r="B6177" s="307"/>
      <c r="C6177" s="578"/>
    </row>
    <row r="6178" spans="1:3" ht="12.75" customHeight="1" x14ac:dyDescent="0.2">
      <c r="A6178" s="568"/>
      <c r="B6178" s="307"/>
      <c r="C6178" s="578"/>
    </row>
    <row r="6179" spans="1:3" ht="12.75" customHeight="1" x14ac:dyDescent="0.2">
      <c r="A6179" s="568"/>
      <c r="B6179" s="307"/>
      <c r="C6179" s="578"/>
    </row>
    <row r="6180" spans="1:3" ht="12.75" customHeight="1" x14ac:dyDescent="0.2">
      <c r="A6180" s="568"/>
      <c r="B6180" s="307"/>
      <c r="C6180" s="578"/>
    </row>
    <row r="6181" spans="1:3" ht="12.75" customHeight="1" x14ac:dyDescent="0.2">
      <c r="A6181" s="568"/>
      <c r="B6181" s="307"/>
      <c r="C6181" s="578"/>
    </row>
    <row r="6182" spans="1:3" ht="12.75" customHeight="1" x14ac:dyDescent="0.2">
      <c r="A6182" s="568"/>
      <c r="B6182" s="307"/>
      <c r="C6182" s="578"/>
    </row>
    <row r="6183" spans="1:3" ht="12.75" customHeight="1" x14ac:dyDescent="0.2">
      <c r="A6183" s="568"/>
      <c r="B6183" s="307"/>
      <c r="C6183" s="578"/>
    </row>
    <row r="6184" spans="1:3" ht="12.75" customHeight="1" x14ac:dyDescent="0.2">
      <c r="A6184" s="568"/>
      <c r="B6184" s="307"/>
      <c r="C6184" s="578"/>
    </row>
    <row r="6185" spans="1:3" ht="12.75" customHeight="1" x14ac:dyDescent="0.2">
      <c r="A6185" s="568"/>
      <c r="B6185" s="307"/>
      <c r="C6185" s="578"/>
    </row>
    <row r="6186" spans="1:3" ht="12.75" customHeight="1" x14ac:dyDescent="0.2">
      <c r="A6186" s="568"/>
      <c r="B6186" s="307"/>
      <c r="C6186" s="578"/>
    </row>
    <row r="6187" spans="1:3" ht="12.75" customHeight="1" x14ac:dyDescent="0.2">
      <c r="A6187" s="568"/>
      <c r="B6187" s="307"/>
      <c r="C6187" s="578"/>
    </row>
    <row r="6188" spans="1:3" ht="12.75" customHeight="1" x14ac:dyDescent="0.2">
      <c r="A6188" s="568"/>
      <c r="B6188" s="307"/>
      <c r="C6188" s="578"/>
    </row>
    <row r="6189" spans="1:3" ht="12.75" customHeight="1" x14ac:dyDescent="0.2">
      <c r="A6189" s="568"/>
      <c r="B6189" s="307"/>
      <c r="C6189" s="578"/>
    </row>
    <row r="6190" spans="1:3" ht="12.75" customHeight="1" x14ac:dyDescent="0.2">
      <c r="A6190" s="568"/>
      <c r="B6190" s="307"/>
      <c r="C6190" s="578"/>
    </row>
    <row r="6191" spans="1:3" ht="12.75" customHeight="1" x14ac:dyDescent="0.2">
      <c r="A6191" s="568"/>
      <c r="B6191" s="307"/>
      <c r="C6191" s="578"/>
    </row>
    <row r="6192" spans="1:3" ht="12.75" customHeight="1" x14ac:dyDescent="0.2">
      <c r="A6192" s="568"/>
      <c r="B6192" s="307"/>
      <c r="C6192" s="578"/>
    </row>
    <row r="6193" spans="1:3" ht="12.75" customHeight="1" x14ac:dyDescent="0.2">
      <c r="A6193" s="568"/>
      <c r="B6193" s="307"/>
      <c r="C6193" s="578"/>
    </row>
    <row r="6194" spans="1:3" ht="12.75" customHeight="1" x14ac:dyDescent="0.2">
      <c r="A6194" s="568"/>
      <c r="B6194" s="307"/>
      <c r="C6194" s="578"/>
    </row>
    <row r="6195" spans="1:3" ht="12.75" customHeight="1" x14ac:dyDescent="0.2">
      <c r="A6195" s="568"/>
      <c r="B6195" s="307"/>
      <c r="C6195" s="578"/>
    </row>
    <row r="6196" spans="1:3" ht="12.75" customHeight="1" x14ac:dyDescent="0.2">
      <c r="A6196" s="568"/>
      <c r="B6196" s="307"/>
      <c r="C6196" s="578"/>
    </row>
    <row r="6197" spans="1:3" ht="12.75" customHeight="1" x14ac:dyDescent="0.2">
      <c r="A6197" s="568"/>
      <c r="B6197" s="307"/>
      <c r="C6197" s="578"/>
    </row>
    <row r="6198" spans="1:3" ht="12.75" customHeight="1" x14ac:dyDescent="0.2">
      <c r="A6198" s="568"/>
      <c r="B6198" s="307"/>
      <c r="C6198" s="578"/>
    </row>
    <row r="6199" spans="1:3" ht="12.75" customHeight="1" x14ac:dyDescent="0.2">
      <c r="A6199" s="568"/>
      <c r="B6199" s="307"/>
      <c r="C6199" s="578"/>
    </row>
    <row r="6200" spans="1:3" ht="12.75" customHeight="1" x14ac:dyDescent="0.2">
      <c r="A6200" s="568"/>
      <c r="B6200" s="307"/>
      <c r="C6200" s="578"/>
    </row>
    <row r="6201" spans="1:3" ht="12.75" customHeight="1" x14ac:dyDescent="0.2">
      <c r="A6201" s="568"/>
      <c r="B6201" s="307"/>
      <c r="C6201" s="578"/>
    </row>
    <row r="6202" spans="1:3" ht="12.75" customHeight="1" x14ac:dyDescent="0.2">
      <c r="A6202" s="568"/>
      <c r="B6202" s="307"/>
      <c r="C6202" s="578"/>
    </row>
    <row r="6203" spans="1:3" ht="12.75" customHeight="1" x14ac:dyDescent="0.2">
      <c r="A6203" s="568"/>
      <c r="B6203" s="307"/>
      <c r="C6203" s="578"/>
    </row>
    <row r="6204" spans="1:3" ht="12.75" customHeight="1" x14ac:dyDescent="0.2">
      <c r="A6204" s="568"/>
      <c r="B6204" s="307"/>
      <c r="C6204" s="578"/>
    </row>
    <row r="6205" spans="1:3" ht="12.75" customHeight="1" x14ac:dyDescent="0.2">
      <c r="A6205" s="568"/>
      <c r="B6205" s="307"/>
      <c r="C6205" s="578"/>
    </row>
    <row r="6206" spans="1:3" ht="12.75" customHeight="1" x14ac:dyDescent="0.2">
      <c r="A6206" s="568"/>
      <c r="B6206" s="307"/>
      <c r="C6206" s="578"/>
    </row>
    <row r="6207" spans="1:3" ht="12.75" customHeight="1" x14ac:dyDescent="0.2">
      <c r="A6207" s="568"/>
      <c r="B6207" s="307"/>
      <c r="C6207" s="578"/>
    </row>
    <row r="6208" spans="1:3" ht="12.75" customHeight="1" x14ac:dyDescent="0.2">
      <c r="A6208" s="568"/>
      <c r="B6208" s="307"/>
      <c r="C6208" s="578"/>
    </row>
    <row r="6209" spans="1:5" ht="12.75" customHeight="1" x14ac:dyDescent="0.2">
      <c r="A6209" s="568"/>
      <c r="B6209" s="307"/>
      <c r="C6209" s="578"/>
    </row>
    <row r="6210" spans="1:5" ht="12.75" customHeight="1" x14ac:dyDescent="0.2">
      <c r="A6210" s="568"/>
      <c r="B6210" s="307"/>
      <c r="C6210" s="578"/>
    </row>
    <row r="6211" spans="1:5" ht="12.75" customHeight="1" x14ac:dyDescent="0.2">
      <c r="A6211" s="568"/>
      <c r="B6211" s="307"/>
      <c r="C6211" s="578"/>
    </row>
    <row r="6212" spans="1:5" ht="12.75" customHeight="1" x14ac:dyDescent="0.2">
      <c r="A6212" s="568"/>
      <c r="B6212" s="307"/>
      <c r="C6212" s="578"/>
    </row>
    <row r="6213" spans="1:5" ht="12.75" customHeight="1" x14ac:dyDescent="0.2">
      <c r="A6213" s="568"/>
      <c r="B6213" s="307"/>
      <c r="C6213" s="578"/>
      <c r="D6213" s="497"/>
      <c r="E6213" s="497"/>
    </row>
    <row r="6214" spans="1:5" ht="12.75" customHeight="1" x14ac:dyDescent="0.2">
      <c r="A6214" s="568"/>
      <c r="B6214" s="307"/>
      <c r="C6214" s="578"/>
    </row>
    <row r="6215" spans="1:5" ht="12.75" customHeight="1" x14ac:dyDescent="0.2">
      <c r="A6215" s="568"/>
      <c r="B6215" s="307"/>
      <c r="C6215" s="578"/>
    </row>
    <row r="6216" spans="1:5" ht="12.75" customHeight="1" x14ac:dyDescent="0.2">
      <c r="A6216" s="568"/>
      <c r="B6216" s="307"/>
      <c r="C6216" s="578"/>
    </row>
    <row r="6217" spans="1:5" ht="12.75" customHeight="1" x14ac:dyDescent="0.2">
      <c r="A6217" s="568"/>
      <c r="B6217" s="307"/>
      <c r="C6217" s="578"/>
    </row>
    <row r="6218" spans="1:5" ht="12.75" customHeight="1" x14ac:dyDescent="0.2">
      <c r="A6218" s="568"/>
      <c r="B6218" s="307"/>
      <c r="C6218" s="578"/>
    </row>
    <row r="6219" spans="1:5" ht="12.75" customHeight="1" x14ac:dyDescent="0.2">
      <c r="A6219" s="568"/>
      <c r="B6219" s="307"/>
      <c r="C6219" s="578"/>
    </row>
    <row r="6220" spans="1:5" ht="12.75" customHeight="1" x14ac:dyDescent="0.2">
      <c r="A6220" s="569"/>
    </row>
    <row r="6221" spans="1:5" ht="12.75" customHeight="1" x14ac:dyDescent="0.2">
      <c r="A6221" s="569"/>
    </row>
    <row r="6222" spans="1:5" ht="12.75" customHeight="1" x14ac:dyDescent="0.2">
      <c r="A6222" s="569"/>
    </row>
    <row r="6223" spans="1:5" ht="12.75" customHeight="1" x14ac:dyDescent="0.2">
      <c r="A6223" s="569"/>
    </row>
    <row r="6224" spans="1:5" ht="12.75" customHeight="1" x14ac:dyDescent="0.2">
      <c r="A6224" s="569"/>
    </row>
    <row r="6225" spans="1:1" ht="12.75" customHeight="1" x14ac:dyDescent="0.2">
      <c r="A6225" s="569"/>
    </row>
    <row r="6226" spans="1:1" ht="12.75" customHeight="1" x14ac:dyDescent="0.2">
      <c r="A6226" s="569"/>
    </row>
    <row r="6227" spans="1:1" ht="12.75" customHeight="1" x14ac:dyDescent="0.2">
      <c r="A6227" s="569"/>
    </row>
    <row r="6228" spans="1:1" ht="12.75" customHeight="1" x14ac:dyDescent="0.2">
      <c r="A6228" s="569"/>
    </row>
    <row r="6229" spans="1:1" ht="12.75" customHeight="1" x14ac:dyDescent="0.2">
      <c r="A6229" s="569"/>
    </row>
    <row r="6230" spans="1:1" ht="12.75" customHeight="1" x14ac:dyDescent="0.2">
      <c r="A6230" s="569"/>
    </row>
    <row r="6231" spans="1:1" ht="12.75" customHeight="1" x14ac:dyDescent="0.2">
      <c r="A6231" s="569"/>
    </row>
    <row r="6232" spans="1:1" ht="12.75" customHeight="1" x14ac:dyDescent="0.2">
      <c r="A6232" s="569"/>
    </row>
    <row r="6233" spans="1:1" ht="12.75" customHeight="1" x14ac:dyDescent="0.2">
      <c r="A6233" s="569"/>
    </row>
    <row r="6234" spans="1:1" ht="12.75" customHeight="1" x14ac:dyDescent="0.2">
      <c r="A6234" s="569"/>
    </row>
    <row r="6235" spans="1:1" ht="12.75" customHeight="1" x14ac:dyDescent="0.2">
      <c r="A6235" s="569"/>
    </row>
    <row r="6236" spans="1:1" ht="12.75" customHeight="1" x14ac:dyDescent="0.2">
      <c r="A6236" s="569"/>
    </row>
    <row r="6237" spans="1:1" ht="12.75" customHeight="1" x14ac:dyDescent="0.2">
      <c r="A6237" s="569"/>
    </row>
    <row r="6238" spans="1:1" ht="12.75" customHeight="1" x14ac:dyDescent="0.2">
      <c r="A6238" s="569"/>
    </row>
    <row r="6239" spans="1:1" ht="12.75" customHeight="1" x14ac:dyDescent="0.2">
      <c r="A6239" s="569"/>
    </row>
    <row r="6240" spans="1:1" ht="12.75" customHeight="1" x14ac:dyDescent="0.2">
      <c r="A6240" s="569"/>
    </row>
    <row r="6241" spans="1:1" ht="12.75" customHeight="1" x14ac:dyDescent="0.2">
      <c r="A6241" s="569"/>
    </row>
    <row r="6242" spans="1:1" ht="12.75" customHeight="1" x14ac:dyDescent="0.2">
      <c r="A6242" s="569"/>
    </row>
    <row r="6243" spans="1:1" ht="12.75" customHeight="1" x14ac:dyDescent="0.2">
      <c r="A6243" s="569"/>
    </row>
    <row r="6244" spans="1:1" ht="12.75" customHeight="1" x14ac:dyDescent="0.2">
      <c r="A6244" s="569"/>
    </row>
    <row r="6245" spans="1:1" ht="12.75" customHeight="1" x14ac:dyDescent="0.2">
      <c r="A6245" s="569"/>
    </row>
    <row r="6246" spans="1:1" ht="12.75" customHeight="1" x14ac:dyDescent="0.2">
      <c r="A6246" s="569"/>
    </row>
    <row r="6247" spans="1:1" ht="12.75" customHeight="1" x14ac:dyDescent="0.2">
      <c r="A6247" s="569"/>
    </row>
    <row r="6248" spans="1:1" ht="12.75" customHeight="1" x14ac:dyDescent="0.2">
      <c r="A6248" s="569"/>
    </row>
    <row r="6249" spans="1:1" ht="12.75" customHeight="1" x14ac:dyDescent="0.2">
      <c r="A6249" s="569"/>
    </row>
    <row r="6250" spans="1:1" ht="12.75" customHeight="1" x14ac:dyDescent="0.2">
      <c r="A6250" s="569"/>
    </row>
    <row r="6251" spans="1:1" ht="12.75" customHeight="1" x14ac:dyDescent="0.2">
      <c r="A6251" s="569"/>
    </row>
    <row r="6252" spans="1:1" ht="12.75" customHeight="1" x14ac:dyDescent="0.2">
      <c r="A6252" s="569"/>
    </row>
    <row r="6253" spans="1:1" ht="12.75" customHeight="1" x14ac:dyDescent="0.2">
      <c r="A6253" s="569"/>
    </row>
    <row r="6254" spans="1:1" ht="12.75" customHeight="1" x14ac:dyDescent="0.2">
      <c r="A6254" s="569"/>
    </row>
    <row r="6255" spans="1:1" ht="12.75" customHeight="1" x14ac:dyDescent="0.2">
      <c r="A6255" s="569"/>
    </row>
    <row r="6256" spans="1:1" ht="12.75" customHeight="1" x14ac:dyDescent="0.2">
      <c r="A6256" s="569"/>
    </row>
    <row r="6257" spans="1:1" ht="12.75" customHeight="1" x14ac:dyDescent="0.2">
      <c r="A6257" s="569"/>
    </row>
    <row r="6258" spans="1:1" ht="12.75" customHeight="1" x14ac:dyDescent="0.2">
      <c r="A6258" s="569"/>
    </row>
    <row r="6259" spans="1:1" ht="12.75" customHeight="1" x14ac:dyDescent="0.2">
      <c r="A6259" s="569"/>
    </row>
    <row r="6260" spans="1:1" ht="12.75" customHeight="1" x14ac:dyDescent="0.2">
      <c r="A6260" s="569"/>
    </row>
    <row r="6261" spans="1:1" ht="12.75" customHeight="1" x14ac:dyDescent="0.2">
      <c r="A6261" s="569"/>
    </row>
    <row r="6262" spans="1:1" ht="12.75" customHeight="1" x14ac:dyDescent="0.2">
      <c r="A6262" s="569"/>
    </row>
    <row r="6263" spans="1:1" ht="12.75" customHeight="1" x14ac:dyDescent="0.2">
      <c r="A6263" s="569"/>
    </row>
    <row r="6264" spans="1:1" ht="12.75" customHeight="1" x14ac:dyDescent="0.2">
      <c r="A6264" s="569"/>
    </row>
    <row r="6265" spans="1:1" ht="12.75" customHeight="1" x14ac:dyDescent="0.2">
      <c r="A6265" s="569"/>
    </row>
    <row r="6266" spans="1:1" ht="12.75" customHeight="1" x14ac:dyDescent="0.2">
      <c r="A6266" s="569"/>
    </row>
    <row r="6267" spans="1:1" ht="12.75" customHeight="1" x14ac:dyDescent="0.2">
      <c r="A6267" s="569"/>
    </row>
    <row r="6268" spans="1:1" ht="12.75" customHeight="1" x14ac:dyDescent="0.2">
      <c r="A6268" s="569"/>
    </row>
    <row r="6269" spans="1:1" ht="12.75" customHeight="1" x14ac:dyDescent="0.2">
      <c r="A6269" s="569"/>
    </row>
    <row r="6270" spans="1:1" ht="12.75" customHeight="1" x14ac:dyDescent="0.2">
      <c r="A6270" s="569"/>
    </row>
    <row r="6271" spans="1:1" ht="12.75" customHeight="1" x14ac:dyDescent="0.2">
      <c r="A6271" s="569"/>
    </row>
    <row r="6272" spans="1:1" ht="12.75" customHeight="1" x14ac:dyDescent="0.2">
      <c r="A6272" s="569"/>
    </row>
    <row r="6273" spans="1:1" ht="12.75" customHeight="1" x14ac:dyDescent="0.2">
      <c r="A6273" s="569"/>
    </row>
    <row r="6274" spans="1:1" ht="12.75" customHeight="1" x14ac:dyDescent="0.2">
      <c r="A6274" s="569"/>
    </row>
    <row r="6275" spans="1:1" ht="12.75" customHeight="1" x14ac:dyDescent="0.2">
      <c r="A6275" s="569"/>
    </row>
    <row r="6276" spans="1:1" ht="12.75" customHeight="1" x14ac:dyDescent="0.2">
      <c r="A6276" s="569"/>
    </row>
    <row r="6277" spans="1:1" ht="12.75" customHeight="1" x14ac:dyDescent="0.2">
      <c r="A6277" s="569"/>
    </row>
    <row r="6278" spans="1:1" ht="12.75" customHeight="1" x14ac:dyDescent="0.2">
      <c r="A6278" s="569"/>
    </row>
    <row r="6279" spans="1:1" ht="12.75" customHeight="1" x14ac:dyDescent="0.2">
      <c r="A6279" s="569"/>
    </row>
    <row r="6280" spans="1:1" ht="12.75" customHeight="1" x14ac:dyDescent="0.2">
      <c r="A6280" s="569"/>
    </row>
    <row r="6281" spans="1:1" ht="12.75" customHeight="1" x14ac:dyDescent="0.2">
      <c r="A6281" s="569"/>
    </row>
    <row r="6282" spans="1:1" ht="12.75" customHeight="1" x14ac:dyDescent="0.2">
      <c r="A6282" s="569"/>
    </row>
    <row r="6283" spans="1:1" ht="12.75" customHeight="1" x14ac:dyDescent="0.2">
      <c r="A6283" s="569"/>
    </row>
    <row r="6284" spans="1:1" ht="12.75" customHeight="1" x14ac:dyDescent="0.2">
      <c r="A6284" s="569"/>
    </row>
    <row r="6285" spans="1:1" ht="12.75" customHeight="1" x14ac:dyDescent="0.2">
      <c r="A6285" s="569"/>
    </row>
    <row r="6286" spans="1:1" ht="12.75" customHeight="1" x14ac:dyDescent="0.2">
      <c r="A6286" s="569"/>
    </row>
    <row r="6287" spans="1:1" ht="12.75" customHeight="1" x14ac:dyDescent="0.2">
      <c r="A6287" s="569"/>
    </row>
    <row r="6288" spans="1:1" ht="12.75" customHeight="1" x14ac:dyDescent="0.2">
      <c r="A6288" s="569"/>
    </row>
    <row r="6289" spans="1:1" ht="12.75" customHeight="1" x14ac:dyDescent="0.2">
      <c r="A6289" s="569"/>
    </row>
    <row r="6290" spans="1:1" ht="12.75" customHeight="1" x14ac:dyDescent="0.2">
      <c r="A6290" s="569"/>
    </row>
    <row r="6291" spans="1:1" ht="12.75" customHeight="1" x14ac:dyDescent="0.2">
      <c r="A6291" s="569"/>
    </row>
    <row r="6292" spans="1:1" ht="12.75" customHeight="1" x14ac:dyDescent="0.2">
      <c r="A6292" s="569"/>
    </row>
    <row r="6293" spans="1:1" ht="12.75" customHeight="1" x14ac:dyDescent="0.2">
      <c r="A6293" s="569"/>
    </row>
    <row r="6294" spans="1:1" ht="12.75" customHeight="1" x14ac:dyDescent="0.2">
      <c r="A6294" s="569"/>
    </row>
  </sheetData>
  <sortState ref="A5315:J6030">
    <sortCondition ref="B5315:B6030"/>
  </sortState>
  <mergeCells count="11">
    <mergeCell ref="A2:C2"/>
    <mergeCell ref="A3:C3"/>
    <mergeCell ref="A4:C4"/>
    <mergeCell ref="A7:A9"/>
    <mergeCell ref="B7:B9"/>
    <mergeCell ref="C7:C9"/>
    <mergeCell ref="D7:D9"/>
    <mergeCell ref="E7:E9"/>
    <mergeCell ref="F7:F9"/>
    <mergeCell ref="G7:G9"/>
    <mergeCell ref="H7:H9"/>
  </mergeCells>
  <printOptions horizontalCentered="1"/>
  <pageMargins left="0.27559055118110237" right="0.23622047244094491" top="0.47244094488188981" bottom="0.74803149606299213" header="0.31496062992125984" footer="0.31496062992125984"/>
  <pageSetup fitToHeight="0" orientation="portrait" r:id="rId1"/>
  <headerFooter>
    <oddHeader>&amp;L&amp;"Arial,Normal"&amp;8ANEXOS&amp;R&amp;"Arial,Normal"&amp;8A2</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61"/>
  <sheetViews>
    <sheetView view="pageBreakPreview" topLeftCell="A43" zoomScale="130" zoomScaleNormal="100" zoomScaleSheetLayoutView="130" workbookViewId="0">
      <selection activeCell="B61" sqref="B61"/>
    </sheetView>
  </sheetViews>
  <sheetFormatPr baseColWidth="10" defaultRowHeight="15" x14ac:dyDescent="0.25"/>
  <cols>
    <col min="1" max="1" width="49.28515625" customWidth="1"/>
    <col min="2" max="2" width="26.85546875" customWidth="1"/>
    <col min="3" max="3" width="22.5703125" style="44" customWidth="1"/>
    <col min="7" max="7" width="26" customWidth="1"/>
    <col min="8" max="8" width="16.42578125" customWidth="1"/>
  </cols>
  <sheetData>
    <row r="1" spans="1:4" s="5" customFormat="1" ht="11.25" customHeight="1" x14ac:dyDescent="0.2">
      <c r="A1" s="218"/>
      <c r="B1" s="219"/>
      <c r="C1" s="276"/>
      <c r="D1" s="4"/>
    </row>
    <row r="2" spans="1:4" s="5" customFormat="1" ht="12.75" customHeight="1" x14ac:dyDescent="0.2">
      <c r="A2" s="1216" t="s">
        <v>719</v>
      </c>
      <c r="B2" s="1217"/>
      <c r="C2" s="1218"/>
      <c r="D2" s="6"/>
    </row>
    <row r="3" spans="1:4" s="5" customFormat="1" ht="12.75" customHeight="1" x14ac:dyDescent="0.2">
      <c r="A3" s="1219" t="s">
        <v>391</v>
      </c>
      <c r="B3" s="1220"/>
      <c r="C3" s="1221"/>
      <c r="D3" s="6"/>
    </row>
    <row r="4" spans="1:4" s="5" customFormat="1" ht="12.75" customHeight="1" x14ac:dyDescent="0.2">
      <c r="A4" s="1219" t="s">
        <v>10385</v>
      </c>
      <c r="B4" s="1220"/>
      <c r="C4" s="1221"/>
      <c r="D4" s="12"/>
    </row>
    <row r="5" spans="1:4" s="5" customFormat="1" ht="6.75" customHeight="1" x14ac:dyDescent="0.25">
      <c r="A5" s="220"/>
      <c r="B5" s="221"/>
      <c r="C5" s="277"/>
      <c r="D5" s="13"/>
    </row>
    <row r="6" spans="1:4" x14ac:dyDescent="0.25">
      <c r="A6" s="1222" t="s">
        <v>387</v>
      </c>
      <c r="B6" s="1224" t="s">
        <v>388</v>
      </c>
      <c r="C6" s="1225"/>
    </row>
    <row r="7" spans="1:4" ht="15.75" thickBot="1" x14ac:dyDescent="0.3">
      <c r="A7" s="1223"/>
      <c r="B7" s="935" t="s">
        <v>389</v>
      </c>
      <c r="C7" s="936" t="s">
        <v>390</v>
      </c>
    </row>
    <row r="8" spans="1:4" s="90" customFormat="1" ht="11.25" customHeight="1" x14ac:dyDescent="0.25">
      <c r="A8" s="937" t="s">
        <v>1107</v>
      </c>
      <c r="B8" s="938" t="s">
        <v>712</v>
      </c>
      <c r="C8" s="939" t="s">
        <v>10409</v>
      </c>
    </row>
    <row r="9" spans="1:4" s="90" customFormat="1" ht="11.25" customHeight="1" x14ac:dyDescent="0.25">
      <c r="A9" s="638" t="s">
        <v>1108</v>
      </c>
      <c r="B9" s="639" t="s">
        <v>712</v>
      </c>
      <c r="C9" s="640" t="s">
        <v>10410</v>
      </c>
    </row>
    <row r="10" spans="1:4" s="90" customFormat="1" ht="11.25" customHeight="1" x14ac:dyDescent="0.25">
      <c r="A10" s="638" t="s">
        <v>1109</v>
      </c>
      <c r="B10" s="639" t="s">
        <v>712</v>
      </c>
      <c r="C10" s="640" t="s">
        <v>10411</v>
      </c>
    </row>
    <row r="11" spans="1:4" s="90" customFormat="1" ht="11.25" customHeight="1" x14ac:dyDescent="0.25">
      <c r="A11" s="638" t="s">
        <v>1110</v>
      </c>
      <c r="B11" s="639" t="s">
        <v>712</v>
      </c>
      <c r="C11" s="640" t="s">
        <v>10412</v>
      </c>
    </row>
    <row r="12" spans="1:4" s="90" customFormat="1" ht="11.25" customHeight="1" x14ac:dyDescent="0.25">
      <c r="A12" s="638" t="s">
        <v>1111</v>
      </c>
      <c r="B12" s="639" t="s">
        <v>712</v>
      </c>
      <c r="C12" s="640" t="s">
        <v>10413</v>
      </c>
    </row>
    <row r="13" spans="1:4" s="90" customFormat="1" ht="11.25" customHeight="1" x14ac:dyDescent="0.25">
      <c r="A13" s="638" t="s">
        <v>1112</v>
      </c>
      <c r="B13" s="639" t="s">
        <v>712</v>
      </c>
      <c r="C13" s="640" t="s">
        <v>10414</v>
      </c>
    </row>
    <row r="14" spans="1:4" s="90" customFormat="1" ht="11.25" customHeight="1" x14ac:dyDescent="0.25">
      <c r="A14" s="638" t="s">
        <v>10462</v>
      </c>
      <c r="B14" s="639" t="s">
        <v>712</v>
      </c>
      <c r="C14" s="640" t="s">
        <v>10415</v>
      </c>
    </row>
    <row r="15" spans="1:4" s="90" customFormat="1" ht="11.25" customHeight="1" x14ac:dyDescent="0.25">
      <c r="A15" s="638" t="s">
        <v>10462</v>
      </c>
      <c r="B15" s="639" t="s">
        <v>712</v>
      </c>
      <c r="C15" s="640" t="s">
        <v>10416</v>
      </c>
    </row>
    <row r="16" spans="1:4" s="90" customFormat="1" ht="11.25" customHeight="1" x14ac:dyDescent="0.25">
      <c r="A16" s="638" t="s">
        <v>10463</v>
      </c>
      <c r="B16" s="639" t="s">
        <v>712</v>
      </c>
      <c r="C16" s="640" t="s">
        <v>10417</v>
      </c>
    </row>
    <row r="17" spans="1:3" s="90" customFormat="1" ht="11.25" customHeight="1" x14ac:dyDescent="0.25">
      <c r="A17" s="638" t="s">
        <v>7587</v>
      </c>
      <c r="B17" s="639" t="s">
        <v>712</v>
      </c>
      <c r="C17" s="640" t="s">
        <v>10418</v>
      </c>
    </row>
    <row r="18" spans="1:3" s="90" customFormat="1" ht="11.25" customHeight="1" x14ac:dyDescent="0.25">
      <c r="A18" s="638" t="s">
        <v>7588</v>
      </c>
      <c r="B18" s="639" t="s">
        <v>712</v>
      </c>
      <c r="C18" s="640" t="s">
        <v>10419</v>
      </c>
    </row>
    <row r="19" spans="1:3" s="90" customFormat="1" ht="11.25" customHeight="1" x14ac:dyDescent="0.25">
      <c r="A19" s="638" t="s">
        <v>7589</v>
      </c>
      <c r="B19" s="639" t="s">
        <v>712</v>
      </c>
      <c r="C19" s="640" t="s">
        <v>10420</v>
      </c>
    </row>
    <row r="20" spans="1:3" s="90" customFormat="1" ht="11.25" customHeight="1" x14ac:dyDescent="0.25">
      <c r="A20" s="638" t="s">
        <v>7590</v>
      </c>
      <c r="B20" s="639" t="s">
        <v>712</v>
      </c>
      <c r="C20" s="640" t="s">
        <v>10421</v>
      </c>
    </row>
    <row r="21" spans="1:3" s="90" customFormat="1" ht="11.25" customHeight="1" x14ac:dyDescent="0.25">
      <c r="A21" s="638" t="s">
        <v>10464</v>
      </c>
      <c r="B21" s="639" t="s">
        <v>712</v>
      </c>
      <c r="C21" s="640" t="s">
        <v>10422</v>
      </c>
    </row>
    <row r="22" spans="1:3" s="90" customFormat="1" ht="11.25" customHeight="1" x14ac:dyDescent="0.25">
      <c r="A22" s="638" t="s">
        <v>7591</v>
      </c>
      <c r="B22" s="639" t="s">
        <v>712</v>
      </c>
      <c r="C22" s="640" t="s">
        <v>10423</v>
      </c>
    </row>
    <row r="23" spans="1:3" s="90" customFormat="1" ht="11.25" customHeight="1" x14ac:dyDescent="0.25">
      <c r="A23" s="638" t="s">
        <v>7592</v>
      </c>
      <c r="B23" s="639" t="s">
        <v>712</v>
      </c>
      <c r="C23" s="640" t="s">
        <v>10424</v>
      </c>
    </row>
    <row r="24" spans="1:3" s="90" customFormat="1" ht="11.25" customHeight="1" x14ac:dyDescent="0.25">
      <c r="A24" s="638" t="s">
        <v>7593</v>
      </c>
      <c r="B24" s="639" t="s">
        <v>712</v>
      </c>
      <c r="C24" s="640" t="s">
        <v>10425</v>
      </c>
    </row>
    <row r="25" spans="1:3" s="90" customFormat="1" ht="11.25" customHeight="1" x14ac:dyDescent="0.25">
      <c r="A25" s="638" t="s">
        <v>7594</v>
      </c>
      <c r="B25" s="639" t="s">
        <v>712</v>
      </c>
      <c r="C25" s="640" t="s">
        <v>10426</v>
      </c>
    </row>
    <row r="26" spans="1:3" s="90" customFormat="1" ht="11.25" customHeight="1" x14ac:dyDescent="0.25">
      <c r="A26" s="638" t="s">
        <v>7605</v>
      </c>
      <c r="B26" s="639" t="s">
        <v>712</v>
      </c>
      <c r="C26" s="640" t="s">
        <v>10427</v>
      </c>
    </row>
    <row r="27" spans="1:3" s="90" customFormat="1" ht="11.25" customHeight="1" x14ac:dyDescent="0.25">
      <c r="A27" s="638" t="s">
        <v>7606</v>
      </c>
      <c r="B27" s="639" t="s">
        <v>712</v>
      </c>
      <c r="C27" s="640" t="s">
        <v>10428</v>
      </c>
    </row>
    <row r="28" spans="1:3" s="90" customFormat="1" ht="11.25" customHeight="1" x14ac:dyDescent="0.25">
      <c r="A28" s="638" t="s">
        <v>7595</v>
      </c>
      <c r="B28" s="639" t="s">
        <v>712</v>
      </c>
      <c r="C28" s="640" t="s">
        <v>10429</v>
      </c>
    </row>
    <row r="29" spans="1:3" s="90" customFormat="1" ht="11.25" customHeight="1" x14ac:dyDescent="0.25">
      <c r="A29" s="638" t="s">
        <v>7596</v>
      </c>
      <c r="B29" s="639" t="s">
        <v>712</v>
      </c>
      <c r="C29" s="640" t="s">
        <v>10430</v>
      </c>
    </row>
    <row r="30" spans="1:3" s="90" customFormat="1" ht="11.25" customHeight="1" x14ac:dyDescent="0.25">
      <c r="A30" s="638" t="s">
        <v>10465</v>
      </c>
      <c r="B30" s="639" t="s">
        <v>712</v>
      </c>
      <c r="C30" s="640" t="s">
        <v>10431</v>
      </c>
    </row>
    <row r="31" spans="1:3" s="90" customFormat="1" ht="11.25" customHeight="1" x14ac:dyDescent="0.25">
      <c r="A31" s="638" t="s">
        <v>7607</v>
      </c>
      <c r="B31" s="639" t="s">
        <v>712</v>
      </c>
      <c r="C31" s="640" t="s">
        <v>10432</v>
      </c>
    </row>
    <row r="32" spans="1:3" s="90" customFormat="1" ht="11.25" customHeight="1" x14ac:dyDescent="0.25">
      <c r="A32" s="638" t="s">
        <v>10371</v>
      </c>
      <c r="B32" s="639" t="s">
        <v>712</v>
      </c>
      <c r="C32" s="640" t="s">
        <v>10433</v>
      </c>
    </row>
    <row r="33" spans="1:3" s="90" customFormat="1" ht="11.25" customHeight="1" x14ac:dyDescent="0.25">
      <c r="A33" s="638" t="s">
        <v>10466</v>
      </c>
      <c r="B33" s="639" t="s">
        <v>712</v>
      </c>
      <c r="C33" s="640" t="s">
        <v>10434</v>
      </c>
    </row>
    <row r="34" spans="1:3" s="90" customFormat="1" ht="11.25" customHeight="1" x14ac:dyDescent="0.25">
      <c r="A34" s="638" t="s">
        <v>10467</v>
      </c>
      <c r="B34" s="639" t="s">
        <v>712</v>
      </c>
      <c r="C34" s="640" t="s">
        <v>10435</v>
      </c>
    </row>
    <row r="35" spans="1:3" s="90" customFormat="1" ht="11.25" customHeight="1" x14ac:dyDescent="0.25">
      <c r="A35" s="638" t="s">
        <v>10468</v>
      </c>
      <c r="B35" s="639" t="s">
        <v>712</v>
      </c>
      <c r="C35" s="640" t="s">
        <v>10436</v>
      </c>
    </row>
    <row r="36" spans="1:3" s="90" customFormat="1" ht="11.25" customHeight="1" x14ac:dyDescent="0.25">
      <c r="A36" s="638" t="s">
        <v>10469</v>
      </c>
      <c r="B36" s="639" t="s">
        <v>712</v>
      </c>
      <c r="C36" s="640" t="s">
        <v>10437</v>
      </c>
    </row>
    <row r="37" spans="1:3" s="90" customFormat="1" ht="11.25" customHeight="1" x14ac:dyDescent="0.25">
      <c r="A37" s="638" t="s">
        <v>8823</v>
      </c>
      <c r="B37" s="639" t="s">
        <v>712</v>
      </c>
      <c r="C37" s="640" t="s">
        <v>10438</v>
      </c>
    </row>
    <row r="38" spans="1:3" s="90" customFormat="1" ht="11.25" customHeight="1" x14ac:dyDescent="0.25">
      <c r="A38" s="638" t="s">
        <v>10470</v>
      </c>
      <c r="B38" s="639" t="s">
        <v>712</v>
      </c>
      <c r="C38" s="640" t="s">
        <v>10439</v>
      </c>
    </row>
    <row r="39" spans="1:3" s="90" customFormat="1" ht="11.25" customHeight="1" x14ac:dyDescent="0.25">
      <c r="A39" s="638" t="s">
        <v>10471</v>
      </c>
      <c r="B39" s="639" t="s">
        <v>712</v>
      </c>
      <c r="C39" s="640" t="s">
        <v>10440</v>
      </c>
    </row>
    <row r="40" spans="1:3" s="90" customFormat="1" ht="11.25" customHeight="1" x14ac:dyDescent="0.25">
      <c r="A40" s="638" t="s">
        <v>10472</v>
      </c>
      <c r="B40" s="639" t="s">
        <v>712</v>
      </c>
      <c r="C40" s="640" t="s">
        <v>10441</v>
      </c>
    </row>
    <row r="41" spans="1:3" s="90" customFormat="1" ht="11.25" customHeight="1" x14ac:dyDescent="0.25">
      <c r="A41" s="638" t="s">
        <v>8785</v>
      </c>
      <c r="B41" s="639" t="s">
        <v>712</v>
      </c>
      <c r="C41" s="640" t="s">
        <v>10442</v>
      </c>
    </row>
    <row r="42" spans="1:3" s="90" customFormat="1" ht="11.25" customHeight="1" x14ac:dyDescent="0.25">
      <c r="A42" s="638" t="s">
        <v>10473</v>
      </c>
      <c r="B42" s="639" t="s">
        <v>712</v>
      </c>
      <c r="C42" s="640" t="s">
        <v>10443</v>
      </c>
    </row>
    <row r="43" spans="1:3" s="90" customFormat="1" ht="11.25" customHeight="1" x14ac:dyDescent="0.25">
      <c r="A43" s="638" t="s">
        <v>10378</v>
      </c>
      <c r="B43" s="639" t="s">
        <v>712</v>
      </c>
      <c r="C43" s="640" t="s">
        <v>10444</v>
      </c>
    </row>
    <row r="44" spans="1:3" s="90" customFormat="1" ht="11.25" customHeight="1" x14ac:dyDescent="0.25">
      <c r="A44" s="638" t="s">
        <v>10373</v>
      </c>
      <c r="B44" s="639" t="s">
        <v>712</v>
      </c>
      <c r="C44" s="640" t="s">
        <v>10445</v>
      </c>
    </row>
    <row r="45" spans="1:3" s="90" customFormat="1" ht="11.25" customHeight="1" x14ac:dyDescent="0.25">
      <c r="A45" s="638" t="s">
        <v>10474</v>
      </c>
      <c r="B45" s="639" t="s">
        <v>712</v>
      </c>
      <c r="C45" s="640" t="s">
        <v>10446</v>
      </c>
    </row>
    <row r="46" spans="1:3" s="90" customFormat="1" ht="11.25" customHeight="1" x14ac:dyDescent="0.25">
      <c r="A46" s="638" t="s">
        <v>10475</v>
      </c>
      <c r="B46" s="639" t="s">
        <v>712</v>
      </c>
      <c r="C46" s="640" t="s">
        <v>10447</v>
      </c>
    </row>
    <row r="47" spans="1:3" s="90" customFormat="1" ht="11.25" customHeight="1" x14ac:dyDescent="0.25">
      <c r="A47" s="638" t="s">
        <v>10476</v>
      </c>
      <c r="B47" s="639" t="s">
        <v>712</v>
      </c>
      <c r="C47" s="640" t="s">
        <v>10448</v>
      </c>
    </row>
    <row r="48" spans="1:3" s="90" customFormat="1" ht="11.25" customHeight="1" x14ac:dyDescent="0.25">
      <c r="A48" s="638" t="s">
        <v>10477</v>
      </c>
      <c r="B48" s="639" t="s">
        <v>712</v>
      </c>
      <c r="C48" s="640" t="s">
        <v>10449</v>
      </c>
    </row>
    <row r="49" spans="1:3" s="90" customFormat="1" ht="11.25" customHeight="1" x14ac:dyDescent="0.25">
      <c r="A49" s="638" t="s">
        <v>10478</v>
      </c>
      <c r="B49" s="639" t="s">
        <v>712</v>
      </c>
      <c r="C49" s="640" t="s">
        <v>10450</v>
      </c>
    </row>
    <row r="50" spans="1:3" s="90" customFormat="1" ht="11.25" customHeight="1" x14ac:dyDescent="0.25">
      <c r="A50" s="638" t="s">
        <v>10479</v>
      </c>
      <c r="B50" s="639" t="s">
        <v>712</v>
      </c>
      <c r="C50" s="640" t="s">
        <v>10451</v>
      </c>
    </row>
    <row r="51" spans="1:3" s="90" customFormat="1" ht="11.25" customHeight="1" x14ac:dyDescent="0.25">
      <c r="A51" s="638" t="s">
        <v>10480</v>
      </c>
      <c r="B51" s="639" t="s">
        <v>712</v>
      </c>
      <c r="C51" s="640" t="s">
        <v>10452</v>
      </c>
    </row>
    <row r="52" spans="1:3" s="90" customFormat="1" ht="11.25" customHeight="1" x14ac:dyDescent="0.25">
      <c r="A52" s="638" t="s">
        <v>7598</v>
      </c>
      <c r="B52" s="639" t="s">
        <v>7586</v>
      </c>
      <c r="C52" s="640" t="s">
        <v>10453</v>
      </c>
    </row>
    <row r="53" spans="1:3" s="90" customFormat="1" ht="11.25" customHeight="1" x14ac:dyDescent="0.25">
      <c r="A53" s="638" t="s">
        <v>10460</v>
      </c>
      <c r="B53" s="639" t="s">
        <v>7586</v>
      </c>
      <c r="C53" s="640" t="s">
        <v>10454</v>
      </c>
    </row>
    <row r="54" spans="1:3" s="90" customFormat="1" ht="11.25" customHeight="1" x14ac:dyDescent="0.25">
      <c r="A54" s="638" t="s">
        <v>7599</v>
      </c>
      <c r="B54" s="639" t="s">
        <v>7586</v>
      </c>
      <c r="C54" s="640" t="s">
        <v>10455</v>
      </c>
    </row>
    <row r="55" spans="1:3" s="90" customFormat="1" ht="11.25" customHeight="1" x14ac:dyDescent="0.25">
      <c r="A55" s="638" t="s">
        <v>7600</v>
      </c>
      <c r="B55" s="639" t="s">
        <v>7586</v>
      </c>
      <c r="C55" s="640" t="s">
        <v>10456</v>
      </c>
    </row>
    <row r="56" spans="1:3" s="90" customFormat="1" ht="11.25" customHeight="1" x14ac:dyDescent="0.25">
      <c r="A56" s="638" t="s">
        <v>7601</v>
      </c>
      <c r="B56" s="639" t="s">
        <v>7586</v>
      </c>
      <c r="C56" s="640" t="s">
        <v>10457</v>
      </c>
    </row>
    <row r="57" spans="1:3" s="90" customFormat="1" ht="11.25" customHeight="1" x14ac:dyDescent="0.25">
      <c r="A57" s="638" t="s">
        <v>7608</v>
      </c>
      <c r="B57" s="639" t="s">
        <v>7586</v>
      </c>
      <c r="C57" s="640" t="s">
        <v>7597</v>
      </c>
    </row>
    <row r="58" spans="1:3" s="90" customFormat="1" ht="11.25" customHeight="1" x14ac:dyDescent="0.25">
      <c r="A58" s="638" t="s">
        <v>7602</v>
      </c>
      <c r="B58" s="639" t="s">
        <v>7586</v>
      </c>
      <c r="C58" s="640" t="s">
        <v>10458</v>
      </c>
    </row>
    <row r="59" spans="1:3" s="90" customFormat="1" ht="11.25" customHeight="1" x14ac:dyDescent="0.25">
      <c r="A59" s="638" t="s">
        <v>10461</v>
      </c>
      <c r="B59" s="639" t="s">
        <v>7586</v>
      </c>
      <c r="C59" s="640" t="s">
        <v>10459</v>
      </c>
    </row>
    <row r="60" spans="1:3" s="90" customFormat="1" ht="11.25" customHeight="1" thickBot="1" x14ac:dyDescent="0.3">
      <c r="A60" s="940" t="s">
        <v>7603</v>
      </c>
      <c r="B60" s="941" t="s">
        <v>12254</v>
      </c>
      <c r="C60" s="942">
        <v>65502239336</v>
      </c>
    </row>
    <row r="61" spans="1:3" ht="7.5" customHeight="1" x14ac:dyDescent="0.25">
      <c r="A61" s="636"/>
      <c r="B61" s="637"/>
      <c r="C61" s="637"/>
    </row>
  </sheetData>
  <mergeCells count="5">
    <mergeCell ref="A2:C2"/>
    <mergeCell ref="A3:C3"/>
    <mergeCell ref="A4:C4"/>
    <mergeCell ref="A6:A7"/>
    <mergeCell ref="B6:C6"/>
  </mergeCells>
  <printOptions horizontalCentered="1"/>
  <pageMargins left="0.31496062992125984" right="0.39370078740157483" top="0.51181102362204722" bottom="0.39370078740157483" header="0.31496062992125984" footer="0.31496062992125984"/>
  <pageSetup fitToHeight="0" orientation="portrait" verticalDpi="300" r:id="rId1"/>
  <headerFooter>
    <oddHeader>&amp;L&amp;"Arial,Normal"&amp;8ANEXOS&amp;R&amp;"Arial,Normal"&amp;8A3</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33"/>
  <sheetViews>
    <sheetView view="pageBreakPreview" topLeftCell="A964" zoomScale="60" zoomScaleNormal="100" workbookViewId="0"/>
  </sheetViews>
  <sheetFormatPr baseColWidth="10" defaultRowHeight="15" x14ac:dyDescent="0.25"/>
  <cols>
    <col min="2" max="2" width="19.140625" bestFit="1" customWidth="1"/>
    <col min="3" max="3" width="9.28515625" bestFit="1" customWidth="1"/>
    <col min="4" max="4" width="8.5703125" bestFit="1" customWidth="1"/>
    <col min="5" max="5" width="39.28515625" customWidth="1"/>
    <col min="6" max="6" width="19.5703125" bestFit="1" customWidth="1"/>
    <col min="7" max="7" width="13.140625" bestFit="1" customWidth="1"/>
    <col min="8" max="8" width="12.7109375" bestFit="1" customWidth="1"/>
  </cols>
  <sheetData>
    <row r="1" spans="1:8" s="5" customFormat="1" ht="9.75" customHeight="1" x14ac:dyDescent="0.2">
      <c r="H1" s="4"/>
    </row>
    <row r="2" spans="1:8" s="5" customFormat="1" ht="15" customHeight="1" x14ac:dyDescent="0.2">
      <c r="A2" s="1226" t="s">
        <v>1196</v>
      </c>
      <c r="B2" s="1226"/>
      <c r="C2" s="1226"/>
      <c r="D2" s="1226"/>
      <c r="E2" s="1226"/>
      <c r="F2" s="1226"/>
      <c r="G2" s="1226"/>
      <c r="H2" s="1226"/>
    </row>
    <row r="3" spans="1:8" s="5" customFormat="1" ht="15" customHeight="1" x14ac:dyDescent="0.2">
      <c r="A3" s="1226" t="s">
        <v>548</v>
      </c>
      <c r="B3" s="1226"/>
      <c r="C3" s="1226"/>
      <c r="D3" s="1226"/>
      <c r="E3" s="1226"/>
      <c r="F3" s="1226"/>
      <c r="G3" s="1226"/>
      <c r="H3" s="1226"/>
    </row>
    <row r="4" spans="1:8" s="5" customFormat="1" ht="15" customHeight="1" x14ac:dyDescent="0.2">
      <c r="A4" s="1226" t="s">
        <v>10767</v>
      </c>
      <c r="B4" s="1226"/>
      <c r="C4" s="1226"/>
      <c r="D4" s="1226"/>
      <c r="E4" s="1226"/>
      <c r="F4" s="1226"/>
      <c r="G4" s="1226"/>
      <c r="H4" s="1226"/>
    </row>
    <row r="7" spans="1:8" x14ac:dyDescent="0.25">
      <c r="A7" s="1227" t="s">
        <v>549</v>
      </c>
      <c r="B7" s="1228" t="s">
        <v>201</v>
      </c>
      <c r="C7" s="1230" t="s">
        <v>550</v>
      </c>
      <c r="D7" s="1230" t="s">
        <v>550</v>
      </c>
      <c r="E7" s="1231" t="s">
        <v>553</v>
      </c>
      <c r="F7" s="1230" t="s">
        <v>554</v>
      </c>
      <c r="G7" s="1228" t="s">
        <v>555</v>
      </c>
      <c r="H7" s="1228" t="s">
        <v>556</v>
      </c>
    </row>
    <row r="8" spans="1:8" ht="24" x14ac:dyDescent="0.25">
      <c r="A8" s="1227"/>
      <c r="B8" s="1229"/>
      <c r="C8" s="274" t="s">
        <v>551</v>
      </c>
      <c r="D8" s="275" t="s">
        <v>552</v>
      </c>
      <c r="E8" s="1232"/>
      <c r="F8" s="1230"/>
      <c r="G8" s="1229"/>
      <c r="H8" s="1229"/>
    </row>
    <row r="9" spans="1:8" s="760" customFormat="1" ht="13.5" customHeight="1" x14ac:dyDescent="0.25">
      <c r="A9" s="267">
        <v>441</v>
      </c>
      <c r="B9" s="268" t="s">
        <v>1145</v>
      </c>
      <c r="C9" s="267" t="s">
        <v>1144</v>
      </c>
      <c r="D9" s="267"/>
      <c r="E9" s="268" t="s">
        <v>7920</v>
      </c>
      <c r="F9" s="268" t="s">
        <v>10768</v>
      </c>
      <c r="G9" s="267"/>
      <c r="H9" s="641">
        <v>200</v>
      </c>
    </row>
    <row r="10" spans="1:8" s="760" customFormat="1" ht="13.5" customHeight="1" x14ac:dyDescent="0.25">
      <c r="A10" s="267">
        <v>441</v>
      </c>
      <c r="B10" s="268" t="s">
        <v>1145</v>
      </c>
      <c r="C10" s="267" t="s">
        <v>1144</v>
      </c>
      <c r="D10" s="267"/>
      <c r="E10" s="268" t="s">
        <v>7649</v>
      </c>
      <c r="F10" s="268" t="s">
        <v>2529</v>
      </c>
      <c r="G10" s="267"/>
      <c r="H10" s="641">
        <v>245.5</v>
      </c>
    </row>
    <row r="11" spans="1:8" s="760" customFormat="1" ht="13.5" customHeight="1" x14ac:dyDescent="0.25">
      <c r="A11" s="267">
        <v>441</v>
      </c>
      <c r="B11" s="268" t="s">
        <v>1145</v>
      </c>
      <c r="C11" s="267" t="s">
        <v>1144</v>
      </c>
      <c r="D11" s="267"/>
      <c r="E11" s="268" t="s">
        <v>2610</v>
      </c>
      <c r="F11" s="268" t="s">
        <v>2611</v>
      </c>
      <c r="G11" s="267"/>
      <c r="H11" s="641">
        <v>150</v>
      </c>
    </row>
    <row r="12" spans="1:8" s="760" customFormat="1" ht="13.5" customHeight="1" x14ac:dyDescent="0.25">
      <c r="A12" s="267">
        <v>441</v>
      </c>
      <c r="B12" s="268" t="s">
        <v>1145</v>
      </c>
      <c r="C12" s="267" t="s">
        <v>1144</v>
      </c>
      <c r="D12" s="267"/>
      <c r="E12" s="268" t="s">
        <v>7758</v>
      </c>
      <c r="F12" s="268" t="s">
        <v>7759</v>
      </c>
      <c r="G12" s="267"/>
      <c r="H12" s="641">
        <v>200</v>
      </c>
    </row>
    <row r="13" spans="1:8" s="760" customFormat="1" ht="13.5" customHeight="1" x14ac:dyDescent="0.25">
      <c r="A13" s="267">
        <v>441</v>
      </c>
      <c r="B13" s="268" t="s">
        <v>1145</v>
      </c>
      <c r="C13" s="267" t="s">
        <v>1144</v>
      </c>
      <c r="D13" s="267"/>
      <c r="E13" s="268" t="s">
        <v>10769</v>
      </c>
      <c r="F13" s="268" t="s">
        <v>10770</v>
      </c>
      <c r="G13" s="267"/>
      <c r="H13" s="641">
        <v>150</v>
      </c>
    </row>
    <row r="14" spans="1:8" s="760" customFormat="1" ht="13.5" customHeight="1" x14ac:dyDescent="0.25">
      <c r="A14" s="267">
        <v>441</v>
      </c>
      <c r="B14" s="268" t="s">
        <v>1145</v>
      </c>
      <c r="C14" s="267" t="s">
        <v>1144</v>
      </c>
      <c r="D14" s="267"/>
      <c r="E14" s="268" t="s">
        <v>7858</v>
      </c>
      <c r="F14" s="268" t="s">
        <v>7817</v>
      </c>
      <c r="G14" s="267"/>
      <c r="H14" s="641">
        <v>200</v>
      </c>
    </row>
    <row r="15" spans="1:8" s="760" customFormat="1" ht="13.5" customHeight="1" x14ac:dyDescent="0.25">
      <c r="A15" s="267">
        <v>441</v>
      </c>
      <c r="B15" s="268" t="s">
        <v>1145</v>
      </c>
      <c r="C15" s="267" t="s">
        <v>1144</v>
      </c>
      <c r="D15" s="267"/>
      <c r="E15" s="268" t="s">
        <v>7760</v>
      </c>
      <c r="F15" s="268" t="s">
        <v>7736</v>
      </c>
      <c r="G15" s="267"/>
      <c r="H15" s="641">
        <v>250</v>
      </c>
    </row>
    <row r="16" spans="1:8" s="760" customFormat="1" ht="13.5" customHeight="1" x14ac:dyDescent="0.25">
      <c r="A16" s="267">
        <v>441</v>
      </c>
      <c r="B16" s="268" t="s">
        <v>1145</v>
      </c>
      <c r="C16" s="267" t="s">
        <v>1144</v>
      </c>
      <c r="D16" s="267"/>
      <c r="E16" s="268" t="s">
        <v>10771</v>
      </c>
      <c r="F16" s="268" t="s">
        <v>10772</v>
      </c>
      <c r="G16" s="267"/>
      <c r="H16" s="641">
        <v>200</v>
      </c>
    </row>
    <row r="17" spans="1:8" s="760" customFormat="1" ht="13.5" customHeight="1" x14ac:dyDescent="0.25">
      <c r="A17" s="267">
        <v>441</v>
      </c>
      <c r="B17" s="268" t="s">
        <v>1145</v>
      </c>
      <c r="C17" s="267" t="s">
        <v>1144</v>
      </c>
      <c r="D17" s="267"/>
      <c r="E17" s="268" t="s">
        <v>2594</v>
      </c>
      <c r="F17" s="268" t="s">
        <v>2595</v>
      </c>
      <c r="G17" s="267"/>
      <c r="H17" s="641">
        <v>250</v>
      </c>
    </row>
    <row r="18" spans="1:8" s="760" customFormat="1" ht="13.5" customHeight="1" x14ac:dyDescent="0.25">
      <c r="A18" s="267">
        <v>441</v>
      </c>
      <c r="B18" s="268" t="s">
        <v>1145</v>
      </c>
      <c r="C18" s="267" t="s">
        <v>1144</v>
      </c>
      <c r="D18" s="267"/>
      <c r="E18" s="268" t="s">
        <v>10773</v>
      </c>
      <c r="F18" s="268" t="s">
        <v>7646</v>
      </c>
      <c r="G18" s="267"/>
      <c r="H18" s="641">
        <v>500</v>
      </c>
    </row>
    <row r="19" spans="1:8" s="760" customFormat="1" ht="13.5" customHeight="1" x14ac:dyDescent="0.25">
      <c r="A19" s="267">
        <v>441</v>
      </c>
      <c r="B19" s="268" t="s">
        <v>1145</v>
      </c>
      <c r="C19" s="267" t="s">
        <v>1144</v>
      </c>
      <c r="D19" s="267"/>
      <c r="E19" s="268" t="s">
        <v>2512</v>
      </c>
      <c r="F19" s="268" t="s">
        <v>2513</v>
      </c>
      <c r="G19" s="267"/>
      <c r="H19" s="641">
        <v>200</v>
      </c>
    </row>
    <row r="20" spans="1:8" s="760" customFormat="1" ht="13.5" customHeight="1" x14ac:dyDescent="0.25">
      <c r="A20" s="267">
        <v>441</v>
      </c>
      <c r="B20" s="268" t="s">
        <v>1145</v>
      </c>
      <c r="C20" s="267" t="s">
        <v>1144</v>
      </c>
      <c r="D20" s="267"/>
      <c r="E20" s="268" t="s">
        <v>7876</v>
      </c>
      <c r="F20" s="268" t="s">
        <v>7799</v>
      </c>
      <c r="G20" s="267"/>
      <c r="H20" s="641">
        <v>200</v>
      </c>
    </row>
    <row r="21" spans="1:8" s="760" customFormat="1" ht="13.5" customHeight="1" x14ac:dyDescent="0.25">
      <c r="A21" s="267">
        <v>441</v>
      </c>
      <c r="B21" s="268" t="s">
        <v>1145</v>
      </c>
      <c r="C21" s="267" t="s">
        <v>1144</v>
      </c>
      <c r="D21" s="267"/>
      <c r="E21" s="268" t="s">
        <v>10774</v>
      </c>
      <c r="F21" s="268" t="s">
        <v>10775</v>
      </c>
      <c r="G21" s="267"/>
      <c r="H21" s="641">
        <v>650</v>
      </c>
    </row>
    <row r="22" spans="1:8" s="760" customFormat="1" ht="13.5" customHeight="1" x14ac:dyDescent="0.25">
      <c r="A22" s="267">
        <v>441</v>
      </c>
      <c r="B22" s="268" t="s">
        <v>1145</v>
      </c>
      <c r="C22" s="267" t="s">
        <v>1144</v>
      </c>
      <c r="D22" s="267"/>
      <c r="E22" s="268" t="s">
        <v>2562</v>
      </c>
      <c r="F22" s="268" t="s">
        <v>2563</v>
      </c>
      <c r="G22" s="267"/>
      <c r="H22" s="641">
        <v>250</v>
      </c>
    </row>
    <row r="23" spans="1:8" s="760" customFormat="1" ht="13.5" customHeight="1" x14ac:dyDescent="0.25">
      <c r="A23" s="267">
        <v>441</v>
      </c>
      <c r="B23" s="268" t="s">
        <v>1145</v>
      </c>
      <c r="C23" s="267" t="s">
        <v>1144</v>
      </c>
      <c r="D23" s="267"/>
      <c r="E23" s="268" t="s">
        <v>10776</v>
      </c>
      <c r="F23" s="268" t="s">
        <v>10777</v>
      </c>
      <c r="G23" s="267"/>
      <c r="H23" s="641">
        <v>200</v>
      </c>
    </row>
    <row r="24" spans="1:8" s="760" customFormat="1" ht="13.5" customHeight="1" x14ac:dyDescent="0.25">
      <c r="A24" s="267">
        <v>441</v>
      </c>
      <c r="B24" s="268" t="s">
        <v>1145</v>
      </c>
      <c r="C24" s="267" t="s">
        <v>1144</v>
      </c>
      <c r="D24" s="267"/>
      <c r="E24" s="268" t="s">
        <v>7846</v>
      </c>
      <c r="F24" s="268" t="s">
        <v>7847</v>
      </c>
      <c r="G24" s="267"/>
      <c r="H24" s="641">
        <v>200</v>
      </c>
    </row>
    <row r="25" spans="1:8" s="760" customFormat="1" ht="13.5" customHeight="1" x14ac:dyDescent="0.25">
      <c r="A25" s="267">
        <v>441</v>
      </c>
      <c r="B25" s="268" t="s">
        <v>1145</v>
      </c>
      <c r="C25" s="267" t="s">
        <v>1144</v>
      </c>
      <c r="D25" s="267"/>
      <c r="E25" s="268" t="s">
        <v>7730</v>
      </c>
      <c r="F25" s="268" t="s">
        <v>2555</v>
      </c>
      <c r="G25" s="267"/>
      <c r="H25" s="641">
        <v>300</v>
      </c>
    </row>
    <row r="26" spans="1:8" s="760" customFormat="1" ht="13.5" customHeight="1" x14ac:dyDescent="0.25">
      <c r="A26" s="267">
        <v>441</v>
      </c>
      <c r="B26" s="268" t="s">
        <v>1145</v>
      </c>
      <c r="C26" s="267" t="s">
        <v>1144</v>
      </c>
      <c r="D26" s="267"/>
      <c r="E26" s="268" t="s">
        <v>10778</v>
      </c>
      <c r="F26" s="268" t="s">
        <v>10779</v>
      </c>
      <c r="G26" s="267"/>
      <c r="H26" s="641">
        <v>300</v>
      </c>
    </row>
    <row r="27" spans="1:8" s="760" customFormat="1" ht="13.5" customHeight="1" x14ac:dyDescent="0.25">
      <c r="A27" s="267">
        <v>441</v>
      </c>
      <c r="B27" s="268" t="s">
        <v>1145</v>
      </c>
      <c r="C27" s="267" t="s">
        <v>1144</v>
      </c>
      <c r="D27" s="267"/>
      <c r="E27" s="268" t="s">
        <v>10780</v>
      </c>
      <c r="F27" s="268" t="s">
        <v>10781</v>
      </c>
      <c r="G27" s="267"/>
      <c r="H27" s="641">
        <v>200</v>
      </c>
    </row>
    <row r="28" spans="1:8" s="760" customFormat="1" ht="13.5" customHeight="1" x14ac:dyDescent="0.25">
      <c r="A28" s="267">
        <v>441</v>
      </c>
      <c r="B28" s="268" t="s">
        <v>1145</v>
      </c>
      <c r="C28" s="267" t="s">
        <v>1144</v>
      </c>
      <c r="D28" s="267"/>
      <c r="E28" s="268" t="s">
        <v>10782</v>
      </c>
      <c r="F28" s="268" t="s">
        <v>10783</v>
      </c>
      <c r="G28" s="267"/>
      <c r="H28" s="641">
        <v>200</v>
      </c>
    </row>
    <row r="29" spans="1:8" s="760" customFormat="1" ht="13.5" customHeight="1" x14ac:dyDescent="0.25">
      <c r="A29" s="267">
        <v>441</v>
      </c>
      <c r="B29" s="268" t="s">
        <v>1145</v>
      </c>
      <c r="C29" s="267" t="s">
        <v>1144</v>
      </c>
      <c r="D29" s="267"/>
      <c r="E29" s="268" t="s">
        <v>2547</v>
      </c>
      <c r="F29" s="268" t="s">
        <v>2548</v>
      </c>
      <c r="G29" s="267"/>
      <c r="H29" s="641">
        <v>200</v>
      </c>
    </row>
    <row r="30" spans="1:8" s="760" customFormat="1" ht="13.5" customHeight="1" x14ac:dyDescent="0.25">
      <c r="A30" s="267">
        <v>441</v>
      </c>
      <c r="B30" s="268" t="s">
        <v>1145</v>
      </c>
      <c r="C30" s="267" t="s">
        <v>1144</v>
      </c>
      <c r="D30" s="267"/>
      <c r="E30" s="268" t="s">
        <v>2566</v>
      </c>
      <c r="F30" s="268" t="s">
        <v>2567</v>
      </c>
      <c r="G30" s="267"/>
      <c r="H30" s="641">
        <v>200</v>
      </c>
    </row>
    <row r="31" spans="1:8" s="760" customFormat="1" ht="13.5" customHeight="1" x14ac:dyDescent="0.25">
      <c r="A31" s="267">
        <v>441</v>
      </c>
      <c r="B31" s="268" t="s">
        <v>1145</v>
      </c>
      <c r="C31" s="267" t="s">
        <v>1144</v>
      </c>
      <c r="D31" s="267"/>
      <c r="E31" s="268" t="s">
        <v>1197</v>
      </c>
      <c r="F31" s="268" t="s">
        <v>1198</v>
      </c>
      <c r="G31" s="267"/>
      <c r="H31" s="641">
        <v>150</v>
      </c>
    </row>
    <row r="32" spans="1:8" s="760" customFormat="1" ht="13.5" customHeight="1" x14ac:dyDescent="0.25">
      <c r="A32" s="267">
        <v>441</v>
      </c>
      <c r="B32" s="268" t="s">
        <v>1145</v>
      </c>
      <c r="C32" s="267" t="s">
        <v>1144</v>
      </c>
      <c r="D32" s="267"/>
      <c r="E32" s="268" t="s">
        <v>1155</v>
      </c>
      <c r="F32" s="268" t="s">
        <v>7638</v>
      </c>
      <c r="G32" s="267"/>
      <c r="H32" s="641">
        <v>150</v>
      </c>
    </row>
    <row r="33" spans="1:8" s="760" customFormat="1" ht="13.5" customHeight="1" x14ac:dyDescent="0.25">
      <c r="A33" s="267">
        <v>441</v>
      </c>
      <c r="B33" s="268" t="s">
        <v>1145</v>
      </c>
      <c r="C33" s="267" t="s">
        <v>1144</v>
      </c>
      <c r="D33" s="267"/>
      <c r="E33" s="268" t="s">
        <v>2591</v>
      </c>
      <c r="F33" s="268" t="s">
        <v>7818</v>
      </c>
      <c r="G33" s="267"/>
      <c r="H33" s="641">
        <v>150</v>
      </c>
    </row>
    <row r="34" spans="1:8" s="760" customFormat="1" ht="13.5" customHeight="1" x14ac:dyDescent="0.25">
      <c r="A34" s="267">
        <v>441</v>
      </c>
      <c r="B34" s="268" t="s">
        <v>1145</v>
      </c>
      <c r="C34" s="267" t="s">
        <v>1144</v>
      </c>
      <c r="D34" s="267"/>
      <c r="E34" s="268" t="s">
        <v>7875</v>
      </c>
      <c r="F34" s="268" t="s">
        <v>10784</v>
      </c>
      <c r="G34" s="267"/>
      <c r="H34" s="641">
        <v>150</v>
      </c>
    </row>
    <row r="35" spans="1:8" s="760" customFormat="1" ht="13.5" customHeight="1" x14ac:dyDescent="0.25">
      <c r="A35" s="267">
        <v>441</v>
      </c>
      <c r="B35" s="268" t="s">
        <v>1145</v>
      </c>
      <c r="C35" s="267" t="s">
        <v>1144</v>
      </c>
      <c r="D35" s="267"/>
      <c r="E35" s="268" t="s">
        <v>10785</v>
      </c>
      <c r="F35" s="268" t="s">
        <v>10786</v>
      </c>
      <c r="G35" s="267"/>
      <c r="H35" s="641">
        <v>10000</v>
      </c>
    </row>
    <row r="36" spans="1:8" s="760" customFormat="1" ht="13.5" customHeight="1" x14ac:dyDescent="0.25">
      <c r="A36" s="267">
        <v>441</v>
      </c>
      <c r="B36" s="268" t="s">
        <v>1145</v>
      </c>
      <c r="C36" s="267" t="s">
        <v>1144</v>
      </c>
      <c r="D36" s="267"/>
      <c r="E36" s="268" t="s">
        <v>2592</v>
      </c>
      <c r="F36" s="268"/>
      <c r="G36" s="267" t="s">
        <v>2605</v>
      </c>
      <c r="H36" s="641">
        <v>400</v>
      </c>
    </row>
    <row r="37" spans="1:8" s="760" customFormat="1" ht="13.5" customHeight="1" x14ac:dyDescent="0.25">
      <c r="A37" s="267">
        <v>441</v>
      </c>
      <c r="B37" s="268" t="s">
        <v>1145</v>
      </c>
      <c r="C37" s="267" t="s">
        <v>1144</v>
      </c>
      <c r="D37" s="267"/>
      <c r="E37" s="268" t="s">
        <v>2585</v>
      </c>
      <c r="F37" s="268" t="s">
        <v>7806</v>
      </c>
      <c r="G37" s="267"/>
      <c r="H37" s="641">
        <v>400</v>
      </c>
    </row>
    <row r="38" spans="1:8" s="760" customFormat="1" ht="13.5" customHeight="1" x14ac:dyDescent="0.25">
      <c r="A38" s="267">
        <v>441</v>
      </c>
      <c r="B38" s="268" t="s">
        <v>1145</v>
      </c>
      <c r="C38" s="267" t="s">
        <v>1144</v>
      </c>
      <c r="D38" s="267"/>
      <c r="E38" s="268" t="s">
        <v>2583</v>
      </c>
      <c r="F38" s="268" t="s">
        <v>2584</v>
      </c>
      <c r="G38" s="267"/>
      <c r="H38" s="641">
        <v>300</v>
      </c>
    </row>
    <row r="39" spans="1:8" s="760" customFormat="1" ht="13.5" customHeight="1" x14ac:dyDescent="0.25">
      <c r="A39" s="267">
        <v>441</v>
      </c>
      <c r="B39" s="268" t="s">
        <v>1145</v>
      </c>
      <c r="C39" s="267" t="s">
        <v>1144</v>
      </c>
      <c r="D39" s="267"/>
      <c r="E39" s="268" t="s">
        <v>1157</v>
      </c>
      <c r="F39" s="268" t="s">
        <v>1158</v>
      </c>
      <c r="G39" s="267"/>
      <c r="H39" s="641">
        <v>500</v>
      </c>
    </row>
    <row r="40" spans="1:8" s="760" customFormat="1" ht="13.5" customHeight="1" x14ac:dyDescent="0.25">
      <c r="A40" s="267">
        <v>441</v>
      </c>
      <c r="B40" s="268" t="s">
        <v>1145</v>
      </c>
      <c r="C40" s="267" t="s">
        <v>1144</v>
      </c>
      <c r="D40" s="267"/>
      <c r="E40" s="268" t="s">
        <v>10787</v>
      </c>
      <c r="F40" s="268" t="s">
        <v>10788</v>
      </c>
      <c r="G40" s="267"/>
      <c r="H40" s="641">
        <v>200</v>
      </c>
    </row>
    <row r="41" spans="1:8" s="760" customFormat="1" ht="13.5" customHeight="1" x14ac:dyDescent="0.25">
      <c r="A41" s="267">
        <v>441</v>
      </c>
      <c r="B41" s="268" t="s">
        <v>1145</v>
      </c>
      <c r="C41" s="267" t="s">
        <v>1144</v>
      </c>
      <c r="D41" s="267"/>
      <c r="E41" s="268" t="s">
        <v>10789</v>
      </c>
      <c r="F41" s="268" t="s">
        <v>7658</v>
      </c>
      <c r="G41" s="267"/>
      <c r="H41" s="641">
        <v>200</v>
      </c>
    </row>
    <row r="42" spans="1:8" s="760" customFormat="1" ht="13.5" customHeight="1" x14ac:dyDescent="0.25">
      <c r="A42" s="267">
        <v>441</v>
      </c>
      <c r="B42" s="268" t="s">
        <v>1145</v>
      </c>
      <c r="C42" s="267" t="s">
        <v>1144</v>
      </c>
      <c r="D42" s="267"/>
      <c r="E42" s="268" t="s">
        <v>7716</v>
      </c>
      <c r="F42" s="268" t="s">
        <v>1149</v>
      </c>
      <c r="G42" s="267"/>
      <c r="H42" s="641">
        <v>700</v>
      </c>
    </row>
    <row r="43" spans="1:8" s="760" customFormat="1" ht="13.5" customHeight="1" x14ac:dyDescent="0.25">
      <c r="A43" s="267">
        <v>441</v>
      </c>
      <c r="B43" s="268" t="s">
        <v>1145</v>
      </c>
      <c r="C43" s="267" t="s">
        <v>1144</v>
      </c>
      <c r="D43" s="267"/>
      <c r="E43" s="268" t="s">
        <v>7650</v>
      </c>
      <c r="F43" s="268" t="s">
        <v>2588</v>
      </c>
      <c r="G43" s="267"/>
      <c r="H43" s="641">
        <v>700</v>
      </c>
    </row>
    <row r="44" spans="1:8" s="760" customFormat="1" ht="13.5" customHeight="1" x14ac:dyDescent="0.25">
      <c r="A44" s="267">
        <v>441</v>
      </c>
      <c r="B44" s="268" t="s">
        <v>1145</v>
      </c>
      <c r="C44" s="267" t="s">
        <v>1144</v>
      </c>
      <c r="D44" s="267"/>
      <c r="E44" s="268" t="s">
        <v>1155</v>
      </c>
      <c r="F44" s="268" t="s">
        <v>7638</v>
      </c>
      <c r="G44" s="267"/>
      <c r="H44" s="641">
        <v>300</v>
      </c>
    </row>
    <row r="45" spans="1:8" s="760" customFormat="1" ht="13.5" customHeight="1" x14ac:dyDescent="0.25">
      <c r="A45" s="267">
        <v>441</v>
      </c>
      <c r="B45" s="268" t="s">
        <v>1145</v>
      </c>
      <c r="C45" s="267" t="s">
        <v>1144</v>
      </c>
      <c r="D45" s="267"/>
      <c r="E45" s="268" t="s">
        <v>7691</v>
      </c>
      <c r="F45" s="268"/>
      <c r="G45" s="267" t="s">
        <v>7692</v>
      </c>
      <c r="H45" s="641">
        <v>200</v>
      </c>
    </row>
    <row r="46" spans="1:8" s="760" customFormat="1" ht="13.5" customHeight="1" x14ac:dyDescent="0.25">
      <c r="A46" s="267">
        <v>441</v>
      </c>
      <c r="B46" s="268" t="s">
        <v>1145</v>
      </c>
      <c r="C46" s="267" t="s">
        <v>1144</v>
      </c>
      <c r="D46" s="267"/>
      <c r="E46" s="268" t="s">
        <v>2517</v>
      </c>
      <c r="F46" s="268" t="s">
        <v>1154</v>
      </c>
      <c r="G46" s="267"/>
      <c r="H46" s="641">
        <v>800</v>
      </c>
    </row>
    <row r="47" spans="1:8" s="760" customFormat="1" ht="13.5" customHeight="1" x14ac:dyDescent="0.25">
      <c r="A47" s="267">
        <v>441</v>
      </c>
      <c r="B47" s="268" t="s">
        <v>1145</v>
      </c>
      <c r="C47" s="267" t="s">
        <v>1144</v>
      </c>
      <c r="D47" s="267"/>
      <c r="E47" s="268" t="s">
        <v>2575</v>
      </c>
      <c r="F47" s="268" t="s">
        <v>2576</v>
      </c>
      <c r="G47" s="267"/>
      <c r="H47" s="641">
        <v>400</v>
      </c>
    </row>
    <row r="48" spans="1:8" s="760" customFormat="1" ht="13.5" customHeight="1" x14ac:dyDescent="0.25">
      <c r="A48" s="267">
        <v>441</v>
      </c>
      <c r="B48" s="268" t="s">
        <v>1145</v>
      </c>
      <c r="C48" s="267" t="s">
        <v>1144</v>
      </c>
      <c r="D48" s="267"/>
      <c r="E48" s="268" t="s">
        <v>2507</v>
      </c>
      <c r="F48" s="268"/>
      <c r="G48" s="267" t="s">
        <v>10790</v>
      </c>
      <c r="H48" s="641">
        <v>400</v>
      </c>
    </row>
    <row r="49" spans="1:8" s="760" customFormat="1" ht="13.5" customHeight="1" x14ac:dyDescent="0.25">
      <c r="A49" s="267">
        <v>441</v>
      </c>
      <c r="B49" s="268" t="s">
        <v>1145</v>
      </c>
      <c r="C49" s="267" t="s">
        <v>1144</v>
      </c>
      <c r="D49" s="267"/>
      <c r="E49" s="268" t="s">
        <v>2574</v>
      </c>
      <c r="F49" s="268" t="s">
        <v>2582</v>
      </c>
      <c r="G49" s="267"/>
      <c r="H49" s="641">
        <v>400</v>
      </c>
    </row>
    <row r="50" spans="1:8" s="760" customFormat="1" ht="13.5" customHeight="1" x14ac:dyDescent="0.25">
      <c r="A50" s="267">
        <v>441</v>
      </c>
      <c r="B50" s="268" t="s">
        <v>1145</v>
      </c>
      <c r="C50" s="267" t="s">
        <v>1144</v>
      </c>
      <c r="D50" s="267"/>
      <c r="E50" s="268" t="s">
        <v>7687</v>
      </c>
      <c r="F50" s="268" t="s">
        <v>7688</v>
      </c>
      <c r="G50" s="267"/>
      <c r="H50" s="641">
        <v>200</v>
      </c>
    </row>
    <row r="51" spans="1:8" s="760" customFormat="1" ht="13.5" customHeight="1" x14ac:dyDescent="0.25">
      <c r="A51" s="267">
        <v>441</v>
      </c>
      <c r="B51" s="268" t="s">
        <v>1145</v>
      </c>
      <c r="C51" s="267" t="s">
        <v>1144</v>
      </c>
      <c r="D51" s="267"/>
      <c r="E51" s="268" t="s">
        <v>10791</v>
      </c>
      <c r="F51" s="268" t="s">
        <v>2554</v>
      </c>
      <c r="G51" s="267"/>
      <c r="H51" s="641">
        <v>300</v>
      </c>
    </row>
    <row r="52" spans="1:8" s="760" customFormat="1" ht="13.5" customHeight="1" x14ac:dyDescent="0.25">
      <c r="A52" s="267">
        <v>441</v>
      </c>
      <c r="B52" s="268" t="s">
        <v>1145</v>
      </c>
      <c r="C52" s="267" t="s">
        <v>1144</v>
      </c>
      <c r="D52" s="267"/>
      <c r="E52" s="268" t="s">
        <v>7625</v>
      </c>
      <c r="F52" s="268" t="s">
        <v>7626</v>
      </c>
      <c r="G52" s="267"/>
      <c r="H52" s="641">
        <v>200</v>
      </c>
    </row>
    <row r="53" spans="1:8" s="760" customFormat="1" ht="13.5" customHeight="1" x14ac:dyDescent="0.25">
      <c r="A53" s="267">
        <v>441</v>
      </c>
      <c r="B53" s="268" t="s">
        <v>1145</v>
      </c>
      <c r="C53" s="267" t="s">
        <v>1144</v>
      </c>
      <c r="D53" s="267"/>
      <c r="E53" s="268" t="s">
        <v>10792</v>
      </c>
      <c r="F53" s="268" t="s">
        <v>2550</v>
      </c>
      <c r="G53" s="267"/>
      <c r="H53" s="641">
        <v>200</v>
      </c>
    </row>
    <row r="54" spans="1:8" s="760" customFormat="1" ht="13.5" customHeight="1" x14ac:dyDescent="0.25">
      <c r="A54" s="267">
        <v>441</v>
      </c>
      <c r="B54" s="268" t="s">
        <v>1145</v>
      </c>
      <c r="C54" s="267" t="s">
        <v>1144</v>
      </c>
      <c r="D54" s="267"/>
      <c r="E54" s="268" t="s">
        <v>2602</v>
      </c>
      <c r="F54" s="268" t="s">
        <v>1161</v>
      </c>
      <c r="G54" s="267"/>
      <c r="H54" s="641">
        <v>300</v>
      </c>
    </row>
    <row r="55" spans="1:8" s="760" customFormat="1" ht="13.5" customHeight="1" x14ac:dyDescent="0.25">
      <c r="A55" s="267">
        <v>441</v>
      </c>
      <c r="B55" s="268" t="s">
        <v>1145</v>
      </c>
      <c r="C55" s="267" t="s">
        <v>1144</v>
      </c>
      <c r="D55" s="267"/>
      <c r="E55" s="268" t="s">
        <v>7950</v>
      </c>
      <c r="F55" s="268" t="s">
        <v>7746</v>
      </c>
      <c r="G55" s="267"/>
      <c r="H55" s="641">
        <v>300</v>
      </c>
    </row>
    <row r="56" spans="1:8" s="760" customFormat="1" ht="13.5" customHeight="1" x14ac:dyDescent="0.25">
      <c r="A56" s="267">
        <v>441</v>
      </c>
      <c r="B56" s="268" t="s">
        <v>1145</v>
      </c>
      <c r="C56" s="267" t="s">
        <v>1144</v>
      </c>
      <c r="D56" s="267"/>
      <c r="E56" s="268" t="s">
        <v>10793</v>
      </c>
      <c r="F56" s="268"/>
      <c r="G56" s="267" t="s">
        <v>10794</v>
      </c>
      <c r="H56" s="641">
        <v>300</v>
      </c>
    </row>
    <row r="57" spans="1:8" s="760" customFormat="1" ht="13.5" customHeight="1" x14ac:dyDescent="0.25">
      <c r="A57" s="267">
        <v>441</v>
      </c>
      <c r="B57" s="268" t="s">
        <v>1145</v>
      </c>
      <c r="C57" s="267" t="s">
        <v>1144</v>
      </c>
      <c r="D57" s="267"/>
      <c r="E57" s="268" t="s">
        <v>10795</v>
      </c>
      <c r="F57" s="268"/>
      <c r="G57" s="267" t="s">
        <v>10796</v>
      </c>
      <c r="H57" s="641">
        <v>400</v>
      </c>
    </row>
    <row r="58" spans="1:8" s="760" customFormat="1" ht="13.5" customHeight="1" x14ac:dyDescent="0.25">
      <c r="A58" s="267">
        <v>441</v>
      </c>
      <c r="B58" s="268" t="s">
        <v>1145</v>
      </c>
      <c r="C58" s="267" t="s">
        <v>1144</v>
      </c>
      <c r="D58" s="267"/>
      <c r="E58" s="268" t="s">
        <v>10797</v>
      </c>
      <c r="F58" s="268"/>
      <c r="G58" s="267" t="s">
        <v>10798</v>
      </c>
      <c r="H58" s="641">
        <v>400</v>
      </c>
    </row>
    <row r="59" spans="1:8" s="760" customFormat="1" ht="13.5" customHeight="1" x14ac:dyDescent="0.25">
      <c r="A59" s="267">
        <v>441</v>
      </c>
      <c r="B59" s="268" t="s">
        <v>1145</v>
      </c>
      <c r="C59" s="267" t="s">
        <v>1144</v>
      </c>
      <c r="D59" s="267"/>
      <c r="E59" s="268" t="s">
        <v>2522</v>
      </c>
      <c r="F59" s="268" t="s">
        <v>2523</v>
      </c>
      <c r="G59" s="267"/>
      <c r="H59" s="641">
        <v>200</v>
      </c>
    </row>
    <row r="60" spans="1:8" s="760" customFormat="1" ht="13.5" customHeight="1" x14ac:dyDescent="0.25">
      <c r="A60" s="267">
        <v>441</v>
      </c>
      <c r="B60" s="268" t="s">
        <v>1145</v>
      </c>
      <c r="C60" s="267" t="s">
        <v>1144</v>
      </c>
      <c r="D60" s="267"/>
      <c r="E60" s="268" t="s">
        <v>2607</v>
      </c>
      <c r="F60" s="268" t="s">
        <v>2608</v>
      </c>
      <c r="G60" s="267"/>
      <c r="H60" s="641">
        <v>300</v>
      </c>
    </row>
    <row r="61" spans="1:8" s="760" customFormat="1" ht="13.5" customHeight="1" x14ac:dyDescent="0.25">
      <c r="A61" s="267">
        <v>441</v>
      </c>
      <c r="B61" s="268" t="s">
        <v>1145</v>
      </c>
      <c r="C61" s="267" t="s">
        <v>1144</v>
      </c>
      <c r="D61" s="267"/>
      <c r="E61" s="268" t="s">
        <v>7639</v>
      </c>
      <c r="F61" s="268" t="s">
        <v>7640</v>
      </c>
      <c r="G61" s="267"/>
      <c r="H61" s="641">
        <v>400</v>
      </c>
    </row>
    <row r="62" spans="1:8" s="760" customFormat="1" ht="13.5" customHeight="1" x14ac:dyDescent="0.25">
      <c r="A62" s="267">
        <v>441</v>
      </c>
      <c r="B62" s="268" t="s">
        <v>1145</v>
      </c>
      <c r="C62" s="267" t="s">
        <v>1144</v>
      </c>
      <c r="D62" s="267"/>
      <c r="E62" s="268" t="s">
        <v>2072</v>
      </c>
      <c r="F62" s="268" t="s">
        <v>2073</v>
      </c>
      <c r="G62" s="267"/>
      <c r="H62" s="641">
        <v>200</v>
      </c>
    </row>
    <row r="63" spans="1:8" s="760" customFormat="1" ht="13.5" customHeight="1" x14ac:dyDescent="0.25">
      <c r="A63" s="267">
        <v>441</v>
      </c>
      <c r="B63" s="268" t="s">
        <v>1145</v>
      </c>
      <c r="C63" s="267" t="s">
        <v>1144</v>
      </c>
      <c r="D63" s="267"/>
      <c r="E63" s="268" t="s">
        <v>10799</v>
      </c>
      <c r="F63" s="268" t="s">
        <v>7949</v>
      </c>
      <c r="G63" s="267"/>
      <c r="H63" s="641">
        <v>300</v>
      </c>
    </row>
    <row r="64" spans="1:8" s="760" customFormat="1" ht="13.5" customHeight="1" x14ac:dyDescent="0.25">
      <c r="A64" s="267">
        <v>441</v>
      </c>
      <c r="B64" s="268" t="s">
        <v>1145</v>
      </c>
      <c r="C64" s="267" t="s">
        <v>1144</v>
      </c>
      <c r="D64" s="267"/>
      <c r="E64" s="268" t="s">
        <v>7864</v>
      </c>
      <c r="F64" s="268" t="s">
        <v>2606</v>
      </c>
      <c r="G64" s="267"/>
      <c r="H64" s="641">
        <v>100</v>
      </c>
    </row>
    <row r="65" spans="1:8" s="760" customFormat="1" ht="13.5" customHeight="1" x14ac:dyDescent="0.25">
      <c r="A65" s="267">
        <v>441</v>
      </c>
      <c r="B65" s="268" t="s">
        <v>1145</v>
      </c>
      <c r="C65" s="267" t="s">
        <v>1144</v>
      </c>
      <c r="D65" s="267"/>
      <c r="E65" s="268" t="s">
        <v>2551</v>
      </c>
      <c r="F65" s="268" t="s">
        <v>2518</v>
      </c>
      <c r="G65" s="267"/>
      <c r="H65" s="641">
        <v>300</v>
      </c>
    </row>
    <row r="66" spans="1:8" s="760" customFormat="1" ht="13.5" customHeight="1" x14ac:dyDescent="0.25">
      <c r="A66" s="267">
        <v>441</v>
      </c>
      <c r="B66" s="268" t="s">
        <v>1145</v>
      </c>
      <c r="C66" s="267" t="s">
        <v>1144</v>
      </c>
      <c r="D66" s="267"/>
      <c r="E66" s="268" t="s">
        <v>2591</v>
      </c>
      <c r="F66" s="268"/>
      <c r="G66" s="267" t="s">
        <v>2604</v>
      </c>
      <c r="H66" s="641">
        <v>200</v>
      </c>
    </row>
    <row r="67" spans="1:8" s="760" customFormat="1" ht="13.5" customHeight="1" x14ac:dyDescent="0.25">
      <c r="A67" s="267">
        <v>441</v>
      </c>
      <c r="B67" s="268" t="s">
        <v>1145</v>
      </c>
      <c r="C67" s="267" t="s">
        <v>1144</v>
      </c>
      <c r="D67" s="267"/>
      <c r="E67" s="268" t="s">
        <v>7657</v>
      </c>
      <c r="F67" s="268" t="s">
        <v>7658</v>
      </c>
      <c r="G67" s="267"/>
      <c r="H67" s="641">
        <v>400</v>
      </c>
    </row>
    <row r="68" spans="1:8" s="760" customFormat="1" ht="13.5" customHeight="1" x14ac:dyDescent="0.25">
      <c r="A68" s="267">
        <v>441</v>
      </c>
      <c r="B68" s="268" t="s">
        <v>1145</v>
      </c>
      <c r="C68" s="267" t="s">
        <v>1144</v>
      </c>
      <c r="D68" s="267"/>
      <c r="E68" s="268" t="s">
        <v>7649</v>
      </c>
      <c r="F68" s="268" t="s">
        <v>2529</v>
      </c>
      <c r="G68" s="267"/>
      <c r="H68" s="641">
        <v>300</v>
      </c>
    </row>
    <row r="69" spans="1:8" s="760" customFormat="1" ht="13.5" customHeight="1" x14ac:dyDescent="0.25">
      <c r="A69" s="267">
        <v>441</v>
      </c>
      <c r="B69" s="268" t="s">
        <v>1145</v>
      </c>
      <c r="C69" s="267" t="s">
        <v>1144</v>
      </c>
      <c r="D69" s="267"/>
      <c r="E69" s="268" t="s">
        <v>7864</v>
      </c>
      <c r="F69" s="268" t="s">
        <v>2606</v>
      </c>
      <c r="G69" s="267"/>
      <c r="H69" s="641">
        <v>300</v>
      </c>
    </row>
    <row r="70" spans="1:8" s="760" customFormat="1" ht="13.5" customHeight="1" x14ac:dyDescent="0.25">
      <c r="A70" s="267">
        <v>441</v>
      </c>
      <c r="B70" s="268" t="s">
        <v>1145</v>
      </c>
      <c r="C70" s="267" t="s">
        <v>1144</v>
      </c>
      <c r="D70" s="267"/>
      <c r="E70" s="268" t="s">
        <v>10800</v>
      </c>
      <c r="F70" s="268" t="s">
        <v>10801</v>
      </c>
      <c r="G70" s="267"/>
      <c r="H70" s="641">
        <v>1600</v>
      </c>
    </row>
    <row r="71" spans="1:8" s="760" customFormat="1" ht="13.5" customHeight="1" x14ac:dyDescent="0.25">
      <c r="A71" s="267">
        <v>441</v>
      </c>
      <c r="B71" s="268" t="s">
        <v>1145</v>
      </c>
      <c r="C71" s="267" t="s">
        <v>1144</v>
      </c>
      <c r="D71" s="267"/>
      <c r="E71" s="268" t="s">
        <v>10802</v>
      </c>
      <c r="F71" s="268" t="s">
        <v>10803</v>
      </c>
      <c r="G71" s="267"/>
      <c r="H71" s="641">
        <v>1600</v>
      </c>
    </row>
    <row r="72" spans="1:8" s="760" customFormat="1" ht="13.5" customHeight="1" x14ac:dyDescent="0.25">
      <c r="A72" s="267">
        <v>441</v>
      </c>
      <c r="B72" s="268" t="s">
        <v>1145</v>
      </c>
      <c r="C72" s="267" t="s">
        <v>1144</v>
      </c>
      <c r="D72" s="267"/>
      <c r="E72" s="268" t="s">
        <v>10804</v>
      </c>
      <c r="F72" s="268" t="s">
        <v>10805</v>
      </c>
      <c r="G72" s="267"/>
      <c r="H72" s="641">
        <v>1000</v>
      </c>
    </row>
    <row r="73" spans="1:8" s="760" customFormat="1" ht="13.5" customHeight="1" x14ac:dyDescent="0.25">
      <c r="A73" s="267">
        <v>441</v>
      </c>
      <c r="B73" s="268" t="s">
        <v>1145</v>
      </c>
      <c r="C73" s="267" t="s">
        <v>1144</v>
      </c>
      <c r="D73" s="267"/>
      <c r="E73" s="268" t="s">
        <v>10806</v>
      </c>
      <c r="F73" s="268" t="s">
        <v>10807</v>
      </c>
      <c r="G73" s="267"/>
      <c r="H73" s="641">
        <v>1200</v>
      </c>
    </row>
    <row r="74" spans="1:8" s="760" customFormat="1" ht="13.5" customHeight="1" x14ac:dyDescent="0.25">
      <c r="A74" s="267">
        <v>441</v>
      </c>
      <c r="B74" s="268" t="s">
        <v>1145</v>
      </c>
      <c r="C74" s="267" t="s">
        <v>1144</v>
      </c>
      <c r="D74" s="267"/>
      <c r="E74" s="268" t="s">
        <v>10808</v>
      </c>
      <c r="F74" s="268" t="s">
        <v>10809</v>
      </c>
      <c r="G74" s="267"/>
      <c r="H74" s="641">
        <v>1000</v>
      </c>
    </row>
    <row r="75" spans="1:8" s="760" customFormat="1" ht="13.5" customHeight="1" x14ac:dyDescent="0.25">
      <c r="A75" s="267">
        <v>441</v>
      </c>
      <c r="B75" s="268" t="s">
        <v>1148</v>
      </c>
      <c r="C75" s="267" t="s">
        <v>1144</v>
      </c>
      <c r="D75" s="267"/>
      <c r="E75" s="268" t="s">
        <v>10810</v>
      </c>
      <c r="F75" s="268" t="s">
        <v>10811</v>
      </c>
      <c r="G75" s="267"/>
      <c r="H75" s="641">
        <v>1989</v>
      </c>
    </row>
    <row r="76" spans="1:8" s="760" customFormat="1" ht="13.5" customHeight="1" x14ac:dyDescent="0.25">
      <c r="A76" s="267">
        <v>441</v>
      </c>
      <c r="B76" s="268" t="s">
        <v>1145</v>
      </c>
      <c r="C76" s="267" t="s">
        <v>1144</v>
      </c>
      <c r="D76" s="267"/>
      <c r="E76" s="268" t="s">
        <v>10812</v>
      </c>
      <c r="F76" s="268" t="s">
        <v>10813</v>
      </c>
      <c r="G76" s="267"/>
      <c r="H76" s="641">
        <v>250</v>
      </c>
    </row>
    <row r="77" spans="1:8" s="760" customFormat="1" ht="13.5" customHeight="1" x14ac:dyDescent="0.25">
      <c r="A77" s="267">
        <v>441</v>
      </c>
      <c r="B77" s="268" t="s">
        <v>1145</v>
      </c>
      <c r="C77" s="267" t="s">
        <v>1144</v>
      </c>
      <c r="D77" s="267"/>
      <c r="E77" s="268" t="s">
        <v>7839</v>
      </c>
      <c r="F77" s="268" t="s">
        <v>7840</v>
      </c>
      <c r="G77" s="267"/>
      <c r="H77" s="641">
        <v>200</v>
      </c>
    </row>
    <row r="78" spans="1:8" s="760" customFormat="1" ht="13.5" customHeight="1" x14ac:dyDescent="0.25">
      <c r="A78" s="267">
        <v>441</v>
      </c>
      <c r="B78" s="268" t="s">
        <v>1145</v>
      </c>
      <c r="C78" s="267" t="s">
        <v>1144</v>
      </c>
      <c r="D78" s="267"/>
      <c r="E78" s="268" t="s">
        <v>10814</v>
      </c>
      <c r="F78" s="268" t="s">
        <v>10815</v>
      </c>
      <c r="G78" s="267"/>
      <c r="H78" s="641">
        <v>200</v>
      </c>
    </row>
    <row r="79" spans="1:8" s="760" customFormat="1" ht="13.5" customHeight="1" x14ac:dyDescent="0.25">
      <c r="A79" s="267">
        <v>441</v>
      </c>
      <c r="B79" s="268" t="s">
        <v>1145</v>
      </c>
      <c r="C79" s="267" t="s">
        <v>1144</v>
      </c>
      <c r="D79" s="267"/>
      <c r="E79" s="268" t="s">
        <v>10816</v>
      </c>
      <c r="F79" s="268" t="s">
        <v>10817</v>
      </c>
      <c r="G79" s="267"/>
      <c r="H79" s="641">
        <v>300</v>
      </c>
    </row>
    <row r="80" spans="1:8" s="760" customFormat="1" ht="13.5" customHeight="1" x14ac:dyDescent="0.25">
      <c r="A80" s="267">
        <v>441</v>
      </c>
      <c r="B80" s="268" t="s">
        <v>1145</v>
      </c>
      <c r="C80" s="267" t="s">
        <v>1144</v>
      </c>
      <c r="D80" s="267"/>
      <c r="E80" s="268" t="s">
        <v>7710</v>
      </c>
      <c r="F80" s="268" t="s">
        <v>1161</v>
      </c>
      <c r="G80" s="267"/>
      <c r="H80" s="641">
        <v>300</v>
      </c>
    </row>
    <row r="81" spans="1:8" s="760" customFormat="1" ht="13.5" customHeight="1" x14ac:dyDescent="0.25">
      <c r="A81" s="267">
        <v>441</v>
      </c>
      <c r="B81" s="268" t="s">
        <v>1145</v>
      </c>
      <c r="C81" s="267" t="s">
        <v>1144</v>
      </c>
      <c r="D81" s="267"/>
      <c r="E81" s="268" t="s">
        <v>10818</v>
      </c>
      <c r="F81" s="268" t="s">
        <v>7881</v>
      </c>
      <c r="G81" s="267"/>
      <c r="H81" s="641">
        <v>200</v>
      </c>
    </row>
    <row r="82" spans="1:8" s="760" customFormat="1" ht="13.5" customHeight="1" x14ac:dyDescent="0.25">
      <c r="A82" s="267">
        <v>441</v>
      </c>
      <c r="B82" s="268" t="s">
        <v>1145</v>
      </c>
      <c r="C82" s="267" t="s">
        <v>1144</v>
      </c>
      <c r="D82" s="267"/>
      <c r="E82" s="268" t="s">
        <v>2542</v>
      </c>
      <c r="F82" s="268" t="s">
        <v>7857</v>
      </c>
      <c r="G82" s="267"/>
      <c r="H82" s="641">
        <v>150</v>
      </c>
    </row>
    <row r="83" spans="1:8" s="760" customFormat="1" ht="13.5" customHeight="1" x14ac:dyDescent="0.25">
      <c r="A83" s="267">
        <v>441</v>
      </c>
      <c r="B83" s="268" t="s">
        <v>1145</v>
      </c>
      <c r="C83" s="267" t="s">
        <v>1144</v>
      </c>
      <c r="D83" s="267"/>
      <c r="E83" s="268" t="s">
        <v>2609</v>
      </c>
      <c r="F83" s="268" t="s">
        <v>10819</v>
      </c>
      <c r="G83" s="267"/>
      <c r="H83" s="641">
        <v>200</v>
      </c>
    </row>
    <row r="84" spans="1:8" s="760" customFormat="1" ht="13.5" customHeight="1" x14ac:dyDescent="0.25">
      <c r="A84" s="267">
        <v>441</v>
      </c>
      <c r="B84" s="268" t="s">
        <v>1145</v>
      </c>
      <c r="C84" s="267" t="s">
        <v>1144</v>
      </c>
      <c r="D84" s="267"/>
      <c r="E84" s="268" t="s">
        <v>10820</v>
      </c>
      <c r="F84" s="268" t="s">
        <v>10821</v>
      </c>
      <c r="G84" s="267"/>
      <c r="H84" s="641">
        <v>300</v>
      </c>
    </row>
    <row r="85" spans="1:8" s="760" customFormat="1" ht="13.5" customHeight="1" x14ac:dyDescent="0.25">
      <c r="A85" s="267">
        <v>441</v>
      </c>
      <c r="B85" s="268" t="s">
        <v>1145</v>
      </c>
      <c r="C85" s="267" t="s">
        <v>1144</v>
      </c>
      <c r="D85" s="267"/>
      <c r="E85" s="268" t="s">
        <v>10822</v>
      </c>
      <c r="F85" s="268" t="s">
        <v>7727</v>
      </c>
      <c r="G85" s="267"/>
      <c r="H85" s="641">
        <v>100</v>
      </c>
    </row>
    <row r="86" spans="1:8" s="760" customFormat="1" ht="13.5" customHeight="1" x14ac:dyDescent="0.25">
      <c r="A86" s="267">
        <v>441</v>
      </c>
      <c r="B86" s="268" t="s">
        <v>1145</v>
      </c>
      <c r="C86" s="267" t="s">
        <v>1144</v>
      </c>
      <c r="D86" s="267"/>
      <c r="E86" s="268" t="s">
        <v>10823</v>
      </c>
      <c r="F86" s="268" t="s">
        <v>10824</v>
      </c>
      <c r="G86" s="267"/>
      <c r="H86" s="641">
        <v>100</v>
      </c>
    </row>
    <row r="87" spans="1:8" s="760" customFormat="1" ht="13.5" customHeight="1" x14ac:dyDescent="0.25">
      <c r="A87" s="267">
        <v>441</v>
      </c>
      <c r="B87" s="268" t="s">
        <v>1145</v>
      </c>
      <c r="C87" s="267" t="s">
        <v>1144</v>
      </c>
      <c r="D87" s="267"/>
      <c r="E87" s="268" t="s">
        <v>7653</v>
      </c>
      <c r="F87" s="268" t="s">
        <v>2069</v>
      </c>
      <c r="G87" s="267"/>
      <c r="H87" s="641">
        <v>200</v>
      </c>
    </row>
    <row r="88" spans="1:8" s="760" customFormat="1" ht="13.5" customHeight="1" x14ac:dyDescent="0.25">
      <c r="A88" s="267">
        <v>441</v>
      </c>
      <c r="B88" s="268" t="s">
        <v>1145</v>
      </c>
      <c r="C88" s="267" t="s">
        <v>1144</v>
      </c>
      <c r="D88" s="267"/>
      <c r="E88" s="268" t="s">
        <v>10825</v>
      </c>
      <c r="F88" s="268" t="s">
        <v>7726</v>
      </c>
      <c r="G88" s="267"/>
      <c r="H88" s="641">
        <v>150</v>
      </c>
    </row>
    <row r="89" spans="1:8" s="760" customFormat="1" ht="13.5" customHeight="1" x14ac:dyDescent="0.25">
      <c r="A89" s="267">
        <v>441</v>
      </c>
      <c r="B89" s="268" t="s">
        <v>1145</v>
      </c>
      <c r="C89" s="267" t="s">
        <v>1144</v>
      </c>
      <c r="D89" s="267"/>
      <c r="E89" s="268" t="s">
        <v>7828</v>
      </c>
      <c r="F89" s="268" t="s">
        <v>7829</v>
      </c>
      <c r="G89" s="267"/>
      <c r="H89" s="641">
        <v>200</v>
      </c>
    </row>
    <row r="90" spans="1:8" s="760" customFormat="1" ht="13.5" customHeight="1" x14ac:dyDescent="0.25">
      <c r="A90" s="267">
        <v>441</v>
      </c>
      <c r="B90" s="268" t="s">
        <v>1145</v>
      </c>
      <c r="C90" s="267" t="s">
        <v>1144</v>
      </c>
      <c r="D90" s="267"/>
      <c r="E90" s="268" t="s">
        <v>10826</v>
      </c>
      <c r="F90" s="268" t="s">
        <v>10827</v>
      </c>
      <c r="G90" s="267"/>
      <c r="H90" s="641">
        <v>300</v>
      </c>
    </row>
    <row r="91" spans="1:8" s="760" customFormat="1" ht="13.5" customHeight="1" x14ac:dyDescent="0.25">
      <c r="A91" s="267">
        <v>441</v>
      </c>
      <c r="B91" s="268" t="s">
        <v>1145</v>
      </c>
      <c r="C91" s="267" t="s">
        <v>1144</v>
      </c>
      <c r="D91" s="267"/>
      <c r="E91" s="268" t="s">
        <v>10828</v>
      </c>
      <c r="F91" s="268" t="s">
        <v>10829</v>
      </c>
      <c r="G91" s="267"/>
      <c r="H91" s="641">
        <v>200</v>
      </c>
    </row>
    <row r="92" spans="1:8" s="760" customFormat="1" ht="13.5" customHeight="1" x14ac:dyDescent="0.25">
      <c r="A92" s="267">
        <v>441</v>
      </c>
      <c r="B92" s="268" t="s">
        <v>1145</v>
      </c>
      <c r="C92" s="267" t="s">
        <v>1144</v>
      </c>
      <c r="D92" s="267"/>
      <c r="E92" s="268" t="s">
        <v>10830</v>
      </c>
      <c r="F92" s="268" t="s">
        <v>10831</v>
      </c>
      <c r="G92" s="267"/>
      <c r="H92" s="641">
        <v>200</v>
      </c>
    </row>
    <row r="93" spans="1:8" s="760" customFormat="1" ht="13.5" customHeight="1" x14ac:dyDescent="0.25">
      <c r="A93" s="267">
        <v>441</v>
      </c>
      <c r="B93" s="268" t="s">
        <v>1145</v>
      </c>
      <c r="C93" s="267" t="s">
        <v>1144</v>
      </c>
      <c r="D93" s="267"/>
      <c r="E93" s="268" t="s">
        <v>2599</v>
      </c>
      <c r="F93" s="268" t="s">
        <v>7742</v>
      </c>
      <c r="G93" s="267"/>
      <c r="H93" s="641">
        <v>200</v>
      </c>
    </row>
    <row r="94" spans="1:8" s="760" customFormat="1" ht="13.5" customHeight="1" x14ac:dyDescent="0.25">
      <c r="A94" s="267">
        <v>441</v>
      </c>
      <c r="B94" s="268" t="s">
        <v>1145</v>
      </c>
      <c r="C94" s="267" t="s">
        <v>1144</v>
      </c>
      <c r="D94" s="267"/>
      <c r="E94" s="268" t="s">
        <v>10832</v>
      </c>
      <c r="F94" s="268" t="s">
        <v>10833</v>
      </c>
      <c r="G94" s="267"/>
      <c r="H94" s="641">
        <v>350</v>
      </c>
    </row>
    <row r="95" spans="1:8" s="760" customFormat="1" ht="13.5" customHeight="1" x14ac:dyDescent="0.25">
      <c r="A95" s="267">
        <v>441</v>
      </c>
      <c r="B95" s="268" t="s">
        <v>1145</v>
      </c>
      <c r="C95" s="267" t="s">
        <v>1144</v>
      </c>
      <c r="D95" s="267"/>
      <c r="E95" s="268" t="s">
        <v>7745</v>
      </c>
      <c r="F95" s="268" t="s">
        <v>10834</v>
      </c>
      <c r="G95" s="267"/>
      <c r="H95" s="641">
        <v>1300</v>
      </c>
    </row>
    <row r="96" spans="1:8" s="760" customFormat="1" ht="13.5" customHeight="1" x14ac:dyDescent="0.25">
      <c r="A96" s="267">
        <v>441</v>
      </c>
      <c r="B96" s="268" t="s">
        <v>1145</v>
      </c>
      <c r="C96" s="267" t="s">
        <v>1144</v>
      </c>
      <c r="D96" s="267"/>
      <c r="E96" s="268" t="s">
        <v>7666</v>
      </c>
      <c r="F96" s="268"/>
      <c r="G96" s="267" t="s">
        <v>10835</v>
      </c>
      <c r="H96" s="641">
        <v>200</v>
      </c>
    </row>
    <row r="97" spans="1:8" s="760" customFormat="1" ht="13.5" customHeight="1" x14ac:dyDescent="0.25">
      <c r="A97" s="267">
        <v>441</v>
      </c>
      <c r="B97" s="268" t="s">
        <v>1145</v>
      </c>
      <c r="C97" s="267" t="s">
        <v>1144</v>
      </c>
      <c r="D97" s="267"/>
      <c r="E97" s="268" t="s">
        <v>7814</v>
      </c>
      <c r="F97" s="268" t="s">
        <v>7845</v>
      </c>
      <c r="G97" s="267"/>
      <c r="H97" s="641">
        <v>200</v>
      </c>
    </row>
    <row r="98" spans="1:8" s="760" customFormat="1" ht="13.5" customHeight="1" x14ac:dyDescent="0.25">
      <c r="A98" s="267">
        <v>441</v>
      </c>
      <c r="B98" s="268" t="s">
        <v>1148</v>
      </c>
      <c r="C98" s="267" t="s">
        <v>1144</v>
      </c>
      <c r="D98" s="267"/>
      <c r="E98" s="268" t="s">
        <v>7766</v>
      </c>
      <c r="F98" s="268" t="s">
        <v>7767</v>
      </c>
      <c r="G98" s="267"/>
      <c r="H98" s="641">
        <v>10846</v>
      </c>
    </row>
    <row r="99" spans="1:8" s="760" customFormat="1" ht="13.5" customHeight="1" x14ac:dyDescent="0.25">
      <c r="A99" s="267">
        <v>442</v>
      </c>
      <c r="B99" s="268" t="s">
        <v>1145</v>
      </c>
      <c r="C99" s="267" t="s">
        <v>1144</v>
      </c>
      <c r="D99" s="267"/>
      <c r="E99" s="268" t="s">
        <v>2068</v>
      </c>
      <c r="F99" s="268"/>
      <c r="G99" s="267"/>
      <c r="H99" s="641">
        <v>20000</v>
      </c>
    </row>
    <row r="100" spans="1:8" s="760" customFormat="1" ht="13.5" customHeight="1" x14ac:dyDescent="0.25">
      <c r="A100" s="267">
        <v>442</v>
      </c>
      <c r="B100" s="268" t="s">
        <v>1145</v>
      </c>
      <c r="C100" s="267" t="s">
        <v>1144</v>
      </c>
      <c r="D100" s="267"/>
      <c r="E100" s="268" t="s">
        <v>1152</v>
      </c>
      <c r="F100" s="268"/>
      <c r="G100" s="267"/>
      <c r="H100" s="641">
        <f>270000-13200</f>
        <v>256800</v>
      </c>
    </row>
    <row r="101" spans="1:8" s="760" customFormat="1" ht="13.5" customHeight="1" x14ac:dyDescent="0.25">
      <c r="A101" s="267">
        <v>442</v>
      </c>
      <c r="B101" s="268" t="s">
        <v>1145</v>
      </c>
      <c r="C101" s="267" t="s">
        <v>1144</v>
      </c>
      <c r="D101" s="267"/>
      <c r="E101" s="268" t="s">
        <v>1152</v>
      </c>
      <c r="F101" s="268"/>
      <c r="G101" s="267"/>
      <c r="H101" s="641">
        <v>12800</v>
      </c>
    </row>
    <row r="102" spans="1:8" s="760" customFormat="1" ht="13.5" customHeight="1" x14ac:dyDescent="0.25">
      <c r="A102" s="267">
        <v>445</v>
      </c>
      <c r="B102" s="268" t="s">
        <v>1145</v>
      </c>
      <c r="C102" s="267" t="s">
        <v>1144</v>
      </c>
      <c r="D102" s="267"/>
      <c r="E102" s="268" t="s">
        <v>1209</v>
      </c>
      <c r="F102" s="268"/>
      <c r="G102" s="267" t="s">
        <v>1151</v>
      </c>
      <c r="H102" s="641">
        <v>5000</v>
      </c>
    </row>
    <row r="103" spans="1:8" s="760" customFormat="1" ht="13.5" customHeight="1" x14ac:dyDescent="0.25">
      <c r="A103" s="267">
        <v>445</v>
      </c>
      <c r="B103" s="268" t="s">
        <v>1145</v>
      </c>
      <c r="C103" s="267" t="s">
        <v>1144</v>
      </c>
      <c r="D103" s="267"/>
      <c r="E103" s="268" t="s">
        <v>2552</v>
      </c>
      <c r="F103" s="268"/>
      <c r="G103" s="267" t="s">
        <v>2553</v>
      </c>
      <c r="H103" s="641">
        <v>28000</v>
      </c>
    </row>
    <row r="104" spans="1:8" s="760" customFormat="1" ht="13.5" customHeight="1" x14ac:dyDescent="0.25">
      <c r="A104" s="267">
        <v>445</v>
      </c>
      <c r="B104" s="268" t="s">
        <v>1148</v>
      </c>
      <c r="C104" s="267" t="s">
        <v>1144</v>
      </c>
      <c r="D104" s="267"/>
      <c r="E104" s="268" t="s">
        <v>1152</v>
      </c>
      <c r="F104" s="268"/>
      <c r="G104" s="267"/>
      <c r="H104" s="641">
        <v>66120</v>
      </c>
    </row>
    <row r="105" spans="1:8" s="760" customFormat="1" ht="13.5" customHeight="1" x14ac:dyDescent="0.25">
      <c r="A105" s="267">
        <v>445</v>
      </c>
      <c r="B105" s="268" t="s">
        <v>1145</v>
      </c>
      <c r="C105" s="267" t="s">
        <v>1144</v>
      </c>
      <c r="D105" s="267"/>
      <c r="E105" s="268" t="s">
        <v>7734</v>
      </c>
      <c r="F105" s="268"/>
      <c r="G105" s="267"/>
      <c r="H105" s="641">
        <v>48000</v>
      </c>
    </row>
    <row r="106" spans="1:8" s="760" customFormat="1" ht="13.5" customHeight="1" x14ac:dyDescent="0.25">
      <c r="A106" s="267">
        <v>445</v>
      </c>
      <c r="B106" s="268" t="s">
        <v>1145</v>
      </c>
      <c r="C106" s="267" t="s">
        <v>1144</v>
      </c>
      <c r="D106" s="267"/>
      <c r="E106" s="268" t="s">
        <v>2552</v>
      </c>
      <c r="F106" s="268"/>
      <c r="G106" s="267" t="s">
        <v>2553</v>
      </c>
      <c r="H106" s="641">
        <v>28000</v>
      </c>
    </row>
    <row r="107" spans="1:8" s="760" customFormat="1" ht="13.5" customHeight="1" x14ac:dyDescent="0.25">
      <c r="A107" s="267">
        <v>441</v>
      </c>
      <c r="B107" s="268" t="s">
        <v>1145</v>
      </c>
      <c r="C107" s="267" t="s">
        <v>1144</v>
      </c>
      <c r="D107" s="267"/>
      <c r="E107" s="268" t="s">
        <v>2564</v>
      </c>
      <c r="F107" s="268" t="s">
        <v>7614</v>
      </c>
      <c r="G107" s="267"/>
      <c r="H107" s="641">
        <v>200</v>
      </c>
    </row>
    <row r="108" spans="1:8" s="760" customFormat="1" ht="13.5" customHeight="1" x14ac:dyDescent="0.25">
      <c r="A108" s="267">
        <v>441</v>
      </c>
      <c r="B108" s="268" t="s">
        <v>1145</v>
      </c>
      <c r="C108" s="267" t="s">
        <v>1144</v>
      </c>
      <c r="D108" s="267"/>
      <c r="E108" s="268" t="s">
        <v>2072</v>
      </c>
      <c r="F108" s="268" t="s">
        <v>2073</v>
      </c>
      <c r="G108" s="267"/>
      <c r="H108" s="641">
        <v>100</v>
      </c>
    </row>
    <row r="109" spans="1:8" s="760" customFormat="1" ht="13.5" customHeight="1" x14ac:dyDescent="0.25">
      <c r="A109" s="267">
        <v>441</v>
      </c>
      <c r="B109" s="268" t="s">
        <v>1145</v>
      </c>
      <c r="C109" s="267" t="s">
        <v>1144</v>
      </c>
      <c r="D109" s="267"/>
      <c r="E109" s="268" t="s">
        <v>7675</v>
      </c>
      <c r="F109" s="268" t="s">
        <v>2539</v>
      </c>
      <c r="G109" s="267"/>
      <c r="H109" s="641">
        <v>300</v>
      </c>
    </row>
    <row r="110" spans="1:8" s="760" customFormat="1" ht="13.5" customHeight="1" x14ac:dyDescent="0.25">
      <c r="A110" s="267">
        <v>441</v>
      </c>
      <c r="B110" s="268" t="s">
        <v>1145</v>
      </c>
      <c r="C110" s="267" t="s">
        <v>1144</v>
      </c>
      <c r="D110" s="267"/>
      <c r="E110" s="268" t="s">
        <v>2543</v>
      </c>
      <c r="F110" s="268" t="s">
        <v>7841</v>
      </c>
      <c r="G110" s="267"/>
      <c r="H110" s="641">
        <v>150</v>
      </c>
    </row>
    <row r="111" spans="1:8" s="760" customFormat="1" ht="13.5" customHeight="1" x14ac:dyDescent="0.25">
      <c r="A111" s="267">
        <v>441</v>
      </c>
      <c r="B111" s="268" t="s">
        <v>1145</v>
      </c>
      <c r="C111" s="267" t="s">
        <v>1144</v>
      </c>
      <c r="D111" s="267"/>
      <c r="E111" s="268" t="s">
        <v>10836</v>
      </c>
      <c r="F111" s="268" t="s">
        <v>10837</v>
      </c>
      <c r="G111" s="267"/>
      <c r="H111" s="641">
        <v>300</v>
      </c>
    </row>
    <row r="112" spans="1:8" s="760" customFormat="1" ht="13.5" customHeight="1" x14ac:dyDescent="0.25">
      <c r="A112" s="267">
        <v>441</v>
      </c>
      <c r="B112" s="268" t="s">
        <v>1145</v>
      </c>
      <c r="C112" s="267" t="s">
        <v>1144</v>
      </c>
      <c r="D112" s="267"/>
      <c r="E112" s="268" t="s">
        <v>2557</v>
      </c>
      <c r="F112" s="268" t="s">
        <v>10838</v>
      </c>
      <c r="G112" s="267"/>
      <c r="H112" s="641">
        <v>150</v>
      </c>
    </row>
    <row r="113" spans="1:8" s="760" customFormat="1" ht="13.5" customHeight="1" x14ac:dyDescent="0.25">
      <c r="A113" s="267">
        <v>441</v>
      </c>
      <c r="B113" s="268" t="s">
        <v>1145</v>
      </c>
      <c r="C113" s="267" t="s">
        <v>1144</v>
      </c>
      <c r="D113" s="267"/>
      <c r="E113" s="268" t="s">
        <v>10839</v>
      </c>
      <c r="F113" s="268" t="s">
        <v>10840</v>
      </c>
      <c r="G113" s="267"/>
      <c r="H113" s="641">
        <v>250</v>
      </c>
    </row>
    <row r="114" spans="1:8" s="760" customFormat="1" ht="13.5" customHeight="1" x14ac:dyDescent="0.25">
      <c r="A114" s="267">
        <v>441</v>
      </c>
      <c r="B114" s="268" t="s">
        <v>1145</v>
      </c>
      <c r="C114" s="267" t="s">
        <v>1144</v>
      </c>
      <c r="D114" s="267"/>
      <c r="E114" s="268" t="s">
        <v>7789</v>
      </c>
      <c r="F114" s="268" t="s">
        <v>7790</v>
      </c>
      <c r="G114" s="267"/>
      <c r="H114" s="641">
        <v>400</v>
      </c>
    </row>
    <row r="115" spans="1:8" s="760" customFormat="1" ht="13.5" customHeight="1" x14ac:dyDescent="0.25">
      <c r="A115" s="267">
        <v>441</v>
      </c>
      <c r="B115" s="268" t="s">
        <v>1145</v>
      </c>
      <c r="C115" s="267" t="s">
        <v>1144</v>
      </c>
      <c r="D115" s="267"/>
      <c r="E115" s="268" t="s">
        <v>7922</v>
      </c>
      <c r="F115" s="268" t="s">
        <v>7923</v>
      </c>
      <c r="G115" s="267"/>
      <c r="H115" s="641">
        <v>500</v>
      </c>
    </row>
    <row r="116" spans="1:8" s="760" customFormat="1" ht="13.5" customHeight="1" x14ac:dyDescent="0.25">
      <c r="A116" s="267">
        <v>441</v>
      </c>
      <c r="B116" s="268" t="s">
        <v>1145</v>
      </c>
      <c r="C116" s="267" t="s">
        <v>1144</v>
      </c>
      <c r="D116" s="267"/>
      <c r="E116" s="268" t="s">
        <v>7788</v>
      </c>
      <c r="F116" s="268" t="s">
        <v>7739</v>
      </c>
      <c r="G116" s="267"/>
      <c r="H116" s="641">
        <v>150</v>
      </c>
    </row>
    <row r="117" spans="1:8" s="760" customFormat="1" ht="13.5" customHeight="1" x14ac:dyDescent="0.25">
      <c r="A117" s="267">
        <v>441</v>
      </c>
      <c r="B117" s="268" t="s">
        <v>1145</v>
      </c>
      <c r="C117" s="267" t="s">
        <v>1144</v>
      </c>
      <c r="D117" s="267"/>
      <c r="E117" s="268" t="s">
        <v>7930</v>
      </c>
      <c r="F117" s="268" t="s">
        <v>7931</v>
      </c>
      <c r="G117" s="267"/>
      <c r="H117" s="641">
        <v>200</v>
      </c>
    </row>
    <row r="118" spans="1:8" s="760" customFormat="1" ht="13.5" customHeight="1" x14ac:dyDescent="0.25">
      <c r="A118" s="267">
        <v>441</v>
      </c>
      <c r="B118" s="268" t="s">
        <v>1145</v>
      </c>
      <c r="C118" s="267" t="s">
        <v>1144</v>
      </c>
      <c r="D118" s="267"/>
      <c r="E118" s="268" t="s">
        <v>10841</v>
      </c>
      <c r="F118" s="268" t="s">
        <v>10842</v>
      </c>
      <c r="G118" s="267"/>
      <c r="H118" s="641">
        <v>200</v>
      </c>
    </row>
    <row r="119" spans="1:8" s="760" customFormat="1" ht="13.5" customHeight="1" x14ac:dyDescent="0.25">
      <c r="A119" s="267">
        <v>441</v>
      </c>
      <c r="B119" s="268" t="s">
        <v>1145</v>
      </c>
      <c r="C119" s="267" t="s">
        <v>1144</v>
      </c>
      <c r="D119" s="267"/>
      <c r="E119" s="268" t="s">
        <v>2579</v>
      </c>
      <c r="F119" s="268" t="s">
        <v>7670</v>
      </c>
      <c r="G119" s="267"/>
      <c r="H119" s="641">
        <v>300</v>
      </c>
    </row>
    <row r="120" spans="1:8" s="760" customFormat="1" ht="13.5" customHeight="1" x14ac:dyDescent="0.25">
      <c r="A120" s="267">
        <v>441</v>
      </c>
      <c r="B120" s="268" t="s">
        <v>1145</v>
      </c>
      <c r="C120" s="267" t="s">
        <v>1144</v>
      </c>
      <c r="D120" s="267"/>
      <c r="E120" s="268" t="s">
        <v>10843</v>
      </c>
      <c r="F120" s="268" t="s">
        <v>10844</v>
      </c>
      <c r="G120" s="267"/>
      <c r="H120" s="641">
        <v>500</v>
      </c>
    </row>
    <row r="121" spans="1:8" s="760" customFormat="1" ht="13.5" customHeight="1" x14ac:dyDescent="0.25">
      <c r="A121" s="267">
        <v>441</v>
      </c>
      <c r="B121" s="268" t="s">
        <v>1145</v>
      </c>
      <c r="C121" s="267" t="s">
        <v>1144</v>
      </c>
      <c r="D121" s="267"/>
      <c r="E121" s="268" t="s">
        <v>10845</v>
      </c>
      <c r="F121" s="268" t="s">
        <v>10846</v>
      </c>
      <c r="G121" s="267"/>
      <c r="H121" s="641">
        <v>350</v>
      </c>
    </row>
    <row r="122" spans="1:8" s="760" customFormat="1" ht="13.5" customHeight="1" x14ac:dyDescent="0.25">
      <c r="A122" s="267">
        <v>441</v>
      </c>
      <c r="B122" s="268" t="s">
        <v>1145</v>
      </c>
      <c r="C122" s="267" t="s">
        <v>1144</v>
      </c>
      <c r="D122" s="267"/>
      <c r="E122" s="268" t="s">
        <v>2551</v>
      </c>
      <c r="F122" s="268" t="s">
        <v>2518</v>
      </c>
      <c r="G122" s="267"/>
      <c r="H122" s="641">
        <v>500</v>
      </c>
    </row>
    <row r="123" spans="1:8" s="760" customFormat="1" ht="13.5" customHeight="1" x14ac:dyDescent="0.25">
      <c r="A123" s="267">
        <v>441</v>
      </c>
      <c r="B123" s="268" t="s">
        <v>1145</v>
      </c>
      <c r="C123" s="267" t="s">
        <v>1144</v>
      </c>
      <c r="D123" s="267"/>
      <c r="E123" s="268" t="s">
        <v>10847</v>
      </c>
      <c r="F123" s="268" t="s">
        <v>10848</v>
      </c>
      <c r="G123" s="267"/>
      <c r="H123" s="641">
        <v>350</v>
      </c>
    </row>
    <row r="124" spans="1:8" s="760" customFormat="1" ht="13.5" customHeight="1" x14ac:dyDescent="0.25">
      <c r="A124" s="267">
        <v>441</v>
      </c>
      <c r="B124" s="268" t="s">
        <v>1145</v>
      </c>
      <c r="C124" s="267" t="s">
        <v>1144</v>
      </c>
      <c r="D124" s="267"/>
      <c r="E124" s="268" t="s">
        <v>2532</v>
      </c>
      <c r="F124" s="268" t="s">
        <v>7659</v>
      </c>
      <c r="G124" s="267"/>
      <c r="H124" s="641">
        <v>300</v>
      </c>
    </row>
    <row r="125" spans="1:8" s="760" customFormat="1" ht="13.5" customHeight="1" x14ac:dyDescent="0.25">
      <c r="A125" s="267">
        <v>441</v>
      </c>
      <c r="B125" s="268" t="s">
        <v>1145</v>
      </c>
      <c r="C125" s="267" t="s">
        <v>1144</v>
      </c>
      <c r="D125" s="267"/>
      <c r="E125" s="268" t="s">
        <v>7780</v>
      </c>
      <c r="F125" s="268" t="s">
        <v>7719</v>
      </c>
      <c r="G125" s="267"/>
      <c r="H125" s="641">
        <v>150</v>
      </c>
    </row>
    <row r="126" spans="1:8" s="760" customFormat="1" ht="13.5" customHeight="1" x14ac:dyDescent="0.25">
      <c r="A126" s="267">
        <v>441</v>
      </c>
      <c r="B126" s="268" t="s">
        <v>1145</v>
      </c>
      <c r="C126" s="267" t="s">
        <v>1144</v>
      </c>
      <c r="D126" s="267"/>
      <c r="E126" s="268" t="s">
        <v>10849</v>
      </c>
      <c r="F126" s="268" t="s">
        <v>10850</v>
      </c>
      <c r="G126" s="267"/>
      <c r="H126" s="641">
        <v>200</v>
      </c>
    </row>
    <row r="127" spans="1:8" s="760" customFormat="1" ht="13.5" customHeight="1" x14ac:dyDescent="0.25">
      <c r="A127" s="267">
        <v>441</v>
      </c>
      <c r="B127" s="268" t="s">
        <v>1145</v>
      </c>
      <c r="C127" s="267" t="s">
        <v>1144</v>
      </c>
      <c r="D127" s="267"/>
      <c r="E127" s="268" t="s">
        <v>10851</v>
      </c>
      <c r="F127" s="268" t="s">
        <v>10852</v>
      </c>
      <c r="G127" s="267"/>
      <c r="H127" s="641">
        <v>200</v>
      </c>
    </row>
    <row r="128" spans="1:8" s="760" customFormat="1" ht="13.5" customHeight="1" x14ac:dyDescent="0.25">
      <c r="A128" s="267">
        <v>441</v>
      </c>
      <c r="B128" s="268" t="s">
        <v>1145</v>
      </c>
      <c r="C128" s="267" t="s">
        <v>1144</v>
      </c>
      <c r="D128" s="267"/>
      <c r="E128" s="268" t="s">
        <v>7901</v>
      </c>
      <c r="F128" s="268" t="s">
        <v>7683</v>
      </c>
      <c r="G128" s="267"/>
      <c r="H128" s="641">
        <v>150</v>
      </c>
    </row>
    <row r="129" spans="1:8" s="760" customFormat="1" ht="13.5" customHeight="1" x14ac:dyDescent="0.25">
      <c r="A129" s="267">
        <v>441</v>
      </c>
      <c r="B129" s="268" t="s">
        <v>1145</v>
      </c>
      <c r="C129" s="267" t="s">
        <v>1144</v>
      </c>
      <c r="D129" s="267"/>
      <c r="E129" s="268" t="s">
        <v>10853</v>
      </c>
      <c r="F129" s="268" t="s">
        <v>10854</v>
      </c>
      <c r="G129" s="267"/>
      <c r="H129" s="641">
        <v>150</v>
      </c>
    </row>
    <row r="130" spans="1:8" s="760" customFormat="1" ht="13.5" customHeight="1" x14ac:dyDescent="0.25">
      <c r="A130" s="267">
        <v>441</v>
      </c>
      <c r="B130" s="268" t="s">
        <v>1145</v>
      </c>
      <c r="C130" s="267" t="s">
        <v>1144</v>
      </c>
      <c r="D130" s="267"/>
      <c r="E130" s="268" t="s">
        <v>2544</v>
      </c>
      <c r="F130" s="268" t="s">
        <v>2545</v>
      </c>
      <c r="G130" s="267"/>
      <c r="H130" s="641">
        <v>800</v>
      </c>
    </row>
    <row r="131" spans="1:8" s="760" customFormat="1" ht="13.5" customHeight="1" x14ac:dyDescent="0.25">
      <c r="A131" s="267">
        <v>441</v>
      </c>
      <c r="B131" s="268" t="s">
        <v>1145</v>
      </c>
      <c r="C131" s="267" t="s">
        <v>1144</v>
      </c>
      <c r="D131" s="267"/>
      <c r="E131" s="268" t="s">
        <v>7731</v>
      </c>
      <c r="F131" s="268" t="s">
        <v>7732</v>
      </c>
      <c r="G131" s="267"/>
      <c r="H131" s="641">
        <v>400</v>
      </c>
    </row>
    <row r="132" spans="1:8" s="760" customFormat="1" ht="13.5" customHeight="1" x14ac:dyDescent="0.25">
      <c r="A132" s="267">
        <v>441</v>
      </c>
      <c r="B132" s="268" t="s">
        <v>1145</v>
      </c>
      <c r="C132" s="267" t="s">
        <v>1144</v>
      </c>
      <c r="D132" s="267"/>
      <c r="E132" s="268" t="s">
        <v>7926</v>
      </c>
      <c r="F132" s="268" t="s">
        <v>7927</v>
      </c>
      <c r="G132" s="267"/>
      <c r="H132" s="641">
        <v>200</v>
      </c>
    </row>
    <row r="133" spans="1:8" s="760" customFormat="1" ht="13.5" customHeight="1" x14ac:dyDescent="0.25">
      <c r="A133" s="267">
        <v>441</v>
      </c>
      <c r="B133" s="268" t="s">
        <v>1148</v>
      </c>
      <c r="C133" s="267" t="s">
        <v>1144</v>
      </c>
      <c r="D133" s="267"/>
      <c r="E133" s="268" t="s">
        <v>10855</v>
      </c>
      <c r="F133" s="268" t="s">
        <v>7852</v>
      </c>
      <c r="G133" s="267"/>
      <c r="H133" s="641">
        <v>6699</v>
      </c>
    </row>
    <row r="134" spans="1:8" s="760" customFormat="1" ht="13.5" customHeight="1" x14ac:dyDescent="0.25">
      <c r="A134" s="267">
        <v>441</v>
      </c>
      <c r="B134" s="268" t="s">
        <v>1148</v>
      </c>
      <c r="C134" s="267" t="s">
        <v>1144</v>
      </c>
      <c r="D134" s="267"/>
      <c r="E134" s="268" t="s">
        <v>2568</v>
      </c>
      <c r="F134" s="268" t="s">
        <v>2569</v>
      </c>
      <c r="G134" s="267"/>
      <c r="H134" s="641">
        <v>2650.6</v>
      </c>
    </row>
    <row r="135" spans="1:8" s="760" customFormat="1" ht="13.5" customHeight="1" x14ac:dyDescent="0.25">
      <c r="A135" s="267">
        <v>441</v>
      </c>
      <c r="B135" s="268" t="s">
        <v>1148</v>
      </c>
      <c r="C135" s="267" t="s">
        <v>1144</v>
      </c>
      <c r="D135" s="267"/>
      <c r="E135" s="268" t="s">
        <v>7639</v>
      </c>
      <c r="F135" s="268" t="s">
        <v>7640</v>
      </c>
      <c r="G135" s="267"/>
      <c r="H135" s="641">
        <v>2650.6</v>
      </c>
    </row>
    <row r="136" spans="1:8" s="760" customFormat="1" ht="13.5" customHeight="1" x14ac:dyDescent="0.25">
      <c r="A136" s="267">
        <v>441</v>
      </c>
      <c r="B136" s="268" t="s">
        <v>1148</v>
      </c>
      <c r="C136" s="267" t="s">
        <v>1144</v>
      </c>
      <c r="D136" s="267"/>
      <c r="E136" s="268" t="s">
        <v>10856</v>
      </c>
      <c r="F136" s="268"/>
      <c r="G136" s="267" t="s">
        <v>10857</v>
      </c>
      <c r="H136" s="641">
        <v>5269.3</v>
      </c>
    </row>
    <row r="137" spans="1:8" s="760" customFormat="1" ht="13.5" customHeight="1" x14ac:dyDescent="0.25">
      <c r="A137" s="267">
        <v>441</v>
      </c>
      <c r="B137" s="268" t="s">
        <v>1148</v>
      </c>
      <c r="C137" s="267" t="s">
        <v>1144</v>
      </c>
      <c r="D137" s="267"/>
      <c r="E137" s="268" t="s">
        <v>10858</v>
      </c>
      <c r="F137" s="268" t="s">
        <v>10859</v>
      </c>
      <c r="G137" s="267"/>
      <c r="H137" s="641">
        <v>3975.9</v>
      </c>
    </row>
    <row r="138" spans="1:8" s="760" customFormat="1" ht="13.5" customHeight="1" x14ac:dyDescent="0.25">
      <c r="A138" s="267">
        <v>441</v>
      </c>
      <c r="B138" s="268" t="s">
        <v>1145</v>
      </c>
      <c r="C138" s="267" t="s">
        <v>1144</v>
      </c>
      <c r="D138" s="267"/>
      <c r="E138" s="268" t="s">
        <v>10860</v>
      </c>
      <c r="F138" s="268" t="s">
        <v>10861</v>
      </c>
      <c r="G138" s="267"/>
      <c r="H138" s="641">
        <v>735</v>
      </c>
    </row>
    <row r="139" spans="1:8" s="760" customFormat="1" ht="13.5" customHeight="1" x14ac:dyDescent="0.25">
      <c r="A139" s="267">
        <v>441</v>
      </c>
      <c r="B139" s="268" t="s">
        <v>1145</v>
      </c>
      <c r="C139" s="267" t="s">
        <v>1144</v>
      </c>
      <c r="D139" s="267"/>
      <c r="E139" s="268" t="s">
        <v>10862</v>
      </c>
      <c r="F139" s="268" t="s">
        <v>10863</v>
      </c>
      <c r="G139" s="267"/>
      <c r="H139" s="641">
        <v>300</v>
      </c>
    </row>
    <row r="140" spans="1:8" s="760" customFormat="1" ht="13.5" customHeight="1" x14ac:dyDescent="0.25">
      <c r="A140" s="267">
        <v>441</v>
      </c>
      <c r="B140" s="268" t="s">
        <v>1145</v>
      </c>
      <c r="C140" s="267" t="s">
        <v>1144</v>
      </c>
      <c r="D140" s="267"/>
      <c r="E140" s="268" t="s">
        <v>7636</v>
      </c>
      <c r="F140" s="268" t="s">
        <v>10864</v>
      </c>
      <c r="G140" s="267"/>
      <c r="H140" s="641">
        <v>250</v>
      </c>
    </row>
    <row r="141" spans="1:8" s="760" customFormat="1" ht="13.5" customHeight="1" x14ac:dyDescent="0.25">
      <c r="A141" s="267">
        <v>441</v>
      </c>
      <c r="B141" s="268" t="s">
        <v>1145</v>
      </c>
      <c r="C141" s="267" t="s">
        <v>1144</v>
      </c>
      <c r="D141" s="267"/>
      <c r="E141" s="268" t="s">
        <v>10865</v>
      </c>
      <c r="F141" s="268" t="s">
        <v>10866</v>
      </c>
      <c r="G141" s="267"/>
      <c r="H141" s="641">
        <v>200</v>
      </c>
    </row>
    <row r="142" spans="1:8" s="760" customFormat="1" ht="13.5" customHeight="1" x14ac:dyDescent="0.25">
      <c r="A142" s="267">
        <v>441</v>
      </c>
      <c r="B142" s="268" t="s">
        <v>1145</v>
      </c>
      <c r="C142" s="267" t="s">
        <v>1144</v>
      </c>
      <c r="D142" s="267"/>
      <c r="E142" s="268" t="s">
        <v>2575</v>
      </c>
      <c r="F142" s="268" t="s">
        <v>2576</v>
      </c>
      <c r="G142" s="267"/>
      <c r="H142" s="641">
        <v>400</v>
      </c>
    </row>
    <row r="143" spans="1:8" s="760" customFormat="1" ht="13.5" customHeight="1" x14ac:dyDescent="0.25">
      <c r="A143" s="267">
        <v>441</v>
      </c>
      <c r="B143" s="268" t="s">
        <v>1145</v>
      </c>
      <c r="C143" s="267" t="s">
        <v>1144</v>
      </c>
      <c r="D143" s="267"/>
      <c r="E143" s="268" t="s">
        <v>10867</v>
      </c>
      <c r="F143" s="268" t="s">
        <v>10868</v>
      </c>
      <c r="G143" s="267"/>
      <c r="H143" s="641">
        <v>200</v>
      </c>
    </row>
    <row r="144" spans="1:8" s="760" customFormat="1" ht="13.5" customHeight="1" x14ac:dyDescent="0.25">
      <c r="A144" s="267">
        <v>441</v>
      </c>
      <c r="B144" s="268" t="s">
        <v>1145</v>
      </c>
      <c r="C144" s="267" t="s">
        <v>1144</v>
      </c>
      <c r="D144" s="267"/>
      <c r="E144" s="268" t="s">
        <v>10869</v>
      </c>
      <c r="F144" s="268" t="s">
        <v>10870</v>
      </c>
      <c r="G144" s="267"/>
      <c r="H144" s="641">
        <v>200</v>
      </c>
    </row>
    <row r="145" spans="1:8" s="760" customFormat="1" ht="13.5" customHeight="1" x14ac:dyDescent="0.25">
      <c r="A145" s="267">
        <v>441</v>
      </c>
      <c r="B145" s="268" t="s">
        <v>1145</v>
      </c>
      <c r="C145" s="267" t="s">
        <v>1144</v>
      </c>
      <c r="D145" s="267"/>
      <c r="E145" s="268" t="s">
        <v>10871</v>
      </c>
      <c r="F145" s="268" t="s">
        <v>10872</v>
      </c>
      <c r="G145" s="267"/>
      <c r="H145" s="641">
        <v>200</v>
      </c>
    </row>
    <row r="146" spans="1:8" s="760" customFormat="1" ht="13.5" customHeight="1" x14ac:dyDescent="0.25">
      <c r="A146" s="267">
        <v>441</v>
      </c>
      <c r="B146" s="268" t="s">
        <v>1145</v>
      </c>
      <c r="C146" s="267" t="s">
        <v>1144</v>
      </c>
      <c r="D146" s="267"/>
      <c r="E146" s="268" t="s">
        <v>10873</v>
      </c>
      <c r="F146" s="268" t="s">
        <v>10874</v>
      </c>
      <c r="G146" s="267"/>
      <c r="H146" s="641">
        <v>200</v>
      </c>
    </row>
    <row r="147" spans="1:8" s="760" customFormat="1" ht="13.5" customHeight="1" x14ac:dyDescent="0.25">
      <c r="A147" s="267">
        <v>441</v>
      </c>
      <c r="B147" s="268" t="s">
        <v>1145</v>
      </c>
      <c r="C147" s="267" t="s">
        <v>1144</v>
      </c>
      <c r="D147" s="267"/>
      <c r="E147" s="268" t="s">
        <v>10875</v>
      </c>
      <c r="F147" s="268" t="s">
        <v>10876</v>
      </c>
      <c r="G147" s="267"/>
      <c r="H147" s="641">
        <v>500</v>
      </c>
    </row>
    <row r="148" spans="1:8" s="760" customFormat="1" ht="13.5" customHeight="1" x14ac:dyDescent="0.25">
      <c r="A148" s="267">
        <v>441</v>
      </c>
      <c r="B148" s="268" t="s">
        <v>1145</v>
      </c>
      <c r="C148" s="267" t="s">
        <v>1144</v>
      </c>
      <c r="D148" s="267"/>
      <c r="E148" s="268" t="s">
        <v>7833</v>
      </c>
      <c r="F148" s="268" t="s">
        <v>7834</v>
      </c>
      <c r="G148" s="267"/>
      <c r="H148" s="641">
        <v>250</v>
      </c>
    </row>
    <row r="149" spans="1:8" s="760" customFormat="1" ht="13.5" customHeight="1" x14ac:dyDescent="0.25">
      <c r="A149" s="267">
        <v>441</v>
      </c>
      <c r="B149" s="268" t="s">
        <v>1145</v>
      </c>
      <c r="C149" s="267" t="s">
        <v>1144</v>
      </c>
      <c r="D149" s="267"/>
      <c r="E149" s="268" t="s">
        <v>10877</v>
      </c>
      <c r="F149" s="268" t="s">
        <v>10878</v>
      </c>
      <c r="G149" s="267"/>
      <c r="H149" s="641">
        <v>300</v>
      </c>
    </row>
    <row r="150" spans="1:8" s="760" customFormat="1" ht="13.5" customHeight="1" x14ac:dyDescent="0.25">
      <c r="A150" s="267">
        <v>441</v>
      </c>
      <c r="B150" s="268" t="s">
        <v>1145</v>
      </c>
      <c r="C150" s="267" t="s">
        <v>1144</v>
      </c>
      <c r="D150" s="267"/>
      <c r="E150" s="268" t="s">
        <v>10879</v>
      </c>
      <c r="F150" s="268" t="s">
        <v>10880</v>
      </c>
      <c r="G150" s="267"/>
      <c r="H150" s="641">
        <v>284</v>
      </c>
    </row>
    <row r="151" spans="1:8" s="760" customFormat="1" ht="13.5" customHeight="1" x14ac:dyDescent="0.25">
      <c r="A151" s="267">
        <v>441</v>
      </c>
      <c r="B151" s="268" t="s">
        <v>1145</v>
      </c>
      <c r="C151" s="267" t="s">
        <v>1144</v>
      </c>
      <c r="D151" s="267"/>
      <c r="E151" s="268" t="s">
        <v>7902</v>
      </c>
      <c r="F151" s="268" t="s">
        <v>2509</v>
      </c>
      <c r="G151" s="267"/>
      <c r="H151" s="641">
        <v>150</v>
      </c>
    </row>
    <row r="152" spans="1:8" s="760" customFormat="1" ht="13.5" customHeight="1" x14ac:dyDescent="0.25">
      <c r="A152" s="267">
        <v>441</v>
      </c>
      <c r="B152" s="268" t="s">
        <v>1145</v>
      </c>
      <c r="C152" s="267" t="s">
        <v>1144</v>
      </c>
      <c r="D152" s="267"/>
      <c r="E152" s="268" t="s">
        <v>10881</v>
      </c>
      <c r="F152" s="268" t="s">
        <v>7903</v>
      </c>
      <c r="G152" s="267"/>
      <c r="H152" s="641">
        <v>513</v>
      </c>
    </row>
    <row r="153" spans="1:8" s="760" customFormat="1" ht="13.5" customHeight="1" x14ac:dyDescent="0.25">
      <c r="A153" s="267">
        <v>441</v>
      </c>
      <c r="B153" s="268" t="s">
        <v>1145</v>
      </c>
      <c r="C153" s="267" t="s">
        <v>1144</v>
      </c>
      <c r="D153" s="267"/>
      <c r="E153" s="268" t="s">
        <v>2610</v>
      </c>
      <c r="F153" s="268" t="s">
        <v>2611</v>
      </c>
      <c r="G153" s="267"/>
      <c r="H153" s="641">
        <v>150</v>
      </c>
    </row>
    <row r="154" spans="1:8" s="760" customFormat="1" ht="13.5" customHeight="1" x14ac:dyDescent="0.25">
      <c r="A154" s="267">
        <v>441</v>
      </c>
      <c r="B154" s="268" t="s">
        <v>1145</v>
      </c>
      <c r="C154" s="267" t="s">
        <v>1144</v>
      </c>
      <c r="D154" s="267"/>
      <c r="E154" s="268" t="s">
        <v>7835</v>
      </c>
      <c r="F154" s="268" t="s">
        <v>7836</v>
      </c>
      <c r="G154" s="267"/>
      <c r="H154" s="641">
        <v>109</v>
      </c>
    </row>
    <row r="155" spans="1:8" s="760" customFormat="1" ht="13.5" customHeight="1" x14ac:dyDescent="0.25">
      <c r="A155" s="267">
        <v>441</v>
      </c>
      <c r="B155" s="268" t="s">
        <v>1145</v>
      </c>
      <c r="C155" s="267" t="s">
        <v>1144</v>
      </c>
      <c r="D155" s="267"/>
      <c r="E155" s="268" t="s">
        <v>7737</v>
      </c>
      <c r="F155" s="268" t="s">
        <v>7702</v>
      </c>
      <c r="G155" s="267"/>
      <c r="H155" s="641">
        <v>300</v>
      </c>
    </row>
    <row r="156" spans="1:8" s="760" customFormat="1" ht="13.5" customHeight="1" x14ac:dyDescent="0.25">
      <c r="A156" s="267">
        <v>441</v>
      </c>
      <c r="B156" s="268" t="s">
        <v>1145</v>
      </c>
      <c r="C156" s="267" t="s">
        <v>1144</v>
      </c>
      <c r="D156" s="267"/>
      <c r="E156" s="268" t="s">
        <v>10882</v>
      </c>
      <c r="F156" s="268" t="s">
        <v>10883</v>
      </c>
      <c r="G156" s="267"/>
      <c r="H156" s="641">
        <v>400</v>
      </c>
    </row>
    <row r="157" spans="1:8" s="760" customFormat="1" ht="13.5" customHeight="1" x14ac:dyDescent="0.25">
      <c r="A157" s="267">
        <v>441</v>
      </c>
      <c r="B157" s="268" t="s">
        <v>1145</v>
      </c>
      <c r="C157" s="267" t="s">
        <v>1144</v>
      </c>
      <c r="D157" s="267"/>
      <c r="E157" s="268" t="s">
        <v>7784</v>
      </c>
      <c r="F157" s="268" t="s">
        <v>7616</v>
      </c>
      <c r="G157" s="267"/>
      <c r="H157" s="641">
        <v>150</v>
      </c>
    </row>
    <row r="158" spans="1:8" s="760" customFormat="1" ht="13.5" customHeight="1" x14ac:dyDescent="0.25">
      <c r="A158" s="267">
        <v>445</v>
      </c>
      <c r="B158" s="268" t="s">
        <v>1148</v>
      </c>
      <c r="C158" s="267" t="s">
        <v>1144</v>
      </c>
      <c r="D158" s="267"/>
      <c r="E158" s="268" t="s">
        <v>2070</v>
      </c>
      <c r="F158" s="268"/>
      <c r="G158" s="267"/>
      <c r="H158" s="641">
        <v>3000</v>
      </c>
    </row>
    <row r="159" spans="1:8" s="760" customFormat="1" ht="13.5" customHeight="1" x14ac:dyDescent="0.25">
      <c r="A159" s="267">
        <v>445</v>
      </c>
      <c r="B159" s="268" t="s">
        <v>1145</v>
      </c>
      <c r="C159" s="267" t="s">
        <v>1144</v>
      </c>
      <c r="D159" s="267"/>
      <c r="E159" s="268" t="s">
        <v>7885</v>
      </c>
      <c r="F159" s="268"/>
      <c r="G159" s="267" t="s">
        <v>7886</v>
      </c>
      <c r="H159" s="641">
        <v>50000</v>
      </c>
    </row>
    <row r="160" spans="1:8" s="760" customFormat="1" ht="13.5" customHeight="1" x14ac:dyDescent="0.25">
      <c r="A160" s="267">
        <v>445</v>
      </c>
      <c r="B160" s="268" t="s">
        <v>1148</v>
      </c>
      <c r="C160" s="267" t="s">
        <v>1144</v>
      </c>
      <c r="D160" s="267"/>
      <c r="E160" s="268" t="s">
        <v>10884</v>
      </c>
      <c r="F160" s="268"/>
      <c r="G160" s="267" t="s">
        <v>10885</v>
      </c>
      <c r="H160" s="641">
        <v>25180.7</v>
      </c>
    </row>
    <row r="161" spans="1:8" s="760" customFormat="1" ht="13.5" customHeight="1" x14ac:dyDescent="0.25">
      <c r="A161" s="267">
        <v>445</v>
      </c>
      <c r="B161" s="268" t="s">
        <v>1145</v>
      </c>
      <c r="C161" s="267" t="s">
        <v>1144</v>
      </c>
      <c r="D161" s="267"/>
      <c r="E161" s="268" t="s">
        <v>7887</v>
      </c>
      <c r="F161" s="268"/>
      <c r="G161" s="267" t="s">
        <v>7888</v>
      </c>
      <c r="H161" s="641">
        <v>35000</v>
      </c>
    </row>
    <row r="162" spans="1:8" s="760" customFormat="1" ht="13.5" customHeight="1" x14ac:dyDescent="0.25">
      <c r="A162" s="267">
        <v>441</v>
      </c>
      <c r="B162" s="268" t="s">
        <v>1145</v>
      </c>
      <c r="C162" s="267" t="s">
        <v>1144</v>
      </c>
      <c r="D162" s="267"/>
      <c r="E162" s="268" t="s">
        <v>1209</v>
      </c>
      <c r="F162" s="268"/>
      <c r="G162" s="267" t="s">
        <v>1151</v>
      </c>
      <c r="H162" s="641">
        <v>5000</v>
      </c>
    </row>
    <row r="163" spans="1:8" s="760" customFormat="1" ht="13.5" customHeight="1" x14ac:dyDescent="0.25">
      <c r="A163" s="267">
        <v>441</v>
      </c>
      <c r="B163" s="268" t="s">
        <v>1145</v>
      </c>
      <c r="C163" s="267" t="s">
        <v>1144</v>
      </c>
      <c r="D163" s="267"/>
      <c r="E163" s="268" t="s">
        <v>2586</v>
      </c>
      <c r="F163" s="268" t="s">
        <v>2587</v>
      </c>
      <c r="G163" s="267"/>
      <c r="H163" s="641">
        <v>300</v>
      </c>
    </row>
    <row r="164" spans="1:8" s="760" customFormat="1" ht="13.5" customHeight="1" x14ac:dyDescent="0.25">
      <c r="A164" s="267">
        <v>441</v>
      </c>
      <c r="B164" s="268" t="s">
        <v>1145</v>
      </c>
      <c r="C164" s="267" t="s">
        <v>1144</v>
      </c>
      <c r="D164" s="267"/>
      <c r="E164" s="268" t="s">
        <v>1155</v>
      </c>
      <c r="F164" s="268" t="s">
        <v>7638</v>
      </c>
      <c r="G164" s="267"/>
      <c r="H164" s="641">
        <v>200</v>
      </c>
    </row>
    <row r="165" spans="1:8" s="760" customFormat="1" ht="13.5" customHeight="1" x14ac:dyDescent="0.25">
      <c r="A165" s="267">
        <v>441</v>
      </c>
      <c r="B165" s="268" t="s">
        <v>1145</v>
      </c>
      <c r="C165" s="267" t="s">
        <v>1144</v>
      </c>
      <c r="D165" s="267"/>
      <c r="E165" s="268" t="s">
        <v>7922</v>
      </c>
      <c r="F165" s="268" t="s">
        <v>7923</v>
      </c>
      <c r="G165" s="267"/>
      <c r="H165" s="641">
        <v>500</v>
      </c>
    </row>
    <row r="166" spans="1:8" s="760" customFormat="1" ht="13.5" customHeight="1" x14ac:dyDescent="0.25">
      <c r="A166" s="267">
        <v>441</v>
      </c>
      <c r="B166" s="268" t="s">
        <v>1145</v>
      </c>
      <c r="C166" s="267" t="s">
        <v>1144</v>
      </c>
      <c r="D166" s="267"/>
      <c r="E166" s="268" t="s">
        <v>10886</v>
      </c>
      <c r="F166" s="268"/>
      <c r="G166" s="267" t="s">
        <v>7662</v>
      </c>
      <c r="H166" s="641">
        <v>200</v>
      </c>
    </row>
    <row r="167" spans="1:8" s="760" customFormat="1" ht="13.5" customHeight="1" x14ac:dyDescent="0.25">
      <c r="A167" s="267">
        <v>441</v>
      </c>
      <c r="B167" s="268" t="s">
        <v>1145</v>
      </c>
      <c r="C167" s="267" t="s">
        <v>1144</v>
      </c>
      <c r="D167" s="267"/>
      <c r="E167" s="268" t="s">
        <v>10887</v>
      </c>
      <c r="F167" s="268" t="s">
        <v>10888</v>
      </c>
      <c r="G167" s="267"/>
      <c r="H167" s="641">
        <v>200</v>
      </c>
    </row>
    <row r="168" spans="1:8" s="760" customFormat="1" ht="13.5" customHeight="1" x14ac:dyDescent="0.25">
      <c r="A168" s="267">
        <v>441</v>
      </c>
      <c r="B168" s="268" t="s">
        <v>1145</v>
      </c>
      <c r="C168" s="267" t="s">
        <v>1144</v>
      </c>
      <c r="D168" s="267"/>
      <c r="E168" s="268" t="s">
        <v>10889</v>
      </c>
      <c r="F168" s="268" t="s">
        <v>7663</v>
      </c>
      <c r="G168" s="267"/>
      <c r="H168" s="641">
        <v>200</v>
      </c>
    </row>
    <row r="169" spans="1:8" s="760" customFormat="1" ht="13.5" customHeight="1" x14ac:dyDescent="0.25">
      <c r="A169" s="267">
        <v>441</v>
      </c>
      <c r="B169" s="268" t="s">
        <v>1145</v>
      </c>
      <c r="C169" s="267" t="s">
        <v>1144</v>
      </c>
      <c r="D169" s="267"/>
      <c r="E169" s="268" t="s">
        <v>2542</v>
      </c>
      <c r="F169" s="268" t="s">
        <v>7857</v>
      </c>
      <c r="G169" s="267"/>
      <c r="H169" s="641">
        <v>200</v>
      </c>
    </row>
    <row r="170" spans="1:8" s="760" customFormat="1" ht="13.5" customHeight="1" x14ac:dyDescent="0.25">
      <c r="A170" s="267">
        <v>441</v>
      </c>
      <c r="B170" s="268" t="s">
        <v>1145</v>
      </c>
      <c r="C170" s="267" t="s">
        <v>1144</v>
      </c>
      <c r="D170" s="267"/>
      <c r="E170" s="268" t="s">
        <v>7633</v>
      </c>
      <c r="F170" s="268" t="s">
        <v>7909</v>
      </c>
      <c r="G170" s="267"/>
      <c r="H170" s="641">
        <v>200</v>
      </c>
    </row>
    <row r="171" spans="1:8" s="760" customFormat="1" ht="13.5" customHeight="1" x14ac:dyDescent="0.25">
      <c r="A171" s="267">
        <v>441</v>
      </c>
      <c r="B171" s="268" t="s">
        <v>1145</v>
      </c>
      <c r="C171" s="267" t="s">
        <v>1144</v>
      </c>
      <c r="D171" s="267"/>
      <c r="E171" s="268" t="s">
        <v>1197</v>
      </c>
      <c r="F171" s="268" t="s">
        <v>1198</v>
      </c>
      <c r="G171" s="267"/>
      <c r="H171" s="641">
        <v>200</v>
      </c>
    </row>
    <row r="172" spans="1:8" s="760" customFormat="1" ht="13.5" customHeight="1" x14ac:dyDescent="0.25">
      <c r="A172" s="267">
        <v>441</v>
      </c>
      <c r="B172" s="268" t="s">
        <v>1145</v>
      </c>
      <c r="C172" s="267" t="s">
        <v>1144</v>
      </c>
      <c r="D172" s="267"/>
      <c r="E172" s="268" t="s">
        <v>2574</v>
      </c>
      <c r="F172" s="268" t="s">
        <v>2582</v>
      </c>
      <c r="G172" s="267"/>
      <c r="H172" s="641">
        <v>300</v>
      </c>
    </row>
    <row r="173" spans="1:8" s="760" customFormat="1" ht="13.5" customHeight="1" x14ac:dyDescent="0.25">
      <c r="A173" s="267">
        <v>441</v>
      </c>
      <c r="B173" s="268" t="s">
        <v>1145</v>
      </c>
      <c r="C173" s="267" t="s">
        <v>1144</v>
      </c>
      <c r="D173" s="267"/>
      <c r="E173" s="268" t="s">
        <v>2507</v>
      </c>
      <c r="F173" s="268"/>
      <c r="G173" s="267" t="s">
        <v>2508</v>
      </c>
      <c r="H173" s="641">
        <v>300</v>
      </c>
    </row>
    <row r="174" spans="1:8" s="760" customFormat="1" ht="13.5" customHeight="1" x14ac:dyDescent="0.25">
      <c r="A174" s="267">
        <v>441</v>
      </c>
      <c r="B174" s="268" t="s">
        <v>1145</v>
      </c>
      <c r="C174" s="267" t="s">
        <v>1144</v>
      </c>
      <c r="D174" s="267"/>
      <c r="E174" s="268" t="s">
        <v>2517</v>
      </c>
      <c r="F174" s="268" t="s">
        <v>1154</v>
      </c>
      <c r="G174" s="267"/>
      <c r="H174" s="641">
        <v>300</v>
      </c>
    </row>
    <row r="175" spans="1:8" s="760" customFormat="1" ht="13.5" customHeight="1" x14ac:dyDescent="0.25">
      <c r="A175" s="267">
        <v>441</v>
      </c>
      <c r="B175" s="268" t="s">
        <v>1145</v>
      </c>
      <c r="C175" s="267" t="s">
        <v>1144</v>
      </c>
      <c r="D175" s="267"/>
      <c r="E175" s="268" t="s">
        <v>2575</v>
      </c>
      <c r="F175" s="268" t="s">
        <v>2576</v>
      </c>
      <c r="G175" s="267"/>
      <c r="H175" s="641">
        <v>300</v>
      </c>
    </row>
    <row r="176" spans="1:8" s="760" customFormat="1" ht="13.5" customHeight="1" x14ac:dyDescent="0.25">
      <c r="A176" s="267">
        <v>441</v>
      </c>
      <c r="B176" s="268" t="s">
        <v>1145</v>
      </c>
      <c r="C176" s="267" t="s">
        <v>1144</v>
      </c>
      <c r="D176" s="267"/>
      <c r="E176" s="268" t="s">
        <v>7619</v>
      </c>
      <c r="F176" s="268" t="s">
        <v>2570</v>
      </c>
      <c r="G176" s="267"/>
      <c r="H176" s="641">
        <v>300</v>
      </c>
    </row>
    <row r="177" spans="1:8" s="760" customFormat="1" ht="13.5" customHeight="1" x14ac:dyDescent="0.25">
      <c r="A177" s="267">
        <v>441</v>
      </c>
      <c r="B177" s="268" t="s">
        <v>1145</v>
      </c>
      <c r="C177" s="267" t="s">
        <v>1144</v>
      </c>
      <c r="D177" s="267"/>
      <c r="E177" s="268" t="s">
        <v>2564</v>
      </c>
      <c r="F177" s="268" t="s">
        <v>10890</v>
      </c>
      <c r="G177" s="267"/>
      <c r="H177" s="641">
        <v>300</v>
      </c>
    </row>
    <row r="178" spans="1:8" s="760" customFormat="1" ht="13.5" customHeight="1" x14ac:dyDescent="0.25">
      <c r="A178" s="267">
        <v>441</v>
      </c>
      <c r="B178" s="268" t="s">
        <v>1145</v>
      </c>
      <c r="C178" s="267" t="s">
        <v>1144</v>
      </c>
      <c r="D178" s="267"/>
      <c r="E178" s="268" t="s">
        <v>2592</v>
      </c>
      <c r="F178" s="268" t="s">
        <v>2570</v>
      </c>
      <c r="G178" s="267"/>
      <c r="H178" s="641">
        <v>300</v>
      </c>
    </row>
    <row r="179" spans="1:8" s="760" customFormat="1" ht="13.5" customHeight="1" x14ac:dyDescent="0.25">
      <c r="A179" s="267">
        <v>441</v>
      </c>
      <c r="B179" s="268" t="s">
        <v>1145</v>
      </c>
      <c r="C179" s="267" t="s">
        <v>1144</v>
      </c>
      <c r="D179" s="267"/>
      <c r="E179" s="268" t="s">
        <v>2557</v>
      </c>
      <c r="F179" s="268"/>
      <c r="G179" s="267" t="s">
        <v>7748</v>
      </c>
      <c r="H179" s="641">
        <v>200</v>
      </c>
    </row>
    <row r="180" spans="1:8" s="760" customFormat="1" ht="13.5" customHeight="1" x14ac:dyDescent="0.25">
      <c r="A180" s="267">
        <v>441</v>
      </c>
      <c r="B180" s="268" t="s">
        <v>1145</v>
      </c>
      <c r="C180" s="267" t="s">
        <v>1144</v>
      </c>
      <c r="D180" s="267"/>
      <c r="E180" s="268" t="s">
        <v>7649</v>
      </c>
      <c r="F180" s="268" t="s">
        <v>2529</v>
      </c>
      <c r="G180" s="267"/>
      <c r="H180" s="641">
        <v>200</v>
      </c>
    </row>
    <row r="181" spans="1:8" s="760" customFormat="1" ht="13.5" customHeight="1" x14ac:dyDescent="0.25">
      <c r="A181" s="267">
        <v>441</v>
      </c>
      <c r="B181" s="268" t="s">
        <v>1145</v>
      </c>
      <c r="C181" s="267" t="s">
        <v>1144</v>
      </c>
      <c r="D181" s="267"/>
      <c r="E181" s="268" t="s">
        <v>2580</v>
      </c>
      <c r="F181" s="268" t="s">
        <v>2581</v>
      </c>
      <c r="G181" s="267"/>
      <c r="H181" s="641">
        <v>300</v>
      </c>
    </row>
    <row r="182" spans="1:8" s="760" customFormat="1" ht="13.5" customHeight="1" x14ac:dyDescent="0.25">
      <c r="A182" s="267">
        <v>441</v>
      </c>
      <c r="B182" s="268" t="s">
        <v>1145</v>
      </c>
      <c r="C182" s="267" t="s">
        <v>1144</v>
      </c>
      <c r="D182" s="267"/>
      <c r="E182" s="268" t="s">
        <v>7713</v>
      </c>
      <c r="F182" s="268" t="s">
        <v>7714</v>
      </c>
      <c r="G182" s="267"/>
      <c r="H182" s="641">
        <v>114</v>
      </c>
    </row>
    <row r="183" spans="1:8" s="760" customFormat="1" ht="13.5" customHeight="1" x14ac:dyDescent="0.25">
      <c r="A183" s="267">
        <v>441</v>
      </c>
      <c r="B183" s="268" t="s">
        <v>1145</v>
      </c>
      <c r="C183" s="267" t="s">
        <v>1144</v>
      </c>
      <c r="D183" s="267"/>
      <c r="E183" s="268" t="s">
        <v>10891</v>
      </c>
      <c r="F183" s="268" t="s">
        <v>2601</v>
      </c>
      <c r="G183" s="267"/>
      <c r="H183" s="641">
        <v>300</v>
      </c>
    </row>
    <row r="184" spans="1:8" s="760" customFormat="1" ht="13.5" customHeight="1" x14ac:dyDescent="0.25">
      <c r="A184" s="267">
        <v>441</v>
      </c>
      <c r="B184" s="268" t="s">
        <v>1145</v>
      </c>
      <c r="C184" s="267" t="s">
        <v>1144</v>
      </c>
      <c r="D184" s="267"/>
      <c r="E184" s="268" t="s">
        <v>10892</v>
      </c>
      <c r="F184" s="268" t="s">
        <v>7644</v>
      </c>
      <c r="G184" s="267"/>
      <c r="H184" s="641">
        <v>300</v>
      </c>
    </row>
    <row r="185" spans="1:8" s="760" customFormat="1" ht="13.5" customHeight="1" x14ac:dyDescent="0.25">
      <c r="A185" s="267">
        <v>441</v>
      </c>
      <c r="B185" s="268" t="s">
        <v>1145</v>
      </c>
      <c r="C185" s="267" t="s">
        <v>1144</v>
      </c>
      <c r="D185" s="267"/>
      <c r="E185" s="268" t="s">
        <v>10791</v>
      </c>
      <c r="F185" s="268" t="s">
        <v>2554</v>
      </c>
      <c r="G185" s="267"/>
      <c r="H185" s="641">
        <v>300</v>
      </c>
    </row>
    <row r="186" spans="1:8" s="760" customFormat="1" ht="13.5" customHeight="1" x14ac:dyDescent="0.25">
      <c r="A186" s="267">
        <v>441</v>
      </c>
      <c r="B186" s="268" t="s">
        <v>1145</v>
      </c>
      <c r="C186" s="267" t="s">
        <v>1144</v>
      </c>
      <c r="D186" s="267"/>
      <c r="E186" s="268" t="s">
        <v>2524</v>
      </c>
      <c r="F186" s="268" t="s">
        <v>2525</v>
      </c>
      <c r="G186" s="267"/>
      <c r="H186" s="641">
        <v>300</v>
      </c>
    </row>
    <row r="187" spans="1:8" s="760" customFormat="1" ht="13.5" customHeight="1" x14ac:dyDescent="0.25">
      <c r="A187" s="267">
        <v>441</v>
      </c>
      <c r="B187" s="268" t="s">
        <v>1145</v>
      </c>
      <c r="C187" s="267" t="s">
        <v>1144</v>
      </c>
      <c r="D187" s="267"/>
      <c r="E187" s="268" t="s">
        <v>7866</v>
      </c>
      <c r="F187" s="268" t="s">
        <v>7867</v>
      </c>
      <c r="G187" s="267"/>
      <c r="H187" s="641">
        <v>300</v>
      </c>
    </row>
    <row r="188" spans="1:8" s="760" customFormat="1" ht="13.5" customHeight="1" x14ac:dyDescent="0.25">
      <c r="A188" s="267">
        <v>441</v>
      </c>
      <c r="B188" s="268" t="s">
        <v>1145</v>
      </c>
      <c r="C188" s="267" t="s">
        <v>1144</v>
      </c>
      <c r="D188" s="267"/>
      <c r="E188" s="268" t="s">
        <v>7642</v>
      </c>
      <c r="F188" s="268" t="s">
        <v>7643</v>
      </c>
      <c r="G188" s="267"/>
      <c r="H188" s="641">
        <v>200</v>
      </c>
    </row>
    <row r="189" spans="1:8" s="760" customFormat="1" ht="13.5" customHeight="1" x14ac:dyDescent="0.25">
      <c r="A189" s="267">
        <v>441</v>
      </c>
      <c r="B189" s="268" t="s">
        <v>1145</v>
      </c>
      <c r="C189" s="267" t="s">
        <v>1144</v>
      </c>
      <c r="D189" s="267"/>
      <c r="E189" s="268" t="s">
        <v>7678</v>
      </c>
      <c r="F189" s="268" t="s">
        <v>7706</v>
      </c>
      <c r="G189" s="267"/>
      <c r="H189" s="641">
        <v>300</v>
      </c>
    </row>
    <row r="190" spans="1:8" s="760" customFormat="1" ht="13.5" customHeight="1" x14ac:dyDescent="0.25">
      <c r="A190" s="267">
        <v>441</v>
      </c>
      <c r="B190" s="268" t="s">
        <v>1145</v>
      </c>
      <c r="C190" s="267" t="s">
        <v>1144</v>
      </c>
      <c r="D190" s="267"/>
      <c r="E190" s="268" t="s">
        <v>10893</v>
      </c>
      <c r="F190" s="268" t="s">
        <v>7918</v>
      </c>
      <c r="G190" s="267"/>
      <c r="H190" s="641">
        <v>500</v>
      </c>
    </row>
    <row r="191" spans="1:8" s="760" customFormat="1" ht="13.5" customHeight="1" x14ac:dyDescent="0.25">
      <c r="A191" s="267">
        <v>441</v>
      </c>
      <c r="B191" s="268" t="s">
        <v>1145</v>
      </c>
      <c r="C191" s="267" t="s">
        <v>1144</v>
      </c>
      <c r="D191" s="267"/>
      <c r="E191" s="268" t="s">
        <v>10894</v>
      </c>
      <c r="F191" s="268" t="s">
        <v>10895</v>
      </c>
      <c r="G191" s="267"/>
      <c r="H191" s="641">
        <v>200</v>
      </c>
    </row>
    <row r="192" spans="1:8" s="760" customFormat="1" ht="13.5" customHeight="1" x14ac:dyDescent="0.25">
      <c r="A192" s="267">
        <v>441</v>
      </c>
      <c r="B192" s="268" t="s">
        <v>1145</v>
      </c>
      <c r="C192" s="267" t="s">
        <v>1144</v>
      </c>
      <c r="D192" s="267"/>
      <c r="E192" s="268" t="s">
        <v>7655</v>
      </c>
      <c r="F192" s="268" t="s">
        <v>7647</v>
      </c>
      <c r="G192" s="267"/>
      <c r="H192" s="641">
        <v>300</v>
      </c>
    </row>
    <row r="193" spans="1:8" s="760" customFormat="1" ht="13.5" customHeight="1" x14ac:dyDescent="0.25">
      <c r="A193" s="267">
        <v>441</v>
      </c>
      <c r="B193" s="268" t="s">
        <v>1145</v>
      </c>
      <c r="C193" s="267" t="s">
        <v>1144</v>
      </c>
      <c r="D193" s="267"/>
      <c r="E193" s="268" t="s">
        <v>7611</v>
      </c>
      <c r="F193" s="268" t="s">
        <v>7612</v>
      </c>
      <c r="G193" s="267"/>
      <c r="H193" s="641">
        <v>300</v>
      </c>
    </row>
    <row r="194" spans="1:8" s="760" customFormat="1" ht="13.5" customHeight="1" x14ac:dyDescent="0.25">
      <c r="A194" s="267">
        <v>441</v>
      </c>
      <c r="B194" s="268" t="s">
        <v>1145</v>
      </c>
      <c r="C194" s="267" t="s">
        <v>1144</v>
      </c>
      <c r="D194" s="267"/>
      <c r="E194" s="268" t="s">
        <v>1153</v>
      </c>
      <c r="F194" s="268" t="s">
        <v>2515</v>
      </c>
      <c r="G194" s="267"/>
      <c r="H194" s="641">
        <v>300</v>
      </c>
    </row>
    <row r="195" spans="1:8" s="760" customFormat="1" ht="13.5" customHeight="1" x14ac:dyDescent="0.25">
      <c r="A195" s="267">
        <v>441</v>
      </c>
      <c r="B195" s="268" t="s">
        <v>1145</v>
      </c>
      <c r="C195" s="267" t="s">
        <v>1144</v>
      </c>
      <c r="D195" s="267"/>
      <c r="E195" s="268" t="s">
        <v>2591</v>
      </c>
      <c r="F195" s="268" t="s">
        <v>7818</v>
      </c>
      <c r="G195" s="267"/>
      <c r="H195" s="641">
        <v>100</v>
      </c>
    </row>
    <row r="196" spans="1:8" s="760" customFormat="1" ht="13.5" customHeight="1" x14ac:dyDescent="0.25">
      <c r="A196" s="267">
        <v>441</v>
      </c>
      <c r="B196" s="268" t="s">
        <v>1145</v>
      </c>
      <c r="C196" s="267" t="s">
        <v>1144</v>
      </c>
      <c r="D196" s="267"/>
      <c r="E196" s="268" t="s">
        <v>10896</v>
      </c>
      <c r="F196" s="268" t="s">
        <v>7705</v>
      </c>
      <c r="G196" s="267"/>
      <c r="H196" s="641">
        <v>300</v>
      </c>
    </row>
    <row r="197" spans="1:8" s="760" customFormat="1" ht="13.5" customHeight="1" x14ac:dyDescent="0.25">
      <c r="A197" s="267">
        <v>441</v>
      </c>
      <c r="B197" s="268" t="s">
        <v>1145</v>
      </c>
      <c r="C197" s="267" t="s">
        <v>1144</v>
      </c>
      <c r="D197" s="267"/>
      <c r="E197" s="268" t="s">
        <v>2573</v>
      </c>
      <c r="F197" s="268" t="s">
        <v>10897</v>
      </c>
      <c r="G197" s="267"/>
      <c r="H197" s="641">
        <v>300</v>
      </c>
    </row>
    <row r="198" spans="1:8" s="760" customFormat="1" ht="13.5" customHeight="1" x14ac:dyDescent="0.25">
      <c r="A198" s="267">
        <v>441</v>
      </c>
      <c r="B198" s="268" t="s">
        <v>1145</v>
      </c>
      <c r="C198" s="267" t="s">
        <v>1144</v>
      </c>
      <c r="D198" s="267"/>
      <c r="E198" s="268" t="s">
        <v>7778</v>
      </c>
      <c r="F198" s="268" t="s">
        <v>7733</v>
      </c>
      <c r="G198" s="267"/>
      <c r="H198" s="641">
        <v>300</v>
      </c>
    </row>
    <row r="199" spans="1:8" s="760" customFormat="1" ht="13.5" customHeight="1" x14ac:dyDescent="0.25">
      <c r="A199" s="267">
        <v>441</v>
      </c>
      <c r="B199" s="268" t="s">
        <v>1145</v>
      </c>
      <c r="C199" s="267" t="s">
        <v>1144</v>
      </c>
      <c r="D199" s="267"/>
      <c r="E199" s="268" t="s">
        <v>2566</v>
      </c>
      <c r="F199" s="268" t="s">
        <v>2567</v>
      </c>
      <c r="G199" s="267"/>
      <c r="H199" s="641">
        <v>300</v>
      </c>
    </row>
    <row r="200" spans="1:8" s="760" customFormat="1" ht="13.5" customHeight="1" x14ac:dyDescent="0.25">
      <c r="A200" s="267">
        <v>441</v>
      </c>
      <c r="B200" s="268" t="s">
        <v>1145</v>
      </c>
      <c r="C200" s="267" t="s">
        <v>1144</v>
      </c>
      <c r="D200" s="267"/>
      <c r="E200" s="268" t="s">
        <v>2598</v>
      </c>
      <c r="F200" s="268" t="s">
        <v>2565</v>
      </c>
      <c r="G200" s="267"/>
      <c r="H200" s="641">
        <v>200</v>
      </c>
    </row>
    <row r="201" spans="1:8" s="760" customFormat="1" ht="13.5" customHeight="1" x14ac:dyDescent="0.25">
      <c r="A201" s="267">
        <v>441</v>
      </c>
      <c r="B201" s="268" t="s">
        <v>1145</v>
      </c>
      <c r="C201" s="267" t="s">
        <v>1144</v>
      </c>
      <c r="D201" s="267"/>
      <c r="E201" s="268" t="s">
        <v>7641</v>
      </c>
      <c r="F201" s="268"/>
      <c r="G201" s="267" t="s">
        <v>7697</v>
      </c>
      <c r="H201" s="641">
        <v>200</v>
      </c>
    </row>
    <row r="202" spans="1:8" s="760" customFormat="1" ht="13.5" customHeight="1" x14ac:dyDescent="0.25">
      <c r="A202" s="267">
        <v>441</v>
      </c>
      <c r="B202" s="268" t="s">
        <v>1145</v>
      </c>
      <c r="C202" s="267" t="s">
        <v>1144</v>
      </c>
      <c r="D202" s="267"/>
      <c r="E202" s="268" t="s">
        <v>7926</v>
      </c>
      <c r="F202" s="268" t="s">
        <v>7927</v>
      </c>
      <c r="G202" s="267"/>
      <c r="H202" s="641">
        <v>200</v>
      </c>
    </row>
    <row r="203" spans="1:8" s="760" customFormat="1" ht="13.5" customHeight="1" x14ac:dyDescent="0.25">
      <c r="A203" s="267">
        <v>441</v>
      </c>
      <c r="B203" s="268" t="s">
        <v>1145</v>
      </c>
      <c r="C203" s="267" t="s">
        <v>1144</v>
      </c>
      <c r="D203" s="267"/>
      <c r="E203" s="268" t="s">
        <v>10898</v>
      </c>
      <c r="F203" s="268" t="s">
        <v>10899</v>
      </c>
      <c r="G203" s="267"/>
      <c r="H203" s="641">
        <v>400</v>
      </c>
    </row>
    <row r="204" spans="1:8" s="760" customFormat="1" ht="13.5" customHeight="1" x14ac:dyDescent="0.25">
      <c r="A204" s="267">
        <v>441</v>
      </c>
      <c r="B204" s="268" t="s">
        <v>1145</v>
      </c>
      <c r="C204" s="267" t="s">
        <v>1144</v>
      </c>
      <c r="D204" s="267"/>
      <c r="E204" s="268" t="s">
        <v>2561</v>
      </c>
      <c r="F204" s="268" t="s">
        <v>2071</v>
      </c>
      <c r="G204" s="267"/>
      <c r="H204" s="641">
        <v>300</v>
      </c>
    </row>
    <row r="205" spans="1:8" s="760" customFormat="1" ht="13.5" customHeight="1" x14ac:dyDescent="0.25">
      <c r="A205" s="267">
        <v>441</v>
      </c>
      <c r="B205" s="268" t="s">
        <v>1145</v>
      </c>
      <c r="C205" s="267" t="s">
        <v>1144</v>
      </c>
      <c r="D205" s="267"/>
      <c r="E205" s="268" t="s">
        <v>7671</v>
      </c>
      <c r="F205" s="268" t="s">
        <v>2069</v>
      </c>
      <c r="G205" s="267"/>
      <c r="H205" s="641">
        <v>200</v>
      </c>
    </row>
    <row r="206" spans="1:8" s="760" customFormat="1" ht="13.5" customHeight="1" x14ac:dyDescent="0.25">
      <c r="A206" s="267">
        <v>441</v>
      </c>
      <c r="B206" s="268" t="s">
        <v>1145</v>
      </c>
      <c r="C206" s="267" t="s">
        <v>1144</v>
      </c>
      <c r="D206" s="267"/>
      <c r="E206" s="268" t="s">
        <v>10900</v>
      </c>
      <c r="F206" s="268" t="s">
        <v>10901</v>
      </c>
      <c r="G206" s="267"/>
      <c r="H206" s="641">
        <v>300</v>
      </c>
    </row>
    <row r="207" spans="1:8" s="760" customFormat="1" ht="13.5" customHeight="1" x14ac:dyDescent="0.25">
      <c r="A207" s="267">
        <v>441</v>
      </c>
      <c r="B207" s="268" t="s">
        <v>1145</v>
      </c>
      <c r="C207" s="267" t="s">
        <v>1144</v>
      </c>
      <c r="D207" s="267"/>
      <c r="E207" s="268" t="s">
        <v>2517</v>
      </c>
      <c r="F207" s="268" t="s">
        <v>1154</v>
      </c>
      <c r="G207" s="267"/>
      <c r="H207" s="641">
        <v>300</v>
      </c>
    </row>
    <row r="208" spans="1:8" s="760" customFormat="1" ht="13.5" customHeight="1" x14ac:dyDescent="0.25">
      <c r="A208" s="267">
        <v>441</v>
      </c>
      <c r="B208" s="268" t="s">
        <v>1145</v>
      </c>
      <c r="C208" s="267" t="s">
        <v>1144</v>
      </c>
      <c r="D208" s="267"/>
      <c r="E208" s="268" t="s">
        <v>2507</v>
      </c>
      <c r="F208" s="268"/>
      <c r="G208" s="267" t="s">
        <v>10790</v>
      </c>
      <c r="H208" s="641">
        <v>300</v>
      </c>
    </row>
    <row r="209" spans="1:8" s="760" customFormat="1" ht="13.5" customHeight="1" x14ac:dyDescent="0.25">
      <c r="A209" s="267">
        <v>441</v>
      </c>
      <c r="B209" s="268" t="s">
        <v>1145</v>
      </c>
      <c r="C209" s="267" t="s">
        <v>1144</v>
      </c>
      <c r="D209" s="267"/>
      <c r="E209" s="268" t="s">
        <v>2574</v>
      </c>
      <c r="F209" s="268" t="s">
        <v>2582</v>
      </c>
      <c r="G209" s="267"/>
      <c r="H209" s="641">
        <v>300</v>
      </c>
    </row>
    <row r="210" spans="1:8" s="760" customFormat="1" ht="13.5" customHeight="1" x14ac:dyDescent="0.25">
      <c r="A210" s="267">
        <v>441</v>
      </c>
      <c r="B210" s="268" t="s">
        <v>1145</v>
      </c>
      <c r="C210" s="267" t="s">
        <v>1144</v>
      </c>
      <c r="D210" s="267"/>
      <c r="E210" s="268" t="s">
        <v>10902</v>
      </c>
      <c r="F210" s="268" t="s">
        <v>10903</v>
      </c>
      <c r="G210" s="267"/>
      <c r="H210" s="641">
        <v>2000</v>
      </c>
    </row>
    <row r="211" spans="1:8" s="760" customFormat="1" ht="13.5" customHeight="1" x14ac:dyDescent="0.25">
      <c r="A211" s="267">
        <v>441</v>
      </c>
      <c r="B211" s="268" t="s">
        <v>1145</v>
      </c>
      <c r="C211" s="267" t="s">
        <v>1144</v>
      </c>
      <c r="D211" s="267"/>
      <c r="E211" s="268" t="s">
        <v>7928</v>
      </c>
      <c r="F211" s="268" t="s">
        <v>7613</v>
      </c>
      <c r="G211" s="267"/>
      <c r="H211" s="641">
        <v>300</v>
      </c>
    </row>
    <row r="212" spans="1:8" s="760" customFormat="1" ht="13.5" customHeight="1" x14ac:dyDescent="0.25">
      <c r="A212" s="267">
        <v>441</v>
      </c>
      <c r="B212" s="268" t="s">
        <v>1145</v>
      </c>
      <c r="C212" s="267" t="s">
        <v>1144</v>
      </c>
      <c r="D212" s="267"/>
      <c r="E212" s="268" t="s">
        <v>7649</v>
      </c>
      <c r="F212" s="268" t="s">
        <v>2529</v>
      </c>
      <c r="G212" s="267"/>
      <c r="H212" s="641">
        <v>200</v>
      </c>
    </row>
    <row r="213" spans="1:8" s="760" customFormat="1" ht="13.5" customHeight="1" x14ac:dyDescent="0.25">
      <c r="A213" s="267">
        <v>441</v>
      </c>
      <c r="B213" s="268" t="s">
        <v>1145</v>
      </c>
      <c r="C213" s="267" t="s">
        <v>1144</v>
      </c>
      <c r="D213" s="267"/>
      <c r="E213" s="268" t="s">
        <v>7826</v>
      </c>
      <c r="F213" s="268" t="s">
        <v>10904</v>
      </c>
      <c r="G213" s="267"/>
      <c r="H213" s="641">
        <v>100</v>
      </c>
    </row>
    <row r="214" spans="1:8" s="760" customFormat="1" ht="13.5" customHeight="1" x14ac:dyDescent="0.25">
      <c r="A214" s="267">
        <v>441</v>
      </c>
      <c r="B214" s="268" t="s">
        <v>1145</v>
      </c>
      <c r="C214" s="267" t="s">
        <v>1144</v>
      </c>
      <c r="D214" s="267"/>
      <c r="E214" s="268" t="s">
        <v>7650</v>
      </c>
      <c r="F214" s="268" t="s">
        <v>2588</v>
      </c>
      <c r="G214" s="267"/>
      <c r="H214" s="641">
        <v>300</v>
      </c>
    </row>
    <row r="215" spans="1:8" s="760" customFormat="1" ht="13.5" customHeight="1" x14ac:dyDescent="0.25">
      <c r="A215" s="267">
        <v>441</v>
      </c>
      <c r="B215" s="268" t="s">
        <v>1145</v>
      </c>
      <c r="C215" s="267" t="s">
        <v>1144</v>
      </c>
      <c r="D215" s="267"/>
      <c r="E215" s="268" t="s">
        <v>7928</v>
      </c>
      <c r="F215" s="268" t="s">
        <v>7613</v>
      </c>
      <c r="G215" s="267"/>
      <c r="H215" s="641">
        <v>500</v>
      </c>
    </row>
    <row r="216" spans="1:8" s="760" customFormat="1" ht="13.5" customHeight="1" x14ac:dyDescent="0.25">
      <c r="A216" s="267">
        <v>441</v>
      </c>
      <c r="B216" s="268" t="s">
        <v>1145</v>
      </c>
      <c r="C216" s="267" t="s">
        <v>1144</v>
      </c>
      <c r="D216" s="267"/>
      <c r="E216" s="268" t="s">
        <v>2510</v>
      </c>
      <c r="F216" s="268" t="s">
        <v>2511</v>
      </c>
      <c r="G216" s="267"/>
      <c r="H216" s="641">
        <v>200</v>
      </c>
    </row>
    <row r="217" spans="1:8" s="760" customFormat="1" ht="13.5" customHeight="1" x14ac:dyDescent="0.25">
      <c r="A217" s="267">
        <v>441</v>
      </c>
      <c r="B217" s="268" t="s">
        <v>1145</v>
      </c>
      <c r="C217" s="267" t="s">
        <v>1144</v>
      </c>
      <c r="D217" s="267"/>
      <c r="E217" s="268" t="s">
        <v>10905</v>
      </c>
      <c r="F217" s="268" t="s">
        <v>10906</v>
      </c>
      <c r="G217" s="267"/>
      <c r="H217" s="641">
        <v>1000</v>
      </c>
    </row>
    <row r="218" spans="1:8" s="760" customFormat="1" ht="13.5" customHeight="1" x14ac:dyDescent="0.25">
      <c r="A218" s="267">
        <v>441</v>
      </c>
      <c r="B218" s="268" t="s">
        <v>1145</v>
      </c>
      <c r="C218" s="267" t="s">
        <v>1144</v>
      </c>
      <c r="D218" s="267"/>
      <c r="E218" s="268" t="s">
        <v>7763</v>
      </c>
      <c r="F218" s="268" t="s">
        <v>7863</v>
      </c>
      <c r="G218" s="267"/>
      <c r="H218" s="641">
        <v>200</v>
      </c>
    </row>
    <row r="219" spans="1:8" s="760" customFormat="1" ht="13.5" customHeight="1" x14ac:dyDescent="0.25">
      <c r="A219" s="267">
        <v>441</v>
      </c>
      <c r="B219" s="268" t="s">
        <v>1145</v>
      </c>
      <c r="C219" s="267" t="s">
        <v>1144</v>
      </c>
      <c r="D219" s="267"/>
      <c r="E219" s="268" t="s">
        <v>10907</v>
      </c>
      <c r="F219" s="268" t="s">
        <v>10908</v>
      </c>
      <c r="G219" s="267"/>
      <c r="H219" s="641">
        <v>500</v>
      </c>
    </row>
    <row r="220" spans="1:8" s="760" customFormat="1" ht="13.5" customHeight="1" x14ac:dyDescent="0.25">
      <c r="A220" s="267">
        <v>441</v>
      </c>
      <c r="B220" s="268" t="s">
        <v>1145</v>
      </c>
      <c r="C220" s="267" t="s">
        <v>1144</v>
      </c>
      <c r="D220" s="267"/>
      <c r="E220" s="268" t="s">
        <v>7664</v>
      </c>
      <c r="F220" s="268" t="s">
        <v>7665</v>
      </c>
      <c r="G220" s="267"/>
      <c r="H220" s="641">
        <v>400</v>
      </c>
    </row>
    <row r="221" spans="1:8" s="760" customFormat="1" ht="13.5" customHeight="1" x14ac:dyDescent="0.25">
      <c r="A221" s="267">
        <v>441</v>
      </c>
      <c r="B221" s="268" t="s">
        <v>1145</v>
      </c>
      <c r="C221" s="267" t="s">
        <v>1144</v>
      </c>
      <c r="D221" s="267"/>
      <c r="E221" s="268" t="s">
        <v>10909</v>
      </c>
      <c r="F221" s="268"/>
      <c r="G221" s="267" t="s">
        <v>10910</v>
      </c>
      <c r="H221" s="641">
        <v>500</v>
      </c>
    </row>
    <row r="222" spans="1:8" s="760" customFormat="1" ht="13.5" customHeight="1" x14ac:dyDescent="0.25">
      <c r="A222" s="267">
        <v>441</v>
      </c>
      <c r="B222" s="268" t="s">
        <v>1145</v>
      </c>
      <c r="C222" s="267" t="s">
        <v>1144</v>
      </c>
      <c r="D222" s="267"/>
      <c r="E222" s="268" t="s">
        <v>7893</v>
      </c>
      <c r="F222" s="268" t="s">
        <v>7684</v>
      </c>
      <c r="G222" s="267"/>
      <c r="H222" s="641">
        <v>240</v>
      </c>
    </row>
    <row r="223" spans="1:8" s="760" customFormat="1" ht="13.5" customHeight="1" x14ac:dyDescent="0.25">
      <c r="A223" s="267">
        <v>441</v>
      </c>
      <c r="B223" s="268" t="s">
        <v>1145</v>
      </c>
      <c r="C223" s="267" t="s">
        <v>1144</v>
      </c>
      <c r="D223" s="267"/>
      <c r="E223" s="268" t="s">
        <v>7757</v>
      </c>
      <c r="F223" s="268" t="s">
        <v>1162</v>
      </c>
      <c r="G223" s="267"/>
      <c r="H223" s="641">
        <v>300</v>
      </c>
    </row>
    <row r="224" spans="1:8" s="760" customFormat="1" ht="13.5" customHeight="1" x14ac:dyDescent="0.25">
      <c r="A224" s="267">
        <v>441</v>
      </c>
      <c r="B224" s="268" t="s">
        <v>1145</v>
      </c>
      <c r="C224" s="267" t="s">
        <v>1144</v>
      </c>
      <c r="D224" s="267"/>
      <c r="E224" s="268" t="s">
        <v>10911</v>
      </c>
      <c r="F224" s="268" t="s">
        <v>10912</v>
      </c>
      <c r="G224" s="267"/>
      <c r="H224" s="641">
        <v>400</v>
      </c>
    </row>
    <row r="225" spans="1:8" s="760" customFormat="1" ht="13.5" customHeight="1" x14ac:dyDescent="0.25">
      <c r="A225" s="267">
        <v>441</v>
      </c>
      <c r="B225" s="268" t="s">
        <v>1145</v>
      </c>
      <c r="C225" s="267" t="s">
        <v>1144</v>
      </c>
      <c r="D225" s="267"/>
      <c r="E225" s="268" t="s">
        <v>2591</v>
      </c>
      <c r="F225" s="268"/>
      <c r="G225" s="267" t="s">
        <v>2604</v>
      </c>
      <c r="H225" s="641">
        <v>226</v>
      </c>
    </row>
    <row r="226" spans="1:8" s="760" customFormat="1" ht="13.5" customHeight="1" x14ac:dyDescent="0.25">
      <c r="A226" s="267">
        <v>441</v>
      </c>
      <c r="B226" s="268" t="s">
        <v>1145</v>
      </c>
      <c r="C226" s="267" t="s">
        <v>1144</v>
      </c>
      <c r="D226" s="267"/>
      <c r="E226" s="268" t="s">
        <v>7633</v>
      </c>
      <c r="F226" s="268" t="s">
        <v>7909</v>
      </c>
      <c r="G226" s="267"/>
      <c r="H226" s="641">
        <v>300</v>
      </c>
    </row>
    <row r="227" spans="1:8" s="760" customFormat="1" ht="13.5" customHeight="1" x14ac:dyDescent="0.25">
      <c r="A227" s="267">
        <v>441</v>
      </c>
      <c r="B227" s="268" t="s">
        <v>1145</v>
      </c>
      <c r="C227" s="267" t="s">
        <v>1144</v>
      </c>
      <c r="D227" s="267"/>
      <c r="E227" s="268" t="s">
        <v>10913</v>
      </c>
      <c r="F227" s="268" t="s">
        <v>10914</v>
      </c>
      <c r="G227" s="267"/>
      <c r="H227" s="641">
        <v>900</v>
      </c>
    </row>
    <row r="228" spans="1:8" s="760" customFormat="1" ht="13.5" customHeight="1" x14ac:dyDescent="0.25">
      <c r="A228" s="267">
        <v>441</v>
      </c>
      <c r="B228" s="268" t="s">
        <v>1145</v>
      </c>
      <c r="C228" s="267" t="s">
        <v>1144</v>
      </c>
      <c r="D228" s="267"/>
      <c r="E228" s="268" t="s">
        <v>2524</v>
      </c>
      <c r="F228" s="268" t="s">
        <v>2525</v>
      </c>
      <c r="G228" s="267"/>
      <c r="H228" s="641">
        <v>3000</v>
      </c>
    </row>
    <row r="229" spans="1:8" s="760" customFormat="1" ht="13.5" customHeight="1" x14ac:dyDescent="0.25">
      <c r="A229" s="267">
        <v>441</v>
      </c>
      <c r="B229" s="268" t="s">
        <v>1145</v>
      </c>
      <c r="C229" s="267" t="s">
        <v>1144</v>
      </c>
      <c r="D229" s="267"/>
      <c r="E229" s="268" t="s">
        <v>7655</v>
      </c>
      <c r="F229" s="268" t="s">
        <v>7647</v>
      </c>
      <c r="G229" s="267"/>
      <c r="H229" s="641">
        <v>200</v>
      </c>
    </row>
    <row r="230" spans="1:8" s="760" customFormat="1" ht="13.5" customHeight="1" x14ac:dyDescent="0.25">
      <c r="A230" s="267">
        <v>441</v>
      </c>
      <c r="B230" s="268" t="s">
        <v>1145</v>
      </c>
      <c r="C230" s="267" t="s">
        <v>1144</v>
      </c>
      <c r="D230" s="267"/>
      <c r="E230" s="268" t="s">
        <v>1146</v>
      </c>
      <c r="F230" s="268" t="s">
        <v>1147</v>
      </c>
      <c r="G230" s="267"/>
      <c r="H230" s="641">
        <v>500</v>
      </c>
    </row>
    <row r="231" spans="1:8" s="760" customFormat="1" ht="13.5" customHeight="1" x14ac:dyDescent="0.25">
      <c r="A231" s="267">
        <v>441</v>
      </c>
      <c r="B231" s="268" t="s">
        <v>1145</v>
      </c>
      <c r="C231" s="267" t="s">
        <v>1144</v>
      </c>
      <c r="D231" s="267"/>
      <c r="E231" s="268" t="s">
        <v>10915</v>
      </c>
      <c r="F231" s="268" t="s">
        <v>10916</v>
      </c>
      <c r="G231" s="267"/>
      <c r="H231" s="641">
        <v>400</v>
      </c>
    </row>
    <row r="232" spans="1:8" s="760" customFormat="1" ht="13.5" customHeight="1" x14ac:dyDescent="0.25">
      <c r="A232" s="267">
        <v>441</v>
      </c>
      <c r="B232" s="268" t="s">
        <v>1145</v>
      </c>
      <c r="C232" s="267" t="s">
        <v>1144</v>
      </c>
      <c r="D232" s="267"/>
      <c r="E232" s="268" t="s">
        <v>10917</v>
      </c>
      <c r="F232" s="268" t="s">
        <v>2506</v>
      </c>
      <c r="G232" s="267"/>
      <c r="H232" s="641">
        <v>900</v>
      </c>
    </row>
    <row r="233" spans="1:8" s="760" customFormat="1" ht="13.5" customHeight="1" x14ac:dyDescent="0.25">
      <c r="A233" s="267">
        <v>441</v>
      </c>
      <c r="B233" s="268" t="s">
        <v>1145</v>
      </c>
      <c r="C233" s="267" t="s">
        <v>1144</v>
      </c>
      <c r="D233" s="267"/>
      <c r="E233" s="268" t="s">
        <v>7907</v>
      </c>
      <c r="F233" s="268" t="s">
        <v>7908</v>
      </c>
      <c r="G233" s="267"/>
      <c r="H233" s="641">
        <v>200</v>
      </c>
    </row>
    <row r="234" spans="1:8" s="760" customFormat="1" ht="13.5" customHeight="1" x14ac:dyDescent="0.25">
      <c r="A234" s="267">
        <v>441</v>
      </c>
      <c r="B234" s="268" t="s">
        <v>1145</v>
      </c>
      <c r="C234" s="267" t="s">
        <v>1144</v>
      </c>
      <c r="D234" s="267"/>
      <c r="E234" s="268" t="s">
        <v>10918</v>
      </c>
      <c r="F234" s="268" t="s">
        <v>10919</v>
      </c>
      <c r="G234" s="267"/>
      <c r="H234" s="641">
        <v>690</v>
      </c>
    </row>
    <row r="235" spans="1:8" s="760" customFormat="1" ht="13.5" customHeight="1" x14ac:dyDescent="0.25">
      <c r="A235" s="267">
        <v>441</v>
      </c>
      <c r="B235" s="268" t="s">
        <v>1145</v>
      </c>
      <c r="C235" s="267" t="s">
        <v>1144</v>
      </c>
      <c r="D235" s="267"/>
      <c r="E235" s="268" t="s">
        <v>10920</v>
      </c>
      <c r="F235" s="268" t="s">
        <v>10921</v>
      </c>
      <c r="G235" s="267"/>
      <c r="H235" s="641">
        <v>200</v>
      </c>
    </row>
    <row r="236" spans="1:8" s="760" customFormat="1" ht="13.5" customHeight="1" x14ac:dyDescent="0.25">
      <c r="A236" s="267">
        <v>441</v>
      </c>
      <c r="B236" s="268" t="s">
        <v>1145</v>
      </c>
      <c r="C236" s="267" t="s">
        <v>1144</v>
      </c>
      <c r="D236" s="267"/>
      <c r="E236" s="268" t="s">
        <v>7679</v>
      </c>
      <c r="F236" s="268" t="s">
        <v>2526</v>
      </c>
      <c r="G236" s="267"/>
      <c r="H236" s="641">
        <v>200</v>
      </c>
    </row>
    <row r="237" spans="1:8" s="760" customFormat="1" ht="13.5" customHeight="1" x14ac:dyDescent="0.25">
      <c r="A237" s="267">
        <v>441</v>
      </c>
      <c r="B237" s="268" t="s">
        <v>1145</v>
      </c>
      <c r="C237" s="267" t="s">
        <v>1144</v>
      </c>
      <c r="D237" s="267"/>
      <c r="E237" s="268" t="s">
        <v>7764</v>
      </c>
      <c r="F237" s="268" t="s">
        <v>7765</v>
      </c>
      <c r="G237" s="267"/>
      <c r="H237" s="641">
        <v>150</v>
      </c>
    </row>
    <row r="238" spans="1:8" s="760" customFormat="1" ht="13.5" customHeight="1" x14ac:dyDescent="0.25">
      <c r="A238" s="267">
        <v>441</v>
      </c>
      <c r="B238" s="268" t="s">
        <v>1145</v>
      </c>
      <c r="C238" s="267" t="s">
        <v>1144</v>
      </c>
      <c r="D238" s="267"/>
      <c r="E238" s="268" t="s">
        <v>10922</v>
      </c>
      <c r="F238" s="268" t="s">
        <v>10923</v>
      </c>
      <c r="G238" s="267"/>
      <c r="H238" s="641">
        <v>600</v>
      </c>
    </row>
    <row r="239" spans="1:8" s="760" customFormat="1" ht="13.5" customHeight="1" x14ac:dyDescent="0.25">
      <c r="A239" s="267">
        <v>441</v>
      </c>
      <c r="B239" s="268" t="s">
        <v>1145</v>
      </c>
      <c r="C239" s="267" t="s">
        <v>1144</v>
      </c>
      <c r="D239" s="267"/>
      <c r="E239" s="268" t="s">
        <v>1197</v>
      </c>
      <c r="F239" s="268" t="s">
        <v>1198</v>
      </c>
      <c r="G239" s="267"/>
      <c r="H239" s="641">
        <v>150</v>
      </c>
    </row>
    <row r="240" spans="1:8" s="760" customFormat="1" ht="13.5" customHeight="1" x14ac:dyDescent="0.25">
      <c r="A240" s="267">
        <v>441</v>
      </c>
      <c r="B240" s="268" t="s">
        <v>1145</v>
      </c>
      <c r="C240" s="267" t="s">
        <v>1144</v>
      </c>
      <c r="D240" s="267"/>
      <c r="E240" s="268" t="s">
        <v>10924</v>
      </c>
      <c r="F240" s="268" t="s">
        <v>10925</v>
      </c>
      <c r="G240" s="267"/>
      <c r="H240" s="641">
        <v>200</v>
      </c>
    </row>
    <row r="241" spans="1:8" s="760" customFormat="1" ht="13.5" customHeight="1" x14ac:dyDescent="0.25">
      <c r="A241" s="267">
        <v>441</v>
      </c>
      <c r="B241" s="268" t="s">
        <v>1145</v>
      </c>
      <c r="C241" s="267" t="s">
        <v>1144</v>
      </c>
      <c r="D241" s="267"/>
      <c r="E241" s="268" t="s">
        <v>2596</v>
      </c>
      <c r="F241" s="268" t="s">
        <v>10926</v>
      </c>
      <c r="G241" s="267"/>
      <c r="H241" s="641">
        <v>200</v>
      </c>
    </row>
    <row r="242" spans="1:8" s="760" customFormat="1" ht="13.5" customHeight="1" x14ac:dyDescent="0.25">
      <c r="A242" s="267">
        <v>441</v>
      </c>
      <c r="B242" s="268" t="s">
        <v>1145</v>
      </c>
      <c r="C242" s="267" t="s">
        <v>1144</v>
      </c>
      <c r="D242" s="267"/>
      <c r="E242" s="268" t="s">
        <v>7793</v>
      </c>
      <c r="F242" s="268" t="s">
        <v>10927</v>
      </c>
      <c r="G242" s="267"/>
      <c r="H242" s="641">
        <v>300</v>
      </c>
    </row>
    <row r="243" spans="1:8" s="760" customFormat="1" ht="13.5" customHeight="1" x14ac:dyDescent="0.25">
      <c r="A243" s="267">
        <v>441</v>
      </c>
      <c r="B243" s="268" t="s">
        <v>1148</v>
      </c>
      <c r="C243" s="267" t="s">
        <v>1144</v>
      </c>
      <c r="D243" s="267"/>
      <c r="E243" s="268" t="s">
        <v>10928</v>
      </c>
      <c r="F243" s="268"/>
      <c r="G243" s="267"/>
      <c r="H243" s="641">
        <v>15000</v>
      </c>
    </row>
    <row r="244" spans="1:8" s="760" customFormat="1" ht="13.5" customHeight="1" x14ac:dyDescent="0.25">
      <c r="A244" s="267">
        <v>441</v>
      </c>
      <c r="B244" s="268" t="s">
        <v>1145</v>
      </c>
      <c r="C244" s="267" t="s">
        <v>1144</v>
      </c>
      <c r="D244" s="267"/>
      <c r="E244" s="268" t="s">
        <v>10929</v>
      </c>
      <c r="F244" s="268" t="s">
        <v>10930</v>
      </c>
      <c r="G244" s="267"/>
      <c r="H244" s="641">
        <v>1300</v>
      </c>
    </row>
    <row r="245" spans="1:8" s="760" customFormat="1" ht="13.5" customHeight="1" x14ac:dyDescent="0.25">
      <c r="A245" s="267">
        <v>441</v>
      </c>
      <c r="B245" s="268" t="s">
        <v>1145</v>
      </c>
      <c r="C245" s="267" t="s">
        <v>1144</v>
      </c>
      <c r="D245" s="267"/>
      <c r="E245" s="268" t="s">
        <v>10931</v>
      </c>
      <c r="F245" s="268"/>
      <c r="G245" s="267" t="s">
        <v>10932</v>
      </c>
      <c r="H245" s="641">
        <v>600</v>
      </c>
    </row>
    <row r="246" spans="1:8" s="760" customFormat="1" ht="13.5" customHeight="1" x14ac:dyDescent="0.25">
      <c r="A246" s="267">
        <v>442</v>
      </c>
      <c r="B246" s="268" t="s">
        <v>1145</v>
      </c>
      <c r="C246" s="267" t="s">
        <v>1144</v>
      </c>
      <c r="D246" s="267"/>
      <c r="E246" s="268" t="s">
        <v>2068</v>
      </c>
      <c r="F246" s="268"/>
      <c r="G246" s="267"/>
      <c r="H246" s="641">
        <v>10400</v>
      </c>
    </row>
    <row r="247" spans="1:8" s="760" customFormat="1" ht="13.5" customHeight="1" x14ac:dyDescent="0.25">
      <c r="A247" s="267">
        <v>445</v>
      </c>
      <c r="B247" s="268" t="s">
        <v>1145</v>
      </c>
      <c r="C247" s="267" t="s">
        <v>1144</v>
      </c>
      <c r="D247" s="267"/>
      <c r="E247" s="268" t="s">
        <v>10933</v>
      </c>
      <c r="F247" s="268"/>
      <c r="G247" s="267"/>
      <c r="H247" s="641">
        <v>15000</v>
      </c>
    </row>
    <row r="248" spans="1:8" s="760" customFormat="1" ht="13.5" customHeight="1" x14ac:dyDescent="0.25">
      <c r="A248" s="267">
        <v>445</v>
      </c>
      <c r="B248" s="268" t="s">
        <v>1148</v>
      </c>
      <c r="C248" s="267" t="s">
        <v>1144</v>
      </c>
      <c r="D248" s="267"/>
      <c r="E248" s="268" t="s">
        <v>10934</v>
      </c>
      <c r="F248" s="268"/>
      <c r="G248" s="267" t="s">
        <v>10935</v>
      </c>
      <c r="H248" s="641">
        <v>13920</v>
      </c>
    </row>
    <row r="249" spans="1:8" s="760" customFormat="1" ht="13.5" customHeight="1" x14ac:dyDescent="0.25">
      <c r="A249" s="267">
        <v>441</v>
      </c>
      <c r="B249" s="268" t="s">
        <v>1145</v>
      </c>
      <c r="C249" s="267" t="s">
        <v>1144</v>
      </c>
      <c r="D249" s="267"/>
      <c r="E249" s="268" t="s">
        <v>10936</v>
      </c>
      <c r="F249" s="268" t="s">
        <v>7686</v>
      </c>
      <c r="G249" s="267"/>
      <c r="H249" s="641">
        <v>300</v>
      </c>
    </row>
    <row r="250" spans="1:8" s="760" customFormat="1" ht="13.5" customHeight="1" x14ac:dyDescent="0.25">
      <c r="A250" s="267">
        <v>441</v>
      </c>
      <c r="B250" s="268" t="s">
        <v>1145</v>
      </c>
      <c r="C250" s="267" t="s">
        <v>1144</v>
      </c>
      <c r="D250" s="267"/>
      <c r="E250" s="268" t="s">
        <v>10937</v>
      </c>
      <c r="F250" s="268" t="s">
        <v>10938</v>
      </c>
      <c r="G250" s="267"/>
      <c r="H250" s="641">
        <v>300</v>
      </c>
    </row>
    <row r="251" spans="1:8" s="760" customFormat="1" ht="13.5" customHeight="1" x14ac:dyDescent="0.25">
      <c r="A251" s="267">
        <v>441</v>
      </c>
      <c r="B251" s="268" t="s">
        <v>1145</v>
      </c>
      <c r="C251" s="267" t="s">
        <v>1144</v>
      </c>
      <c r="D251" s="267"/>
      <c r="E251" s="268" t="s">
        <v>10939</v>
      </c>
      <c r="F251" s="268" t="s">
        <v>10940</v>
      </c>
      <c r="G251" s="267"/>
      <c r="H251" s="641">
        <v>260</v>
      </c>
    </row>
    <row r="252" spans="1:8" s="760" customFormat="1" ht="13.5" customHeight="1" x14ac:dyDescent="0.25">
      <c r="A252" s="267">
        <v>441</v>
      </c>
      <c r="B252" s="268" t="s">
        <v>1145</v>
      </c>
      <c r="C252" s="267" t="s">
        <v>1144</v>
      </c>
      <c r="D252" s="267"/>
      <c r="E252" s="268" t="s">
        <v>10941</v>
      </c>
      <c r="F252" s="268" t="s">
        <v>10942</v>
      </c>
      <c r="G252" s="267"/>
      <c r="H252" s="641">
        <v>250</v>
      </c>
    </row>
    <row r="253" spans="1:8" s="760" customFormat="1" ht="13.5" customHeight="1" x14ac:dyDescent="0.25">
      <c r="A253" s="267">
        <v>441</v>
      </c>
      <c r="B253" s="268" t="s">
        <v>1145</v>
      </c>
      <c r="C253" s="267" t="s">
        <v>1144</v>
      </c>
      <c r="D253" s="267"/>
      <c r="E253" s="268" t="s">
        <v>2537</v>
      </c>
      <c r="F253" s="268" t="s">
        <v>2538</v>
      </c>
      <c r="G253" s="267"/>
      <c r="H253" s="641">
        <v>350</v>
      </c>
    </row>
    <row r="254" spans="1:8" s="760" customFormat="1" ht="13.5" customHeight="1" x14ac:dyDescent="0.25">
      <c r="A254" s="267">
        <v>441</v>
      </c>
      <c r="B254" s="268" t="s">
        <v>1145</v>
      </c>
      <c r="C254" s="267" t="s">
        <v>1144</v>
      </c>
      <c r="D254" s="267"/>
      <c r="E254" s="268" t="s">
        <v>1156</v>
      </c>
      <c r="F254" s="268" t="s">
        <v>7682</v>
      </c>
      <c r="G254" s="267"/>
      <c r="H254" s="641">
        <v>300</v>
      </c>
    </row>
    <row r="255" spans="1:8" s="760" customFormat="1" ht="13.5" customHeight="1" x14ac:dyDescent="0.25">
      <c r="A255" s="267">
        <v>441</v>
      </c>
      <c r="B255" s="268" t="s">
        <v>1145</v>
      </c>
      <c r="C255" s="267" t="s">
        <v>1144</v>
      </c>
      <c r="D255" s="267"/>
      <c r="E255" s="268" t="s">
        <v>2522</v>
      </c>
      <c r="F255" s="268" t="s">
        <v>2523</v>
      </c>
      <c r="G255" s="267"/>
      <c r="H255" s="641">
        <v>200</v>
      </c>
    </row>
    <row r="256" spans="1:8" s="760" customFormat="1" ht="13.5" customHeight="1" x14ac:dyDescent="0.25">
      <c r="A256" s="267">
        <v>441</v>
      </c>
      <c r="B256" s="268" t="s">
        <v>1145</v>
      </c>
      <c r="C256" s="267" t="s">
        <v>1144</v>
      </c>
      <c r="D256" s="267"/>
      <c r="E256" s="268" t="s">
        <v>7751</v>
      </c>
      <c r="F256" s="268" t="s">
        <v>7752</v>
      </c>
      <c r="G256" s="267"/>
      <c r="H256" s="641">
        <v>250</v>
      </c>
    </row>
    <row r="257" spans="1:8" s="760" customFormat="1" ht="13.5" customHeight="1" x14ac:dyDescent="0.25">
      <c r="A257" s="267">
        <v>441</v>
      </c>
      <c r="B257" s="268" t="s">
        <v>1145</v>
      </c>
      <c r="C257" s="267" t="s">
        <v>1144</v>
      </c>
      <c r="D257" s="267"/>
      <c r="E257" s="268" t="s">
        <v>7704</v>
      </c>
      <c r="F257" s="268" t="s">
        <v>7724</v>
      </c>
      <c r="G257" s="267"/>
      <c r="H257" s="641">
        <v>250</v>
      </c>
    </row>
    <row r="258" spans="1:8" s="760" customFormat="1" ht="13.5" customHeight="1" x14ac:dyDescent="0.25">
      <c r="A258" s="267">
        <v>441</v>
      </c>
      <c r="B258" s="268" t="s">
        <v>1145</v>
      </c>
      <c r="C258" s="267" t="s">
        <v>1144</v>
      </c>
      <c r="D258" s="267"/>
      <c r="E258" s="268" t="s">
        <v>10943</v>
      </c>
      <c r="F258" s="268" t="s">
        <v>7959</v>
      </c>
      <c r="G258" s="267"/>
      <c r="H258" s="641">
        <v>200</v>
      </c>
    </row>
    <row r="259" spans="1:8" s="760" customFormat="1" ht="13.5" customHeight="1" x14ac:dyDescent="0.25">
      <c r="A259" s="267">
        <v>441</v>
      </c>
      <c r="B259" s="268" t="s">
        <v>1145</v>
      </c>
      <c r="C259" s="267" t="s">
        <v>1144</v>
      </c>
      <c r="D259" s="267"/>
      <c r="E259" s="268" t="s">
        <v>10944</v>
      </c>
      <c r="F259" s="268" t="s">
        <v>10945</v>
      </c>
      <c r="G259" s="267"/>
      <c r="H259" s="641">
        <v>750</v>
      </c>
    </row>
    <row r="260" spans="1:8" s="760" customFormat="1" ht="13.5" customHeight="1" x14ac:dyDescent="0.25">
      <c r="A260" s="267">
        <v>441</v>
      </c>
      <c r="B260" s="268" t="s">
        <v>1145</v>
      </c>
      <c r="C260" s="267" t="s">
        <v>1144</v>
      </c>
      <c r="D260" s="267"/>
      <c r="E260" s="268" t="s">
        <v>2535</v>
      </c>
      <c r="F260" s="268" t="s">
        <v>2536</v>
      </c>
      <c r="G260" s="267"/>
      <c r="H260" s="641">
        <v>150</v>
      </c>
    </row>
    <row r="261" spans="1:8" s="760" customFormat="1" ht="13.5" customHeight="1" x14ac:dyDescent="0.25">
      <c r="A261" s="267">
        <v>441</v>
      </c>
      <c r="B261" s="268" t="s">
        <v>1145</v>
      </c>
      <c r="C261" s="267" t="s">
        <v>1144</v>
      </c>
      <c r="D261" s="267"/>
      <c r="E261" s="268" t="s">
        <v>10946</v>
      </c>
      <c r="F261" s="268" t="s">
        <v>10947</v>
      </c>
      <c r="G261" s="267"/>
      <c r="H261" s="641">
        <v>150</v>
      </c>
    </row>
    <row r="262" spans="1:8" s="760" customFormat="1" ht="13.5" customHeight="1" x14ac:dyDescent="0.25">
      <c r="A262" s="267">
        <v>441</v>
      </c>
      <c r="B262" s="268" t="s">
        <v>1145</v>
      </c>
      <c r="C262" s="267" t="s">
        <v>1144</v>
      </c>
      <c r="D262" s="267"/>
      <c r="E262" s="268" t="s">
        <v>10948</v>
      </c>
      <c r="F262" s="268" t="s">
        <v>10949</v>
      </c>
      <c r="G262" s="267"/>
      <c r="H262" s="641">
        <v>250</v>
      </c>
    </row>
    <row r="263" spans="1:8" s="760" customFormat="1" ht="13.5" customHeight="1" x14ac:dyDescent="0.25">
      <c r="A263" s="267">
        <v>441</v>
      </c>
      <c r="B263" s="268" t="s">
        <v>1145</v>
      </c>
      <c r="C263" s="267" t="s">
        <v>1144</v>
      </c>
      <c r="D263" s="267"/>
      <c r="E263" s="268" t="s">
        <v>7823</v>
      </c>
      <c r="F263" s="268" t="s">
        <v>7824</v>
      </c>
      <c r="G263" s="267"/>
      <c r="H263" s="641">
        <v>200</v>
      </c>
    </row>
    <row r="264" spans="1:8" s="760" customFormat="1" ht="13.5" customHeight="1" x14ac:dyDescent="0.25">
      <c r="A264" s="267">
        <v>441</v>
      </c>
      <c r="B264" s="268" t="s">
        <v>1145</v>
      </c>
      <c r="C264" s="267" t="s">
        <v>1144</v>
      </c>
      <c r="D264" s="267"/>
      <c r="E264" s="268" t="s">
        <v>10950</v>
      </c>
      <c r="F264" s="268" t="s">
        <v>7658</v>
      </c>
      <c r="G264" s="267"/>
      <c r="H264" s="641">
        <v>200</v>
      </c>
    </row>
    <row r="265" spans="1:8" s="760" customFormat="1" ht="13.5" customHeight="1" x14ac:dyDescent="0.25">
      <c r="A265" s="267">
        <v>441</v>
      </c>
      <c r="B265" s="268" t="s">
        <v>1145</v>
      </c>
      <c r="C265" s="267" t="s">
        <v>1144</v>
      </c>
      <c r="D265" s="267"/>
      <c r="E265" s="268" t="s">
        <v>7755</v>
      </c>
      <c r="F265" s="268" t="s">
        <v>7756</v>
      </c>
      <c r="G265" s="267"/>
      <c r="H265" s="641">
        <v>150</v>
      </c>
    </row>
    <row r="266" spans="1:8" s="760" customFormat="1" ht="13.5" customHeight="1" x14ac:dyDescent="0.25">
      <c r="A266" s="267">
        <v>441</v>
      </c>
      <c r="B266" s="268" t="s">
        <v>1145</v>
      </c>
      <c r="C266" s="267" t="s">
        <v>1144</v>
      </c>
      <c r="D266" s="267"/>
      <c r="E266" s="268" t="s">
        <v>10951</v>
      </c>
      <c r="F266" s="268" t="s">
        <v>10952</v>
      </c>
      <c r="G266" s="267"/>
      <c r="H266" s="641">
        <v>596.54</v>
      </c>
    </row>
    <row r="267" spans="1:8" s="760" customFormat="1" ht="13.5" customHeight="1" x14ac:dyDescent="0.25">
      <c r="A267" s="267">
        <v>441</v>
      </c>
      <c r="B267" s="268" t="s">
        <v>1145</v>
      </c>
      <c r="C267" s="267" t="s">
        <v>1144</v>
      </c>
      <c r="D267" s="267"/>
      <c r="E267" s="268" t="s">
        <v>10953</v>
      </c>
      <c r="F267" s="268" t="s">
        <v>10954</v>
      </c>
      <c r="G267" s="267"/>
      <c r="H267" s="641">
        <v>200</v>
      </c>
    </row>
    <row r="268" spans="1:8" s="760" customFormat="1" ht="13.5" customHeight="1" x14ac:dyDescent="0.25">
      <c r="A268" s="267">
        <v>441</v>
      </c>
      <c r="B268" s="268" t="s">
        <v>1145</v>
      </c>
      <c r="C268" s="267" t="s">
        <v>1144</v>
      </c>
      <c r="D268" s="267"/>
      <c r="E268" s="268" t="s">
        <v>7844</v>
      </c>
      <c r="F268" s="268" t="s">
        <v>10955</v>
      </c>
      <c r="G268" s="267"/>
      <c r="H268" s="641">
        <v>500</v>
      </c>
    </row>
    <row r="269" spans="1:8" s="760" customFormat="1" ht="13.5" customHeight="1" x14ac:dyDescent="0.25">
      <c r="A269" s="267">
        <v>441</v>
      </c>
      <c r="B269" s="268" t="s">
        <v>1145</v>
      </c>
      <c r="C269" s="267" t="s">
        <v>1144</v>
      </c>
      <c r="D269" s="267"/>
      <c r="E269" s="268" t="s">
        <v>7861</v>
      </c>
      <c r="F269" s="268" t="s">
        <v>7862</v>
      </c>
      <c r="G269" s="267"/>
      <c r="H269" s="641">
        <v>600</v>
      </c>
    </row>
    <row r="270" spans="1:8" s="760" customFormat="1" ht="13.5" customHeight="1" x14ac:dyDescent="0.25">
      <c r="A270" s="267">
        <v>441</v>
      </c>
      <c r="B270" s="268" t="s">
        <v>1145</v>
      </c>
      <c r="C270" s="267" t="s">
        <v>1144</v>
      </c>
      <c r="D270" s="267"/>
      <c r="E270" s="268" t="s">
        <v>10793</v>
      </c>
      <c r="F270" s="268" t="s">
        <v>10956</v>
      </c>
      <c r="G270" s="267"/>
      <c r="H270" s="641">
        <v>400</v>
      </c>
    </row>
    <row r="271" spans="1:8" s="760" customFormat="1" ht="13.5" customHeight="1" x14ac:dyDescent="0.25">
      <c r="A271" s="267">
        <v>441</v>
      </c>
      <c r="B271" s="268" t="s">
        <v>1145</v>
      </c>
      <c r="C271" s="267" t="s">
        <v>1144</v>
      </c>
      <c r="D271" s="267"/>
      <c r="E271" s="268" t="s">
        <v>7797</v>
      </c>
      <c r="F271" s="268" t="s">
        <v>7798</v>
      </c>
      <c r="G271" s="267"/>
      <c r="H271" s="641">
        <v>500</v>
      </c>
    </row>
    <row r="272" spans="1:8" s="760" customFormat="1" ht="13.5" customHeight="1" x14ac:dyDescent="0.25">
      <c r="A272" s="267">
        <v>441</v>
      </c>
      <c r="B272" s="268" t="s">
        <v>1145</v>
      </c>
      <c r="C272" s="267" t="s">
        <v>1144</v>
      </c>
      <c r="D272" s="267"/>
      <c r="E272" s="268" t="s">
        <v>10957</v>
      </c>
      <c r="F272" s="268" t="s">
        <v>10958</v>
      </c>
      <c r="G272" s="267"/>
      <c r="H272" s="641">
        <v>500</v>
      </c>
    </row>
    <row r="273" spans="1:8" s="760" customFormat="1" ht="13.5" customHeight="1" x14ac:dyDescent="0.25">
      <c r="A273" s="267">
        <v>441</v>
      </c>
      <c r="B273" s="268" t="s">
        <v>1145</v>
      </c>
      <c r="C273" s="267" t="s">
        <v>1144</v>
      </c>
      <c r="D273" s="267"/>
      <c r="E273" s="268" t="s">
        <v>10959</v>
      </c>
      <c r="F273" s="268" t="s">
        <v>10960</v>
      </c>
      <c r="G273" s="267"/>
      <c r="H273" s="641">
        <v>10000</v>
      </c>
    </row>
    <row r="274" spans="1:8" s="760" customFormat="1" ht="13.5" customHeight="1" x14ac:dyDescent="0.25">
      <c r="A274" s="267">
        <v>441</v>
      </c>
      <c r="B274" s="268" t="s">
        <v>1145</v>
      </c>
      <c r="C274" s="267" t="s">
        <v>1144</v>
      </c>
      <c r="D274" s="267"/>
      <c r="E274" s="268" t="s">
        <v>7815</v>
      </c>
      <c r="F274" s="268" t="s">
        <v>7816</v>
      </c>
      <c r="G274" s="267"/>
      <c r="H274" s="641">
        <v>200</v>
      </c>
    </row>
    <row r="275" spans="1:8" s="760" customFormat="1" ht="13.5" customHeight="1" x14ac:dyDescent="0.25">
      <c r="A275" s="267">
        <v>441</v>
      </c>
      <c r="B275" s="268" t="s">
        <v>1145</v>
      </c>
      <c r="C275" s="267" t="s">
        <v>1144</v>
      </c>
      <c r="D275" s="267"/>
      <c r="E275" s="268" t="s">
        <v>2574</v>
      </c>
      <c r="F275" s="268" t="s">
        <v>2582</v>
      </c>
      <c r="G275" s="267"/>
      <c r="H275" s="641">
        <v>250</v>
      </c>
    </row>
    <row r="276" spans="1:8" s="760" customFormat="1" ht="13.5" customHeight="1" x14ac:dyDescent="0.25">
      <c r="A276" s="267">
        <v>441</v>
      </c>
      <c r="B276" s="268" t="s">
        <v>1145</v>
      </c>
      <c r="C276" s="267" t="s">
        <v>1144</v>
      </c>
      <c r="D276" s="267"/>
      <c r="E276" s="268" t="s">
        <v>2594</v>
      </c>
      <c r="F276" s="268" t="s">
        <v>2595</v>
      </c>
      <c r="G276" s="267"/>
      <c r="H276" s="641">
        <v>200</v>
      </c>
    </row>
    <row r="277" spans="1:8" s="760" customFormat="1" ht="13.5" customHeight="1" x14ac:dyDescent="0.25">
      <c r="A277" s="267">
        <v>441</v>
      </c>
      <c r="B277" s="268" t="s">
        <v>1145</v>
      </c>
      <c r="C277" s="267" t="s">
        <v>1144</v>
      </c>
      <c r="D277" s="267"/>
      <c r="E277" s="268" t="s">
        <v>10961</v>
      </c>
      <c r="F277" s="268" t="s">
        <v>7707</v>
      </c>
      <c r="G277" s="267"/>
      <c r="H277" s="641">
        <v>500</v>
      </c>
    </row>
    <row r="278" spans="1:8" s="760" customFormat="1" ht="13.5" customHeight="1" x14ac:dyDescent="0.25">
      <c r="A278" s="267">
        <v>441</v>
      </c>
      <c r="B278" s="268" t="s">
        <v>1145</v>
      </c>
      <c r="C278" s="267" t="s">
        <v>1144</v>
      </c>
      <c r="D278" s="267"/>
      <c r="E278" s="268" t="s">
        <v>10962</v>
      </c>
      <c r="F278" s="268" t="s">
        <v>10963</v>
      </c>
      <c r="G278" s="267"/>
      <c r="H278" s="641">
        <v>250</v>
      </c>
    </row>
    <row r="279" spans="1:8" s="760" customFormat="1" ht="13.5" customHeight="1" x14ac:dyDescent="0.25">
      <c r="A279" s="267">
        <v>441</v>
      </c>
      <c r="B279" s="268" t="s">
        <v>1145</v>
      </c>
      <c r="C279" s="267" t="s">
        <v>1144</v>
      </c>
      <c r="D279" s="267"/>
      <c r="E279" s="268" t="s">
        <v>7615</v>
      </c>
      <c r="F279" s="268" t="s">
        <v>7741</v>
      </c>
      <c r="G279" s="267"/>
      <c r="H279" s="641">
        <v>200</v>
      </c>
    </row>
    <row r="280" spans="1:8" s="760" customFormat="1" ht="13.5" customHeight="1" x14ac:dyDescent="0.25">
      <c r="A280" s="267">
        <v>441</v>
      </c>
      <c r="B280" s="268" t="s">
        <v>1145</v>
      </c>
      <c r="C280" s="267" t="s">
        <v>1144</v>
      </c>
      <c r="D280" s="267"/>
      <c r="E280" s="268" t="s">
        <v>10964</v>
      </c>
      <c r="F280" s="268" t="s">
        <v>7743</v>
      </c>
      <c r="G280" s="267"/>
      <c r="H280" s="641">
        <v>272</v>
      </c>
    </row>
    <row r="281" spans="1:8" s="760" customFormat="1" ht="13.5" customHeight="1" x14ac:dyDescent="0.25">
      <c r="A281" s="267">
        <v>441</v>
      </c>
      <c r="B281" s="268" t="s">
        <v>1145</v>
      </c>
      <c r="C281" s="267" t="s">
        <v>1144</v>
      </c>
      <c r="D281" s="267"/>
      <c r="E281" s="268" t="s">
        <v>10965</v>
      </c>
      <c r="F281" s="268" t="s">
        <v>10966</v>
      </c>
      <c r="G281" s="267"/>
      <c r="H281" s="641">
        <v>400</v>
      </c>
    </row>
    <row r="282" spans="1:8" s="760" customFormat="1" ht="13.5" customHeight="1" x14ac:dyDescent="0.25">
      <c r="A282" s="267">
        <v>441</v>
      </c>
      <c r="B282" s="268" t="s">
        <v>1145</v>
      </c>
      <c r="C282" s="267" t="s">
        <v>1144</v>
      </c>
      <c r="D282" s="267"/>
      <c r="E282" s="268" t="s">
        <v>2546</v>
      </c>
      <c r="F282" s="268" t="s">
        <v>10967</v>
      </c>
      <c r="G282" s="267"/>
      <c r="H282" s="641">
        <v>600</v>
      </c>
    </row>
    <row r="283" spans="1:8" s="760" customFormat="1" ht="13.5" customHeight="1" x14ac:dyDescent="0.25">
      <c r="A283" s="267">
        <v>441</v>
      </c>
      <c r="B283" s="268" t="s">
        <v>1145</v>
      </c>
      <c r="C283" s="267" t="s">
        <v>1144</v>
      </c>
      <c r="D283" s="267"/>
      <c r="E283" s="268" t="s">
        <v>10968</v>
      </c>
      <c r="F283" s="268" t="s">
        <v>7889</v>
      </c>
      <c r="G283" s="267"/>
      <c r="H283" s="641">
        <v>616</v>
      </c>
    </row>
    <row r="284" spans="1:8" s="760" customFormat="1" ht="13.5" customHeight="1" x14ac:dyDescent="0.25">
      <c r="A284" s="267">
        <v>441</v>
      </c>
      <c r="B284" s="268" t="s">
        <v>1145</v>
      </c>
      <c r="C284" s="267" t="s">
        <v>1144</v>
      </c>
      <c r="D284" s="267"/>
      <c r="E284" s="268" t="s">
        <v>10969</v>
      </c>
      <c r="F284" s="268" t="s">
        <v>10970</v>
      </c>
      <c r="G284" s="267"/>
      <c r="H284" s="641">
        <v>451.17</v>
      </c>
    </row>
    <row r="285" spans="1:8" s="760" customFormat="1" ht="13.5" customHeight="1" x14ac:dyDescent="0.25">
      <c r="A285" s="267">
        <v>441</v>
      </c>
      <c r="B285" s="268" t="s">
        <v>1145</v>
      </c>
      <c r="C285" s="267" t="s">
        <v>1144</v>
      </c>
      <c r="D285" s="267"/>
      <c r="E285" s="268" t="s">
        <v>10971</v>
      </c>
      <c r="F285" s="268" t="s">
        <v>10972</v>
      </c>
      <c r="G285" s="267"/>
      <c r="H285" s="641">
        <v>6130</v>
      </c>
    </row>
    <row r="286" spans="1:8" s="760" customFormat="1" ht="13.5" customHeight="1" x14ac:dyDescent="0.25">
      <c r="A286" s="267">
        <v>441</v>
      </c>
      <c r="B286" s="268" t="s">
        <v>1145</v>
      </c>
      <c r="C286" s="267" t="s">
        <v>1144</v>
      </c>
      <c r="D286" s="267"/>
      <c r="E286" s="268" t="s">
        <v>7938</v>
      </c>
      <c r="F286" s="268" t="s">
        <v>7939</v>
      </c>
      <c r="G286" s="267"/>
      <c r="H286" s="641">
        <v>200</v>
      </c>
    </row>
    <row r="287" spans="1:8" s="760" customFormat="1" ht="13.5" customHeight="1" x14ac:dyDescent="0.25">
      <c r="A287" s="267">
        <v>441</v>
      </c>
      <c r="B287" s="268" t="s">
        <v>1145</v>
      </c>
      <c r="C287" s="267" t="s">
        <v>1144</v>
      </c>
      <c r="D287" s="267"/>
      <c r="E287" s="268" t="s">
        <v>7891</v>
      </c>
      <c r="F287" s="268" t="s">
        <v>10973</v>
      </c>
      <c r="G287" s="267"/>
      <c r="H287" s="641">
        <v>250</v>
      </c>
    </row>
    <row r="288" spans="1:8" s="760" customFormat="1" ht="13.5" customHeight="1" x14ac:dyDescent="0.25">
      <c r="A288" s="267">
        <v>441</v>
      </c>
      <c r="B288" s="268" t="s">
        <v>1145</v>
      </c>
      <c r="C288" s="267" t="s">
        <v>1144</v>
      </c>
      <c r="D288" s="267"/>
      <c r="E288" s="268" t="s">
        <v>7787</v>
      </c>
      <c r="F288" s="268" t="s">
        <v>7645</v>
      </c>
      <c r="G288" s="267"/>
      <c r="H288" s="641">
        <v>400</v>
      </c>
    </row>
    <row r="289" spans="1:8" s="760" customFormat="1" ht="13.5" customHeight="1" x14ac:dyDescent="0.25">
      <c r="A289" s="267">
        <v>441</v>
      </c>
      <c r="B289" s="268" t="s">
        <v>1145</v>
      </c>
      <c r="C289" s="267" t="s">
        <v>1144</v>
      </c>
      <c r="D289" s="267"/>
      <c r="E289" s="268" t="s">
        <v>7925</v>
      </c>
      <c r="F289" s="268" t="s">
        <v>7813</v>
      </c>
      <c r="G289" s="267"/>
      <c r="H289" s="641">
        <v>350</v>
      </c>
    </row>
    <row r="290" spans="1:8" s="760" customFormat="1" ht="13.5" customHeight="1" x14ac:dyDescent="0.25">
      <c r="A290" s="267">
        <v>441</v>
      </c>
      <c r="B290" s="268" t="s">
        <v>1145</v>
      </c>
      <c r="C290" s="267" t="s">
        <v>1144</v>
      </c>
      <c r="D290" s="267"/>
      <c r="E290" s="268" t="s">
        <v>10974</v>
      </c>
      <c r="F290" s="268" t="s">
        <v>10975</v>
      </c>
      <c r="G290" s="267"/>
      <c r="H290" s="641">
        <v>218</v>
      </c>
    </row>
    <row r="291" spans="1:8" s="760" customFormat="1" ht="13.5" customHeight="1" x14ac:dyDescent="0.25">
      <c r="A291" s="267">
        <v>441</v>
      </c>
      <c r="B291" s="268" t="s">
        <v>1145</v>
      </c>
      <c r="C291" s="267" t="s">
        <v>1144</v>
      </c>
      <c r="D291" s="267"/>
      <c r="E291" s="268" t="s">
        <v>10976</v>
      </c>
      <c r="F291" s="268" t="s">
        <v>10977</v>
      </c>
      <c r="G291" s="267"/>
      <c r="H291" s="641">
        <v>670</v>
      </c>
    </row>
    <row r="292" spans="1:8" s="760" customFormat="1" ht="13.5" customHeight="1" x14ac:dyDescent="0.25">
      <c r="A292" s="267">
        <v>441</v>
      </c>
      <c r="B292" s="268" t="s">
        <v>1145</v>
      </c>
      <c r="C292" s="267" t="s">
        <v>1144</v>
      </c>
      <c r="D292" s="267"/>
      <c r="E292" s="268" t="s">
        <v>7855</v>
      </c>
      <c r="F292" s="268" t="s">
        <v>7856</v>
      </c>
      <c r="G292" s="267"/>
      <c r="H292" s="641">
        <v>300</v>
      </c>
    </row>
    <row r="293" spans="1:8" s="760" customFormat="1" ht="13.5" customHeight="1" x14ac:dyDescent="0.25">
      <c r="A293" s="267">
        <v>441</v>
      </c>
      <c r="B293" s="268" t="s">
        <v>1145</v>
      </c>
      <c r="C293" s="267" t="s">
        <v>1144</v>
      </c>
      <c r="D293" s="267"/>
      <c r="E293" s="268" t="s">
        <v>7680</v>
      </c>
      <c r="F293" s="268" t="s">
        <v>7681</v>
      </c>
      <c r="G293" s="267"/>
      <c r="H293" s="641">
        <v>300</v>
      </c>
    </row>
    <row r="294" spans="1:8" s="760" customFormat="1" ht="13.5" customHeight="1" x14ac:dyDescent="0.25">
      <c r="A294" s="267">
        <v>441</v>
      </c>
      <c r="B294" s="268" t="s">
        <v>1145</v>
      </c>
      <c r="C294" s="267" t="s">
        <v>1144</v>
      </c>
      <c r="D294" s="267"/>
      <c r="E294" s="268" t="s">
        <v>10978</v>
      </c>
      <c r="F294" s="268" t="s">
        <v>10979</v>
      </c>
      <c r="G294" s="267"/>
      <c r="H294" s="641">
        <v>300</v>
      </c>
    </row>
    <row r="295" spans="1:8" s="760" customFormat="1" ht="13.5" customHeight="1" x14ac:dyDescent="0.25">
      <c r="A295" s="267">
        <v>441</v>
      </c>
      <c r="B295" s="268" t="s">
        <v>1145</v>
      </c>
      <c r="C295" s="267" t="s">
        <v>1144</v>
      </c>
      <c r="D295" s="267"/>
      <c r="E295" s="268" t="s">
        <v>2519</v>
      </c>
      <c r="F295" s="268" t="s">
        <v>2520</v>
      </c>
      <c r="G295" s="267"/>
      <c r="H295" s="641">
        <v>200</v>
      </c>
    </row>
    <row r="296" spans="1:8" s="760" customFormat="1" ht="13.5" customHeight="1" x14ac:dyDescent="0.25">
      <c r="A296" s="267">
        <v>441</v>
      </c>
      <c r="B296" s="268" t="s">
        <v>1145</v>
      </c>
      <c r="C296" s="267" t="s">
        <v>1144</v>
      </c>
      <c r="D296" s="267"/>
      <c r="E296" s="268" t="s">
        <v>7772</v>
      </c>
      <c r="F296" s="268" t="s">
        <v>7728</v>
      </c>
      <c r="G296" s="267"/>
      <c r="H296" s="641">
        <v>300</v>
      </c>
    </row>
    <row r="297" spans="1:8" s="760" customFormat="1" ht="13.5" customHeight="1" x14ac:dyDescent="0.25">
      <c r="A297" s="267">
        <v>441</v>
      </c>
      <c r="B297" s="268" t="s">
        <v>1145</v>
      </c>
      <c r="C297" s="267" t="s">
        <v>1144</v>
      </c>
      <c r="D297" s="267"/>
      <c r="E297" s="268" t="s">
        <v>7884</v>
      </c>
      <c r="F297" s="268" t="s">
        <v>7677</v>
      </c>
      <c r="G297" s="267"/>
      <c r="H297" s="641">
        <v>200</v>
      </c>
    </row>
    <row r="298" spans="1:8" s="760" customFormat="1" ht="13.5" customHeight="1" x14ac:dyDescent="0.25">
      <c r="A298" s="267">
        <v>441</v>
      </c>
      <c r="B298" s="268" t="s">
        <v>1145</v>
      </c>
      <c r="C298" s="267" t="s">
        <v>1144</v>
      </c>
      <c r="D298" s="267"/>
      <c r="E298" s="268" t="s">
        <v>10980</v>
      </c>
      <c r="F298" s="268" t="s">
        <v>10981</v>
      </c>
      <c r="G298" s="267"/>
      <c r="H298" s="641">
        <v>200</v>
      </c>
    </row>
    <row r="299" spans="1:8" s="760" customFormat="1" ht="13.5" customHeight="1" x14ac:dyDescent="0.25">
      <c r="A299" s="267">
        <v>441</v>
      </c>
      <c r="B299" s="268" t="s">
        <v>1145</v>
      </c>
      <c r="C299" s="267" t="s">
        <v>1144</v>
      </c>
      <c r="D299" s="267"/>
      <c r="E299" s="268" t="s">
        <v>7761</v>
      </c>
      <c r="F299" s="268" t="s">
        <v>10982</v>
      </c>
      <c r="G299" s="267"/>
      <c r="H299" s="641">
        <v>170</v>
      </c>
    </row>
    <row r="300" spans="1:8" s="760" customFormat="1" ht="13.5" customHeight="1" x14ac:dyDescent="0.25">
      <c r="A300" s="267">
        <v>441</v>
      </c>
      <c r="B300" s="268" t="s">
        <v>1145</v>
      </c>
      <c r="C300" s="267" t="s">
        <v>1144</v>
      </c>
      <c r="D300" s="267"/>
      <c r="E300" s="268" t="s">
        <v>10983</v>
      </c>
      <c r="F300" s="268" t="s">
        <v>7874</v>
      </c>
      <c r="G300" s="267"/>
      <c r="H300" s="641">
        <v>200</v>
      </c>
    </row>
    <row r="301" spans="1:8" s="760" customFormat="1" ht="13.5" customHeight="1" x14ac:dyDescent="0.25">
      <c r="A301" s="267">
        <v>441</v>
      </c>
      <c r="B301" s="268" t="s">
        <v>1145</v>
      </c>
      <c r="C301" s="267" t="s">
        <v>1144</v>
      </c>
      <c r="D301" s="267"/>
      <c r="E301" s="268" t="s">
        <v>2556</v>
      </c>
      <c r="F301" s="268" t="s">
        <v>7786</v>
      </c>
      <c r="G301" s="267"/>
      <c r="H301" s="641">
        <v>150</v>
      </c>
    </row>
    <row r="302" spans="1:8" s="760" customFormat="1" ht="13.5" customHeight="1" x14ac:dyDescent="0.25">
      <c r="A302" s="267">
        <v>441</v>
      </c>
      <c r="B302" s="268" t="s">
        <v>1145</v>
      </c>
      <c r="C302" s="267" t="s">
        <v>1144</v>
      </c>
      <c r="D302" s="267"/>
      <c r="E302" s="268" t="s">
        <v>7905</v>
      </c>
      <c r="F302" s="268" t="s">
        <v>7906</v>
      </c>
      <c r="G302" s="267"/>
      <c r="H302" s="641">
        <v>200</v>
      </c>
    </row>
    <row r="303" spans="1:8" s="760" customFormat="1" ht="13.5" customHeight="1" x14ac:dyDescent="0.25">
      <c r="A303" s="267">
        <v>441</v>
      </c>
      <c r="B303" s="268" t="s">
        <v>1145</v>
      </c>
      <c r="C303" s="267" t="s">
        <v>1144</v>
      </c>
      <c r="D303" s="267"/>
      <c r="E303" s="268" t="s">
        <v>7860</v>
      </c>
      <c r="F303" s="268" t="s">
        <v>7735</v>
      </c>
      <c r="G303" s="267"/>
      <c r="H303" s="641">
        <v>150</v>
      </c>
    </row>
    <row r="304" spans="1:8" s="760" customFormat="1" ht="13.5" customHeight="1" x14ac:dyDescent="0.25">
      <c r="A304" s="267">
        <v>441</v>
      </c>
      <c r="B304" s="268" t="s">
        <v>1145</v>
      </c>
      <c r="C304" s="267" t="s">
        <v>1144</v>
      </c>
      <c r="D304" s="267"/>
      <c r="E304" s="268" t="s">
        <v>7791</v>
      </c>
      <c r="F304" s="268" t="s">
        <v>7792</v>
      </c>
      <c r="G304" s="267"/>
      <c r="H304" s="641">
        <v>200</v>
      </c>
    </row>
    <row r="305" spans="1:8" s="760" customFormat="1" ht="13.5" customHeight="1" x14ac:dyDescent="0.25">
      <c r="A305" s="267">
        <v>441</v>
      </c>
      <c r="B305" s="268" t="s">
        <v>1145</v>
      </c>
      <c r="C305" s="267" t="s">
        <v>1144</v>
      </c>
      <c r="D305" s="267"/>
      <c r="E305" s="268" t="s">
        <v>7667</v>
      </c>
      <c r="F305" s="268" t="s">
        <v>7668</v>
      </c>
      <c r="G305" s="267"/>
      <c r="H305" s="641">
        <v>200</v>
      </c>
    </row>
    <row r="306" spans="1:8" s="760" customFormat="1" ht="13.5" customHeight="1" x14ac:dyDescent="0.25">
      <c r="A306" s="267">
        <v>441</v>
      </c>
      <c r="B306" s="268" t="s">
        <v>1145</v>
      </c>
      <c r="C306" s="267" t="s">
        <v>1144</v>
      </c>
      <c r="D306" s="267"/>
      <c r="E306" s="268" t="s">
        <v>10984</v>
      </c>
      <c r="F306" s="268" t="s">
        <v>7951</v>
      </c>
      <c r="G306" s="267"/>
      <c r="H306" s="641">
        <v>1000</v>
      </c>
    </row>
    <row r="307" spans="1:8" s="760" customFormat="1" ht="13.5" customHeight="1" x14ac:dyDescent="0.25">
      <c r="A307" s="267">
        <v>441</v>
      </c>
      <c r="B307" s="268" t="s">
        <v>1145</v>
      </c>
      <c r="C307" s="267" t="s">
        <v>1144</v>
      </c>
      <c r="D307" s="267"/>
      <c r="E307" s="268" t="s">
        <v>2592</v>
      </c>
      <c r="F307" s="268"/>
      <c r="G307" s="267" t="s">
        <v>2605</v>
      </c>
      <c r="H307" s="641">
        <v>1000</v>
      </c>
    </row>
    <row r="308" spans="1:8" s="760" customFormat="1" ht="13.5" customHeight="1" x14ac:dyDescent="0.25">
      <c r="A308" s="267">
        <v>441</v>
      </c>
      <c r="B308" s="268" t="s">
        <v>1145</v>
      </c>
      <c r="C308" s="267" t="s">
        <v>1144</v>
      </c>
      <c r="D308" s="267"/>
      <c r="E308" s="268" t="s">
        <v>10984</v>
      </c>
      <c r="F308" s="268" t="s">
        <v>7951</v>
      </c>
      <c r="G308" s="267"/>
      <c r="H308" s="641">
        <v>1000</v>
      </c>
    </row>
    <row r="309" spans="1:8" s="760" customFormat="1" ht="13.5" customHeight="1" x14ac:dyDescent="0.25">
      <c r="A309" s="267">
        <v>441</v>
      </c>
      <c r="B309" s="268" t="s">
        <v>1145</v>
      </c>
      <c r="C309" s="267" t="s">
        <v>1144</v>
      </c>
      <c r="D309" s="267"/>
      <c r="E309" s="268" t="s">
        <v>10985</v>
      </c>
      <c r="F309" s="268" t="s">
        <v>10986</v>
      </c>
      <c r="G309" s="267"/>
      <c r="H309" s="641">
        <v>739</v>
      </c>
    </row>
    <row r="310" spans="1:8" s="760" customFormat="1" ht="13.5" customHeight="1" x14ac:dyDescent="0.25">
      <c r="A310" s="267">
        <v>441</v>
      </c>
      <c r="B310" s="268" t="s">
        <v>1145</v>
      </c>
      <c r="C310" s="267" t="s">
        <v>1144</v>
      </c>
      <c r="D310" s="267"/>
      <c r="E310" s="268" t="s">
        <v>2586</v>
      </c>
      <c r="F310" s="268" t="s">
        <v>2587</v>
      </c>
      <c r="G310" s="267"/>
      <c r="H310" s="641">
        <v>1000</v>
      </c>
    </row>
    <row r="311" spans="1:8" s="760" customFormat="1" ht="13.5" customHeight="1" x14ac:dyDescent="0.25">
      <c r="A311" s="267">
        <v>441</v>
      </c>
      <c r="B311" s="268" t="s">
        <v>1145</v>
      </c>
      <c r="C311" s="267" t="s">
        <v>1144</v>
      </c>
      <c r="D311" s="267"/>
      <c r="E311" s="268" t="s">
        <v>10987</v>
      </c>
      <c r="F311" s="268" t="s">
        <v>10988</v>
      </c>
      <c r="G311" s="267"/>
      <c r="H311" s="641">
        <v>1250</v>
      </c>
    </row>
    <row r="312" spans="1:8" s="760" customFormat="1" ht="13.5" customHeight="1" x14ac:dyDescent="0.25">
      <c r="A312" s="267">
        <v>441</v>
      </c>
      <c r="B312" s="268" t="s">
        <v>1145</v>
      </c>
      <c r="C312" s="267" t="s">
        <v>1144</v>
      </c>
      <c r="D312" s="267"/>
      <c r="E312" s="268" t="s">
        <v>1153</v>
      </c>
      <c r="F312" s="268" t="s">
        <v>2515</v>
      </c>
      <c r="G312" s="267"/>
      <c r="H312" s="641">
        <v>400</v>
      </c>
    </row>
    <row r="313" spans="1:8" s="760" customFormat="1" ht="13.5" customHeight="1" x14ac:dyDescent="0.25">
      <c r="A313" s="267">
        <v>441</v>
      </c>
      <c r="B313" s="268" t="s">
        <v>1145</v>
      </c>
      <c r="C313" s="267" t="s">
        <v>1144</v>
      </c>
      <c r="D313" s="267"/>
      <c r="E313" s="268" t="s">
        <v>10978</v>
      </c>
      <c r="F313" s="268" t="s">
        <v>10979</v>
      </c>
      <c r="G313" s="267"/>
      <c r="H313" s="641">
        <v>850</v>
      </c>
    </row>
    <row r="314" spans="1:8" s="760" customFormat="1" ht="13.5" customHeight="1" x14ac:dyDescent="0.25">
      <c r="A314" s="267">
        <v>441</v>
      </c>
      <c r="B314" s="268" t="s">
        <v>1145</v>
      </c>
      <c r="C314" s="267" t="s">
        <v>1144</v>
      </c>
      <c r="D314" s="267"/>
      <c r="E314" s="268" t="s">
        <v>10989</v>
      </c>
      <c r="F314" s="268" t="s">
        <v>7708</v>
      </c>
      <c r="G314" s="267"/>
      <c r="H314" s="641">
        <v>500</v>
      </c>
    </row>
    <row r="315" spans="1:8" s="760" customFormat="1" ht="13.5" customHeight="1" x14ac:dyDescent="0.25">
      <c r="A315" s="267">
        <v>441</v>
      </c>
      <c r="B315" s="268" t="s">
        <v>1145</v>
      </c>
      <c r="C315" s="267" t="s">
        <v>1144</v>
      </c>
      <c r="D315" s="267"/>
      <c r="E315" s="268" t="s">
        <v>2514</v>
      </c>
      <c r="F315" s="268" t="s">
        <v>1150</v>
      </c>
      <c r="G315" s="267"/>
      <c r="H315" s="641">
        <v>300</v>
      </c>
    </row>
    <row r="316" spans="1:8" s="760" customFormat="1" ht="13.5" customHeight="1" x14ac:dyDescent="0.25">
      <c r="A316" s="267">
        <v>441</v>
      </c>
      <c r="B316" s="268" t="s">
        <v>1145</v>
      </c>
      <c r="C316" s="267" t="s">
        <v>1144</v>
      </c>
      <c r="D316" s="267"/>
      <c r="E316" s="268" t="s">
        <v>7660</v>
      </c>
      <c r="F316" s="268"/>
      <c r="G316" s="267" t="s">
        <v>7661</v>
      </c>
      <c r="H316" s="641">
        <v>300</v>
      </c>
    </row>
    <row r="317" spans="1:8" s="760" customFormat="1" ht="13.5" customHeight="1" x14ac:dyDescent="0.25">
      <c r="A317" s="267">
        <v>441</v>
      </c>
      <c r="B317" s="268" t="s">
        <v>1145</v>
      </c>
      <c r="C317" s="267" t="s">
        <v>1144</v>
      </c>
      <c r="D317" s="267"/>
      <c r="E317" s="268" t="s">
        <v>10990</v>
      </c>
      <c r="F317" s="268" t="s">
        <v>10991</v>
      </c>
      <c r="G317" s="267"/>
      <c r="H317" s="641">
        <v>300</v>
      </c>
    </row>
    <row r="318" spans="1:8" s="760" customFormat="1" ht="13.5" customHeight="1" x14ac:dyDescent="0.25">
      <c r="A318" s="267">
        <v>441</v>
      </c>
      <c r="B318" s="268" t="s">
        <v>1145</v>
      </c>
      <c r="C318" s="267" t="s">
        <v>1144</v>
      </c>
      <c r="D318" s="267"/>
      <c r="E318" s="268" t="s">
        <v>2564</v>
      </c>
      <c r="F318" s="268" t="s">
        <v>7614</v>
      </c>
      <c r="G318" s="267"/>
      <c r="H318" s="641">
        <v>300</v>
      </c>
    </row>
    <row r="319" spans="1:8" s="760" customFormat="1" ht="13.5" customHeight="1" x14ac:dyDescent="0.25">
      <c r="A319" s="267">
        <v>441</v>
      </c>
      <c r="B319" s="268" t="s">
        <v>1145</v>
      </c>
      <c r="C319" s="267" t="s">
        <v>1144</v>
      </c>
      <c r="D319" s="267"/>
      <c r="E319" s="268" t="s">
        <v>2585</v>
      </c>
      <c r="F319" s="268" t="s">
        <v>7806</v>
      </c>
      <c r="G319" s="267"/>
      <c r="H319" s="641">
        <v>400</v>
      </c>
    </row>
    <row r="320" spans="1:8" s="760" customFormat="1" ht="13.5" customHeight="1" x14ac:dyDescent="0.25">
      <c r="A320" s="267">
        <v>441</v>
      </c>
      <c r="B320" s="268" t="s">
        <v>1145</v>
      </c>
      <c r="C320" s="267" t="s">
        <v>1144</v>
      </c>
      <c r="D320" s="267"/>
      <c r="E320" s="268" t="s">
        <v>10992</v>
      </c>
      <c r="F320" s="268" t="s">
        <v>7717</v>
      </c>
      <c r="G320" s="267"/>
      <c r="H320" s="641">
        <v>300</v>
      </c>
    </row>
    <row r="321" spans="1:8" s="760" customFormat="1" ht="13.5" customHeight="1" x14ac:dyDescent="0.25">
      <c r="A321" s="267">
        <v>441</v>
      </c>
      <c r="B321" s="268" t="s">
        <v>1145</v>
      </c>
      <c r="C321" s="267" t="s">
        <v>1144</v>
      </c>
      <c r="D321" s="267"/>
      <c r="E321" s="268" t="s">
        <v>7761</v>
      </c>
      <c r="F321" s="268"/>
      <c r="G321" s="267" t="s">
        <v>7762</v>
      </c>
      <c r="H321" s="641">
        <v>400</v>
      </c>
    </row>
    <row r="322" spans="1:8" s="760" customFormat="1" ht="13.5" customHeight="1" x14ac:dyDescent="0.25">
      <c r="A322" s="267">
        <v>441</v>
      </c>
      <c r="B322" s="268" t="s">
        <v>1145</v>
      </c>
      <c r="C322" s="267" t="s">
        <v>1144</v>
      </c>
      <c r="D322" s="267"/>
      <c r="E322" s="268" t="s">
        <v>10993</v>
      </c>
      <c r="F322" s="268" t="s">
        <v>10994</v>
      </c>
      <c r="G322" s="267"/>
      <c r="H322" s="641">
        <v>300</v>
      </c>
    </row>
    <row r="323" spans="1:8" s="760" customFormat="1" ht="13.5" customHeight="1" x14ac:dyDescent="0.25">
      <c r="A323" s="267">
        <v>441</v>
      </c>
      <c r="B323" s="268" t="s">
        <v>1145</v>
      </c>
      <c r="C323" s="267" t="s">
        <v>1144</v>
      </c>
      <c r="D323" s="267"/>
      <c r="E323" s="268" t="s">
        <v>2072</v>
      </c>
      <c r="F323" s="268" t="s">
        <v>2073</v>
      </c>
      <c r="G323" s="267"/>
      <c r="H323" s="641">
        <v>200</v>
      </c>
    </row>
    <row r="324" spans="1:8" s="760" customFormat="1" ht="13.5" customHeight="1" x14ac:dyDescent="0.25">
      <c r="A324" s="267">
        <v>441</v>
      </c>
      <c r="B324" s="268" t="s">
        <v>1145</v>
      </c>
      <c r="C324" s="267" t="s">
        <v>1144</v>
      </c>
      <c r="D324" s="267"/>
      <c r="E324" s="268" t="s">
        <v>2592</v>
      </c>
      <c r="F324" s="268"/>
      <c r="G324" s="267" t="s">
        <v>2605</v>
      </c>
      <c r="H324" s="641">
        <v>500</v>
      </c>
    </row>
    <row r="325" spans="1:8" s="760" customFormat="1" ht="13.5" customHeight="1" x14ac:dyDescent="0.25">
      <c r="A325" s="267">
        <v>441</v>
      </c>
      <c r="B325" s="268" t="s">
        <v>1145</v>
      </c>
      <c r="C325" s="267" t="s">
        <v>1144</v>
      </c>
      <c r="D325" s="267"/>
      <c r="E325" s="268" t="s">
        <v>2556</v>
      </c>
      <c r="F325" s="268"/>
      <c r="G325" s="267"/>
      <c r="H325" s="641">
        <v>300</v>
      </c>
    </row>
    <row r="326" spans="1:8" s="760" customFormat="1" ht="13.5" customHeight="1" x14ac:dyDescent="0.25">
      <c r="A326" s="267">
        <v>441</v>
      </c>
      <c r="B326" s="268" t="s">
        <v>1145</v>
      </c>
      <c r="C326" s="267" t="s">
        <v>1144</v>
      </c>
      <c r="D326" s="267"/>
      <c r="E326" s="268" t="s">
        <v>1155</v>
      </c>
      <c r="F326" s="268" t="s">
        <v>7638</v>
      </c>
      <c r="G326" s="267"/>
      <c r="H326" s="641">
        <v>400</v>
      </c>
    </row>
    <row r="327" spans="1:8" s="760" customFormat="1" ht="13.5" customHeight="1" x14ac:dyDescent="0.25">
      <c r="A327" s="267">
        <v>441</v>
      </c>
      <c r="B327" s="268" t="s">
        <v>1145</v>
      </c>
      <c r="C327" s="267" t="s">
        <v>1144</v>
      </c>
      <c r="D327" s="267"/>
      <c r="E327" s="268" t="s">
        <v>2602</v>
      </c>
      <c r="F327" s="268" t="s">
        <v>1161</v>
      </c>
      <c r="G327" s="267"/>
      <c r="H327" s="641">
        <v>300</v>
      </c>
    </row>
    <row r="328" spans="1:8" s="760" customFormat="1" ht="13.5" customHeight="1" x14ac:dyDescent="0.25">
      <c r="A328" s="267">
        <v>441</v>
      </c>
      <c r="B328" s="268" t="s">
        <v>1145</v>
      </c>
      <c r="C328" s="267" t="s">
        <v>1144</v>
      </c>
      <c r="D328" s="267"/>
      <c r="E328" s="268" t="s">
        <v>10995</v>
      </c>
      <c r="F328" s="268" t="s">
        <v>7672</v>
      </c>
      <c r="G328" s="267"/>
      <c r="H328" s="641">
        <v>800</v>
      </c>
    </row>
    <row r="329" spans="1:8" s="760" customFormat="1" ht="13.5" customHeight="1" x14ac:dyDescent="0.25">
      <c r="A329" s="267">
        <v>441</v>
      </c>
      <c r="B329" s="268" t="s">
        <v>1145</v>
      </c>
      <c r="C329" s="267" t="s">
        <v>1144</v>
      </c>
      <c r="D329" s="267"/>
      <c r="E329" s="268" t="s">
        <v>10996</v>
      </c>
      <c r="F329" s="268"/>
      <c r="G329" s="267" t="s">
        <v>10997</v>
      </c>
      <c r="H329" s="641">
        <v>400</v>
      </c>
    </row>
    <row r="330" spans="1:8" s="760" customFormat="1" ht="13.5" customHeight="1" x14ac:dyDescent="0.25">
      <c r="A330" s="267">
        <v>441</v>
      </c>
      <c r="B330" s="268" t="s">
        <v>1145</v>
      </c>
      <c r="C330" s="267" t="s">
        <v>1144</v>
      </c>
      <c r="D330" s="267"/>
      <c r="E330" s="268" t="s">
        <v>7649</v>
      </c>
      <c r="F330" s="268" t="s">
        <v>2529</v>
      </c>
      <c r="G330" s="267"/>
      <c r="H330" s="641">
        <v>250</v>
      </c>
    </row>
    <row r="331" spans="1:8" s="760" customFormat="1" ht="13.5" customHeight="1" x14ac:dyDescent="0.25">
      <c r="A331" s="267">
        <v>441</v>
      </c>
      <c r="B331" s="268" t="s">
        <v>1145</v>
      </c>
      <c r="C331" s="267" t="s">
        <v>1144</v>
      </c>
      <c r="D331" s="267"/>
      <c r="E331" s="268" t="s">
        <v>10998</v>
      </c>
      <c r="F331" s="268" t="s">
        <v>7652</v>
      </c>
      <c r="G331" s="267"/>
      <c r="H331" s="641">
        <v>300</v>
      </c>
    </row>
    <row r="332" spans="1:8" s="760" customFormat="1" ht="13.5" customHeight="1" x14ac:dyDescent="0.25">
      <c r="A332" s="267">
        <v>441</v>
      </c>
      <c r="B332" s="268" t="s">
        <v>1145</v>
      </c>
      <c r="C332" s="267" t="s">
        <v>1144</v>
      </c>
      <c r="D332" s="267"/>
      <c r="E332" s="268" t="s">
        <v>7725</v>
      </c>
      <c r="F332" s="268" t="s">
        <v>7723</v>
      </c>
      <c r="G332" s="267"/>
      <c r="H332" s="641">
        <v>500</v>
      </c>
    </row>
    <row r="333" spans="1:8" s="760" customFormat="1" ht="13.5" customHeight="1" x14ac:dyDescent="0.25">
      <c r="A333" s="267">
        <v>441</v>
      </c>
      <c r="B333" s="268" t="s">
        <v>1145</v>
      </c>
      <c r="C333" s="267" t="s">
        <v>1144</v>
      </c>
      <c r="D333" s="267"/>
      <c r="E333" s="268" t="s">
        <v>10999</v>
      </c>
      <c r="F333" s="268" t="s">
        <v>11000</v>
      </c>
      <c r="G333" s="267"/>
      <c r="H333" s="641">
        <v>200</v>
      </c>
    </row>
    <row r="334" spans="1:8" s="760" customFormat="1" ht="13.5" customHeight="1" x14ac:dyDescent="0.25">
      <c r="A334" s="267">
        <v>441</v>
      </c>
      <c r="B334" s="268" t="s">
        <v>1145</v>
      </c>
      <c r="C334" s="267" t="s">
        <v>1144</v>
      </c>
      <c r="D334" s="267"/>
      <c r="E334" s="268" t="s">
        <v>2586</v>
      </c>
      <c r="F334" s="268" t="s">
        <v>2587</v>
      </c>
      <c r="G334" s="267"/>
      <c r="H334" s="641">
        <v>800</v>
      </c>
    </row>
    <row r="335" spans="1:8" s="760" customFormat="1" ht="13.5" customHeight="1" x14ac:dyDescent="0.25">
      <c r="A335" s="267">
        <v>441</v>
      </c>
      <c r="B335" s="268" t="s">
        <v>1145</v>
      </c>
      <c r="C335" s="267" t="s">
        <v>1144</v>
      </c>
      <c r="D335" s="267"/>
      <c r="E335" s="268" t="s">
        <v>7821</v>
      </c>
      <c r="F335" s="268" t="s">
        <v>7822</v>
      </c>
      <c r="G335" s="267"/>
      <c r="H335" s="641">
        <v>400</v>
      </c>
    </row>
    <row r="336" spans="1:8" s="760" customFormat="1" ht="13.5" customHeight="1" x14ac:dyDescent="0.25">
      <c r="A336" s="267">
        <v>441</v>
      </c>
      <c r="B336" s="268" t="s">
        <v>1145</v>
      </c>
      <c r="C336" s="267" t="s">
        <v>1144</v>
      </c>
      <c r="D336" s="267"/>
      <c r="E336" s="268" t="s">
        <v>11001</v>
      </c>
      <c r="F336" s="268" t="s">
        <v>7851</v>
      </c>
      <c r="G336" s="267"/>
      <c r="H336" s="641">
        <v>474</v>
      </c>
    </row>
    <row r="337" spans="1:8" s="760" customFormat="1" ht="13.5" customHeight="1" x14ac:dyDescent="0.25">
      <c r="A337" s="267">
        <v>441</v>
      </c>
      <c r="B337" s="268" t="s">
        <v>1145</v>
      </c>
      <c r="C337" s="267" t="s">
        <v>1144</v>
      </c>
      <c r="D337" s="267"/>
      <c r="E337" s="268" t="s">
        <v>7656</v>
      </c>
      <c r="F337" s="268" t="s">
        <v>11002</v>
      </c>
      <c r="G337" s="267"/>
      <c r="H337" s="641">
        <v>150</v>
      </c>
    </row>
    <row r="338" spans="1:8" s="760" customFormat="1" ht="13.5" customHeight="1" x14ac:dyDescent="0.25">
      <c r="A338" s="267">
        <v>441</v>
      </c>
      <c r="B338" s="268" t="s">
        <v>1145</v>
      </c>
      <c r="C338" s="267" t="s">
        <v>1144</v>
      </c>
      <c r="D338" s="267"/>
      <c r="E338" s="268" t="s">
        <v>7674</v>
      </c>
      <c r="F338" s="268" t="s">
        <v>7929</v>
      </c>
      <c r="G338" s="267"/>
      <c r="H338" s="641">
        <v>250</v>
      </c>
    </row>
    <row r="339" spans="1:8" s="760" customFormat="1" ht="13.5" customHeight="1" x14ac:dyDescent="0.25">
      <c r="A339" s="267">
        <v>441</v>
      </c>
      <c r="B339" s="268" t="s">
        <v>1145</v>
      </c>
      <c r="C339" s="267" t="s">
        <v>1144</v>
      </c>
      <c r="D339" s="267"/>
      <c r="E339" s="268" t="s">
        <v>11003</v>
      </c>
      <c r="F339" s="268"/>
      <c r="G339" s="267" t="s">
        <v>11004</v>
      </c>
      <c r="H339" s="641">
        <v>250</v>
      </c>
    </row>
    <row r="340" spans="1:8" s="760" customFormat="1" ht="13.5" customHeight="1" x14ac:dyDescent="0.25">
      <c r="A340" s="267">
        <v>441</v>
      </c>
      <c r="B340" s="268" t="s">
        <v>1145</v>
      </c>
      <c r="C340" s="267" t="s">
        <v>1144</v>
      </c>
      <c r="D340" s="267"/>
      <c r="E340" s="268" t="s">
        <v>11005</v>
      </c>
      <c r="F340" s="268" t="s">
        <v>10872</v>
      </c>
      <c r="G340" s="267"/>
      <c r="H340" s="641">
        <v>150</v>
      </c>
    </row>
    <row r="341" spans="1:8" s="760" customFormat="1" ht="13.5" customHeight="1" x14ac:dyDescent="0.25">
      <c r="A341" s="267">
        <v>441</v>
      </c>
      <c r="B341" s="268" t="s">
        <v>1145</v>
      </c>
      <c r="C341" s="267" t="s">
        <v>1144</v>
      </c>
      <c r="D341" s="267"/>
      <c r="E341" s="268" t="s">
        <v>7904</v>
      </c>
      <c r="F341" s="268" t="s">
        <v>11006</v>
      </c>
      <c r="G341" s="267"/>
      <c r="H341" s="641">
        <v>350</v>
      </c>
    </row>
    <row r="342" spans="1:8" s="760" customFormat="1" ht="13.5" customHeight="1" x14ac:dyDescent="0.25">
      <c r="A342" s="267">
        <v>441</v>
      </c>
      <c r="B342" s="268" t="s">
        <v>1145</v>
      </c>
      <c r="C342" s="267" t="s">
        <v>1144</v>
      </c>
      <c r="D342" s="267"/>
      <c r="E342" s="268" t="s">
        <v>11007</v>
      </c>
      <c r="F342" s="268" t="s">
        <v>11008</v>
      </c>
      <c r="G342" s="267"/>
      <c r="H342" s="641">
        <v>300</v>
      </c>
    </row>
    <row r="343" spans="1:8" s="760" customFormat="1" ht="13.5" customHeight="1" x14ac:dyDescent="0.25">
      <c r="A343" s="267">
        <v>441</v>
      </c>
      <c r="B343" s="268" t="s">
        <v>1145</v>
      </c>
      <c r="C343" s="267" t="s">
        <v>1144</v>
      </c>
      <c r="D343" s="267"/>
      <c r="E343" s="268" t="s">
        <v>7899</v>
      </c>
      <c r="F343" s="268" t="s">
        <v>7900</v>
      </c>
      <c r="G343" s="267"/>
      <c r="H343" s="641">
        <v>500</v>
      </c>
    </row>
    <row r="344" spans="1:8" s="760" customFormat="1" ht="13.5" customHeight="1" x14ac:dyDescent="0.25">
      <c r="A344" s="267">
        <v>441</v>
      </c>
      <c r="B344" s="268" t="s">
        <v>1145</v>
      </c>
      <c r="C344" s="267" t="s">
        <v>1144</v>
      </c>
      <c r="D344" s="267"/>
      <c r="E344" s="268" t="s">
        <v>11009</v>
      </c>
      <c r="F344" s="268" t="s">
        <v>11010</v>
      </c>
      <c r="G344" s="267"/>
      <c r="H344" s="641">
        <v>1500</v>
      </c>
    </row>
    <row r="345" spans="1:8" s="760" customFormat="1" ht="13.5" customHeight="1" x14ac:dyDescent="0.25">
      <c r="A345" s="267">
        <v>441</v>
      </c>
      <c r="B345" s="268" t="s">
        <v>1145</v>
      </c>
      <c r="C345" s="267" t="s">
        <v>1144</v>
      </c>
      <c r="D345" s="267"/>
      <c r="E345" s="268" t="s">
        <v>7753</v>
      </c>
      <c r="F345" s="268" t="s">
        <v>7685</v>
      </c>
      <c r="G345" s="267"/>
      <c r="H345" s="641">
        <v>500</v>
      </c>
    </row>
    <row r="346" spans="1:8" s="760" customFormat="1" ht="13.5" customHeight="1" x14ac:dyDescent="0.25">
      <c r="A346" s="267">
        <v>441</v>
      </c>
      <c r="B346" s="268" t="s">
        <v>1145</v>
      </c>
      <c r="C346" s="267" t="s">
        <v>1144</v>
      </c>
      <c r="D346" s="267"/>
      <c r="E346" s="268" t="s">
        <v>7933</v>
      </c>
      <c r="F346" s="268" t="s">
        <v>7934</v>
      </c>
      <c r="G346" s="267"/>
      <c r="H346" s="641">
        <v>150</v>
      </c>
    </row>
    <row r="347" spans="1:8" s="760" customFormat="1" ht="13.5" customHeight="1" x14ac:dyDescent="0.25">
      <c r="A347" s="267">
        <v>441</v>
      </c>
      <c r="B347" s="268" t="s">
        <v>1145</v>
      </c>
      <c r="C347" s="267" t="s">
        <v>1144</v>
      </c>
      <c r="D347" s="267"/>
      <c r="E347" s="268" t="s">
        <v>2521</v>
      </c>
      <c r="F347" s="268" t="s">
        <v>2603</v>
      </c>
      <c r="G347" s="267"/>
      <c r="H347" s="641">
        <v>150</v>
      </c>
    </row>
    <row r="348" spans="1:8" s="760" customFormat="1" ht="13.5" customHeight="1" x14ac:dyDescent="0.25">
      <c r="A348" s="267">
        <v>441</v>
      </c>
      <c r="B348" s="268" t="s">
        <v>1145</v>
      </c>
      <c r="C348" s="267" t="s">
        <v>1144</v>
      </c>
      <c r="D348" s="267"/>
      <c r="E348" s="268" t="s">
        <v>11011</v>
      </c>
      <c r="F348" s="268" t="s">
        <v>11012</v>
      </c>
      <c r="G348" s="267"/>
      <c r="H348" s="641">
        <v>10999</v>
      </c>
    </row>
    <row r="349" spans="1:8" s="760" customFormat="1" ht="13.5" customHeight="1" x14ac:dyDescent="0.25">
      <c r="A349" s="267">
        <v>441</v>
      </c>
      <c r="B349" s="268" t="s">
        <v>1148</v>
      </c>
      <c r="C349" s="267" t="s">
        <v>1144</v>
      </c>
      <c r="D349" s="267"/>
      <c r="E349" s="268" t="s">
        <v>11013</v>
      </c>
      <c r="F349" s="268" t="s">
        <v>11014</v>
      </c>
      <c r="G349" s="267"/>
      <c r="H349" s="641">
        <v>1989</v>
      </c>
    </row>
    <row r="350" spans="1:8" s="760" customFormat="1" ht="13.5" customHeight="1" x14ac:dyDescent="0.25">
      <c r="A350" s="267">
        <v>441</v>
      </c>
      <c r="B350" s="268" t="s">
        <v>1148</v>
      </c>
      <c r="C350" s="267" t="s">
        <v>1144</v>
      </c>
      <c r="D350" s="267"/>
      <c r="E350" s="268" t="s">
        <v>11015</v>
      </c>
      <c r="F350" s="268" t="s">
        <v>11016</v>
      </c>
      <c r="G350" s="267"/>
      <c r="H350" s="641">
        <v>1989</v>
      </c>
    </row>
    <row r="351" spans="1:8" s="760" customFormat="1" ht="13.5" customHeight="1" x14ac:dyDescent="0.25">
      <c r="A351" s="267">
        <v>441</v>
      </c>
      <c r="B351" s="268" t="s">
        <v>1148</v>
      </c>
      <c r="C351" s="267" t="s">
        <v>1144</v>
      </c>
      <c r="D351" s="267"/>
      <c r="E351" s="268" t="s">
        <v>11017</v>
      </c>
      <c r="F351" s="268" t="s">
        <v>11018</v>
      </c>
      <c r="G351" s="267"/>
      <c r="H351" s="641">
        <v>1989.01</v>
      </c>
    </row>
    <row r="352" spans="1:8" s="760" customFormat="1" ht="13.5" customHeight="1" x14ac:dyDescent="0.25">
      <c r="A352" s="267">
        <v>441</v>
      </c>
      <c r="B352" s="268" t="s">
        <v>1148</v>
      </c>
      <c r="C352" s="267" t="s">
        <v>1144</v>
      </c>
      <c r="D352" s="267"/>
      <c r="E352" s="268" t="s">
        <v>11019</v>
      </c>
      <c r="F352" s="268" t="s">
        <v>11020</v>
      </c>
      <c r="G352" s="267"/>
      <c r="H352" s="641">
        <v>1989.01</v>
      </c>
    </row>
    <row r="353" spans="1:8" s="760" customFormat="1" ht="13.5" customHeight="1" x14ac:dyDescent="0.25">
      <c r="A353" s="267">
        <v>441</v>
      </c>
      <c r="B353" s="268" t="s">
        <v>1145</v>
      </c>
      <c r="C353" s="267" t="s">
        <v>1144</v>
      </c>
      <c r="D353" s="267"/>
      <c r="E353" s="268" t="s">
        <v>7922</v>
      </c>
      <c r="F353" s="268" t="s">
        <v>7923</v>
      </c>
      <c r="G353" s="267"/>
      <c r="H353" s="641">
        <v>300</v>
      </c>
    </row>
    <row r="354" spans="1:8" s="760" customFormat="1" ht="13.5" customHeight="1" x14ac:dyDescent="0.25">
      <c r="A354" s="267">
        <v>441</v>
      </c>
      <c r="B354" s="268" t="s">
        <v>1145</v>
      </c>
      <c r="C354" s="267" t="s">
        <v>1144</v>
      </c>
      <c r="D354" s="267"/>
      <c r="E354" s="268" t="s">
        <v>7749</v>
      </c>
      <c r="F354" s="268" t="s">
        <v>7750</v>
      </c>
      <c r="G354" s="267"/>
      <c r="H354" s="641">
        <v>200</v>
      </c>
    </row>
    <row r="355" spans="1:8" s="760" customFormat="1" ht="13.5" customHeight="1" x14ac:dyDescent="0.25">
      <c r="A355" s="267">
        <v>441</v>
      </c>
      <c r="B355" s="268" t="s">
        <v>1145</v>
      </c>
      <c r="C355" s="267" t="s">
        <v>1144</v>
      </c>
      <c r="D355" s="267"/>
      <c r="E355" s="268" t="s">
        <v>2527</v>
      </c>
      <c r="F355" s="268" t="s">
        <v>2528</v>
      </c>
      <c r="G355" s="267"/>
      <c r="H355" s="641">
        <v>300</v>
      </c>
    </row>
    <row r="356" spans="1:8" s="760" customFormat="1" ht="13.5" customHeight="1" x14ac:dyDescent="0.25">
      <c r="A356" s="267">
        <v>441</v>
      </c>
      <c r="B356" s="268" t="s">
        <v>1145</v>
      </c>
      <c r="C356" s="267" t="s">
        <v>1144</v>
      </c>
      <c r="D356" s="267"/>
      <c r="E356" s="268" t="s">
        <v>7770</v>
      </c>
      <c r="F356" s="268" t="s">
        <v>7771</v>
      </c>
      <c r="G356" s="267"/>
      <c r="H356" s="641">
        <v>500</v>
      </c>
    </row>
    <row r="357" spans="1:8" s="760" customFormat="1" ht="13.5" customHeight="1" x14ac:dyDescent="0.25">
      <c r="A357" s="267">
        <v>441</v>
      </c>
      <c r="B357" s="268" t="s">
        <v>1145</v>
      </c>
      <c r="C357" s="267" t="s">
        <v>1144</v>
      </c>
      <c r="D357" s="267"/>
      <c r="E357" s="268" t="s">
        <v>11021</v>
      </c>
      <c r="F357" s="268" t="s">
        <v>11022</v>
      </c>
      <c r="G357" s="267"/>
      <c r="H357" s="641">
        <v>400</v>
      </c>
    </row>
    <row r="358" spans="1:8" s="760" customFormat="1" ht="13.5" customHeight="1" x14ac:dyDescent="0.25">
      <c r="A358" s="267">
        <v>441</v>
      </c>
      <c r="B358" s="268" t="s">
        <v>1145</v>
      </c>
      <c r="C358" s="267" t="s">
        <v>1144</v>
      </c>
      <c r="D358" s="267"/>
      <c r="E358" s="268" t="s">
        <v>11023</v>
      </c>
      <c r="F358" s="268" t="s">
        <v>11024</v>
      </c>
      <c r="G358" s="267"/>
      <c r="H358" s="641">
        <v>200</v>
      </c>
    </row>
    <row r="359" spans="1:8" s="760" customFormat="1" ht="13.5" customHeight="1" x14ac:dyDescent="0.25">
      <c r="A359" s="267">
        <v>441</v>
      </c>
      <c r="B359" s="268" t="s">
        <v>1145</v>
      </c>
      <c r="C359" s="267" t="s">
        <v>1144</v>
      </c>
      <c r="D359" s="267"/>
      <c r="E359" s="268" t="s">
        <v>11025</v>
      </c>
      <c r="F359" s="268" t="s">
        <v>11026</v>
      </c>
      <c r="G359" s="267"/>
      <c r="H359" s="641">
        <v>1141</v>
      </c>
    </row>
    <row r="360" spans="1:8" s="760" customFormat="1" ht="13.5" customHeight="1" x14ac:dyDescent="0.25">
      <c r="A360" s="267">
        <v>441</v>
      </c>
      <c r="B360" s="268" t="s">
        <v>1145</v>
      </c>
      <c r="C360" s="267" t="s">
        <v>1144</v>
      </c>
      <c r="D360" s="267"/>
      <c r="E360" s="268" t="s">
        <v>11027</v>
      </c>
      <c r="F360" s="268" t="s">
        <v>11028</v>
      </c>
      <c r="G360" s="267"/>
      <c r="H360" s="641">
        <v>900</v>
      </c>
    </row>
    <row r="361" spans="1:8" s="760" customFormat="1" ht="13.5" customHeight="1" x14ac:dyDescent="0.25">
      <c r="A361" s="267">
        <v>441</v>
      </c>
      <c r="B361" s="268" t="s">
        <v>1145</v>
      </c>
      <c r="C361" s="267" t="s">
        <v>1144</v>
      </c>
      <c r="D361" s="267"/>
      <c r="E361" s="268" t="s">
        <v>7902</v>
      </c>
      <c r="F361" s="268" t="s">
        <v>2509</v>
      </c>
      <c r="G361" s="267"/>
      <c r="H361" s="641">
        <v>400</v>
      </c>
    </row>
    <row r="362" spans="1:8" s="760" customFormat="1" ht="13.5" customHeight="1" x14ac:dyDescent="0.25">
      <c r="A362" s="267">
        <v>441</v>
      </c>
      <c r="B362" s="268" t="s">
        <v>1145</v>
      </c>
      <c r="C362" s="267" t="s">
        <v>1144</v>
      </c>
      <c r="D362" s="267"/>
      <c r="E362" s="268" t="s">
        <v>11029</v>
      </c>
      <c r="F362" s="268" t="s">
        <v>11030</v>
      </c>
      <c r="G362" s="267"/>
      <c r="H362" s="641">
        <v>300</v>
      </c>
    </row>
    <row r="363" spans="1:8" s="760" customFormat="1" ht="13.5" customHeight="1" x14ac:dyDescent="0.25">
      <c r="A363" s="267">
        <v>441</v>
      </c>
      <c r="B363" s="268" t="s">
        <v>1145</v>
      </c>
      <c r="C363" s="267" t="s">
        <v>1144</v>
      </c>
      <c r="D363" s="267"/>
      <c r="E363" s="268" t="s">
        <v>11031</v>
      </c>
      <c r="F363" s="268" t="s">
        <v>11032</v>
      </c>
      <c r="G363" s="267"/>
      <c r="H363" s="641">
        <v>200</v>
      </c>
    </row>
    <row r="364" spans="1:8" s="760" customFormat="1" ht="13.5" customHeight="1" x14ac:dyDescent="0.25">
      <c r="A364" s="267">
        <v>441</v>
      </c>
      <c r="B364" s="268" t="s">
        <v>1145</v>
      </c>
      <c r="C364" s="267" t="s">
        <v>1144</v>
      </c>
      <c r="D364" s="267"/>
      <c r="E364" s="268" t="s">
        <v>11033</v>
      </c>
      <c r="F364" s="268" t="s">
        <v>11034</v>
      </c>
      <c r="G364" s="267"/>
      <c r="H364" s="641">
        <v>220</v>
      </c>
    </row>
    <row r="365" spans="1:8" s="760" customFormat="1" ht="13.5" customHeight="1" x14ac:dyDescent="0.25">
      <c r="A365" s="267">
        <v>441</v>
      </c>
      <c r="B365" s="268" t="s">
        <v>1145</v>
      </c>
      <c r="C365" s="267" t="s">
        <v>1144</v>
      </c>
      <c r="D365" s="267"/>
      <c r="E365" s="268" t="s">
        <v>11035</v>
      </c>
      <c r="F365" s="268" t="s">
        <v>7694</v>
      </c>
      <c r="G365" s="267"/>
      <c r="H365" s="641">
        <v>200</v>
      </c>
    </row>
    <row r="366" spans="1:8" s="760" customFormat="1" ht="13.5" customHeight="1" x14ac:dyDescent="0.25">
      <c r="A366" s="267">
        <v>441</v>
      </c>
      <c r="B366" s="268" t="s">
        <v>1145</v>
      </c>
      <c r="C366" s="267" t="s">
        <v>1144</v>
      </c>
      <c r="D366" s="267"/>
      <c r="E366" s="268" t="s">
        <v>11036</v>
      </c>
      <c r="F366" s="268" t="s">
        <v>11037</v>
      </c>
      <c r="G366" s="267"/>
      <c r="H366" s="641">
        <v>300</v>
      </c>
    </row>
    <row r="367" spans="1:8" s="760" customFormat="1" ht="13.5" customHeight="1" x14ac:dyDescent="0.25">
      <c r="A367" s="267">
        <v>441</v>
      </c>
      <c r="B367" s="268" t="s">
        <v>1145</v>
      </c>
      <c r="C367" s="267" t="s">
        <v>1144</v>
      </c>
      <c r="D367" s="267"/>
      <c r="E367" s="268" t="s">
        <v>11038</v>
      </c>
      <c r="F367" s="268" t="s">
        <v>11039</v>
      </c>
      <c r="G367" s="267"/>
      <c r="H367" s="641">
        <v>400</v>
      </c>
    </row>
    <row r="368" spans="1:8" s="760" customFormat="1" ht="13.5" customHeight="1" x14ac:dyDescent="0.25">
      <c r="A368" s="267">
        <v>441</v>
      </c>
      <c r="B368" s="268" t="s">
        <v>1145</v>
      </c>
      <c r="C368" s="267" t="s">
        <v>1144</v>
      </c>
      <c r="D368" s="267"/>
      <c r="E368" s="268" t="s">
        <v>11040</v>
      </c>
      <c r="F368" s="268" t="s">
        <v>7849</v>
      </c>
      <c r="G368" s="267"/>
      <c r="H368" s="641">
        <v>500</v>
      </c>
    </row>
    <row r="369" spans="1:8" s="760" customFormat="1" ht="13.5" customHeight="1" x14ac:dyDescent="0.25">
      <c r="A369" s="267">
        <v>441</v>
      </c>
      <c r="B369" s="268" t="s">
        <v>1145</v>
      </c>
      <c r="C369" s="267" t="s">
        <v>1144</v>
      </c>
      <c r="D369" s="267"/>
      <c r="E369" s="268" t="s">
        <v>11041</v>
      </c>
      <c r="F369" s="268" t="s">
        <v>11042</v>
      </c>
      <c r="G369" s="267"/>
      <c r="H369" s="641">
        <v>1197</v>
      </c>
    </row>
    <row r="370" spans="1:8" s="760" customFormat="1" ht="13.5" customHeight="1" x14ac:dyDescent="0.25">
      <c r="A370" s="267">
        <v>441</v>
      </c>
      <c r="B370" s="268" t="s">
        <v>1145</v>
      </c>
      <c r="C370" s="267" t="s">
        <v>1144</v>
      </c>
      <c r="D370" s="267"/>
      <c r="E370" s="268" t="s">
        <v>11043</v>
      </c>
      <c r="F370" s="268" t="s">
        <v>11044</v>
      </c>
      <c r="G370" s="267"/>
      <c r="H370" s="641">
        <v>40000</v>
      </c>
    </row>
    <row r="371" spans="1:8" s="760" customFormat="1" ht="13.5" customHeight="1" x14ac:dyDescent="0.25">
      <c r="A371" s="267">
        <v>441</v>
      </c>
      <c r="B371" s="268" t="s">
        <v>1145</v>
      </c>
      <c r="C371" s="267" t="s">
        <v>1144</v>
      </c>
      <c r="D371" s="267"/>
      <c r="E371" s="268" t="s">
        <v>11045</v>
      </c>
      <c r="F371" s="268" t="s">
        <v>11046</v>
      </c>
      <c r="G371" s="267"/>
      <c r="H371" s="641">
        <v>10000</v>
      </c>
    </row>
    <row r="372" spans="1:8" s="760" customFormat="1" ht="13.5" customHeight="1" x14ac:dyDescent="0.25">
      <c r="A372" s="267">
        <v>441</v>
      </c>
      <c r="B372" s="268" t="s">
        <v>1145</v>
      </c>
      <c r="C372" s="267" t="s">
        <v>1144</v>
      </c>
      <c r="D372" s="267"/>
      <c r="E372" s="268" t="s">
        <v>11047</v>
      </c>
      <c r="F372" s="268" t="s">
        <v>11048</v>
      </c>
      <c r="G372" s="267"/>
      <c r="H372" s="641">
        <v>10000</v>
      </c>
    </row>
    <row r="373" spans="1:8" s="760" customFormat="1" ht="13.5" customHeight="1" x14ac:dyDescent="0.25">
      <c r="A373" s="267">
        <v>441</v>
      </c>
      <c r="B373" s="268" t="s">
        <v>1145</v>
      </c>
      <c r="C373" s="267" t="s">
        <v>1144</v>
      </c>
      <c r="D373" s="267"/>
      <c r="E373" s="268" t="s">
        <v>11049</v>
      </c>
      <c r="F373" s="268" t="s">
        <v>11050</v>
      </c>
      <c r="G373" s="267"/>
      <c r="H373" s="641">
        <v>15000</v>
      </c>
    </row>
    <row r="374" spans="1:8" s="760" customFormat="1" ht="13.5" customHeight="1" x14ac:dyDescent="0.25">
      <c r="A374" s="267">
        <v>441</v>
      </c>
      <c r="B374" s="268" t="s">
        <v>1145</v>
      </c>
      <c r="C374" s="267" t="s">
        <v>1144</v>
      </c>
      <c r="D374" s="267"/>
      <c r="E374" s="268" t="s">
        <v>11051</v>
      </c>
      <c r="F374" s="268" t="s">
        <v>11052</v>
      </c>
      <c r="G374" s="267"/>
      <c r="H374" s="641">
        <v>30000</v>
      </c>
    </row>
    <row r="375" spans="1:8" s="760" customFormat="1" ht="13.5" customHeight="1" x14ac:dyDescent="0.25">
      <c r="A375" s="267">
        <v>441</v>
      </c>
      <c r="B375" s="268" t="s">
        <v>1145</v>
      </c>
      <c r="C375" s="267" t="s">
        <v>1144</v>
      </c>
      <c r="D375" s="267"/>
      <c r="E375" s="268" t="s">
        <v>10902</v>
      </c>
      <c r="F375" s="268" t="s">
        <v>10903</v>
      </c>
      <c r="G375" s="267"/>
      <c r="H375" s="641">
        <v>30000</v>
      </c>
    </row>
    <row r="376" spans="1:8" s="760" customFormat="1" ht="13.5" customHeight="1" x14ac:dyDescent="0.25">
      <c r="A376" s="267">
        <v>441</v>
      </c>
      <c r="B376" s="268" t="s">
        <v>1145</v>
      </c>
      <c r="C376" s="267" t="s">
        <v>1144</v>
      </c>
      <c r="D376" s="267"/>
      <c r="E376" s="268" t="s">
        <v>11053</v>
      </c>
      <c r="F376" s="268" t="s">
        <v>11054</v>
      </c>
      <c r="G376" s="267"/>
      <c r="H376" s="641">
        <v>3000</v>
      </c>
    </row>
    <row r="377" spans="1:8" s="760" customFormat="1" ht="13.5" customHeight="1" x14ac:dyDescent="0.25">
      <c r="A377" s="267">
        <v>441</v>
      </c>
      <c r="B377" s="268" t="s">
        <v>1145</v>
      </c>
      <c r="C377" s="267" t="s">
        <v>1144</v>
      </c>
      <c r="D377" s="267"/>
      <c r="E377" s="268" t="s">
        <v>11053</v>
      </c>
      <c r="F377" s="268" t="s">
        <v>11054</v>
      </c>
      <c r="G377" s="267"/>
      <c r="H377" s="641">
        <v>5000</v>
      </c>
    </row>
    <row r="378" spans="1:8" s="760" customFormat="1" ht="13.5" customHeight="1" x14ac:dyDescent="0.25">
      <c r="A378" s="267">
        <v>441</v>
      </c>
      <c r="B378" s="268" t="s">
        <v>1145</v>
      </c>
      <c r="C378" s="267" t="s">
        <v>1144</v>
      </c>
      <c r="D378" s="267"/>
      <c r="E378" s="268" t="s">
        <v>11053</v>
      </c>
      <c r="F378" s="268" t="s">
        <v>11054</v>
      </c>
      <c r="G378" s="267"/>
      <c r="H378" s="641">
        <v>5000</v>
      </c>
    </row>
    <row r="379" spans="1:8" s="760" customFormat="1" ht="13.5" customHeight="1" x14ac:dyDescent="0.25">
      <c r="A379" s="267">
        <v>441</v>
      </c>
      <c r="B379" s="268" t="s">
        <v>1145</v>
      </c>
      <c r="C379" s="267" t="s">
        <v>1144</v>
      </c>
      <c r="D379" s="267"/>
      <c r="E379" s="268" t="s">
        <v>11053</v>
      </c>
      <c r="F379" s="268" t="s">
        <v>11054</v>
      </c>
      <c r="G379" s="267"/>
      <c r="H379" s="641">
        <v>5000</v>
      </c>
    </row>
    <row r="380" spans="1:8" s="760" customFormat="1" ht="13.5" customHeight="1" x14ac:dyDescent="0.25">
      <c r="A380" s="267">
        <v>441</v>
      </c>
      <c r="B380" s="268" t="s">
        <v>1145</v>
      </c>
      <c r="C380" s="267" t="s">
        <v>1144</v>
      </c>
      <c r="D380" s="267"/>
      <c r="E380" s="268" t="s">
        <v>11055</v>
      </c>
      <c r="F380" s="268" t="s">
        <v>11056</v>
      </c>
      <c r="G380" s="267"/>
      <c r="H380" s="641">
        <v>8000</v>
      </c>
    </row>
    <row r="381" spans="1:8" s="760" customFormat="1" ht="13.5" customHeight="1" x14ac:dyDescent="0.25">
      <c r="A381" s="267">
        <v>441</v>
      </c>
      <c r="B381" s="268" t="s">
        <v>1145</v>
      </c>
      <c r="C381" s="267" t="s">
        <v>1144</v>
      </c>
      <c r="D381" s="267"/>
      <c r="E381" s="268" t="s">
        <v>11057</v>
      </c>
      <c r="F381" s="268" t="s">
        <v>11058</v>
      </c>
      <c r="G381" s="267"/>
      <c r="H381" s="641">
        <v>8000</v>
      </c>
    </row>
    <row r="382" spans="1:8" s="760" customFormat="1" ht="13.5" customHeight="1" x14ac:dyDescent="0.25">
      <c r="A382" s="267">
        <v>441</v>
      </c>
      <c r="B382" s="268" t="s">
        <v>1145</v>
      </c>
      <c r="C382" s="267" t="s">
        <v>1144</v>
      </c>
      <c r="D382" s="267"/>
      <c r="E382" s="268" t="s">
        <v>11059</v>
      </c>
      <c r="F382" s="268" t="s">
        <v>11060</v>
      </c>
      <c r="G382" s="267"/>
      <c r="H382" s="641">
        <v>10000</v>
      </c>
    </row>
    <row r="383" spans="1:8" s="760" customFormat="1" ht="13.5" customHeight="1" x14ac:dyDescent="0.25">
      <c r="A383" s="267">
        <v>441</v>
      </c>
      <c r="B383" s="268" t="s">
        <v>1145</v>
      </c>
      <c r="C383" s="267" t="s">
        <v>1144</v>
      </c>
      <c r="D383" s="267"/>
      <c r="E383" s="268" t="s">
        <v>11061</v>
      </c>
      <c r="F383" s="268" t="s">
        <v>11062</v>
      </c>
      <c r="G383" s="267"/>
      <c r="H383" s="641">
        <v>10000</v>
      </c>
    </row>
    <row r="384" spans="1:8" s="760" customFormat="1" ht="13.5" customHeight="1" x14ac:dyDescent="0.25">
      <c r="A384" s="267">
        <v>441</v>
      </c>
      <c r="B384" s="268" t="s">
        <v>1145</v>
      </c>
      <c r="C384" s="267" t="s">
        <v>1144</v>
      </c>
      <c r="D384" s="267"/>
      <c r="E384" s="268" t="s">
        <v>11063</v>
      </c>
      <c r="F384" s="268" t="s">
        <v>11064</v>
      </c>
      <c r="G384" s="267"/>
      <c r="H384" s="641">
        <v>10000</v>
      </c>
    </row>
    <row r="385" spans="1:8" s="760" customFormat="1" ht="13.5" customHeight="1" x14ac:dyDescent="0.25">
      <c r="A385" s="267">
        <v>441</v>
      </c>
      <c r="B385" s="268" t="s">
        <v>1145</v>
      </c>
      <c r="C385" s="267" t="s">
        <v>1144</v>
      </c>
      <c r="D385" s="267"/>
      <c r="E385" s="268" t="s">
        <v>11065</v>
      </c>
      <c r="F385" s="268" t="s">
        <v>11066</v>
      </c>
      <c r="G385" s="267"/>
      <c r="H385" s="641">
        <v>10000</v>
      </c>
    </row>
    <row r="386" spans="1:8" s="760" customFormat="1" ht="13.5" customHeight="1" x14ac:dyDescent="0.25">
      <c r="A386" s="267">
        <v>441</v>
      </c>
      <c r="B386" s="268" t="s">
        <v>1145</v>
      </c>
      <c r="C386" s="267" t="s">
        <v>1144</v>
      </c>
      <c r="D386" s="267"/>
      <c r="E386" s="268" t="s">
        <v>11067</v>
      </c>
      <c r="F386" s="268"/>
      <c r="G386" s="267" t="s">
        <v>11068</v>
      </c>
      <c r="H386" s="641">
        <v>15000</v>
      </c>
    </row>
    <row r="387" spans="1:8" s="760" customFormat="1" ht="13.5" customHeight="1" x14ac:dyDescent="0.25">
      <c r="A387" s="267">
        <v>441</v>
      </c>
      <c r="B387" s="268" t="s">
        <v>1145</v>
      </c>
      <c r="C387" s="267" t="s">
        <v>1144</v>
      </c>
      <c r="D387" s="267"/>
      <c r="E387" s="268" t="s">
        <v>11053</v>
      </c>
      <c r="F387" s="268" t="s">
        <v>11054</v>
      </c>
      <c r="G387" s="267"/>
      <c r="H387" s="641">
        <v>15000</v>
      </c>
    </row>
    <row r="388" spans="1:8" s="760" customFormat="1" ht="13.5" customHeight="1" x14ac:dyDescent="0.25">
      <c r="A388" s="267">
        <v>441</v>
      </c>
      <c r="B388" s="268" t="s">
        <v>1145</v>
      </c>
      <c r="C388" s="267" t="s">
        <v>1144</v>
      </c>
      <c r="D388" s="267"/>
      <c r="E388" s="268" t="s">
        <v>11069</v>
      </c>
      <c r="F388" s="268" t="s">
        <v>11070</v>
      </c>
      <c r="G388" s="267"/>
      <c r="H388" s="641">
        <v>15000</v>
      </c>
    </row>
    <row r="389" spans="1:8" s="760" customFormat="1" ht="13.5" customHeight="1" x14ac:dyDescent="0.25">
      <c r="A389" s="267">
        <v>441</v>
      </c>
      <c r="B389" s="268" t="s">
        <v>1145</v>
      </c>
      <c r="C389" s="267" t="s">
        <v>1144</v>
      </c>
      <c r="D389" s="267"/>
      <c r="E389" s="268" t="s">
        <v>11071</v>
      </c>
      <c r="F389" s="268" t="s">
        <v>11072</v>
      </c>
      <c r="G389" s="267"/>
      <c r="H389" s="641">
        <v>15000</v>
      </c>
    </row>
    <row r="390" spans="1:8" s="760" customFormat="1" ht="13.5" customHeight="1" x14ac:dyDescent="0.25">
      <c r="A390" s="267">
        <v>441</v>
      </c>
      <c r="B390" s="268" t="s">
        <v>1145</v>
      </c>
      <c r="C390" s="267" t="s">
        <v>1144</v>
      </c>
      <c r="D390" s="267"/>
      <c r="E390" s="268" t="s">
        <v>11073</v>
      </c>
      <c r="F390" s="268" t="s">
        <v>11074</v>
      </c>
      <c r="G390" s="267"/>
      <c r="H390" s="641">
        <v>20000</v>
      </c>
    </row>
    <row r="391" spans="1:8" s="760" customFormat="1" ht="13.5" customHeight="1" x14ac:dyDescent="0.25">
      <c r="A391" s="267">
        <v>441</v>
      </c>
      <c r="B391" s="268" t="s">
        <v>1145</v>
      </c>
      <c r="C391" s="267" t="s">
        <v>1144</v>
      </c>
      <c r="D391" s="267"/>
      <c r="E391" s="268" t="s">
        <v>11075</v>
      </c>
      <c r="F391" s="268" t="s">
        <v>11076</v>
      </c>
      <c r="G391" s="267"/>
      <c r="H391" s="641">
        <v>20000</v>
      </c>
    </row>
    <row r="392" spans="1:8" s="760" customFormat="1" ht="13.5" customHeight="1" x14ac:dyDescent="0.25">
      <c r="A392" s="267">
        <v>441</v>
      </c>
      <c r="B392" s="268" t="s">
        <v>1145</v>
      </c>
      <c r="C392" s="267" t="s">
        <v>1144</v>
      </c>
      <c r="D392" s="267"/>
      <c r="E392" s="268" t="s">
        <v>11077</v>
      </c>
      <c r="F392" s="268" t="s">
        <v>11078</v>
      </c>
      <c r="G392" s="267"/>
      <c r="H392" s="641">
        <v>20000</v>
      </c>
    </row>
    <row r="393" spans="1:8" s="760" customFormat="1" ht="13.5" customHeight="1" x14ac:dyDescent="0.25">
      <c r="A393" s="267">
        <v>441</v>
      </c>
      <c r="B393" s="268" t="s">
        <v>1145</v>
      </c>
      <c r="C393" s="267" t="s">
        <v>1144</v>
      </c>
      <c r="D393" s="267"/>
      <c r="E393" s="268" t="s">
        <v>11079</v>
      </c>
      <c r="F393" s="268" t="s">
        <v>11080</v>
      </c>
      <c r="G393" s="267"/>
      <c r="H393" s="641">
        <v>30000</v>
      </c>
    </row>
    <row r="394" spans="1:8" s="760" customFormat="1" ht="13.5" customHeight="1" x14ac:dyDescent="0.25">
      <c r="A394" s="267">
        <v>441</v>
      </c>
      <c r="B394" s="268" t="s">
        <v>1145</v>
      </c>
      <c r="C394" s="267" t="s">
        <v>1144</v>
      </c>
      <c r="D394" s="267"/>
      <c r="E394" s="268" t="s">
        <v>11075</v>
      </c>
      <c r="F394" s="268" t="s">
        <v>11076</v>
      </c>
      <c r="G394" s="267"/>
      <c r="H394" s="641">
        <v>30000</v>
      </c>
    </row>
    <row r="395" spans="1:8" s="760" customFormat="1" ht="13.5" customHeight="1" x14ac:dyDescent="0.25">
      <c r="A395" s="267">
        <v>441</v>
      </c>
      <c r="B395" s="268" t="s">
        <v>1145</v>
      </c>
      <c r="C395" s="267" t="s">
        <v>1144</v>
      </c>
      <c r="D395" s="267"/>
      <c r="E395" s="268" t="s">
        <v>11061</v>
      </c>
      <c r="F395" s="268" t="s">
        <v>11062</v>
      </c>
      <c r="G395" s="267"/>
      <c r="H395" s="641">
        <v>40000</v>
      </c>
    </row>
    <row r="396" spans="1:8" s="760" customFormat="1" ht="13.5" customHeight="1" x14ac:dyDescent="0.25">
      <c r="A396" s="267">
        <v>441</v>
      </c>
      <c r="B396" s="268" t="s">
        <v>1148</v>
      </c>
      <c r="C396" s="267" t="s">
        <v>1144</v>
      </c>
      <c r="D396" s="267"/>
      <c r="E396" s="268" t="s">
        <v>11081</v>
      </c>
      <c r="F396" s="268" t="s">
        <v>11082</v>
      </c>
      <c r="G396" s="267"/>
      <c r="H396" s="641">
        <v>1989.01</v>
      </c>
    </row>
    <row r="397" spans="1:8" s="760" customFormat="1" ht="13.5" customHeight="1" x14ac:dyDescent="0.25">
      <c r="A397" s="267">
        <v>441</v>
      </c>
      <c r="B397" s="268" t="s">
        <v>1148</v>
      </c>
      <c r="C397" s="267" t="s">
        <v>1144</v>
      </c>
      <c r="D397" s="267"/>
      <c r="E397" s="268" t="s">
        <v>11083</v>
      </c>
      <c r="F397" s="268" t="s">
        <v>11084</v>
      </c>
      <c r="G397" s="267"/>
      <c r="H397" s="641">
        <v>3710.96</v>
      </c>
    </row>
    <row r="398" spans="1:8" s="760" customFormat="1" ht="13.5" customHeight="1" x14ac:dyDescent="0.25">
      <c r="A398" s="267">
        <v>441</v>
      </c>
      <c r="B398" s="268" t="s">
        <v>1148</v>
      </c>
      <c r="C398" s="267" t="s">
        <v>1144</v>
      </c>
      <c r="D398" s="267"/>
      <c r="E398" s="268" t="s">
        <v>7826</v>
      </c>
      <c r="F398" s="268" t="s">
        <v>7827</v>
      </c>
      <c r="G398" s="267"/>
      <c r="H398" s="641">
        <v>4872</v>
      </c>
    </row>
    <row r="399" spans="1:8" s="760" customFormat="1" ht="13.5" customHeight="1" x14ac:dyDescent="0.25">
      <c r="A399" s="267">
        <v>441</v>
      </c>
      <c r="B399" s="268" t="s">
        <v>1145</v>
      </c>
      <c r="C399" s="267" t="s">
        <v>1144</v>
      </c>
      <c r="D399" s="267"/>
      <c r="E399" s="268" t="s">
        <v>10847</v>
      </c>
      <c r="F399" s="268" t="s">
        <v>11085</v>
      </c>
      <c r="G399" s="267"/>
      <c r="H399" s="641">
        <v>300</v>
      </c>
    </row>
    <row r="400" spans="1:8" s="760" customFormat="1" ht="13.5" customHeight="1" x14ac:dyDescent="0.25">
      <c r="A400" s="267">
        <v>441</v>
      </c>
      <c r="B400" s="268" t="s">
        <v>1145</v>
      </c>
      <c r="C400" s="267" t="s">
        <v>1144</v>
      </c>
      <c r="D400" s="267"/>
      <c r="E400" s="268" t="s">
        <v>11086</v>
      </c>
      <c r="F400" s="268" t="s">
        <v>7892</v>
      </c>
      <c r="G400" s="267"/>
      <c r="H400" s="641">
        <v>300</v>
      </c>
    </row>
    <row r="401" spans="1:8" s="760" customFormat="1" ht="13.5" customHeight="1" x14ac:dyDescent="0.25">
      <c r="A401" s="267">
        <v>441</v>
      </c>
      <c r="B401" s="268" t="s">
        <v>1145</v>
      </c>
      <c r="C401" s="267" t="s">
        <v>1144</v>
      </c>
      <c r="D401" s="267"/>
      <c r="E401" s="268" t="s">
        <v>7932</v>
      </c>
      <c r="F401" s="268" t="s">
        <v>11087</v>
      </c>
      <c r="G401" s="267"/>
      <c r="H401" s="641">
        <v>200</v>
      </c>
    </row>
    <row r="402" spans="1:8" s="760" customFormat="1" ht="13.5" customHeight="1" x14ac:dyDescent="0.25">
      <c r="A402" s="267">
        <v>441</v>
      </c>
      <c r="B402" s="268" t="s">
        <v>1145</v>
      </c>
      <c r="C402" s="267" t="s">
        <v>1144</v>
      </c>
      <c r="D402" s="267"/>
      <c r="E402" s="268" t="s">
        <v>11088</v>
      </c>
      <c r="F402" s="268" t="s">
        <v>7673</v>
      </c>
      <c r="G402" s="267"/>
      <c r="H402" s="641">
        <v>250</v>
      </c>
    </row>
    <row r="403" spans="1:8" s="760" customFormat="1" ht="13.5" customHeight="1" x14ac:dyDescent="0.25">
      <c r="A403" s="267">
        <v>441</v>
      </c>
      <c r="B403" s="268" t="s">
        <v>1145</v>
      </c>
      <c r="C403" s="267" t="s">
        <v>1144</v>
      </c>
      <c r="D403" s="267"/>
      <c r="E403" s="268" t="s">
        <v>2512</v>
      </c>
      <c r="F403" s="268" t="s">
        <v>2513</v>
      </c>
      <c r="G403" s="267"/>
      <c r="H403" s="641">
        <v>200</v>
      </c>
    </row>
    <row r="404" spans="1:8" s="760" customFormat="1" ht="13.5" customHeight="1" x14ac:dyDescent="0.25">
      <c r="A404" s="267">
        <v>441</v>
      </c>
      <c r="B404" s="268" t="s">
        <v>1145</v>
      </c>
      <c r="C404" s="267" t="s">
        <v>1144</v>
      </c>
      <c r="D404" s="267"/>
      <c r="E404" s="268" t="s">
        <v>2561</v>
      </c>
      <c r="F404" s="268" t="s">
        <v>2071</v>
      </c>
      <c r="G404" s="267"/>
      <c r="H404" s="641">
        <v>200</v>
      </c>
    </row>
    <row r="405" spans="1:8" s="760" customFormat="1" ht="13.5" customHeight="1" x14ac:dyDescent="0.25">
      <c r="A405" s="267">
        <v>441</v>
      </c>
      <c r="B405" s="268" t="s">
        <v>1145</v>
      </c>
      <c r="C405" s="267" t="s">
        <v>1144</v>
      </c>
      <c r="D405" s="267"/>
      <c r="E405" s="268" t="s">
        <v>11089</v>
      </c>
      <c r="F405" s="268" t="s">
        <v>10994</v>
      </c>
      <c r="G405" s="267"/>
      <c r="H405" s="641">
        <v>300</v>
      </c>
    </row>
    <row r="406" spans="1:8" s="760" customFormat="1" ht="13.5" customHeight="1" x14ac:dyDescent="0.25">
      <c r="A406" s="267">
        <v>441</v>
      </c>
      <c r="B406" s="268" t="s">
        <v>1145</v>
      </c>
      <c r="C406" s="267" t="s">
        <v>1144</v>
      </c>
      <c r="D406" s="267"/>
      <c r="E406" s="268" t="s">
        <v>7828</v>
      </c>
      <c r="F406" s="268" t="s">
        <v>7829</v>
      </c>
      <c r="G406" s="267"/>
      <c r="H406" s="641">
        <v>200</v>
      </c>
    </row>
    <row r="407" spans="1:8" s="760" customFormat="1" ht="13.5" customHeight="1" x14ac:dyDescent="0.25">
      <c r="A407" s="267">
        <v>441</v>
      </c>
      <c r="B407" s="268" t="s">
        <v>1145</v>
      </c>
      <c r="C407" s="267" t="s">
        <v>1144</v>
      </c>
      <c r="D407" s="267"/>
      <c r="E407" s="268" t="s">
        <v>11090</v>
      </c>
      <c r="F407" s="268" t="s">
        <v>11091</v>
      </c>
      <c r="G407" s="267"/>
      <c r="H407" s="641">
        <v>200</v>
      </c>
    </row>
    <row r="408" spans="1:8" s="760" customFormat="1" ht="13.5" customHeight="1" x14ac:dyDescent="0.25">
      <c r="A408" s="267">
        <v>441</v>
      </c>
      <c r="B408" s="268" t="s">
        <v>1145</v>
      </c>
      <c r="C408" s="267" t="s">
        <v>1144</v>
      </c>
      <c r="D408" s="267"/>
      <c r="E408" s="268" t="s">
        <v>7879</v>
      </c>
      <c r="F408" s="268" t="s">
        <v>7880</v>
      </c>
      <c r="G408" s="267"/>
      <c r="H408" s="641">
        <v>300</v>
      </c>
    </row>
    <row r="409" spans="1:8" s="760" customFormat="1" ht="13.5" customHeight="1" x14ac:dyDescent="0.25">
      <c r="A409" s="267">
        <v>441</v>
      </c>
      <c r="B409" s="268" t="s">
        <v>1145</v>
      </c>
      <c r="C409" s="267" t="s">
        <v>1144</v>
      </c>
      <c r="D409" s="267"/>
      <c r="E409" s="268" t="s">
        <v>7768</v>
      </c>
      <c r="F409" s="268" t="s">
        <v>7769</v>
      </c>
      <c r="G409" s="267"/>
      <c r="H409" s="641">
        <v>300</v>
      </c>
    </row>
    <row r="410" spans="1:8" s="760" customFormat="1" ht="13.5" customHeight="1" x14ac:dyDescent="0.25">
      <c r="A410" s="267">
        <v>441</v>
      </c>
      <c r="B410" s="268" t="s">
        <v>1145</v>
      </c>
      <c r="C410" s="267" t="s">
        <v>1144</v>
      </c>
      <c r="D410" s="267"/>
      <c r="E410" s="268" t="s">
        <v>11092</v>
      </c>
      <c r="F410" s="268" t="s">
        <v>11093</v>
      </c>
      <c r="G410" s="267"/>
      <c r="H410" s="641">
        <v>900</v>
      </c>
    </row>
    <row r="411" spans="1:8" s="760" customFormat="1" ht="13.5" customHeight="1" x14ac:dyDescent="0.25">
      <c r="A411" s="267">
        <v>441</v>
      </c>
      <c r="B411" s="268" t="s">
        <v>1145</v>
      </c>
      <c r="C411" s="267" t="s">
        <v>1144</v>
      </c>
      <c r="D411" s="267"/>
      <c r="E411" s="268" t="s">
        <v>11094</v>
      </c>
      <c r="F411" s="268" t="s">
        <v>11095</v>
      </c>
      <c r="G411" s="267"/>
      <c r="H411" s="641">
        <v>250</v>
      </c>
    </row>
    <row r="412" spans="1:8" s="760" customFormat="1" ht="13.5" customHeight="1" x14ac:dyDescent="0.25">
      <c r="A412" s="267">
        <v>441</v>
      </c>
      <c r="B412" s="268" t="s">
        <v>1145</v>
      </c>
      <c r="C412" s="267" t="s">
        <v>1144</v>
      </c>
      <c r="D412" s="267"/>
      <c r="E412" s="268" t="s">
        <v>11096</v>
      </c>
      <c r="F412" s="268" t="s">
        <v>11097</v>
      </c>
      <c r="G412" s="267"/>
      <c r="H412" s="641">
        <v>150</v>
      </c>
    </row>
    <row r="413" spans="1:8" s="760" customFormat="1" ht="13.5" customHeight="1" x14ac:dyDescent="0.25">
      <c r="A413" s="267">
        <v>441</v>
      </c>
      <c r="B413" s="268" t="s">
        <v>1145</v>
      </c>
      <c r="C413" s="267" t="s">
        <v>1144</v>
      </c>
      <c r="D413" s="267"/>
      <c r="E413" s="268" t="s">
        <v>11098</v>
      </c>
      <c r="F413" s="268" t="s">
        <v>11099</v>
      </c>
      <c r="G413" s="267"/>
      <c r="H413" s="641">
        <v>300</v>
      </c>
    </row>
    <row r="414" spans="1:8" s="760" customFormat="1" ht="13.5" customHeight="1" x14ac:dyDescent="0.25">
      <c r="A414" s="267">
        <v>441</v>
      </c>
      <c r="B414" s="268" t="s">
        <v>1145</v>
      </c>
      <c r="C414" s="267" t="s">
        <v>1144</v>
      </c>
      <c r="D414" s="267"/>
      <c r="E414" s="268" t="s">
        <v>7955</v>
      </c>
      <c r="F414" s="268" t="s">
        <v>7695</v>
      </c>
      <c r="G414" s="267"/>
      <c r="H414" s="641">
        <v>300</v>
      </c>
    </row>
    <row r="415" spans="1:8" s="760" customFormat="1" ht="13.5" customHeight="1" x14ac:dyDescent="0.25">
      <c r="A415" s="267">
        <v>441</v>
      </c>
      <c r="B415" s="268" t="s">
        <v>1145</v>
      </c>
      <c r="C415" s="267" t="s">
        <v>1144</v>
      </c>
      <c r="D415" s="267"/>
      <c r="E415" s="268" t="s">
        <v>11100</v>
      </c>
      <c r="F415" s="268" t="s">
        <v>11101</v>
      </c>
      <c r="G415" s="267"/>
      <c r="H415" s="641">
        <v>300</v>
      </c>
    </row>
    <row r="416" spans="1:8" s="760" customFormat="1" ht="13.5" customHeight="1" x14ac:dyDescent="0.25">
      <c r="A416" s="267">
        <v>441</v>
      </c>
      <c r="B416" s="268" t="s">
        <v>1145</v>
      </c>
      <c r="C416" s="267" t="s">
        <v>1144</v>
      </c>
      <c r="D416" s="267"/>
      <c r="E416" s="268" t="s">
        <v>7669</v>
      </c>
      <c r="F416" s="268" t="s">
        <v>2597</v>
      </c>
      <c r="G416" s="267"/>
      <c r="H416" s="641">
        <v>300</v>
      </c>
    </row>
    <row r="417" spans="1:8" s="760" customFormat="1" ht="13.5" customHeight="1" x14ac:dyDescent="0.25">
      <c r="A417" s="267">
        <v>441</v>
      </c>
      <c r="B417" s="268" t="s">
        <v>1145</v>
      </c>
      <c r="C417" s="267" t="s">
        <v>1144</v>
      </c>
      <c r="D417" s="267"/>
      <c r="E417" s="268" t="s">
        <v>11102</v>
      </c>
      <c r="F417" s="268" t="s">
        <v>11103</v>
      </c>
      <c r="G417" s="267"/>
      <c r="H417" s="641">
        <v>300</v>
      </c>
    </row>
    <row r="418" spans="1:8" s="760" customFormat="1" ht="13.5" customHeight="1" x14ac:dyDescent="0.25">
      <c r="A418" s="267">
        <v>441</v>
      </c>
      <c r="B418" s="268" t="s">
        <v>1145</v>
      </c>
      <c r="C418" s="267" t="s">
        <v>1144</v>
      </c>
      <c r="D418" s="267"/>
      <c r="E418" s="268" t="s">
        <v>7858</v>
      </c>
      <c r="F418" s="268" t="s">
        <v>7817</v>
      </c>
      <c r="G418" s="267"/>
      <c r="H418" s="641">
        <v>150</v>
      </c>
    </row>
    <row r="419" spans="1:8" s="760" customFormat="1" ht="13.5" customHeight="1" x14ac:dyDescent="0.25">
      <c r="A419" s="267">
        <v>441</v>
      </c>
      <c r="B419" s="268" t="s">
        <v>1145</v>
      </c>
      <c r="C419" s="267" t="s">
        <v>1144</v>
      </c>
      <c r="D419" s="267"/>
      <c r="E419" s="268" t="s">
        <v>11104</v>
      </c>
      <c r="F419" s="268" t="s">
        <v>11105</v>
      </c>
      <c r="G419" s="267"/>
      <c r="H419" s="641">
        <v>400</v>
      </c>
    </row>
    <row r="420" spans="1:8" s="760" customFormat="1" ht="13.5" customHeight="1" x14ac:dyDescent="0.25">
      <c r="A420" s="267">
        <v>441</v>
      </c>
      <c r="B420" s="268" t="s">
        <v>1145</v>
      </c>
      <c r="C420" s="267" t="s">
        <v>1144</v>
      </c>
      <c r="D420" s="267"/>
      <c r="E420" s="268" t="s">
        <v>11106</v>
      </c>
      <c r="F420" s="268" t="s">
        <v>11107</v>
      </c>
      <c r="G420" s="267"/>
      <c r="H420" s="641">
        <v>300</v>
      </c>
    </row>
    <row r="421" spans="1:8" s="760" customFormat="1" ht="13.5" customHeight="1" x14ac:dyDescent="0.25">
      <c r="A421" s="267">
        <v>441</v>
      </c>
      <c r="B421" s="268" t="s">
        <v>1145</v>
      </c>
      <c r="C421" s="267" t="s">
        <v>1144</v>
      </c>
      <c r="D421" s="267"/>
      <c r="E421" s="268" t="s">
        <v>7773</v>
      </c>
      <c r="F421" s="268" t="s">
        <v>7774</v>
      </c>
      <c r="G421" s="267"/>
      <c r="H421" s="641">
        <v>300</v>
      </c>
    </row>
    <row r="422" spans="1:8" s="760" customFormat="1" ht="13.5" customHeight="1" x14ac:dyDescent="0.25">
      <c r="A422" s="267">
        <v>441</v>
      </c>
      <c r="B422" s="268" t="s">
        <v>1145</v>
      </c>
      <c r="C422" s="267" t="s">
        <v>1144</v>
      </c>
      <c r="D422" s="267"/>
      <c r="E422" s="268" t="s">
        <v>7653</v>
      </c>
      <c r="F422" s="268" t="s">
        <v>2069</v>
      </c>
      <c r="G422" s="267"/>
      <c r="H422" s="641">
        <v>300</v>
      </c>
    </row>
    <row r="423" spans="1:8" s="760" customFormat="1" ht="13.5" customHeight="1" x14ac:dyDescent="0.25">
      <c r="A423" s="267">
        <v>441</v>
      </c>
      <c r="B423" s="268" t="s">
        <v>1145</v>
      </c>
      <c r="C423" s="267" t="s">
        <v>1144</v>
      </c>
      <c r="D423" s="267"/>
      <c r="E423" s="268" t="s">
        <v>11108</v>
      </c>
      <c r="F423" s="268" t="s">
        <v>11109</v>
      </c>
      <c r="G423" s="267"/>
      <c r="H423" s="641">
        <v>400</v>
      </c>
    </row>
    <row r="424" spans="1:8" s="760" customFormat="1" ht="13.5" customHeight="1" x14ac:dyDescent="0.25">
      <c r="A424" s="267">
        <v>441</v>
      </c>
      <c r="B424" s="268" t="s">
        <v>1145</v>
      </c>
      <c r="C424" s="267" t="s">
        <v>1144</v>
      </c>
      <c r="D424" s="267"/>
      <c r="E424" s="268" t="s">
        <v>2592</v>
      </c>
      <c r="F424" s="268" t="s">
        <v>7624</v>
      </c>
      <c r="G424" s="267"/>
      <c r="H424" s="641">
        <v>300</v>
      </c>
    </row>
    <row r="425" spans="1:8" s="760" customFormat="1" ht="13.5" customHeight="1" x14ac:dyDescent="0.25">
      <c r="A425" s="267">
        <v>441</v>
      </c>
      <c r="B425" s="268" t="s">
        <v>1145</v>
      </c>
      <c r="C425" s="267" t="s">
        <v>1144</v>
      </c>
      <c r="D425" s="267"/>
      <c r="E425" s="268" t="s">
        <v>2510</v>
      </c>
      <c r="F425" s="268" t="s">
        <v>2511</v>
      </c>
      <c r="G425" s="267"/>
      <c r="H425" s="641">
        <v>150</v>
      </c>
    </row>
    <row r="426" spans="1:8" s="760" customFormat="1" ht="13.5" customHeight="1" x14ac:dyDescent="0.25">
      <c r="A426" s="267">
        <v>441</v>
      </c>
      <c r="B426" s="268" t="s">
        <v>1145</v>
      </c>
      <c r="C426" s="267" t="s">
        <v>1144</v>
      </c>
      <c r="D426" s="267"/>
      <c r="E426" s="268" t="s">
        <v>11110</v>
      </c>
      <c r="F426" s="268" t="s">
        <v>11111</v>
      </c>
      <c r="G426" s="267"/>
      <c r="H426" s="641">
        <v>150</v>
      </c>
    </row>
    <row r="427" spans="1:8" s="760" customFormat="1" ht="13.5" customHeight="1" x14ac:dyDescent="0.25">
      <c r="A427" s="267">
        <v>441</v>
      </c>
      <c r="B427" s="268" t="s">
        <v>1145</v>
      </c>
      <c r="C427" s="267" t="s">
        <v>1144</v>
      </c>
      <c r="D427" s="267"/>
      <c r="E427" s="268" t="s">
        <v>7897</v>
      </c>
      <c r="F427" s="268" t="s">
        <v>7898</v>
      </c>
      <c r="G427" s="267"/>
      <c r="H427" s="641">
        <v>150</v>
      </c>
    </row>
    <row r="428" spans="1:8" s="760" customFormat="1" ht="13.5" customHeight="1" x14ac:dyDescent="0.25">
      <c r="A428" s="267">
        <v>441</v>
      </c>
      <c r="B428" s="268" t="s">
        <v>1145</v>
      </c>
      <c r="C428" s="267" t="s">
        <v>1144</v>
      </c>
      <c r="D428" s="267"/>
      <c r="E428" s="268" t="s">
        <v>7754</v>
      </c>
      <c r="F428" s="268" t="s">
        <v>7783</v>
      </c>
      <c r="G428" s="267"/>
      <c r="H428" s="641">
        <v>300</v>
      </c>
    </row>
    <row r="429" spans="1:8" s="760" customFormat="1" ht="13.5" customHeight="1" x14ac:dyDescent="0.25">
      <c r="A429" s="267">
        <v>441</v>
      </c>
      <c r="B429" s="268" t="s">
        <v>1145</v>
      </c>
      <c r="C429" s="267" t="s">
        <v>1144</v>
      </c>
      <c r="D429" s="267"/>
      <c r="E429" s="268" t="s">
        <v>7833</v>
      </c>
      <c r="F429" s="268" t="s">
        <v>7834</v>
      </c>
      <c r="G429" s="267"/>
      <c r="H429" s="641">
        <v>300</v>
      </c>
    </row>
    <row r="430" spans="1:8" s="760" customFormat="1" ht="13.5" customHeight="1" x14ac:dyDescent="0.25">
      <c r="A430" s="267">
        <v>441</v>
      </c>
      <c r="B430" s="268" t="s">
        <v>1145</v>
      </c>
      <c r="C430" s="267" t="s">
        <v>1144</v>
      </c>
      <c r="D430" s="267"/>
      <c r="E430" s="268" t="s">
        <v>7627</v>
      </c>
      <c r="F430" s="268" t="s">
        <v>7628</v>
      </c>
      <c r="G430" s="267"/>
      <c r="H430" s="641">
        <v>200</v>
      </c>
    </row>
    <row r="431" spans="1:8" s="760" customFormat="1" ht="13.5" customHeight="1" x14ac:dyDescent="0.25">
      <c r="A431" s="267">
        <v>441</v>
      </c>
      <c r="B431" s="268" t="s">
        <v>1145</v>
      </c>
      <c r="C431" s="267" t="s">
        <v>1144</v>
      </c>
      <c r="D431" s="267"/>
      <c r="E431" s="268" t="s">
        <v>7883</v>
      </c>
      <c r="F431" s="268" t="s">
        <v>7634</v>
      </c>
      <c r="G431" s="267"/>
      <c r="H431" s="641">
        <v>200</v>
      </c>
    </row>
    <row r="432" spans="1:8" s="760" customFormat="1" ht="13.5" customHeight="1" x14ac:dyDescent="0.25">
      <c r="A432" s="267">
        <v>441</v>
      </c>
      <c r="B432" s="268" t="s">
        <v>1145</v>
      </c>
      <c r="C432" s="267" t="s">
        <v>1144</v>
      </c>
      <c r="D432" s="267"/>
      <c r="E432" s="268" t="s">
        <v>11112</v>
      </c>
      <c r="F432" s="268" t="s">
        <v>11113</v>
      </c>
      <c r="G432" s="267"/>
      <c r="H432" s="641">
        <v>300</v>
      </c>
    </row>
    <row r="433" spans="1:8" s="760" customFormat="1" ht="13.5" customHeight="1" x14ac:dyDescent="0.25">
      <c r="A433" s="267">
        <v>441</v>
      </c>
      <c r="B433" s="268" t="s">
        <v>1145</v>
      </c>
      <c r="C433" s="267" t="s">
        <v>1144</v>
      </c>
      <c r="D433" s="267"/>
      <c r="E433" s="268" t="s">
        <v>11114</v>
      </c>
      <c r="F433" s="268" t="s">
        <v>11115</v>
      </c>
      <c r="G433" s="267"/>
      <c r="H433" s="641">
        <v>200</v>
      </c>
    </row>
    <row r="434" spans="1:8" s="760" customFormat="1" ht="13.5" customHeight="1" x14ac:dyDescent="0.25">
      <c r="A434" s="267">
        <v>441</v>
      </c>
      <c r="B434" s="268" t="s">
        <v>1145</v>
      </c>
      <c r="C434" s="267" t="s">
        <v>1144</v>
      </c>
      <c r="D434" s="267"/>
      <c r="E434" s="268" t="s">
        <v>11116</v>
      </c>
      <c r="F434" s="268" t="s">
        <v>11117</v>
      </c>
      <c r="G434" s="267"/>
      <c r="H434" s="641">
        <v>300</v>
      </c>
    </row>
    <row r="435" spans="1:8" s="760" customFormat="1" ht="13.5" customHeight="1" x14ac:dyDescent="0.25">
      <c r="A435" s="267">
        <v>441</v>
      </c>
      <c r="B435" s="268" t="s">
        <v>1145</v>
      </c>
      <c r="C435" s="267" t="s">
        <v>1144</v>
      </c>
      <c r="D435" s="267"/>
      <c r="E435" s="268" t="s">
        <v>7831</v>
      </c>
      <c r="F435" s="268" t="s">
        <v>7832</v>
      </c>
      <c r="G435" s="267"/>
      <c r="H435" s="641">
        <v>300</v>
      </c>
    </row>
    <row r="436" spans="1:8" s="760" customFormat="1" ht="13.5" customHeight="1" x14ac:dyDescent="0.25">
      <c r="A436" s="267">
        <v>441</v>
      </c>
      <c r="B436" s="268" t="s">
        <v>1145</v>
      </c>
      <c r="C436" s="267" t="s">
        <v>1144</v>
      </c>
      <c r="D436" s="267"/>
      <c r="E436" s="268" t="s">
        <v>1159</v>
      </c>
      <c r="F436" s="268" t="s">
        <v>1160</v>
      </c>
      <c r="G436" s="267"/>
      <c r="H436" s="641">
        <v>279.33</v>
      </c>
    </row>
    <row r="437" spans="1:8" s="760" customFormat="1" ht="13.5" customHeight="1" x14ac:dyDescent="0.25">
      <c r="A437" s="267">
        <v>441</v>
      </c>
      <c r="B437" s="268" t="s">
        <v>1145</v>
      </c>
      <c r="C437" s="267" t="s">
        <v>1144</v>
      </c>
      <c r="D437" s="267"/>
      <c r="E437" s="268" t="s">
        <v>7935</v>
      </c>
      <c r="F437" s="268" t="s">
        <v>7700</v>
      </c>
      <c r="G437" s="267"/>
      <c r="H437" s="641">
        <v>350</v>
      </c>
    </row>
    <row r="438" spans="1:8" s="760" customFormat="1" ht="13.5" customHeight="1" x14ac:dyDescent="0.25">
      <c r="A438" s="267">
        <v>441</v>
      </c>
      <c r="B438" s="268" t="s">
        <v>1145</v>
      </c>
      <c r="C438" s="267" t="s">
        <v>1144</v>
      </c>
      <c r="D438" s="267"/>
      <c r="E438" s="268" t="s">
        <v>7650</v>
      </c>
      <c r="F438" s="268" t="s">
        <v>2588</v>
      </c>
      <c r="G438" s="267"/>
      <c r="H438" s="641">
        <v>200</v>
      </c>
    </row>
    <row r="439" spans="1:8" s="760" customFormat="1" ht="13.5" customHeight="1" x14ac:dyDescent="0.25">
      <c r="A439" s="267">
        <v>441</v>
      </c>
      <c r="B439" s="268" t="s">
        <v>1145</v>
      </c>
      <c r="C439" s="267" t="s">
        <v>1144</v>
      </c>
      <c r="D439" s="267"/>
      <c r="E439" s="268" t="s">
        <v>11118</v>
      </c>
      <c r="F439" s="268" t="s">
        <v>11119</v>
      </c>
      <c r="G439" s="267"/>
      <c r="H439" s="641">
        <v>250</v>
      </c>
    </row>
    <row r="440" spans="1:8" s="760" customFormat="1" ht="13.5" customHeight="1" x14ac:dyDescent="0.25">
      <c r="A440" s="267">
        <v>441</v>
      </c>
      <c r="B440" s="268" t="s">
        <v>1145</v>
      </c>
      <c r="C440" s="267" t="s">
        <v>1144</v>
      </c>
      <c r="D440" s="267"/>
      <c r="E440" s="268" t="s">
        <v>7642</v>
      </c>
      <c r="F440" s="268" t="s">
        <v>7643</v>
      </c>
      <c r="G440" s="267"/>
      <c r="H440" s="641">
        <v>200</v>
      </c>
    </row>
    <row r="441" spans="1:8" s="760" customFormat="1" ht="13.5" customHeight="1" x14ac:dyDescent="0.25">
      <c r="A441" s="267">
        <v>441</v>
      </c>
      <c r="B441" s="268" t="s">
        <v>1145</v>
      </c>
      <c r="C441" s="267" t="s">
        <v>1144</v>
      </c>
      <c r="D441" s="267"/>
      <c r="E441" s="268" t="s">
        <v>2551</v>
      </c>
      <c r="F441" s="268" t="s">
        <v>2518</v>
      </c>
      <c r="G441" s="267"/>
      <c r="H441" s="641">
        <v>300</v>
      </c>
    </row>
    <row r="442" spans="1:8" s="760" customFormat="1" ht="13.5" customHeight="1" x14ac:dyDescent="0.25">
      <c r="A442" s="267">
        <v>441</v>
      </c>
      <c r="B442" s="268" t="s">
        <v>1145</v>
      </c>
      <c r="C442" s="267" t="s">
        <v>1144</v>
      </c>
      <c r="D442" s="267"/>
      <c r="E442" s="268" t="s">
        <v>11120</v>
      </c>
      <c r="F442" s="268" t="s">
        <v>11121</v>
      </c>
      <c r="G442" s="267"/>
      <c r="H442" s="641">
        <v>300</v>
      </c>
    </row>
    <row r="443" spans="1:8" s="760" customFormat="1" ht="13.5" customHeight="1" x14ac:dyDescent="0.25">
      <c r="A443" s="267">
        <v>441</v>
      </c>
      <c r="B443" s="268" t="s">
        <v>1145</v>
      </c>
      <c r="C443" s="267" t="s">
        <v>1144</v>
      </c>
      <c r="D443" s="267"/>
      <c r="E443" s="268" t="s">
        <v>11122</v>
      </c>
      <c r="F443" s="268" t="s">
        <v>11123</v>
      </c>
      <c r="G443" s="267"/>
      <c r="H443" s="641">
        <v>300</v>
      </c>
    </row>
    <row r="444" spans="1:8" s="760" customFormat="1" ht="13.5" customHeight="1" x14ac:dyDescent="0.25">
      <c r="A444" s="267">
        <v>441</v>
      </c>
      <c r="B444" s="268" t="s">
        <v>1145</v>
      </c>
      <c r="C444" s="267" t="s">
        <v>1144</v>
      </c>
      <c r="D444" s="267"/>
      <c r="E444" s="268" t="s">
        <v>7611</v>
      </c>
      <c r="F444" s="268" t="s">
        <v>7612</v>
      </c>
      <c r="G444" s="267"/>
      <c r="H444" s="641">
        <v>300</v>
      </c>
    </row>
    <row r="445" spans="1:8" s="760" customFormat="1" ht="13.5" customHeight="1" x14ac:dyDescent="0.25">
      <c r="A445" s="267">
        <v>441</v>
      </c>
      <c r="B445" s="268" t="s">
        <v>1145</v>
      </c>
      <c r="C445" s="267" t="s">
        <v>1144</v>
      </c>
      <c r="D445" s="267"/>
      <c r="E445" s="268" t="s">
        <v>2574</v>
      </c>
      <c r="F445" s="268" t="s">
        <v>2582</v>
      </c>
      <c r="G445" s="267"/>
      <c r="H445" s="641">
        <v>300</v>
      </c>
    </row>
    <row r="446" spans="1:8" s="760" customFormat="1" ht="13.5" customHeight="1" x14ac:dyDescent="0.25">
      <c r="A446" s="267">
        <v>441</v>
      </c>
      <c r="B446" s="268" t="s">
        <v>1145</v>
      </c>
      <c r="C446" s="267" t="s">
        <v>1144</v>
      </c>
      <c r="D446" s="267"/>
      <c r="E446" s="268" t="s">
        <v>7610</v>
      </c>
      <c r="F446" s="268"/>
      <c r="G446" s="267" t="s">
        <v>7661</v>
      </c>
      <c r="H446" s="641">
        <v>300</v>
      </c>
    </row>
    <row r="447" spans="1:8" s="760" customFormat="1" ht="13.5" customHeight="1" x14ac:dyDescent="0.25">
      <c r="A447" s="267">
        <v>441</v>
      </c>
      <c r="B447" s="268" t="s">
        <v>1145</v>
      </c>
      <c r="C447" s="267" t="s">
        <v>1144</v>
      </c>
      <c r="D447" s="267"/>
      <c r="E447" s="268" t="s">
        <v>2573</v>
      </c>
      <c r="F447" s="268" t="s">
        <v>10897</v>
      </c>
      <c r="G447" s="267"/>
      <c r="H447" s="641">
        <v>300</v>
      </c>
    </row>
    <row r="448" spans="1:8" s="760" customFormat="1" ht="13.5" customHeight="1" x14ac:dyDescent="0.25">
      <c r="A448" s="267">
        <v>441</v>
      </c>
      <c r="B448" s="268" t="s">
        <v>1145</v>
      </c>
      <c r="C448" s="267" t="s">
        <v>1144</v>
      </c>
      <c r="D448" s="267"/>
      <c r="E448" s="268" t="s">
        <v>2517</v>
      </c>
      <c r="F448" s="268" t="s">
        <v>1154</v>
      </c>
      <c r="G448" s="267"/>
      <c r="H448" s="641">
        <v>300</v>
      </c>
    </row>
    <row r="449" spans="1:8" s="760" customFormat="1" ht="13.5" customHeight="1" x14ac:dyDescent="0.25">
      <c r="A449" s="267">
        <v>441</v>
      </c>
      <c r="B449" s="268" t="s">
        <v>1145</v>
      </c>
      <c r="C449" s="267" t="s">
        <v>1144</v>
      </c>
      <c r="D449" s="267"/>
      <c r="E449" s="268" t="s">
        <v>2507</v>
      </c>
      <c r="F449" s="268"/>
      <c r="G449" s="267" t="s">
        <v>2508</v>
      </c>
      <c r="H449" s="641">
        <v>300</v>
      </c>
    </row>
    <row r="450" spans="1:8" s="760" customFormat="1" ht="13.5" customHeight="1" x14ac:dyDescent="0.25">
      <c r="A450" s="267">
        <v>441</v>
      </c>
      <c r="B450" s="268" t="s">
        <v>1145</v>
      </c>
      <c r="C450" s="267" t="s">
        <v>1144</v>
      </c>
      <c r="D450" s="267"/>
      <c r="E450" s="268" t="s">
        <v>7619</v>
      </c>
      <c r="F450" s="268" t="s">
        <v>2570</v>
      </c>
      <c r="G450" s="267"/>
      <c r="H450" s="641">
        <v>450</v>
      </c>
    </row>
    <row r="451" spans="1:8" s="760" customFormat="1" ht="13.5" customHeight="1" x14ac:dyDescent="0.25">
      <c r="A451" s="267">
        <v>441</v>
      </c>
      <c r="B451" s="268" t="s">
        <v>1145</v>
      </c>
      <c r="C451" s="267" t="s">
        <v>1144</v>
      </c>
      <c r="D451" s="267"/>
      <c r="E451" s="268" t="s">
        <v>2592</v>
      </c>
      <c r="F451" s="268"/>
      <c r="G451" s="267" t="s">
        <v>2605</v>
      </c>
      <c r="H451" s="641">
        <v>500</v>
      </c>
    </row>
    <row r="452" spans="1:8" s="760" customFormat="1" ht="13.5" customHeight="1" x14ac:dyDescent="0.25">
      <c r="A452" s="267">
        <v>441</v>
      </c>
      <c r="B452" s="268" t="s">
        <v>1145</v>
      </c>
      <c r="C452" s="267" t="s">
        <v>1144</v>
      </c>
      <c r="D452" s="267"/>
      <c r="E452" s="268" t="s">
        <v>11124</v>
      </c>
      <c r="F452" s="268"/>
      <c r="G452" s="267" t="s">
        <v>11125</v>
      </c>
      <c r="H452" s="641">
        <v>300</v>
      </c>
    </row>
    <row r="453" spans="1:8" s="760" customFormat="1" ht="13.5" customHeight="1" x14ac:dyDescent="0.25">
      <c r="A453" s="267">
        <v>441</v>
      </c>
      <c r="B453" s="268" t="s">
        <v>1145</v>
      </c>
      <c r="C453" s="267" t="s">
        <v>1144</v>
      </c>
      <c r="D453" s="267"/>
      <c r="E453" s="268" t="s">
        <v>1197</v>
      </c>
      <c r="F453" s="268" t="s">
        <v>1198</v>
      </c>
      <c r="G453" s="267"/>
      <c r="H453" s="641">
        <v>200</v>
      </c>
    </row>
    <row r="454" spans="1:8" s="760" customFormat="1" ht="13.5" customHeight="1" x14ac:dyDescent="0.25">
      <c r="A454" s="267">
        <v>441</v>
      </c>
      <c r="B454" s="268" t="s">
        <v>1145</v>
      </c>
      <c r="C454" s="267" t="s">
        <v>1144</v>
      </c>
      <c r="D454" s="267"/>
      <c r="E454" s="268" t="s">
        <v>2517</v>
      </c>
      <c r="F454" s="268" t="s">
        <v>1154</v>
      </c>
      <c r="G454" s="267"/>
      <c r="H454" s="641">
        <v>300</v>
      </c>
    </row>
    <row r="455" spans="1:8" s="760" customFormat="1" ht="13.5" customHeight="1" x14ac:dyDescent="0.25">
      <c r="A455" s="267">
        <v>441</v>
      </c>
      <c r="B455" s="268" t="s">
        <v>1145</v>
      </c>
      <c r="C455" s="267" t="s">
        <v>1144</v>
      </c>
      <c r="D455" s="267"/>
      <c r="E455" s="268" t="s">
        <v>7656</v>
      </c>
      <c r="F455" s="268"/>
      <c r="G455" s="267"/>
      <c r="H455" s="641">
        <v>200</v>
      </c>
    </row>
    <row r="456" spans="1:8" s="760" customFormat="1" ht="13.5" customHeight="1" x14ac:dyDescent="0.25">
      <c r="A456" s="267">
        <v>441</v>
      </c>
      <c r="B456" s="268" t="s">
        <v>1145</v>
      </c>
      <c r="C456" s="267" t="s">
        <v>1144</v>
      </c>
      <c r="D456" s="267"/>
      <c r="E456" s="268" t="s">
        <v>7912</v>
      </c>
      <c r="F456" s="268" t="s">
        <v>11126</v>
      </c>
      <c r="G456" s="267"/>
      <c r="H456" s="641">
        <v>500</v>
      </c>
    </row>
    <row r="457" spans="1:8" s="760" customFormat="1" ht="13.5" customHeight="1" x14ac:dyDescent="0.25">
      <c r="A457" s="267">
        <v>441</v>
      </c>
      <c r="B457" s="268" t="s">
        <v>1145</v>
      </c>
      <c r="C457" s="267" t="s">
        <v>1144</v>
      </c>
      <c r="D457" s="267"/>
      <c r="E457" s="268" t="s">
        <v>7928</v>
      </c>
      <c r="F457" s="268" t="s">
        <v>7613</v>
      </c>
      <c r="G457" s="267"/>
      <c r="H457" s="641">
        <v>300</v>
      </c>
    </row>
    <row r="458" spans="1:8" s="760" customFormat="1" ht="13.5" customHeight="1" x14ac:dyDescent="0.25">
      <c r="A458" s="267">
        <v>441</v>
      </c>
      <c r="B458" s="268" t="s">
        <v>1145</v>
      </c>
      <c r="C458" s="267" t="s">
        <v>1144</v>
      </c>
      <c r="D458" s="267"/>
      <c r="E458" s="268" t="s">
        <v>1199</v>
      </c>
      <c r="F458" s="268" t="s">
        <v>1200</v>
      </c>
      <c r="G458" s="267"/>
      <c r="H458" s="641">
        <v>400</v>
      </c>
    </row>
    <row r="459" spans="1:8" s="760" customFormat="1" ht="13.5" customHeight="1" x14ac:dyDescent="0.25">
      <c r="A459" s="267">
        <v>441</v>
      </c>
      <c r="B459" s="268" t="s">
        <v>1145</v>
      </c>
      <c r="C459" s="267" t="s">
        <v>1144</v>
      </c>
      <c r="D459" s="267"/>
      <c r="E459" s="268" t="s">
        <v>2514</v>
      </c>
      <c r="F459" s="268" t="s">
        <v>1150</v>
      </c>
      <c r="G459" s="267"/>
      <c r="H459" s="641">
        <v>300</v>
      </c>
    </row>
    <row r="460" spans="1:8" s="760" customFormat="1" ht="13.5" customHeight="1" x14ac:dyDescent="0.25">
      <c r="A460" s="267">
        <v>441</v>
      </c>
      <c r="B460" s="268" t="s">
        <v>1145</v>
      </c>
      <c r="C460" s="267" t="s">
        <v>1144</v>
      </c>
      <c r="D460" s="267"/>
      <c r="E460" s="268" t="s">
        <v>11127</v>
      </c>
      <c r="F460" s="268" t="s">
        <v>10895</v>
      </c>
      <c r="G460" s="267"/>
      <c r="H460" s="641">
        <v>200</v>
      </c>
    </row>
    <row r="461" spans="1:8" s="760" customFormat="1" ht="13.5" customHeight="1" x14ac:dyDescent="0.25">
      <c r="A461" s="267">
        <v>441</v>
      </c>
      <c r="B461" s="268" t="s">
        <v>1145</v>
      </c>
      <c r="C461" s="267" t="s">
        <v>1144</v>
      </c>
      <c r="D461" s="267"/>
      <c r="E461" s="268" t="s">
        <v>1146</v>
      </c>
      <c r="F461" s="268" t="s">
        <v>1147</v>
      </c>
      <c r="G461" s="267"/>
      <c r="H461" s="641">
        <v>200</v>
      </c>
    </row>
    <row r="462" spans="1:8" s="760" customFormat="1" ht="13.5" customHeight="1" x14ac:dyDescent="0.25">
      <c r="A462" s="267">
        <v>441</v>
      </c>
      <c r="B462" s="268" t="s">
        <v>1145</v>
      </c>
      <c r="C462" s="267" t="s">
        <v>1144</v>
      </c>
      <c r="D462" s="267"/>
      <c r="E462" s="268" t="s">
        <v>2540</v>
      </c>
      <c r="F462" s="268" t="s">
        <v>11128</v>
      </c>
      <c r="G462" s="267"/>
      <c r="H462" s="641">
        <v>200</v>
      </c>
    </row>
    <row r="463" spans="1:8" s="760" customFormat="1" ht="13.5" customHeight="1" x14ac:dyDescent="0.25">
      <c r="A463" s="267">
        <v>441</v>
      </c>
      <c r="B463" s="268" t="s">
        <v>1145</v>
      </c>
      <c r="C463" s="267" t="s">
        <v>1144</v>
      </c>
      <c r="D463" s="267"/>
      <c r="E463" s="268" t="s">
        <v>11129</v>
      </c>
      <c r="F463" s="268"/>
      <c r="G463" s="267"/>
      <c r="H463" s="641">
        <v>200</v>
      </c>
    </row>
    <row r="464" spans="1:8" s="760" customFormat="1" ht="13.5" customHeight="1" x14ac:dyDescent="0.25">
      <c r="A464" s="267">
        <v>441</v>
      </c>
      <c r="B464" s="268" t="s">
        <v>1145</v>
      </c>
      <c r="C464" s="267" t="s">
        <v>1144</v>
      </c>
      <c r="D464" s="267"/>
      <c r="E464" s="268" t="s">
        <v>2535</v>
      </c>
      <c r="F464" s="268" t="s">
        <v>2536</v>
      </c>
      <c r="G464" s="267"/>
      <c r="H464" s="641">
        <v>200</v>
      </c>
    </row>
    <row r="465" spans="1:8" s="760" customFormat="1" ht="13.5" customHeight="1" x14ac:dyDescent="0.25">
      <c r="A465" s="267">
        <v>441</v>
      </c>
      <c r="B465" s="268" t="s">
        <v>1148</v>
      </c>
      <c r="C465" s="267" t="s">
        <v>1144</v>
      </c>
      <c r="D465" s="267"/>
      <c r="E465" s="268" t="s">
        <v>11120</v>
      </c>
      <c r="F465" s="268" t="s">
        <v>11121</v>
      </c>
      <c r="G465" s="267"/>
      <c r="H465" s="641">
        <v>5162</v>
      </c>
    </row>
    <row r="466" spans="1:8" s="760" customFormat="1" ht="13.5" customHeight="1" x14ac:dyDescent="0.25">
      <c r="A466" s="267">
        <v>441</v>
      </c>
      <c r="B466" s="268" t="s">
        <v>1148</v>
      </c>
      <c r="C466" s="267" t="s">
        <v>1144</v>
      </c>
      <c r="D466" s="267"/>
      <c r="E466" s="268" t="s">
        <v>11130</v>
      </c>
      <c r="F466" s="268" t="s">
        <v>11131</v>
      </c>
      <c r="G466" s="267"/>
      <c r="H466" s="641">
        <v>46336</v>
      </c>
    </row>
    <row r="467" spans="1:8" s="760" customFormat="1" ht="13.5" customHeight="1" x14ac:dyDescent="0.25">
      <c r="A467" s="267">
        <v>441</v>
      </c>
      <c r="B467" s="268" t="s">
        <v>1145</v>
      </c>
      <c r="C467" s="267" t="s">
        <v>1144</v>
      </c>
      <c r="D467" s="267"/>
      <c r="E467" s="268" t="s">
        <v>11132</v>
      </c>
      <c r="F467" s="268" t="s">
        <v>11133</v>
      </c>
      <c r="G467" s="267"/>
      <c r="H467" s="641">
        <v>3600</v>
      </c>
    </row>
    <row r="468" spans="1:8" s="760" customFormat="1" ht="13.5" customHeight="1" x14ac:dyDescent="0.25">
      <c r="A468" s="267">
        <v>445</v>
      </c>
      <c r="B468" s="268" t="s">
        <v>1148</v>
      </c>
      <c r="C468" s="267" t="s">
        <v>1144</v>
      </c>
      <c r="D468" s="267"/>
      <c r="E468" s="268" t="s">
        <v>11134</v>
      </c>
      <c r="F468" s="268"/>
      <c r="G468" s="267" t="s">
        <v>7961</v>
      </c>
      <c r="H468" s="641">
        <v>23758.01</v>
      </c>
    </row>
    <row r="469" spans="1:8" s="760" customFormat="1" ht="13.5" customHeight="1" x14ac:dyDescent="0.25">
      <c r="A469" s="267">
        <v>445</v>
      </c>
      <c r="B469" s="268" t="s">
        <v>1145</v>
      </c>
      <c r="C469" s="267" t="s">
        <v>1144</v>
      </c>
      <c r="D469" s="267"/>
      <c r="E469" s="268" t="s">
        <v>11135</v>
      </c>
      <c r="F469" s="268" t="s">
        <v>11136</v>
      </c>
      <c r="G469" s="267"/>
      <c r="H469" s="641">
        <v>10000</v>
      </c>
    </row>
    <row r="470" spans="1:8" s="760" customFormat="1" ht="13.5" customHeight="1" x14ac:dyDescent="0.25">
      <c r="A470" s="267">
        <v>445</v>
      </c>
      <c r="B470" s="268" t="s">
        <v>1145</v>
      </c>
      <c r="C470" s="267" t="s">
        <v>1144</v>
      </c>
      <c r="D470" s="267"/>
      <c r="E470" s="268" t="s">
        <v>11137</v>
      </c>
      <c r="F470" s="268" t="s">
        <v>11138</v>
      </c>
      <c r="G470" s="267"/>
      <c r="H470" s="641">
        <v>10000</v>
      </c>
    </row>
    <row r="471" spans="1:8" s="760" customFormat="1" ht="13.5" customHeight="1" x14ac:dyDescent="0.25">
      <c r="A471" s="267">
        <v>445</v>
      </c>
      <c r="B471" s="268" t="s">
        <v>1145</v>
      </c>
      <c r="C471" s="267" t="s">
        <v>1144</v>
      </c>
      <c r="D471" s="267"/>
      <c r="E471" s="268" t="s">
        <v>7885</v>
      </c>
      <c r="F471" s="268"/>
      <c r="G471" s="267" t="s">
        <v>7886</v>
      </c>
      <c r="H471" s="641">
        <v>50000</v>
      </c>
    </row>
    <row r="472" spans="1:8" s="760" customFormat="1" ht="13.5" customHeight="1" x14ac:dyDescent="0.25">
      <c r="A472" s="267">
        <v>445</v>
      </c>
      <c r="B472" s="268" t="s">
        <v>1145</v>
      </c>
      <c r="C472" s="267" t="s">
        <v>1144</v>
      </c>
      <c r="D472" s="267"/>
      <c r="E472" s="268" t="s">
        <v>11139</v>
      </c>
      <c r="F472" s="268" t="s">
        <v>11140</v>
      </c>
      <c r="G472" s="267"/>
      <c r="H472" s="641">
        <v>8750</v>
      </c>
    </row>
    <row r="473" spans="1:8" s="760" customFormat="1" ht="13.5" customHeight="1" x14ac:dyDescent="0.25">
      <c r="A473" s="267">
        <v>445</v>
      </c>
      <c r="B473" s="268" t="s">
        <v>1148</v>
      </c>
      <c r="C473" s="267" t="s">
        <v>1144</v>
      </c>
      <c r="D473" s="267"/>
      <c r="E473" s="268" t="s">
        <v>1152</v>
      </c>
      <c r="F473" s="268"/>
      <c r="G473" s="267"/>
      <c r="H473" s="641">
        <v>81200</v>
      </c>
    </row>
    <row r="474" spans="1:8" s="760" customFormat="1" ht="13.5" customHeight="1" x14ac:dyDescent="0.25">
      <c r="A474" s="267">
        <v>445</v>
      </c>
      <c r="B474" s="268" t="s">
        <v>1145</v>
      </c>
      <c r="C474" s="267" t="s">
        <v>1144</v>
      </c>
      <c r="D474" s="267"/>
      <c r="E474" s="268" t="s">
        <v>11141</v>
      </c>
      <c r="F474" s="268"/>
      <c r="G474" s="267" t="s">
        <v>11142</v>
      </c>
      <c r="H474" s="641">
        <v>10000</v>
      </c>
    </row>
    <row r="475" spans="1:8" s="760" customFormat="1" ht="13.5" customHeight="1" x14ac:dyDescent="0.25">
      <c r="A475" s="267">
        <v>445</v>
      </c>
      <c r="B475" s="268" t="s">
        <v>1145</v>
      </c>
      <c r="C475" s="267" t="s">
        <v>1144</v>
      </c>
      <c r="D475" s="267"/>
      <c r="E475" s="268" t="s">
        <v>7734</v>
      </c>
      <c r="F475" s="268"/>
      <c r="G475" s="267"/>
      <c r="H475" s="641">
        <v>48000</v>
      </c>
    </row>
    <row r="476" spans="1:8" s="760" customFormat="1" ht="13.5" customHeight="1" x14ac:dyDescent="0.25">
      <c r="A476" s="267">
        <v>445</v>
      </c>
      <c r="B476" s="268" t="s">
        <v>1145</v>
      </c>
      <c r="C476" s="267" t="s">
        <v>1144</v>
      </c>
      <c r="D476" s="267"/>
      <c r="E476" s="268" t="s">
        <v>2552</v>
      </c>
      <c r="F476" s="268"/>
      <c r="G476" s="267" t="s">
        <v>2553</v>
      </c>
      <c r="H476" s="641">
        <v>28000</v>
      </c>
    </row>
    <row r="477" spans="1:8" s="760" customFormat="1" ht="13.5" customHeight="1" x14ac:dyDescent="0.25">
      <c r="A477" s="267">
        <v>441</v>
      </c>
      <c r="B477" s="268" t="s">
        <v>1148</v>
      </c>
      <c r="C477" s="267" t="s">
        <v>1144</v>
      </c>
      <c r="D477" s="267"/>
      <c r="E477" s="268" t="s">
        <v>7944</v>
      </c>
      <c r="F477" s="268" t="s">
        <v>7945</v>
      </c>
      <c r="G477" s="267"/>
      <c r="H477" s="641">
        <v>2445.79</v>
      </c>
    </row>
    <row r="478" spans="1:8" s="760" customFormat="1" ht="13.5" customHeight="1" x14ac:dyDescent="0.25">
      <c r="A478" s="267">
        <v>441</v>
      </c>
      <c r="B478" s="268" t="s">
        <v>1148</v>
      </c>
      <c r="C478" s="267" t="s">
        <v>1144</v>
      </c>
      <c r="D478" s="267"/>
      <c r="E478" s="268" t="s">
        <v>11143</v>
      </c>
      <c r="F478" s="268"/>
      <c r="G478" s="267" t="s">
        <v>11144</v>
      </c>
      <c r="H478" s="641">
        <v>2445.79</v>
      </c>
    </row>
    <row r="479" spans="1:8" s="760" customFormat="1" ht="13.5" customHeight="1" x14ac:dyDescent="0.25">
      <c r="A479" s="267">
        <v>441</v>
      </c>
      <c r="B479" s="268" t="s">
        <v>1148</v>
      </c>
      <c r="C479" s="267" t="s">
        <v>1144</v>
      </c>
      <c r="D479" s="267"/>
      <c r="E479" s="268" t="s">
        <v>11145</v>
      </c>
      <c r="F479" s="268" t="s">
        <v>11146</v>
      </c>
      <c r="G479" s="267"/>
      <c r="H479" s="641">
        <v>2445.79</v>
      </c>
    </row>
    <row r="480" spans="1:8" s="760" customFormat="1" ht="13.5" customHeight="1" x14ac:dyDescent="0.25">
      <c r="A480" s="267">
        <v>441</v>
      </c>
      <c r="B480" s="268" t="s">
        <v>1148</v>
      </c>
      <c r="C480" s="267" t="s">
        <v>1144</v>
      </c>
      <c r="D480" s="267"/>
      <c r="E480" s="268" t="s">
        <v>11147</v>
      </c>
      <c r="F480" s="268" t="s">
        <v>11148</v>
      </c>
      <c r="G480" s="267"/>
      <c r="H480" s="641">
        <v>3023.33</v>
      </c>
    </row>
    <row r="481" spans="1:8" s="760" customFormat="1" ht="13.5" customHeight="1" x14ac:dyDescent="0.25">
      <c r="A481" s="267">
        <v>441</v>
      </c>
      <c r="B481" s="268" t="s">
        <v>1148</v>
      </c>
      <c r="C481" s="267" t="s">
        <v>1144</v>
      </c>
      <c r="D481" s="267"/>
      <c r="E481" s="268" t="s">
        <v>11149</v>
      </c>
      <c r="F481" s="268" t="s">
        <v>11150</v>
      </c>
      <c r="G481" s="267"/>
      <c r="H481" s="641">
        <v>2445.79</v>
      </c>
    </row>
    <row r="482" spans="1:8" s="760" customFormat="1" ht="13.5" customHeight="1" x14ac:dyDescent="0.25">
      <c r="A482" s="267">
        <v>441</v>
      </c>
      <c r="B482" s="268" t="s">
        <v>1148</v>
      </c>
      <c r="C482" s="267" t="s">
        <v>1144</v>
      </c>
      <c r="D482" s="267"/>
      <c r="E482" s="268" t="s">
        <v>11151</v>
      </c>
      <c r="F482" s="268" t="s">
        <v>11152</v>
      </c>
      <c r="G482" s="267"/>
      <c r="H482" s="641">
        <v>4682.34</v>
      </c>
    </row>
    <row r="483" spans="1:8" s="760" customFormat="1" ht="13.5" customHeight="1" x14ac:dyDescent="0.25">
      <c r="A483" s="267">
        <v>441</v>
      </c>
      <c r="B483" s="268" t="s">
        <v>1148</v>
      </c>
      <c r="C483" s="267" t="s">
        <v>1144</v>
      </c>
      <c r="D483" s="267"/>
      <c r="E483" s="268" t="s">
        <v>11153</v>
      </c>
      <c r="F483" s="268" t="s">
        <v>11154</v>
      </c>
      <c r="G483" s="267"/>
      <c r="H483" s="641">
        <v>2445.79</v>
      </c>
    </row>
    <row r="484" spans="1:8" s="760" customFormat="1" ht="13.5" customHeight="1" x14ac:dyDescent="0.25">
      <c r="A484" s="267">
        <v>441</v>
      </c>
      <c r="B484" s="268" t="s">
        <v>1148</v>
      </c>
      <c r="C484" s="267" t="s">
        <v>1144</v>
      </c>
      <c r="D484" s="267"/>
      <c r="E484" s="268" t="s">
        <v>11155</v>
      </c>
      <c r="F484" s="268"/>
      <c r="G484" s="267" t="s">
        <v>11156</v>
      </c>
      <c r="H484" s="641">
        <v>2445.79</v>
      </c>
    </row>
    <row r="485" spans="1:8" s="760" customFormat="1" ht="13.5" customHeight="1" x14ac:dyDescent="0.25">
      <c r="A485" s="267">
        <v>441</v>
      </c>
      <c r="B485" s="268" t="s">
        <v>1148</v>
      </c>
      <c r="C485" s="267" t="s">
        <v>1144</v>
      </c>
      <c r="D485" s="267"/>
      <c r="E485" s="268" t="s">
        <v>2514</v>
      </c>
      <c r="F485" s="268" t="s">
        <v>1150</v>
      </c>
      <c r="G485" s="267"/>
      <c r="H485" s="641">
        <v>3864.02</v>
      </c>
    </row>
    <row r="486" spans="1:8" s="760" customFormat="1" ht="13.5" customHeight="1" x14ac:dyDescent="0.25">
      <c r="A486" s="267">
        <v>441</v>
      </c>
      <c r="B486" s="268" t="s">
        <v>1148</v>
      </c>
      <c r="C486" s="267" t="s">
        <v>1144</v>
      </c>
      <c r="D486" s="267"/>
      <c r="E486" s="268" t="s">
        <v>11157</v>
      </c>
      <c r="F486" s="268" t="s">
        <v>11158</v>
      </c>
      <c r="G486" s="267"/>
      <c r="H486" s="641">
        <v>4787.99</v>
      </c>
    </row>
    <row r="487" spans="1:8" s="760" customFormat="1" ht="13.5" customHeight="1" x14ac:dyDescent="0.25">
      <c r="A487" s="267">
        <v>441</v>
      </c>
      <c r="B487" s="268" t="s">
        <v>1148</v>
      </c>
      <c r="C487" s="267" t="s">
        <v>1144</v>
      </c>
      <c r="D487" s="267"/>
      <c r="E487" s="268" t="s">
        <v>11159</v>
      </c>
      <c r="F487" s="268" t="s">
        <v>11160</v>
      </c>
      <c r="G487" s="267"/>
      <c r="H487" s="641">
        <v>3192</v>
      </c>
    </row>
    <row r="488" spans="1:8" s="760" customFormat="1" ht="13.5" customHeight="1" x14ac:dyDescent="0.25">
      <c r="A488" s="267">
        <v>445</v>
      </c>
      <c r="B488" s="268" t="s">
        <v>1148</v>
      </c>
      <c r="C488" s="267" t="s">
        <v>1144</v>
      </c>
      <c r="D488" s="267"/>
      <c r="E488" s="268" t="s">
        <v>11161</v>
      </c>
      <c r="F488" s="268"/>
      <c r="G488" s="267" t="s">
        <v>11162</v>
      </c>
      <c r="H488" s="641">
        <v>3192</v>
      </c>
    </row>
    <row r="489" spans="1:8" s="760" customFormat="1" ht="13.5" customHeight="1" x14ac:dyDescent="0.25">
      <c r="A489" s="267">
        <v>441</v>
      </c>
      <c r="B489" s="268" t="s">
        <v>1148</v>
      </c>
      <c r="C489" s="267" t="s">
        <v>1144</v>
      </c>
      <c r="D489" s="267"/>
      <c r="E489" s="268" t="s">
        <v>11163</v>
      </c>
      <c r="F489" s="268" t="s">
        <v>11164</v>
      </c>
      <c r="G489" s="267"/>
      <c r="H489" s="641">
        <v>2576.0100000000002</v>
      </c>
    </row>
    <row r="490" spans="1:8" s="760" customFormat="1" ht="13.5" customHeight="1" x14ac:dyDescent="0.25">
      <c r="A490" s="267">
        <v>441</v>
      </c>
      <c r="B490" s="268" t="s">
        <v>1148</v>
      </c>
      <c r="C490" s="267" t="s">
        <v>1144</v>
      </c>
      <c r="D490" s="267"/>
      <c r="E490" s="268" t="s">
        <v>11165</v>
      </c>
      <c r="F490" s="268" t="s">
        <v>11166</v>
      </c>
      <c r="G490" s="267"/>
      <c r="H490" s="641">
        <v>2576.0100000000002</v>
      </c>
    </row>
    <row r="491" spans="1:8" s="760" customFormat="1" ht="13.5" customHeight="1" x14ac:dyDescent="0.25">
      <c r="A491" s="267">
        <v>441</v>
      </c>
      <c r="B491" s="268" t="s">
        <v>1148</v>
      </c>
      <c r="C491" s="267" t="s">
        <v>1144</v>
      </c>
      <c r="D491" s="267"/>
      <c r="E491" s="268" t="s">
        <v>7866</v>
      </c>
      <c r="F491" s="268" t="s">
        <v>7867</v>
      </c>
      <c r="G491" s="267"/>
      <c r="H491" s="641">
        <v>2576.0100000000002</v>
      </c>
    </row>
    <row r="492" spans="1:8" s="760" customFormat="1" ht="13.5" customHeight="1" x14ac:dyDescent="0.25">
      <c r="A492" s="267">
        <v>441</v>
      </c>
      <c r="B492" s="268" t="s">
        <v>1145</v>
      </c>
      <c r="C492" s="267" t="s">
        <v>1144</v>
      </c>
      <c r="D492" s="267"/>
      <c r="E492" s="268" t="s">
        <v>11167</v>
      </c>
      <c r="F492" s="268" t="s">
        <v>11168</v>
      </c>
      <c r="G492" s="267"/>
      <c r="H492" s="641">
        <v>3864.02</v>
      </c>
    </row>
    <row r="493" spans="1:8" s="760" customFormat="1" ht="13.5" customHeight="1" x14ac:dyDescent="0.25">
      <c r="A493" s="267">
        <v>445</v>
      </c>
      <c r="B493" s="268" t="s">
        <v>1145</v>
      </c>
      <c r="C493" s="267" t="s">
        <v>1144</v>
      </c>
      <c r="D493" s="267"/>
      <c r="E493" s="268" t="s">
        <v>7948</v>
      </c>
      <c r="F493" s="268" t="s">
        <v>11169</v>
      </c>
      <c r="G493" s="267"/>
      <c r="H493" s="641">
        <v>19151.97</v>
      </c>
    </row>
    <row r="494" spans="1:8" s="760" customFormat="1" ht="13.5" customHeight="1" x14ac:dyDescent="0.25">
      <c r="A494" s="267">
        <v>441</v>
      </c>
      <c r="B494" s="268" t="s">
        <v>1145</v>
      </c>
      <c r="C494" s="267" t="s">
        <v>1144</v>
      </c>
      <c r="D494" s="267"/>
      <c r="E494" s="268" t="s">
        <v>7811</v>
      </c>
      <c r="F494" s="268" t="s">
        <v>7812</v>
      </c>
      <c r="G494" s="267"/>
      <c r="H494" s="641">
        <v>13500</v>
      </c>
    </row>
    <row r="495" spans="1:8" s="760" customFormat="1" ht="13.5" customHeight="1" x14ac:dyDescent="0.25">
      <c r="A495" s="267">
        <v>441</v>
      </c>
      <c r="B495" s="268" t="s">
        <v>1148</v>
      </c>
      <c r="C495" s="267" t="s">
        <v>1144</v>
      </c>
      <c r="D495" s="267"/>
      <c r="E495" s="268" t="s">
        <v>11170</v>
      </c>
      <c r="F495" s="268"/>
      <c r="G495" s="267" t="s">
        <v>11171</v>
      </c>
      <c r="H495" s="641">
        <v>7337</v>
      </c>
    </row>
    <row r="496" spans="1:8" s="760" customFormat="1" ht="13.5" customHeight="1" x14ac:dyDescent="0.25">
      <c r="A496" s="267">
        <v>441</v>
      </c>
      <c r="B496" s="268" t="s">
        <v>1148</v>
      </c>
      <c r="C496" s="267" t="s">
        <v>1144</v>
      </c>
      <c r="D496" s="267"/>
      <c r="E496" s="268" t="s">
        <v>7844</v>
      </c>
      <c r="F496" s="268"/>
      <c r="G496" s="267" t="s">
        <v>7701</v>
      </c>
      <c r="H496" s="641">
        <v>4036.8</v>
      </c>
    </row>
    <row r="497" spans="1:8" s="760" customFormat="1" ht="13.5" customHeight="1" x14ac:dyDescent="0.25">
      <c r="A497" s="267">
        <v>441</v>
      </c>
      <c r="B497" s="268" t="s">
        <v>1148</v>
      </c>
      <c r="C497" s="267" t="s">
        <v>1144</v>
      </c>
      <c r="D497" s="267"/>
      <c r="E497" s="268" t="s">
        <v>7921</v>
      </c>
      <c r="F497" s="268"/>
      <c r="G497" s="267" t="s">
        <v>11172</v>
      </c>
      <c r="H497" s="641">
        <v>5382.4</v>
      </c>
    </row>
    <row r="498" spans="1:8" s="760" customFormat="1" ht="13.5" customHeight="1" x14ac:dyDescent="0.25">
      <c r="A498" s="267">
        <v>441</v>
      </c>
      <c r="B498" s="268" t="s">
        <v>1148</v>
      </c>
      <c r="C498" s="267" t="s">
        <v>1144</v>
      </c>
      <c r="D498" s="267"/>
      <c r="E498" s="268" t="s">
        <v>11173</v>
      </c>
      <c r="F498" s="268" t="s">
        <v>11174</v>
      </c>
      <c r="G498" s="267"/>
      <c r="H498" s="641">
        <v>6728</v>
      </c>
    </row>
    <row r="499" spans="1:8" s="760" customFormat="1" ht="13.5" customHeight="1" x14ac:dyDescent="0.25">
      <c r="A499" s="267">
        <v>441</v>
      </c>
      <c r="B499" s="268" t="s">
        <v>1148</v>
      </c>
      <c r="C499" s="267" t="s">
        <v>1144</v>
      </c>
      <c r="D499" s="267"/>
      <c r="E499" s="268" t="s">
        <v>11175</v>
      </c>
      <c r="F499" s="268" t="s">
        <v>11176</v>
      </c>
      <c r="G499" s="267"/>
      <c r="H499" s="641">
        <v>5974</v>
      </c>
    </row>
    <row r="500" spans="1:8" s="760" customFormat="1" ht="13.5" customHeight="1" x14ac:dyDescent="0.25">
      <c r="A500" s="267">
        <v>441</v>
      </c>
      <c r="B500" s="268" t="s">
        <v>1148</v>
      </c>
      <c r="C500" s="267" t="s">
        <v>1144</v>
      </c>
      <c r="D500" s="267"/>
      <c r="E500" s="268" t="s">
        <v>7800</v>
      </c>
      <c r="F500" s="268" t="s">
        <v>7801</v>
      </c>
      <c r="G500" s="267"/>
      <c r="H500" s="641">
        <v>2691.2</v>
      </c>
    </row>
    <row r="501" spans="1:8" s="760" customFormat="1" ht="13.5" customHeight="1" x14ac:dyDescent="0.25">
      <c r="A501" s="267">
        <v>441</v>
      </c>
      <c r="B501" s="268" t="s">
        <v>1148</v>
      </c>
      <c r="C501" s="267" t="s">
        <v>1144</v>
      </c>
      <c r="D501" s="267"/>
      <c r="E501" s="268" t="s">
        <v>11177</v>
      </c>
      <c r="F501" s="268" t="s">
        <v>11178</v>
      </c>
      <c r="G501" s="267"/>
      <c r="H501" s="641">
        <v>8653.6</v>
      </c>
    </row>
    <row r="502" spans="1:8" s="760" customFormat="1" ht="13.5" customHeight="1" x14ac:dyDescent="0.25">
      <c r="A502" s="267">
        <v>441</v>
      </c>
      <c r="B502" s="268" t="s">
        <v>1148</v>
      </c>
      <c r="C502" s="267" t="s">
        <v>1144</v>
      </c>
      <c r="D502" s="267"/>
      <c r="E502" s="268" t="s">
        <v>7913</v>
      </c>
      <c r="F502" s="268" t="s">
        <v>7914</v>
      </c>
      <c r="G502" s="267"/>
      <c r="H502" s="641">
        <v>3229.44</v>
      </c>
    </row>
    <row r="503" spans="1:8" s="760" customFormat="1" ht="13.5" customHeight="1" x14ac:dyDescent="0.25">
      <c r="A503" s="267">
        <v>441</v>
      </c>
      <c r="B503" s="268" t="s">
        <v>1148</v>
      </c>
      <c r="C503" s="267" t="s">
        <v>1144</v>
      </c>
      <c r="D503" s="267"/>
      <c r="E503" s="268" t="s">
        <v>11179</v>
      </c>
      <c r="F503" s="268" t="s">
        <v>11180</v>
      </c>
      <c r="G503" s="267"/>
      <c r="H503" s="641">
        <v>9744</v>
      </c>
    </row>
    <row r="504" spans="1:8" s="760" customFormat="1" ht="13.5" customHeight="1" x14ac:dyDescent="0.25">
      <c r="A504" s="267">
        <v>441</v>
      </c>
      <c r="B504" s="268" t="s">
        <v>1148</v>
      </c>
      <c r="C504" s="267" t="s">
        <v>1144</v>
      </c>
      <c r="D504" s="267"/>
      <c r="E504" s="268" t="s">
        <v>11181</v>
      </c>
      <c r="F504" s="268" t="s">
        <v>11182</v>
      </c>
      <c r="G504" s="267"/>
      <c r="H504" s="641">
        <v>2445.79</v>
      </c>
    </row>
    <row r="505" spans="1:8" s="760" customFormat="1" ht="13.5" customHeight="1" x14ac:dyDescent="0.25">
      <c r="A505" s="267">
        <v>441</v>
      </c>
      <c r="B505" s="268" t="s">
        <v>1148</v>
      </c>
      <c r="C505" s="267" t="s">
        <v>1144</v>
      </c>
      <c r="D505" s="267"/>
      <c r="E505" s="268" t="s">
        <v>10934</v>
      </c>
      <c r="F505" s="268"/>
      <c r="G505" s="267" t="s">
        <v>11183</v>
      </c>
      <c r="H505" s="641">
        <v>3999</v>
      </c>
    </row>
    <row r="506" spans="1:8" s="760" customFormat="1" ht="13.5" customHeight="1" x14ac:dyDescent="0.25">
      <c r="A506" s="267">
        <v>445</v>
      </c>
      <c r="B506" s="268" t="s">
        <v>1148</v>
      </c>
      <c r="C506" s="267" t="s">
        <v>1144</v>
      </c>
      <c r="D506" s="267"/>
      <c r="E506" s="268" t="s">
        <v>11184</v>
      </c>
      <c r="F506" s="268"/>
      <c r="G506" s="267" t="s">
        <v>11185</v>
      </c>
      <c r="H506" s="641">
        <v>5389.99</v>
      </c>
    </row>
    <row r="507" spans="1:8" s="760" customFormat="1" ht="13.5" customHeight="1" x14ac:dyDescent="0.25">
      <c r="A507" s="267">
        <v>445</v>
      </c>
      <c r="B507" s="268" t="s">
        <v>1148</v>
      </c>
      <c r="C507" s="267" t="s">
        <v>1144</v>
      </c>
      <c r="D507" s="267"/>
      <c r="E507" s="268" t="s">
        <v>11186</v>
      </c>
      <c r="F507" s="268"/>
      <c r="G507" s="267" t="s">
        <v>11187</v>
      </c>
      <c r="H507" s="641">
        <v>2369.98</v>
      </c>
    </row>
    <row r="508" spans="1:8" s="760" customFormat="1" ht="13.5" customHeight="1" x14ac:dyDescent="0.25">
      <c r="A508" s="267">
        <v>441</v>
      </c>
      <c r="B508" s="268" t="s">
        <v>1145</v>
      </c>
      <c r="C508" s="267" t="s">
        <v>1144</v>
      </c>
      <c r="D508" s="267"/>
      <c r="E508" s="268" t="s">
        <v>7745</v>
      </c>
      <c r="F508" s="268" t="s">
        <v>10834</v>
      </c>
      <c r="G508" s="267"/>
      <c r="H508" s="641">
        <v>1989.01</v>
      </c>
    </row>
    <row r="509" spans="1:8" s="760" customFormat="1" ht="13.5" customHeight="1" x14ac:dyDescent="0.25">
      <c r="A509" s="267">
        <v>441</v>
      </c>
      <c r="B509" s="268" t="s">
        <v>1145</v>
      </c>
      <c r="C509" s="267" t="s">
        <v>1144</v>
      </c>
      <c r="D509" s="267"/>
      <c r="E509" s="268" t="s">
        <v>11188</v>
      </c>
      <c r="F509" s="268" t="s">
        <v>11189</v>
      </c>
      <c r="G509" s="267"/>
      <c r="H509" s="641">
        <v>3900</v>
      </c>
    </row>
    <row r="510" spans="1:8" s="760" customFormat="1" ht="13.5" customHeight="1" x14ac:dyDescent="0.25">
      <c r="A510" s="267">
        <v>441</v>
      </c>
      <c r="B510" s="268" t="s">
        <v>1145</v>
      </c>
      <c r="C510" s="267" t="s">
        <v>1144</v>
      </c>
      <c r="D510" s="267"/>
      <c r="E510" s="268" t="s">
        <v>2524</v>
      </c>
      <c r="F510" s="268" t="s">
        <v>2525</v>
      </c>
      <c r="G510" s="267"/>
      <c r="H510" s="641">
        <v>10000</v>
      </c>
    </row>
    <row r="511" spans="1:8" s="760" customFormat="1" ht="13.5" customHeight="1" x14ac:dyDescent="0.25">
      <c r="A511" s="267">
        <v>441</v>
      </c>
      <c r="B511" s="268" t="s">
        <v>1145</v>
      </c>
      <c r="C511" s="267" t="s">
        <v>1144</v>
      </c>
      <c r="D511" s="267"/>
      <c r="E511" s="268" t="s">
        <v>11190</v>
      </c>
      <c r="F511" s="268" t="s">
        <v>11191</v>
      </c>
      <c r="G511" s="267"/>
      <c r="H511" s="641">
        <v>10000</v>
      </c>
    </row>
    <row r="512" spans="1:8" s="760" customFormat="1" ht="13.5" customHeight="1" x14ac:dyDescent="0.25">
      <c r="A512" s="267">
        <v>441</v>
      </c>
      <c r="B512" s="268" t="s">
        <v>1145</v>
      </c>
      <c r="C512" s="267" t="s">
        <v>1144</v>
      </c>
      <c r="D512" s="267"/>
      <c r="E512" s="268" t="s">
        <v>11192</v>
      </c>
      <c r="F512" s="268" t="s">
        <v>11193</v>
      </c>
      <c r="G512" s="267"/>
      <c r="H512" s="641">
        <v>150</v>
      </c>
    </row>
    <row r="513" spans="1:8" s="760" customFormat="1" ht="13.5" customHeight="1" x14ac:dyDescent="0.25">
      <c r="A513" s="267">
        <v>441</v>
      </c>
      <c r="B513" s="268" t="s">
        <v>1145</v>
      </c>
      <c r="C513" s="267" t="s">
        <v>1144</v>
      </c>
      <c r="D513" s="267"/>
      <c r="E513" s="268" t="s">
        <v>11194</v>
      </c>
      <c r="F513" s="268" t="s">
        <v>11195</v>
      </c>
      <c r="G513" s="267"/>
      <c r="H513" s="641">
        <v>200</v>
      </c>
    </row>
    <row r="514" spans="1:8" s="760" customFormat="1" ht="13.5" customHeight="1" x14ac:dyDescent="0.25">
      <c r="A514" s="267">
        <v>441</v>
      </c>
      <c r="B514" s="268" t="s">
        <v>1145</v>
      </c>
      <c r="C514" s="267" t="s">
        <v>1144</v>
      </c>
      <c r="D514" s="267"/>
      <c r="E514" s="268" t="s">
        <v>11196</v>
      </c>
      <c r="F514" s="268" t="s">
        <v>11197</v>
      </c>
      <c r="G514" s="267"/>
      <c r="H514" s="641">
        <v>800</v>
      </c>
    </row>
    <row r="515" spans="1:8" s="760" customFormat="1" ht="13.5" customHeight="1" x14ac:dyDescent="0.25">
      <c r="A515" s="267">
        <v>441</v>
      </c>
      <c r="B515" s="268" t="s">
        <v>1145</v>
      </c>
      <c r="C515" s="267" t="s">
        <v>1144</v>
      </c>
      <c r="D515" s="267"/>
      <c r="E515" s="268" t="s">
        <v>11198</v>
      </c>
      <c r="F515" s="268" t="s">
        <v>11199</v>
      </c>
      <c r="G515" s="267"/>
      <c r="H515" s="641">
        <v>400</v>
      </c>
    </row>
    <row r="516" spans="1:8" s="760" customFormat="1" ht="13.5" customHeight="1" x14ac:dyDescent="0.25">
      <c r="A516" s="267">
        <v>441</v>
      </c>
      <c r="B516" s="268" t="s">
        <v>1145</v>
      </c>
      <c r="C516" s="267" t="s">
        <v>1144</v>
      </c>
      <c r="D516" s="267"/>
      <c r="E516" s="268" t="s">
        <v>7785</v>
      </c>
      <c r="F516" s="268" t="s">
        <v>11200</v>
      </c>
      <c r="G516" s="267"/>
      <c r="H516" s="641">
        <v>300</v>
      </c>
    </row>
    <row r="517" spans="1:8" s="760" customFormat="1" ht="13.5" customHeight="1" x14ac:dyDescent="0.25">
      <c r="A517" s="267">
        <v>441</v>
      </c>
      <c r="B517" s="268" t="s">
        <v>1145</v>
      </c>
      <c r="C517" s="267" t="s">
        <v>1144</v>
      </c>
      <c r="D517" s="267"/>
      <c r="E517" s="268" t="s">
        <v>11201</v>
      </c>
      <c r="F517" s="268" t="s">
        <v>11202</v>
      </c>
      <c r="G517" s="267"/>
      <c r="H517" s="641">
        <v>300</v>
      </c>
    </row>
    <row r="518" spans="1:8" s="760" customFormat="1" ht="13.5" customHeight="1" x14ac:dyDescent="0.25">
      <c r="A518" s="267">
        <v>441</v>
      </c>
      <c r="B518" s="268" t="s">
        <v>1145</v>
      </c>
      <c r="C518" s="267" t="s">
        <v>1144</v>
      </c>
      <c r="D518" s="267"/>
      <c r="E518" s="268" t="s">
        <v>11203</v>
      </c>
      <c r="F518" s="268" t="s">
        <v>11204</v>
      </c>
      <c r="G518" s="267"/>
      <c r="H518" s="641">
        <v>715.83</v>
      </c>
    </row>
    <row r="519" spans="1:8" s="760" customFormat="1" ht="13.5" customHeight="1" x14ac:dyDescent="0.25">
      <c r="A519" s="267">
        <v>441</v>
      </c>
      <c r="B519" s="268" t="s">
        <v>1145</v>
      </c>
      <c r="C519" s="267" t="s">
        <v>1144</v>
      </c>
      <c r="D519" s="267"/>
      <c r="E519" s="268" t="s">
        <v>11205</v>
      </c>
      <c r="F519" s="268" t="s">
        <v>11206</v>
      </c>
      <c r="G519" s="267"/>
      <c r="H519" s="641">
        <v>150</v>
      </c>
    </row>
    <row r="520" spans="1:8" s="760" customFormat="1" ht="13.5" customHeight="1" x14ac:dyDescent="0.25">
      <c r="A520" s="267">
        <v>441</v>
      </c>
      <c r="B520" s="268" t="s">
        <v>1145</v>
      </c>
      <c r="C520" s="267" t="s">
        <v>1144</v>
      </c>
      <c r="D520" s="267"/>
      <c r="E520" s="268" t="s">
        <v>2573</v>
      </c>
      <c r="F520" s="268" t="s">
        <v>10897</v>
      </c>
      <c r="G520" s="267"/>
      <c r="H520" s="641">
        <v>500</v>
      </c>
    </row>
    <row r="521" spans="1:8" s="760" customFormat="1" ht="13.5" customHeight="1" x14ac:dyDescent="0.25">
      <c r="A521" s="267">
        <v>441</v>
      </c>
      <c r="B521" s="268" t="s">
        <v>1145</v>
      </c>
      <c r="C521" s="267" t="s">
        <v>1144</v>
      </c>
      <c r="D521" s="267"/>
      <c r="E521" s="268" t="s">
        <v>11207</v>
      </c>
      <c r="F521" s="268" t="s">
        <v>11208</v>
      </c>
      <c r="G521" s="267"/>
      <c r="H521" s="641">
        <v>400</v>
      </c>
    </row>
    <row r="522" spans="1:8" s="760" customFormat="1" ht="13.5" customHeight="1" x14ac:dyDescent="0.25">
      <c r="A522" s="267">
        <v>441</v>
      </c>
      <c r="B522" s="268" t="s">
        <v>1145</v>
      </c>
      <c r="C522" s="267" t="s">
        <v>1144</v>
      </c>
      <c r="D522" s="267"/>
      <c r="E522" s="268" t="s">
        <v>11209</v>
      </c>
      <c r="F522" s="268" t="s">
        <v>11210</v>
      </c>
      <c r="G522" s="267"/>
      <c r="H522" s="641">
        <v>250</v>
      </c>
    </row>
    <row r="523" spans="1:8" s="760" customFormat="1" ht="13.5" customHeight="1" x14ac:dyDescent="0.25">
      <c r="A523" s="267">
        <v>441</v>
      </c>
      <c r="B523" s="268" t="s">
        <v>1145</v>
      </c>
      <c r="C523" s="267" t="s">
        <v>1144</v>
      </c>
      <c r="D523" s="267"/>
      <c r="E523" s="268" t="s">
        <v>11211</v>
      </c>
      <c r="F523" s="268" t="s">
        <v>11212</v>
      </c>
      <c r="G523" s="267"/>
      <c r="H523" s="641">
        <v>420.3</v>
      </c>
    </row>
    <row r="524" spans="1:8" s="760" customFormat="1" ht="13.5" customHeight="1" x14ac:dyDescent="0.25">
      <c r="A524" s="267">
        <v>441</v>
      </c>
      <c r="B524" s="268" t="s">
        <v>1145</v>
      </c>
      <c r="C524" s="267" t="s">
        <v>1144</v>
      </c>
      <c r="D524" s="267"/>
      <c r="E524" s="268" t="s">
        <v>11213</v>
      </c>
      <c r="F524" s="268" t="s">
        <v>11214</v>
      </c>
      <c r="G524" s="267"/>
      <c r="H524" s="641">
        <v>300</v>
      </c>
    </row>
    <row r="525" spans="1:8" s="760" customFormat="1" ht="13.5" customHeight="1" x14ac:dyDescent="0.25">
      <c r="A525" s="267">
        <v>441</v>
      </c>
      <c r="B525" s="268" t="s">
        <v>1145</v>
      </c>
      <c r="C525" s="267" t="s">
        <v>1144</v>
      </c>
      <c r="D525" s="267"/>
      <c r="E525" s="268" t="s">
        <v>11215</v>
      </c>
      <c r="F525" s="268" t="s">
        <v>11216</v>
      </c>
      <c r="G525" s="267"/>
      <c r="H525" s="641">
        <v>1989.01</v>
      </c>
    </row>
    <row r="526" spans="1:8" s="760" customFormat="1" ht="13.5" customHeight="1" x14ac:dyDescent="0.25">
      <c r="A526" s="267">
        <v>441</v>
      </c>
      <c r="B526" s="268" t="s">
        <v>1145</v>
      </c>
      <c r="C526" s="267" t="s">
        <v>1144</v>
      </c>
      <c r="D526" s="267"/>
      <c r="E526" s="268" t="s">
        <v>7625</v>
      </c>
      <c r="F526" s="268" t="s">
        <v>7626</v>
      </c>
      <c r="G526" s="267"/>
      <c r="H526" s="641">
        <v>1312</v>
      </c>
    </row>
    <row r="527" spans="1:8" s="760" customFormat="1" ht="13.5" customHeight="1" x14ac:dyDescent="0.25">
      <c r="A527" s="267">
        <v>441</v>
      </c>
      <c r="B527" s="268" t="s">
        <v>1145</v>
      </c>
      <c r="C527" s="267" t="s">
        <v>1144</v>
      </c>
      <c r="D527" s="267"/>
      <c r="E527" s="268" t="s">
        <v>11217</v>
      </c>
      <c r="F527" s="268" t="s">
        <v>7721</v>
      </c>
      <c r="G527" s="267"/>
      <c r="H527" s="641">
        <v>1590</v>
      </c>
    </row>
    <row r="528" spans="1:8" s="760" customFormat="1" ht="13.5" customHeight="1" x14ac:dyDescent="0.25">
      <c r="A528" s="267">
        <v>441</v>
      </c>
      <c r="B528" s="268" t="s">
        <v>1145</v>
      </c>
      <c r="C528" s="267" t="s">
        <v>1144</v>
      </c>
      <c r="D528" s="267"/>
      <c r="E528" s="268" t="s">
        <v>11124</v>
      </c>
      <c r="F528" s="268"/>
      <c r="G528" s="267" t="s">
        <v>7825</v>
      </c>
      <c r="H528" s="641">
        <v>200</v>
      </c>
    </row>
    <row r="529" spans="1:8" s="760" customFormat="1" ht="13.5" customHeight="1" x14ac:dyDescent="0.25">
      <c r="A529" s="267">
        <v>441</v>
      </c>
      <c r="B529" s="268" t="s">
        <v>1145</v>
      </c>
      <c r="C529" s="267" t="s">
        <v>1144</v>
      </c>
      <c r="D529" s="267"/>
      <c r="E529" s="268" t="s">
        <v>11218</v>
      </c>
      <c r="F529" s="268" t="s">
        <v>11219</v>
      </c>
      <c r="G529" s="267"/>
      <c r="H529" s="641">
        <v>300</v>
      </c>
    </row>
    <row r="530" spans="1:8" s="760" customFormat="1" ht="13.5" customHeight="1" x14ac:dyDescent="0.25">
      <c r="A530" s="267">
        <v>441</v>
      </c>
      <c r="B530" s="268" t="s">
        <v>1145</v>
      </c>
      <c r="C530" s="267" t="s">
        <v>1144</v>
      </c>
      <c r="D530" s="267"/>
      <c r="E530" s="268" t="s">
        <v>11220</v>
      </c>
      <c r="F530" s="268"/>
      <c r="G530" s="267" t="s">
        <v>7796</v>
      </c>
      <c r="H530" s="641">
        <v>300</v>
      </c>
    </row>
    <row r="531" spans="1:8" s="760" customFormat="1" ht="13.5" customHeight="1" x14ac:dyDescent="0.25">
      <c r="A531" s="267">
        <v>441</v>
      </c>
      <c r="B531" s="268" t="s">
        <v>1145</v>
      </c>
      <c r="C531" s="267" t="s">
        <v>1144</v>
      </c>
      <c r="D531" s="267"/>
      <c r="E531" s="268" t="s">
        <v>1146</v>
      </c>
      <c r="F531" s="268" t="s">
        <v>1147</v>
      </c>
      <c r="G531" s="267"/>
      <c r="H531" s="641">
        <v>300</v>
      </c>
    </row>
    <row r="532" spans="1:8" s="760" customFormat="1" ht="13.5" customHeight="1" x14ac:dyDescent="0.25">
      <c r="A532" s="267">
        <v>441</v>
      </c>
      <c r="B532" s="268" t="s">
        <v>1145</v>
      </c>
      <c r="C532" s="267" t="s">
        <v>1144</v>
      </c>
      <c r="D532" s="267"/>
      <c r="E532" s="268" t="s">
        <v>7725</v>
      </c>
      <c r="F532" s="268" t="s">
        <v>7723</v>
      </c>
      <c r="G532" s="267"/>
      <c r="H532" s="641">
        <v>300</v>
      </c>
    </row>
    <row r="533" spans="1:8" s="760" customFormat="1" ht="13.5" customHeight="1" x14ac:dyDescent="0.25">
      <c r="A533" s="267">
        <v>441</v>
      </c>
      <c r="B533" s="268" t="s">
        <v>1145</v>
      </c>
      <c r="C533" s="267" t="s">
        <v>1144</v>
      </c>
      <c r="D533" s="267"/>
      <c r="E533" s="268" t="s">
        <v>11221</v>
      </c>
      <c r="F533" s="268" t="s">
        <v>11222</v>
      </c>
      <c r="G533" s="267"/>
      <c r="H533" s="641">
        <v>300</v>
      </c>
    </row>
    <row r="534" spans="1:8" s="760" customFormat="1" ht="13.5" customHeight="1" x14ac:dyDescent="0.25">
      <c r="A534" s="267">
        <v>441</v>
      </c>
      <c r="B534" s="268" t="s">
        <v>1145</v>
      </c>
      <c r="C534" s="267" t="s">
        <v>1144</v>
      </c>
      <c r="D534" s="267"/>
      <c r="E534" s="268" t="s">
        <v>11127</v>
      </c>
      <c r="F534" s="268" t="s">
        <v>10895</v>
      </c>
      <c r="G534" s="267"/>
      <c r="H534" s="641">
        <v>89</v>
      </c>
    </row>
    <row r="535" spans="1:8" s="760" customFormat="1" ht="13.5" customHeight="1" x14ac:dyDescent="0.25">
      <c r="A535" s="267">
        <v>441</v>
      </c>
      <c r="B535" s="268" t="s">
        <v>1145</v>
      </c>
      <c r="C535" s="267" t="s">
        <v>1144</v>
      </c>
      <c r="D535" s="267"/>
      <c r="E535" s="268" t="s">
        <v>7828</v>
      </c>
      <c r="F535" s="268" t="s">
        <v>7829</v>
      </c>
      <c r="G535" s="267"/>
      <c r="H535" s="641">
        <v>200</v>
      </c>
    </row>
    <row r="536" spans="1:8" s="760" customFormat="1" ht="13.5" customHeight="1" x14ac:dyDescent="0.25">
      <c r="A536" s="267">
        <v>441</v>
      </c>
      <c r="B536" s="268" t="s">
        <v>1145</v>
      </c>
      <c r="C536" s="267" t="s">
        <v>1144</v>
      </c>
      <c r="D536" s="267"/>
      <c r="E536" s="268" t="s">
        <v>10792</v>
      </c>
      <c r="F536" s="268" t="s">
        <v>2550</v>
      </c>
      <c r="G536" s="267"/>
      <c r="H536" s="641">
        <v>300</v>
      </c>
    </row>
    <row r="537" spans="1:8" s="760" customFormat="1" ht="13.5" customHeight="1" x14ac:dyDescent="0.25">
      <c r="A537" s="267">
        <v>441</v>
      </c>
      <c r="B537" s="268" t="s">
        <v>1145</v>
      </c>
      <c r="C537" s="267" t="s">
        <v>1144</v>
      </c>
      <c r="D537" s="267"/>
      <c r="E537" s="268" t="s">
        <v>7625</v>
      </c>
      <c r="F537" s="268" t="s">
        <v>7626</v>
      </c>
      <c r="G537" s="267"/>
      <c r="H537" s="641">
        <v>300</v>
      </c>
    </row>
    <row r="538" spans="1:8" s="760" customFormat="1" ht="13.5" customHeight="1" x14ac:dyDescent="0.25">
      <c r="A538" s="267">
        <v>441</v>
      </c>
      <c r="B538" s="268" t="s">
        <v>1145</v>
      </c>
      <c r="C538" s="267" t="s">
        <v>1144</v>
      </c>
      <c r="D538" s="267"/>
      <c r="E538" s="268" t="s">
        <v>2537</v>
      </c>
      <c r="F538" s="268" t="s">
        <v>2538</v>
      </c>
      <c r="G538" s="267"/>
      <c r="H538" s="641">
        <v>300</v>
      </c>
    </row>
    <row r="539" spans="1:8" s="760" customFormat="1" ht="13.5" customHeight="1" x14ac:dyDescent="0.25">
      <c r="A539" s="267">
        <v>441</v>
      </c>
      <c r="B539" s="268" t="s">
        <v>1145</v>
      </c>
      <c r="C539" s="267" t="s">
        <v>1144</v>
      </c>
      <c r="D539" s="267"/>
      <c r="E539" s="268" t="s">
        <v>7641</v>
      </c>
      <c r="F539" s="268"/>
      <c r="G539" s="267" t="s">
        <v>7697</v>
      </c>
      <c r="H539" s="641">
        <v>400</v>
      </c>
    </row>
    <row r="540" spans="1:8" s="760" customFormat="1" ht="13.5" customHeight="1" x14ac:dyDescent="0.25">
      <c r="A540" s="267">
        <v>441</v>
      </c>
      <c r="B540" s="268" t="s">
        <v>1145</v>
      </c>
      <c r="C540" s="267" t="s">
        <v>1144</v>
      </c>
      <c r="D540" s="267"/>
      <c r="E540" s="268" t="s">
        <v>7778</v>
      </c>
      <c r="F540" s="268" t="s">
        <v>7733</v>
      </c>
      <c r="G540" s="267"/>
      <c r="H540" s="641">
        <v>1000</v>
      </c>
    </row>
    <row r="541" spans="1:8" s="760" customFormat="1" ht="13.5" customHeight="1" x14ac:dyDescent="0.25">
      <c r="A541" s="267">
        <v>441</v>
      </c>
      <c r="B541" s="268" t="s">
        <v>1145</v>
      </c>
      <c r="C541" s="267" t="s">
        <v>1144</v>
      </c>
      <c r="D541" s="267"/>
      <c r="E541" s="268" t="s">
        <v>7725</v>
      </c>
      <c r="F541" s="268" t="s">
        <v>7723</v>
      </c>
      <c r="G541" s="267"/>
      <c r="H541" s="641">
        <v>200</v>
      </c>
    </row>
    <row r="542" spans="1:8" s="760" customFormat="1" ht="13.5" customHeight="1" x14ac:dyDescent="0.25">
      <c r="A542" s="267">
        <v>441</v>
      </c>
      <c r="B542" s="268" t="s">
        <v>1145</v>
      </c>
      <c r="C542" s="267" t="s">
        <v>1144</v>
      </c>
      <c r="D542" s="267"/>
      <c r="E542" s="268" t="s">
        <v>2564</v>
      </c>
      <c r="F542" s="268" t="s">
        <v>7614</v>
      </c>
      <c r="G542" s="267"/>
      <c r="H542" s="641">
        <v>300</v>
      </c>
    </row>
    <row r="543" spans="1:8" s="760" customFormat="1" ht="13.5" customHeight="1" x14ac:dyDescent="0.25">
      <c r="A543" s="267">
        <v>441</v>
      </c>
      <c r="B543" s="268" t="s">
        <v>1145</v>
      </c>
      <c r="C543" s="267" t="s">
        <v>1144</v>
      </c>
      <c r="D543" s="267"/>
      <c r="E543" s="268" t="s">
        <v>2592</v>
      </c>
      <c r="F543" s="268"/>
      <c r="G543" s="267" t="s">
        <v>2605</v>
      </c>
      <c r="H543" s="641">
        <v>1000</v>
      </c>
    </row>
    <row r="544" spans="1:8" s="760" customFormat="1" ht="13.5" customHeight="1" x14ac:dyDescent="0.25">
      <c r="A544" s="267">
        <v>441</v>
      </c>
      <c r="B544" s="268" t="s">
        <v>1145</v>
      </c>
      <c r="C544" s="267" t="s">
        <v>1144</v>
      </c>
      <c r="D544" s="267"/>
      <c r="E544" s="268" t="s">
        <v>7649</v>
      </c>
      <c r="F544" s="268" t="s">
        <v>2529</v>
      </c>
      <c r="G544" s="267"/>
      <c r="H544" s="641">
        <v>400</v>
      </c>
    </row>
    <row r="545" spans="1:8" s="760" customFormat="1" ht="13.5" customHeight="1" x14ac:dyDescent="0.25">
      <c r="A545" s="267">
        <v>441</v>
      </c>
      <c r="B545" s="268" t="s">
        <v>1145</v>
      </c>
      <c r="C545" s="267" t="s">
        <v>1144</v>
      </c>
      <c r="D545" s="267"/>
      <c r="E545" s="268" t="s">
        <v>1153</v>
      </c>
      <c r="F545" s="268" t="s">
        <v>2515</v>
      </c>
      <c r="G545" s="267"/>
      <c r="H545" s="641">
        <v>300</v>
      </c>
    </row>
    <row r="546" spans="1:8" s="760" customFormat="1" ht="13.5" customHeight="1" x14ac:dyDescent="0.25">
      <c r="A546" s="267">
        <v>441</v>
      </c>
      <c r="B546" s="268" t="s">
        <v>1145</v>
      </c>
      <c r="C546" s="267" t="s">
        <v>1144</v>
      </c>
      <c r="D546" s="267"/>
      <c r="E546" s="268" t="s">
        <v>7620</v>
      </c>
      <c r="F546" s="268" t="s">
        <v>7621</v>
      </c>
      <c r="G546" s="267"/>
      <c r="H546" s="641">
        <v>200</v>
      </c>
    </row>
    <row r="547" spans="1:8" s="760" customFormat="1" ht="13.5" customHeight="1" x14ac:dyDescent="0.25">
      <c r="A547" s="267">
        <v>441</v>
      </c>
      <c r="B547" s="268" t="s">
        <v>1145</v>
      </c>
      <c r="C547" s="267" t="s">
        <v>1144</v>
      </c>
      <c r="D547" s="267"/>
      <c r="E547" s="268" t="s">
        <v>7619</v>
      </c>
      <c r="F547" s="268" t="s">
        <v>2570</v>
      </c>
      <c r="G547" s="267"/>
      <c r="H547" s="641">
        <v>800</v>
      </c>
    </row>
    <row r="548" spans="1:8" s="760" customFormat="1" ht="13.5" customHeight="1" x14ac:dyDescent="0.25">
      <c r="A548" s="267">
        <v>441</v>
      </c>
      <c r="B548" s="268" t="s">
        <v>1145</v>
      </c>
      <c r="C548" s="267" t="s">
        <v>1144</v>
      </c>
      <c r="D548" s="267"/>
      <c r="E548" s="268" t="s">
        <v>2575</v>
      </c>
      <c r="F548" s="268" t="s">
        <v>2576</v>
      </c>
      <c r="G548" s="267"/>
      <c r="H548" s="641">
        <v>300</v>
      </c>
    </row>
    <row r="549" spans="1:8" s="760" customFormat="1" ht="13.5" customHeight="1" x14ac:dyDescent="0.25">
      <c r="A549" s="267">
        <v>441</v>
      </c>
      <c r="B549" s="268" t="s">
        <v>1145</v>
      </c>
      <c r="C549" s="267" t="s">
        <v>1144</v>
      </c>
      <c r="D549" s="267"/>
      <c r="E549" s="268" t="s">
        <v>2507</v>
      </c>
      <c r="F549" s="268"/>
      <c r="G549" s="267" t="s">
        <v>2508</v>
      </c>
      <c r="H549" s="641">
        <v>300</v>
      </c>
    </row>
    <row r="550" spans="1:8" s="760" customFormat="1" ht="13.5" customHeight="1" x14ac:dyDescent="0.25">
      <c r="A550" s="267">
        <v>441</v>
      </c>
      <c r="B550" s="268" t="s">
        <v>1145</v>
      </c>
      <c r="C550" s="267" t="s">
        <v>1144</v>
      </c>
      <c r="D550" s="267"/>
      <c r="E550" s="268" t="s">
        <v>2517</v>
      </c>
      <c r="F550" s="268" t="s">
        <v>1154</v>
      </c>
      <c r="G550" s="267"/>
      <c r="H550" s="641">
        <v>300</v>
      </c>
    </row>
    <row r="551" spans="1:8" s="760" customFormat="1" ht="13.5" customHeight="1" x14ac:dyDescent="0.25">
      <c r="A551" s="267">
        <v>441</v>
      </c>
      <c r="B551" s="268" t="s">
        <v>1145</v>
      </c>
      <c r="C551" s="267" t="s">
        <v>1144</v>
      </c>
      <c r="D551" s="267"/>
      <c r="E551" s="268" t="s">
        <v>2574</v>
      </c>
      <c r="F551" s="268" t="s">
        <v>2582</v>
      </c>
      <c r="G551" s="267"/>
      <c r="H551" s="641">
        <v>300</v>
      </c>
    </row>
    <row r="552" spans="1:8" s="760" customFormat="1" ht="13.5" customHeight="1" x14ac:dyDescent="0.25">
      <c r="A552" s="267">
        <v>441</v>
      </c>
      <c r="B552" s="268" t="s">
        <v>1145</v>
      </c>
      <c r="C552" s="267" t="s">
        <v>1144</v>
      </c>
      <c r="D552" s="267"/>
      <c r="E552" s="268" t="s">
        <v>11223</v>
      </c>
      <c r="F552" s="268" t="s">
        <v>11224</v>
      </c>
      <c r="G552" s="267"/>
      <c r="H552" s="641">
        <v>400</v>
      </c>
    </row>
    <row r="553" spans="1:8" s="760" customFormat="1" ht="13.5" customHeight="1" x14ac:dyDescent="0.25">
      <c r="A553" s="267">
        <v>441</v>
      </c>
      <c r="B553" s="268" t="s">
        <v>1145</v>
      </c>
      <c r="C553" s="267" t="s">
        <v>1144</v>
      </c>
      <c r="D553" s="267"/>
      <c r="E553" s="268" t="s">
        <v>2561</v>
      </c>
      <c r="F553" s="268" t="s">
        <v>2071</v>
      </c>
      <c r="G553" s="267"/>
      <c r="H553" s="641">
        <v>300</v>
      </c>
    </row>
    <row r="554" spans="1:8" s="760" customFormat="1" ht="13.5" customHeight="1" x14ac:dyDescent="0.25">
      <c r="A554" s="267">
        <v>441</v>
      </c>
      <c r="B554" s="268" t="s">
        <v>1145</v>
      </c>
      <c r="C554" s="267" t="s">
        <v>1144</v>
      </c>
      <c r="D554" s="267"/>
      <c r="E554" s="268" t="s">
        <v>2505</v>
      </c>
      <c r="F554" s="268" t="s">
        <v>11225</v>
      </c>
      <c r="G554" s="267"/>
      <c r="H554" s="641">
        <v>300</v>
      </c>
    </row>
    <row r="555" spans="1:8" s="760" customFormat="1" ht="13.5" customHeight="1" x14ac:dyDescent="0.25">
      <c r="A555" s="267">
        <v>441</v>
      </c>
      <c r="B555" s="268" t="s">
        <v>1145</v>
      </c>
      <c r="C555" s="267" t="s">
        <v>1144</v>
      </c>
      <c r="D555" s="267"/>
      <c r="E555" s="268" t="s">
        <v>2586</v>
      </c>
      <c r="F555" s="268" t="s">
        <v>2587</v>
      </c>
      <c r="G555" s="267"/>
      <c r="H555" s="641">
        <v>500</v>
      </c>
    </row>
    <row r="556" spans="1:8" s="760" customFormat="1" ht="13.5" customHeight="1" x14ac:dyDescent="0.25">
      <c r="A556" s="267">
        <v>441</v>
      </c>
      <c r="B556" s="268" t="s">
        <v>1145</v>
      </c>
      <c r="C556" s="267" t="s">
        <v>1144</v>
      </c>
      <c r="D556" s="267"/>
      <c r="E556" s="268" t="s">
        <v>7910</v>
      </c>
      <c r="F556" s="268" t="s">
        <v>7911</v>
      </c>
      <c r="G556" s="267"/>
      <c r="H556" s="641">
        <v>300</v>
      </c>
    </row>
    <row r="557" spans="1:8" s="760" customFormat="1" ht="13.5" customHeight="1" x14ac:dyDescent="0.25">
      <c r="A557" s="267">
        <v>441</v>
      </c>
      <c r="B557" s="268" t="s">
        <v>1145</v>
      </c>
      <c r="C557" s="267" t="s">
        <v>1144</v>
      </c>
      <c r="D557" s="267"/>
      <c r="E557" s="268" t="s">
        <v>2589</v>
      </c>
      <c r="F557" s="268" t="s">
        <v>2590</v>
      </c>
      <c r="G557" s="267"/>
      <c r="H557" s="641">
        <v>400</v>
      </c>
    </row>
    <row r="558" spans="1:8" s="760" customFormat="1" ht="13.5" customHeight="1" x14ac:dyDescent="0.25">
      <c r="A558" s="267">
        <v>441</v>
      </c>
      <c r="B558" s="268" t="s">
        <v>1145</v>
      </c>
      <c r="C558" s="267" t="s">
        <v>1144</v>
      </c>
      <c r="D558" s="267"/>
      <c r="E558" s="268" t="s">
        <v>2510</v>
      </c>
      <c r="F558" s="268" t="s">
        <v>2511</v>
      </c>
      <c r="G558" s="267"/>
      <c r="H558" s="641">
        <v>300</v>
      </c>
    </row>
    <row r="559" spans="1:8" s="760" customFormat="1" ht="13.5" customHeight="1" x14ac:dyDescent="0.25">
      <c r="A559" s="267">
        <v>441</v>
      </c>
      <c r="B559" s="268" t="s">
        <v>1145</v>
      </c>
      <c r="C559" s="267" t="s">
        <v>1144</v>
      </c>
      <c r="D559" s="267"/>
      <c r="E559" s="268" t="s">
        <v>11226</v>
      </c>
      <c r="F559" s="268" t="s">
        <v>2560</v>
      </c>
      <c r="G559" s="267"/>
      <c r="H559" s="641">
        <v>100</v>
      </c>
    </row>
    <row r="560" spans="1:8" s="760" customFormat="1" ht="13.5" customHeight="1" x14ac:dyDescent="0.25">
      <c r="A560" s="267">
        <v>441</v>
      </c>
      <c r="B560" s="268" t="s">
        <v>1145</v>
      </c>
      <c r="C560" s="267" t="s">
        <v>1144</v>
      </c>
      <c r="D560" s="267"/>
      <c r="E560" s="268" t="s">
        <v>11227</v>
      </c>
      <c r="F560" s="268" t="s">
        <v>7643</v>
      </c>
      <c r="G560" s="267"/>
      <c r="H560" s="641">
        <v>300</v>
      </c>
    </row>
    <row r="561" spans="1:8" s="760" customFormat="1" ht="13.5" customHeight="1" x14ac:dyDescent="0.25">
      <c r="A561" s="267">
        <v>441</v>
      </c>
      <c r="B561" s="268" t="s">
        <v>1145</v>
      </c>
      <c r="C561" s="267" t="s">
        <v>1144</v>
      </c>
      <c r="D561" s="267"/>
      <c r="E561" s="268" t="s">
        <v>7610</v>
      </c>
      <c r="F561" s="268"/>
      <c r="G561" s="267" t="s">
        <v>7661</v>
      </c>
      <c r="H561" s="641">
        <v>300</v>
      </c>
    </row>
    <row r="562" spans="1:8" s="760" customFormat="1" ht="13.5" customHeight="1" x14ac:dyDescent="0.25">
      <c r="A562" s="267">
        <v>441</v>
      </c>
      <c r="B562" s="268" t="s">
        <v>1145</v>
      </c>
      <c r="C562" s="267" t="s">
        <v>1144</v>
      </c>
      <c r="D562" s="267"/>
      <c r="E562" s="268" t="s">
        <v>2514</v>
      </c>
      <c r="F562" s="268" t="s">
        <v>1150</v>
      </c>
      <c r="G562" s="267"/>
      <c r="H562" s="641">
        <v>300</v>
      </c>
    </row>
    <row r="563" spans="1:8" s="760" customFormat="1" ht="13.5" customHeight="1" x14ac:dyDescent="0.25">
      <c r="A563" s="267">
        <v>441</v>
      </c>
      <c r="B563" s="268" t="s">
        <v>1145</v>
      </c>
      <c r="C563" s="267" t="s">
        <v>1144</v>
      </c>
      <c r="D563" s="267"/>
      <c r="E563" s="268" t="s">
        <v>7744</v>
      </c>
      <c r="F563" s="268" t="s">
        <v>7696</v>
      </c>
      <c r="G563" s="267"/>
      <c r="H563" s="641">
        <v>500</v>
      </c>
    </row>
    <row r="564" spans="1:8" s="760" customFormat="1" ht="13.5" customHeight="1" x14ac:dyDescent="0.25">
      <c r="A564" s="267">
        <v>441</v>
      </c>
      <c r="B564" s="268" t="s">
        <v>1145</v>
      </c>
      <c r="C564" s="267" t="s">
        <v>1144</v>
      </c>
      <c r="D564" s="267"/>
      <c r="E564" s="268" t="s">
        <v>11228</v>
      </c>
      <c r="F564" s="268" t="s">
        <v>7703</v>
      </c>
      <c r="G564" s="267"/>
      <c r="H564" s="641">
        <v>400</v>
      </c>
    </row>
    <row r="565" spans="1:8" s="760" customFormat="1" ht="13.5" customHeight="1" x14ac:dyDescent="0.25">
      <c r="A565" s="267">
        <v>441</v>
      </c>
      <c r="B565" s="268" t="s">
        <v>1145</v>
      </c>
      <c r="C565" s="267" t="s">
        <v>1144</v>
      </c>
      <c r="D565" s="267"/>
      <c r="E565" s="268" t="s">
        <v>10791</v>
      </c>
      <c r="F565" s="268" t="s">
        <v>2554</v>
      </c>
      <c r="G565" s="267"/>
      <c r="H565" s="641">
        <v>300</v>
      </c>
    </row>
    <row r="566" spans="1:8" s="760" customFormat="1" ht="13.5" customHeight="1" x14ac:dyDescent="0.25">
      <c r="A566" s="267">
        <v>441</v>
      </c>
      <c r="B566" s="268" t="s">
        <v>1145</v>
      </c>
      <c r="C566" s="267" t="s">
        <v>1144</v>
      </c>
      <c r="D566" s="267"/>
      <c r="E566" s="268" t="s">
        <v>11229</v>
      </c>
      <c r="F566" s="268" t="s">
        <v>11230</v>
      </c>
      <c r="G566" s="267"/>
      <c r="H566" s="641">
        <v>25000</v>
      </c>
    </row>
    <row r="567" spans="1:8" s="760" customFormat="1" ht="13.5" customHeight="1" x14ac:dyDescent="0.25">
      <c r="A567" s="267">
        <v>441</v>
      </c>
      <c r="B567" s="268" t="s">
        <v>1145</v>
      </c>
      <c r="C567" s="267" t="s">
        <v>1144</v>
      </c>
      <c r="D567" s="267"/>
      <c r="E567" s="268" t="s">
        <v>11231</v>
      </c>
      <c r="F567" s="268" t="s">
        <v>7676</v>
      </c>
      <c r="G567" s="267"/>
      <c r="H567" s="641">
        <v>7000</v>
      </c>
    </row>
    <row r="568" spans="1:8" s="760" customFormat="1" ht="13.5" customHeight="1" x14ac:dyDescent="0.25">
      <c r="A568" s="267">
        <v>441</v>
      </c>
      <c r="B568" s="268" t="s">
        <v>1145</v>
      </c>
      <c r="C568" s="267" t="s">
        <v>1144</v>
      </c>
      <c r="D568" s="267"/>
      <c r="E568" s="268" t="s">
        <v>11232</v>
      </c>
      <c r="F568" s="268" t="s">
        <v>11233</v>
      </c>
      <c r="G568" s="267"/>
      <c r="H568" s="641">
        <v>2000</v>
      </c>
    </row>
    <row r="569" spans="1:8" s="760" customFormat="1" ht="13.5" customHeight="1" x14ac:dyDescent="0.25">
      <c r="A569" s="267">
        <v>441</v>
      </c>
      <c r="B569" s="268" t="s">
        <v>1145</v>
      </c>
      <c r="C569" s="267" t="s">
        <v>1144</v>
      </c>
      <c r="D569" s="267"/>
      <c r="E569" s="268" t="s">
        <v>11234</v>
      </c>
      <c r="F569" s="268" t="s">
        <v>11235</v>
      </c>
      <c r="G569" s="267"/>
      <c r="H569" s="641">
        <v>3000</v>
      </c>
    </row>
    <row r="570" spans="1:8" s="760" customFormat="1" ht="13.5" customHeight="1" x14ac:dyDescent="0.25">
      <c r="A570" s="267">
        <v>441</v>
      </c>
      <c r="B570" s="268" t="s">
        <v>1145</v>
      </c>
      <c r="C570" s="267" t="s">
        <v>1144</v>
      </c>
      <c r="D570" s="267"/>
      <c r="E570" s="268" t="s">
        <v>11053</v>
      </c>
      <c r="F570" s="268" t="s">
        <v>11054</v>
      </c>
      <c r="G570" s="267"/>
      <c r="H570" s="641">
        <v>5000</v>
      </c>
    </row>
    <row r="571" spans="1:8" s="760" customFormat="1" ht="13.5" customHeight="1" x14ac:dyDescent="0.25">
      <c r="A571" s="267">
        <v>441</v>
      </c>
      <c r="B571" s="268" t="s">
        <v>1145</v>
      </c>
      <c r="C571" s="267" t="s">
        <v>1144</v>
      </c>
      <c r="D571" s="267"/>
      <c r="E571" s="268" t="s">
        <v>11236</v>
      </c>
      <c r="F571" s="268" t="s">
        <v>11237</v>
      </c>
      <c r="G571" s="267"/>
      <c r="H571" s="641">
        <v>400</v>
      </c>
    </row>
    <row r="572" spans="1:8" s="760" customFormat="1" ht="13.5" customHeight="1" x14ac:dyDescent="0.25">
      <c r="A572" s="267">
        <v>441</v>
      </c>
      <c r="B572" s="268" t="s">
        <v>1145</v>
      </c>
      <c r="C572" s="267" t="s">
        <v>1144</v>
      </c>
      <c r="D572" s="267"/>
      <c r="E572" s="268" t="s">
        <v>7807</v>
      </c>
      <c r="F572" s="268" t="s">
        <v>7808</v>
      </c>
      <c r="G572" s="267"/>
      <c r="H572" s="641">
        <v>400</v>
      </c>
    </row>
    <row r="573" spans="1:8" s="760" customFormat="1" ht="13.5" customHeight="1" x14ac:dyDescent="0.25">
      <c r="A573" s="267">
        <v>441</v>
      </c>
      <c r="B573" s="268" t="s">
        <v>1145</v>
      </c>
      <c r="C573" s="267" t="s">
        <v>1144</v>
      </c>
      <c r="D573" s="267"/>
      <c r="E573" s="268" t="s">
        <v>11238</v>
      </c>
      <c r="F573" s="268" t="s">
        <v>7924</v>
      </c>
      <c r="G573" s="267"/>
      <c r="H573" s="641">
        <v>250</v>
      </c>
    </row>
    <row r="574" spans="1:8" s="760" customFormat="1" ht="13.5" customHeight="1" x14ac:dyDescent="0.25">
      <c r="A574" s="267">
        <v>441</v>
      </c>
      <c r="B574" s="268" t="s">
        <v>1145</v>
      </c>
      <c r="C574" s="267" t="s">
        <v>1144</v>
      </c>
      <c r="D574" s="267"/>
      <c r="E574" s="268" t="s">
        <v>2566</v>
      </c>
      <c r="F574" s="268" t="s">
        <v>2567</v>
      </c>
      <c r="G574" s="267"/>
      <c r="H574" s="641">
        <v>400</v>
      </c>
    </row>
    <row r="575" spans="1:8" s="760" customFormat="1" ht="13.5" customHeight="1" x14ac:dyDescent="0.25">
      <c r="A575" s="267">
        <v>441</v>
      </c>
      <c r="B575" s="268" t="s">
        <v>1145</v>
      </c>
      <c r="C575" s="267" t="s">
        <v>1144</v>
      </c>
      <c r="D575" s="267"/>
      <c r="E575" s="268" t="s">
        <v>11239</v>
      </c>
      <c r="F575" s="268"/>
      <c r="G575" s="267" t="s">
        <v>11240</v>
      </c>
      <c r="H575" s="641">
        <v>800</v>
      </c>
    </row>
    <row r="576" spans="1:8" s="760" customFormat="1" ht="13.5" customHeight="1" x14ac:dyDescent="0.25">
      <c r="A576" s="267">
        <v>441</v>
      </c>
      <c r="B576" s="268" t="s">
        <v>1145</v>
      </c>
      <c r="C576" s="267" t="s">
        <v>1144</v>
      </c>
      <c r="D576" s="267"/>
      <c r="E576" s="268" t="s">
        <v>10877</v>
      </c>
      <c r="F576" s="268"/>
      <c r="G576" s="267" t="s">
        <v>11241</v>
      </c>
      <c r="H576" s="641">
        <v>250</v>
      </c>
    </row>
    <row r="577" spans="1:8" s="760" customFormat="1" ht="13.5" customHeight="1" x14ac:dyDescent="0.25">
      <c r="A577" s="267">
        <v>441</v>
      </c>
      <c r="B577" s="268" t="s">
        <v>1145</v>
      </c>
      <c r="C577" s="267" t="s">
        <v>1144</v>
      </c>
      <c r="D577" s="267"/>
      <c r="E577" s="268" t="s">
        <v>11242</v>
      </c>
      <c r="F577" s="268" t="s">
        <v>11243</v>
      </c>
      <c r="G577" s="267"/>
      <c r="H577" s="641">
        <v>500</v>
      </c>
    </row>
    <row r="578" spans="1:8" s="760" customFormat="1" ht="13.5" customHeight="1" x14ac:dyDescent="0.25">
      <c r="A578" s="267">
        <v>441</v>
      </c>
      <c r="B578" s="268" t="s">
        <v>1145</v>
      </c>
      <c r="C578" s="267" t="s">
        <v>1144</v>
      </c>
      <c r="D578" s="267"/>
      <c r="E578" s="268" t="s">
        <v>11244</v>
      </c>
      <c r="F578" s="268" t="s">
        <v>11245</v>
      </c>
      <c r="G578" s="267"/>
      <c r="H578" s="641">
        <v>350</v>
      </c>
    </row>
    <row r="579" spans="1:8" s="760" customFormat="1" ht="13.5" customHeight="1" x14ac:dyDescent="0.25">
      <c r="A579" s="267">
        <v>441</v>
      </c>
      <c r="B579" s="268" t="s">
        <v>1145</v>
      </c>
      <c r="C579" s="267" t="s">
        <v>1144</v>
      </c>
      <c r="D579" s="267"/>
      <c r="E579" s="268" t="s">
        <v>11246</v>
      </c>
      <c r="F579" s="268" t="s">
        <v>11247</v>
      </c>
      <c r="G579" s="267"/>
      <c r="H579" s="641">
        <v>400</v>
      </c>
    </row>
    <row r="580" spans="1:8" s="760" customFormat="1" ht="13.5" customHeight="1" x14ac:dyDescent="0.25">
      <c r="A580" s="267">
        <v>441</v>
      </c>
      <c r="B580" s="268" t="s">
        <v>1145</v>
      </c>
      <c r="C580" s="267" t="s">
        <v>1144</v>
      </c>
      <c r="D580" s="267"/>
      <c r="E580" s="268" t="s">
        <v>7819</v>
      </c>
      <c r="F580" s="268" t="s">
        <v>7820</v>
      </c>
      <c r="G580" s="267"/>
      <c r="H580" s="641">
        <v>400</v>
      </c>
    </row>
    <row r="581" spans="1:8" s="760" customFormat="1" ht="13.5" customHeight="1" x14ac:dyDescent="0.25">
      <c r="A581" s="267">
        <v>441</v>
      </c>
      <c r="B581" s="268" t="s">
        <v>1145</v>
      </c>
      <c r="C581" s="267" t="s">
        <v>1144</v>
      </c>
      <c r="D581" s="267"/>
      <c r="E581" s="268" t="s">
        <v>11248</v>
      </c>
      <c r="F581" s="268" t="s">
        <v>11249</v>
      </c>
      <c r="G581" s="267"/>
      <c r="H581" s="641">
        <v>300</v>
      </c>
    </row>
    <row r="582" spans="1:8" s="760" customFormat="1" ht="13.5" customHeight="1" x14ac:dyDescent="0.25">
      <c r="A582" s="267">
        <v>441</v>
      </c>
      <c r="B582" s="268" t="s">
        <v>1145</v>
      </c>
      <c r="C582" s="267" t="s">
        <v>1144</v>
      </c>
      <c r="D582" s="267"/>
      <c r="E582" s="268" t="s">
        <v>11250</v>
      </c>
      <c r="F582" s="268" t="s">
        <v>11251</v>
      </c>
      <c r="G582" s="267"/>
      <c r="H582" s="641">
        <v>300</v>
      </c>
    </row>
    <row r="583" spans="1:8" s="760" customFormat="1" ht="13.5" customHeight="1" x14ac:dyDescent="0.25">
      <c r="A583" s="267">
        <v>441</v>
      </c>
      <c r="B583" s="268" t="s">
        <v>1145</v>
      </c>
      <c r="C583" s="267" t="s">
        <v>1144</v>
      </c>
      <c r="D583" s="267"/>
      <c r="E583" s="268" t="s">
        <v>11252</v>
      </c>
      <c r="F583" s="268" t="s">
        <v>11253</v>
      </c>
      <c r="G583" s="267"/>
      <c r="H583" s="641">
        <v>500</v>
      </c>
    </row>
    <row r="584" spans="1:8" s="760" customFormat="1" ht="13.5" customHeight="1" x14ac:dyDescent="0.25">
      <c r="A584" s="267">
        <v>441</v>
      </c>
      <c r="B584" s="268" t="s">
        <v>1145</v>
      </c>
      <c r="C584" s="267" t="s">
        <v>1144</v>
      </c>
      <c r="D584" s="267"/>
      <c r="E584" s="268" t="s">
        <v>11254</v>
      </c>
      <c r="F584" s="268" t="s">
        <v>11255</v>
      </c>
      <c r="G584" s="267"/>
      <c r="H584" s="641">
        <v>500</v>
      </c>
    </row>
    <row r="585" spans="1:8" s="760" customFormat="1" ht="13.5" customHeight="1" x14ac:dyDescent="0.25">
      <c r="A585" s="267">
        <v>441</v>
      </c>
      <c r="B585" s="268" t="s">
        <v>1145</v>
      </c>
      <c r="C585" s="267" t="s">
        <v>1144</v>
      </c>
      <c r="D585" s="267"/>
      <c r="E585" s="268" t="s">
        <v>11256</v>
      </c>
      <c r="F585" s="268" t="s">
        <v>11257</v>
      </c>
      <c r="G585" s="267"/>
      <c r="H585" s="641">
        <v>300</v>
      </c>
    </row>
    <row r="586" spans="1:8" s="760" customFormat="1" ht="13.5" customHeight="1" x14ac:dyDescent="0.25">
      <c r="A586" s="267">
        <v>441</v>
      </c>
      <c r="B586" s="268" t="s">
        <v>1145</v>
      </c>
      <c r="C586" s="267" t="s">
        <v>1144</v>
      </c>
      <c r="D586" s="267"/>
      <c r="E586" s="268" t="s">
        <v>11258</v>
      </c>
      <c r="F586" s="268" t="s">
        <v>11259</v>
      </c>
      <c r="G586" s="267"/>
      <c r="H586" s="641">
        <v>384</v>
      </c>
    </row>
    <row r="587" spans="1:8" s="760" customFormat="1" ht="13.5" customHeight="1" x14ac:dyDescent="0.25">
      <c r="A587" s="267">
        <v>441</v>
      </c>
      <c r="B587" s="268" t="s">
        <v>1145</v>
      </c>
      <c r="C587" s="267" t="s">
        <v>1144</v>
      </c>
      <c r="D587" s="267"/>
      <c r="E587" s="268" t="s">
        <v>11260</v>
      </c>
      <c r="F587" s="268" t="s">
        <v>11261</v>
      </c>
      <c r="G587" s="267"/>
      <c r="H587" s="641">
        <v>300</v>
      </c>
    </row>
    <row r="588" spans="1:8" s="760" customFormat="1" ht="13.5" customHeight="1" x14ac:dyDescent="0.25">
      <c r="A588" s="267">
        <v>441</v>
      </c>
      <c r="B588" s="268" t="s">
        <v>1145</v>
      </c>
      <c r="C588" s="267" t="s">
        <v>1144</v>
      </c>
      <c r="D588" s="267"/>
      <c r="E588" s="268" t="s">
        <v>7815</v>
      </c>
      <c r="F588" s="268" t="s">
        <v>7816</v>
      </c>
      <c r="G588" s="267"/>
      <c r="H588" s="641">
        <v>170</v>
      </c>
    </row>
    <row r="589" spans="1:8" s="760" customFormat="1" ht="13.5" customHeight="1" x14ac:dyDescent="0.25">
      <c r="A589" s="267">
        <v>441</v>
      </c>
      <c r="B589" s="268" t="s">
        <v>1145</v>
      </c>
      <c r="C589" s="267" t="s">
        <v>1144</v>
      </c>
      <c r="D589" s="267"/>
      <c r="E589" s="268" t="s">
        <v>11262</v>
      </c>
      <c r="F589" s="268" t="s">
        <v>11263</v>
      </c>
      <c r="G589" s="267"/>
      <c r="H589" s="641">
        <v>250</v>
      </c>
    </row>
    <row r="590" spans="1:8" s="760" customFormat="1" ht="13.5" customHeight="1" x14ac:dyDescent="0.25">
      <c r="A590" s="267">
        <v>441</v>
      </c>
      <c r="B590" s="268" t="s">
        <v>1145</v>
      </c>
      <c r="C590" s="267" t="s">
        <v>1144</v>
      </c>
      <c r="D590" s="267"/>
      <c r="E590" s="268" t="s">
        <v>10849</v>
      </c>
      <c r="F590" s="268" t="s">
        <v>10850</v>
      </c>
      <c r="G590" s="267"/>
      <c r="H590" s="641">
        <v>200</v>
      </c>
    </row>
    <row r="591" spans="1:8" s="760" customFormat="1" ht="13.5" customHeight="1" x14ac:dyDescent="0.25">
      <c r="A591" s="267">
        <v>441</v>
      </c>
      <c r="B591" s="268" t="s">
        <v>1145</v>
      </c>
      <c r="C591" s="267" t="s">
        <v>1144</v>
      </c>
      <c r="D591" s="267"/>
      <c r="E591" s="268" t="s">
        <v>11264</v>
      </c>
      <c r="F591" s="268" t="s">
        <v>11265</v>
      </c>
      <c r="G591" s="267"/>
      <c r="H591" s="641">
        <v>765</v>
      </c>
    </row>
    <row r="592" spans="1:8" s="760" customFormat="1" ht="13.5" customHeight="1" x14ac:dyDescent="0.25">
      <c r="A592" s="267">
        <v>441</v>
      </c>
      <c r="B592" s="268" t="s">
        <v>1145</v>
      </c>
      <c r="C592" s="267" t="s">
        <v>1144</v>
      </c>
      <c r="D592" s="267"/>
      <c r="E592" s="268" t="s">
        <v>11266</v>
      </c>
      <c r="F592" s="268" t="s">
        <v>11267</v>
      </c>
      <c r="G592" s="267"/>
      <c r="H592" s="641">
        <v>300</v>
      </c>
    </row>
    <row r="593" spans="1:8" s="760" customFormat="1" ht="13.5" customHeight="1" x14ac:dyDescent="0.25">
      <c r="A593" s="267">
        <v>441</v>
      </c>
      <c r="B593" s="268" t="s">
        <v>1145</v>
      </c>
      <c r="C593" s="267" t="s">
        <v>1144</v>
      </c>
      <c r="D593" s="267"/>
      <c r="E593" s="268" t="s">
        <v>2540</v>
      </c>
      <c r="F593" s="268" t="s">
        <v>11128</v>
      </c>
      <c r="G593" s="267"/>
      <c r="H593" s="641">
        <v>300</v>
      </c>
    </row>
    <row r="594" spans="1:8" s="760" customFormat="1" ht="13.5" customHeight="1" x14ac:dyDescent="0.25">
      <c r="A594" s="267">
        <v>441</v>
      </c>
      <c r="B594" s="268" t="s">
        <v>1145</v>
      </c>
      <c r="C594" s="267" t="s">
        <v>1144</v>
      </c>
      <c r="D594" s="267"/>
      <c r="E594" s="268" t="s">
        <v>7635</v>
      </c>
      <c r="F594" s="268"/>
      <c r="G594" s="267" t="s">
        <v>11268</v>
      </c>
      <c r="H594" s="641">
        <v>400</v>
      </c>
    </row>
    <row r="595" spans="1:8" s="760" customFormat="1" ht="13.5" customHeight="1" x14ac:dyDescent="0.25">
      <c r="A595" s="267">
        <v>441</v>
      </c>
      <c r="B595" s="268" t="s">
        <v>1145</v>
      </c>
      <c r="C595" s="267" t="s">
        <v>1144</v>
      </c>
      <c r="D595" s="267"/>
      <c r="E595" s="268" t="s">
        <v>7946</v>
      </c>
      <c r="F595" s="268" t="s">
        <v>7947</v>
      </c>
      <c r="G595" s="267"/>
      <c r="H595" s="641">
        <v>200</v>
      </c>
    </row>
    <row r="596" spans="1:8" s="760" customFormat="1" ht="13.5" customHeight="1" x14ac:dyDescent="0.25">
      <c r="A596" s="267">
        <v>441</v>
      </c>
      <c r="B596" s="268" t="s">
        <v>1145</v>
      </c>
      <c r="C596" s="267" t="s">
        <v>1144</v>
      </c>
      <c r="D596" s="267"/>
      <c r="E596" s="268" t="s">
        <v>11269</v>
      </c>
      <c r="F596" s="268" t="s">
        <v>11270</v>
      </c>
      <c r="G596" s="267"/>
      <c r="H596" s="641">
        <v>300</v>
      </c>
    </row>
    <row r="597" spans="1:8" s="760" customFormat="1" ht="13.5" customHeight="1" x14ac:dyDescent="0.25">
      <c r="A597" s="267">
        <v>441</v>
      </c>
      <c r="B597" s="268" t="s">
        <v>1145</v>
      </c>
      <c r="C597" s="267" t="s">
        <v>1144</v>
      </c>
      <c r="D597" s="267"/>
      <c r="E597" s="268" t="s">
        <v>11271</v>
      </c>
      <c r="F597" s="268" t="s">
        <v>11272</v>
      </c>
      <c r="G597" s="267"/>
      <c r="H597" s="641">
        <v>150</v>
      </c>
    </row>
    <row r="598" spans="1:8" s="760" customFormat="1" ht="13.5" customHeight="1" x14ac:dyDescent="0.25">
      <c r="A598" s="267">
        <v>441</v>
      </c>
      <c r="B598" s="268" t="s">
        <v>1145</v>
      </c>
      <c r="C598" s="267" t="s">
        <v>1144</v>
      </c>
      <c r="D598" s="267"/>
      <c r="E598" s="268" t="s">
        <v>7957</v>
      </c>
      <c r="F598" s="268" t="s">
        <v>7958</v>
      </c>
      <c r="G598" s="267"/>
      <c r="H598" s="641">
        <v>300</v>
      </c>
    </row>
    <row r="599" spans="1:8" s="760" customFormat="1" ht="13.5" customHeight="1" x14ac:dyDescent="0.25">
      <c r="A599" s="267">
        <v>441</v>
      </c>
      <c r="B599" s="268" t="s">
        <v>1145</v>
      </c>
      <c r="C599" s="267" t="s">
        <v>1144</v>
      </c>
      <c r="D599" s="267"/>
      <c r="E599" s="268" t="s">
        <v>11273</v>
      </c>
      <c r="F599" s="268" t="s">
        <v>11274</v>
      </c>
      <c r="G599" s="267"/>
      <c r="H599" s="641">
        <v>400</v>
      </c>
    </row>
    <row r="600" spans="1:8" s="760" customFormat="1" ht="13.5" customHeight="1" x14ac:dyDescent="0.25">
      <c r="A600" s="267">
        <v>441</v>
      </c>
      <c r="B600" s="268" t="s">
        <v>1145</v>
      </c>
      <c r="C600" s="267" t="s">
        <v>1144</v>
      </c>
      <c r="D600" s="267"/>
      <c r="E600" s="268" t="s">
        <v>11275</v>
      </c>
      <c r="F600" s="268" t="s">
        <v>11276</v>
      </c>
      <c r="G600" s="267"/>
      <c r="H600" s="641">
        <v>300</v>
      </c>
    </row>
    <row r="601" spans="1:8" s="760" customFormat="1" ht="13.5" customHeight="1" x14ac:dyDescent="0.25">
      <c r="A601" s="267">
        <v>441</v>
      </c>
      <c r="B601" s="268" t="s">
        <v>1145</v>
      </c>
      <c r="C601" s="267" t="s">
        <v>1144</v>
      </c>
      <c r="D601" s="267"/>
      <c r="E601" s="268" t="s">
        <v>11277</v>
      </c>
      <c r="F601" s="268" t="s">
        <v>11278</v>
      </c>
      <c r="G601" s="267"/>
      <c r="H601" s="641">
        <v>300</v>
      </c>
    </row>
    <row r="602" spans="1:8" s="760" customFormat="1" ht="13.5" customHeight="1" x14ac:dyDescent="0.25">
      <c r="A602" s="267">
        <v>441</v>
      </c>
      <c r="B602" s="268" t="s">
        <v>1145</v>
      </c>
      <c r="C602" s="267" t="s">
        <v>1144</v>
      </c>
      <c r="D602" s="267"/>
      <c r="E602" s="268" t="s">
        <v>11279</v>
      </c>
      <c r="F602" s="268" t="s">
        <v>11280</v>
      </c>
      <c r="G602" s="267"/>
      <c r="H602" s="641">
        <v>1041.3900000000001</v>
      </c>
    </row>
    <row r="603" spans="1:8" s="760" customFormat="1" ht="13.5" customHeight="1" x14ac:dyDescent="0.25">
      <c r="A603" s="267">
        <v>441</v>
      </c>
      <c r="B603" s="268" t="s">
        <v>1145</v>
      </c>
      <c r="C603" s="267" t="s">
        <v>1144</v>
      </c>
      <c r="D603" s="267"/>
      <c r="E603" s="268" t="s">
        <v>7630</v>
      </c>
      <c r="F603" s="268" t="s">
        <v>7712</v>
      </c>
      <c r="G603" s="267"/>
      <c r="H603" s="641">
        <v>300</v>
      </c>
    </row>
    <row r="604" spans="1:8" s="760" customFormat="1" ht="13.5" customHeight="1" x14ac:dyDescent="0.25">
      <c r="A604" s="267">
        <v>441</v>
      </c>
      <c r="B604" s="268" t="s">
        <v>1145</v>
      </c>
      <c r="C604" s="267" t="s">
        <v>1144</v>
      </c>
      <c r="D604" s="267"/>
      <c r="E604" s="268" t="s">
        <v>11281</v>
      </c>
      <c r="F604" s="268" t="s">
        <v>11282</v>
      </c>
      <c r="G604" s="267"/>
      <c r="H604" s="641">
        <v>200</v>
      </c>
    </row>
    <row r="605" spans="1:8" s="760" customFormat="1" ht="13.5" customHeight="1" x14ac:dyDescent="0.25">
      <c r="A605" s="267">
        <v>441</v>
      </c>
      <c r="B605" s="268" t="s">
        <v>1145</v>
      </c>
      <c r="C605" s="267" t="s">
        <v>1144</v>
      </c>
      <c r="D605" s="267"/>
      <c r="E605" s="268" t="s">
        <v>2574</v>
      </c>
      <c r="F605" s="268" t="s">
        <v>2582</v>
      </c>
      <c r="G605" s="267"/>
      <c r="H605" s="641">
        <v>300</v>
      </c>
    </row>
    <row r="606" spans="1:8" s="760" customFormat="1" ht="13.5" customHeight="1" x14ac:dyDescent="0.25">
      <c r="A606" s="267">
        <v>441</v>
      </c>
      <c r="B606" s="268" t="s">
        <v>1145</v>
      </c>
      <c r="C606" s="267" t="s">
        <v>1144</v>
      </c>
      <c r="D606" s="267"/>
      <c r="E606" s="268" t="s">
        <v>11283</v>
      </c>
      <c r="F606" s="268" t="s">
        <v>11284</v>
      </c>
      <c r="G606" s="267"/>
      <c r="H606" s="641">
        <v>150</v>
      </c>
    </row>
    <row r="607" spans="1:8" s="760" customFormat="1" ht="13.5" customHeight="1" x14ac:dyDescent="0.25">
      <c r="A607" s="267">
        <v>441</v>
      </c>
      <c r="B607" s="268" t="s">
        <v>1145</v>
      </c>
      <c r="C607" s="267" t="s">
        <v>1144</v>
      </c>
      <c r="D607" s="267"/>
      <c r="E607" s="268" t="s">
        <v>2557</v>
      </c>
      <c r="F607" s="268" t="s">
        <v>2558</v>
      </c>
      <c r="G607" s="267"/>
      <c r="H607" s="641">
        <v>200</v>
      </c>
    </row>
    <row r="608" spans="1:8" s="760" customFormat="1" ht="13.5" customHeight="1" x14ac:dyDescent="0.25">
      <c r="A608" s="267">
        <v>441</v>
      </c>
      <c r="B608" s="268" t="s">
        <v>1145</v>
      </c>
      <c r="C608" s="267" t="s">
        <v>1144</v>
      </c>
      <c r="D608" s="267"/>
      <c r="E608" s="268" t="s">
        <v>7784</v>
      </c>
      <c r="F608" s="268" t="s">
        <v>7616</v>
      </c>
      <c r="G608" s="267"/>
      <c r="H608" s="641">
        <v>200</v>
      </c>
    </row>
    <row r="609" spans="1:8" s="760" customFormat="1" ht="13.5" customHeight="1" x14ac:dyDescent="0.25">
      <c r="A609" s="267">
        <v>441</v>
      </c>
      <c r="B609" s="268" t="s">
        <v>1145</v>
      </c>
      <c r="C609" s="267" t="s">
        <v>1144</v>
      </c>
      <c r="D609" s="267"/>
      <c r="E609" s="268" t="s">
        <v>11285</v>
      </c>
      <c r="F609" s="268" t="s">
        <v>11286</v>
      </c>
      <c r="G609" s="267"/>
      <c r="H609" s="641">
        <v>300</v>
      </c>
    </row>
    <row r="610" spans="1:8" s="760" customFormat="1" ht="13.5" customHeight="1" x14ac:dyDescent="0.25">
      <c r="A610" s="267">
        <v>441</v>
      </c>
      <c r="B610" s="268" t="s">
        <v>1145</v>
      </c>
      <c r="C610" s="267" t="s">
        <v>1144</v>
      </c>
      <c r="D610" s="267"/>
      <c r="E610" s="268" t="s">
        <v>11287</v>
      </c>
      <c r="F610" s="268" t="s">
        <v>11288</v>
      </c>
      <c r="G610" s="267"/>
      <c r="H610" s="641">
        <v>200</v>
      </c>
    </row>
    <row r="611" spans="1:8" s="760" customFormat="1" ht="13.5" customHeight="1" x14ac:dyDescent="0.25">
      <c r="A611" s="267">
        <v>441</v>
      </c>
      <c r="B611" s="268" t="s">
        <v>1145</v>
      </c>
      <c r="C611" s="267" t="s">
        <v>1144</v>
      </c>
      <c r="D611" s="267"/>
      <c r="E611" s="268" t="s">
        <v>11289</v>
      </c>
      <c r="F611" s="268" t="s">
        <v>11290</v>
      </c>
      <c r="G611" s="267"/>
      <c r="H611" s="641">
        <v>500</v>
      </c>
    </row>
    <row r="612" spans="1:8" s="760" customFormat="1" ht="13.5" customHeight="1" x14ac:dyDescent="0.25">
      <c r="A612" s="267">
        <v>441</v>
      </c>
      <c r="B612" s="268" t="s">
        <v>1145</v>
      </c>
      <c r="C612" s="267" t="s">
        <v>1144</v>
      </c>
      <c r="D612" s="267"/>
      <c r="E612" s="268" t="s">
        <v>7877</v>
      </c>
      <c r="F612" s="268" t="s">
        <v>7878</v>
      </c>
      <c r="G612" s="267"/>
      <c r="H612" s="641">
        <v>500</v>
      </c>
    </row>
    <row r="613" spans="1:8" s="760" customFormat="1" ht="13.5" customHeight="1" x14ac:dyDescent="0.25">
      <c r="A613" s="267">
        <v>441</v>
      </c>
      <c r="B613" s="268" t="s">
        <v>1145</v>
      </c>
      <c r="C613" s="267" t="s">
        <v>1144</v>
      </c>
      <c r="D613" s="267"/>
      <c r="E613" s="268" t="s">
        <v>11291</v>
      </c>
      <c r="F613" s="268" t="s">
        <v>11292</v>
      </c>
      <c r="G613" s="267"/>
      <c r="H613" s="641">
        <v>250</v>
      </c>
    </row>
    <row r="614" spans="1:8" s="760" customFormat="1" ht="13.5" customHeight="1" x14ac:dyDescent="0.25">
      <c r="A614" s="267">
        <v>441</v>
      </c>
      <c r="B614" s="268" t="s">
        <v>1145</v>
      </c>
      <c r="C614" s="267" t="s">
        <v>1144</v>
      </c>
      <c r="D614" s="267"/>
      <c r="E614" s="268" t="s">
        <v>7876</v>
      </c>
      <c r="F614" s="268" t="s">
        <v>7799</v>
      </c>
      <c r="G614" s="267"/>
      <c r="H614" s="641">
        <v>150</v>
      </c>
    </row>
    <row r="615" spans="1:8" s="760" customFormat="1" ht="13.5" customHeight="1" x14ac:dyDescent="0.25">
      <c r="A615" s="267">
        <v>441</v>
      </c>
      <c r="B615" s="268" t="s">
        <v>1145</v>
      </c>
      <c r="C615" s="267" t="s">
        <v>1144</v>
      </c>
      <c r="D615" s="267"/>
      <c r="E615" s="268" t="s">
        <v>11293</v>
      </c>
      <c r="F615" s="268"/>
      <c r="G615" s="267"/>
      <c r="H615" s="641">
        <v>59520</v>
      </c>
    </row>
    <row r="616" spans="1:8" s="760" customFormat="1" ht="13.5" customHeight="1" x14ac:dyDescent="0.25">
      <c r="A616" s="267">
        <v>441</v>
      </c>
      <c r="B616" s="268" t="s">
        <v>1145</v>
      </c>
      <c r="C616" s="267" t="s">
        <v>1144</v>
      </c>
      <c r="D616" s="267"/>
      <c r="E616" s="268" t="s">
        <v>2592</v>
      </c>
      <c r="F616" s="268"/>
      <c r="G616" s="267" t="s">
        <v>2605</v>
      </c>
      <c r="H616" s="641">
        <v>400</v>
      </c>
    </row>
    <row r="617" spans="1:8" s="760" customFormat="1" ht="13.5" customHeight="1" x14ac:dyDescent="0.25">
      <c r="A617" s="267">
        <v>441</v>
      </c>
      <c r="B617" s="268" t="s">
        <v>1145</v>
      </c>
      <c r="C617" s="267" t="s">
        <v>1144</v>
      </c>
      <c r="D617" s="267"/>
      <c r="E617" s="268" t="s">
        <v>2585</v>
      </c>
      <c r="F617" s="268" t="s">
        <v>7806</v>
      </c>
      <c r="G617" s="267"/>
      <c r="H617" s="641">
        <v>300</v>
      </c>
    </row>
    <row r="618" spans="1:8" s="760" customFormat="1" ht="13.5" customHeight="1" x14ac:dyDescent="0.25">
      <c r="A618" s="267">
        <v>441</v>
      </c>
      <c r="B618" s="268" t="s">
        <v>1145</v>
      </c>
      <c r="C618" s="267" t="s">
        <v>1144</v>
      </c>
      <c r="D618" s="267"/>
      <c r="E618" s="268" t="s">
        <v>7633</v>
      </c>
      <c r="F618" s="268" t="s">
        <v>7909</v>
      </c>
      <c r="G618" s="267"/>
      <c r="H618" s="641">
        <v>300</v>
      </c>
    </row>
    <row r="619" spans="1:8" s="760" customFormat="1" ht="13.5" customHeight="1" x14ac:dyDescent="0.25">
      <c r="A619" s="267">
        <v>441</v>
      </c>
      <c r="B619" s="268" t="s">
        <v>1145</v>
      </c>
      <c r="C619" s="267" t="s">
        <v>1144</v>
      </c>
      <c r="D619" s="267"/>
      <c r="E619" s="268" t="s">
        <v>11294</v>
      </c>
      <c r="F619" s="268" t="s">
        <v>11295</v>
      </c>
      <c r="G619" s="267"/>
      <c r="H619" s="641">
        <v>1200</v>
      </c>
    </row>
    <row r="620" spans="1:8" s="760" customFormat="1" ht="13.5" customHeight="1" x14ac:dyDescent="0.25">
      <c r="A620" s="267">
        <v>441</v>
      </c>
      <c r="B620" s="268" t="s">
        <v>1145</v>
      </c>
      <c r="C620" s="267" t="s">
        <v>1144</v>
      </c>
      <c r="D620" s="267"/>
      <c r="E620" s="268" t="s">
        <v>1146</v>
      </c>
      <c r="F620" s="268" t="s">
        <v>1147</v>
      </c>
      <c r="G620" s="267"/>
      <c r="H620" s="641">
        <v>500</v>
      </c>
    </row>
    <row r="621" spans="1:8" s="760" customFormat="1" ht="13.5" customHeight="1" x14ac:dyDescent="0.25">
      <c r="A621" s="267">
        <v>441</v>
      </c>
      <c r="B621" s="268" t="s">
        <v>1145</v>
      </c>
      <c r="C621" s="267" t="s">
        <v>1144</v>
      </c>
      <c r="D621" s="267"/>
      <c r="E621" s="268" t="s">
        <v>11296</v>
      </c>
      <c r="F621" s="268" t="s">
        <v>11297</v>
      </c>
      <c r="G621" s="267"/>
      <c r="H621" s="641">
        <v>400</v>
      </c>
    </row>
    <row r="622" spans="1:8" s="760" customFormat="1" ht="13.5" customHeight="1" x14ac:dyDescent="0.25">
      <c r="A622" s="267">
        <v>441</v>
      </c>
      <c r="B622" s="268" t="s">
        <v>1145</v>
      </c>
      <c r="C622" s="267" t="s">
        <v>1144</v>
      </c>
      <c r="D622" s="267"/>
      <c r="E622" s="268" t="s">
        <v>11298</v>
      </c>
      <c r="F622" s="268" t="s">
        <v>11299</v>
      </c>
      <c r="G622" s="267"/>
      <c r="H622" s="641">
        <v>400</v>
      </c>
    </row>
    <row r="623" spans="1:8" s="760" customFormat="1" ht="13.5" customHeight="1" x14ac:dyDescent="0.25">
      <c r="A623" s="267">
        <v>441</v>
      </c>
      <c r="B623" s="268" t="s">
        <v>1145</v>
      </c>
      <c r="C623" s="267" t="s">
        <v>1144</v>
      </c>
      <c r="D623" s="267"/>
      <c r="E623" s="268" t="s">
        <v>1155</v>
      </c>
      <c r="F623" s="268" t="s">
        <v>7638</v>
      </c>
      <c r="G623" s="267"/>
      <c r="H623" s="641">
        <v>400</v>
      </c>
    </row>
    <row r="624" spans="1:8" s="760" customFormat="1" ht="13.5" customHeight="1" x14ac:dyDescent="0.25">
      <c r="A624" s="267">
        <v>441</v>
      </c>
      <c r="B624" s="268" t="s">
        <v>1145</v>
      </c>
      <c r="C624" s="267" t="s">
        <v>1144</v>
      </c>
      <c r="D624" s="267"/>
      <c r="E624" s="268" t="s">
        <v>7715</v>
      </c>
      <c r="F624" s="268" t="s">
        <v>7703</v>
      </c>
      <c r="G624" s="267"/>
      <c r="H624" s="641">
        <v>400</v>
      </c>
    </row>
    <row r="625" spans="1:8" s="760" customFormat="1" ht="13.5" customHeight="1" x14ac:dyDescent="0.25">
      <c r="A625" s="267">
        <v>441</v>
      </c>
      <c r="B625" s="268" t="s">
        <v>1145</v>
      </c>
      <c r="C625" s="267" t="s">
        <v>1144</v>
      </c>
      <c r="D625" s="267"/>
      <c r="E625" s="268" t="s">
        <v>7744</v>
      </c>
      <c r="F625" s="268" t="s">
        <v>7696</v>
      </c>
      <c r="G625" s="267"/>
      <c r="H625" s="641">
        <v>1000</v>
      </c>
    </row>
    <row r="626" spans="1:8" s="760" customFormat="1" ht="13.5" customHeight="1" x14ac:dyDescent="0.25">
      <c r="A626" s="267">
        <v>441</v>
      </c>
      <c r="B626" s="268" t="s">
        <v>1145</v>
      </c>
      <c r="C626" s="267" t="s">
        <v>1144</v>
      </c>
      <c r="D626" s="267"/>
      <c r="E626" s="268" t="s">
        <v>7651</v>
      </c>
      <c r="F626" s="268"/>
      <c r="G626" s="267" t="s">
        <v>7795</v>
      </c>
      <c r="H626" s="641">
        <v>300</v>
      </c>
    </row>
    <row r="627" spans="1:8" s="760" customFormat="1" ht="13.5" customHeight="1" x14ac:dyDescent="0.25">
      <c r="A627" s="267">
        <v>441</v>
      </c>
      <c r="B627" s="268" t="s">
        <v>1145</v>
      </c>
      <c r="C627" s="267" t="s">
        <v>1144</v>
      </c>
      <c r="D627" s="267"/>
      <c r="E627" s="268" t="s">
        <v>7622</v>
      </c>
      <c r="F627" s="268" t="s">
        <v>7623</v>
      </c>
      <c r="G627" s="267"/>
      <c r="H627" s="641">
        <v>200</v>
      </c>
    </row>
    <row r="628" spans="1:8" s="760" customFormat="1" ht="13.5" customHeight="1" x14ac:dyDescent="0.25">
      <c r="A628" s="267">
        <v>441</v>
      </c>
      <c r="B628" s="268" t="s">
        <v>1145</v>
      </c>
      <c r="C628" s="267" t="s">
        <v>1144</v>
      </c>
      <c r="D628" s="267"/>
      <c r="E628" s="268" t="s">
        <v>7952</v>
      </c>
      <c r="F628" s="268" t="s">
        <v>7890</v>
      </c>
      <c r="G628" s="267"/>
      <c r="H628" s="641">
        <v>300</v>
      </c>
    </row>
    <row r="629" spans="1:8" s="760" customFormat="1" ht="13.5" customHeight="1" x14ac:dyDescent="0.25">
      <c r="A629" s="267">
        <v>441</v>
      </c>
      <c r="B629" s="268" t="s">
        <v>1145</v>
      </c>
      <c r="C629" s="267" t="s">
        <v>1144</v>
      </c>
      <c r="D629" s="267"/>
      <c r="E629" s="268" t="s">
        <v>11300</v>
      </c>
      <c r="F629" s="268" t="s">
        <v>7637</v>
      </c>
      <c r="G629" s="267"/>
      <c r="H629" s="641">
        <v>1000</v>
      </c>
    </row>
    <row r="630" spans="1:8" s="760" customFormat="1" ht="13.5" customHeight="1" x14ac:dyDescent="0.25">
      <c r="A630" s="267">
        <v>441</v>
      </c>
      <c r="B630" s="268" t="s">
        <v>1145</v>
      </c>
      <c r="C630" s="267" t="s">
        <v>1144</v>
      </c>
      <c r="D630" s="267"/>
      <c r="E630" s="268" t="s">
        <v>2551</v>
      </c>
      <c r="F630" s="268" t="s">
        <v>2518</v>
      </c>
      <c r="G630" s="267"/>
      <c r="H630" s="641">
        <v>1000</v>
      </c>
    </row>
    <row r="631" spans="1:8" s="760" customFormat="1" ht="13.5" customHeight="1" x14ac:dyDescent="0.25">
      <c r="A631" s="267">
        <v>441</v>
      </c>
      <c r="B631" s="268" t="s">
        <v>1145</v>
      </c>
      <c r="C631" s="267" t="s">
        <v>1144</v>
      </c>
      <c r="D631" s="267"/>
      <c r="E631" s="268" t="s">
        <v>7844</v>
      </c>
      <c r="F631" s="268" t="s">
        <v>10955</v>
      </c>
      <c r="G631" s="267"/>
      <c r="H631" s="641">
        <v>300</v>
      </c>
    </row>
    <row r="632" spans="1:8" s="760" customFormat="1" ht="13.5" customHeight="1" x14ac:dyDescent="0.25">
      <c r="A632" s="267">
        <v>441</v>
      </c>
      <c r="B632" s="268" t="s">
        <v>1145</v>
      </c>
      <c r="C632" s="267" t="s">
        <v>1144</v>
      </c>
      <c r="D632" s="267"/>
      <c r="E632" s="268" t="s">
        <v>2507</v>
      </c>
      <c r="F632" s="268"/>
      <c r="G632" s="267" t="s">
        <v>2508</v>
      </c>
      <c r="H632" s="641">
        <v>300</v>
      </c>
    </row>
    <row r="633" spans="1:8" s="760" customFormat="1" ht="13.5" customHeight="1" x14ac:dyDescent="0.25">
      <c r="A633" s="267">
        <v>441</v>
      </c>
      <c r="B633" s="268" t="s">
        <v>1145</v>
      </c>
      <c r="C633" s="267" t="s">
        <v>1144</v>
      </c>
      <c r="D633" s="267"/>
      <c r="E633" s="268" t="s">
        <v>2574</v>
      </c>
      <c r="F633" s="268" t="s">
        <v>2582</v>
      </c>
      <c r="G633" s="267"/>
      <c r="H633" s="641">
        <v>300</v>
      </c>
    </row>
    <row r="634" spans="1:8" s="760" customFormat="1" ht="13.5" customHeight="1" x14ac:dyDescent="0.25">
      <c r="A634" s="267">
        <v>441</v>
      </c>
      <c r="B634" s="268" t="s">
        <v>1145</v>
      </c>
      <c r="C634" s="267" t="s">
        <v>1144</v>
      </c>
      <c r="D634" s="267"/>
      <c r="E634" s="268" t="s">
        <v>2517</v>
      </c>
      <c r="F634" s="268" t="s">
        <v>1154</v>
      </c>
      <c r="G634" s="267"/>
      <c r="H634" s="641">
        <v>300</v>
      </c>
    </row>
    <row r="635" spans="1:8" s="760" customFormat="1" ht="13.5" customHeight="1" x14ac:dyDescent="0.25">
      <c r="A635" s="267">
        <v>441</v>
      </c>
      <c r="B635" s="268" t="s">
        <v>1145</v>
      </c>
      <c r="C635" s="267" t="s">
        <v>1144</v>
      </c>
      <c r="D635" s="267"/>
      <c r="E635" s="268" t="s">
        <v>2593</v>
      </c>
      <c r="F635" s="268"/>
      <c r="G635" s="267" t="s">
        <v>7729</v>
      </c>
      <c r="H635" s="641">
        <v>200</v>
      </c>
    </row>
    <row r="636" spans="1:8" s="760" customFormat="1" ht="13.5" customHeight="1" x14ac:dyDescent="0.25">
      <c r="A636" s="267">
        <v>441</v>
      </c>
      <c r="B636" s="268" t="s">
        <v>1145</v>
      </c>
      <c r="C636" s="267" t="s">
        <v>1144</v>
      </c>
      <c r="D636" s="267"/>
      <c r="E636" s="268" t="s">
        <v>11301</v>
      </c>
      <c r="F636" s="268" t="s">
        <v>7609</v>
      </c>
      <c r="G636" s="267"/>
      <c r="H636" s="641">
        <v>200</v>
      </c>
    </row>
    <row r="637" spans="1:8" s="760" customFormat="1" ht="13.5" customHeight="1" x14ac:dyDescent="0.25">
      <c r="A637" s="267">
        <v>441</v>
      </c>
      <c r="B637" s="268" t="s">
        <v>1145</v>
      </c>
      <c r="C637" s="267" t="s">
        <v>1144</v>
      </c>
      <c r="D637" s="267"/>
      <c r="E637" s="268" t="s">
        <v>11302</v>
      </c>
      <c r="F637" s="268" t="s">
        <v>7865</v>
      </c>
      <c r="G637" s="267"/>
      <c r="H637" s="641">
        <v>200</v>
      </c>
    </row>
    <row r="638" spans="1:8" s="760" customFormat="1" ht="13.5" customHeight="1" x14ac:dyDescent="0.25">
      <c r="A638" s="267">
        <v>441</v>
      </c>
      <c r="B638" s="268" t="s">
        <v>1145</v>
      </c>
      <c r="C638" s="267" t="s">
        <v>1144</v>
      </c>
      <c r="D638" s="267"/>
      <c r="E638" s="268" t="s">
        <v>11303</v>
      </c>
      <c r="F638" s="268" t="s">
        <v>11304</v>
      </c>
      <c r="G638" s="267"/>
      <c r="H638" s="641">
        <v>300</v>
      </c>
    </row>
    <row r="639" spans="1:8" s="760" customFormat="1" ht="13.5" customHeight="1" x14ac:dyDescent="0.25">
      <c r="A639" s="267">
        <v>441</v>
      </c>
      <c r="B639" s="268" t="s">
        <v>1145</v>
      </c>
      <c r="C639" s="267" t="s">
        <v>1144</v>
      </c>
      <c r="D639" s="267"/>
      <c r="E639" s="268" t="s">
        <v>11305</v>
      </c>
      <c r="F639" s="268" t="s">
        <v>7943</v>
      </c>
      <c r="G639" s="267"/>
      <c r="H639" s="641">
        <v>300</v>
      </c>
    </row>
    <row r="640" spans="1:8" s="760" customFormat="1" ht="13.5" customHeight="1" x14ac:dyDescent="0.25">
      <c r="A640" s="267">
        <v>441</v>
      </c>
      <c r="B640" s="268" t="s">
        <v>1145</v>
      </c>
      <c r="C640" s="267" t="s">
        <v>1144</v>
      </c>
      <c r="D640" s="267"/>
      <c r="E640" s="268" t="s">
        <v>7773</v>
      </c>
      <c r="F640" s="268" t="s">
        <v>7774</v>
      </c>
      <c r="G640" s="267"/>
      <c r="H640" s="641">
        <v>300</v>
      </c>
    </row>
    <row r="641" spans="1:8" s="760" customFormat="1" ht="13.5" customHeight="1" x14ac:dyDescent="0.25">
      <c r="A641" s="267">
        <v>441</v>
      </c>
      <c r="B641" s="268" t="s">
        <v>1145</v>
      </c>
      <c r="C641" s="267" t="s">
        <v>1144</v>
      </c>
      <c r="D641" s="267"/>
      <c r="E641" s="268" t="s">
        <v>7837</v>
      </c>
      <c r="F641" s="268" t="s">
        <v>7711</v>
      </c>
      <c r="G641" s="267"/>
      <c r="H641" s="641">
        <v>1000</v>
      </c>
    </row>
    <row r="642" spans="1:8" s="760" customFormat="1" ht="13.5" customHeight="1" x14ac:dyDescent="0.25">
      <c r="A642" s="267">
        <v>441</v>
      </c>
      <c r="B642" s="268" t="s">
        <v>1145</v>
      </c>
      <c r="C642" s="267" t="s">
        <v>1144</v>
      </c>
      <c r="D642" s="267"/>
      <c r="E642" s="268" t="s">
        <v>2573</v>
      </c>
      <c r="F642" s="268" t="s">
        <v>10897</v>
      </c>
      <c r="G642" s="267"/>
      <c r="H642" s="641">
        <v>300</v>
      </c>
    </row>
    <row r="643" spans="1:8" s="760" customFormat="1" ht="13.5" customHeight="1" x14ac:dyDescent="0.25">
      <c r="A643" s="267">
        <v>441</v>
      </c>
      <c r="B643" s="268" t="s">
        <v>1145</v>
      </c>
      <c r="C643" s="267" t="s">
        <v>1144</v>
      </c>
      <c r="D643" s="267"/>
      <c r="E643" s="268" t="s">
        <v>7611</v>
      </c>
      <c r="F643" s="268" t="s">
        <v>7612</v>
      </c>
      <c r="G643" s="267"/>
      <c r="H643" s="641">
        <v>300</v>
      </c>
    </row>
    <row r="644" spans="1:8" s="760" customFormat="1" ht="13.5" customHeight="1" x14ac:dyDescent="0.25">
      <c r="A644" s="267">
        <v>441</v>
      </c>
      <c r="B644" s="268" t="s">
        <v>1145</v>
      </c>
      <c r="C644" s="267" t="s">
        <v>1144</v>
      </c>
      <c r="D644" s="267"/>
      <c r="E644" s="268" t="s">
        <v>1153</v>
      </c>
      <c r="F644" s="268" t="s">
        <v>2515</v>
      </c>
      <c r="G644" s="267"/>
      <c r="H644" s="641">
        <v>300</v>
      </c>
    </row>
    <row r="645" spans="1:8" s="760" customFormat="1" ht="13.5" customHeight="1" x14ac:dyDescent="0.25">
      <c r="A645" s="267">
        <v>441</v>
      </c>
      <c r="B645" s="268" t="s">
        <v>1145</v>
      </c>
      <c r="C645" s="267" t="s">
        <v>1144</v>
      </c>
      <c r="D645" s="267"/>
      <c r="E645" s="268" t="s">
        <v>2514</v>
      </c>
      <c r="F645" s="268" t="s">
        <v>1150</v>
      </c>
      <c r="G645" s="267"/>
      <c r="H645" s="641">
        <v>300</v>
      </c>
    </row>
    <row r="646" spans="1:8" s="760" customFormat="1" ht="13.5" customHeight="1" x14ac:dyDescent="0.25">
      <c r="A646" s="267">
        <v>441</v>
      </c>
      <c r="B646" s="268" t="s">
        <v>1145</v>
      </c>
      <c r="C646" s="267" t="s">
        <v>1144</v>
      </c>
      <c r="D646" s="267"/>
      <c r="E646" s="268" t="s">
        <v>7610</v>
      </c>
      <c r="F646" s="268"/>
      <c r="G646" s="267" t="s">
        <v>7661</v>
      </c>
      <c r="H646" s="641">
        <v>300</v>
      </c>
    </row>
    <row r="647" spans="1:8" s="760" customFormat="1" ht="13.5" customHeight="1" x14ac:dyDescent="0.25">
      <c r="A647" s="267">
        <v>441</v>
      </c>
      <c r="B647" s="268" t="s">
        <v>1145</v>
      </c>
      <c r="C647" s="267" t="s">
        <v>1144</v>
      </c>
      <c r="D647" s="267"/>
      <c r="E647" s="268" t="s">
        <v>2586</v>
      </c>
      <c r="F647" s="268" t="s">
        <v>2587</v>
      </c>
      <c r="G647" s="267"/>
      <c r="H647" s="641">
        <v>300</v>
      </c>
    </row>
    <row r="648" spans="1:8" s="760" customFormat="1" ht="13.5" customHeight="1" x14ac:dyDescent="0.25">
      <c r="A648" s="267">
        <v>441</v>
      </c>
      <c r="B648" s="268" t="s">
        <v>1145</v>
      </c>
      <c r="C648" s="267" t="s">
        <v>1144</v>
      </c>
      <c r="D648" s="267"/>
      <c r="E648" s="268" t="s">
        <v>11306</v>
      </c>
      <c r="F648" s="268" t="s">
        <v>7794</v>
      </c>
      <c r="G648" s="267"/>
      <c r="H648" s="641">
        <v>300</v>
      </c>
    </row>
    <row r="649" spans="1:8" s="760" customFormat="1" ht="13.5" customHeight="1" x14ac:dyDescent="0.25">
      <c r="A649" s="267">
        <v>441</v>
      </c>
      <c r="B649" s="268" t="s">
        <v>1145</v>
      </c>
      <c r="C649" s="267" t="s">
        <v>1144</v>
      </c>
      <c r="D649" s="267"/>
      <c r="E649" s="268" t="s">
        <v>7953</v>
      </c>
      <c r="F649" s="268" t="s">
        <v>7954</v>
      </c>
      <c r="G649" s="267"/>
      <c r="H649" s="641">
        <v>590</v>
      </c>
    </row>
    <row r="650" spans="1:8" s="760" customFormat="1" ht="13.5" customHeight="1" x14ac:dyDescent="0.25">
      <c r="A650" s="267">
        <v>441</v>
      </c>
      <c r="B650" s="268" t="s">
        <v>1145</v>
      </c>
      <c r="C650" s="267" t="s">
        <v>1144</v>
      </c>
      <c r="D650" s="267"/>
      <c r="E650" s="268" t="s">
        <v>11307</v>
      </c>
      <c r="F650" s="268" t="s">
        <v>11308</v>
      </c>
      <c r="G650" s="267"/>
      <c r="H650" s="641">
        <v>33333.33</v>
      </c>
    </row>
    <row r="651" spans="1:8" s="760" customFormat="1" ht="13.5" customHeight="1" x14ac:dyDescent="0.25">
      <c r="A651" s="267">
        <v>441</v>
      </c>
      <c r="B651" s="268" t="s">
        <v>1145</v>
      </c>
      <c r="C651" s="267" t="s">
        <v>1144</v>
      </c>
      <c r="D651" s="267"/>
      <c r="E651" s="268" t="s">
        <v>11309</v>
      </c>
      <c r="F651" s="268" t="s">
        <v>11310</v>
      </c>
      <c r="G651" s="267"/>
      <c r="H651" s="641">
        <v>10000</v>
      </c>
    </row>
    <row r="652" spans="1:8" s="760" customFormat="1" ht="13.5" customHeight="1" x14ac:dyDescent="0.25">
      <c r="A652" s="267">
        <v>441</v>
      </c>
      <c r="B652" s="268" t="s">
        <v>1145</v>
      </c>
      <c r="C652" s="267" t="s">
        <v>1144</v>
      </c>
      <c r="D652" s="267"/>
      <c r="E652" s="268" t="s">
        <v>11311</v>
      </c>
      <c r="F652" s="268"/>
      <c r="G652" s="267"/>
      <c r="H652" s="641">
        <v>7000</v>
      </c>
    </row>
    <row r="653" spans="1:8" s="760" customFormat="1" ht="13.5" customHeight="1" x14ac:dyDescent="0.25">
      <c r="A653" s="267">
        <v>441</v>
      </c>
      <c r="B653" s="268" t="s">
        <v>1145</v>
      </c>
      <c r="C653" s="267" t="s">
        <v>1144</v>
      </c>
      <c r="D653" s="267"/>
      <c r="E653" s="268" t="s">
        <v>11312</v>
      </c>
      <c r="F653" s="268" t="s">
        <v>11313</v>
      </c>
      <c r="G653" s="267"/>
      <c r="H653" s="641">
        <v>300</v>
      </c>
    </row>
    <row r="654" spans="1:8" s="760" customFormat="1" ht="13.5" customHeight="1" x14ac:dyDescent="0.25">
      <c r="A654" s="267">
        <v>441</v>
      </c>
      <c r="B654" s="268" t="s">
        <v>1145</v>
      </c>
      <c r="C654" s="267" t="s">
        <v>1144</v>
      </c>
      <c r="D654" s="267"/>
      <c r="E654" s="268" t="s">
        <v>7722</v>
      </c>
      <c r="F654" s="268" t="s">
        <v>7723</v>
      </c>
      <c r="G654" s="267"/>
      <c r="H654" s="641">
        <v>1000</v>
      </c>
    </row>
    <row r="655" spans="1:8" s="760" customFormat="1" ht="13.5" customHeight="1" x14ac:dyDescent="0.25">
      <c r="A655" s="267">
        <v>441</v>
      </c>
      <c r="B655" s="268" t="s">
        <v>1145</v>
      </c>
      <c r="C655" s="267" t="s">
        <v>1144</v>
      </c>
      <c r="D655" s="267"/>
      <c r="E655" s="268" t="s">
        <v>2600</v>
      </c>
      <c r="F655" s="268" t="s">
        <v>2601</v>
      </c>
      <c r="G655" s="267"/>
      <c r="H655" s="641">
        <v>400</v>
      </c>
    </row>
    <row r="656" spans="1:8" s="760" customFormat="1" ht="13.5" customHeight="1" x14ac:dyDescent="0.25">
      <c r="A656" s="267">
        <v>441</v>
      </c>
      <c r="B656" s="268" t="s">
        <v>1145</v>
      </c>
      <c r="C656" s="267" t="s">
        <v>1144</v>
      </c>
      <c r="D656" s="267"/>
      <c r="E656" s="268" t="s">
        <v>1197</v>
      </c>
      <c r="F656" s="268" t="s">
        <v>1198</v>
      </c>
      <c r="G656" s="267"/>
      <c r="H656" s="641">
        <v>300</v>
      </c>
    </row>
    <row r="657" spans="1:8" s="760" customFormat="1" ht="13.5" customHeight="1" x14ac:dyDescent="0.25">
      <c r="A657" s="267">
        <v>441</v>
      </c>
      <c r="B657" s="268" t="s">
        <v>1145</v>
      </c>
      <c r="C657" s="267" t="s">
        <v>1144</v>
      </c>
      <c r="D657" s="267"/>
      <c r="E657" s="268" t="s">
        <v>2583</v>
      </c>
      <c r="F657" s="268" t="s">
        <v>2584</v>
      </c>
      <c r="G657" s="267"/>
      <c r="H657" s="641">
        <v>500</v>
      </c>
    </row>
    <row r="658" spans="1:8" s="760" customFormat="1" ht="13.5" customHeight="1" x14ac:dyDescent="0.25">
      <c r="A658" s="267">
        <v>441</v>
      </c>
      <c r="B658" s="268" t="s">
        <v>1145</v>
      </c>
      <c r="C658" s="267" t="s">
        <v>1144</v>
      </c>
      <c r="D658" s="267"/>
      <c r="E658" s="268" t="s">
        <v>2510</v>
      </c>
      <c r="F658" s="268" t="s">
        <v>2511</v>
      </c>
      <c r="G658" s="267"/>
      <c r="H658" s="641">
        <v>300</v>
      </c>
    </row>
    <row r="659" spans="1:8" s="760" customFormat="1" ht="13.5" customHeight="1" x14ac:dyDescent="0.25">
      <c r="A659" s="267">
        <v>441</v>
      </c>
      <c r="B659" s="268" t="s">
        <v>1145</v>
      </c>
      <c r="C659" s="267" t="s">
        <v>1144</v>
      </c>
      <c r="D659" s="267"/>
      <c r="E659" s="268" t="s">
        <v>2564</v>
      </c>
      <c r="F659" s="268" t="s">
        <v>7614</v>
      </c>
      <c r="G659" s="267"/>
      <c r="H659" s="641">
        <v>400</v>
      </c>
    </row>
    <row r="660" spans="1:8" s="760" customFormat="1" ht="13.5" customHeight="1" x14ac:dyDescent="0.25">
      <c r="A660" s="267">
        <v>441</v>
      </c>
      <c r="B660" s="268" t="s">
        <v>1145</v>
      </c>
      <c r="C660" s="267" t="s">
        <v>1144</v>
      </c>
      <c r="D660" s="267"/>
      <c r="E660" s="268" t="s">
        <v>2514</v>
      </c>
      <c r="F660" s="268" t="s">
        <v>1150</v>
      </c>
      <c r="G660" s="267"/>
      <c r="H660" s="641">
        <v>300</v>
      </c>
    </row>
    <row r="661" spans="1:8" s="760" customFormat="1" ht="13.5" customHeight="1" x14ac:dyDescent="0.25">
      <c r="A661" s="267">
        <v>441</v>
      </c>
      <c r="B661" s="268" t="s">
        <v>1145</v>
      </c>
      <c r="C661" s="267" t="s">
        <v>1144</v>
      </c>
      <c r="D661" s="267"/>
      <c r="E661" s="268" t="s">
        <v>2517</v>
      </c>
      <c r="F661" s="268" t="s">
        <v>1154</v>
      </c>
      <c r="G661" s="267"/>
      <c r="H661" s="641">
        <v>300</v>
      </c>
    </row>
    <row r="662" spans="1:8" s="760" customFormat="1" ht="13.5" customHeight="1" x14ac:dyDescent="0.25">
      <c r="A662" s="267">
        <v>441</v>
      </c>
      <c r="B662" s="268" t="s">
        <v>1145</v>
      </c>
      <c r="C662" s="267" t="s">
        <v>1144</v>
      </c>
      <c r="D662" s="267"/>
      <c r="E662" s="268" t="s">
        <v>2574</v>
      </c>
      <c r="F662" s="268" t="s">
        <v>2582</v>
      </c>
      <c r="G662" s="267"/>
      <c r="H662" s="641">
        <v>300</v>
      </c>
    </row>
    <row r="663" spans="1:8" s="760" customFormat="1" ht="13.5" customHeight="1" x14ac:dyDescent="0.25">
      <c r="A663" s="267">
        <v>441</v>
      </c>
      <c r="B663" s="268" t="s">
        <v>1145</v>
      </c>
      <c r="C663" s="267" t="s">
        <v>1144</v>
      </c>
      <c r="D663" s="267"/>
      <c r="E663" s="268" t="s">
        <v>2507</v>
      </c>
      <c r="F663" s="268" t="s">
        <v>7617</v>
      </c>
      <c r="G663" s="267"/>
      <c r="H663" s="641">
        <v>300</v>
      </c>
    </row>
    <row r="664" spans="1:8" s="760" customFormat="1" ht="13.5" customHeight="1" x14ac:dyDescent="0.25">
      <c r="A664" s="267">
        <v>441</v>
      </c>
      <c r="B664" s="268" t="s">
        <v>1145</v>
      </c>
      <c r="C664" s="267" t="s">
        <v>1144</v>
      </c>
      <c r="D664" s="267"/>
      <c r="E664" s="268" t="s">
        <v>2575</v>
      </c>
      <c r="F664" s="268" t="s">
        <v>2576</v>
      </c>
      <c r="G664" s="267"/>
      <c r="H664" s="641">
        <v>1000</v>
      </c>
    </row>
    <row r="665" spans="1:8" s="760" customFormat="1" ht="13.5" customHeight="1" x14ac:dyDescent="0.25">
      <c r="A665" s="267">
        <v>441</v>
      </c>
      <c r="B665" s="268" t="s">
        <v>1145</v>
      </c>
      <c r="C665" s="267" t="s">
        <v>1144</v>
      </c>
      <c r="D665" s="267"/>
      <c r="E665" s="268" t="s">
        <v>7698</v>
      </c>
      <c r="F665" s="268"/>
      <c r="G665" s="267"/>
      <c r="H665" s="641">
        <v>500</v>
      </c>
    </row>
    <row r="666" spans="1:8" s="760" customFormat="1" ht="13.5" customHeight="1" x14ac:dyDescent="0.25">
      <c r="A666" s="267">
        <v>441</v>
      </c>
      <c r="B666" s="268" t="s">
        <v>1145</v>
      </c>
      <c r="C666" s="267" t="s">
        <v>1144</v>
      </c>
      <c r="D666" s="267"/>
      <c r="E666" s="268" t="s">
        <v>2530</v>
      </c>
      <c r="F666" s="268" t="s">
        <v>2531</v>
      </c>
      <c r="G666" s="267"/>
      <c r="H666" s="641">
        <v>200</v>
      </c>
    </row>
    <row r="667" spans="1:8" s="760" customFormat="1" ht="13.5" customHeight="1" x14ac:dyDescent="0.25">
      <c r="A667" s="267">
        <v>441</v>
      </c>
      <c r="B667" s="268" t="s">
        <v>1145</v>
      </c>
      <c r="C667" s="267" t="s">
        <v>1144</v>
      </c>
      <c r="D667" s="267"/>
      <c r="E667" s="268" t="s">
        <v>2516</v>
      </c>
      <c r="F667" s="268"/>
      <c r="G667" s="267"/>
      <c r="H667" s="641">
        <v>300</v>
      </c>
    </row>
    <row r="668" spans="1:8" s="760" customFormat="1" ht="13.5" customHeight="1" x14ac:dyDescent="0.25">
      <c r="A668" s="267">
        <v>441</v>
      </c>
      <c r="B668" s="268" t="s">
        <v>1145</v>
      </c>
      <c r="C668" s="267" t="s">
        <v>1144</v>
      </c>
      <c r="D668" s="267"/>
      <c r="E668" s="268" t="s">
        <v>7960</v>
      </c>
      <c r="F668" s="268" t="s">
        <v>7609</v>
      </c>
      <c r="G668" s="267"/>
      <c r="H668" s="641">
        <v>2000</v>
      </c>
    </row>
    <row r="669" spans="1:8" s="760" customFormat="1" ht="13.5" customHeight="1" x14ac:dyDescent="0.25">
      <c r="A669" s="267">
        <v>441</v>
      </c>
      <c r="B669" s="268" t="s">
        <v>1145</v>
      </c>
      <c r="C669" s="267" t="s">
        <v>1144</v>
      </c>
      <c r="D669" s="267"/>
      <c r="E669" s="268" t="s">
        <v>11314</v>
      </c>
      <c r="F669" s="268"/>
      <c r="G669" s="267"/>
      <c r="H669" s="641">
        <v>300</v>
      </c>
    </row>
    <row r="670" spans="1:8" s="760" customFormat="1" ht="13.5" customHeight="1" x14ac:dyDescent="0.25">
      <c r="A670" s="267">
        <v>441</v>
      </c>
      <c r="B670" s="268" t="s">
        <v>1145</v>
      </c>
      <c r="C670" s="267" t="s">
        <v>1144</v>
      </c>
      <c r="D670" s="267"/>
      <c r="E670" s="268" t="s">
        <v>11315</v>
      </c>
      <c r="F670" s="268" t="s">
        <v>11316</v>
      </c>
      <c r="G670" s="267"/>
      <c r="H670" s="641">
        <v>300</v>
      </c>
    </row>
    <row r="671" spans="1:8" s="760" customFormat="1" ht="13.5" customHeight="1" x14ac:dyDescent="0.25">
      <c r="A671" s="267">
        <v>441</v>
      </c>
      <c r="B671" s="268" t="s">
        <v>1145</v>
      </c>
      <c r="C671" s="267" t="s">
        <v>1144</v>
      </c>
      <c r="D671" s="267"/>
      <c r="E671" s="268" t="s">
        <v>11317</v>
      </c>
      <c r="F671" s="268" t="s">
        <v>11318</v>
      </c>
      <c r="G671" s="267"/>
      <c r="H671" s="641">
        <v>800</v>
      </c>
    </row>
    <row r="672" spans="1:8" s="760" customFormat="1" ht="13.5" customHeight="1" x14ac:dyDescent="0.25">
      <c r="A672" s="267">
        <v>441</v>
      </c>
      <c r="B672" s="268" t="s">
        <v>1145</v>
      </c>
      <c r="C672" s="267" t="s">
        <v>1144</v>
      </c>
      <c r="D672" s="267"/>
      <c r="E672" s="268" t="s">
        <v>2557</v>
      </c>
      <c r="F672" s="268" t="s">
        <v>2558</v>
      </c>
      <c r="G672" s="267"/>
      <c r="H672" s="641">
        <v>200</v>
      </c>
    </row>
    <row r="673" spans="1:8" s="760" customFormat="1" ht="13.5" customHeight="1" x14ac:dyDescent="0.25">
      <c r="A673" s="267">
        <v>441</v>
      </c>
      <c r="B673" s="268" t="s">
        <v>1145</v>
      </c>
      <c r="C673" s="267" t="s">
        <v>1144</v>
      </c>
      <c r="D673" s="267"/>
      <c r="E673" s="268" t="s">
        <v>2537</v>
      </c>
      <c r="F673" s="268" t="s">
        <v>2538</v>
      </c>
      <c r="G673" s="267"/>
      <c r="H673" s="641">
        <v>300</v>
      </c>
    </row>
    <row r="674" spans="1:8" s="760" customFormat="1" ht="13.5" customHeight="1" x14ac:dyDescent="0.25">
      <c r="A674" s="267">
        <v>441</v>
      </c>
      <c r="B674" s="268" t="s">
        <v>1145</v>
      </c>
      <c r="C674" s="267" t="s">
        <v>1144</v>
      </c>
      <c r="D674" s="267"/>
      <c r="E674" s="268" t="s">
        <v>7678</v>
      </c>
      <c r="F674" s="268" t="s">
        <v>7706</v>
      </c>
      <c r="G674" s="267"/>
      <c r="H674" s="641">
        <v>300</v>
      </c>
    </row>
    <row r="675" spans="1:8" s="760" customFormat="1" ht="13.5" customHeight="1" x14ac:dyDescent="0.25">
      <c r="A675" s="267">
        <v>441</v>
      </c>
      <c r="B675" s="268" t="s">
        <v>1145</v>
      </c>
      <c r="C675" s="267" t="s">
        <v>1144</v>
      </c>
      <c r="D675" s="267"/>
      <c r="E675" s="268" t="s">
        <v>7868</v>
      </c>
      <c r="F675" s="268" t="s">
        <v>7869</v>
      </c>
      <c r="G675" s="267"/>
      <c r="H675" s="641">
        <v>400</v>
      </c>
    </row>
    <row r="676" spans="1:8" s="760" customFormat="1" ht="13.5" customHeight="1" x14ac:dyDescent="0.25">
      <c r="A676" s="267">
        <v>441</v>
      </c>
      <c r="B676" s="268" t="s">
        <v>1145</v>
      </c>
      <c r="C676" s="267" t="s">
        <v>1144</v>
      </c>
      <c r="D676" s="267"/>
      <c r="E676" s="268" t="s">
        <v>7689</v>
      </c>
      <c r="F676" s="268" t="s">
        <v>7690</v>
      </c>
      <c r="G676" s="267"/>
      <c r="H676" s="641">
        <v>300</v>
      </c>
    </row>
    <row r="677" spans="1:8" s="760" customFormat="1" ht="13.5" customHeight="1" x14ac:dyDescent="0.25">
      <c r="A677" s="267">
        <v>441</v>
      </c>
      <c r="B677" s="268" t="s">
        <v>1145</v>
      </c>
      <c r="C677" s="267" t="s">
        <v>1144</v>
      </c>
      <c r="D677" s="267"/>
      <c r="E677" s="268" t="s">
        <v>7791</v>
      </c>
      <c r="F677" s="268" t="s">
        <v>7792</v>
      </c>
      <c r="G677" s="267"/>
      <c r="H677" s="641">
        <v>200</v>
      </c>
    </row>
    <row r="678" spans="1:8" s="760" customFormat="1" ht="13.5" customHeight="1" x14ac:dyDescent="0.25">
      <c r="A678" s="267">
        <v>441</v>
      </c>
      <c r="B678" s="268" t="s">
        <v>1145</v>
      </c>
      <c r="C678" s="267" t="s">
        <v>1144</v>
      </c>
      <c r="D678" s="267"/>
      <c r="E678" s="268" t="s">
        <v>11319</v>
      </c>
      <c r="F678" s="268" t="s">
        <v>11320</v>
      </c>
      <c r="G678" s="267"/>
      <c r="H678" s="641">
        <v>800</v>
      </c>
    </row>
    <row r="679" spans="1:8" s="760" customFormat="1" ht="13.5" customHeight="1" x14ac:dyDescent="0.25">
      <c r="A679" s="267">
        <v>441</v>
      </c>
      <c r="B679" s="268" t="s">
        <v>1145</v>
      </c>
      <c r="C679" s="267" t="s">
        <v>1144</v>
      </c>
      <c r="D679" s="267"/>
      <c r="E679" s="268" t="s">
        <v>11321</v>
      </c>
      <c r="F679" s="268" t="s">
        <v>7738</v>
      </c>
      <c r="G679" s="267"/>
      <c r="H679" s="641">
        <v>500</v>
      </c>
    </row>
    <row r="680" spans="1:8" s="760" customFormat="1" ht="13.5" customHeight="1" x14ac:dyDescent="0.25">
      <c r="A680" s="267">
        <v>441</v>
      </c>
      <c r="B680" s="268" t="s">
        <v>1145</v>
      </c>
      <c r="C680" s="267" t="s">
        <v>1144</v>
      </c>
      <c r="D680" s="267"/>
      <c r="E680" s="268" t="s">
        <v>2585</v>
      </c>
      <c r="F680" s="268"/>
      <c r="G680" s="267"/>
      <c r="H680" s="641">
        <v>300</v>
      </c>
    </row>
    <row r="681" spans="1:8" s="760" customFormat="1" ht="13.5" customHeight="1" x14ac:dyDescent="0.25">
      <c r="A681" s="267">
        <v>441</v>
      </c>
      <c r="B681" s="268" t="s">
        <v>1145</v>
      </c>
      <c r="C681" s="267" t="s">
        <v>1144</v>
      </c>
      <c r="D681" s="267"/>
      <c r="E681" s="268" t="s">
        <v>11322</v>
      </c>
      <c r="F681" s="268" t="s">
        <v>11323</v>
      </c>
      <c r="G681" s="267"/>
      <c r="H681" s="641">
        <v>10000</v>
      </c>
    </row>
    <row r="682" spans="1:8" s="760" customFormat="1" ht="13.5" customHeight="1" x14ac:dyDescent="0.25">
      <c r="A682" s="267">
        <v>441</v>
      </c>
      <c r="B682" s="268" t="s">
        <v>1145</v>
      </c>
      <c r="C682" s="267" t="s">
        <v>1144</v>
      </c>
      <c r="D682" s="267"/>
      <c r="E682" s="268" t="s">
        <v>11324</v>
      </c>
      <c r="F682" s="268" t="s">
        <v>11325</v>
      </c>
      <c r="G682" s="267"/>
      <c r="H682" s="641">
        <v>5000</v>
      </c>
    </row>
    <row r="683" spans="1:8" s="760" customFormat="1" ht="13.5" customHeight="1" x14ac:dyDescent="0.25">
      <c r="A683" s="267">
        <v>441</v>
      </c>
      <c r="B683" s="268" t="s">
        <v>1145</v>
      </c>
      <c r="C683" s="267" t="s">
        <v>1144</v>
      </c>
      <c r="D683" s="267"/>
      <c r="E683" s="268" t="s">
        <v>11326</v>
      </c>
      <c r="F683" s="268" t="s">
        <v>11327</v>
      </c>
      <c r="G683" s="267"/>
      <c r="H683" s="641">
        <v>5000</v>
      </c>
    </row>
    <row r="684" spans="1:8" s="760" customFormat="1" ht="13.5" customHeight="1" x14ac:dyDescent="0.25">
      <c r="A684" s="267">
        <v>441</v>
      </c>
      <c r="B684" s="268" t="s">
        <v>1145</v>
      </c>
      <c r="C684" s="267" t="s">
        <v>1144</v>
      </c>
      <c r="D684" s="267"/>
      <c r="E684" s="268" t="s">
        <v>7940</v>
      </c>
      <c r="F684" s="268" t="s">
        <v>7941</v>
      </c>
      <c r="G684" s="267"/>
      <c r="H684" s="641">
        <v>5000</v>
      </c>
    </row>
    <row r="685" spans="1:8" s="760" customFormat="1" ht="13.5" customHeight="1" x14ac:dyDescent="0.25">
      <c r="A685" s="267">
        <v>441</v>
      </c>
      <c r="B685" s="268" t="s">
        <v>1145</v>
      </c>
      <c r="C685" s="267" t="s">
        <v>1144</v>
      </c>
      <c r="D685" s="267"/>
      <c r="E685" s="268" t="s">
        <v>11051</v>
      </c>
      <c r="F685" s="268" t="s">
        <v>11052</v>
      </c>
      <c r="G685" s="267"/>
      <c r="H685" s="641">
        <v>5000</v>
      </c>
    </row>
    <row r="686" spans="1:8" s="760" customFormat="1" ht="13.5" customHeight="1" x14ac:dyDescent="0.25">
      <c r="A686" s="267">
        <v>441</v>
      </c>
      <c r="B686" s="268" t="s">
        <v>1145</v>
      </c>
      <c r="C686" s="267" t="s">
        <v>1144</v>
      </c>
      <c r="D686" s="267"/>
      <c r="E686" s="268" t="s">
        <v>11328</v>
      </c>
      <c r="F686" s="268" t="s">
        <v>11329</v>
      </c>
      <c r="G686" s="267"/>
      <c r="H686" s="641">
        <v>5000</v>
      </c>
    </row>
    <row r="687" spans="1:8" s="760" customFormat="1" ht="13.5" customHeight="1" x14ac:dyDescent="0.25">
      <c r="A687" s="267">
        <v>441</v>
      </c>
      <c r="B687" s="268" t="s">
        <v>1145</v>
      </c>
      <c r="C687" s="267" t="s">
        <v>1144</v>
      </c>
      <c r="D687" s="267"/>
      <c r="E687" s="268" t="s">
        <v>11330</v>
      </c>
      <c r="F687" s="268" t="s">
        <v>11331</v>
      </c>
      <c r="G687" s="267"/>
      <c r="H687" s="641">
        <v>5000</v>
      </c>
    </row>
    <row r="688" spans="1:8" s="760" customFormat="1" ht="13.5" customHeight="1" x14ac:dyDescent="0.25">
      <c r="A688" s="267">
        <v>441</v>
      </c>
      <c r="B688" s="268" t="s">
        <v>1145</v>
      </c>
      <c r="C688" s="267" t="s">
        <v>1144</v>
      </c>
      <c r="D688" s="267"/>
      <c r="E688" s="268" t="s">
        <v>11332</v>
      </c>
      <c r="F688" s="268" t="s">
        <v>11333</v>
      </c>
      <c r="G688" s="267"/>
      <c r="H688" s="641">
        <v>500</v>
      </c>
    </row>
    <row r="689" spans="1:8" s="760" customFormat="1" ht="13.5" customHeight="1" x14ac:dyDescent="0.25">
      <c r="A689" s="267">
        <v>441</v>
      </c>
      <c r="B689" s="268" t="s">
        <v>1145</v>
      </c>
      <c r="C689" s="267" t="s">
        <v>1144</v>
      </c>
      <c r="D689" s="267"/>
      <c r="E689" s="268" t="s">
        <v>7844</v>
      </c>
      <c r="F689" s="268" t="s">
        <v>10955</v>
      </c>
      <c r="G689" s="267"/>
      <c r="H689" s="641">
        <v>1000</v>
      </c>
    </row>
    <row r="690" spans="1:8" s="760" customFormat="1" ht="13.5" customHeight="1" x14ac:dyDescent="0.25">
      <c r="A690" s="267">
        <v>441</v>
      </c>
      <c r="B690" s="268" t="s">
        <v>1145</v>
      </c>
      <c r="C690" s="267" t="s">
        <v>1144</v>
      </c>
      <c r="D690" s="267"/>
      <c r="E690" s="268" t="s">
        <v>11334</v>
      </c>
      <c r="F690" s="268" t="s">
        <v>7848</v>
      </c>
      <c r="G690" s="267"/>
      <c r="H690" s="641">
        <v>1500</v>
      </c>
    </row>
    <row r="691" spans="1:8" s="760" customFormat="1" ht="13.5" customHeight="1" x14ac:dyDescent="0.25">
      <c r="A691" s="267">
        <v>441</v>
      </c>
      <c r="B691" s="268" t="s">
        <v>1145</v>
      </c>
      <c r="C691" s="267" t="s">
        <v>1144</v>
      </c>
      <c r="D691" s="267"/>
      <c r="E691" s="268" t="s">
        <v>11335</v>
      </c>
      <c r="F691" s="268" t="s">
        <v>2588</v>
      </c>
      <c r="G691" s="267"/>
      <c r="H691" s="641">
        <v>700</v>
      </c>
    </row>
    <row r="692" spans="1:8" s="760" customFormat="1" ht="13.5" customHeight="1" x14ac:dyDescent="0.25">
      <c r="A692" s="267">
        <v>441</v>
      </c>
      <c r="B692" s="268" t="s">
        <v>1145</v>
      </c>
      <c r="C692" s="267" t="s">
        <v>1144</v>
      </c>
      <c r="D692" s="267"/>
      <c r="E692" s="268" t="s">
        <v>11336</v>
      </c>
      <c r="F692" s="268" t="s">
        <v>11337</v>
      </c>
      <c r="G692" s="267"/>
      <c r="H692" s="641">
        <v>500</v>
      </c>
    </row>
    <row r="693" spans="1:8" s="760" customFormat="1" ht="13.5" customHeight="1" x14ac:dyDescent="0.25">
      <c r="A693" s="267">
        <v>441</v>
      </c>
      <c r="B693" s="268" t="s">
        <v>1145</v>
      </c>
      <c r="C693" s="267" t="s">
        <v>1144</v>
      </c>
      <c r="D693" s="267"/>
      <c r="E693" s="268" t="s">
        <v>11338</v>
      </c>
      <c r="F693" s="268" t="s">
        <v>7709</v>
      </c>
      <c r="G693" s="267"/>
      <c r="H693" s="641">
        <v>300</v>
      </c>
    </row>
    <row r="694" spans="1:8" s="760" customFormat="1" ht="13.5" customHeight="1" x14ac:dyDescent="0.25">
      <c r="A694" s="267">
        <v>441</v>
      </c>
      <c r="B694" s="268" t="s">
        <v>1145</v>
      </c>
      <c r="C694" s="267" t="s">
        <v>1144</v>
      </c>
      <c r="D694" s="267"/>
      <c r="E694" s="268" t="s">
        <v>11339</v>
      </c>
      <c r="F694" s="268" t="s">
        <v>11340</v>
      </c>
      <c r="G694" s="267"/>
      <c r="H694" s="641">
        <v>300</v>
      </c>
    </row>
    <row r="695" spans="1:8" s="760" customFormat="1" ht="13.5" customHeight="1" x14ac:dyDescent="0.25">
      <c r="A695" s="267">
        <v>441</v>
      </c>
      <c r="B695" s="268" t="s">
        <v>1145</v>
      </c>
      <c r="C695" s="267" t="s">
        <v>1144</v>
      </c>
      <c r="D695" s="267"/>
      <c r="E695" s="268" t="s">
        <v>11341</v>
      </c>
      <c r="F695" s="268" t="s">
        <v>11342</v>
      </c>
      <c r="G695" s="267"/>
      <c r="H695" s="641">
        <v>300</v>
      </c>
    </row>
    <row r="696" spans="1:8" s="760" customFormat="1" ht="13.5" customHeight="1" x14ac:dyDescent="0.25">
      <c r="A696" s="267">
        <v>441</v>
      </c>
      <c r="B696" s="268" t="s">
        <v>1145</v>
      </c>
      <c r="C696" s="267" t="s">
        <v>1144</v>
      </c>
      <c r="D696" s="267"/>
      <c r="E696" s="268" t="s">
        <v>2566</v>
      </c>
      <c r="F696" s="268" t="s">
        <v>2567</v>
      </c>
      <c r="G696" s="267"/>
      <c r="H696" s="641">
        <v>200</v>
      </c>
    </row>
    <row r="697" spans="1:8" s="760" customFormat="1" ht="13.5" customHeight="1" x14ac:dyDescent="0.25">
      <c r="A697" s="267">
        <v>441</v>
      </c>
      <c r="B697" s="268" t="s">
        <v>1145</v>
      </c>
      <c r="C697" s="267" t="s">
        <v>1144</v>
      </c>
      <c r="D697" s="267"/>
      <c r="E697" s="268" t="s">
        <v>11343</v>
      </c>
      <c r="F697" s="268" t="s">
        <v>7648</v>
      </c>
      <c r="G697" s="267"/>
      <c r="H697" s="641">
        <v>400</v>
      </c>
    </row>
    <row r="698" spans="1:8" s="760" customFormat="1" ht="13.5" customHeight="1" x14ac:dyDescent="0.25">
      <c r="A698" s="267">
        <v>441</v>
      </c>
      <c r="B698" s="268" t="s">
        <v>1145</v>
      </c>
      <c r="C698" s="267" t="s">
        <v>1144</v>
      </c>
      <c r="D698" s="267"/>
      <c r="E698" s="268" t="s">
        <v>1155</v>
      </c>
      <c r="F698" s="268" t="s">
        <v>7638</v>
      </c>
      <c r="G698" s="267"/>
      <c r="H698" s="641">
        <v>300</v>
      </c>
    </row>
    <row r="699" spans="1:8" s="760" customFormat="1" ht="13.5" customHeight="1" x14ac:dyDescent="0.25">
      <c r="A699" s="267">
        <v>441</v>
      </c>
      <c r="B699" s="268" t="s">
        <v>1145</v>
      </c>
      <c r="C699" s="267" t="s">
        <v>1144</v>
      </c>
      <c r="D699" s="267"/>
      <c r="E699" s="268" t="s">
        <v>2591</v>
      </c>
      <c r="F699" s="268"/>
      <c r="G699" s="267" t="s">
        <v>2604</v>
      </c>
      <c r="H699" s="641">
        <v>300</v>
      </c>
    </row>
    <row r="700" spans="1:8" s="760" customFormat="1" ht="13.5" customHeight="1" x14ac:dyDescent="0.25">
      <c r="A700" s="267">
        <v>441</v>
      </c>
      <c r="B700" s="268" t="s">
        <v>1145</v>
      </c>
      <c r="C700" s="267" t="s">
        <v>1144</v>
      </c>
      <c r="D700" s="267"/>
      <c r="E700" s="268" t="s">
        <v>2072</v>
      </c>
      <c r="F700" s="268" t="s">
        <v>2073</v>
      </c>
      <c r="G700" s="267"/>
      <c r="H700" s="641">
        <v>200</v>
      </c>
    </row>
    <row r="701" spans="1:8" s="760" customFormat="1" ht="13.5" customHeight="1" x14ac:dyDescent="0.25">
      <c r="A701" s="267">
        <v>441</v>
      </c>
      <c r="B701" s="268" t="s">
        <v>1145</v>
      </c>
      <c r="C701" s="267" t="s">
        <v>1144</v>
      </c>
      <c r="D701" s="267"/>
      <c r="E701" s="268" t="s">
        <v>7633</v>
      </c>
      <c r="F701" s="268" t="s">
        <v>7909</v>
      </c>
      <c r="G701" s="267"/>
      <c r="H701" s="641">
        <v>300</v>
      </c>
    </row>
    <row r="702" spans="1:8" s="760" customFormat="1" ht="13.5" customHeight="1" x14ac:dyDescent="0.25">
      <c r="A702" s="267">
        <v>441</v>
      </c>
      <c r="B702" s="268" t="s">
        <v>1145</v>
      </c>
      <c r="C702" s="267" t="s">
        <v>1144</v>
      </c>
      <c r="D702" s="267"/>
      <c r="E702" s="268" t="s">
        <v>10896</v>
      </c>
      <c r="F702" s="268" t="s">
        <v>7705</v>
      </c>
      <c r="G702" s="267"/>
      <c r="H702" s="641">
        <v>500</v>
      </c>
    </row>
    <row r="703" spans="1:8" s="760" customFormat="1" ht="13.5" customHeight="1" x14ac:dyDescent="0.25">
      <c r="A703" s="267">
        <v>441</v>
      </c>
      <c r="B703" s="268" t="s">
        <v>1145</v>
      </c>
      <c r="C703" s="267" t="s">
        <v>1144</v>
      </c>
      <c r="D703" s="267"/>
      <c r="E703" s="268" t="s">
        <v>1146</v>
      </c>
      <c r="F703" s="268" t="s">
        <v>1147</v>
      </c>
      <c r="G703" s="267"/>
      <c r="H703" s="641">
        <v>500</v>
      </c>
    </row>
    <row r="704" spans="1:8" s="760" customFormat="1" ht="13.5" customHeight="1" x14ac:dyDescent="0.25">
      <c r="A704" s="267">
        <v>441</v>
      </c>
      <c r="B704" s="268" t="s">
        <v>1145</v>
      </c>
      <c r="C704" s="267" t="s">
        <v>1144</v>
      </c>
      <c r="D704" s="267"/>
      <c r="E704" s="268" t="s">
        <v>7895</v>
      </c>
      <c r="F704" s="268"/>
      <c r="G704" s="267" t="s">
        <v>7896</v>
      </c>
      <c r="H704" s="641">
        <v>3395.86</v>
      </c>
    </row>
    <row r="705" spans="1:8" s="760" customFormat="1" ht="13.5" customHeight="1" x14ac:dyDescent="0.25">
      <c r="A705" s="267">
        <v>441</v>
      </c>
      <c r="B705" s="268" t="s">
        <v>1145</v>
      </c>
      <c r="C705" s="267" t="s">
        <v>1144</v>
      </c>
      <c r="D705" s="267"/>
      <c r="E705" s="268" t="s">
        <v>11344</v>
      </c>
      <c r="F705" s="268"/>
      <c r="G705" s="267" t="s">
        <v>11345</v>
      </c>
      <c r="H705" s="641">
        <v>5000</v>
      </c>
    </row>
    <row r="706" spans="1:8" s="760" customFormat="1" ht="13.5" customHeight="1" x14ac:dyDescent="0.25">
      <c r="A706" s="267">
        <v>441</v>
      </c>
      <c r="B706" s="268" t="s">
        <v>1145</v>
      </c>
      <c r="C706" s="267" t="s">
        <v>1144</v>
      </c>
      <c r="D706" s="267"/>
      <c r="E706" s="268" t="s">
        <v>11346</v>
      </c>
      <c r="F706" s="268" t="s">
        <v>11347</v>
      </c>
      <c r="G706" s="267"/>
      <c r="H706" s="641">
        <v>5000</v>
      </c>
    </row>
    <row r="707" spans="1:8" s="760" customFormat="1" ht="13.5" customHeight="1" x14ac:dyDescent="0.25">
      <c r="A707" s="267">
        <v>442</v>
      </c>
      <c r="B707" s="268" t="s">
        <v>1145</v>
      </c>
      <c r="C707" s="267" t="s">
        <v>1144</v>
      </c>
      <c r="D707" s="267"/>
      <c r="E707" s="268" t="s">
        <v>2068</v>
      </c>
      <c r="F707" s="268"/>
      <c r="G707" s="267"/>
      <c r="H707" s="641">
        <v>20000</v>
      </c>
    </row>
    <row r="708" spans="1:8" s="760" customFormat="1" ht="13.5" customHeight="1" x14ac:dyDescent="0.25">
      <c r="A708" s="267">
        <v>442</v>
      </c>
      <c r="B708" s="268" t="s">
        <v>1145</v>
      </c>
      <c r="C708" s="267" t="s">
        <v>1144</v>
      </c>
      <c r="D708" s="267"/>
      <c r="E708" s="268" t="s">
        <v>11348</v>
      </c>
      <c r="F708" s="268"/>
      <c r="G708" s="267"/>
      <c r="H708" s="641">
        <f>270000-5600</f>
        <v>264400</v>
      </c>
    </row>
    <row r="709" spans="1:8" s="760" customFormat="1" ht="13.5" customHeight="1" x14ac:dyDescent="0.25">
      <c r="A709" s="267">
        <v>442</v>
      </c>
      <c r="B709" s="268" t="s">
        <v>1145</v>
      </c>
      <c r="C709" s="267" t="s">
        <v>1144</v>
      </c>
      <c r="D709" s="267"/>
      <c r="E709" s="268" t="s">
        <v>11348</v>
      </c>
      <c r="F709" s="268"/>
      <c r="G709" s="267"/>
      <c r="H709" s="641">
        <v>6800</v>
      </c>
    </row>
    <row r="710" spans="1:8" s="760" customFormat="1" ht="13.5" customHeight="1" x14ac:dyDescent="0.25">
      <c r="A710" s="267">
        <v>445</v>
      </c>
      <c r="B710" s="268" t="s">
        <v>1145</v>
      </c>
      <c r="C710" s="267" t="s">
        <v>1144</v>
      </c>
      <c r="D710" s="267"/>
      <c r="E710" s="268" t="s">
        <v>7885</v>
      </c>
      <c r="F710" s="268"/>
      <c r="G710" s="267" t="s">
        <v>7886</v>
      </c>
      <c r="H710" s="641">
        <v>50000</v>
      </c>
    </row>
    <row r="711" spans="1:8" s="760" customFormat="1" ht="13.5" customHeight="1" x14ac:dyDescent="0.25">
      <c r="A711" s="267">
        <v>445</v>
      </c>
      <c r="B711" s="268" t="s">
        <v>1148</v>
      </c>
      <c r="C711" s="267" t="s">
        <v>1144</v>
      </c>
      <c r="D711" s="267"/>
      <c r="E711" s="268" t="s">
        <v>11349</v>
      </c>
      <c r="F711" s="268"/>
      <c r="G711" s="267" t="s">
        <v>11350</v>
      </c>
      <c r="H711" s="641">
        <v>5400</v>
      </c>
    </row>
    <row r="712" spans="1:8" s="760" customFormat="1" ht="13.5" customHeight="1" x14ac:dyDescent="0.25">
      <c r="A712" s="267">
        <v>445</v>
      </c>
      <c r="B712" s="268" t="s">
        <v>1145</v>
      </c>
      <c r="C712" s="267" t="s">
        <v>1144</v>
      </c>
      <c r="D712" s="267"/>
      <c r="E712" s="268" t="s">
        <v>1209</v>
      </c>
      <c r="F712" s="268"/>
      <c r="G712" s="267" t="s">
        <v>1151</v>
      </c>
      <c r="H712" s="641">
        <v>5000</v>
      </c>
    </row>
    <row r="713" spans="1:8" s="760" customFormat="1" ht="13.5" customHeight="1" x14ac:dyDescent="0.25">
      <c r="A713" s="267">
        <v>445</v>
      </c>
      <c r="B713" s="268" t="s">
        <v>1145</v>
      </c>
      <c r="C713" s="267" t="s">
        <v>1144</v>
      </c>
      <c r="D713" s="267"/>
      <c r="E713" s="268" t="s">
        <v>11351</v>
      </c>
      <c r="F713" s="268" t="s">
        <v>11352</v>
      </c>
      <c r="G713" s="267"/>
      <c r="H713" s="641">
        <v>10000</v>
      </c>
    </row>
    <row r="714" spans="1:8" s="760" customFormat="1" ht="13.5" customHeight="1" x14ac:dyDescent="0.25">
      <c r="A714" s="267">
        <v>445</v>
      </c>
      <c r="B714" s="268" t="s">
        <v>1145</v>
      </c>
      <c r="C714" s="267" t="s">
        <v>1144</v>
      </c>
      <c r="D714" s="267"/>
      <c r="E714" s="268" t="s">
        <v>7693</v>
      </c>
      <c r="F714" s="268" t="s">
        <v>7629</v>
      </c>
      <c r="G714" s="267"/>
      <c r="H714" s="641">
        <v>10000</v>
      </c>
    </row>
    <row r="715" spans="1:8" s="760" customFormat="1" ht="13.5" customHeight="1" x14ac:dyDescent="0.25">
      <c r="A715" s="267">
        <v>445</v>
      </c>
      <c r="B715" s="268" t="s">
        <v>1148</v>
      </c>
      <c r="C715" s="267" t="s">
        <v>1144</v>
      </c>
      <c r="D715" s="267"/>
      <c r="E715" s="268" t="s">
        <v>11353</v>
      </c>
      <c r="F715" s="268"/>
      <c r="G715" s="267"/>
      <c r="H715" s="641">
        <v>48952</v>
      </c>
    </row>
    <row r="716" spans="1:8" s="760" customFormat="1" ht="13.5" customHeight="1" x14ac:dyDescent="0.25">
      <c r="A716" s="267">
        <v>445</v>
      </c>
      <c r="B716" s="268" t="s">
        <v>1145</v>
      </c>
      <c r="C716" s="267" t="s">
        <v>1144</v>
      </c>
      <c r="D716" s="267"/>
      <c r="E716" s="268" t="s">
        <v>7734</v>
      </c>
      <c r="F716" s="268"/>
      <c r="G716" s="267"/>
      <c r="H716" s="641">
        <v>48000</v>
      </c>
    </row>
    <row r="717" spans="1:8" s="760" customFormat="1" ht="13.5" customHeight="1" x14ac:dyDescent="0.25">
      <c r="A717" s="267">
        <v>441</v>
      </c>
      <c r="B717" s="268" t="s">
        <v>1148</v>
      </c>
      <c r="C717" s="267" t="s">
        <v>1144</v>
      </c>
      <c r="D717" s="267"/>
      <c r="E717" s="268" t="s">
        <v>11354</v>
      </c>
      <c r="F717" s="268" t="s">
        <v>11355</v>
      </c>
      <c r="G717" s="267"/>
      <c r="H717" s="641">
        <v>7308</v>
      </c>
    </row>
    <row r="718" spans="1:8" s="760" customFormat="1" ht="13.5" customHeight="1" x14ac:dyDescent="0.25">
      <c r="A718" s="267">
        <v>441</v>
      </c>
      <c r="B718" s="268" t="s">
        <v>1148</v>
      </c>
      <c r="C718" s="267" t="s">
        <v>1144</v>
      </c>
      <c r="D718" s="267"/>
      <c r="E718" s="268" t="s">
        <v>11356</v>
      </c>
      <c r="F718" s="268" t="s">
        <v>11357</v>
      </c>
      <c r="G718" s="267"/>
      <c r="H718" s="641">
        <v>7308</v>
      </c>
    </row>
    <row r="719" spans="1:8" s="760" customFormat="1" ht="13.5" customHeight="1" x14ac:dyDescent="0.25">
      <c r="A719" s="267">
        <v>441</v>
      </c>
      <c r="B719" s="268" t="s">
        <v>1148</v>
      </c>
      <c r="C719" s="267" t="s">
        <v>1144</v>
      </c>
      <c r="D719" s="267"/>
      <c r="E719" s="268" t="s">
        <v>11358</v>
      </c>
      <c r="F719" s="268" t="s">
        <v>11359</v>
      </c>
      <c r="G719" s="267"/>
      <c r="H719" s="641">
        <v>2445.79</v>
      </c>
    </row>
    <row r="720" spans="1:8" s="760" customFormat="1" ht="13.5" customHeight="1" x14ac:dyDescent="0.25">
      <c r="A720" s="267">
        <v>441</v>
      </c>
      <c r="B720" s="268" t="s">
        <v>1145</v>
      </c>
      <c r="C720" s="267" t="s">
        <v>1144</v>
      </c>
      <c r="D720" s="267"/>
      <c r="E720" s="1035" t="s">
        <v>11293</v>
      </c>
      <c r="F720" s="268"/>
      <c r="G720" s="267"/>
      <c r="H720" s="641">
        <v>279500</v>
      </c>
    </row>
    <row r="721" spans="1:8" s="760" customFormat="1" ht="13.5" customHeight="1" x14ac:dyDescent="0.25">
      <c r="A721" s="267">
        <v>441</v>
      </c>
      <c r="B721" s="268" t="s">
        <v>1145</v>
      </c>
      <c r="C721" s="267" t="s">
        <v>1144</v>
      </c>
      <c r="D721" s="267"/>
      <c r="E721" s="1035" t="s">
        <v>11360</v>
      </c>
      <c r="F721" s="268" t="s">
        <v>7956</v>
      </c>
      <c r="G721" s="267"/>
      <c r="H721" s="641">
        <v>11658</v>
      </c>
    </row>
    <row r="722" spans="1:8" s="760" customFormat="1" ht="13.5" customHeight="1" x14ac:dyDescent="0.25">
      <c r="A722" s="267">
        <v>441</v>
      </c>
      <c r="B722" s="268" t="s">
        <v>1145</v>
      </c>
      <c r="C722" s="267" t="s">
        <v>1144</v>
      </c>
      <c r="D722" s="267"/>
      <c r="E722" s="1035" t="s">
        <v>11293</v>
      </c>
      <c r="F722" s="268"/>
      <c r="G722" s="267"/>
      <c r="H722" s="641">
        <v>279500</v>
      </c>
    </row>
    <row r="723" spans="1:8" s="760" customFormat="1" ht="13.5" customHeight="1" x14ac:dyDescent="0.25">
      <c r="A723" s="267">
        <v>441</v>
      </c>
      <c r="B723" s="268" t="s">
        <v>1145</v>
      </c>
      <c r="C723" s="267" t="s">
        <v>1144</v>
      </c>
      <c r="D723" s="267"/>
      <c r="E723" s="1035" t="s">
        <v>11293</v>
      </c>
      <c r="F723" s="268"/>
      <c r="G723" s="267"/>
      <c r="H723" s="641">
        <v>279500</v>
      </c>
    </row>
    <row r="724" spans="1:8" s="760" customFormat="1" ht="13.5" customHeight="1" x14ac:dyDescent="0.25">
      <c r="A724" s="267">
        <v>441</v>
      </c>
      <c r="B724" s="268" t="s">
        <v>1148</v>
      </c>
      <c r="C724" s="267" t="s">
        <v>1144</v>
      </c>
      <c r="D724" s="267"/>
      <c r="E724" s="1035" t="s">
        <v>11361</v>
      </c>
      <c r="F724" s="268"/>
      <c r="G724" s="267" t="s">
        <v>11362</v>
      </c>
      <c r="H724" s="641">
        <v>7152.56</v>
      </c>
    </row>
    <row r="725" spans="1:8" s="760" customFormat="1" ht="13.5" customHeight="1" x14ac:dyDescent="0.25">
      <c r="A725" s="267">
        <v>441</v>
      </c>
      <c r="B725" s="268" t="s">
        <v>1145</v>
      </c>
      <c r="C725" s="267" t="s">
        <v>1144</v>
      </c>
      <c r="D725" s="267"/>
      <c r="E725" s="1035" t="s">
        <v>11293</v>
      </c>
      <c r="F725" s="268"/>
      <c r="G725" s="267"/>
      <c r="H725" s="641">
        <v>103200</v>
      </c>
    </row>
    <row r="726" spans="1:8" s="760" customFormat="1" ht="13.5" customHeight="1" x14ac:dyDescent="0.25">
      <c r="A726" s="267">
        <v>441</v>
      </c>
      <c r="B726" s="268" t="s">
        <v>1148</v>
      </c>
      <c r="C726" s="267" t="s">
        <v>1144</v>
      </c>
      <c r="D726" s="267"/>
      <c r="E726" s="1035" t="s">
        <v>11363</v>
      </c>
      <c r="F726" s="268" t="s">
        <v>11364</v>
      </c>
      <c r="G726" s="267"/>
      <c r="H726" s="641">
        <v>2691.2</v>
      </c>
    </row>
    <row r="727" spans="1:8" s="760" customFormat="1" ht="13.5" customHeight="1" x14ac:dyDescent="0.25">
      <c r="A727" s="267">
        <v>441</v>
      </c>
      <c r="B727" s="268" t="s">
        <v>1148</v>
      </c>
      <c r="C727" s="267" t="s">
        <v>1144</v>
      </c>
      <c r="D727" s="267"/>
      <c r="E727" s="1035" t="s">
        <v>11205</v>
      </c>
      <c r="F727" s="268" t="s">
        <v>11206</v>
      </c>
      <c r="G727" s="267"/>
      <c r="H727" s="641">
        <v>2691.2</v>
      </c>
    </row>
    <row r="728" spans="1:8" s="760" customFormat="1" ht="13.5" customHeight="1" x14ac:dyDescent="0.25">
      <c r="A728" s="267">
        <v>441</v>
      </c>
      <c r="B728" s="268" t="s">
        <v>1148</v>
      </c>
      <c r="C728" s="267" t="s">
        <v>1144</v>
      </c>
      <c r="D728" s="267"/>
      <c r="E728" s="1035" t="s">
        <v>11365</v>
      </c>
      <c r="F728" s="268"/>
      <c r="G728" s="267" t="s">
        <v>11366</v>
      </c>
      <c r="H728" s="641">
        <v>4036.8</v>
      </c>
    </row>
    <row r="729" spans="1:8" s="760" customFormat="1" ht="13.5" customHeight="1" x14ac:dyDescent="0.25">
      <c r="A729" s="267">
        <v>441</v>
      </c>
      <c r="B729" s="268" t="s">
        <v>1148</v>
      </c>
      <c r="C729" s="267" t="s">
        <v>1144</v>
      </c>
      <c r="D729" s="267"/>
      <c r="E729" s="1035" t="s">
        <v>11367</v>
      </c>
      <c r="F729" s="268" t="s">
        <v>11368</v>
      </c>
      <c r="G729" s="267"/>
      <c r="H729" s="641">
        <v>14300.48</v>
      </c>
    </row>
    <row r="730" spans="1:8" s="760" customFormat="1" ht="13.5" customHeight="1" x14ac:dyDescent="0.25">
      <c r="A730" s="267">
        <v>441</v>
      </c>
      <c r="B730" s="268" t="s">
        <v>1148</v>
      </c>
      <c r="C730" s="267" t="s">
        <v>1144</v>
      </c>
      <c r="D730" s="267"/>
      <c r="E730" s="1035" t="s">
        <v>11369</v>
      </c>
      <c r="F730" s="268" t="s">
        <v>11370</v>
      </c>
      <c r="G730" s="267"/>
      <c r="H730" s="641">
        <v>3480</v>
      </c>
    </row>
    <row r="731" spans="1:8" s="760" customFormat="1" ht="13.5" customHeight="1" x14ac:dyDescent="0.25">
      <c r="A731" s="267">
        <v>441</v>
      </c>
      <c r="B731" s="268" t="s">
        <v>1145</v>
      </c>
      <c r="C731" s="267" t="s">
        <v>1144</v>
      </c>
      <c r="D731" s="267"/>
      <c r="E731" s="1035" t="s">
        <v>11371</v>
      </c>
      <c r="F731" s="268" t="s">
        <v>11372</v>
      </c>
      <c r="G731" s="267"/>
      <c r="H731" s="641">
        <v>2445.79</v>
      </c>
    </row>
    <row r="732" spans="1:8" s="760" customFormat="1" ht="13.5" customHeight="1" x14ac:dyDescent="0.25">
      <c r="A732" s="267">
        <v>441</v>
      </c>
      <c r="B732" s="268" t="s">
        <v>1145</v>
      </c>
      <c r="C732" s="267" t="s">
        <v>1144</v>
      </c>
      <c r="D732" s="267"/>
      <c r="E732" s="1035" t="s">
        <v>11373</v>
      </c>
      <c r="F732" s="268"/>
      <c r="G732" s="267"/>
      <c r="H732" s="641">
        <v>2784.87</v>
      </c>
    </row>
    <row r="733" spans="1:8" s="760" customFormat="1" ht="13.5" customHeight="1" x14ac:dyDescent="0.25">
      <c r="A733" s="267">
        <v>441</v>
      </c>
      <c r="B733" s="268" t="s">
        <v>1145</v>
      </c>
      <c r="C733" s="267" t="s">
        <v>1144</v>
      </c>
      <c r="D733" s="267"/>
      <c r="E733" s="1035" t="s">
        <v>11374</v>
      </c>
      <c r="F733" s="268"/>
      <c r="G733" s="267" t="s">
        <v>11375</v>
      </c>
      <c r="H733" s="641">
        <v>2784.87</v>
      </c>
    </row>
    <row r="734" spans="1:8" s="760" customFormat="1" ht="13.5" customHeight="1" x14ac:dyDescent="0.25">
      <c r="A734" s="267">
        <v>441</v>
      </c>
      <c r="B734" s="268" t="s">
        <v>1145</v>
      </c>
      <c r="C734" s="267" t="s">
        <v>1144</v>
      </c>
      <c r="D734" s="267"/>
      <c r="E734" s="1035" t="s">
        <v>11376</v>
      </c>
      <c r="F734" s="1036" t="s">
        <v>11377</v>
      </c>
      <c r="G734" s="267"/>
      <c r="H734" s="641">
        <v>5494.19</v>
      </c>
    </row>
    <row r="735" spans="1:8" s="760" customFormat="1" ht="13.5" customHeight="1" x14ac:dyDescent="0.25">
      <c r="A735" s="267">
        <v>441</v>
      </c>
      <c r="B735" s="268" t="s">
        <v>1145</v>
      </c>
      <c r="C735" s="267" t="s">
        <v>1144</v>
      </c>
      <c r="D735" s="267"/>
      <c r="E735" s="1035" t="s">
        <v>11378</v>
      </c>
      <c r="F735" s="268" t="s">
        <v>11379</v>
      </c>
      <c r="G735" s="267"/>
      <c r="H735" s="641">
        <v>3500</v>
      </c>
    </row>
    <row r="736" spans="1:8" s="760" customFormat="1" ht="13.5" customHeight="1" x14ac:dyDescent="0.25">
      <c r="A736" s="267">
        <v>441</v>
      </c>
      <c r="B736" s="268" t="s">
        <v>1145</v>
      </c>
      <c r="C736" s="267" t="s">
        <v>1144</v>
      </c>
      <c r="D736" s="267"/>
      <c r="E736" s="1035" t="s">
        <v>11380</v>
      </c>
      <c r="F736" s="268" t="s">
        <v>11381</v>
      </c>
      <c r="G736" s="267"/>
      <c r="H736" s="641">
        <v>4950.88</v>
      </c>
    </row>
    <row r="737" spans="1:8" s="760" customFormat="1" ht="13.5" customHeight="1" x14ac:dyDescent="0.25">
      <c r="A737" s="267">
        <v>441</v>
      </c>
      <c r="B737" s="268" t="s">
        <v>1145</v>
      </c>
      <c r="C737" s="267" t="s">
        <v>1144</v>
      </c>
      <c r="D737" s="267"/>
      <c r="E737" s="1035" t="s">
        <v>11382</v>
      </c>
      <c r="F737" s="268" t="s">
        <v>11383</v>
      </c>
      <c r="G737" s="267"/>
      <c r="H737" s="641">
        <v>5094.72</v>
      </c>
    </row>
    <row r="738" spans="1:8" s="760" customFormat="1" ht="13.5" customHeight="1" x14ac:dyDescent="0.25">
      <c r="A738" s="267">
        <v>441</v>
      </c>
      <c r="B738" s="268" t="s">
        <v>1145</v>
      </c>
      <c r="C738" s="267" t="s">
        <v>1144</v>
      </c>
      <c r="D738" s="267"/>
      <c r="E738" s="1035" t="s">
        <v>11384</v>
      </c>
      <c r="F738" s="268" t="s">
        <v>11385</v>
      </c>
      <c r="G738" s="267"/>
      <c r="H738" s="641">
        <v>2422.08</v>
      </c>
    </row>
    <row r="739" spans="1:8" s="760" customFormat="1" ht="13.5" customHeight="1" x14ac:dyDescent="0.25">
      <c r="A739" s="267">
        <v>441</v>
      </c>
      <c r="B739" s="268" t="s">
        <v>1145</v>
      </c>
      <c r="C739" s="267" t="s">
        <v>1144</v>
      </c>
      <c r="D739" s="267"/>
      <c r="E739" s="1035" t="s">
        <v>11386</v>
      </c>
      <c r="F739" s="268" t="s">
        <v>11387</v>
      </c>
      <c r="G739" s="267"/>
      <c r="H739" s="641">
        <v>10460.879999999999</v>
      </c>
    </row>
    <row r="740" spans="1:8" s="760" customFormat="1" ht="13.5" customHeight="1" x14ac:dyDescent="0.25">
      <c r="A740" s="267">
        <v>441</v>
      </c>
      <c r="B740" s="268" t="s">
        <v>1145</v>
      </c>
      <c r="C740" s="267" t="s">
        <v>1144</v>
      </c>
      <c r="D740" s="267"/>
      <c r="E740" s="1035" t="s">
        <v>11388</v>
      </c>
      <c r="F740" s="268" t="s">
        <v>11389</v>
      </c>
      <c r="G740" s="267"/>
      <c r="H740" s="641">
        <v>1960.4</v>
      </c>
    </row>
    <row r="741" spans="1:8" s="760" customFormat="1" ht="13.5" customHeight="1" x14ac:dyDescent="0.25">
      <c r="A741" s="267">
        <v>441</v>
      </c>
      <c r="B741" s="268" t="s">
        <v>1145</v>
      </c>
      <c r="C741" s="267" t="s">
        <v>1144</v>
      </c>
      <c r="D741" s="267"/>
      <c r="E741" s="1035" t="s">
        <v>11390</v>
      </c>
      <c r="F741" s="268" t="s">
        <v>11391</v>
      </c>
      <c r="G741" s="267"/>
      <c r="H741" s="641">
        <v>17676.080000000002</v>
      </c>
    </row>
    <row r="742" spans="1:8" s="760" customFormat="1" ht="13.5" customHeight="1" x14ac:dyDescent="0.25">
      <c r="A742" s="267">
        <v>441</v>
      </c>
      <c r="B742" s="268" t="s">
        <v>1145</v>
      </c>
      <c r="C742" s="267" t="s">
        <v>1144</v>
      </c>
      <c r="D742" s="267"/>
      <c r="E742" s="1035" t="s">
        <v>11392</v>
      </c>
      <c r="F742" s="268" t="s">
        <v>11393</v>
      </c>
      <c r="G742" s="267"/>
      <c r="H742" s="641">
        <v>3085.6</v>
      </c>
    </row>
    <row r="743" spans="1:8" s="760" customFormat="1" ht="13.5" customHeight="1" x14ac:dyDescent="0.25">
      <c r="A743" s="267">
        <v>441</v>
      </c>
      <c r="B743" s="268" t="s">
        <v>1145</v>
      </c>
      <c r="C743" s="267" t="s">
        <v>1144</v>
      </c>
      <c r="D743" s="267"/>
      <c r="E743" s="1035" t="s">
        <v>11394</v>
      </c>
      <c r="F743" s="268" t="s">
        <v>11395</v>
      </c>
      <c r="G743" s="267"/>
      <c r="H743" s="641">
        <v>7041.2</v>
      </c>
    </row>
    <row r="744" spans="1:8" s="760" customFormat="1" ht="13.5" customHeight="1" x14ac:dyDescent="0.25">
      <c r="A744" s="267">
        <v>441</v>
      </c>
      <c r="B744" s="268" t="s">
        <v>1145</v>
      </c>
      <c r="C744" s="267" t="s">
        <v>1144</v>
      </c>
      <c r="D744" s="267"/>
      <c r="E744" s="1035" t="s">
        <v>11396</v>
      </c>
      <c r="F744" s="268" t="s">
        <v>11397</v>
      </c>
      <c r="G744" s="267"/>
      <c r="H744" s="641">
        <v>3136.03</v>
      </c>
    </row>
    <row r="745" spans="1:8" s="760" customFormat="1" ht="13.5" customHeight="1" x14ac:dyDescent="0.25">
      <c r="A745" s="267">
        <v>445</v>
      </c>
      <c r="B745" s="268" t="s">
        <v>1148</v>
      </c>
      <c r="C745" s="267" t="s">
        <v>1144</v>
      </c>
      <c r="D745" s="267"/>
      <c r="E745" s="1035" t="s">
        <v>11398</v>
      </c>
      <c r="F745" s="268"/>
      <c r="G745" s="267" t="s">
        <v>7782</v>
      </c>
      <c r="H745" s="641">
        <v>73080</v>
      </c>
    </row>
    <row r="746" spans="1:8" s="760" customFormat="1" ht="13.5" customHeight="1" x14ac:dyDescent="0.25">
      <c r="A746" s="267">
        <v>445</v>
      </c>
      <c r="B746" s="268" t="s">
        <v>1148</v>
      </c>
      <c r="C746" s="267" t="s">
        <v>1144</v>
      </c>
      <c r="D746" s="267"/>
      <c r="E746" s="1035" t="s">
        <v>11399</v>
      </c>
      <c r="F746" s="268" t="s">
        <v>11400</v>
      </c>
      <c r="G746" s="267"/>
      <c r="H746" s="641">
        <v>7737.2</v>
      </c>
    </row>
    <row r="747" spans="1:8" s="760" customFormat="1" ht="13.5" customHeight="1" x14ac:dyDescent="0.25">
      <c r="A747" s="267">
        <v>445</v>
      </c>
      <c r="B747" s="268" t="s">
        <v>1148</v>
      </c>
      <c r="C747" s="267" t="s">
        <v>1144</v>
      </c>
      <c r="D747" s="267"/>
      <c r="E747" s="1035" t="s">
        <v>11401</v>
      </c>
      <c r="F747" s="268"/>
      <c r="G747" s="267" t="s">
        <v>11402</v>
      </c>
      <c r="H747" s="641">
        <v>2320</v>
      </c>
    </row>
    <row r="748" spans="1:8" s="760" customFormat="1" ht="13.5" customHeight="1" x14ac:dyDescent="0.25">
      <c r="A748" s="267">
        <v>445</v>
      </c>
      <c r="B748" s="268" t="s">
        <v>1148</v>
      </c>
      <c r="C748" s="267" t="s">
        <v>1144</v>
      </c>
      <c r="D748" s="267"/>
      <c r="E748" s="1035" t="s">
        <v>11708</v>
      </c>
      <c r="F748" s="268"/>
      <c r="G748" s="267"/>
      <c r="H748" s="641">
        <v>2369.98</v>
      </c>
    </row>
    <row r="749" spans="1:8" s="760" customFormat="1" ht="13.5" customHeight="1" x14ac:dyDescent="0.25">
      <c r="A749" s="267">
        <v>445</v>
      </c>
      <c r="B749" s="268" t="s">
        <v>1148</v>
      </c>
      <c r="C749" s="267" t="s">
        <v>1144</v>
      </c>
      <c r="D749" s="267"/>
      <c r="E749" s="1035" t="s">
        <v>11403</v>
      </c>
      <c r="F749" s="268"/>
      <c r="G749" s="267" t="s">
        <v>11404</v>
      </c>
      <c r="H749" s="641">
        <v>19882.400000000001</v>
      </c>
    </row>
    <row r="750" spans="1:8" s="760" customFormat="1" ht="13.5" customHeight="1" x14ac:dyDescent="0.25">
      <c r="A750" s="267">
        <v>445</v>
      </c>
      <c r="B750" s="268" t="s">
        <v>1148</v>
      </c>
      <c r="C750" s="267" t="s">
        <v>1144</v>
      </c>
      <c r="D750" s="267"/>
      <c r="E750" s="1035" t="s">
        <v>11405</v>
      </c>
      <c r="F750" s="268"/>
      <c r="G750" s="267"/>
      <c r="H750" s="641">
        <v>32445.200000000001</v>
      </c>
    </row>
    <row r="751" spans="1:8" s="760" customFormat="1" ht="13.5" customHeight="1" x14ac:dyDescent="0.25">
      <c r="A751" s="267">
        <v>445</v>
      </c>
      <c r="B751" s="268" t="s">
        <v>1148</v>
      </c>
      <c r="C751" s="267" t="s">
        <v>1144</v>
      </c>
      <c r="D751" s="267"/>
      <c r="E751" s="1035" t="s">
        <v>11406</v>
      </c>
      <c r="F751" s="268"/>
      <c r="G751" s="267" t="s">
        <v>11407</v>
      </c>
      <c r="H751" s="641">
        <v>3770.58</v>
      </c>
    </row>
    <row r="752" spans="1:8" s="760" customFormat="1" ht="13.5" customHeight="1" x14ac:dyDescent="0.25">
      <c r="A752" s="267">
        <v>445</v>
      </c>
      <c r="B752" s="268" t="s">
        <v>1148</v>
      </c>
      <c r="C752" s="267" t="s">
        <v>1144</v>
      </c>
      <c r="D752" s="267"/>
      <c r="E752" s="1035" t="s">
        <v>7802</v>
      </c>
      <c r="F752" s="268"/>
      <c r="G752" s="267" t="s">
        <v>7803</v>
      </c>
      <c r="H752" s="641">
        <v>5115.0200000000004</v>
      </c>
    </row>
    <row r="753" spans="1:8" s="760" customFormat="1" ht="13.5" customHeight="1" x14ac:dyDescent="0.25">
      <c r="A753" s="267">
        <v>445</v>
      </c>
      <c r="B753" s="268" t="s">
        <v>1148</v>
      </c>
      <c r="C753" s="267" t="s">
        <v>1144</v>
      </c>
      <c r="D753" s="267"/>
      <c r="E753" s="1035" t="s">
        <v>11403</v>
      </c>
      <c r="F753" s="268"/>
      <c r="G753" s="267" t="s">
        <v>11404</v>
      </c>
      <c r="H753" s="641">
        <v>5270.13</v>
      </c>
    </row>
    <row r="754" spans="1:8" s="760" customFormat="1" ht="13.5" customHeight="1" x14ac:dyDescent="0.25">
      <c r="A754" s="267">
        <v>441</v>
      </c>
      <c r="B754" s="268" t="s">
        <v>1145</v>
      </c>
      <c r="C754" s="267" t="s">
        <v>1144</v>
      </c>
      <c r="D754" s="267"/>
      <c r="E754" s="1035" t="s">
        <v>11408</v>
      </c>
      <c r="F754" s="268" t="s">
        <v>11409</v>
      </c>
      <c r="G754" s="267"/>
      <c r="H754" s="641">
        <v>2800</v>
      </c>
    </row>
    <row r="755" spans="1:8" s="760" customFormat="1" ht="13.5" customHeight="1" x14ac:dyDescent="0.25">
      <c r="A755" s="267">
        <v>441</v>
      </c>
      <c r="B755" s="268" t="s">
        <v>1145</v>
      </c>
      <c r="C755" s="267" t="s">
        <v>1144</v>
      </c>
      <c r="D755" s="267"/>
      <c r="E755" s="1035" t="s">
        <v>11410</v>
      </c>
      <c r="F755" s="268" t="s">
        <v>11411</v>
      </c>
      <c r="G755" s="267"/>
      <c r="H755" s="641">
        <v>700</v>
      </c>
    </row>
    <row r="756" spans="1:8" s="760" customFormat="1" ht="13.5" customHeight="1" x14ac:dyDescent="0.25">
      <c r="A756" s="267">
        <v>441</v>
      </c>
      <c r="B756" s="268" t="s">
        <v>1145</v>
      </c>
      <c r="C756" s="267" t="s">
        <v>1144</v>
      </c>
      <c r="D756" s="267"/>
      <c r="E756" s="1035" t="s">
        <v>11412</v>
      </c>
      <c r="F756" s="268" t="s">
        <v>11413</v>
      </c>
      <c r="G756" s="267"/>
      <c r="H756" s="641">
        <v>1400</v>
      </c>
    </row>
    <row r="757" spans="1:8" s="760" customFormat="1" ht="13.5" customHeight="1" x14ac:dyDescent="0.25">
      <c r="A757" s="267">
        <v>441</v>
      </c>
      <c r="B757" s="268" t="s">
        <v>1145</v>
      </c>
      <c r="C757" s="267" t="s">
        <v>1144</v>
      </c>
      <c r="D757" s="267"/>
      <c r="E757" s="1035" t="s">
        <v>7778</v>
      </c>
      <c r="F757" s="268" t="s">
        <v>7733</v>
      </c>
      <c r="G757" s="267"/>
      <c r="H757" s="641">
        <v>1400</v>
      </c>
    </row>
    <row r="758" spans="1:8" s="760" customFormat="1" ht="13.5" customHeight="1" x14ac:dyDescent="0.25">
      <c r="A758" s="267">
        <v>441</v>
      </c>
      <c r="B758" s="268" t="s">
        <v>1145</v>
      </c>
      <c r="C758" s="267" t="s">
        <v>1144</v>
      </c>
      <c r="D758" s="267"/>
      <c r="E758" s="1035" t="s">
        <v>11414</v>
      </c>
      <c r="F758" s="268" t="s">
        <v>7720</v>
      </c>
      <c r="G758" s="267"/>
      <c r="H758" s="641">
        <v>3000</v>
      </c>
    </row>
    <row r="759" spans="1:8" s="760" customFormat="1" ht="13.5" customHeight="1" x14ac:dyDescent="0.25">
      <c r="A759" s="267">
        <v>441</v>
      </c>
      <c r="B759" s="268" t="s">
        <v>1145</v>
      </c>
      <c r="C759" s="267" t="s">
        <v>1144</v>
      </c>
      <c r="D759" s="267"/>
      <c r="E759" s="1035" t="s">
        <v>11415</v>
      </c>
      <c r="F759" s="268" t="s">
        <v>11416</v>
      </c>
      <c r="G759" s="267"/>
      <c r="H759" s="641">
        <v>1200</v>
      </c>
    </row>
    <row r="760" spans="1:8" s="760" customFormat="1" ht="13.5" customHeight="1" x14ac:dyDescent="0.25">
      <c r="A760" s="267">
        <v>441</v>
      </c>
      <c r="B760" s="268" t="s">
        <v>1145</v>
      </c>
      <c r="C760" s="267" t="s">
        <v>1144</v>
      </c>
      <c r="D760" s="267"/>
      <c r="E760" s="1035" t="s">
        <v>7631</v>
      </c>
      <c r="F760" s="268" t="s">
        <v>7632</v>
      </c>
      <c r="G760" s="267"/>
      <c r="H760" s="641">
        <v>1300</v>
      </c>
    </row>
    <row r="761" spans="1:8" s="760" customFormat="1" ht="13.5" customHeight="1" x14ac:dyDescent="0.25">
      <c r="A761" s="267">
        <v>441</v>
      </c>
      <c r="B761" s="268" t="s">
        <v>1145</v>
      </c>
      <c r="C761" s="267" t="s">
        <v>1144</v>
      </c>
      <c r="D761" s="267"/>
      <c r="E761" s="1035" t="s">
        <v>2522</v>
      </c>
      <c r="F761" s="268" t="s">
        <v>2523</v>
      </c>
      <c r="G761" s="267"/>
      <c r="H761" s="641">
        <v>400</v>
      </c>
    </row>
    <row r="762" spans="1:8" s="760" customFormat="1" ht="13.5" customHeight="1" x14ac:dyDescent="0.25">
      <c r="A762" s="267">
        <v>441</v>
      </c>
      <c r="B762" s="268" t="s">
        <v>1145</v>
      </c>
      <c r="C762" s="267" t="s">
        <v>1144</v>
      </c>
      <c r="D762" s="267"/>
      <c r="E762" s="1035" t="s">
        <v>7882</v>
      </c>
      <c r="F762" s="268" t="s">
        <v>11417</v>
      </c>
      <c r="G762" s="267"/>
      <c r="H762" s="641">
        <v>500</v>
      </c>
    </row>
    <row r="763" spans="1:8" s="760" customFormat="1" ht="13.5" customHeight="1" x14ac:dyDescent="0.25">
      <c r="A763" s="267">
        <v>441</v>
      </c>
      <c r="B763" s="268" t="s">
        <v>1145</v>
      </c>
      <c r="C763" s="267" t="s">
        <v>1144</v>
      </c>
      <c r="D763" s="267"/>
      <c r="E763" s="1035" t="s">
        <v>11418</v>
      </c>
      <c r="F763" s="268" t="s">
        <v>11419</v>
      </c>
      <c r="G763" s="267"/>
      <c r="H763" s="641">
        <v>1100</v>
      </c>
    </row>
    <row r="764" spans="1:8" s="760" customFormat="1" ht="13.5" customHeight="1" x14ac:dyDescent="0.25">
      <c r="A764" s="267">
        <v>441</v>
      </c>
      <c r="B764" s="268" t="s">
        <v>1145</v>
      </c>
      <c r="C764" s="267" t="s">
        <v>1144</v>
      </c>
      <c r="D764" s="267"/>
      <c r="E764" s="1035" t="s">
        <v>7917</v>
      </c>
      <c r="F764" s="268" t="s">
        <v>7918</v>
      </c>
      <c r="G764" s="267"/>
      <c r="H764" s="641">
        <v>400</v>
      </c>
    </row>
    <row r="765" spans="1:8" s="760" customFormat="1" ht="13.5" customHeight="1" x14ac:dyDescent="0.25">
      <c r="A765" s="267">
        <v>441</v>
      </c>
      <c r="B765" s="268" t="s">
        <v>1145</v>
      </c>
      <c r="C765" s="267" t="s">
        <v>1144</v>
      </c>
      <c r="D765" s="267"/>
      <c r="E765" s="1035" t="s">
        <v>11420</v>
      </c>
      <c r="F765" s="268" t="s">
        <v>11421</v>
      </c>
      <c r="G765" s="267"/>
      <c r="H765" s="641">
        <v>10000</v>
      </c>
    </row>
    <row r="766" spans="1:8" s="760" customFormat="1" ht="13.5" customHeight="1" x14ac:dyDescent="0.25">
      <c r="A766" s="267">
        <v>441</v>
      </c>
      <c r="B766" s="268" t="s">
        <v>1145</v>
      </c>
      <c r="C766" s="267" t="s">
        <v>1144</v>
      </c>
      <c r="D766" s="267"/>
      <c r="E766" s="1035" t="s">
        <v>11422</v>
      </c>
      <c r="F766" s="268" t="s">
        <v>11423</v>
      </c>
      <c r="G766" s="267"/>
      <c r="H766" s="641">
        <v>1200</v>
      </c>
    </row>
    <row r="767" spans="1:8" s="760" customFormat="1" ht="13.5" customHeight="1" x14ac:dyDescent="0.25">
      <c r="A767" s="267">
        <v>441</v>
      </c>
      <c r="B767" s="268" t="s">
        <v>1145</v>
      </c>
      <c r="C767" s="267" t="s">
        <v>1144</v>
      </c>
      <c r="D767" s="267"/>
      <c r="E767" s="1035" t="s">
        <v>11424</v>
      </c>
      <c r="F767" s="268" t="s">
        <v>11425</v>
      </c>
      <c r="G767" s="267"/>
      <c r="H767" s="641">
        <v>1200</v>
      </c>
    </row>
    <row r="768" spans="1:8" s="760" customFormat="1" ht="13.5" customHeight="1" x14ac:dyDescent="0.25">
      <c r="A768" s="267">
        <v>441</v>
      </c>
      <c r="B768" s="268" t="s">
        <v>1145</v>
      </c>
      <c r="C768" s="267" t="s">
        <v>1144</v>
      </c>
      <c r="D768" s="267"/>
      <c r="E768" s="1035" t="s">
        <v>11426</v>
      </c>
      <c r="F768" s="268" t="s">
        <v>11427</v>
      </c>
      <c r="G768" s="267"/>
      <c r="H768" s="641">
        <v>700</v>
      </c>
    </row>
    <row r="769" spans="1:8" s="760" customFormat="1" ht="13.5" customHeight="1" x14ac:dyDescent="0.25">
      <c r="A769" s="267">
        <v>441</v>
      </c>
      <c r="B769" s="268" t="s">
        <v>1145</v>
      </c>
      <c r="C769" s="267" t="s">
        <v>1144</v>
      </c>
      <c r="D769" s="267"/>
      <c r="E769" s="1035" t="s">
        <v>11428</v>
      </c>
      <c r="F769" s="268" t="s">
        <v>11429</v>
      </c>
      <c r="G769" s="267"/>
      <c r="H769" s="641">
        <v>10000</v>
      </c>
    </row>
    <row r="770" spans="1:8" s="760" customFormat="1" ht="13.5" customHeight="1" x14ac:dyDescent="0.25">
      <c r="A770" s="267">
        <v>441</v>
      </c>
      <c r="B770" s="268" t="s">
        <v>1145</v>
      </c>
      <c r="C770" s="267" t="s">
        <v>1144</v>
      </c>
      <c r="D770" s="267"/>
      <c r="E770" s="1035" t="s">
        <v>7747</v>
      </c>
      <c r="F770" s="268" t="s">
        <v>11430</v>
      </c>
      <c r="G770" s="267"/>
      <c r="H770" s="641">
        <v>1400</v>
      </c>
    </row>
    <row r="771" spans="1:8" s="760" customFormat="1" ht="13.5" customHeight="1" x14ac:dyDescent="0.25">
      <c r="A771" s="267">
        <v>441</v>
      </c>
      <c r="B771" s="268" t="s">
        <v>1145</v>
      </c>
      <c r="C771" s="267" t="s">
        <v>1144</v>
      </c>
      <c r="D771" s="267"/>
      <c r="E771" s="1035" t="s">
        <v>11431</v>
      </c>
      <c r="F771" s="268" t="s">
        <v>11432</v>
      </c>
      <c r="G771" s="267"/>
      <c r="H771" s="641">
        <v>3000</v>
      </c>
    </row>
    <row r="772" spans="1:8" s="760" customFormat="1" ht="13.5" customHeight="1" x14ac:dyDescent="0.25">
      <c r="A772" s="267">
        <v>441</v>
      </c>
      <c r="B772" s="268" t="s">
        <v>1145</v>
      </c>
      <c r="C772" s="267" t="s">
        <v>1144</v>
      </c>
      <c r="D772" s="267"/>
      <c r="E772" s="1035" t="s">
        <v>11433</v>
      </c>
      <c r="F772" s="268" t="s">
        <v>11434</v>
      </c>
      <c r="G772" s="267"/>
      <c r="H772" s="641">
        <v>400</v>
      </c>
    </row>
    <row r="773" spans="1:8" s="760" customFormat="1" ht="13.5" customHeight="1" x14ac:dyDescent="0.25">
      <c r="A773" s="267">
        <v>441</v>
      </c>
      <c r="B773" s="268" t="s">
        <v>1145</v>
      </c>
      <c r="C773" s="267" t="s">
        <v>1144</v>
      </c>
      <c r="D773" s="267"/>
      <c r="E773" s="1035" t="s">
        <v>11435</v>
      </c>
      <c r="F773" s="268"/>
      <c r="G773" s="267"/>
      <c r="H773" s="641">
        <v>800</v>
      </c>
    </row>
    <row r="774" spans="1:8" s="760" customFormat="1" ht="13.5" customHeight="1" x14ac:dyDescent="0.25">
      <c r="A774" s="267">
        <v>441</v>
      </c>
      <c r="B774" s="268" t="s">
        <v>1145</v>
      </c>
      <c r="C774" s="267" t="s">
        <v>1144</v>
      </c>
      <c r="D774" s="267"/>
      <c r="E774" s="1035" t="s">
        <v>11436</v>
      </c>
      <c r="F774" s="268"/>
      <c r="G774" s="267"/>
      <c r="H774" s="641">
        <v>800</v>
      </c>
    </row>
    <row r="775" spans="1:8" s="760" customFormat="1" ht="13.5" customHeight="1" x14ac:dyDescent="0.25">
      <c r="A775" s="267">
        <v>441</v>
      </c>
      <c r="B775" s="268" t="s">
        <v>1145</v>
      </c>
      <c r="C775" s="267" t="s">
        <v>1144</v>
      </c>
      <c r="D775" s="267"/>
      <c r="E775" s="1035" t="s">
        <v>11437</v>
      </c>
      <c r="F775" s="268"/>
      <c r="G775" s="267"/>
      <c r="H775" s="641">
        <v>800</v>
      </c>
    </row>
    <row r="776" spans="1:8" s="760" customFormat="1" ht="13.5" customHeight="1" x14ac:dyDescent="0.25">
      <c r="A776" s="267">
        <v>441</v>
      </c>
      <c r="B776" s="268" t="s">
        <v>1145</v>
      </c>
      <c r="C776" s="267" t="s">
        <v>1144</v>
      </c>
      <c r="D776" s="267"/>
      <c r="E776" s="1035" t="s">
        <v>11438</v>
      </c>
      <c r="F776" s="268" t="s">
        <v>11439</v>
      </c>
      <c r="G776" s="267"/>
      <c r="H776" s="641">
        <v>800</v>
      </c>
    </row>
    <row r="777" spans="1:8" s="760" customFormat="1" ht="13.5" customHeight="1" x14ac:dyDescent="0.25">
      <c r="A777" s="267">
        <v>441</v>
      </c>
      <c r="B777" s="268" t="s">
        <v>1145</v>
      </c>
      <c r="C777" s="267" t="s">
        <v>1144</v>
      </c>
      <c r="D777" s="267"/>
      <c r="E777" s="1035" t="s">
        <v>11440</v>
      </c>
      <c r="F777" s="268"/>
      <c r="G777" s="267"/>
      <c r="H777" s="641">
        <v>800</v>
      </c>
    </row>
    <row r="778" spans="1:8" s="760" customFormat="1" ht="13.5" customHeight="1" x14ac:dyDescent="0.25">
      <c r="A778" s="267">
        <v>441</v>
      </c>
      <c r="B778" s="268" t="s">
        <v>1145</v>
      </c>
      <c r="C778" s="267" t="s">
        <v>1144</v>
      </c>
      <c r="D778" s="267"/>
      <c r="E778" s="1035" t="s">
        <v>11441</v>
      </c>
      <c r="F778" s="268"/>
      <c r="G778" s="267"/>
      <c r="H778" s="641">
        <v>800</v>
      </c>
    </row>
    <row r="779" spans="1:8" s="760" customFormat="1" ht="13.5" customHeight="1" x14ac:dyDescent="0.25">
      <c r="A779" s="267">
        <v>441</v>
      </c>
      <c r="B779" s="268" t="s">
        <v>1145</v>
      </c>
      <c r="C779" s="267" t="s">
        <v>1144</v>
      </c>
      <c r="D779" s="267"/>
      <c r="E779" s="1035" t="s">
        <v>11442</v>
      </c>
      <c r="F779" s="268"/>
      <c r="G779" s="267"/>
      <c r="H779" s="641">
        <v>800</v>
      </c>
    </row>
    <row r="780" spans="1:8" s="760" customFormat="1" ht="13.5" customHeight="1" x14ac:dyDescent="0.25">
      <c r="A780" s="267">
        <v>441</v>
      </c>
      <c r="B780" s="268" t="s">
        <v>1145</v>
      </c>
      <c r="C780" s="267" t="s">
        <v>1144</v>
      </c>
      <c r="D780" s="267"/>
      <c r="E780" s="1035" t="s">
        <v>11443</v>
      </c>
      <c r="F780" s="268" t="s">
        <v>11444</v>
      </c>
      <c r="G780" s="267"/>
      <c r="H780" s="641">
        <v>800</v>
      </c>
    </row>
    <row r="781" spans="1:8" s="760" customFormat="1" ht="13.5" customHeight="1" x14ac:dyDescent="0.25">
      <c r="A781" s="267">
        <v>441</v>
      </c>
      <c r="B781" s="268" t="s">
        <v>1145</v>
      </c>
      <c r="C781" s="267" t="s">
        <v>1144</v>
      </c>
      <c r="D781" s="267"/>
      <c r="E781" s="1035" t="s">
        <v>11445</v>
      </c>
      <c r="F781" s="268" t="s">
        <v>11446</v>
      </c>
      <c r="G781" s="267"/>
      <c r="H781" s="641">
        <v>800</v>
      </c>
    </row>
    <row r="782" spans="1:8" s="760" customFormat="1" ht="13.5" customHeight="1" x14ac:dyDescent="0.25">
      <c r="A782" s="267">
        <v>441</v>
      </c>
      <c r="B782" s="268" t="s">
        <v>1145</v>
      </c>
      <c r="C782" s="267" t="s">
        <v>1144</v>
      </c>
      <c r="D782" s="267"/>
      <c r="E782" s="1035" t="s">
        <v>11447</v>
      </c>
      <c r="F782" s="268"/>
      <c r="G782" s="267"/>
      <c r="H782" s="641">
        <v>800</v>
      </c>
    </row>
    <row r="783" spans="1:8" s="760" customFormat="1" ht="13.5" customHeight="1" x14ac:dyDescent="0.25">
      <c r="A783" s="267">
        <v>441</v>
      </c>
      <c r="B783" s="268" t="s">
        <v>1145</v>
      </c>
      <c r="C783" s="267" t="s">
        <v>1144</v>
      </c>
      <c r="D783" s="267"/>
      <c r="E783" s="1035" t="s">
        <v>11448</v>
      </c>
      <c r="F783" s="268"/>
      <c r="G783" s="267"/>
      <c r="H783" s="641">
        <v>800</v>
      </c>
    </row>
    <row r="784" spans="1:8" s="760" customFormat="1" ht="13.5" customHeight="1" x14ac:dyDescent="0.25">
      <c r="A784" s="267">
        <v>441</v>
      </c>
      <c r="B784" s="268" t="s">
        <v>1145</v>
      </c>
      <c r="C784" s="267" t="s">
        <v>1144</v>
      </c>
      <c r="D784" s="267"/>
      <c r="E784" s="1035" t="s">
        <v>11449</v>
      </c>
      <c r="F784" s="268" t="s">
        <v>11450</v>
      </c>
      <c r="G784" s="267"/>
      <c r="H784" s="641">
        <v>800</v>
      </c>
    </row>
    <row r="785" spans="1:8" s="760" customFormat="1" ht="13.5" customHeight="1" x14ac:dyDescent="0.25">
      <c r="A785" s="267">
        <v>445</v>
      </c>
      <c r="B785" s="268" t="s">
        <v>1145</v>
      </c>
      <c r="C785" s="267" t="s">
        <v>1144</v>
      </c>
      <c r="D785" s="267"/>
      <c r="E785" s="268" t="s">
        <v>2552</v>
      </c>
      <c r="F785" s="268"/>
      <c r="G785" s="267" t="s">
        <v>2553</v>
      </c>
      <c r="H785" s="641">
        <v>28000</v>
      </c>
    </row>
    <row r="786" spans="1:8" s="760" customFormat="1" ht="13.5" customHeight="1" x14ac:dyDescent="0.25">
      <c r="A786" s="267">
        <v>441</v>
      </c>
      <c r="B786" s="268" t="s">
        <v>1148</v>
      </c>
      <c r="C786" s="267" t="s">
        <v>1144</v>
      </c>
      <c r="D786" s="267"/>
      <c r="E786" s="1035" t="s">
        <v>11451</v>
      </c>
      <c r="F786" s="268" t="s">
        <v>11452</v>
      </c>
      <c r="G786" s="267"/>
      <c r="H786" s="641">
        <v>34800</v>
      </c>
    </row>
    <row r="787" spans="1:8" s="760" customFormat="1" ht="13.5" customHeight="1" x14ac:dyDescent="0.25">
      <c r="A787" s="267">
        <v>441</v>
      </c>
      <c r="B787" s="268" t="s">
        <v>1145</v>
      </c>
      <c r="C787" s="267" t="s">
        <v>1144</v>
      </c>
      <c r="D787" s="267"/>
      <c r="E787" s="1035" t="s">
        <v>11453</v>
      </c>
      <c r="F787" s="268" t="s">
        <v>11454</v>
      </c>
      <c r="G787" s="267"/>
      <c r="H787" s="641">
        <v>10000</v>
      </c>
    </row>
    <row r="788" spans="1:8" s="760" customFormat="1" ht="13.5" customHeight="1" x14ac:dyDescent="0.25">
      <c r="A788" s="267">
        <v>441</v>
      </c>
      <c r="B788" s="268" t="s">
        <v>1145</v>
      </c>
      <c r="C788" s="267" t="s">
        <v>1144</v>
      </c>
      <c r="D788" s="267"/>
      <c r="E788" s="1035" t="s">
        <v>11455</v>
      </c>
      <c r="F788" s="268" t="s">
        <v>11456</v>
      </c>
      <c r="G788" s="267"/>
      <c r="H788" s="641">
        <v>1500</v>
      </c>
    </row>
    <row r="789" spans="1:8" s="760" customFormat="1" ht="13.5" customHeight="1" x14ac:dyDescent="0.25">
      <c r="A789" s="267">
        <v>441</v>
      </c>
      <c r="B789" s="268" t="s">
        <v>1145</v>
      </c>
      <c r="C789" s="267" t="s">
        <v>1144</v>
      </c>
      <c r="D789" s="267"/>
      <c r="E789" s="1035" t="s">
        <v>11457</v>
      </c>
      <c r="F789" s="268" t="s">
        <v>11458</v>
      </c>
      <c r="G789" s="267"/>
      <c r="H789" s="641">
        <v>1500</v>
      </c>
    </row>
    <row r="790" spans="1:8" s="760" customFormat="1" ht="13.5" customHeight="1" x14ac:dyDescent="0.25">
      <c r="A790" s="267">
        <v>441</v>
      </c>
      <c r="B790" s="268" t="s">
        <v>1145</v>
      </c>
      <c r="C790" s="267" t="s">
        <v>1144</v>
      </c>
      <c r="D790" s="267"/>
      <c r="E790" s="1035" t="s">
        <v>7781</v>
      </c>
      <c r="F790" s="268" t="s">
        <v>7919</v>
      </c>
      <c r="G790" s="267"/>
      <c r="H790" s="641">
        <v>800</v>
      </c>
    </row>
    <row r="791" spans="1:8" s="760" customFormat="1" ht="13.5" customHeight="1" x14ac:dyDescent="0.25">
      <c r="A791" s="267">
        <v>441</v>
      </c>
      <c r="B791" s="268" t="s">
        <v>1145</v>
      </c>
      <c r="C791" s="267" t="s">
        <v>1144</v>
      </c>
      <c r="D791" s="267"/>
      <c r="E791" s="1035" t="s">
        <v>7781</v>
      </c>
      <c r="F791" s="268" t="s">
        <v>7919</v>
      </c>
      <c r="G791" s="267"/>
      <c r="H791" s="641">
        <v>800</v>
      </c>
    </row>
    <row r="792" spans="1:8" s="760" customFormat="1" ht="13.5" customHeight="1" x14ac:dyDescent="0.25">
      <c r="A792" s="267">
        <v>441</v>
      </c>
      <c r="B792" s="268" t="s">
        <v>1145</v>
      </c>
      <c r="C792" s="267" t="s">
        <v>1144</v>
      </c>
      <c r="D792" s="267"/>
      <c r="E792" s="1035" t="s">
        <v>7781</v>
      </c>
      <c r="F792" s="268" t="s">
        <v>7919</v>
      </c>
      <c r="G792" s="267"/>
      <c r="H792" s="641">
        <v>800</v>
      </c>
    </row>
    <row r="793" spans="1:8" s="760" customFormat="1" ht="13.5" customHeight="1" x14ac:dyDescent="0.25">
      <c r="A793" s="267">
        <v>441</v>
      </c>
      <c r="B793" s="268" t="s">
        <v>1145</v>
      </c>
      <c r="C793" s="267" t="s">
        <v>1144</v>
      </c>
      <c r="D793" s="267"/>
      <c r="E793" s="1035" t="s">
        <v>11459</v>
      </c>
      <c r="F793" s="268" t="s">
        <v>11460</v>
      </c>
      <c r="G793" s="267"/>
      <c r="H793" s="641">
        <v>1500</v>
      </c>
    </row>
    <row r="794" spans="1:8" s="760" customFormat="1" ht="13.5" customHeight="1" x14ac:dyDescent="0.25">
      <c r="A794" s="267">
        <v>441</v>
      </c>
      <c r="B794" s="268" t="s">
        <v>1145</v>
      </c>
      <c r="C794" s="267" t="s">
        <v>1144</v>
      </c>
      <c r="D794" s="267"/>
      <c r="E794" s="1035" t="s">
        <v>11461</v>
      </c>
      <c r="F794" s="268" t="s">
        <v>11462</v>
      </c>
      <c r="G794" s="267"/>
      <c r="H794" s="641">
        <v>1000</v>
      </c>
    </row>
    <row r="795" spans="1:8" s="760" customFormat="1" ht="13.5" customHeight="1" x14ac:dyDescent="0.25">
      <c r="A795" s="267">
        <v>441</v>
      </c>
      <c r="B795" s="268" t="s">
        <v>1145</v>
      </c>
      <c r="C795" s="267" t="s">
        <v>1144</v>
      </c>
      <c r="D795" s="267"/>
      <c r="E795" s="1035" t="s">
        <v>11463</v>
      </c>
      <c r="F795" s="268" t="s">
        <v>11464</v>
      </c>
      <c r="G795" s="267"/>
      <c r="H795" s="641">
        <v>1500</v>
      </c>
    </row>
    <row r="796" spans="1:8" s="760" customFormat="1" ht="13.5" customHeight="1" x14ac:dyDescent="0.25">
      <c r="A796" s="267">
        <v>441</v>
      </c>
      <c r="B796" s="268" t="s">
        <v>1145</v>
      </c>
      <c r="C796" s="267" t="s">
        <v>1144</v>
      </c>
      <c r="D796" s="267"/>
      <c r="E796" s="1035" t="s">
        <v>11465</v>
      </c>
      <c r="F796" s="268" t="s">
        <v>11466</v>
      </c>
      <c r="G796" s="267"/>
      <c r="H796" s="641">
        <v>3500</v>
      </c>
    </row>
    <row r="797" spans="1:8" s="760" customFormat="1" ht="13.5" customHeight="1" x14ac:dyDescent="0.25">
      <c r="A797" s="267">
        <v>441</v>
      </c>
      <c r="B797" s="268" t="s">
        <v>1145</v>
      </c>
      <c r="C797" s="267" t="s">
        <v>1144</v>
      </c>
      <c r="D797" s="267"/>
      <c r="E797" s="1035" t="s">
        <v>11467</v>
      </c>
      <c r="F797" s="268" t="s">
        <v>11468</v>
      </c>
      <c r="G797" s="267"/>
      <c r="H797" s="641">
        <v>1000</v>
      </c>
    </row>
    <row r="798" spans="1:8" s="760" customFormat="1" ht="13.5" customHeight="1" x14ac:dyDescent="0.25">
      <c r="A798" s="267">
        <v>441</v>
      </c>
      <c r="B798" s="268" t="s">
        <v>1145</v>
      </c>
      <c r="C798" s="267" t="s">
        <v>1144</v>
      </c>
      <c r="D798" s="267"/>
      <c r="E798" s="1035" t="s">
        <v>11469</v>
      </c>
      <c r="F798" s="268" t="s">
        <v>11470</v>
      </c>
      <c r="G798" s="267"/>
      <c r="H798" s="641">
        <v>500</v>
      </c>
    </row>
    <row r="799" spans="1:8" s="760" customFormat="1" ht="13.5" customHeight="1" x14ac:dyDescent="0.25">
      <c r="A799" s="267">
        <v>441</v>
      </c>
      <c r="B799" s="268" t="s">
        <v>1145</v>
      </c>
      <c r="C799" s="267" t="s">
        <v>1144</v>
      </c>
      <c r="D799" s="267"/>
      <c r="E799" s="1035" t="s">
        <v>11471</v>
      </c>
      <c r="F799" s="268" t="s">
        <v>11472</v>
      </c>
      <c r="G799" s="267"/>
      <c r="H799" s="641">
        <v>200</v>
      </c>
    </row>
    <row r="800" spans="1:8" s="760" customFormat="1" ht="13.5" customHeight="1" x14ac:dyDescent="0.25">
      <c r="A800" s="267">
        <v>441</v>
      </c>
      <c r="B800" s="268" t="s">
        <v>1145</v>
      </c>
      <c r="C800" s="267" t="s">
        <v>1144</v>
      </c>
      <c r="D800" s="267"/>
      <c r="E800" s="1035" t="s">
        <v>11473</v>
      </c>
      <c r="F800" s="268" t="s">
        <v>11474</v>
      </c>
      <c r="G800" s="267"/>
      <c r="H800" s="641">
        <v>4000</v>
      </c>
    </row>
    <row r="801" spans="1:8" s="760" customFormat="1" ht="13.5" customHeight="1" x14ac:dyDescent="0.25">
      <c r="A801" s="267">
        <v>441</v>
      </c>
      <c r="B801" s="268" t="s">
        <v>1145</v>
      </c>
      <c r="C801" s="267" t="s">
        <v>1144</v>
      </c>
      <c r="D801" s="267"/>
      <c r="E801" s="1035" t="s">
        <v>11475</v>
      </c>
      <c r="F801" s="268" t="s">
        <v>11476</v>
      </c>
      <c r="G801" s="267"/>
      <c r="H801" s="641">
        <v>5000</v>
      </c>
    </row>
    <row r="802" spans="1:8" s="760" customFormat="1" ht="13.5" customHeight="1" x14ac:dyDescent="0.25">
      <c r="A802" s="267">
        <v>441</v>
      </c>
      <c r="B802" s="268" t="s">
        <v>1145</v>
      </c>
      <c r="C802" s="267" t="s">
        <v>1144</v>
      </c>
      <c r="D802" s="267"/>
      <c r="E802" s="1035" t="s">
        <v>11477</v>
      </c>
      <c r="F802" s="268" t="s">
        <v>11478</v>
      </c>
      <c r="G802" s="267"/>
      <c r="H802" s="641">
        <v>300</v>
      </c>
    </row>
    <row r="803" spans="1:8" s="760" customFormat="1" ht="13.5" customHeight="1" x14ac:dyDescent="0.25">
      <c r="A803" s="267">
        <v>441</v>
      </c>
      <c r="B803" s="268" t="s">
        <v>1145</v>
      </c>
      <c r="C803" s="267" t="s">
        <v>1144</v>
      </c>
      <c r="D803" s="267"/>
      <c r="E803" s="1035" t="s">
        <v>11479</v>
      </c>
      <c r="F803" s="268" t="s">
        <v>11480</v>
      </c>
      <c r="G803" s="267"/>
      <c r="H803" s="641">
        <v>500</v>
      </c>
    </row>
    <row r="804" spans="1:8" s="760" customFormat="1" ht="13.5" customHeight="1" x14ac:dyDescent="0.25">
      <c r="A804" s="267">
        <v>441</v>
      </c>
      <c r="B804" s="268" t="s">
        <v>1145</v>
      </c>
      <c r="C804" s="267" t="s">
        <v>1144</v>
      </c>
      <c r="D804" s="267"/>
      <c r="E804" s="1035" t="s">
        <v>11481</v>
      </c>
      <c r="F804" s="268" t="s">
        <v>11482</v>
      </c>
      <c r="G804" s="267"/>
      <c r="H804" s="641">
        <v>300</v>
      </c>
    </row>
    <row r="805" spans="1:8" s="760" customFormat="1" ht="13.5" customHeight="1" x14ac:dyDescent="0.25">
      <c r="A805" s="267">
        <v>441</v>
      </c>
      <c r="B805" s="268" t="s">
        <v>1145</v>
      </c>
      <c r="C805" s="267" t="s">
        <v>1144</v>
      </c>
      <c r="D805" s="267"/>
      <c r="E805" s="1035" t="s">
        <v>11483</v>
      </c>
      <c r="F805" s="268" t="s">
        <v>11484</v>
      </c>
      <c r="G805" s="267"/>
      <c r="H805" s="641">
        <v>700</v>
      </c>
    </row>
    <row r="806" spans="1:8" s="760" customFormat="1" ht="13.5" customHeight="1" x14ac:dyDescent="0.25">
      <c r="A806" s="267">
        <v>441</v>
      </c>
      <c r="B806" s="268" t="s">
        <v>1145</v>
      </c>
      <c r="C806" s="267" t="s">
        <v>1144</v>
      </c>
      <c r="D806" s="267"/>
      <c r="E806" s="1035" t="s">
        <v>11483</v>
      </c>
      <c r="F806" s="268" t="s">
        <v>11484</v>
      </c>
      <c r="G806" s="267"/>
      <c r="H806" s="641">
        <v>700</v>
      </c>
    </row>
    <row r="807" spans="1:8" s="760" customFormat="1" ht="13.5" customHeight="1" x14ac:dyDescent="0.25">
      <c r="A807" s="267">
        <v>441</v>
      </c>
      <c r="B807" s="268" t="s">
        <v>1145</v>
      </c>
      <c r="C807" s="267" t="s">
        <v>1144</v>
      </c>
      <c r="D807" s="267"/>
      <c r="E807" s="1035" t="s">
        <v>11485</v>
      </c>
      <c r="F807" s="268" t="s">
        <v>11486</v>
      </c>
      <c r="G807" s="267"/>
      <c r="H807" s="641">
        <v>500</v>
      </c>
    </row>
    <row r="808" spans="1:8" s="760" customFormat="1" ht="13.5" customHeight="1" x14ac:dyDescent="0.25">
      <c r="A808" s="267">
        <v>441</v>
      </c>
      <c r="B808" s="268" t="s">
        <v>1145</v>
      </c>
      <c r="C808" s="267" t="s">
        <v>1144</v>
      </c>
      <c r="D808" s="267"/>
      <c r="E808" s="1035" t="s">
        <v>11487</v>
      </c>
      <c r="F808" s="268"/>
      <c r="G808" s="267" t="s">
        <v>11488</v>
      </c>
      <c r="H808" s="641">
        <v>200</v>
      </c>
    </row>
    <row r="809" spans="1:8" s="760" customFormat="1" ht="13.5" customHeight="1" x14ac:dyDescent="0.25">
      <c r="A809" s="267">
        <v>441</v>
      </c>
      <c r="B809" s="268" t="s">
        <v>1145</v>
      </c>
      <c r="C809" s="267" t="s">
        <v>1144</v>
      </c>
      <c r="D809" s="267"/>
      <c r="E809" s="1035" t="s">
        <v>11489</v>
      </c>
      <c r="F809" s="268" t="s">
        <v>11352</v>
      </c>
      <c r="G809" s="267"/>
      <c r="H809" s="641">
        <v>300</v>
      </c>
    </row>
    <row r="810" spans="1:8" s="760" customFormat="1" ht="13.5" customHeight="1" x14ac:dyDescent="0.25">
      <c r="A810" s="267">
        <v>441</v>
      </c>
      <c r="B810" s="268" t="s">
        <v>1145</v>
      </c>
      <c r="C810" s="267" t="s">
        <v>1144</v>
      </c>
      <c r="D810" s="267"/>
      <c r="E810" s="1035" t="s">
        <v>11490</v>
      </c>
      <c r="F810" s="268" t="s">
        <v>11491</v>
      </c>
      <c r="G810" s="267"/>
      <c r="H810" s="641">
        <v>200</v>
      </c>
    </row>
    <row r="811" spans="1:8" s="760" customFormat="1" ht="13.5" customHeight="1" x14ac:dyDescent="0.25">
      <c r="A811" s="267">
        <v>441</v>
      </c>
      <c r="B811" s="268" t="s">
        <v>1145</v>
      </c>
      <c r="C811" s="267" t="s">
        <v>1144</v>
      </c>
      <c r="D811" s="267"/>
      <c r="E811" s="1035" t="s">
        <v>11487</v>
      </c>
      <c r="F811" s="268"/>
      <c r="G811" s="267" t="s">
        <v>11488</v>
      </c>
      <c r="H811" s="641">
        <v>300</v>
      </c>
    </row>
    <row r="812" spans="1:8" s="760" customFormat="1" ht="13.5" customHeight="1" x14ac:dyDescent="0.25">
      <c r="A812" s="267">
        <v>441</v>
      </c>
      <c r="B812" s="268" t="s">
        <v>1145</v>
      </c>
      <c r="C812" s="267" t="s">
        <v>1144</v>
      </c>
      <c r="D812" s="267"/>
      <c r="E812" s="1035" t="s">
        <v>11492</v>
      </c>
      <c r="F812" s="268" t="s">
        <v>11493</v>
      </c>
      <c r="G812" s="267"/>
      <c r="H812" s="641">
        <v>500</v>
      </c>
    </row>
    <row r="813" spans="1:8" s="760" customFormat="1" ht="13.5" customHeight="1" x14ac:dyDescent="0.25">
      <c r="A813" s="267">
        <v>441</v>
      </c>
      <c r="B813" s="268" t="s">
        <v>1145</v>
      </c>
      <c r="C813" s="267" t="s">
        <v>1144</v>
      </c>
      <c r="D813" s="267"/>
      <c r="E813" s="1035" t="s">
        <v>11494</v>
      </c>
      <c r="F813" s="268" t="s">
        <v>11495</v>
      </c>
      <c r="G813" s="267"/>
      <c r="H813" s="641">
        <v>1500</v>
      </c>
    </row>
    <row r="814" spans="1:8" s="760" customFormat="1" ht="13.5" customHeight="1" x14ac:dyDescent="0.25">
      <c r="A814" s="267">
        <v>441</v>
      </c>
      <c r="B814" s="268" t="s">
        <v>1145</v>
      </c>
      <c r="C814" s="267" t="s">
        <v>1144</v>
      </c>
      <c r="D814" s="267"/>
      <c r="E814" s="1035" t="s">
        <v>11496</v>
      </c>
      <c r="F814" s="268" t="s">
        <v>11497</v>
      </c>
      <c r="G814" s="267"/>
      <c r="H814" s="641">
        <v>300</v>
      </c>
    </row>
    <row r="815" spans="1:8" s="760" customFormat="1" ht="13.5" customHeight="1" x14ac:dyDescent="0.25">
      <c r="A815" s="267">
        <v>441</v>
      </c>
      <c r="B815" s="268" t="s">
        <v>1145</v>
      </c>
      <c r="C815" s="267" t="s">
        <v>1144</v>
      </c>
      <c r="D815" s="267"/>
      <c r="E815" s="1035" t="s">
        <v>11498</v>
      </c>
      <c r="F815" s="268" t="s">
        <v>11499</v>
      </c>
      <c r="G815" s="267"/>
      <c r="H815" s="641">
        <v>500</v>
      </c>
    </row>
    <row r="816" spans="1:8" s="760" customFormat="1" ht="13.5" customHeight="1" x14ac:dyDescent="0.25">
      <c r="A816" s="267">
        <v>441</v>
      </c>
      <c r="B816" s="268" t="s">
        <v>1145</v>
      </c>
      <c r="C816" s="267" t="s">
        <v>1144</v>
      </c>
      <c r="D816" s="267"/>
      <c r="E816" s="1035" t="s">
        <v>11500</v>
      </c>
      <c r="F816" s="268" t="s">
        <v>11501</v>
      </c>
      <c r="G816" s="267"/>
      <c r="H816" s="641">
        <v>1000</v>
      </c>
    </row>
    <row r="817" spans="1:8" s="760" customFormat="1" ht="13.5" customHeight="1" x14ac:dyDescent="0.25">
      <c r="A817" s="267">
        <v>441</v>
      </c>
      <c r="B817" s="268" t="s">
        <v>1145</v>
      </c>
      <c r="C817" s="267" t="s">
        <v>1144</v>
      </c>
      <c r="D817" s="267"/>
      <c r="E817" s="1035" t="s">
        <v>11502</v>
      </c>
      <c r="F817" s="268" t="s">
        <v>11503</v>
      </c>
      <c r="G817" s="267"/>
      <c r="H817" s="641">
        <v>1000</v>
      </c>
    </row>
    <row r="818" spans="1:8" s="760" customFormat="1" ht="13.5" customHeight="1" x14ac:dyDescent="0.25">
      <c r="A818" s="267">
        <v>441</v>
      </c>
      <c r="B818" s="268" t="s">
        <v>1145</v>
      </c>
      <c r="C818" s="267" t="s">
        <v>1144</v>
      </c>
      <c r="D818" s="267"/>
      <c r="E818" s="1035" t="s">
        <v>11504</v>
      </c>
      <c r="F818" s="268" t="s">
        <v>11505</v>
      </c>
      <c r="G818" s="267"/>
      <c r="H818" s="641">
        <v>500</v>
      </c>
    </row>
    <row r="819" spans="1:8" s="760" customFormat="1" ht="13.5" customHeight="1" x14ac:dyDescent="0.25">
      <c r="A819" s="267">
        <v>441</v>
      </c>
      <c r="B819" s="268" t="s">
        <v>1145</v>
      </c>
      <c r="C819" s="267" t="s">
        <v>1144</v>
      </c>
      <c r="D819" s="267"/>
      <c r="E819" s="1035" t="s">
        <v>11506</v>
      </c>
      <c r="F819" s="268" t="s">
        <v>11507</v>
      </c>
      <c r="G819" s="267"/>
      <c r="H819" s="641">
        <v>4500</v>
      </c>
    </row>
    <row r="820" spans="1:8" s="760" customFormat="1" ht="13.5" customHeight="1" x14ac:dyDescent="0.25">
      <c r="A820" s="267">
        <v>441</v>
      </c>
      <c r="B820" s="268" t="s">
        <v>1145</v>
      </c>
      <c r="C820" s="267" t="s">
        <v>1144</v>
      </c>
      <c r="D820" s="267"/>
      <c r="E820" s="1035" t="s">
        <v>11508</v>
      </c>
      <c r="F820" s="268" t="s">
        <v>11509</v>
      </c>
      <c r="G820" s="267"/>
      <c r="H820" s="641">
        <v>500</v>
      </c>
    </row>
    <row r="821" spans="1:8" s="760" customFormat="1" ht="13.5" customHeight="1" x14ac:dyDescent="0.25">
      <c r="A821" s="267">
        <v>441</v>
      </c>
      <c r="B821" s="268" t="s">
        <v>1145</v>
      </c>
      <c r="C821" s="267" t="s">
        <v>1144</v>
      </c>
      <c r="D821" s="267"/>
      <c r="E821" s="1035" t="s">
        <v>11510</v>
      </c>
      <c r="F821" s="268" t="s">
        <v>11511</v>
      </c>
      <c r="G821" s="267"/>
      <c r="H821" s="641">
        <v>1500</v>
      </c>
    </row>
    <row r="822" spans="1:8" s="760" customFormat="1" ht="13.5" customHeight="1" x14ac:dyDescent="0.25">
      <c r="A822" s="267">
        <v>441</v>
      </c>
      <c r="B822" s="268" t="s">
        <v>1145</v>
      </c>
      <c r="C822" s="267" t="s">
        <v>1144</v>
      </c>
      <c r="D822" s="267"/>
      <c r="E822" s="1035" t="s">
        <v>11512</v>
      </c>
      <c r="F822" s="268" t="s">
        <v>11513</v>
      </c>
      <c r="G822" s="267"/>
      <c r="H822" s="641">
        <v>1500</v>
      </c>
    </row>
    <row r="823" spans="1:8" s="760" customFormat="1" ht="13.5" customHeight="1" x14ac:dyDescent="0.25">
      <c r="A823" s="267">
        <v>441</v>
      </c>
      <c r="B823" s="268" t="s">
        <v>1148</v>
      </c>
      <c r="C823" s="267" t="s">
        <v>1144</v>
      </c>
      <c r="D823" s="267"/>
      <c r="E823" s="1035" t="s">
        <v>11514</v>
      </c>
      <c r="F823" s="268" t="s">
        <v>11515</v>
      </c>
      <c r="G823" s="267"/>
      <c r="H823" s="641">
        <v>7609.98</v>
      </c>
    </row>
    <row r="824" spans="1:8" s="760" customFormat="1" ht="13.5" customHeight="1" x14ac:dyDescent="0.25">
      <c r="A824" s="267">
        <v>441</v>
      </c>
      <c r="B824" s="268" t="s">
        <v>1148</v>
      </c>
      <c r="C824" s="267" t="s">
        <v>1144</v>
      </c>
      <c r="D824" s="267"/>
      <c r="E824" s="1035" t="s">
        <v>11516</v>
      </c>
      <c r="F824" s="268" t="s">
        <v>11517</v>
      </c>
      <c r="G824" s="267"/>
      <c r="H824" s="641">
        <v>1390</v>
      </c>
    </row>
    <row r="825" spans="1:8" s="760" customFormat="1" ht="13.5" customHeight="1" x14ac:dyDescent="0.25">
      <c r="A825" s="267">
        <v>441</v>
      </c>
      <c r="B825" s="268" t="s">
        <v>1148</v>
      </c>
      <c r="C825" s="267" t="s">
        <v>1144</v>
      </c>
      <c r="D825" s="267"/>
      <c r="E825" s="1035" t="s">
        <v>11518</v>
      </c>
      <c r="F825" s="268" t="s">
        <v>11519</v>
      </c>
      <c r="G825" s="267"/>
      <c r="H825" s="641">
        <v>1989.01</v>
      </c>
    </row>
    <row r="826" spans="1:8" s="760" customFormat="1" ht="13.5" customHeight="1" x14ac:dyDescent="0.25">
      <c r="A826" s="267">
        <v>441</v>
      </c>
      <c r="B826" s="268" t="s">
        <v>1148</v>
      </c>
      <c r="C826" s="267" t="s">
        <v>1144</v>
      </c>
      <c r="D826" s="267"/>
      <c r="E826" s="1035" t="s">
        <v>11520</v>
      </c>
      <c r="F826" s="268" t="s">
        <v>11521</v>
      </c>
      <c r="G826" s="267"/>
      <c r="H826" s="641">
        <v>1989.01</v>
      </c>
    </row>
    <row r="827" spans="1:8" s="760" customFormat="1" ht="13.5" customHeight="1" x14ac:dyDescent="0.25">
      <c r="A827" s="267">
        <v>441</v>
      </c>
      <c r="B827" s="268" t="s">
        <v>1145</v>
      </c>
      <c r="C827" s="267" t="s">
        <v>1144</v>
      </c>
      <c r="D827" s="267"/>
      <c r="E827" s="1035" t="s">
        <v>11522</v>
      </c>
      <c r="F827" s="268"/>
      <c r="G827" s="267" t="s">
        <v>11523</v>
      </c>
      <c r="H827" s="641">
        <v>4200</v>
      </c>
    </row>
    <row r="828" spans="1:8" s="760" customFormat="1" ht="13.5" customHeight="1" x14ac:dyDescent="0.25">
      <c r="A828" s="267">
        <v>441</v>
      </c>
      <c r="B828" s="268" t="s">
        <v>1148</v>
      </c>
      <c r="C828" s="267" t="s">
        <v>1144</v>
      </c>
      <c r="D828" s="267"/>
      <c r="E828" s="1035" t="s">
        <v>11524</v>
      </c>
      <c r="F828" s="268" t="s">
        <v>11525</v>
      </c>
      <c r="G828" s="267"/>
      <c r="H828" s="641">
        <v>1989.01</v>
      </c>
    </row>
    <row r="829" spans="1:8" s="760" customFormat="1" ht="13.5" customHeight="1" x14ac:dyDescent="0.25">
      <c r="A829" s="267">
        <v>441</v>
      </c>
      <c r="B829" s="268" t="s">
        <v>1148</v>
      </c>
      <c r="C829" s="267" t="s">
        <v>1144</v>
      </c>
      <c r="D829" s="267"/>
      <c r="E829" s="1035" t="s">
        <v>7654</v>
      </c>
      <c r="F829" s="268" t="s">
        <v>11526</v>
      </c>
      <c r="G829" s="267"/>
      <c r="H829" s="641">
        <v>1000</v>
      </c>
    </row>
    <row r="830" spans="1:8" s="760" customFormat="1" ht="13.5" customHeight="1" x14ac:dyDescent="0.25">
      <c r="A830" s="267">
        <v>441</v>
      </c>
      <c r="B830" s="268" t="s">
        <v>1145</v>
      </c>
      <c r="C830" s="267" t="s">
        <v>1144</v>
      </c>
      <c r="D830" s="267"/>
      <c r="E830" s="1035" t="s">
        <v>11527</v>
      </c>
      <c r="F830" s="268" t="s">
        <v>11528</v>
      </c>
      <c r="G830" s="267"/>
      <c r="H830" s="641">
        <v>3000</v>
      </c>
    </row>
    <row r="831" spans="1:8" s="760" customFormat="1" ht="13.5" customHeight="1" x14ac:dyDescent="0.25">
      <c r="A831" s="267">
        <v>445</v>
      </c>
      <c r="B831" s="268" t="s">
        <v>1148</v>
      </c>
      <c r="C831" s="267" t="s">
        <v>1144</v>
      </c>
      <c r="D831" s="267"/>
      <c r="E831" s="1035" t="s">
        <v>11529</v>
      </c>
      <c r="F831" s="268"/>
      <c r="G831" s="267" t="s">
        <v>11530</v>
      </c>
      <c r="H831" s="641">
        <v>3500</v>
      </c>
    </row>
    <row r="832" spans="1:8" s="760" customFormat="1" ht="13.5" customHeight="1" x14ac:dyDescent="0.25">
      <c r="A832" s="267">
        <v>445</v>
      </c>
      <c r="B832" s="268" t="s">
        <v>1145</v>
      </c>
      <c r="C832" s="267" t="s">
        <v>1144</v>
      </c>
      <c r="D832" s="267"/>
      <c r="E832" s="268" t="s">
        <v>1209</v>
      </c>
      <c r="F832" s="268"/>
      <c r="G832" s="267" t="s">
        <v>1151</v>
      </c>
      <c r="H832" s="641">
        <v>5000</v>
      </c>
    </row>
    <row r="833" spans="1:8" s="760" customFormat="1" ht="13.5" customHeight="1" x14ac:dyDescent="0.25">
      <c r="A833" s="267">
        <v>445</v>
      </c>
      <c r="B833" s="268" t="s">
        <v>1148</v>
      </c>
      <c r="C833" s="267" t="s">
        <v>1144</v>
      </c>
      <c r="D833" s="267"/>
      <c r="E833" s="1035" t="s">
        <v>11531</v>
      </c>
      <c r="F833" s="268"/>
      <c r="G833" s="267"/>
      <c r="H833" s="641">
        <v>7225.5</v>
      </c>
    </row>
    <row r="834" spans="1:8" s="760" customFormat="1" ht="13.5" customHeight="1" x14ac:dyDescent="0.25">
      <c r="A834" s="267">
        <v>445</v>
      </c>
      <c r="B834" s="268" t="s">
        <v>1145</v>
      </c>
      <c r="C834" s="267" t="s">
        <v>1144</v>
      </c>
      <c r="D834" s="267"/>
      <c r="E834" s="1035" t="s">
        <v>11532</v>
      </c>
      <c r="F834" s="268" t="s">
        <v>11533</v>
      </c>
      <c r="G834" s="267"/>
      <c r="H834" s="641">
        <v>11600</v>
      </c>
    </row>
    <row r="835" spans="1:8" s="760" customFormat="1" ht="13.5" customHeight="1" x14ac:dyDescent="0.25">
      <c r="A835" s="267">
        <v>445</v>
      </c>
      <c r="B835" s="268" t="s">
        <v>1145</v>
      </c>
      <c r="C835" s="267" t="s">
        <v>1144</v>
      </c>
      <c r="D835" s="267"/>
      <c r="E835" s="268" t="s">
        <v>2552</v>
      </c>
      <c r="F835" s="268"/>
      <c r="G835" s="267" t="s">
        <v>2553</v>
      </c>
      <c r="H835" s="641">
        <v>28000</v>
      </c>
    </row>
    <row r="836" spans="1:8" s="760" customFormat="1" ht="13.5" customHeight="1" x14ac:dyDescent="0.25">
      <c r="A836" s="267">
        <v>445</v>
      </c>
      <c r="B836" s="268" t="s">
        <v>1145</v>
      </c>
      <c r="C836" s="267" t="s">
        <v>1144</v>
      </c>
      <c r="D836" s="267"/>
      <c r="E836" s="268" t="s">
        <v>7734</v>
      </c>
      <c r="F836" s="268"/>
      <c r="G836" s="267"/>
      <c r="H836" s="641">
        <v>48000</v>
      </c>
    </row>
    <row r="837" spans="1:8" s="760" customFormat="1" ht="13.5" customHeight="1" x14ac:dyDescent="0.25">
      <c r="A837" s="267">
        <v>445</v>
      </c>
      <c r="B837" s="268" t="s">
        <v>1145</v>
      </c>
      <c r="C837" s="267" t="s">
        <v>1144</v>
      </c>
      <c r="D837" s="267"/>
      <c r="E837" s="268" t="s">
        <v>7885</v>
      </c>
      <c r="F837" s="268"/>
      <c r="G837" s="268" t="s">
        <v>7886</v>
      </c>
      <c r="H837" s="641">
        <v>50000</v>
      </c>
    </row>
    <row r="838" spans="1:8" s="760" customFormat="1" ht="13.5" customHeight="1" x14ac:dyDescent="0.25">
      <c r="A838" s="267">
        <v>445</v>
      </c>
      <c r="B838" s="268" t="s">
        <v>1145</v>
      </c>
      <c r="C838" s="267" t="s">
        <v>1144</v>
      </c>
      <c r="D838" s="267"/>
      <c r="E838" s="1035" t="s">
        <v>11534</v>
      </c>
      <c r="F838" s="268"/>
      <c r="G838" s="267" t="s">
        <v>11535</v>
      </c>
      <c r="H838" s="641">
        <v>50000</v>
      </c>
    </row>
    <row r="839" spans="1:8" s="760" customFormat="1" ht="13.5" customHeight="1" x14ac:dyDescent="0.25">
      <c r="A839" s="267">
        <v>441</v>
      </c>
      <c r="B839" s="268" t="s">
        <v>1145</v>
      </c>
      <c r="C839" s="267" t="s">
        <v>1144</v>
      </c>
      <c r="D839" s="267"/>
      <c r="E839" s="1035" t="s">
        <v>11293</v>
      </c>
      <c r="F839" s="268"/>
      <c r="G839" s="267"/>
      <c r="H839" s="641">
        <v>8600</v>
      </c>
    </row>
    <row r="840" spans="1:8" s="760" customFormat="1" ht="13.5" customHeight="1" x14ac:dyDescent="0.25">
      <c r="A840" s="267">
        <v>441</v>
      </c>
      <c r="B840" s="268" t="s">
        <v>1148</v>
      </c>
      <c r="C840" s="267" t="s">
        <v>1144</v>
      </c>
      <c r="D840" s="267"/>
      <c r="E840" s="1035" t="s">
        <v>11536</v>
      </c>
      <c r="F840" s="268" t="s">
        <v>11537</v>
      </c>
      <c r="G840" s="267"/>
      <c r="H840" s="641">
        <v>9813.6</v>
      </c>
    </row>
    <row r="841" spans="1:8" s="760" customFormat="1" ht="13.5" customHeight="1" x14ac:dyDescent="0.25">
      <c r="A841" s="267">
        <v>441</v>
      </c>
      <c r="B841" s="268" t="s">
        <v>1148</v>
      </c>
      <c r="C841" s="267" t="s">
        <v>1144</v>
      </c>
      <c r="D841" s="267"/>
      <c r="E841" s="1035" t="s">
        <v>11538</v>
      </c>
      <c r="F841" s="268" t="s">
        <v>11539</v>
      </c>
      <c r="G841" s="267"/>
      <c r="H841" s="641">
        <v>11949.07</v>
      </c>
    </row>
    <row r="842" spans="1:8" s="760" customFormat="1" ht="13.5" customHeight="1" x14ac:dyDescent="0.25">
      <c r="A842" s="267">
        <v>445</v>
      </c>
      <c r="B842" s="268" t="s">
        <v>1148</v>
      </c>
      <c r="C842" s="267" t="s">
        <v>1144</v>
      </c>
      <c r="D842" s="267"/>
      <c r="E842" s="1035" t="s">
        <v>11540</v>
      </c>
      <c r="F842" s="268" t="s">
        <v>11541</v>
      </c>
      <c r="G842" s="267"/>
      <c r="H842" s="641">
        <v>7979.99</v>
      </c>
    </row>
    <row r="843" spans="1:8" s="760" customFormat="1" ht="13.5" customHeight="1" x14ac:dyDescent="0.25">
      <c r="A843" s="267">
        <v>445</v>
      </c>
      <c r="B843" s="268" t="s">
        <v>1145</v>
      </c>
      <c r="C843" s="267" t="s">
        <v>1144</v>
      </c>
      <c r="D843" s="267"/>
      <c r="E843" s="1035" t="s">
        <v>11542</v>
      </c>
      <c r="F843" s="268"/>
      <c r="G843" s="267"/>
      <c r="H843" s="641">
        <v>21719.84</v>
      </c>
    </row>
    <row r="844" spans="1:8" s="760" customFormat="1" ht="13.5" customHeight="1" x14ac:dyDescent="0.25">
      <c r="A844" s="267">
        <v>445</v>
      </c>
      <c r="B844" s="268" t="s">
        <v>1145</v>
      </c>
      <c r="C844" s="267" t="s">
        <v>1144</v>
      </c>
      <c r="D844" s="267"/>
      <c r="E844" s="1035" t="s">
        <v>11543</v>
      </c>
      <c r="F844" s="268" t="s">
        <v>11541</v>
      </c>
      <c r="G844" s="267"/>
      <c r="H844" s="641">
        <v>4589.4800000000005</v>
      </c>
    </row>
    <row r="845" spans="1:8" s="760" customFormat="1" ht="13.5" customHeight="1" x14ac:dyDescent="0.25">
      <c r="A845" s="267">
        <v>441</v>
      </c>
      <c r="B845" s="268" t="s">
        <v>1145</v>
      </c>
      <c r="C845" s="267" t="s">
        <v>1144</v>
      </c>
      <c r="D845" s="267"/>
      <c r="E845" s="1035" t="s">
        <v>11544</v>
      </c>
      <c r="F845" s="268" t="s">
        <v>11545</v>
      </c>
      <c r="G845" s="267"/>
      <c r="H845" s="641">
        <v>3000</v>
      </c>
    </row>
    <row r="846" spans="1:8" s="760" customFormat="1" ht="13.5" customHeight="1" x14ac:dyDescent="0.25">
      <c r="A846" s="267">
        <v>441</v>
      </c>
      <c r="B846" s="268" t="s">
        <v>1145</v>
      </c>
      <c r="C846" s="267" t="s">
        <v>1144</v>
      </c>
      <c r="D846" s="267"/>
      <c r="E846" s="1035" t="s">
        <v>11546</v>
      </c>
      <c r="F846" s="268"/>
      <c r="G846" s="267"/>
      <c r="H846" s="641">
        <v>5000</v>
      </c>
    </row>
    <row r="847" spans="1:8" s="760" customFormat="1" ht="13.5" customHeight="1" x14ac:dyDescent="0.25">
      <c r="A847" s="267">
        <v>441</v>
      </c>
      <c r="B847" s="268" t="s">
        <v>1148</v>
      </c>
      <c r="C847" s="267" t="s">
        <v>1144</v>
      </c>
      <c r="D847" s="267"/>
      <c r="E847" s="1035" t="s">
        <v>11547</v>
      </c>
      <c r="F847" s="268" t="s">
        <v>11548</v>
      </c>
      <c r="G847" s="267"/>
      <c r="H847" s="641">
        <v>4500</v>
      </c>
    </row>
    <row r="848" spans="1:8" s="760" customFormat="1" ht="13.5" customHeight="1" x14ac:dyDescent="0.25">
      <c r="A848" s="267">
        <v>441</v>
      </c>
      <c r="B848" s="268" t="s">
        <v>1145</v>
      </c>
      <c r="C848" s="267" t="s">
        <v>1144</v>
      </c>
      <c r="D848" s="267"/>
      <c r="E848" s="1035" t="s">
        <v>11549</v>
      </c>
      <c r="F848" s="268" t="s">
        <v>11550</v>
      </c>
      <c r="G848" s="267"/>
      <c r="H848" s="641">
        <v>15000</v>
      </c>
    </row>
    <row r="849" spans="1:8" s="760" customFormat="1" ht="13.5" customHeight="1" x14ac:dyDescent="0.25">
      <c r="A849" s="267">
        <v>441</v>
      </c>
      <c r="B849" s="268" t="s">
        <v>1145</v>
      </c>
      <c r="C849" s="267" t="s">
        <v>1144</v>
      </c>
      <c r="D849" s="267"/>
      <c r="E849" s="1035" t="s">
        <v>11551</v>
      </c>
      <c r="F849" s="268" t="s">
        <v>11552</v>
      </c>
      <c r="G849" s="267"/>
      <c r="H849" s="641">
        <v>5000</v>
      </c>
    </row>
    <row r="850" spans="1:8" s="760" customFormat="1" ht="13.5" customHeight="1" x14ac:dyDescent="0.25">
      <c r="A850" s="267">
        <v>441</v>
      </c>
      <c r="B850" s="268" t="s">
        <v>1145</v>
      </c>
      <c r="C850" s="267" t="s">
        <v>1144</v>
      </c>
      <c r="D850" s="267"/>
      <c r="E850" s="1035" t="s">
        <v>11553</v>
      </c>
      <c r="F850" s="268" t="s">
        <v>11554</v>
      </c>
      <c r="G850" s="267"/>
      <c r="H850" s="641">
        <v>4000</v>
      </c>
    </row>
    <row r="851" spans="1:8" s="760" customFormat="1" ht="13.5" customHeight="1" x14ac:dyDescent="0.25">
      <c r="A851" s="267">
        <v>441</v>
      </c>
      <c r="B851" s="268" t="s">
        <v>1145</v>
      </c>
      <c r="C851" s="267" t="s">
        <v>1144</v>
      </c>
      <c r="D851" s="267"/>
      <c r="E851" s="1035" t="s">
        <v>11555</v>
      </c>
      <c r="F851" s="268" t="s">
        <v>11556</v>
      </c>
      <c r="G851" s="267"/>
      <c r="H851" s="641">
        <v>5000</v>
      </c>
    </row>
    <row r="852" spans="1:8" s="760" customFormat="1" ht="13.5" customHeight="1" x14ac:dyDescent="0.25">
      <c r="A852" s="267">
        <v>441</v>
      </c>
      <c r="B852" s="268" t="s">
        <v>1145</v>
      </c>
      <c r="C852" s="267" t="s">
        <v>1144</v>
      </c>
      <c r="D852" s="267"/>
      <c r="E852" s="1035" t="s">
        <v>11557</v>
      </c>
      <c r="F852" s="268" t="s">
        <v>11558</v>
      </c>
      <c r="G852" s="267"/>
      <c r="H852" s="641">
        <v>20000</v>
      </c>
    </row>
    <row r="853" spans="1:8" s="760" customFormat="1" ht="13.5" customHeight="1" x14ac:dyDescent="0.25">
      <c r="A853" s="267">
        <v>441</v>
      </c>
      <c r="B853" s="268" t="s">
        <v>1145</v>
      </c>
      <c r="C853" s="267" t="s">
        <v>1144</v>
      </c>
      <c r="D853" s="267"/>
      <c r="E853" s="1035" t="s">
        <v>7781</v>
      </c>
      <c r="F853" s="268" t="s">
        <v>7919</v>
      </c>
      <c r="G853" s="267"/>
      <c r="H853" s="641">
        <v>800</v>
      </c>
    </row>
    <row r="854" spans="1:8" s="760" customFormat="1" ht="13.5" customHeight="1" x14ac:dyDescent="0.25">
      <c r="A854" s="267">
        <v>441</v>
      </c>
      <c r="B854" s="268" t="s">
        <v>1145</v>
      </c>
      <c r="C854" s="267" t="s">
        <v>1144</v>
      </c>
      <c r="D854" s="267"/>
      <c r="E854" s="1035" t="s">
        <v>7781</v>
      </c>
      <c r="F854" s="268" t="s">
        <v>7919</v>
      </c>
      <c r="G854" s="267"/>
      <c r="H854" s="641">
        <v>800</v>
      </c>
    </row>
    <row r="855" spans="1:8" s="760" customFormat="1" ht="13.5" customHeight="1" x14ac:dyDescent="0.25">
      <c r="A855" s="267">
        <v>445</v>
      </c>
      <c r="B855" s="268" t="s">
        <v>1145</v>
      </c>
      <c r="C855" s="267" t="s">
        <v>1144</v>
      </c>
      <c r="D855" s="267"/>
      <c r="E855" s="1035" t="s">
        <v>7734</v>
      </c>
      <c r="F855" s="268"/>
      <c r="G855" s="267"/>
      <c r="H855" s="641">
        <v>48000</v>
      </c>
    </row>
    <row r="856" spans="1:8" s="760" customFormat="1" ht="13.5" customHeight="1" x14ac:dyDescent="0.25">
      <c r="A856" s="267">
        <v>445</v>
      </c>
      <c r="B856" s="268" t="s">
        <v>1145</v>
      </c>
      <c r="C856" s="267" t="s">
        <v>1144</v>
      </c>
      <c r="D856" s="267"/>
      <c r="E856" s="268" t="s">
        <v>1209</v>
      </c>
      <c r="F856" s="268"/>
      <c r="G856" s="267" t="s">
        <v>1151</v>
      </c>
      <c r="H856" s="641">
        <v>5000</v>
      </c>
    </row>
    <row r="857" spans="1:8" s="760" customFormat="1" ht="13.5" customHeight="1" x14ac:dyDescent="0.25">
      <c r="A857" s="267">
        <v>445</v>
      </c>
      <c r="B857" s="268" t="s">
        <v>1145</v>
      </c>
      <c r="C857" s="267" t="s">
        <v>1144</v>
      </c>
      <c r="D857" s="267"/>
      <c r="E857" s="1035" t="s">
        <v>11559</v>
      </c>
      <c r="F857" s="268" t="s">
        <v>11560</v>
      </c>
      <c r="G857" s="267"/>
      <c r="H857" s="641">
        <v>13090</v>
      </c>
    </row>
    <row r="858" spans="1:8" s="760" customFormat="1" ht="13.5" customHeight="1" x14ac:dyDescent="0.25">
      <c r="A858" s="267">
        <v>445</v>
      </c>
      <c r="B858" s="268" t="s">
        <v>1145</v>
      </c>
      <c r="C858" s="267" t="s">
        <v>1144</v>
      </c>
      <c r="D858" s="267"/>
      <c r="E858" s="1035" t="s">
        <v>11561</v>
      </c>
      <c r="F858" s="268" t="s">
        <v>11562</v>
      </c>
      <c r="G858" s="267"/>
      <c r="H858" s="641">
        <v>3500</v>
      </c>
    </row>
    <row r="859" spans="1:8" s="760" customFormat="1" ht="13.5" customHeight="1" x14ac:dyDescent="0.25">
      <c r="A859" s="267">
        <v>445</v>
      </c>
      <c r="B859" s="268" t="s">
        <v>1148</v>
      </c>
      <c r="C859" s="267" t="s">
        <v>1144</v>
      </c>
      <c r="D859" s="267"/>
      <c r="E859" s="1035" t="s">
        <v>11563</v>
      </c>
      <c r="F859" s="268"/>
      <c r="G859" s="267"/>
      <c r="H859" s="641">
        <v>11766</v>
      </c>
    </row>
    <row r="860" spans="1:8" s="760" customFormat="1" ht="13.5" customHeight="1" x14ac:dyDescent="0.25">
      <c r="A860" s="267">
        <v>445</v>
      </c>
      <c r="B860" s="268" t="s">
        <v>1148</v>
      </c>
      <c r="C860" s="267" t="s">
        <v>1144</v>
      </c>
      <c r="D860" s="267"/>
      <c r="E860" s="1035" t="s">
        <v>11563</v>
      </c>
      <c r="F860" s="268"/>
      <c r="G860" s="267"/>
      <c r="H860" s="641">
        <v>30988.7</v>
      </c>
    </row>
    <row r="861" spans="1:8" s="760" customFormat="1" ht="13.5" customHeight="1" x14ac:dyDescent="0.25">
      <c r="A861" s="267">
        <v>445</v>
      </c>
      <c r="B861" s="268" t="s">
        <v>1145</v>
      </c>
      <c r="C861" s="267" t="s">
        <v>1144</v>
      </c>
      <c r="D861" s="267"/>
      <c r="E861" s="1035" t="s">
        <v>11564</v>
      </c>
      <c r="F861" s="268"/>
      <c r="G861" s="267" t="s">
        <v>11565</v>
      </c>
      <c r="H861" s="641">
        <v>60000</v>
      </c>
    </row>
    <row r="862" spans="1:8" s="760" customFormat="1" ht="13.5" customHeight="1" x14ac:dyDescent="0.25">
      <c r="A862" s="267">
        <v>445</v>
      </c>
      <c r="B862" s="268" t="s">
        <v>1145</v>
      </c>
      <c r="C862" s="267" t="s">
        <v>1144</v>
      </c>
      <c r="D862" s="267"/>
      <c r="E862" s="1035" t="s">
        <v>11566</v>
      </c>
      <c r="F862" s="268"/>
      <c r="G862" s="267"/>
      <c r="H862" s="641">
        <v>3000</v>
      </c>
    </row>
    <row r="863" spans="1:8" s="760" customFormat="1" ht="13.5" customHeight="1" x14ac:dyDescent="0.25">
      <c r="A863" s="267">
        <v>445</v>
      </c>
      <c r="B863" s="268" t="s">
        <v>1145</v>
      </c>
      <c r="C863" s="267" t="s">
        <v>1144</v>
      </c>
      <c r="D863" s="267"/>
      <c r="E863" s="268" t="s">
        <v>2552</v>
      </c>
      <c r="F863" s="268"/>
      <c r="G863" s="267" t="s">
        <v>2553</v>
      </c>
      <c r="H863" s="641">
        <v>28000</v>
      </c>
    </row>
    <row r="864" spans="1:8" s="760" customFormat="1" ht="13.5" customHeight="1" x14ac:dyDescent="0.25">
      <c r="A864" s="267">
        <v>445</v>
      </c>
      <c r="B864" s="268" t="s">
        <v>1145</v>
      </c>
      <c r="C864" s="267" t="s">
        <v>1144</v>
      </c>
      <c r="D864" s="267"/>
      <c r="E864" s="1035" t="s">
        <v>11567</v>
      </c>
      <c r="F864" s="268" t="s">
        <v>11568</v>
      </c>
      <c r="G864" s="267"/>
      <c r="H864" s="641">
        <v>10000</v>
      </c>
    </row>
    <row r="865" spans="1:8" s="760" customFormat="1" ht="13.5" customHeight="1" x14ac:dyDescent="0.25">
      <c r="A865" s="267">
        <v>445</v>
      </c>
      <c r="B865" s="268" t="s">
        <v>1148</v>
      </c>
      <c r="C865" s="267" t="s">
        <v>1144</v>
      </c>
      <c r="D865" s="267"/>
      <c r="E865" s="1035" t="s">
        <v>11569</v>
      </c>
      <c r="F865" s="268"/>
      <c r="G865" s="267" t="s">
        <v>11570</v>
      </c>
      <c r="H865" s="641">
        <v>2160</v>
      </c>
    </row>
    <row r="866" spans="1:8" s="760" customFormat="1" ht="13.5" customHeight="1" x14ac:dyDescent="0.25">
      <c r="A866" s="267">
        <v>445</v>
      </c>
      <c r="B866" s="268" t="s">
        <v>1148</v>
      </c>
      <c r="C866" s="267" t="s">
        <v>1144</v>
      </c>
      <c r="D866" s="267"/>
      <c r="E866" s="1035" t="s">
        <v>11571</v>
      </c>
      <c r="F866" s="268" t="s">
        <v>11572</v>
      </c>
      <c r="G866" s="267"/>
      <c r="H866" s="641">
        <v>3132</v>
      </c>
    </row>
    <row r="867" spans="1:8" s="760" customFormat="1" ht="13.5" customHeight="1" x14ac:dyDescent="0.25">
      <c r="A867" s="267">
        <v>445</v>
      </c>
      <c r="B867" s="268" t="s">
        <v>1148</v>
      </c>
      <c r="C867" s="267" t="s">
        <v>1144</v>
      </c>
      <c r="D867" s="267"/>
      <c r="E867" s="1035" t="s">
        <v>11573</v>
      </c>
      <c r="F867" s="268" t="s">
        <v>11574</v>
      </c>
      <c r="G867" s="267"/>
      <c r="H867" s="641">
        <v>4000</v>
      </c>
    </row>
    <row r="868" spans="1:8" s="760" customFormat="1" ht="13.5" customHeight="1" x14ac:dyDescent="0.25">
      <c r="A868" s="267">
        <v>441</v>
      </c>
      <c r="B868" s="268" t="s">
        <v>1145</v>
      </c>
      <c r="C868" s="267" t="s">
        <v>1144</v>
      </c>
      <c r="D868" s="267"/>
      <c r="E868" s="1035" t="s">
        <v>7830</v>
      </c>
      <c r="F868" s="268" t="s">
        <v>11575</v>
      </c>
      <c r="G868" s="267"/>
      <c r="H868" s="641">
        <v>400</v>
      </c>
    </row>
    <row r="869" spans="1:8" s="760" customFormat="1" ht="13.5" customHeight="1" x14ac:dyDescent="0.25">
      <c r="A869" s="267">
        <v>441</v>
      </c>
      <c r="B869" s="268" t="s">
        <v>1145</v>
      </c>
      <c r="C869" s="267" t="s">
        <v>1144</v>
      </c>
      <c r="D869" s="267"/>
      <c r="E869" s="1035" t="s">
        <v>11576</v>
      </c>
      <c r="F869" s="268" t="s">
        <v>11577</v>
      </c>
      <c r="G869" s="267"/>
      <c r="H869" s="641">
        <v>400</v>
      </c>
    </row>
    <row r="870" spans="1:8" s="760" customFormat="1" ht="13.5" customHeight="1" x14ac:dyDescent="0.25">
      <c r="A870" s="267">
        <v>441</v>
      </c>
      <c r="B870" s="268" t="s">
        <v>1145</v>
      </c>
      <c r="C870" s="267" t="s">
        <v>1144</v>
      </c>
      <c r="D870" s="267"/>
      <c r="E870" s="1035" t="s">
        <v>7936</v>
      </c>
      <c r="F870" s="268" t="s">
        <v>7937</v>
      </c>
      <c r="G870" s="267"/>
      <c r="H870" s="641">
        <v>300</v>
      </c>
    </row>
    <row r="871" spans="1:8" s="760" customFormat="1" ht="13.5" customHeight="1" x14ac:dyDescent="0.25">
      <c r="A871" s="267">
        <v>441</v>
      </c>
      <c r="B871" s="268" t="s">
        <v>1145</v>
      </c>
      <c r="C871" s="267" t="s">
        <v>1144</v>
      </c>
      <c r="D871" s="267"/>
      <c r="E871" s="1035" t="s">
        <v>7942</v>
      </c>
      <c r="F871" s="268" t="s">
        <v>7943</v>
      </c>
      <c r="G871" s="267"/>
      <c r="H871" s="641">
        <v>300</v>
      </c>
    </row>
    <row r="872" spans="1:8" s="760" customFormat="1" ht="13.5" customHeight="1" x14ac:dyDescent="0.25">
      <c r="A872" s="267">
        <v>441</v>
      </c>
      <c r="B872" s="268" t="s">
        <v>1145</v>
      </c>
      <c r="C872" s="267" t="s">
        <v>1144</v>
      </c>
      <c r="D872" s="267"/>
      <c r="E872" s="1035" t="s">
        <v>11578</v>
      </c>
      <c r="F872" s="268" t="s">
        <v>11579</v>
      </c>
      <c r="G872" s="267"/>
      <c r="H872" s="641">
        <v>300</v>
      </c>
    </row>
    <row r="873" spans="1:8" s="760" customFormat="1" ht="13.5" customHeight="1" x14ac:dyDescent="0.25">
      <c r="A873" s="267">
        <v>441</v>
      </c>
      <c r="B873" s="268" t="s">
        <v>1145</v>
      </c>
      <c r="C873" s="267" t="s">
        <v>1144</v>
      </c>
      <c r="D873" s="267"/>
      <c r="E873" s="1035" t="s">
        <v>7839</v>
      </c>
      <c r="F873" s="268" t="s">
        <v>7840</v>
      </c>
      <c r="G873" s="267"/>
      <c r="H873" s="641">
        <v>300</v>
      </c>
    </row>
    <row r="874" spans="1:8" s="760" customFormat="1" ht="13.5" customHeight="1" x14ac:dyDescent="0.25">
      <c r="A874" s="267">
        <v>441</v>
      </c>
      <c r="B874" s="268" t="s">
        <v>1145</v>
      </c>
      <c r="C874" s="267" t="s">
        <v>1144</v>
      </c>
      <c r="D874" s="267"/>
      <c r="E874" s="1035" t="s">
        <v>11580</v>
      </c>
      <c r="F874" s="268" t="s">
        <v>11581</v>
      </c>
      <c r="G874" s="267"/>
      <c r="H874" s="641">
        <v>300</v>
      </c>
    </row>
    <row r="875" spans="1:8" s="760" customFormat="1" ht="13.5" customHeight="1" x14ac:dyDescent="0.25">
      <c r="A875" s="267">
        <v>441</v>
      </c>
      <c r="B875" s="268" t="s">
        <v>1145</v>
      </c>
      <c r="C875" s="267" t="s">
        <v>1144</v>
      </c>
      <c r="D875" s="267"/>
      <c r="E875" s="1035" t="s">
        <v>11582</v>
      </c>
      <c r="F875" s="268" t="s">
        <v>11583</v>
      </c>
      <c r="G875" s="267"/>
      <c r="H875" s="641">
        <v>200</v>
      </c>
    </row>
    <row r="876" spans="1:8" s="760" customFormat="1" ht="13.5" customHeight="1" x14ac:dyDescent="0.25">
      <c r="A876" s="267">
        <v>441</v>
      </c>
      <c r="B876" s="268" t="s">
        <v>1145</v>
      </c>
      <c r="C876" s="267" t="s">
        <v>1144</v>
      </c>
      <c r="D876" s="267"/>
      <c r="E876" s="1035" t="s">
        <v>7805</v>
      </c>
      <c r="F876" s="268" t="s">
        <v>11584</v>
      </c>
      <c r="G876" s="267"/>
      <c r="H876" s="641">
        <v>150</v>
      </c>
    </row>
    <row r="877" spans="1:8" s="760" customFormat="1" ht="13.5" customHeight="1" x14ac:dyDescent="0.25">
      <c r="A877" s="267">
        <v>441</v>
      </c>
      <c r="B877" s="268" t="s">
        <v>1145</v>
      </c>
      <c r="C877" s="267" t="s">
        <v>1144</v>
      </c>
      <c r="D877" s="267"/>
      <c r="E877" s="1035" t="s">
        <v>11585</v>
      </c>
      <c r="F877" s="268" t="s">
        <v>11586</v>
      </c>
      <c r="G877" s="267"/>
      <c r="H877" s="641">
        <v>250</v>
      </c>
    </row>
    <row r="878" spans="1:8" s="760" customFormat="1" ht="13.5" customHeight="1" x14ac:dyDescent="0.25">
      <c r="A878" s="267">
        <v>441</v>
      </c>
      <c r="B878" s="268" t="s">
        <v>1145</v>
      </c>
      <c r="C878" s="267" t="s">
        <v>1144</v>
      </c>
      <c r="D878" s="267"/>
      <c r="E878" s="1035" t="s">
        <v>11587</v>
      </c>
      <c r="F878" s="268" t="s">
        <v>11588</v>
      </c>
      <c r="G878" s="267"/>
      <c r="H878" s="641">
        <v>300</v>
      </c>
    </row>
    <row r="879" spans="1:8" s="760" customFormat="1" ht="13.5" customHeight="1" x14ac:dyDescent="0.25">
      <c r="A879" s="267">
        <v>441</v>
      </c>
      <c r="B879" s="268" t="s">
        <v>1145</v>
      </c>
      <c r="C879" s="267" t="s">
        <v>1144</v>
      </c>
      <c r="D879" s="267"/>
      <c r="E879" s="1035" t="s">
        <v>11589</v>
      </c>
      <c r="F879" s="268" t="s">
        <v>11590</v>
      </c>
      <c r="G879" s="267"/>
      <c r="H879" s="641">
        <v>300</v>
      </c>
    </row>
    <row r="880" spans="1:8" s="760" customFormat="1" ht="13.5" customHeight="1" x14ac:dyDescent="0.25">
      <c r="A880" s="267">
        <v>441</v>
      </c>
      <c r="B880" s="268" t="s">
        <v>1145</v>
      </c>
      <c r="C880" s="267" t="s">
        <v>1144</v>
      </c>
      <c r="D880" s="267"/>
      <c r="E880" s="1035" t="s">
        <v>11591</v>
      </c>
      <c r="F880" s="268" t="s">
        <v>11592</v>
      </c>
      <c r="G880" s="267"/>
      <c r="H880" s="641">
        <v>700</v>
      </c>
    </row>
    <row r="881" spans="1:8" s="760" customFormat="1" ht="13.5" customHeight="1" x14ac:dyDescent="0.25">
      <c r="A881" s="267">
        <v>441</v>
      </c>
      <c r="B881" s="268" t="s">
        <v>1145</v>
      </c>
      <c r="C881" s="267" t="s">
        <v>1144</v>
      </c>
      <c r="D881" s="267"/>
      <c r="E881" s="1035" t="s">
        <v>11593</v>
      </c>
      <c r="F881" s="268" t="s">
        <v>7614</v>
      </c>
      <c r="G881" s="267"/>
      <c r="H881" s="641">
        <v>200</v>
      </c>
    </row>
    <row r="882" spans="1:8" s="760" customFormat="1" ht="13.5" customHeight="1" x14ac:dyDescent="0.25">
      <c r="A882" s="267">
        <v>441</v>
      </c>
      <c r="B882" s="268" t="s">
        <v>1145</v>
      </c>
      <c r="C882" s="267" t="s">
        <v>1144</v>
      </c>
      <c r="D882" s="267"/>
      <c r="E882" s="1035" t="s">
        <v>7842</v>
      </c>
      <c r="F882" s="268" t="s">
        <v>7843</v>
      </c>
      <c r="G882" s="267"/>
      <c r="H882" s="641">
        <v>150</v>
      </c>
    </row>
    <row r="883" spans="1:8" s="760" customFormat="1" ht="13.5" customHeight="1" x14ac:dyDescent="0.25">
      <c r="A883" s="267">
        <v>441</v>
      </c>
      <c r="B883" s="268" t="s">
        <v>1145</v>
      </c>
      <c r="C883" s="267" t="s">
        <v>1144</v>
      </c>
      <c r="D883" s="267"/>
      <c r="E883" s="1035" t="s">
        <v>11594</v>
      </c>
      <c r="F883" s="268" t="s">
        <v>11595</v>
      </c>
      <c r="G883" s="267"/>
      <c r="H883" s="641">
        <v>300</v>
      </c>
    </row>
    <row r="884" spans="1:8" s="760" customFormat="1" ht="13.5" customHeight="1" x14ac:dyDescent="0.25">
      <c r="A884" s="267">
        <v>441</v>
      </c>
      <c r="B884" s="268" t="s">
        <v>1145</v>
      </c>
      <c r="C884" s="267" t="s">
        <v>1144</v>
      </c>
      <c r="D884" s="267"/>
      <c r="E884" s="1035" t="s">
        <v>11596</v>
      </c>
      <c r="F884" s="268" t="s">
        <v>11597</v>
      </c>
      <c r="G884" s="267"/>
      <c r="H884" s="641">
        <v>400</v>
      </c>
    </row>
    <row r="885" spans="1:8" s="760" customFormat="1" ht="13.5" customHeight="1" x14ac:dyDescent="0.25">
      <c r="A885" s="267">
        <v>441</v>
      </c>
      <c r="B885" s="268" t="s">
        <v>1145</v>
      </c>
      <c r="C885" s="267" t="s">
        <v>1144</v>
      </c>
      <c r="D885" s="267"/>
      <c r="E885" s="1035" t="s">
        <v>11598</v>
      </c>
      <c r="F885" s="268" t="s">
        <v>11599</v>
      </c>
      <c r="G885" s="267"/>
      <c r="H885" s="641">
        <v>400</v>
      </c>
    </row>
    <row r="886" spans="1:8" s="760" customFormat="1" ht="13.5" customHeight="1" x14ac:dyDescent="0.25">
      <c r="A886" s="267">
        <v>441</v>
      </c>
      <c r="B886" s="268" t="s">
        <v>1145</v>
      </c>
      <c r="C886" s="267" t="s">
        <v>1144</v>
      </c>
      <c r="D886" s="267"/>
      <c r="E886" s="1035" t="s">
        <v>7859</v>
      </c>
      <c r="F886" s="268" t="s">
        <v>7854</v>
      </c>
      <c r="G886" s="267"/>
      <c r="H886" s="641">
        <v>150</v>
      </c>
    </row>
    <row r="887" spans="1:8" s="760" customFormat="1" ht="13.5" customHeight="1" x14ac:dyDescent="0.25">
      <c r="A887" s="267">
        <v>441</v>
      </c>
      <c r="B887" s="268" t="s">
        <v>1145</v>
      </c>
      <c r="C887" s="267" t="s">
        <v>1144</v>
      </c>
      <c r="D887" s="267"/>
      <c r="E887" s="1035" t="s">
        <v>2575</v>
      </c>
      <c r="F887" s="268" t="s">
        <v>2576</v>
      </c>
      <c r="G887" s="267"/>
      <c r="H887" s="641">
        <v>300</v>
      </c>
    </row>
    <row r="888" spans="1:8" s="760" customFormat="1" ht="13.5" customHeight="1" x14ac:dyDescent="0.25">
      <c r="A888" s="267">
        <v>441</v>
      </c>
      <c r="B888" s="268" t="s">
        <v>1145</v>
      </c>
      <c r="C888" s="267" t="s">
        <v>1144</v>
      </c>
      <c r="D888" s="267"/>
      <c r="E888" s="1035" t="s">
        <v>11600</v>
      </c>
      <c r="F888" s="268" t="s">
        <v>11601</v>
      </c>
      <c r="G888" s="267"/>
      <c r="H888" s="641">
        <v>400</v>
      </c>
    </row>
    <row r="889" spans="1:8" s="760" customFormat="1" ht="13.5" customHeight="1" x14ac:dyDescent="0.25">
      <c r="A889" s="267">
        <v>441</v>
      </c>
      <c r="B889" s="268" t="s">
        <v>1145</v>
      </c>
      <c r="C889" s="267" t="s">
        <v>1144</v>
      </c>
      <c r="D889" s="267"/>
      <c r="E889" s="1035" t="s">
        <v>2533</v>
      </c>
      <c r="F889" s="268" t="s">
        <v>2534</v>
      </c>
      <c r="G889" s="267"/>
      <c r="H889" s="641">
        <v>200</v>
      </c>
    </row>
    <row r="890" spans="1:8" s="760" customFormat="1" ht="13.5" customHeight="1" x14ac:dyDescent="0.25">
      <c r="A890" s="267">
        <v>441</v>
      </c>
      <c r="B890" s="268" t="s">
        <v>1145</v>
      </c>
      <c r="C890" s="267" t="s">
        <v>1144</v>
      </c>
      <c r="D890" s="267"/>
      <c r="E890" s="1035" t="s">
        <v>11602</v>
      </c>
      <c r="F890" s="268" t="s">
        <v>11603</v>
      </c>
      <c r="G890" s="267"/>
      <c r="H890" s="641">
        <v>300</v>
      </c>
    </row>
    <row r="891" spans="1:8" s="760" customFormat="1" ht="13.5" customHeight="1" x14ac:dyDescent="0.25">
      <c r="A891" s="267">
        <v>441</v>
      </c>
      <c r="B891" s="268" t="s">
        <v>1145</v>
      </c>
      <c r="C891" s="267" t="s">
        <v>1144</v>
      </c>
      <c r="D891" s="267"/>
      <c r="E891" s="1035" t="s">
        <v>11604</v>
      </c>
      <c r="F891" s="268" t="s">
        <v>11605</v>
      </c>
      <c r="G891" s="267"/>
      <c r="H891" s="641">
        <v>400</v>
      </c>
    </row>
    <row r="892" spans="1:8" s="760" customFormat="1" ht="13.5" customHeight="1" x14ac:dyDescent="0.25">
      <c r="A892" s="267">
        <v>441</v>
      </c>
      <c r="B892" s="268" t="s">
        <v>1145</v>
      </c>
      <c r="C892" s="267" t="s">
        <v>1144</v>
      </c>
      <c r="D892" s="267"/>
      <c r="E892" s="1035" t="s">
        <v>2571</v>
      </c>
      <c r="F892" s="268" t="s">
        <v>2572</v>
      </c>
      <c r="G892" s="267"/>
      <c r="H892" s="641">
        <v>300</v>
      </c>
    </row>
    <row r="893" spans="1:8" s="760" customFormat="1" ht="13.5" customHeight="1" x14ac:dyDescent="0.25">
      <c r="A893" s="267">
        <v>441</v>
      </c>
      <c r="B893" s="268" t="s">
        <v>1145</v>
      </c>
      <c r="C893" s="267" t="s">
        <v>1144</v>
      </c>
      <c r="D893" s="267"/>
      <c r="E893" s="1035" t="s">
        <v>11606</v>
      </c>
      <c r="F893" s="268" t="s">
        <v>11607</v>
      </c>
      <c r="G893" s="267"/>
      <c r="H893" s="641">
        <v>150</v>
      </c>
    </row>
    <row r="894" spans="1:8" s="760" customFormat="1" ht="13.5" customHeight="1" x14ac:dyDescent="0.25">
      <c r="A894" s="267">
        <v>441</v>
      </c>
      <c r="B894" s="268" t="s">
        <v>1145</v>
      </c>
      <c r="C894" s="267" t="s">
        <v>1144</v>
      </c>
      <c r="D894" s="267"/>
      <c r="E894" s="1035" t="s">
        <v>7860</v>
      </c>
      <c r="F894" s="268" t="s">
        <v>7735</v>
      </c>
      <c r="G894" s="267"/>
      <c r="H894" s="641">
        <v>150</v>
      </c>
    </row>
    <row r="895" spans="1:8" s="760" customFormat="1" ht="13.5" customHeight="1" x14ac:dyDescent="0.25">
      <c r="A895" s="267">
        <v>441</v>
      </c>
      <c r="B895" s="268" t="s">
        <v>1145</v>
      </c>
      <c r="C895" s="267" t="s">
        <v>1144</v>
      </c>
      <c r="D895" s="267"/>
      <c r="E895" s="1035" t="s">
        <v>11608</v>
      </c>
      <c r="F895" s="268" t="s">
        <v>11609</v>
      </c>
      <c r="G895" s="267"/>
      <c r="H895" s="641">
        <v>300</v>
      </c>
    </row>
    <row r="896" spans="1:8" s="760" customFormat="1" ht="13.5" customHeight="1" x14ac:dyDescent="0.25">
      <c r="A896" s="267">
        <v>441</v>
      </c>
      <c r="B896" s="268" t="s">
        <v>1145</v>
      </c>
      <c r="C896" s="267" t="s">
        <v>1144</v>
      </c>
      <c r="D896" s="267"/>
      <c r="E896" s="1035" t="s">
        <v>7809</v>
      </c>
      <c r="F896" s="268" t="s">
        <v>7810</v>
      </c>
      <c r="G896" s="267"/>
      <c r="H896" s="641">
        <v>300</v>
      </c>
    </row>
    <row r="897" spans="1:8" s="760" customFormat="1" ht="13.5" customHeight="1" x14ac:dyDescent="0.25">
      <c r="A897" s="267">
        <v>441</v>
      </c>
      <c r="B897" s="268" t="s">
        <v>1145</v>
      </c>
      <c r="C897" s="267" t="s">
        <v>1144</v>
      </c>
      <c r="D897" s="267"/>
      <c r="E897" s="1035" t="s">
        <v>11610</v>
      </c>
      <c r="F897" s="268" t="s">
        <v>11611</v>
      </c>
      <c r="G897" s="267"/>
      <c r="H897" s="641">
        <v>300</v>
      </c>
    </row>
    <row r="898" spans="1:8" s="760" customFormat="1" ht="13.5" customHeight="1" x14ac:dyDescent="0.25">
      <c r="A898" s="267">
        <v>441</v>
      </c>
      <c r="B898" s="268" t="s">
        <v>1145</v>
      </c>
      <c r="C898" s="267" t="s">
        <v>1144</v>
      </c>
      <c r="D898" s="267"/>
      <c r="E898" s="1035" t="s">
        <v>7873</v>
      </c>
      <c r="F898" s="268" t="s">
        <v>7874</v>
      </c>
      <c r="G898" s="267"/>
      <c r="H898" s="641">
        <v>300</v>
      </c>
    </row>
    <row r="899" spans="1:8" s="760" customFormat="1" ht="13.5" customHeight="1" x14ac:dyDescent="0.25">
      <c r="A899" s="267">
        <v>441</v>
      </c>
      <c r="B899" s="268" t="s">
        <v>1145</v>
      </c>
      <c r="C899" s="267" t="s">
        <v>1144</v>
      </c>
      <c r="D899" s="267"/>
      <c r="E899" s="1035" t="s">
        <v>2521</v>
      </c>
      <c r="F899" s="268" t="s">
        <v>2603</v>
      </c>
      <c r="G899" s="267"/>
      <c r="H899" s="641">
        <v>300</v>
      </c>
    </row>
    <row r="900" spans="1:8" s="760" customFormat="1" ht="13.5" customHeight="1" x14ac:dyDescent="0.25">
      <c r="A900" s="267">
        <v>441</v>
      </c>
      <c r="B900" s="268" t="s">
        <v>1145</v>
      </c>
      <c r="C900" s="267" t="s">
        <v>1144</v>
      </c>
      <c r="D900" s="267"/>
      <c r="E900" s="1035" t="s">
        <v>7780</v>
      </c>
      <c r="F900" s="268" t="s">
        <v>7719</v>
      </c>
      <c r="G900" s="267"/>
      <c r="H900" s="641">
        <v>150</v>
      </c>
    </row>
    <row r="901" spans="1:8" s="760" customFormat="1" ht="13.5" customHeight="1" x14ac:dyDescent="0.25">
      <c r="A901" s="267">
        <v>441</v>
      </c>
      <c r="B901" s="268" t="s">
        <v>1145</v>
      </c>
      <c r="C901" s="267" t="s">
        <v>1144</v>
      </c>
      <c r="D901" s="267"/>
      <c r="E901" s="1035" t="s">
        <v>7871</v>
      </c>
      <c r="F901" s="268" t="s">
        <v>7872</v>
      </c>
      <c r="G901" s="267"/>
      <c r="H901" s="641">
        <v>300</v>
      </c>
    </row>
    <row r="902" spans="1:8" s="760" customFormat="1" ht="13.5" customHeight="1" x14ac:dyDescent="0.25">
      <c r="A902" s="267">
        <v>441</v>
      </c>
      <c r="B902" s="268" t="s">
        <v>1145</v>
      </c>
      <c r="C902" s="267" t="s">
        <v>1144</v>
      </c>
      <c r="D902" s="267"/>
      <c r="E902" s="1035" t="s">
        <v>2579</v>
      </c>
      <c r="F902" s="268" t="s">
        <v>7670</v>
      </c>
      <c r="G902" s="267"/>
      <c r="H902" s="641">
        <v>250</v>
      </c>
    </row>
    <row r="903" spans="1:8" s="760" customFormat="1" ht="13.5" customHeight="1" x14ac:dyDescent="0.25">
      <c r="A903" s="267">
        <v>441</v>
      </c>
      <c r="B903" s="268" t="s">
        <v>1145</v>
      </c>
      <c r="C903" s="267" t="s">
        <v>1144</v>
      </c>
      <c r="D903" s="267"/>
      <c r="E903" s="1035" t="s">
        <v>7779</v>
      </c>
      <c r="F903" s="268" t="s">
        <v>7618</v>
      </c>
      <c r="G903" s="267"/>
      <c r="H903" s="641">
        <v>300</v>
      </c>
    </row>
    <row r="904" spans="1:8" s="760" customFormat="1" ht="13.5" customHeight="1" x14ac:dyDescent="0.25">
      <c r="A904" s="267">
        <v>441</v>
      </c>
      <c r="B904" s="268" t="s">
        <v>1145</v>
      </c>
      <c r="C904" s="267" t="s">
        <v>1144</v>
      </c>
      <c r="D904" s="267"/>
      <c r="E904" s="1035" t="s">
        <v>11612</v>
      </c>
      <c r="F904" s="268" t="s">
        <v>11613</v>
      </c>
      <c r="G904" s="267"/>
      <c r="H904" s="641">
        <v>150</v>
      </c>
    </row>
    <row r="905" spans="1:8" s="760" customFormat="1" ht="13.5" customHeight="1" x14ac:dyDescent="0.25">
      <c r="A905" s="267">
        <v>441</v>
      </c>
      <c r="B905" s="268" t="s">
        <v>1145</v>
      </c>
      <c r="C905" s="267" t="s">
        <v>1144</v>
      </c>
      <c r="D905" s="267"/>
      <c r="E905" s="1035" t="s">
        <v>2541</v>
      </c>
      <c r="F905" s="268" t="s">
        <v>11614</v>
      </c>
      <c r="G905" s="267"/>
      <c r="H905" s="641">
        <v>300</v>
      </c>
    </row>
    <row r="906" spans="1:8" s="760" customFormat="1" ht="13.5" customHeight="1" x14ac:dyDescent="0.25">
      <c r="A906" s="267">
        <v>441</v>
      </c>
      <c r="B906" s="268" t="s">
        <v>1145</v>
      </c>
      <c r="C906" s="267" t="s">
        <v>1144</v>
      </c>
      <c r="D906" s="267"/>
      <c r="E906" s="1035" t="s">
        <v>11615</v>
      </c>
      <c r="F906" s="268" t="s">
        <v>11002</v>
      </c>
      <c r="G906" s="267"/>
      <c r="H906" s="641">
        <v>350</v>
      </c>
    </row>
    <row r="907" spans="1:8" s="760" customFormat="1" ht="13.5" customHeight="1" x14ac:dyDescent="0.25">
      <c r="A907" s="267">
        <v>441</v>
      </c>
      <c r="B907" s="268" t="s">
        <v>1145</v>
      </c>
      <c r="C907" s="267" t="s">
        <v>1144</v>
      </c>
      <c r="D907" s="267"/>
      <c r="E907" s="1035" t="s">
        <v>11616</v>
      </c>
      <c r="F907" s="268" t="s">
        <v>11617</v>
      </c>
      <c r="G907" s="267"/>
      <c r="H907" s="641">
        <v>200</v>
      </c>
    </row>
    <row r="908" spans="1:8" s="760" customFormat="1" ht="13.5" customHeight="1" x14ac:dyDescent="0.25">
      <c r="A908" s="267">
        <v>441</v>
      </c>
      <c r="B908" s="268" t="s">
        <v>1145</v>
      </c>
      <c r="C908" s="267" t="s">
        <v>1144</v>
      </c>
      <c r="D908" s="267"/>
      <c r="E908" s="1035" t="s">
        <v>2559</v>
      </c>
      <c r="F908" s="268" t="s">
        <v>2560</v>
      </c>
      <c r="G908" s="267"/>
      <c r="H908" s="641">
        <v>250</v>
      </c>
    </row>
    <row r="909" spans="1:8" s="760" customFormat="1" ht="13.5" customHeight="1" x14ac:dyDescent="0.25">
      <c r="A909" s="267">
        <v>441</v>
      </c>
      <c r="B909" s="268" t="s">
        <v>1145</v>
      </c>
      <c r="C909" s="267" t="s">
        <v>1144</v>
      </c>
      <c r="D909" s="267"/>
      <c r="E909" s="1035" t="s">
        <v>11618</v>
      </c>
      <c r="F909" s="268" t="s">
        <v>11619</v>
      </c>
      <c r="G909" s="267"/>
      <c r="H909" s="641">
        <v>653.84</v>
      </c>
    </row>
    <row r="910" spans="1:8" s="760" customFormat="1" ht="13.5" customHeight="1" x14ac:dyDescent="0.25">
      <c r="A910" s="267">
        <v>441</v>
      </c>
      <c r="B910" s="268" t="s">
        <v>1145</v>
      </c>
      <c r="C910" s="267" t="s">
        <v>1144</v>
      </c>
      <c r="D910" s="267"/>
      <c r="E910" s="1035" t="s">
        <v>11620</v>
      </c>
      <c r="F910" s="268" t="s">
        <v>11621</v>
      </c>
      <c r="G910" s="267"/>
      <c r="H910" s="641">
        <v>600</v>
      </c>
    </row>
    <row r="911" spans="1:8" s="760" customFormat="1" ht="13.5" customHeight="1" x14ac:dyDescent="0.25">
      <c r="A911" s="267">
        <v>441</v>
      </c>
      <c r="B911" s="268" t="s">
        <v>1145</v>
      </c>
      <c r="C911" s="267" t="s">
        <v>1144</v>
      </c>
      <c r="D911" s="267"/>
      <c r="E911" s="1035" t="s">
        <v>7891</v>
      </c>
      <c r="F911" s="268" t="s">
        <v>10973</v>
      </c>
      <c r="G911" s="267"/>
      <c r="H911" s="641">
        <v>300</v>
      </c>
    </row>
    <row r="912" spans="1:8" s="760" customFormat="1" ht="13.5" customHeight="1" x14ac:dyDescent="0.25">
      <c r="A912" s="267">
        <v>441</v>
      </c>
      <c r="B912" s="268" t="s">
        <v>1145</v>
      </c>
      <c r="C912" s="267" t="s">
        <v>1144</v>
      </c>
      <c r="D912" s="267"/>
      <c r="E912" s="1035" t="s">
        <v>11622</v>
      </c>
      <c r="F912" s="268" t="s">
        <v>11623</v>
      </c>
      <c r="G912" s="267"/>
      <c r="H912" s="641">
        <v>600</v>
      </c>
    </row>
    <row r="913" spans="1:8" s="760" customFormat="1" ht="13.5" customHeight="1" x14ac:dyDescent="0.25">
      <c r="A913" s="267">
        <v>441</v>
      </c>
      <c r="B913" s="268" t="s">
        <v>1145</v>
      </c>
      <c r="C913" s="267" t="s">
        <v>1144</v>
      </c>
      <c r="D913" s="267"/>
      <c r="E913" s="1035" t="s">
        <v>11624</v>
      </c>
      <c r="F913" s="268" t="s">
        <v>11625</v>
      </c>
      <c r="G913" s="267"/>
      <c r="H913" s="641">
        <v>400</v>
      </c>
    </row>
    <row r="914" spans="1:8" s="760" customFormat="1" ht="13.5" customHeight="1" x14ac:dyDescent="0.25">
      <c r="A914" s="267">
        <v>441</v>
      </c>
      <c r="B914" s="268" t="s">
        <v>1145</v>
      </c>
      <c r="C914" s="267" t="s">
        <v>1144</v>
      </c>
      <c r="D914" s="267"/>
      <c r="E914" s="1035" t="s">
        <v>11626</v>
      </c>
      <c r="F914" s="268" t="s">
        <v>11627</v>
      </c>
      <c r="G914" s="267"/>
      <c r="H914" s="641">
        <v>300</v>
      </c>
    </row>
    <row r="915" spans="1:8" s="760" customFormat="1" ht="13.5" customHeight="1" x14ac:dyDescent="0.25">
      <c r="A915" s="267">
        <v>441</v>
      </c>
      <c r="B915" s="268" t="s">
        <v>1145</v>
      </c>
      <c r="C915" s="267" t="s">
        <v>1144</v>
      </c>
      <c r="D915" s="267"/>
      <c r="E915" s="1035" t="s">
        <v>2577</v>
      </c>
      <c r="F915" s="268" t="s">
        <v>2578</v>
      </c>
      <c r="G915" s="267"/>
      <c r="H915" s="641">
        <v>150</v>
      </c>
    </row>
    <row r="916" spans="1:8" s="760" customFormat="1" ht="13.5" customHeight="1" x14ac:dyDescent="0.25">
      <c r="A916" s="267">
        <v>441</v>
      </c>
      <c r="B916" s="268" t="s">
        <v>1145</v>
      </c>
      <c r="C916" s="267" t="s">
        <v>1144</v>
      </c>
      <c r="D916" s="267"/>
      <c r="E916" s="1035" t="s">
        <v>11628</v>
      </c>
      <c r="F916" s="268" t="s">
        <v>11629</v>
      </c>
      <c r="G916" s="267"/>
      <c r="H916" s="641">
        <v>601.03</v>
      </c>
    </row>
    <row r="917" spans="1:8" s="760" customFormat="1" ht="13.5" customHeight="1" x14ac:dyDescent="0.25">
      <c r="A917" s="267">
        <v>441</v>
      </c>
      <c r="B917" s="268" t="s">
        <v>1145</v>
      </c>
      <c r="C917" s="267" t="s">
        <v>1144</v>
      </c>
      <c r="D917" s="267"/>
      <c r="E917" s="1035" t="s">
        <v>7853</v>
      </c>
      <c r="F917" s="268" t="s">
        <v>7838</v>
      </c>
      <c r="G917" s="267"/>
      <c r="H917" s="641">
        <v>200</v>
      </c>
    </row>
    <row r="918" spans="1:8" s="760" customFormat="1" ht="13.5" customHeight="1" x14ac:dyDescent="0.25">
      <c r="A918" s="267">
        <v>441</v>
      </c>
      <c r="B918" s="268" t="s">
        <v>1145</v>
      </c>
      <c r="C918" s="267" t="s">
        <v>1144</v>
      </c>
      <c r="D918" s="267"/>
      <c r="E918" s="1035" t="s">
        <v>11630</v>
      </c>
      <c r="F918" s="268" t="s">
        <v>7699</v>
      </c>
      <c r="G918" s="267"/>
      <c r="H918" s="641">
        <v>200</v>
      </c>
    </row>
    <row r="919" spans="1:8" s="760" customFormat="1" ht="13.5" customHeight="1" x14ac:dyDescent="0.25">
      <c r="A919" s="267">
        <v>441</v>
      </c>
      <c r="B919" s="268" t="s">
        <v>1145</v>
      </c>
      <c r="C919" s="267" t="s">
        <v>1144</v>
      </c>
      <c r="D919" s="267"/>
      <c r="E919" s="1035" t="s">
        <v>11631</v>
      </c>
      <c r="F919" s="268" t="s">
        <v>11632</v>
      </c>
      <c r="G919" s="267"/>
      <c r="H919" s="641">
        <v>912.56</v>
      </c>
    </row>
    <row r="920" spans="1:8" s="760" customFormat="1" ht="13.5" customHeight="1" x14ac:dyDescent="0.25">
      <c r="A920" s="267">
        <v>441</v>
      </c>
      <c r="B920" s="268" t="s">
        <v>1145</v>
      </c>
      <c r="C920" s="267" t="s">
        <v>1144</v>
      </c>
      <c r="D920" s="267"/>
      <c r="E920" s="1035" t="s">
        <v>7770</v>
      </c>
      <c r="F920" s="268" t="s">
        <v>7771</v>
      </c>
      <c r="G920" s="267"/>
      <c r="H920" s="641">
        <v>500</v>
      </c>
    </row>
    <row r="921" spans="1:8" s="760" customFormat="1" ht="13.5" customHeight="1" x14ac:dyDescent="0.25">
      <c r="A921" s="267">
        <v>441</v>
      </c>
      <c r="B921" s="268" t="s">
        <v>1145</v>
      </c>
      <c r="C921" s="267" t="s">
        <v>1144</v>
      </c>
      <c r="D921" s="267"/>
      <c r="E921" s="1035" t="s">
        <v>11633</v>
      </c>
      <c r="F921" s="268" t="s">
        <v>11634</v>
      </c>
      <c r="G921" s="267"/>
      <c r="H921" s="641">
        <v>400</v>
      </c>
    </row>
    <row r="922" spans="1:8" s="760" customFormat="1" ht="13.5" customHeight="1" x14ac:dyDescent="0.25">
      <c r="A922" s="267">
        <v>441</v>
      </c>
      <c r="B922" s="268" t="s">
        <v>1145</v>
      </c>
      <c r="C922" s="267" t="s">
        <v>1144</v>
      </c>
      <c r="D922" s="267"/>
      <c r="E922" s="1035" t="s">
        <v>11635</v>
      </c>
      <c r="F922" s="268" t="s">
        <v>11636</v>
      </c>
      <c r="G922" s="267"/>
      <c r="H922" s="641">
        <v>958</v>
      </c>
    </row>
    <row r="923" spans="1:8" s="760" customFormat="1" ht="13.5" customHeight="1" x14ac:dyDescent="0.25">
      <c r="A923" s="267">
        <v>445</v>
      </c>
      <c r="B923" s="268" t="s">
        <v>1145</v>
      </c>
      <c r="C923" s="267" t="s">
        <v>1144</v>
      </c>
      <c r="D923" s="267"/>
      <c r="E923" s="1035" t="s">
        <v>7740</v>
      </c>
      <c r="F923" s="268"/>
      <c r="G923" s="267" t="s">
        <v>11637</v>
      </c>
      <c r="H923" s="641">
        <v>10000</v>
      </c>
    </row>
    <row r="924" spans="1:8" s="760" customFormat="1" ht="13.5" customHeight="1" x14ac:dyDescent="0.25">
      <c r="A924" s="267">
        <v>441</v>
      </c>
      <c r="B924" s="268" t="s">
        <v>1145</v>
      </c>
      <c r="C924" s="267" t="s">
        <v>1144</v>
      </c>
      <c r="D924" s="267"/>
      <c r="E924" s="1035" t="s">
        <v>11638</v>
      </c>
      <c r="F924" s="268" t="s">
        <v>11639</v>
      </c>
      <c r="G924" s="267"/>
      <c r="H924" s="641">
        <v>4048.4</v>
      </c>
    </row>
    <row r="925" spans="1:8" s="760" customFormat="1" ht="13.5" customHeight="1" x14ac:dyDescent="0.25">
      <c r="A925" s="267">
        <v>441</v>
      </c>
      <c r="B925" s="268" t="s">
        <v>1145</v>
      </c>
      <c r="C925" s="267" t="s">
        <v>1144</v>
      </c>
      <c r="D925" s="267"/>
      <c r="E925" s="1035" t="s">
        <v>11640</v>
      </c>
      <c r="F925" s="268" t="s">
        <v>11641</v>
      </c>
      <c r="G925" s="267"/>
      <c r="H925" s="641">
        <v>1989</v>
      </c>
    </row>
    <row r="926" spans="1:8" s="760" customFormat="1" ht="13.5" customHeight="1" x14ac:dyDescent="0.25">
      <c r="A926" s="267">
        <v>441</v>
      </c>
      <c r="B926" s="268" t="s">
        <v>1145</v>
      </c>
      <c r="C926" s="267" t="s">
        <v>1144</v>
      </c>
      <c r="D926" s="267"/>
      <c r="E926" s="1035" t="s">
        <v>11293</v>
      </c>
      <c r="F926" s="268"/>
      <c r="G926" s="267"/>
      <c r="H926" s="641">
        <v>279500</v>
      </c>
    </row>
    <row r="927" spans="1:8" s="760" customFormat="1" ht="13.5" customHeight="1" x14ac:dyDescent="0.25">
      <c r="A927" s="267">
        <v>441</v>
      </c>
      <c r="B927" s="268" t="s">
        <v>1148</v>
      </c>
      <c r="C927" s="267" t="s">
        <v>1144</v>
      </c>
      <c r="D927" s="267"/>
      <c r="E927" s="1035" t="s">
        <v>11642</v>
      </c>
      <c r="F927" s="268"/>
      <c r="G927" s="267"/>
      <c r="H927" s="641">
        <v>4962.3100000000004</v>
      </c>
    </row>
    <row r="928" spans="1:8" s="760" customFormat="1" ht="13.5" customHeight="1" x14ac:dyDescent="0.25">
      <c r="A928" s="267">
        <v>442</v>
      </c>
      <c r="B928" s="268" t="s">
        <v>1145</v>
      </c>
      <c r="C928" s="267" t="s">
        <v>1144</v>
      </c>
      <c r="D928" s="267"/>
      <c r="E928" s="268" t="s">
        <v>11643</v>
      </c>
      <c r="F928" s="268"/>
      <c r="G928" s="267"/>
      <c r="H928" s="641">
        <v>135000</v>
      </c>
    </row>
    <row r="929" spans="1:8" s="760" customFormat="1" ht="13.5" customHeight="1" x14ac:dyDescent="0.25">
      <c r="A929" s="267">
        <v>442</v>
      </c>
      <c r="B929" s="268" t="s">
        <v>1145</v>
      </c>
      <c r="C929" s="267" t="s">
        <v>1144</v>
      </c>
      <c r="D929" s="267"/>
      <c r="E929" s="268" t="s">
        <v>11643</v>
      </c>
      <c r="F929" s="268"/>
      <c r="G929" s="267"/>
      <c r="H929" s="641">
        <v>135000</v>
      </c>
    </row>
    <row r="930" spans="1:8" s="760" customFormat="1" ht="13.5" customHeight="1" x14ac:dyDescent="0.25">
      <c r="A930" s="267">
        <v>445</v>
      </c>
      <c r="B930" s="1033" t="s">
        <v>1145</v>
      </c>
      <c r="C930" s="1034" t="s">
        <v>1144</v>
      </c>
      <c r="D930" s="267"/>
      <c r="E930" s="268" t="s">
        <v>7885</v>
      </c>
      <c r="F930" s="268"/>
      <c r="G930" s="268" t="s">
        <v>7886</v>
      </c>
      <c r="H930" s="641">
        <v>50000</v>
      </c>
    </row>
    <row r="931" spans="1:8" s="760" customFormat="1" ht="13.5" customHeight="1" x14ac:dyDescent="0.25">
      <c r="A931" s="267">
        <v>445</v>
      </c>
      <c r="B931" s="268" t="s">
        <v>1145</v>
      </c>
      <c r="C931" s="267" t="s">
        <v>1144</v>
      </c>
      <c r="D931" s="267"/>
      <c r="E931" s="1035" t="s">
        <v>11644</v>
      </c>
      <c r="F931" s="268"/>
      <c r="G931" s="267" t="s">
        <v>11645</v>
      </c>
      <c r="H931" s="641">
        <v>48256</v>
      </c>
    </row>
    <row r="932" spans="1:8" s="760" customFormat="1" ht="13.5" customHeight="1" x14ac:dyDescent="0.25">
      <c r="A932" s="267">
        <v>441</v>
      </c>
      <c r="B932" s="268" t="s">
        <v>1145</v>
      </c>
      <c r="C932" s="267" t="s">
        <v>1144</v>
      </c>
      <c r="D932" s="267"/>
      <c r="E932" s="1035" t="s">
        <v>11646</v>
      </c>
      <c r="F932" s="268" t="s">
        <v>11647</v>
      </c>
      <c r="G932" s="267"/>
      <c r="H932" s="641">
        <v>1290</v>
      </c>
    </row>
    <row r="933" spans="1:8" s="760" customFormat="1" ht="13.5" customHeight="1" x14ac:dyDescent="0.25">
      <c r="A933" s="267">
        <v>441</v>
      </c>
      <c r="B933" s="268" t="s">
        <v>1145</v>
      </c>
      <c r="C933" s="267" t="s">
        <v>1144</v>
      </c>
      <c r="D933" s="267"/>
      <c r="E933" s="1035" t="s">
        <v>11648</v>
      </c>
      <c r="F933" s="268" t="s">
        <v>11649</v>
      </c>
      <c r="G933" s="267"/>
      <c r="H933" s="641">
        <v>2000</v>
      </c>
    </row>
    <row r="934" spans="1:8" s="760" customFormat="1" ht="13.5" customHeight="1" x14ac:dyDescent="0.25">
      <c r="A934" s="267">
        <v>445</v>
      </c>
      <c r="B934" s="1033" t="s">
        <v>1145</v>
      </c>
      <c r="C934" s="1034" t="s">
        <v>1144</v>
      </c>
      <c r="D934" s="267"/>
      <c r="E934" s="1035" t="s">
        <v>1209</v>
      </c>
      <c r="F934" s="268"/>
      <c r="G934" s="267" t="s">
        <v>1151</v>
      </c>
      <c r="H934" s="641">
        <v>5000</v>
      </c>
    </row>
    <row r="935" spans="1:8" s="760" customFormat="1" ht="13.5" customHeight="1" x14ac:dyDescent="0.25">
      <c r="A935" s="267">
        <v>445</v>
      </c>
      <c r="B935" s="1033" t="s">
        <v>1145</v>
      </c>
      <c r="C935" s="1034" t="s">
        <v>1144</v>
      </c>
      <c r="D935" s="267"/>
      <c r="E935" s="1035" t="s">
        <v>7734</v>
      </c>
      <c r="F935" s="268"/>
      <c r="G935" s="267"/>
      <c r="H935" s="641">
        <v>48000</v>
      </c>
    </row>
    <row r="936" spans="1:8" s="760" customFormat="1" ht="13.5" customHeight="1" x14ac:dyDescent="0.25">
      <c r="A936" s="267">
        <v>445</v>
      </c>
      <c r="B936" s="1033" t="s">
        <v>1145</v>
      </c>
      <c r="C936" s="1034" t="s">
        <v>1144</v>
      </c>
      <c r="D936" s="267"/>
      <c r="E936" s="1035" t="s">
        <v>7885</v>
      </c>
      <c r="F936" s="268"/>
      <c r="G936" s="267" t="s">
        <v>7886</v>
      </c>
      <c r="H936" s="641">
        <v>50000</v>
      </c>
    </row>
    <row r="937" spans="1:8" s="760" customFormat="1" ht="13.5" customHeight="1" x14ac:dyDescent="0.25">
      <c r="A937" s="267">
        <v>445</v>
      </c>
      <c r="B937" s="1033" t="s">
        <v>1145</v>
      </c>
      <c r="C937" s="1034" t="s">
        <v>1144</v>
      </c>
      <c r="D937" s="267"/>
      <c r="E937" s="1035" t="s">
        <v>11650</v>
      </c>
      <c r="F937" s="268"/>
      <c r="G937" s="267"/>
      <c r="H937" s="641">
        <v>14152</v>
      </c>
    </row>
    <row r="938" spans="1:8" s="760" customFormat="1" ht="13.5" customHeight="1" x14ac:dyDescent="0.25">
      <c r="A938" s="267">
        <v>445</v>
      </c>
      <c r="B938" s="1033" t="s">
        <v>1145</v>
      </c>
      <c r="C938" s="1034" t="s">
        <v>1144</v>
      </c>
      <c r="D938" s="267"/>
      <c r="E938" s="1035" t="s">
        <v>11651</v>
      </c>
      <c r="F938" s="268"/>
      <c r="G938" s="267"/>
      <c r="H938" s="641">
        <v>3000</v>
      </c>
    </row>
    <row r="939" spans="1:8" s="760" customFormat="1" ht="13.5" customHeight="1" x14ac:dyDescent="0.25">
      <c r="A939" s="267">
        <v>445</v>
      </c>
      <c r="B939" s="1033" t="s">
        <v>1145</v>
      </c>
      <c r="C939" s="1034" t="s">
        <v>1144</v>
      </c>
      <c r="D939" s="267"/>
      <c r="E939" s="1035" t="s">
        <v>7775</v>
      </c>
      <c r="F939" s="268"/>
      <c r="G939" s="267"/>
      <c r="H939" s="641">
        <v>3900</v>
      </c>
    </row>
    <row r="940" spans="1:8" s="760" customFormat="1" ht="13.5" customHeight="1" x14ac:dyDescent="0.25">
      <c r="A940" s="267">
        <v>445</v>
      </c>
      <c r="B940" s="1033" t="s">
        <v>1145</v>
      </c>
      <c r="C940" s="1034" t="s">
        <v>1144</v>
      </c>
      <c r="D940" s="267"/>
      <c r="E940" s="1035" t="s">
        <v>11652</v>
      </c>
      <c r="F940" s="268"/>
      <c r="G940" s="267"/>
      <c r="H940" s="641">
        <v>3000</v>
      </c>
    </row>
    <row r="941" spans="1:8" s="760" customFormat="1" ht="13.5" customHeight="1" x14ac:dyDescent="0.25">
      <c r="A941" s="267">
        <v>445</v>
      </c>
      <c r="B941" s="1033" t="s">
        <v>1145</v>
      </c>
      <c r="C941" s="1034" t="s">
        <v>1144</v>
      </c>
      <c r="D941" s="267"/>
      <c r="E941" s="1035" t="s">
        <v>11653</v>
      </c>
      <c r="F941" s="268"/>
      <c r="G941" s="267"/>
      <c r="H941" s="641">
        <v>66816</v>
      </c>
    </row>
    <row r="942" spans="1:8" s="760" customFormat="1" ht="13.5" customHeight="1" x14ac:dyDescent="0.25">
      <c r="A942" s="267">
        <v>445</v>
      </c>
      <c r="B942" s="1033" t="s">
        <v>1145</v>
      </c>
      <c r="C942" s="1034" t="s">
        <v>1144</v>
      </c>
      <c r="D942" s="267"/>
      <c r="E942" s="1035" t="s">
        <v>11654</v>
      </c>
      <c r="F942" s="268"/>
      <c r="G942" s="267"/>
      <c r="H942" s="641">
        <v>16500</v>
      </c>
    </row>
    <row r="943" spans="1:8" s="760" customFormat="1" ht="13.5" customHeight="1" x14ac:dyDescent="0.25">
      <c r="A943" s="267">
        <v>445</v>
      </c>
      <c r="B943" s="1033" t="s">
        <v>1145</v>
      </c>
      <c r="C943" s="1034" t="s">
        <v>1144</v>
      </c>
      <c r="D943" s="267"/>
      <c r="E943" s="1035" t="s">
        <v>11655</v>
      </c>
      <c r="F943" s="268"/>
      <c r="G943" s="267"/>
      <c r="H943" s="641">
        <v>2311.21</v>
      </c>
    </row>
    <row r="944" spans="1:8" s="760" customFormat="1" ht="13.5" customHeight="1" x14ac:dyDescent="0.25">
      <c r="A944" s="267">
        <v>445</v>
      </c>
      <c r="B944" s="1033" t="s">
        <v>1145</v>
      </c>
      <c r="C944" s="1034" t="s">
        <v>1144</v>
      </c>
      <c r="D944" s="267"/>
      <c r="E944" s="1035" t="s">
        <v>11656</v>
      </c>
      <c r="F944" s="268"/>
      <c r="G944" s="267"/>
      <c r="H944" s="641">
        <v>3000</v>
      </c>
    </row>
    <row r="945" spans="1:8" s="760" customFormat="1" ht="13.5" customHeight="1" x14ac:dyDescent="0.25">
      <c r="A945" s="267">
        <v>445</v>
      </c>
      <c r="B945" s="1033" t="s">
        <v>1145</v>
      </c>
      <c r="C945" s="1034" t="s">
        <v>1144</v>
      </c>
      <c r="D945" s="267"/>
      <c r="E945" s="268" t="s">
        <v>2552</v>
      </c>
      <c r="F945" s="268"/>
      <c r="G945" s="267" t="s">
        <v>2553</v>
      </c>
      <c r="H945" s="641">
        <v>28000</v>
      </c>
    </row>
    <row r="946" spans="1:8" s="760" customFormat="1" ht="13.5" customHeight="1" x14ac:dyDescent="0.25">
      <c r="A946" s="267">
        <v>442</v>
      </c>
      <c r="B946" s="1033" t="s">
        <v>1145</v>
      </c>
      <c r="C946" s="1034" t="s">
        <v>1144</v>
      </c>
      <c r="D946" s="267"/>
      <c r="E946" s="1035" t="s">
        <v>11657</v>
      </c>
      <c r="F946" s="268"/>
      <c r="G946" s="267"/>
      <c r="H946" s="641">
        <v>135000</v>
      </c>
    </row>
    <row r="947" spans="1:8" s="760" customFormat="1" ht="13.5" customHeight="1" x14ac:dyDescent="0.25">
      <c r="A947" s="267">
        <v>445</v>
      </c>
      <c r="B947" s="1033" t="s">
        <v>1145</v>
      </c>
      <c r="C947" s="1034" t="s">
        <v>1144</v>
      </c>
      <c r="D947" s="267"/>
      <c r="E947" s="1035" t="s">
        <v>11658</v>
      </c>
      <c r="F947" s="268"/>
      <c r="G947" s="267"/>
      <c r="H947" s="641">
        <v>3000</v>
      </c>
    </row>
    <row r="948" spans="1:8" s="760" customFormat="1" ht="13.5" customHeight="1" x14ac:dyDescent="0.25">
      <c r="A948" s="267">
        <v>445</v>
      </c>
      <c r="B948" s="1033" t="s">
        <v>1145</v>
      </c>
      <c r="C948" s="1034" t="s">
        <v>1144</v>
      </c>
      <c r="D948" s="267"/>
      <c r="E948" s="1035" t="s">
        <v>11659</v>
      </c>
      <c r="F948" s="268"/>
      <c r="G948" s="267"/>
      <c r="H948" s="641">
        <v>3000</v>
      </c>
    </row>
    <row r="949" spans="1:8" s="760" customFormat="1" ht="13.5" customHeight="1" x14ac:dyDescent="0.25">
      <c r="A949" s="267">
        <v>445</v>
      </c>
      <c r="B949" s="1033" t="s">
        <v>1145</v>
      </c>
      <c r="C949" s="1034" t="s">
        <v>1144</v>
      </c>
      <c r="D949" s="267"/>
      <c r="E949" s="1035" t="s">
        <v>1152</v>
      </c>
      <c r="F949" s="268"/>
      <c r="G949" s="267"/>
      <c r="H949" s="641">
        <v>3828</v>
      </c>
    </row>
    <row r="950" spans="1:8" s="760" customFormat="1" ht="13.5" customHeight="1" x14ac:dyDescent="0.25">
      <c r="A950" s="267">
        <v>445</v>
      </c>
      <c r="B950" s="1033" t="s">
        <v>1145</v>
      </c>
      <c r="C950" s="1034" t="s">
        <v>1144</v>
      </c>
      <c r="D950" s="267"/>
      <c r="E950" s="1035" t="s">
        <v>1152</v>
      </c>
      <c r="F950" s="268"/>
      <c r="G950" s="267"/>
      <c r="H950" s="641">
        <v>3000</v>
      </c>
    </row>
    <row r="951" spans="1:8" s="760" customFormat="1" ht="13.5" customHeight="1" x14ac:dyDescent="0.25">
      <c r="A951" s="267">
        <v>441</v>
      </c>
      <c r="B951" s="268" t="s">
        <v>1145</v>
      </c>
      <c r="C951" s="267" t="s">
        <v>1144</v>
      </c>
      <c r="D951" s="267"/>
      <c r="E951" s="1035" t="s">
        <v>11660</v>
      </c>
      <c r="F951" s="268" t="s">
        <v>11661</v>
      </c>
      <c r="G951" s="267"/>
      <c r="H951" s="641">
        <v>1102</v>
      </c>
    </row>
    <row r="952" spans="1:8" s="760" customFormat="1" ht="13.5" customHeight="1" x14ac:dyDescent="0.25">
      <c r="A952" s="267">
        <v>441</v>
      </c>
      <c r="B952" s="268" t="s">
        <v>1145</v>
      </c>
      <c r="C952" s="267" t="s">
        <v>1144</v>
      </c>
      <c r="D952" s="267"/>
      <c r="E952" s="1035" t="s">
        <v>11662</v>
      </c>
      <c r="F952" s="268" t="s">
        <v>11663</v>
      </c>
      <c r="G952" s="267"/>
      <c r="H952" s="641">
        <v>9000</v>
      </c>
    </row>
    <row r="953" spans="1:8" s="760" customFormat="1" ht="13.5" customHeight="1" x14ac:dyDescent="0.25">
      <c r="A953" s="267">
        <v>445</v>
      </c>
      <c r="B953" s="1033" t="s">
        <v>1145</v>
      </c>
      <c r="C953" s="1034" t="s">
        <v>1144</v>
      </c>
      <c r="D953" s="267"/>
      <c r="E953" s="1035" t="s">
        <v>7804</v>
      </c>
      <c r="F953" s="268" t="s">
        <v>11664</v>
      </c>
      <c r="G953" s="267"/>
      <c r="H953" s="641">
        <v>16530</v>
      </c>
    </row>
    <row r="954" spans="1:8" s="760" customFormat="1" ht="13.5" customHeight="1" x14ac:dyDescent="0.25">
      <c r="A954" s="267">
        <v>445</v>
      </c>
      <c r="B954" s="268" t="s">
        <v>1145</v>
      </c>
      <c r="C954" s="267" t="s">
        <v>1144</v>
      </c>
      <c r="D954" s="267"/>
      <c r="E954" s="1035" t="s">
        <v>11709</v>
      </c>
      <c r="F954" s="268"/>
      <c r="G954" s="267"/>
      <c r="H954" s="641">
        <v>29572.99</v>
      </c>
    </row>
    <row r="955" spans="1:8" s="760" customFormat="1" ht="13.5" customHeight="1" x14ac:dyDescent="0.25">
      <c r="A955" s="267">
        <v>445</v>
      </c>
      <c r="B955" s="268" t="s">
        <v>1145</v>
      </c>
      <c r="C955" s="267" t="s">
        <v>1144</v>
      </c>
      <c r="D955" s="267"/>
      <c r="E955" s="1035" t="s">
        <v>11665</v>
      </c>
      <c r="F955" s="268" t="s">
        <v>11666</v>
      </c>
      <c r="G955" s="267"/>
      <c r="H955" s="641">
        <v>15020.33</v>
      </c>
    </row>
    <row r="956" spans="1:8" s="760" customFormat="1" ht="13.5" customHeight="1" x14ac:dyDescent="0.25">
      <c r="A956" s="267">
        <v>442</v>
      </c>
      <c r="B956" s="1033" t="s">
        <v>1145</v>
      </c>
      <c r="C956" s="1034" t="s">
        <v>1144</v>
      </c>
      <c r="D956" s="267"/>
      <c r="E956" s="268" t="s">
        <v>11643</v>
      </c>
      <c r="F956" s="268"/>
      <c r="G956" s="267"/>
      <c r="H956" s="641">
        <v>135000</v>
      </c>
    </row>
    <row r="957" spans="1:8" s="760" customFormat="1" ht="13.5" customHeight="1" x14ac:dyDescent="0.25">
      <c r="A957" s="267">
        <v>445</v>
      </c>
      <c r="B957" s="1033" t="s">
        <v>1145</v>
      </c>
      <c r="C957" s="1034" t="s">
        <v>1144</v>
      </c>
      <c r="D957" s="267"/>
      <c r="E957" s="1035" t="s">
        <v>7885</v>
      </c>
      <c r="F957" s="268"/>
      <c r="G957" s="267" t="s">
        <v>7886</v>
      </c>
      <c r="H957" s="641">
        <v>50000</v>
      </c>
    </row>
    <row r="958" spans="1:8" s="760" customFormat="1" ht="13.5" customHeight="1" x14ac:dyDescent="0.25">
      <c r="A958" s="267">
        <v>445</v>
      </c>
      <c r="B958" s="1033" t="s">
        <v>1145</v>
      </c>
      <c r="C958" s="1034" t="s">
        <v>1144</v>
      </c>
      <c r="D958" s="267"/>
      <c r="E958" s="1035" t="s">
        <v>2552</v>
      </c>
      <c r="F958" s="268"/>
      <c r="G958" s="267" t="s">
        <v>2553</v>
      </c>
      <c r="H958" s="641">
        <v>28000</v>
      </c>
    </row>
    <row r="959" spans="1:8" s="760" customFormat="1" ht="13.5" customHeight="1" x14ac:dyDescent="0.25">
      <c r="A959" s="267">
        <v>445</v>
      </c>
      <c r="B959" s="1033" t="s">
        <v>1145</v>
      </c>
      <c r="C959" s="1034" t="s">
        <v>1144</v>
      </c>
      <c r="D959" s="267"/>
      <c r="E959" s="1035" t="s">
        <v>1209</v>
      </c>
      <c r="F959" s="268"/>
      <c r="G959" s="267" t="s">
        <v>1151</v>
      </c>
      <c r="H959" s="641">
        <v>5000</v>
      </c>
    </row>
    <row r="960" spans="1:8" s="760" customFormat="1" ht="13.5" customHeight="1" x14ac:dyDescent="0.25">
      <c r="A960" s="267">
        <v>445</v>
      </c>
      <c r="B960" s="1033" t="s">
        <v>1145</v>
      </c>
      <c r="C960" s="1034" t="s">
        <v>1144</v>
      </c>
      <c r="D960" s="267"/>
      <c r="E960" s="1035" t="s">
        <v>7734</v>
      </c>
      <c r="F960" s="268"/>
      <c r="G960" s="267"/>
      <c r="H960" s="641">
        <v>48000</v>
      </c>
    </row>
    <row r="961" spans="1:8" s="760" customFormat="1" ht="13.5" customHeight="1" x14ac:dyDescent="0.25">
      <c r="A961" s="267">
        <v>445</v>
      </c>
      <c r="B961" s="1033" t="s">
        <v>1145</v>
      </c>
      <c r="C961" s="1034" t="s">
        <v>1144</v>
      </c>
      <c r="D961" s="267"/>
      <c r="E961" s="1035" t="s">
        <v>11667</v>
      </c>
      <c r="F961" s="268"/>
      <c r="G961" s="267">
        <v>84665</v>
      </c>
      <c r="H961" s="641">
        <v>125280</v>
      </c>
    </row>
    <row r="962" spans="1:8" s="760" customFormat="1" ht="13.5" customHeight="1" x14ac:dyDescent="0.25">
      <c r="A962" s="267">
        <v>441</v>
      </c>
      <c r="B962" s="268" t="s">
        <v>1148</v>
      </c>
      <c r="C962" s="267" t="s">
        <v>1144</v>
      </c>
      <c r="D962" s="267"/>
      <c r="E962" s="1035" t="s">
        <v>11668</v>
      </c>
      <c r="F962" s="268" t="s">
        <v>11669</v>
      </c>
      <c r="G962" s="267"/>
      <c r="H962" s="641">
        <v>6707</v>
      </c>
    </row>
    <row r="963" spans="1:8" s="760" customFormat="1" ht="13.5" customHeight="1" x14ac:dyDescent="0.25">
      <c r="A963" s="267">
        <v>445</v>
      </c>
      <c r="B963" s="1033" t="s">
        <v>1145</v>
      </c>
      <c r="C963" s="1034" t="s">
        <v>1144</v>
      </c>
      <c r="D963" s="267"/>
      <c r="E963" s="1035" t="s">
        <v>7885</v>
      </c>
      <c r="F963" s="268"/>
      <c r="G963" s="267" t="s">
        <v>7886</v>
      </c>
      <c r="H963" s="641">
        <v>50000</v>
      </c>
    </row>
    <row r="964" spans="1:8" s="760" customFormat="1" ht="13.5" customHeight="1" x14ac:dyDescent="0.25">
      <c r="A964" s="267">
        <v>445</v>
      </c>
      <c r="B964" s="1033" t="s">
        <v>1145</v>
      </c>
      <c r="C964" s="1034" t="s">
        <v>1144</v>
      </c>
      <c r="D964" s="267"/>
      <c r="E964" s="1035" t="s">
        <v>2552</v>
      </c>
      <c r="F964" s="268"/>
      <c r="G964" s="267" t="s">
        <v>2553</v>
      </c>
      <c r="H964" s="641">
        <v>28000</v>
      </c>
    </row>
    <row r="965" spans="1:8" s="760" customFormat="1" ht="13.5" customHeight="1" x14ac:dyDescent="0.25">
      <c r="A965" s="267">
        <v>445</v>
      </c>
      <c r="B965" s="1033" t="s">
        <v>1145</v>
      </c>
      <c r="C965" s="1034" t="s">
        <v>1144</v>
      </c>
      <c r="D965" s="267"/>
      <c r="E965" s="1035" t="s">
        <v>1209</v>
      </c>
      <c r="F965" s="268"/>
      <c r="G965" s="267" t="s">
        <v>1151</v>
      </c>
      <c r="H965" s="641">
        <v>5000</v>
      </c>
    </row>
    <row r="966" spans="1:8" s="760" customFormat="1" ht="13.5" customHeight="1" x14ac:dyDescent="0.25">
      <c r="A966" s="267">
        <v>442</v>
      </c>
      <c r="B966" s="1033" t="s">
        <v>1145</v>
      </c>
      <c r="C966" s="1034" t="s">
        <v>1144</v>
      </c>
      <c r="D966" s="267"/>
      <c r="E966" s="268" t="s">
        <v>11643</v>
      </c>
      <c r="F966" s="268"/>
      <c r="G966" s="267"/>
      <c r="H966" s="641">
        <v>135000</v>
      </c>
    </row>
    <row r="967" spans="1:8" s="760" customFormat="1" ht="13.5" customHeight="1" x14ac:dyDescent="0.25">
      <c r="A967" s="267">
        <v>445</v>
      </c>
      <c r="B967" s="1033" t="s">
        <v>1145</v>
      </c>
      <c r="C967" s="1034" t="s">
        <v>1144</v>
      </c>
      <c r="D967" s="267"/>
      <c r="E967" s="1035" t="s">
        <v>7734</v>
      </c>
      <c r="F967" s="268"/>
      <c r="G967" s="267"/>
      <c r="H967" s="641">
        <v>48000</v>
      </c>
    </row>
    <row r="968" spans="1:8" s="760" customFormat="1" ht="13.5" customHeight="1" x14ac:dyDescent="0.25">
      <c r="A968" s="267">
        <v>445</v>
      </c>
      <c r="B968" s="268" t="s">
        <v>1148</v>
      </c>
      <c r="C968" s="1034" t="s">
        <v>1144</v>
      </c>
      <c r="D968" s="267"/>
      <c r="E968" s="268" t="s">
        <v>11348</v>
      </c>
      <c r="F968" s="268"/>
      <c r="G968" s="267"/>
      <c r="H968" s="641">
        <v>21200</v>
      </c>
    </row>
    <row r="969" spans="1:8" s="760" customFormat="1" ht="13.5" customHeight="1" x14ac:dyDescent="0.25">
      <c r="A969" s="267">
        <v>445</v>
      </c>
      <c r="B969" s="268" t="s">
        <v>1148</v>
      </c>
      <c r="C969" s="1034" t="s">
        <v>1144</v>
      </c>
      <c r="D969" s="267"/>
      <c r="E969" s="268" t="s">
        <v>11348</v>
      </c>
      <c r="F969" s="268"/>
      <c r="G969" s="267"/>
      <c r="H969" s="641">
        <v>22620</v>
      </c>
    </row>
    <row r="970" spans="1:8" s="760" customFormat="1" ht="13.5" customHeight="1" x14ac:dyDescent="0.25">
      <c r="A970" s="267">
        <v>445</v>
      </c>
      <c r="B970" s="268" t="s">
        <v>1148</v>
      </c>
      <c r="C970" s="1034" t="s">
        <v>1144</v>
      </c>
      <c r="D970" s="267"/>
      <c r="E970" s="1035" t="s">
        <v>7915</v>
      </c>
      <c r="F970" s="268"/>
      <c r="G970" s="267" t="s">
        <v>7916</v>
      </c>
      <c r="H970" s="641">
        <v>12058.432000000001</v>
      </c>
    </row>
    <row r="971" spans="1:8" s="760" customFormat="1" ht="13.5" customHeight="1" x14ac:dyDescent="0.25">
      <c r="A971" s="267">
        <v>445</v>
      </c>
      <c r="B971" s="268" t="s">
        <v>1148</v>
      </c>
      <c r="C971" s="1034" t="s">
        <v>1144</v>
      </c>
      <c r="D971" s="267"/>
      <c r="E971" s="1035" t="s">
        <v>11670</v>
      </c>
      <c r="F971" s="268"/>
      <c r="G971" s="267" t="s">
        <v>11671</v>
      </c>
      <c r="H971" s="641">
        <v>5781.44</v>
      </c>
    </row>
    <row r="972" spans="1:8" s="760" customFormat="1" ht="13.5" customHeight="1" x14ac:dyDescent="0.25">
      <c r="A972" s="267">
        <v>445</v>
      </c>
      <c r="B972" s="268" t="s">
        <v>1148</v>
      </c>
      <c r="C972" s="1034" t="s">
        <v>1144</v>
      </c>
      <c r="D972" s="267"/>
      <c r="E972" s="1035" t="s">
        <v>11672</v>
      </c>
      <c r="F972" s="268"/>
      <c r="G972" s="267" t="s">
        <v>11673</v>
      </c>
      <c r="H972" s="641">
        <v>15692.48</v>
      </c>
    </row>
    <row r="973" spans="1:8" s="760" customFormat="1" ht="13.5" customHeight="1" x14ac:dyDescent="0.25">
      <c r="A973" s="267">
        <v>445</v>
      </c>
      <c r="B973" s="268" t="s">
        <v>1148</v>
      </c>
      <c r="C973" s="1034" t="s">
        <v>1144</v>
      </c>
      <c r="D973" s="267"/>
      <c r="E973" s="1035" t="s">
        <v>11674</v>
      </c>
      <c r="F973" s="268"/>
      <c r="G973" s="267" t="s">
        <v>11675</v>
      </c>
      <c r="H973" s="641">
        <v>9085.119999999999</v>
      </c>
    </row>
    <row r="974" spans="1:8" s="760" customFormat="1" ht="13.5" customHeight="1" x14ac:dyDescent="0.25">
      <c r="A974" s="267">
        <v>445</v>
      </c>
      <c r="B974" s="268" t="s">
        <v>1148</v>
      </c>
      <c r="C974" s="1034" t="s">
        <v>1144</v>
      </c>
      <c r="D974" s="267"/>
      <c r="E974" s="1035" t="s">
        <v>11676</v>
      </c>
      <c r="F974" s="268"/>
      <c r="G974" s="267" t="s">
        <v>11677</v>
      </c>
      <c r="H974" s="641">
        <v>1156.2879999999998</v>
      </c>
    </row>
    <row r="975" spans="1:8" s="760" customFormat="1" ht="13.5" customHeight="1" x14ac:dyDescent="0.25">
      <c r="A975" s="267">
        <v>445</v>
      </c>
      <c r="B975" s="268" t="s">
        <v>1148</v>
      </c>
      <c r="C975" s="1034" t="s">
        <v>1144</v>
      </c>
      <c r="D975" s="267"/>
      <c r="E975" s="1035" t="s">
        <v>11678</v>
      </c>
      <c r="F975" s="268"/>
      <c r="G975" s="267" t="s">
        <v>11679</v>
      </c>
      <c r="H975" s="641">
        <v>14205.823999999999</v>
      </c>
    </row>
    <row r="976" spans="1:8" s="760" customFormat="1" ht="13.5" customHeight="1" x14ac:dyDescent="0.25">
      <c r="A976" s="267">
        <v>445</v>
      </c>
      <c r="B976" s="268" t="s">
        <v>1148</v>
      </c>
      <c r="C976" s="1034" t="s">
        <v>1144</v>
      </c>
      <c r="D976" s="267"/>
      <c r="E976" s="1035" t="s">
        <v>11680</v>
      </c>
      <c r="F976" s="268"/>
      <c r="G976" s="267" t="s">
        <v>7850</v>
      </c>
      <c r="H976" s="641">
        <v>38818.239999999998</v>
      </c>
    </row>
    <row r="977" spans="1:8" s="760" customFormat="1" ht="13.5" customHeight="1" x14ac:dyDescent="0.25">
      <c r="A977" s="267">
        <v>445</v>
      </c>
      <c r="B977" s="268" t="s">
        <v>1148</v>
      </c>
      <c r="C977" s="1034" t="s">
        <v>1144</v>
      </c>
      <c r="D977" s="267"/>
      <c r="E977" s="1035" t="s">
        <v>11681</v>
      </c>
      <c r="F977" s="268"/>
      <c r="G977" s="267" t="s">
        <v>11682</v>
      </c>
      <c r="H977" s="641">
        <v>7268.0959999999995</v>
      </c>
    </row>
    <row r="978" spans="1:8" s="760" customFormat="1" ht="13.5" customHeight="1" x14ac:dyDescent="0.25">
      <c r="A978" s="267">
        <v>445</v>
      </c>
      <c r="B978" s="268" t="s">
        <v>1148</v>
      </c>
      <c r="C978" s="1034" t="s">
        <v>1144</v>
      </c>
      <c r="D978" s="267"/>
      <c r="E978" s="1035" t="s">
        <v>11683</v>
      </c>
      <c r="F978" s="268"/>
      <c r="G978" s="267" t="s">
        <v>11684</v>
      </c>
      <c r="H978" s="641">
        <v>1651.84</v>
      </c>
    </row>
    <row r="979" spans="1:8" s="760" customFormat="1" ht="13.5" customHeight="1" x14ac:dyDescent="0.25">
      <c r="A979" s="267">
        <v>445</v>
      </c>
      <c r="B979" s="268" t="s">
        <v>1148</v>
      </c>
      <c r="C979" s="1034" t="s">
        <v>1144</v>
      </c>
      <c r="D979" s="267"/>
      <c r="E979" s="1035" t="s">
        <v>11685</v>
      </c>
      <c r="F979" s="268"/>
      <c r="G979" s="267">
        <v>105723</v>
      </c>
      <c r="H979" s="641">
        <v>6111.59</v>
      </c>
    </row>
    <row r="980" spans="1:8" s="760" customFormat="1" ht="13.5" customHeight="1" x14ac:dyDescent="0.25">
      <c r="A980" s="267">
        <v>441</v>
      </c>
      <c r="B980" s="1033" t="s">
        <v>1145</v>
      </c>
      <c r="C980" s="267" t="s">
        <v>1144</v>
      </c>
      <c r="D980" s="267"/>
      <c r="E980" s="1035" t="s">
        <v>11686</v>
      </c>
      <c r="F980" s="268" t="s">
        <v>11687</v>
      </c>
      <c r="G980" s="267"/>
      <c r="H980" s="641">
        <v>4000</v>
      </c>
    </row>
    <row r="981" spans="1:8" s="760" customFormat="1" ht="13.5" customHeight="1" x14ac:dyDescent="0.25">
      <c r="A981" s="267">
        <v>441</v>
      </c>
      <c r="B981" s="1033" t="s">
        <v>1145</v>
      </c>
      <c r="C981" s="267" t="s">
        <v>1144</v>
      </c>
      <c r="D981" s="267"/>
      <c r="E981" s="1035" t="s">
        <v>11668</v>
      </c>
      <c r="F981" s="268"/>
      <c r="G981" s="267"/>
      <c r="H981" s="641">
        <v>5940</v>
      </c>
    </row>
    <row r="982" spans="1:8" s="760" customFormat="1" ht="13.5" customHeight="1" x14ac:dyDescent="0.25">
      <c r="A982" s="267">
        <v>441</v>
      </c>
      <c r="B982" s="1033" t="s">
        <v>1145</v>
      </c>
      <c r="C982" s="267" t="s">
        <v>1144</v>
      </c>
      <c r="D982" s="267"/>
      <c r="E982" s="1035" t="s">
        <v>7885</v>
      </c>
      <c r="F982" s="268"/>
      <c r="G982" s="267" t="s">
        <v>7886</v>
      </c>
      <c r="H982" s="641">
        <v>50000</v>
      </c>
    </row>
    <row r="983" spans="1:8" s="760" customFormat="1" ht="13.5" customHeight="1" x14ac:dyDescent="0.25">
      <c r="A983" s="267">
        <v>441</v>
      </c>
      <c r="B983" s="1033" t="s">
        <v>1145</v>
      </c>
      <c r="C983" s="267" t="s">
        <v>1144</v>
      </c>
      <c r="D983" s="267"/>
      <c r="E983" s="1035" t="s">
        <v>7734</v>
      </c>
      <c r="F983" s="268"/>
      <c r="G983" s="267"/>
      <c r="H983" s="641">
        <v>48000</v>
      </c>
    </row>
    <row r="984" spans="1:8" s="760" customFormat="1" ht="13.5" customHeight="1" x14ac:dyDescent="0.25">
      <c r="A984" s="267">
        <v>441</v>
      </c>
      <c r="B984" s="1033" t="s">
        <v>1145</v>
      </c>
      <c r="C984" s="267" t="s">
        <v>1144</v>
      </c>
      <c r="D984" s="267"/>
      <c r="E984" s="1035" t="s">
        <v>11657</v>
      </c>
      <c r="F984" s="268"/>
      <c r="G984" s="267"/>
      <c r="H984" s="641">
        <f>135000-47800</f>
        <v>87200</v>
      </c>
    </row>
    <row r="985" spans="1:8" s="760" customFormat="1" ht="13.5" customHeight="1" x14ac:dyDescent="0.25">
      <c r="A985" s="267">
        <v>441</v>
      </c>
      <c r="B985" s="268" t="s">
        <v>1148</v>
      </c>
      <c r="C985" s="267" t="s">
        <v>1144</v>
      </c>
      <c r="D985" s="267"/>
      <c r="E985" s="1035" t="s">
        <v>7870</v>
      </c>
      <c r="F985" s="268" t="s">
        <v>11688</v>
      </c>
      <c r="G985" s="267"/>
      <c r="H985" s="641">
        <v>25770.1</v>
      </c>
    </row>
    <row r="986" spans="1:8" s="760" customFormat="1" ht="13.5" customHeight="1" x14ac:dyDescent="0.25">
      <c r="A986" s="267">
        <v>445</v>
      </c>
      <c r="B986" s="1033" t="s">
        <v>1145</v>
      </c>
      <c r="C986" s="267" t="s">
        <v>1144</v>
      </c>
      <c r="D986" s="267"/>
      <c r="E986" s="1035" t="s">
        <v>1209</v>
      </c>
      <c r="F986" s="268"/>
      <c r="G986" s="267" t="s">
        <v>1151</v>
      </c>
      <c r="H986" s="641">
        <v>5000</v>
      </c>
    </row>
    <row r="987" spans="1:8" s="760" customFormat="1" ht="13.5" customHeight="1" x14ac:dyDescent="0.25">
      <c r="A987" s="267">
        <v>445</v>
      </c>
      <c r="B987" s="1033" t="s">
        <v>1145</v>
      </c>
      <c r="C987" s="267" t="s">
        <v>1144</v>
      </c>
      <c r="D987" s="267"/>
      <c r="E987" s="1035" t="s">
        <v>1152</v>
      </c>
      <c r="F987" s="268"/>
      <c r="G987" s="267"/>
      <c r="H987" s="641">
        <v>35000</v>
      </c>
    </row>
    <row r="988" spans="1:8" s="760" customFormat="1" ht="13.5" customHeight="1" x14ac:dyDescent="0.25">
      <c r="A988" s="267">
        <v>441</v>
      </c>
      <c r="B988" s="268" t="s">
        <v>1148</v>
      </c>
      <c r="C988" s="267" t="s">
        <v>1144</v>
      </c>
      <c r="D988" s="267"/>
      <c r="E988" s="1035" t="s">
        <v>11689</v>
      </c>
      <c r="F988" s="268" t="s">
        <v>11690</v>
      </c>
      <c r="G988" s="267"/>
      <c r="H988" s="641">
        <v>24060.7</v>
      </c>
    </row>
    <row r="989" spans="1:8" s="760" customFormat="1" ht="13.5" customHeight="1" x14ac:dyDescent="0.25">
      <c r="A989" s="267">
        <v>441</v>
      </c>
      <c r="B989" s="268" t="s">
        <v>1145</v>
      </c>
      <c r="C989" s="267" t="s">
        <v>1144</v>
      </c>
      <c r="D989" s="267"/>
      <c r="E989" s="1035" t="s">
        <v>11293</v>
      </c>
      <c r="F989" s="268"/>
      <c r="G989" s="267"/>
      <c r="H989" s="641">
        <v>292400</v>
      </c>
    </row>
    <row r="990" spans="1:8" s="760" customFormat="1" ht="13.5" customHeight="1" x14ac:dyDescent="0.25">
      <c r="A990" s="267">
        <v>441</v>
      </c>
      <c r="B990" s="268" t="s">
        <v>1145</v>
      </c>
      <c r="C990" s="267" t="s">
        <v>1144</v>
      </c>
      <c r="D990" s="267"/>
      <c r="E990" s="1035" t="s">
        <v>11293</v>
      </c>
      <c r="F990" s="268"/>
      <c r="G990" s="267"/>
      <c r="H990" s="641">
        <v>292400</v>
      </c>
    </row>
    <row r="991" spans="1:8" s="760" customFormat="1" ht="13.5" customHeight="1" x14ac:dyDescent="0.25">
      <c r="A991" s="267">
        <v>441</v>
      </c>
      <c r="B991" s="268" t="s">
        <v>1145</v>
      </c>
      <c r="C991" s="267" t="s">
        <v>1144</v>
      </c>
      <c r="D991" s="267"/>
      <c r="E991" s="1035" t="s">
        <v>11691</v>
      </c>
      <c r="F991" s="268"/>
      <c r="G991" s="267"/>
      <c r="H991" s="641">
        <v>7308</v>
      </c>
    </row>
    <row r="992" spans="1:8" s="760" customFormat="1" ht="13.5" customHeight="1" x14ac:dyDescent="0.25">
      <c r="A992" s="267">
        <v>441</v>
      </c>
      <c r="B992" s="268" t="s">
        <v>1145</v>
      </c>
      <c r="C992" s="267" t="s">
        <v>1144</v>
      </c>
      <c r="D992" s="267"/>
      <c r="E992" s="1035" t="s">
        <v>11691</v>
      </c>
      <c r="F992" s="268"/>
      <c r="G992" s="267"/>
      <c r="H992" s="641">
        <v>9106</v>
      </c>
    </row>
    <row r="993" spans="1:8" s="760" customFormat="1" ht="13.5" customHeight="1" x14ac:dyDescent="0.25">
      <c r="A993" s="267">
        <v>441</v>
      </c>
      <c r="B993" s="268" t="s">
        <v>1145</v>
      </c>
      <c r="C993" s="267" t="s">
        <v>1144</v>
      </c>
      <c r="D993" s="267"/>
      <c r="E993" s="1035" t="s">
        <v>11691</v>
      </c>
      <c r="F993" s="268"/>
      <c r="G993" s="267"/>
      <c r="H993" s="641">
        <v>21692</v>
      </c>
    </row>
    <row r="994" spans="1:8" s="760" customFormat="1" ht="13.5" customHeight="1" x14ac:dyDescent="0.25">
      <c r="A994" s="267">
        <v>445</v>
      </c>
      <c r="B994" s="268" t="s">
        <v>1145</v>
      </c>
      <c r="C994" s="267" t="s">
        <v>1144</v>
      </c>
      <c r="D994" s="267"/>
      <c r="E994" s="1035" t="s">
        <v>11685</v>
      </c>
      <c r="F994" s="268"/>
      <c r="G994" s="267"/>
      <c r="H994" s="641">
        <v>5479.02</v>
      </c>
    </row>
    <row r="995" spans="1:8" s="760" customFormat="1" ht="13.5" customHeight="1" x14ac:dyDescent="0.25">
      <c r="A995" s="267">
        <v>445</v>
      </c>
      <c r="B995" s="268" t="s">
        <v>1145</v>
      </c>
      <c r="C995" s="267" t="s">
        <v>1144</v>
      </c>
      <c r="D995" s="267"/>
      <c r="E995" s="1035" t="s">
        <v>11692</v>
      </c>
      <c r="F995" s="268"/>
      <c r="G995" s="267" t="s">
        <v>7777</v>
      </c>
      <c r="H995" s="641">
        <v>44544</v>
      </c>
    </row>
    <row r="996" spans="1:8" s="760" customFormat="1" ht="13.5" customHeight="1" x14ac:dyDescent="0.25">
      <c r="A996" s="267">
        <v>441</v>
      </c>
      <c r="B996" s="268" t="s">
        <v>1148</v>
      </c>
      <c r="C996" s="267" t="s">
        <v>1144</v>
      </c>
      <c r="D996" s="267"/>
      <c r="E996" s="1035" t="s">
        <v>7894</v>
      </c>
      <c r="F996" s="268"/>
      <c r="G996" s="267"/>
      <c r="H996" s="641">
        <v>956.26</v>
      </c>
    </row>
    <row r="997" spans="1:8" s="760" customFormat="1" ht="13.5" customHeight="1" x14ac:dyDescent="0.25">
      <c r="A997" s="267">
        <v>442</v>
      </c>
      <c r="B997" s="268" t="s">
        <v>1145</v>
      </c>
      <c r="C997" s="267" t="s">
        <v>1144</v>
      </c>
      <c r="D997" s="267"/>
      <c r="E997" s="1035" t="s">
        <v>11657</v>
      </c>
      <c r="F997" s="268"/>
      <c r="G997" s="267"/>
      <c r="H997" s="641">
        <v>270000</v>
      </c>
    </row>
    <row r="998" spans="1:8" s="760" customFormat="1" ht="13.5" customHeight="1" x14ac:dyDescent="0.25">
      <c r="A998" s="267">
        <v>441</v>
      </c>
      <c r="B998" s="268" t="s">
        <v>1148</v>
      </c>
      <c r="C998" s="267" t="s">
        <v>1144</v>
      </c>
      <c r="D998" s="267"/>
      <c r="E998" s="1035" t="s">
        <v>11693</v>
      </c>
      <c r="F998" s="268"/>
      <c r="G998" s="267"/>
      <c r="H998" s="641">
        <v>21251.200000000001</v>
      </c>
    </row>
    <row r="999" spans="1:8" s="760" customFormat="1" ht="13.5" customHeight="1" x14ac:dyDescent="0.25">
      <c r="A999" s="267">
        <v>441</v>
      </c>
      <c r="B999" s="268" t="s">
        <v>1148</v>
      </c>
      <c r="C999" s="267" t="s">
        <v>1144</v>
      </c>
      <c r="D999" s="267"/>
      <c r="E999" s="1035" t="s">
        <v>11563</v>
      </c>
      <c r="F999" s="268"/>
      <c r="G999" s="267"/>
      <c r="H999" s="641">
        <v>3132</v>
      </c>
    </row>
    <row r="1000" spans="1:8" s="760" customFormat="1" ht="13.5" customHeight="1" x14ac:dyDescent="0.25">
      <c r="A1000" s="267">
        <v>445</v>
      </c>
      <c r="B1000" s="268" t="s">
        <v>1148</v>
      </c>
      <c r="C1000" s="267" t="s">
        <v>1144</v>
      </c>
      <c r="D1000" s="267"/>
      <c r="E1000" s="1035" t="s">
        <v>11563</v>
      </c>
      <c r="F1000" s="268"/>
      <c r="G1000" s="267"/>
      <c r="H1000" s="641">
        <v>2755</v>
      </c>
    </row>
    <row r="1001" spans="1:8" s="760" customFormat="1" ht="13.5" customHeight="1" x14ac:dyDescent="0.25">
      <c r="A1001" s="267">
        <v>445</v>
      </c>
      <c r="B1001" s="268" t="s">
        <v>1148</v>
      </c>
      <c r="C1001" s="267" t="s">
        <v>1144</v>
      </c>
      <c r="D1001" s="267"/>
      <c r="E1001" s="1035" t="s">
        <v>11694</v>
      </c>
      <c r="F1001" s="268"/>
      <c r="G1001" s="267"/>
      <c r="H1001" s="641">
        <v>2500</v>
      </c>
    </row>
    <row r="1002" spans="1:8" s="760" customFormat="1" ht="13.5" customHeight="1" x14ac:dyDescent="0.25">
      <c r="A1002" s="267">
        <v>445</v>
      </c>
      <c r="B1002" s="268" t="s">
        <v>1148</v>
      </c>
      <c r="C1002" s="267" t="s">
        <v>1144</v>
      </c>
      <c r="D1002" s="267"/>
      <c r="E1002" s="1035" t="s">
        <v>11563</v>
      </c>
      <c r="F1002" s="268"/>
      <c r="G1002" s="267"/>
      <c r="H1002" s="641">
        <v>5684</v>
      </c>
    </row>
    <row r="1003" spans="1:8" s="760" customFormat="1" ht="13.5" customHeight="1" x14ac:dyDescent="0.25">
      <c r="A1003" s="267">
        <v>442</v>
      </c>
      <c r="B1003" s="268" t="s">
        <v>1145</v>
      </c>
      <c r="C1003" s="267" t="s">
        <v>1144</v>
      </c>
      <c r="D1003" s="267"/>
      <c r="E1003" s="1035" t="s">
        <v>11657</v>
      </c>
      <c r="F1003" s="268"/>
      <c r="G1003" s="267"/>
      <c r="H1003" s="641">
        <f>131400-10600</f>
        <v>120800</v>
      </c>
    </row>
    <row r="1004" spans="1:8" s="760" customFormat="1" ht="13.5" customHeight="1" x14ac:dyDescent="0.25">
      <c r="A1004" s="267">
        <v>445</v>
      </c>
      <c r="B1004" s="268" t="s">
        <v>1145</v>
      </c>
      <c r="C1004" s="267" t="s">
        <v>1144</v>
      </c>
      <c r="D1004" s="267"/>
      <c r="E1004" s="1035" t="s">
        <v>7734</v>
      </c>
      <c r="F1004" s="268"/>
      <c r="G1004" s="267"/>
      <c r="H1004" s="641">
        <v>80000</v>
      </c>
    </row>
    <row r="1005" spans="1:8" s="760" customFormat="1" ht="13.5" customHeight="1" x14ac:dyDescent="0.25">
      <c r="A1005" s="267">
        <v>441</v>
      </c>
      <c r="B1005" s="268" t="s">
        <v>1148</v>
      </c>
      <c r="C1005" s="267" t="s">
        <v>1144</v>
      </c>
      <c r="D1005" s="267"/>
      <c r="E1005" s="1035" t="s">
        <v>11695</v>
      </c>
      <c r="F1005" s="268"/>
      <c r="G1005" s="267"/>
      <c r="H1005" s="641">
        <v>580</v>
      </c>
    </row>
    <row r="1006" spans="1:8" s="760" customFormat="1" ht="13.5" customHeight="1" x14ac:dyDescent="0.25">
      <c r="A1006" s="267">
        <v>441</v>
      </c>
      <c r="B1006" s="268" t="s">
        <v>1148</v>
      </c>
      <c r="C1006" s="267" t="s">
        <v>1144</v>
      </c>
      <c r="D1006" s="267"/>
      <c r="E1006" s="1035" t="s">
        <v>11696</v>
      </c>
      <c r="F1006" s="268"/>
      <c r="G1006" s="267"/>
      <c r="H1006" s="641">
        <v>580</v>
      </c>
    </row>
    <row r="1007" spans="1:8" s="760" customFormat="1" ht="13.5" customHeight="1" x14ac:dyDescent="0.25">
      <c r="A1007" s="267">
        <v>441</v>
      </c>
      <c r="B1007" s="268" t="s">
        <v>1148</v>
      </c>
      <c r="C1007" s="267" t="s">
        <v>1144</v>
      </c>
      <c r="D1007" s="267"/>
      <c r="E1007" s="1035" t="s">
        <v>11697</v>
      </c>
      <c r="F1007" s="268"/>
      <c r="G1007" s="267"/>
      <c r="H1007" s="641">
        <v>580</v>
      </c>
    </row>
    <row r="1008" spans="1:8" s="760" customFormat="1" ht="13.5" customHeight="1" x14ac:dyDescent="0.25">
      <c r="A1008" s="267">
        <v>441</v>
      </c>
      <c r="B1008" s="268" t="s">
        <v>1148</v>
      </c>
      <c r="C1008" s="267" t="s">
        <v>1144</v>
      </c>
      <c r="D1008" s="267"/>
      <c r="E1008" s="1035" t="s">
        <v>11698</v>
      </c>
      <c r="F1008" s="268"/>
      <c r="G1008" s="267"/>
      <c r="H1008" s="641">
        <v>2310.0250000000001</v>
      </c>
    </row>
    <row r="1009" spans="1:8" s="760" customFormat="1" ht="13.5" customHeight="1" x14ac:dyDescent="0.25">
      <c r="A1009" s="267">
        <v>441</v>
      </c>
      <c r="B1009" s="268" t="s">
        <v>1148</v>
      </c>
      <c r="C1009" s="267" t="s">
        <v>1144</v>
      </c>
      <c r="D1009" s="267"/>
      <c r="E1009" s="1035" t="s">
        <v>11699</v>
      </c>
      <c r="F1009" s="268"/>
      <c r="G1009" s="267"/>
      <c r="H1009" s="641">
        <v>2310.0250000000001</v>
      </c>
    </row>
    <row r="1010" spans="1:8" s="760" customFormat="1" ht="13.5" customHeight="1" x14ac:dyDescent="0.25">
      <c r="A1010" s="267">
        <v>441</v>
      </c>
      <c r="B1010" s="268" t="s">
        <v>1148</v>
      </c>
      <c r="C1010" s="267" t="s">
        <v>1144</v>
      </c>
      <c r="D1010" s="267"/>
      <c r="E1010" s="1035" t="s">
        <v>11293</v>
      </c>
      <c r="F1010" s="268"/>
      <c r="G1010" s="267"/>
      <c r="H1010" s="641">
        <v>135595</v>
      </c>
    </row>
    <row r="1011" spans="1:8" s="760" customFormat="1" ht="13.5" customHeight="1" x14ac:dyDescent="0.25">
      <c r="A1011" s="267">
        <v>445</v>
      </c>
      <c r="B1011" s="268" t="s">
        <v>1148</v>
      </c>
      <c r="C1011" s="267" t="s">
        <v>1144</v>
      </c>
      <c r="D1011" s="267"/>
      <c r="E1011" s="1035" t="s">
        <v>11700</v>
      </c>
      <c r="F1011" s="268"/>
      <c r="G1011" s="267" t="s">
        <v>7776</v>
      </c>
      <c r="H1011" s="641">
        <v>11136</v>
      </c>
    </row>
    <row r="1012" spans="1:8" s="760" customFormat="1" ht="13.5" customHeight="1" x14ac:dyDescent="0.25">
      <c r="A1012" s="267">
        <v>445</v>
      </c>
      <c r="B1012" s="268" t="s">
        <v>1145</v>
      </c>
      <c r="C1012" s="267" t="s">
        <v>1144</v>
      </c>
      <c r="D1012" s="267"/>
      <c r="E1012" s="1035" t="s">
        <v>11701</v>
      </c>
      <c r="F1012" s="268" t="s">
        <v>11702</v>
      </c>
      <c r="G1012" s="267"/>
      <c r="H1012" s="641">
        <v>2000</v>
      </c>
    </row>
    <row r="1013" spans="1:8" s="760" customFormat="1" ht="13.5" customHeight="1" x14ac:dyDescent="0.25">
      <c r="A1013" s="267">
        <v>445</v>
      </c>
      <c r="B1013" s="268" t="s">
        <v>1148</v>
      </c>
      <c r="C1013" s="267" t="s">
        <v>1144</v>
      </c>
      <c r="D1013" s="267"/>
      <c r="E1013" s="1035" t="s">
        <v>11703</v>
      </c>
      <c r="F1013" s="268" t="s">
        <v>11704</v>
      </c>
      <c r="G1013" s="267"/>
      <c r="H1013" s="641">
        <v>5011.2</v>
      </c>
    </row>
    <row r="1014" spans="1:8" s="760" customFormat="1" ht="13.5" customHeight="1" x14ac:dyDescent="0.25">
      <c r="A1014" s="267">
        <v>445</v>
      </c>
      <c r="B1014" s="268" t="s">
        <v>1148</v>
      </c>
      <c r="C1014" s="267" t="s">
        <v>1144</v>
      </c>
      <c r="D1014" s="267"/>
      <c r="E1014" s="1035" t="s">
        <v>11705</v>
      </c>
      <c r="F1014" s="268"/>
      <c r="G1014" s="267"/>
      <c r="H1014" s="641">
        <v>5624.99</v>
      </c>
    </row>
    <row r="1015" spans="1:8" s="760" customFormat="1" ht="13.5" customHeight="1" x14ac:dyDescent="0.25">
      <c r="A1015" s="267">
        <v>445</v>
      </c>
      <c r="B1015" s="268" t="s">
        <v>1148</v>
      </c>
      <c r="C1015" s="267" t="s">
        <v>1144</v>
      </c>
      <c r="D1015" s="267"/>
      <c r="E1015" s="1035" t="s">
        <v>11706</v>
      </c>
      <c r="F1015" s="268"/>
      <c r="G1015" s="267"/>
      <c r="H1015" s="641">
        <v>7308</v>
      </c>
    </row>
    <row r="1016" spans="1:8" s="760" customFormat="1" ht="13.5" customHeight="1" x14ac:dyDescent="0.25">
      <c r="A1016" s="267">
        <v>445</v>
      </c>
      <c r="B1016" s="268" t="s">
        <v>1148</v>
      </c>
      <c r="C1016" s="267" t="s">
        <v>1144</v>
      </c>
      <c r="D1016" s="267"/>
      <c r="E1016" s="1035" t="s">
        <v>11563</v>
      </c>
      <c r="F1016" s="268"/>
      <c r="G1016" s="267"/>
      <c r="H1016" s="641">
        <v>2880</v>
      </c>
    </row>
    <row r="1017" spans="1:8" s="760" customFormat="1" ht="13.5" customHeight="1" x14ac:dyDescent="0.25">
      <c r="A1017" s="267">
        <v>445</v>
      </c>
      <c r="B1017" s="268" t="s">
        <v>1148</v>
      </c>
      <c r="C1017" s="267" t="s">
        <v>1144</v>
      </c>
      <c r="D1017" s="267"/>
      <c r="E1017" s="1035" t="s">
        <v>11707</v>
      </c>
      <c r="F1017" s="268"/>
      <c r="G1017" s="267"/>
      <c r="H1017" s="641">
        <v>3511.06</v>
      </c>
    </row>
    <row r="1018" spans="1:8" s="760" customFormat="1" ht="13.5" customHeight="1" x14ac:dyDescent="0.25">
      <c r="A1018" s="267">
        <v>445</v>
      </c>
      <c r="B1018" s="268" t="s">
        <v>1148</v>
      </c>
      <c r="C1018" s="267" t="s">
        <v>1144</v>
      </c>
      <c r="D1018" s="267"/>
      <c r="E1018" s="1035" t="s">
        <v>11707</v>
      </c>
      <c r="F1018" s="268"/>
      <c r="G1018" s="267"/>
      <c r="H1018" s="641">
        <v>1126.43</v>
      </c>
    </row>
    <row r="1019" spans="1:8" s="760" customFormat="1" x14ac:dyDescent="0.25">
      <c r="A1019" s="1119">
        <v>414</v>
      </c>
      <c r="B1019" s="259" t="s">
        <v>12250</v>
      </c>
      <c r="C1019" s="1119"/>
      <c r="D1019" s="1119" t="s">
        <v>1144</v>
      </c>
      <c r="E1019" s="259" t="s">
        <v>12241</v>
      </c>
      <c r="F1019" s="1120"/>
      <c r="G1019" s="1119"/>
      <c r="H1019" s="1121">
        <v>141090</v>
      </c>
    </row>
    <row r="1020" spans="1:8" s="760" customFormat="1" x14ac:dyDescent="0.25">
      <c r="A1020" s="1119">
        <v>415</v>
      </c>
      <c r="B1020" s="259" t="s">
        <v>12249</v>
      </c>
      <c r="C1020" s="1119"/>
      <c r="D1020" s="1119" t="s">
        <v>1144</v>
      </c>
      <c r="E1020" s="259" t="s">
        <v>12242</v>
      </c>
      <c r="F1020" s="1120"/>
      <c r="G1020" s="1119"/>
      <c r="H1020" s="1121">
        <v>1740000</v>
      </c>
    </row>
    <row r="1021" spans="1:8" s="760" customFormat="1" x14ac:dyDescent="0.25">
      <c r="A1021" s="1119">
        <v>415</v>
      </c>
      <c r="B1021" s="259" t="s">
        <v>12249</v>
      </c>
      <c r="C1021" s="1119"/>
      <c r="D1021" s="1119" t="s">
        <v>1144</v>
      </c>
      <c r="E1021" s="259" t="s">
        <v>12243</v>
      </c>
      <c r="F1021" s="1120"/>
      <c r="G1021" s="1119"/>
      <c r="H1021" s="1121">
        <v>47462668.049999997</v>
      </c>
    </row>
    <row r="1022" spans="1:8" s="760" customFormat="1" x14ac:dyDescent="0.25">
      <c r="A1022" s="1119">
        <v>424</v>
      </c>
      <c r="B1022" s="259" t="s">
        <v>12249</v>
      </c>
      <c r="C1022" s="1119"/>
      <c r="D1022" s="1119" t="s">
        <v>1144</v>
      </c>
      <c r="E1022" s="259" t="s">
        <v>12244</v>
      </c>
      <c r="F1022" s="1120"/>
      <c r="G1022" s="1119"/>
      <c r="H1022" s="1121">
        <v>36679281.100000001</v>
      </c>
    </row>
    <row r="1023" spans="1:8" s="760" customFormat="1" x14ac:dyDescent="0.25">
      <c r="A1023" s="1119">
        <v>451</v>
      </c>
      <c r="B1023" s="259" t="s">
        <v>12247</v>
      </c>
      <c r="C1023" s="1119" t="s">
        <v>1144</v>
      </c>
      <c r="D1023" s="1119"/>
      <c r="E1023" s="259" t="s">
        <v>12245</v>
      </c>
      <c r="F1023" s="1120"/>
      <c r="G1023" s="1119"/>
      <c r="H1023" s="1121">
        <v>16813524.559999999</v>
      </c>
    </row>
    <row r="1024" spans="1:8" s="760" customFormat="1" x14ac:dyDescent="0.25">
      <c r="A1024" s="1119">
        <v>452</v>
      </c>
      <c r="B1024" s="259" t="s">
        <v>12248</v>
      </c>
      <c r="C1024" s="1119" t="s">
        <v>1144</v>
      </c>
      <c r="D1024" s="1119"/>
      <c r="E1024" s="259" t="s">
        <v>12246</v>
      </c>
      <c r="F1024" s="1120"/>
      <c r="G1024" s="1119"/>
      <c r="H1024" s="1121">
        <v>31840695.84</v>
      </c>
    </row>
    <row r="1025" spans="1:9" s="540" customFormat="1" ht="12.75" x14ac:dyDescent="0.2">
      <c r="A1025" s="537"/>
      <c r="B1025" s="537"/>
      <c r="C1025" s="538"/>
      <c r="D1025" s="538"/>
      <c r="E1025" s="538"/>
      <c r="F1025" s="538"/>
      <c r="G1025" s="538"/>
      <c r="H1025" s="538"/>
      <c r="I1025" s="291"/>
    </row>
    <row r="1026" spans="1:9" s="19" customFormat="1" ht="8.25" customHeight="1" x14ac:dyDescent="0.2">
      <c r="A1026" s="21"/>
      <c r="B1026" s="21"/>
      <c r="C1026" s="22"/>
      <c r="D1026" s="855"/>
      <c r="E1026" s="22"/>
      <c r="F1026" s="22"/>
      <c r="G1026" s="22"/>
      <c r="H1026" s="22"/>
      <c r="I1026" s="291"/>
    </row>
    <row r="1027" spans="1:9" s="19" customFormat="1" ht="12.75" x14ac:dyDescent="0.2">
      <c r="A1027" s="21"/>
      <c r="B1027" s="21"/>
      <c r="C1027" s="22"/>
      <c r="D1027" s="22"/>
      <c r="E1027" s="22"/>
      <c r="F1027" s="22"/>
      <c r="G1027" s="22"/>
      <c r="H1027" s="22"/>
      <c r="I1027" s="287"/>
    </row>
    <row r="1028" spans="1:9" s="19" customFormat="1" ht="12.75" x14ac:dyDescent="0.2">
      <c r="A1028" s="21"/>
      <c r="B1028" s="21"/>
      <c r="C1028" s="22"/>
      <c r="D1028" s="22"/>
      <c r="E1028" s="22"/>
      <c r="F1028" s="22"/>
      <c r="G1028" s="22"/>
      <c r="H1028" s="22"/>
      <c r="I1028" s="280"/>
    </row>
    <row r="1029" spans="1:9" s="19" customFormat="1" ht="12.75" x14ac:dyDescent="0.2">
      <c r="A1029" s="21"/>
      <c r="B1029" s="21"/>
      <c r="C1029" s="22"/>
      <c r="D1029" s="22"/>
      <c r="E1029" s="22"/>
      <c r="F1029" s="22"/>
      <c r="G1029" s="22"/>
      <c r="H1029" s="22"/>
      <c r="I1029" s="280"/>
    </row>
    <row r="1030" spans="1:9" s="19" customFormat="1" ht="12.75" x14ac:dyDescent="0.2">
      <c r="A1030" s="21"/>
      <c r="B1030" s="21"/>
      <c r="C1030" s="22"/>
      <c r="D1030" s="22"/>
      <c r="E1030" s="22"/>
      <c r="F1030" s="22"/>
      <c r="G1030" s="22"/>
      <c r="H1030" s="22"/>
      <c r="I1030" s="287"/>
    </row>
    <row r="1031" spans="1:9" s="19" customFormat="1" ht="14.25" customHeight="1" x14ac:dyDescent="0.2">
      <c r="A1031" s="21"/>
      <c r="B1031" s="21"/>
      <c r="C1031" s="22"/>
      <c r="D1031" s="22"/>
      <c r="E1031" s="22"/>
      <c r="F1031" s="22"/>
      <c r="G1031" s="22"/>
      <c r="H1031" s="22"/>
      <c r="I1031" s="307"/>
    </row>
    <row r="1032" spans="1:9" s="540" customFormat="1" ht="12.75" x14ac:dyDescent="0.2">
      <c r="A1032" s="537"/>
      <c r="B1032" s="537"/>
      <c r="C1032" s="538"/>
      <c r="D1032" s="538"/>
      <c r="E1032" s="538"/>
      <c r="F1032" s="538"/>
      <c r="G1032" s="538"/>
      <c r="H1032" s="538"/>
      <c r="I1032" s="291"/>
    </row>
    <row r="1033" spans="1:9" s="540" customFormat="1" ht="12.75" x14ac:dyDescent="0.2">
      <c r="A1033" s="537"/>
      <c r="B1033" s="537"/>
      <c r="C1033" s="538"/>
      <c r="D1033" s="538"/>
      <c r="E1033" s="538"/>
      <c r="F1033" s="538"/>
      <c r="G1033" s="538"/>
      <c r="H1033" s="538"/>
      <c r="I1033" s="291"/>
    </row>
  </sheetData>
  <autoFilter ref="A8:I8"/>
  <mergeCells count="10">
    <mergeCell ref="A2:H2"/>
    <mergeCell ref="A3:H3"/>
    <mergeCell ref="A4:H4"/>
    <mergeCell ref="A7:A8"/>
    <mergeCell ref="B7:B8"/>
    <mergeCell ref="C7:D7"/>
    <mergeCell ref="E7:E8"/>
    <mergeCell ref="F7:F8"/>
    <mergeCell ref="G7:G8"/>
    <mergeCell ref="H7:H8"/>
  </mergeCells>
  <printOptions horizontalCentered="1"/>
  <pageMargins left="0.23622047244094491" right="0.19685039370078741" top="0.35433070866141736" bottom="0.39370078740157483" header="0.39370078740157483" footer="0.31496062992125984"/>
  <pageSetup fitToHeight="0" orientation="landscape" r:id="rId1"/>
  <headerFooter>
    <oddHeader>&amp;R&amp;"Arial,Normal"&amp;8A4</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276"/>
  <sheetViews>
    <sheetView view="pageBreakPreview" topLeftCell="A240" zoomScale="60" zoomScaleNormal="100" workbookViewId="0"/>
  </sheetViews>
  <sheetFormatPr baseColWidth="10" defaultColWidth="11.42578125" defaultRowHeight="12.75" x14ac:dyDescent="0.25"/>
  <cols>
    <col min="1" max="1" width="7.140625" style="877" bestFit="1" customWidth="1"/>
    <col min="2" max="2" width="25.5703125" style="873" customWidth="1"/>
    <col min="3" max="3" width="37.85546875" style="873" customWidth="1"/>
    <col min="4" max="4" width="32.85546875" style="873" customWidth="1"/>
    <col min="5" max="5" width="32.85546875" style="945" customWidth="1"/>
    <col min="6" max="7" width="10.7109375" style="876" customWidth="1"/>
    <col min="8" max="8" width="27.85546875" style="876" customWidth="1"/>
    <col min="9" max="9" width="14" style="876" customWidth="1"/>
    <col min="10" max="12" width="16" style="875" customWidth="1"/>
    <col min="13" max="14" width="10.42578125" style="874" customWidth="1"/>
    <col min="15" max="15" width="20.85546875" style="873" customWidth="1"/>
    <col min="16" max="16" width="7.42578125" style="873" customWidth="1"/>
    <col min="17" max="17" width="7.5703125" style="873" customWidth="1"/>
    <col min="18" max="16384" width="11.42578125" style="873"/>
  </cols>
  <sheetData>
    <row r="1" spans="1:15" ht="6.75" customHeight="1" thickBot="1" x14ac:dyDescent="0.3"/>
    <row r="2" spans="1:15" ht="16.5" customHeight="1" thickBot="1" x14ac:dyDescent="0.3">
      <c r="A2" s="1247"/>
      <c r="B2" s="1247"/>
      <c r="C2" s="1248" t="s">
        <v>7464</v>
      </c>
      <c r="D2" s="1248"/>
      <c r="E2" s="1248"/>
      <c r="F2" s="1248"/>
      <c r="G2" s="1248"/>
      <c r="H2" s="1248"/>
      <c r="I2" s="1248"/>
      <c r="J2" s="1248"/>
      <c r="K2" s="1248"/>
      <c r="L2" s="1248"/>
      <c r="M2" s="1248"/>
      <c r="N2" s="1248"/>
      <c r="O2" s="1249"/>
    </row>
    <row r="3" spans="1:15" ht="20.25" customHeight="1" x14ac:dyDescent="0.25">
      <c r="A3" s="1247"/>
      <c r="B3" s="1247"/>
      <c r="C3" s="1250" t="s">
        <v>566</v>
      </c>
      <c r="D3" s="1250"/>
      <c r="E3" s="1250"/>
      <c r="F3" s="1250"/>
      <c r="G3" s="1250"/>
      <c r="H3" s="1250"/>
      <c r="I3" s="1250"/>
      <c r="J3" s="1250"/>
      <c r="K3" s="1250"/>
      <c r="L3" s="1250"/>
      <c r="M3" s="1250"/>
      <c r="N3" s="1250"/>
      <c r="O3" s="1250"/>
    </row>
    <row r="4" spans="1:15" ht="20.25" customHeight="1" x14ac:dyDescent="0.25">
      <c r="A4" s="1247"/>
      <c r="B4" s="1247"/>
      <c r="C4" s="1247" t="s">
        <v>8929</v>
      </c>
      <c r="D4" s="1247"/>
      <c r="E4" s="1247"/>
      <c r="F4" s="1247"/>
      <c r="G4" s="1247"/>
      <c r="H4" s="1247"/>
      <c r="I4" s="1247"/>
      <c r="J4" s="1247"/>
      <c r="K4" s="1247"/>
      <c r="L4" s="1247"/>
      <c r="M4" s="1247"/>
      <c r="N4" s="1247"/>
      <c r="O4" s="1247"/>
    </row>
    <row r="5" spans="1:15" ht="21.75" customHeight="1" thickBot="1" x14ac:dyDescent="0.3">
      <c r="B5" s="873" t="s">
        <v>559</v>
      </c>
      <c r="C5" s="873" t="s">
        <v>559</v>
      </c>
    </row>
    <row r="6" spans="1:15" ht="30" customHeight="1" x14ac:dyDescent="0.25">
      <c r="A6" s="1251" t="s">
        <v>560</v>
      </c>
      <c r="B6" s="1253" t="s">
        <v>2384</v>
      </c>
      <c r="C6" s="1253" t="s">
        <v>561</v>
      </c>
      <c r="D6" s="1253" t="s">
        <v>562</v>
      </c>
      <c r="E6" s="1245" t="s">
        <v>10488</v>
      </c>
      <c r="F6" s="1255" t="s">
        <v>2389</v>
      </c>
      <c r="G6" s="1256"/>
      <c r="H6" s="1245" t="s">
        <v>10489</v>
      </c>
      <c r="I6" s="1245" t="s">
        <v>10490</v>
      </c>
      <c r="J6" s="1257" t="s">
        <v>541</v>
      </c>
      <c r="K6" s="1258"/>
      <c r="L6" s="1259"/>
      <c r="M6" s="1237" t="s">
        <v>563</v>
      </c>
      <c r="N6" s="1238"/>
      <c r="O6" s="1239" t="s">
        <v>2390</v>
      </c>
    </row>
    <row r="7" spans="1:15" ht="33.75" customHeight="1" thickBot="1" x14ac:dyDescent="0.3">
      <c r="A7" s="1252"/>
      <c r="B7" s="1254"/>
      <c r="C7" s="1254"/>
      <c r="D7" s="1254"/>
      <c r="E7" s="1246"/>
      <c r="F7" s="925" t="s">
        <v>2385</v>
      </c>
      <c r="G7" s="925" t="s">
        <v>2386</v>
      </c>
      <c r="H7" s="1246"/>
      <c r="I7" s="1246"/>
      <c r="J7" s="924" t="s">
        <v>2391</v>
      </c>
      <c r="K7" s="924" t="s">
        <v>8928</v>
      </c>
      <c r="L7" s="924" t="s">
        <v>8927</v>
      </c>
      <c r="M7" s="923" t="s">
        <v>564</v>
      </c>
      <c r="N7" s="923" t="s">
        <v>565</v>
      </c>
      <c r="O7" s="1240"/>
    </row>
    <row r="8" spans="1:15" ht="33" customHeight="1" x14ac:dyDescent="0.25">
      <c r="A8" s="922">
        <v>411</v>
      </c>
      <c r="B8" s="921" t="s">
        <v>7963</v>
      </c>
      <c r="C8" s="921" t="s">
        <v>7967</v>
      </c>
      <c r="D8" s="920" t="s">
        <v>7968</v>
      </c>
      <c r="E8" s="1091" t="s">
        <v>12105</v>
      </c>
      <c r="F8" s="761">
        <v>42998</v>
      </c>
      <c r="G8" s="761">
        <v>43071</v>
      </c>
      <c r="H8" s="1086" t="s">
        <v>11975</v>
      </c>
      <c r="I8" s="1087" t="s">
        <v>12085</v>
      </c>
      <c r="J8" s="919">
        <v>609401.55000000005</v>
      </c>
      <c r="K8" s="919">
        <f>182820.47+220416.24</f>
        <v>403236.70999999996</v>
      </c>
      <c r="L8" s="919">
        <f>174935.35+31192.31</f>
        <v>206127.66</v>
      </c>
      <c r="M8" s="918">
        <v>1</v>
      </c>
      <c r="N8" s="918">
        <f>(L8+K8)/J8</f>
        <v>0.99993898932485481</v>
      </c>
      <c r="O8" s="917" t="s">
        <v>7483</v>
      </c>
    </row>
    <row r="9" spans="1:15" ht="33" customHeight="1" x14ac:dyDescent="0.25">
      <c r="A9" s="906">
        <v>541</v>
      </c>
      <c r="B9" s="905" t="s">
        <v>2075</v>
      </c>
      <c r="C9" s="905" t="s">
        <v>7962</v>
      </c>
      <c r="D9" s="904" t="s">
        <v>2615</v>
      </c>
      <c r="E9" s="1092" t="s">
        <v>12087</v>
      </c>
      <c r="F9" s="903">
        <v>43068</v>
      </c>
      <c r="G9" s="903">
        <v>43186</v>
      </c>
      <c r="H9" s="1087" t="s">
        <v>11988</v>
      </c>
      <c r="I9" s="1087" t="s">
        <v>11811</v>
      </c>
      <c r="J9" s="902">
        <v>4096.84</v>
      </c>
      <c r="K9" s="902">
        <v>1220.55</v>
      </c>
      <c r="L9" s="902">
        <v>2847.95</v>
      </c>
      <c r="M9" s="901">
        <v>1</v>
      </c>
      <c r="N9" s="901">
        <f>L9/J9</f>
        <v>0.69515773132463066</v>
      </c>
      <c r="O9" s="900" t="s">
        <v>7483</v>
      </c>
    </row>
    <row r="10" spans="1:15" ht="33" customHeight="1" x14ac:dyDescent="0.25">
      <c r="A10" s="906">
        <v>542</v>
      </c>
      <c r="B10" s="905" t="s">
        <v>2074</v>
      </c>
      <c r="C10" s="905" t="s">
        <v>7962</v>
      </c>
      <c r="D10" s="904" t="s">
        <v>2615</v>
      </c>
      <c r="E10" s="1092" t="s">
        <v>12087</v>
      </c>
      <c r="F10" s="903">
        <v>43068</v>
      </c>
      <c r="G10" s="903">
        <v>43186</v>
      </c>
      <c r="H10" s="1087" t="s">
        <v>11988</v>
      </c>
      <c r="I10" s="1087" t="s">
        <v>11811</v>
      </c>
      <c r="J10" s="902">
        <v>44172.07</v>
      </c>
      <c r="K10" s="902">
        <v>13159.64</v>
      </c>
      <c r="L10" s="902">
        <v>30560.7</v>
      </c>
      <c r="M10" s="901">
        <v>1</v>
      </c>
      <c r="N10" s="901">
        <f>L10/J10</f>
        <v>0.69185573598882733</v>
      </c>
      <c r="O10" s="900" t="s">
        <v>7483</v>
      </c>
    </row>
    <row r="11" spans="1:15" ht="33" customHeight="1" x14ac:dyDescent="0.25">
      <c r="A11" s="906">
        <v>543</v>
      </c>
      <c r="B11" s="905" t="s">
        <v>2613</v>
      </c>
      <c r="C11" s="905" t="s">
        <v>7962</v>
      </c>
      <c r="D11" s="904" t="s">
        <v>2615</v>
      </c>
      <c r="E11" s="1092" t="s">
        <v>12087</v>
      </c>
      <c r="F11" s="903">
        <v>43068</v>
      </c>
      <c r="G11" s="903">
        <v>43186</v>
      </c>
      <c r="H11" s="1087" t="s">
        <v>11988</v>
      </c>
      <c r="I11" s="1087" t="s">
        <v>11811</v>
      </c>
      <c r="J11" s="902">
        <v>97968.37</v>
      </c>
      <c r="K11" s="902">
        <v>29432.240000000002</v>
      </c>
      <c r="L11" s="902">
        <v>68438.210000000006</v>
      </c>
      <c r="M11" s="901">
        <v>1</v>
      </c>
      <c r="N11" s="901">
        <f>L11/J11</f>
        <v>0.6985745501328644</v>
      </c>
      <c r="O11" s="900" t="s">
        <v>7483</v>
      </c>
    </row>
    <row r="12" spans="1:15" ht="33" customHeight="1" x14ac:dyDescent="0.25">
      <c r="A12" s="906">
        <v>419</v>
      </c>
      <c r="B12" s="905" t="s">
        <v>7963</v>
      </c>
      <c r="C12" s="905" t="s">
        <v>2616</v>
      </c>
      <c r="D12" s="904" t="s">
        <v>7979</v>
      </c>
      <c r="E12" s="1092" t="s">
        <v>12106</v>
      </c>
      <c r="F12" s="903">
        <v>42971</v>
      </c>
      <c r="G12" s="903">
        <v>43030</v>
      </c>
      <c r="H12" s="1087" t="s">
        <v>11976</v>
      </c>
      <c r="I12" s="1087" t="s">
        <v>12085</v>
      </c>
      <c r="J12" s="902">
        <v>717384.18</v>
      </c>
      <c r="K12" s="902">
        <v>215215.25</v>
      </c>
      <c r="L12" s="902">
        <v>492039.8</v>
      </c>
      <c r="M12" s="901">
        <v>1</v>
      </c>
      <c r="N12" s="901">
        <f>L12/J12</f>
        <v>0.68588047202267544</v>
      </c>
      <c r="O12" s="900" t="s">
        <v>7483</v>
      </c>
    </row>
    <row r="13" spans="1:15" ht="33" customHeight="1" x14ac:dyDescent="0.25">
      <c r="A13" s="906">
        <v>412</v>
      </c>
      <c r="B13" s="905" t="s">
        <v>7963</v>
      </c>
      <c r="C13" s="905" t="s">
        <v>7967</v>
      </c>
      <c r="D13" s="904" t="s">
        <v>7969</v>
      </c>
      <c r="E13" s="1092" t="s">
        <v>12107</v>
      </c>
      <c r="F13" s="903">
        <v>42979</v>
      </c>
      <c r="G13" s="903">
        <v>43038</v>
      </c>
      <c r="H13" s="1087" t="s">
        <v>11977</v>
      </c>
      <c r="I13" s="1087" t="s">
        <v>12085</v>
      </c>
      <c r="J13" s="902">
        <v>686714.45</v>
      </c>
      <c r="K13" s="902">
        <v>182672.97</v>
      </c>
      <c r="L13" s="902">
        <f>407007.22+97034.26</f>
        <v>504041.48</v>
      </c>
      <c r="M13" s="901">
        <v>1</v>
      </c>
      <c r="N13" s="901">
        <f t="shared" ref="N13:N26" si="0">(L13+K13)/J13</f>
        <v>1</v>
      </c>
      <c r="O13" s="900" t="s">
        <v>7483</v>
      </c>
    </row>
    <row r="14" spans="1:15" ht="33" customHeight="1" x14ac:dyDescent="0.25">
      <c r="A14" s="906">
        <v>413</v>
      </c>
      <c r="B14" s="905" t="s">
        <v>7963</v>
      </c>
      <c r="C14" s="905" t="s">
        <v>7967</v>
      </c>
      <c r="D14" s="904" t="s">
        <v>7971</v>
      </c>
      <c r="E14" s="1092" t="s">
        <v>12108</v>
      </c>
      <c r="F14" s="903">
        <v>42926</v>
      </c>
      <c r="G14" s="903">
        <v>42985</v>
      </c>
      <c r="H14" s="1087" t="s">
        <v>11978</v>
      </c>
      <c r="I14" s="1087" t="s">
        <v>12085</v>
      </c>
      <c r="J14" s="902">
        <v>632117.39</v>
      </c>
      <c r="K14" s="902">
        <f>182595.7+411261.18</f>
        <v>593856.88</v>
      </c>
      <c r="L14" s="902">
        <v>34943.67</v>
      </c>
      <c r="M14" s="901">
        <v>1</v>
      </c>
      <c r="N14" s="901">
        <f t="shared" si="0"/>
        <v>0.99475281007535643</v>
      </c>
      <c r="O14" s="900" t="s">
        <v>7483</v>
      </c>
    </row>
    <row r="15" spans="1:15" ht="33" customHeight="1" x14ac:dyDescent="0.25">
      <c r="A15" s="906">
        <v>414</v>
      </c>
      <c r="B15" s="905" t="s">
        <v>7963</v>
      </c>
      <c r="C15" s="905" t="s">
        <v>7972</v>
      </c>
      <c r="D15" s="904" t="s">
        <v>7973</v>
      </c>
      <c r="E15" s="1092" t="s">
        <v>11812</v>
      </c>
      <c r="F15" s="903">
        <v>43075</v>
      </c>
      <c r="G15" s="903">
        <v>43164</v>
      </c>
      <c r="H15" s="1087" t="s">
        <v>11979</v>
      </c>
      <c r="I15" s="1087" t="s">
        <v>12086</v>
      </c>
      <c r="J15" s="902">
        <v>2855998.56</v>
      </c>
      <c r="K15" s="902">
        <v>856799.57</v>
      </c>
      <c r="L15" s="902">
        <f>1508798.55+357986.75+132246.59</f>
        <v>1999031.8900000001</v>
      </c>
      <c r="M15" s="901">
        <v>1</v>
      </c>
      <c r="N15" s="901">
        <f t="shared" si="0"/>
        <v>0.99994149156713852</v>
      </c>
      <c r="O15" s="900" t="s">
        <v>7483</v>
      </c>
    </row>
    <row r="16" spans="1:15" ht="33" customHeight="1" x14ac:dyDescent="0.25">
      <c r="A16" s="906">
        <v>415</v>
      </c>
      <c r="B16" s="905" t="s">
        <v>7963</v>
      </c>
      <c r="C16" s="905" t="s">
        <v>7972</v>
      </c>
      <c r="D16" s="904" t="s">
        <v>7975</v>
      </c>
      <c r="E16" s="1092" t="s">
        <v>12109</v>
      </c>
      <c r="F16" s="903">
        <v>42978</v>
      </c>
      <c r="G16" s="903">
        <v>43052</v>
      </c>
      <c r="H16" s="1087" t="s">
        <v>11980</v>
      </c>
      <c r="I16" s="1087" t="s">
        <v>12085</v>
      </c>
      <c r="J16" s="902">
        <v>1073259.75</v>
      </c>
      <c r="K16" s="902">
        <v>321977.93</v>
      </c>
      <c r="L16" s="902">
        <f>284988.86+220474.04+199626.92</f>
        <v>705089.82000000007</v>
      </c>
      <c r="M16" s="901">
        <v>1</v>
      </c>
      <c r="N16" s="901">
        <f t="shared" si="0"/>
        <v>0.95696102457955778</v>
      </c>
      <c r="O16" s="900" t="s">
        <v>7483</v>
      </c>
    </row>
    <row r="17" spans="1:15" ht="33" customHeight="1" x14ac:dyDescent="0.25">
      <c r="A17" s="906">
        <v>417</v>
      </c>
      <c r="B17" s="905" t="s">
        <v>7963</v>
      </c>
      <c r="C17" s="905" t="s">
        <v>2616</v>
      </c>
      <c r="D17" s="904" t="s">
        <v>7977</v>
      </c>
      <c r="E17" s="1092" t="s">
        <v>12110</v>
      </c>
      <c r="F17" s="903">
        <v>42971</v>
      </c>
      <c r="G17" s="903">
        <v>43028</v>
      </c>
      <c r="H17" s="1087" t="s">
        <v>11976</v>
      </c>
      <c r="I17" s="1087" t="s">
        <v>12085</v>
      </c>
      <c r="J17" s="902">
        <v>717711.44</v>
      </c>
      <c r="K17" s="902">
        <v>215313.43</v>
      </c>
      <c r="L17" s="902">
        <f>266508.02+136345.29+92989.29</f>
        <v>495842.60000000003</v>
      </c>
      <c r="M17" s="901">
        <v>1</v>
      </c>
      <c r="N17" s="901">
        <f t="shared" si="0"/>
        <v>0.99086623169891241</v>
      </c>
      <c r="O17" s="900" t="s">
        <v>7483</v>
      </c>
    </row>
    <row r="18" spans="1:15" ht="33" customHeight="1" x14ac:dyDescent="0.25">
      <c r="A18" s="906">
        <v>418</v>
      </c>
      <c r="B18" s="905" t="s">
        <v>7963</v>
      </c>
      <c r="C18" s="905" t="s">
        <v>2616</v>
      </c>
      <c r="D18" s="904" t="s">
        <v>7978</v>
      </c>
      <c r="E18" s="1092" t="s">
        <v>12111</v>
      </c>
      <c r="F18" s="903">
        <v>42972</v>
      </c>
      <c r="G18" s="903">
        <v>43031</v>
      </c>
      <c r="H18" s="1087" t="s">
        <v>11981</v>
      </c>
      <c r="I18" s="1087" t="s">
        <v>12085</v>
      </c>
      <c r="J18" s="902">
        <v>837737.07</v>
      </c>
      <c r="K18" s="902">
        <v>215418.1</v>
      </c>
      <c r="L18" s="902">
        <f>380880.34+241438.63</f>
        <v>622318.97</v>
      </c>
      <c r="M18" s="901">
        <v>1</v>
      </c>
      <c r="N18" s="901">
        <f t="shared" si="0"/>
        <v>1</v>
      </c>
      <c r="O18" s="900" t="s">
        <v>7483</v>
      </c>
    </row>
    <row r="19" spans="1:15" ht="33" customHeight="1" x14ac:dyDescent="0.25">
      <c r="A19" s="906">
        <v>410</v>
      </c>
      <c r="B19" s="905" t="s">
        <v>7963</v>
      </c>
      <c r="C19" s="905" t="s">
        <v>1268</v>
      </c>
      <c r="D19" s="904" t="s">
        <v>7966</v>
      </c>
      <c r="E19" s="1092" t="s">
        <v>12112</v>
      </c>
      <c r="F19" s="903">
        <v>42979</v>
      </c>
      <c r="G19" s="903">
        <v>43123</v>
      </c>
      <c r="H19" s="1087" t="s">
        <v>11982</v>
      </c>
      <c r="I19" s="1087" t="s">
        <v>12085</v>
      </c>
      <c r="J19" s="902">
        <v>1185772.8500000001</v>
      </c>
      <c r="K19" s="902">
        <v>237975.13</v>
      </c>
      <c r="L19" s="902">
        <v>947797.08000000007</v>
      </c>
      <c r="M19" s="901">
        <v>1</v>
      </c>
      <c r="N19" s="901">
        <f t="shared" si="0"/>
        <v>0.99999946026762199</v>
      </c>
      <c r="O19" s="900" t="s">
        <v>7483</v>
      </c>
    </row>
    <row r="20" spans="1:15" ht="33" customHeight="1" x14ac:dyDescent="0.25">
      <c r="A20" s="906">
        <v>420</v>
      </c>
      <c r="B20" s="905" t="s">
        <v>7963</v>
      </c>
      <c r="C20" s="905" t="s">
        <v>2616</v>
      </c>
      <c r="D20" s="904" t="s">
        <v>2614</v>
      </c>
      <c r="E20" s="1092" t="s">
        <v>12113</v>
      </c>
      <c r="F20" s="903">
        <v>42980</v>
      </c>
      <c r="G20" s="903">
        <v>43074</v>
      </c>
      <c r="H20" s="1087" t="s">
        <v>11983</v>
      </c>
      <c r="I20" s="1087" t="s">
        <v>12085</v>
      </c>
      <c r="J20" s="902">
        <v>831523.49</v>
      </c>
      <c r="K20" s="902">
        <f>213820.33+484171.73</f>
        <v>697992.05999999994</v>
      </c>
      <c r="L20" s="902">
        <v>128052.37</v>
      </c>
      <c r="M20" s="901">
        <v>1</v>
      </c>
      <c r="N20" s="901">
        <f t="shared" si="0"/>
        <v>0.99341081753445104</v>
      </c>
      <c r="O20" s="900" t="s">
        <v>7483</v>
      </c>
    </row>
    <row r="21" spans="1:15" ht="33" customHeight="1" x14ac:dyDescent="0.25">
      <c r="A21" s="906">
        <v>421</v>
      </c>
      <c r="B21" s="905" t="s">
        <v>7963</v>
      </c>
      <c r="C21" s="905" t="s">
        <v>2616</v>
      </c>
      <c r="D21" s="904" t="s">
        <v>7980</v>
      </c>
      <c r="E21" s="1092" t="s">
        <v>12114</v>
      </c>
      <c r="F21" s="903">
        <v>42970</v>
      </c>
      <c r="G21" s="903">
        <v>43029</v>
      </c>
      <c r="H21" s="1087" t="s">
        <v>11978</v>
      </c>
      <c r="I21" s="1087" t="s">
        <v>12085</v>
      </c>
      <c r="J21" s="902">
        <v>719235.89</v>
      </c>
      <c r="K21" s="902">
        <f>215770.76+214264.96</f>
        <v>430035.72</v>
      </c>
      <c r="L21" s="902">
        <v>289199.05</v>
      </c>
      <c r="M21" s="901">
        <v>1</v>
      </c>
      <c r="N21" s="901">
        <f t="shared" si="0"/>
        <v>0.9999984427918357</v>
      </c>
      <c r="O21" s="900" t="s">
        <v>7483</v>
      </c>
    </row>
    <row r="22" spans="1:15" ht="33" customHeight="1" x14ac:dyDescent="0.25">
      <c r="A22" s="906">
        <v>422</v>
      </c>
      <c r="B22" s="905" t="s">
        <v>7963</v>
      </c>
      <c r="C22" s="905" t="s">
        <v>2616</v>
      </c>
      <c r="D22" s="904" t="s">
        <v>7981</v>
      </c>
      <c r="E22" s="1092" t="s">
        <v>12115</v>
      </c>
      <c r="F22" s="903">
        <v>42970</v>
      </c>
      <c r="G22" s="903">
        <v>43029</v>
      </c>
      <c r="H22" s="1087" t="s">
        <v>11977</v>
      </c>
      <c r="I22" s="1087" t="s">
        <v>12085</v>
      </c>
      <c r="J22" s="902">
        <v>711242.05</v>
      </c>
      <c r="K22" s="902">
        <v>213372.62</v>
      </c>
      <c r="L22" s="902">
        <v>497813.81</v>
      </c>
      <c r="M22" s="901">
        <v>1</v>
      </c>
      <c r="N22" s="901">
        <f t="shared" si="0"/>
        <v>0.99992179877441145</v>
      </c>
      <c r="O22" s="900" t="s">
        <v>7483</v>
      </c>
    </row>
    <row r="23" spans="1:15" ht="33" customHeight="1" x14ac:dyDescent="0.25">
      <c r="A23" s="906">
        <v>423</v>
      </c>
      <c r="B23" s="905" t="s">
        <v>7963</v>
      </c>
      <c r="C23" s="905" t="s">
        <v>2616</v>
      </c>
      <c r="D23" s="904" t="s">
        <v>7982</v>
      </c>
      <c r="E23" s="1092" t="s">
        <v>12116</v>
      </c>
      <c r="F23" s="903">
        <v>42972</v>
      </c>
      <c r="G23" s="903">
        <v>43031</v>
      </c>
      <c r="H23" s="1087" t="s">
        <v>11984</v>
      </c>
      <c r="I23" s="1087" t="s">
        <v>12085</v>
      </c>
      <c r="J23" s="902">
        <v>719630.66</v>
      </c>
      <c r="K23" s="902">
        <v>215889.2</v>
      </c>
      <c r="L23" s="902">
        <f>383321.71+94543.02</f>
        <v>477864.73000000004</v>
      </c>
      <c r="M23" s="901">
        <v>1</v>
      </c>
      <c r="N23" s="901">
        <f t="shared" si="0"/>
        <v>0.96404165158833011</v>
      </c>
      <c r="O23" s="900" t="s">
        <v>7483</v>
      </c>
    </row>
    <row r="24" spans="1:15" ht="33" customHeight="1" x14ac:dyDescent="0.25">
      <c r="A24" s="906">
        <v>424</v>
      </c>
      <c r="B24" s="905" t="s">
        <v>7963</v>
      </c>
      <c r="C24" s="905" t="s">
        <v>2616</v>
      </c>
      <c r="D24" s="904" t="s">
        <v>7983</v>
      </c>
      <c r="E24" s="1092" t="s">
        <v>12117</v>
      </c>
      <c r="F24" s="903">
        <v>42972</v>
      </c>
      <c r="G24" s="903">
        <v>43031</v>
      </c>
      <c r="H24" s="1087" t="s">
        <v>11984</v>
      </c>
      <c r="I24" s="1087" t="s">
        <v>12085</v>
      </c>
      <c r="J24" s="902">
        <v>719498.7</v>
      </c>
      <c r="K24" s="902">
        <v>215849.61</v>
      </c>
      <c r="L24" s="902">
        <f>389622.27+97511.36</f>
        <v>487133.63</v>
      </c>
      <c r="M24" s="901">
        <v>1</v>
      </c>
      <c r="N24" s="901">
        <f t="shared" si="0"/>
        <v>0.97704587930457698</v>
      </c>
      <c r="O24" s="900" t="s">
        <v>7483</v>
      </c>
    </row>
    <row r="25" spans="1:15" ht="33" customHeight="1" x14ac:dyDescent="0.25">
      <c r="A25" s="906">
        <v>425</v>
      </c>
      <c r="B25" s="905" t="s">
        <v>7963</v>
      </c>
      <c r="C25" s="905" t="s">
        <v>2616</v>
      </c>
      <c r="D25" s="904" t="s">
        <v>7984</v>
      </c>
      <c r="E25" s="1092" t="s">
        <v>12118</v>
      </c>
      <c r="F25" s="903">
        <v>42947</v>
      </c>
      <c r="G25" s="903">
        <v>43006</v>
      </c>
      <c r="H25" s="1087" t="s">
        <v>11985</v>
      </c>
      <c r="I25" s="1087" t="s">
        <v>12085</v>
      </c>
      <c r="J25" s="902">
        <v>718911.14</v>
      </c>
      <c r="K25" s="902">
        <v>215673.34</v>
      </c>
      <c r="L25" s="902">
        <v>488017.19</v>
      </c>
      <c r="M25" s="901">
        <v>1</v>
      </c>
      <c r="N25" s="901">
        <f t="shared" si="0"/>
        <v>0.97882824572728144</v>
      </c>
      <c r="O25" s="900" t="s">
        <v>7483</v>
      </c>
    </row>
    <row r="26" spans="1:15" ht="33" customHeight="1" x14ac:dyDescent="0.25">
      <c r="A26" s="906">
        <v>426</v>
      </c>
      <c r="B26" s="905" t="s">
        <v>7963</v>
      </c>
      <c r="C26" s="905" t="s">
        <v>2616</v>
      </c>
      <c r="D26" s="904" t="s">
        <v>7985</v>
      </c>
      <c r="E26" s="1092" t="s">
        <v>12119</v>
      </c>
      <c r="F26" s="903">
        <v>42947</v>
      </c>
      <c r="G26" s="903">
        <v>43006</v>
      </c>
      <c r="H26" s="1087" t="s">
        <v>11985</v>
      </c>
      <c r="I26" s="1087" t="s">
        <v>12085</v>
      </c>
      <c r="J26" s="902">
        <v>719290.25</v>
      </c>
      <c r="K26" s="902">
        <v>215787.07</v>
      </c>
      <c r="L26" s="902">
        <f>166381.18+317268.87</f>
        <v>483650.05</v>
      </c>
      <c r="M26" s="901">
        <v>1</v>
      </c>
      <c r="N26" s="901">
        <f t="shared" si="0"/>
        <v>0.97239900026449688</v>
      </c>
      <c r="O26" s="900" t="s">
        <v>7483</v>
      </c>
    </row>
    <row r="27" spans="1:15" ht="33" customHeight="1" x14ac:dyDescent="0.25">
      <c r="A27" s="906">
        <v>507</v>
      </c>
      <c r="B27" s="905" t="s">
        <v>7963</v>
      </c>
      <c r="C27" s="905" t="s">
        <v>7972</v>
      </c>
      <c r="D27" s="904" t="s">
        <v>8034</v>
      </c>
      <c r="E27" s="1092" t="s">
        <v>12128</v>
      </c>
      <c r="F27" s="903">
        <v>43087</v>
      </c>
      <c r="G27" s="903">
        <v>43264</v>
      </c>
      <c r="H27" s="1087" t="s">
        <v>11986</v>
      </c>
      <c r="I27" s="1087" t="s">
        <v>12085</v>
      </c>
      <c r="J27" s="902">
        <v>1165452.01</v>
      </c>
      <c r="K27" s="902">
        <v>349635.6</v>
      </c>
      <c r="L27" s="902">
        <f>163227.8+267143.71+168688.37</f>
        <v>599059.88</v>
      </c>
      <c r="M27" s="901">
        <v>1</v>
      </c>
      <c r="N27" s="901">
        <v>0.53131298526568382</v>
      </c>
      <c r="O27" s="900" t="s">
        <v>7483</v>
      </c>
    </row>
    <row r="28" spans="1:15" ht="33" customHeight="1" x14ac:dyDescent="0.25">
      <c r="A28" s="906">
        <v>508</v>
      </c>
      <c r="B28" s="905" t="s">
        <v>7963</v>
      </c>
      <c r="C28" s="905" t="s">
        <v>8035</v>
      </c>
      <c r="D28" s="904" t="s">
        <v>7965</v>
      </c>
      <c r="E28" s="1092" t="s">
        <v>12120</v>
      </c>
      <c r="F28" s="903">
        <v>42982</v>
      </c>
      <c r="G28" s="903">
        <v>43041</v>
      </c>
      <c r="H28" s="1087" t="s">
        <v>11987</v>
      </c>
      <c r="I28" s="1087" t="s">
        <v>12085</v>
      </c>
      <c r="J28" s="902">
        <v>653152.74</v>
      </c>
      <c r="K28" s="902">
        <f>195945.82+165776.49+215908.9</f>
        <v>577631.21</v>
      </c>
      <c r="L28" s="902">
        <v>71825.289999999994</v>
      </c>
      <c r="M28" s="901">
        <v>1</v>
      </c>
      <c r="N28" s="901">
        <f t="shared" ref="N28:N59" si="1">(L28+K28)/J28</f>
        <v>0.99434092552379094</v>
      </c>
      <c r="O28" s="900" t="s">
        <v>7483</v>
      </c>
    </row>
    <row r="29" spans="1:15" ht="33" customHeight="1" x14ac:dyDescent="0.25">
      <c r="A29" s="906">
        <v>510</v>
      </c>
      <c r="B29" s="905" t="s">
        <v>7963</v>
      </c>
      <c r="C29" s="905" t="s">
        <v>8036</v>
      </c>
      <c r="D29" s="904" t="s">
        <v>2614</v>
      </c>
      <c r="E29" s="1092" t="s">
        <v>11813</v>
      </c>
      <c r="F29" s="903">
        <v>43060</v>
      </c>
      <c r="G29" s="903">
        <v>43119</v>
      </c>
      <c r="H29" s="1087" t="s">
        <v>11988</v>
      </c>
      <c r="I29" s="1087" t="s">
        <v>12085</v>
      </c>
      <c r="J29" s="902">
        <v>472572.06</v>
      </c>
      <c r="K29" s="902">
        <f>141771.62+157366.59</f>
        <v>299138.20999999996</v>
      </c>
      <c r="L29" s="902">
        <v>171507.14</v>
      </c>
      <c r="M29" s="901">
        <v>1</v>
      </c>
      <c r="N29" s="901">
        <f t="shared" si="1"/>
        <v>0.99592292866404331</v>
      </c>
      <c r="O29" s="900" t="s">
        <v>7483</v>
      </c>
    </row>
    <row r="30" spans="1:15" ht="33" customHeight="1" x14ac:dyDescent="0.25">
      <c r="A30" s="906">
        <v>511</v>
      </c>
      <c r="B30" s="905" t="s">
        <v>7963</v>
      </c>
      <c r="C30" s="905" t="s">
        <v>7962</v>
      </c>
      <c r="D30" s="904" t="s">
        <v>8037</v>
      </c>
      <c r="E30" s="1092" t="s">
        <v>12121</v>
      </c>
      <c r="F30" s="903">
        <v>42996</v>
      </c>
      <c r="G30" s="903">
        <v>43055</v>
      </c>
      <c r="H30" s="1087" t="s">
        <v>11977</v>
      </c>
      <c r="I30" s="1087" t="s">
        <v>12085</v>
      </c>
      <c r="J30" s="902">
        <v>483823.5</v>
      </c>
      <c r="K30" s="902">
        <f>145147.05+276369.72</f>
        <v>421516.76999999996</v>
      </c>
      <c r="L30" s="902">
        <v>57607.199999999997</v>
      </c>
      <c r="M30" s="901">
        <v>1</v>
      </c>
      <c r="N30" s="901">
        <f t="shared" si="1"/>
        <v>0.99028668512381057</v>
      </c>
      <c r="O30" s="900" t="s">
        <v>7483</v>
      </c>
    </row>
    <row r="31" spans="1:15" ht="33" customHeight="1" x14ac:dyDescent="0.25">
      <c r="A31" s="906">
        <v>512</v>
      </c>
      <c r="B31" s="905" t="s">
        <v>7963</v>
      </c>
      <c r="C31" s="905" t="s">
        <v>7962</v>
      </c>
      <c r="D31" s="904" t="s">
        <v>1113</v>
      </c>
      <c r="E31" s="1092" t="s">
        <v>12094</v>
      </c>
      <c r="F31" s="903">
        <v>43061</v>
      </c>
      <c r="G31" s="903">
        <v>43120</v>
      </c>
      <c r="H31" s="1087" t="s">
        <v>11989</v>
      </c>
      <c r="I31" s="1087" t="s">
        <v>12085</v>
      </c>
      <c r="J31" s="902">
        <v>1210696.18</v>
      </c>
      <c r="K31" s="902">
        <v>363208.85</v>
      </c>
      <c r="L31" s="902">
        <f>376478.55+471008.77</f>
        <v>847487.32000000007</v>
      </c>
      <c r="M31" s="901">
        <v>1</v>
      </c>
      <c r="N31" s="901">
        <f t="shared" si="1"/>
        <v>0.99999999174028942</v>
      </c>
      <c r="O31" s="900" t="s">
        <v>7483</v>
      </c>
    </row>
    <row r="32" spans="1:15" ht="33" customHeight="1" x14ac:dyDescent="0.25">
      <c r="A32" s="906">
        <v>513</v>
      </c>
      <c r="B32" s="905" t="s">
        <v>7963</v>
      </c>
      <c r="C32" s="905" t="s">
        <v>7962</v>
      </c>
      <c r="D32" s="904" t="s">
        <v>8038</v>
      </c>
      <c r="E32" s="1092" t="s">
        <v>12100</v>
      </c>
      <c r="F32" s="903">
        <v>42979</v>
      </c>
      <c r="G32" s="903">
        <v>43038</v>
      </c>
      <c r="H32" s="1087" t="s">
        <v>11990</v>
      </c>
      <c r="I32" s="1087" t="s">
        <v>12085</v>
      </c>
      <c r="J32" s="902">
        <v>711783.83</v>
      </c>
      <c r="K32" s="902">
        <v>213535.15</v>
      </c>
      <c r="L32" s="902">
        <f>177931.34+320317.34</f>
        <v>498248.68000000005</v>
      </c>
      <c r="M32" s="901">
        <v>1</v>
      </c>
      <c r="N32" s="901">
        <f t="shared" si="1"/>
        <v>1.0000000000000002</v>
      </c>
      <c r="O32" s="900" t="s">
        <v>7483</v>
      </c>
    </row>
    <row r="33" spans="1:15" ht="33" customHeight="1" x14ac:dyDescent="0.25">
      <c r="A33" s="906">
        <v>514</v>
      </c>
      <c r="B33" s="905" t="s">
        <v>7963</v>
      </c>
      <c r="C33" s="905" t="s">
        <v>7962</v>
      </c>
      <c r="D33" s="904" t="s">
        <v>8039</v>
      </c>
      <c r="E33" s="1092" t="s">
        <v>12095</v>
      </c>
      <c r="F33" s="903">
        <v>42989</v>
      </c>
      <c r="G33" s="903">
        <v>43048</v>
      </c>
      <c r="H33" s="1087" t="s">
        <v>11991</v>
      </c>
      <c r="I33" s="1087" t="s">
        <v>12085</v>
      </c>
      <c r="J33" s="902">
        <v>606499.09</v>
      </c>
      <c r="K33" s="902">
        <v>181949.72</v>
      </c>
      <c r="L33" s="902">
        <v>424529.1</v>
      </c>
      <c r="M33" s="901">
        <v>1</v>
      </c>
      <c r="N33" s="901">
        <f t="shared" si="1"/>
        <v>0.99996657868027461</v>
      </c>
      <c r="O33" s="900" t="s">
        <v>7483</v>
      </c>
    </row>
    <row r="34" spans="1:15" ht="33" customHeight="1" x14ac:dyDescent="0.25">
      <c r="A34" s="906">
        <v>515</v>
      </c>
      <c r="B34" s="905" t="s">
        <v>7963</v>
      </c>
      <c r="C34" s="905" t="s">
        <v>7962</v>
      </c>
      <c r="D34" s="904" t="s">
        <v>8040</v>
      </c>
      <c r="E34" s="1092" t="s">
        <v>12096</v>
      </c>
      <c r="F34" s="903">
        <v>42979</v>
      </c>
      <c r="G34" s="903">
        <v>43038</v>
      </c>
      <c r="H34" s="1087" t="s">
        <v>11992</v>
      </c>
      <c r="I34" s="1087" t="s">
        <v>12085</v>
      </c>
      <c r="J34" s="902">
        <v>632158.01</v>
      </c>
      <c r="K34" s="902">
        <v>189647.4</v>
      </c>
      <c r="L34" s="902">
        <f>355658.42+86852.18</f>
        <v>442510.6</v>
      </c>
      <c r="M34" s="901">
        <v>1</v>
      </c>
      <c r="N34" s="901">
        <f t="shared" si="1"/>
        <v>0.99999998418117009</v>
      </c>
      <c r="O34" s="900" t="s">
        <v>7483</v>
      </c>
    </row>
    <row r="35" spans="1:15" ht="33" customHeight="1" x14ac:dyDescent="0.25">
      <c r="A35" s="906">
        <v>516</v>
      </c>
      <c r="B35" s="905" t="s">
        <v>7963</v>
      </c>
      <c r="C35" s="905" t="s">
        <v>7972</v>
      </c>
      <c r="D35" s="904" t="s">
        <v>1113</v>
      </c>
      <c r="E35" s="1092" t="s">
        <v>12101</v>
      </c>
      <c r="F35" s="903">
        <v>43008</v>
      </c>
      <c r="G35" s="903">
        <v>43067</v>
      </c>
      <c r="H35" s="1087" t="s">
        <v>11980</v>
      </c>
      <c r="I35" s="1087" t="s">
        <v>12085</v>
      </c>
      <c r="J35" s="902">
        <v>704007.79</v>
      </c>
      <c r="K35" s="902">
        <v>211202.34</v>
      </c>
      <c r="L35" s="902">
        <f>188813.66+303009.68</f>
        <v>491823.33999999997</v>
      </c>
      <c r="M35" s="901">
        <v>1</v>
      </c>
      <c r="N35" s="901">
        <f t="shared" si="1"/>
        <v>0.9986049728228148</v>
      </c>
      <c r="O35" s="900" t="s">
        <v>7483</v>
      </c>
    </row>
    <row r="36" spans="1:15" ht="33" customHeight="1" x14ac:dyDescent="0.25">
      <c r="A36" s="906">
        <v>517</v>
      </c>
      <c r="B36" s="905" t="s">
        <v>7963</v>
      </c>
      <c r="C36" s="905" t="s">
        <v>7972</v>
      </c>
      <c r="D36" s="904" t="s">
        <v>1113</v>
      </c>
      <c r="E36" s="1092" t="s">
        <v>12097</v>
      </c>
      <c r="F36" s="903">
        <v>43008</v>
      </c>
      <c r="G36" s="903">
        <v>43067</v>
      </c>
      <c r="H36" s="1087" t="s">
        <v>11980</v>
      </c>
      <c r="I36" s="1087" t="s">
        <v>12085</v>
      </c>
      <c r="J36" s="902">
        <v>958764.19</v>
      </c>
      <c r="K36" s="902">
        <v>287629.26</v>
      </c>
      <c r="L36" s="902">
        <f>27235.79+487961.54</f>
        <v>515197.32999999996</v>
      </c>
      <c r="M36" s="901">
        <v>1</v>
      </c>
      <c r="N36" s="901">
        <f t="shared" si="1"/>
        <v>0.83735562756051618</v>
      </c>
      <c r="O36" s="900" t="s">
        <v>7483</v>
      </c>
    </row>
    <row r="37" spans="1:15" ht="33" customHeight="1" x14ac:dyDescent="0.25">
      <c r="A37" s="906">
        <v>518</v>
      </c>
      <c r="B37" s="905" t="s">
        <v>7963</v>
      </c>
      <c r="C37" s="905" t="s">
        <v>7972</v>
      </c>
      <c r="D37" s="904" t="s">
        <v>1113</v>
      </c>
      <c r="E37" s="1092" t="s">
        <v>12102</v>
      </c>
      <c r="F37" s="903">
        <v>42978</v>
      </c>
      <c r="G37" s="903">
        <v>43052</v>
      </c>
      <c r="H37" s="1087" t="s">
        <v>11980</v>
      </c>
      <c r="I37" s="1087" t="s">
        <v>12085</v>
      </c>
      <c r="J37" s="902">
        <v>968112.58</v>
      </c>
      <c r="K37" s="902">
        <v>290433.77</v>
      </c>
      <c r="L37" s="902">
        <f>99435.64+306791.65+271451.51</f>
        <v>677678.8</v>
      </c>
      <c r="M37" s="901">
        <v>1</v>
      </c>
      <c r="N37" s="901">
        <f t="shared" si="1"/>
        <v>0.99999998967062287</v>
      </c>
      <c r="O37" s="900" t="s">
        <v>7483</v>
      </c>
    </row>
    <row r="38" spans="1:15" ht="33" customHeight="1" x14ac:dyDescent="0.25">
      <c r="A38" s="906">
        <v>519</v>
      </c>
      <c r="B38" s="905" t="s">
        <v>7963</v>
      </c>
      <c r="C38" s="905" t="s">
        <v>7962</v>
      </c>
      <c r="D38" s="904" t="s">
        <v>8041</v>
      </c>
      <c r="E38" s="1092" t="s">
        <v>12098</v>
      </c>
      <c r="F38" s="903">
        <v>42996</v>
      </c>
      <c r="G38" s="903">
        <v>43055</v>
      </c>
      <c r="H38" s="1087" t="s">
        <v>11977</v>
      </c>
      <c r="I38" s="1087" t="s">
        <v>12085</v>
      </c>
      <c r="J38" s="902">
        <v>739171</v>
      </c>
      <c r="K38" s="902">
        <f>221751.3+325317.75</f>
        <v>547069.05000000005</v>
      </c>
      <c r="L38" s="902">
        <v>68070.080000000002</v>
      </c>
      <c r="M38" s="901">
        <v>1</v>
      </c>
      <c r="N38" s="901">
        <f t="shared" si="1"/>
        <v>0.83220138506516084</v>
      </c>
      <c r="O38" s="900" t="s">
        <v>7483</v>
      </c>
    </row>
    <row r="39" spans="1:15" ht="33" customHeight="1" x14ac:dyDescent="0.25">
      <c r="A39" s="906">
        <v>522</v>
      </c>
      <c r="B39" s="905" t="s">
        <v>7963</v>
      </c>
      <c r="C39" s="905" t="s">
        <v>7964</v>
      </c>
      <c r="D39" s="904" t="s">
        <v>8042</v>
      </c>
      <c r="E39" s="1092" t="s">
        <v>12099</v>
      </c>
      <c r="F39" s="903">
        <v>42982</v>
      </c>
      <c r="G39" s="903">
        <v>43041</v>
      </c>
      <c r="H39" s="1087" t="s">
        <v>11993</v>
      </c>
      <c r="I39" s="1087" t="s">
        <v>12085</v>
      </c>
      <c r="J39" s="902">
        <v>1310854.8599999999</v>
      </c>
      <c r="K39" s="902">
        <f>322394.89+712823.32</f>
        <v>1035218.21</v>
      </c>
      <c r="L39" s="902">
        <v>275636.65000000002</v>
      </c>
      <c r="M39" s="901">
        <v>1</v>
      </c>
      <c r="N39" s="901">
        <f t="shared" si="1"/>
        <v>1</v>
      </c>
      <c r="O39" s="900" t="s">
        <v>7483</v>
      </c>
    </row>
    <row r="40" spans="1:15" ht="33" customHeight="1" x14ac:dyDescent="0.25">
      <c r="A40" s="906">
        <v>523</v>
      </c>
      <c r="B40" s="905" t="s">
        <v>7963</v>
      </c>
      <c r="C40" s="905" t="s">
        <v>7964</v>
      </c>
      <c r="D40" s="904" t="s">
        <v>8043</v>
      </c>
      <c r="E40" s="1092" t="s">
        <v>12103</v>
      </c>
      <c r="F40" s="903">
        <v>42982</v>
      </c>
      <c r="G40" s="903">
        <v>43041</v>
      </c>
      <c r="H40" s="1087" t="s">
        <v>11993</v>
      </c>
      <c r="I40" s="1087" t="s">
        <v>12085</v>
      </c>
      <c r="J40" s="902">
        <v>1414027.93</v>
      </c>
      <c r="K40" s="902">
        <v>274254.96999999997</v>
      </c>
      <c r="L40" s="902">
        <f>636659.25+503113.7</f>
        <v>1139772.95</v>
      </c>
      <c r="M40" s="901">
        <v>1</v>
      </c>
      <c r="N40" s="901">
        <f t="shared" si="1"/>
        <v>0.9999999929280039</v>
      </c>
      <c r="O40" s="900" t="s">
        <v>7483</v>
      </c>
    </row>
    <row r="41" spans="1:15" ht="33" customHeight="1" x14ac:dyDescent="0.25">
      <c r="A41" s="906">
        <v>524</v>
      </c>
      <c r="B41" s="905" t="s">
        <v>7963</v>
      </c>
      <c r="C41" s="905" t="s">
        <v>7964</v>
      </c>
      <c r="D41" s="904" t="s">
        <v>8044</v>
      </c>
      <c r="E41" s="1092" t="s">
        <v>12104</v>
      </c>
      <c r="F41" s="903">
        <v>42982</v>
      </c>
      <c r="G41" s="903">
        <v>43041</v>
      </c>
      <c r="H41" s="1087" t="s">
        <v>11993</v>
      </c>
      <c r="I41" s="1087" t="s">
        <v>12085</v>
      </c>
      <c r="J41" s="902">
        <v>1404074.35</v>
      </c>
      <c r="K41" s="902">
        <v>350614.06</v>
      </c>
      <c r="L41" s="902">
        <f>809323.82+244136.47</f>
        <v>1053460.29</v>
      </c>
      <c r="M41" s="901">
        <v>1</v>
      </c>
      <c r="N41" s="901">
        <f t="shared" si="1"/>
        <v>1</v>
      </c>
      <c r="O41" s="900" t="s">
        <v>7483</v>
      </c>
    </row>
    <row r="42" spans="1:15" ht="33" customHeight="1" x14ac:dyDescent="0.25">
      <c r="A42" s="906">
        <v>527</v>
      </c>
      <c r="B42" s="905" t="s">
        <v>7963</v>
      </c>
      <c r="C42" s="905" t="s">
        <v>7967</v>
      </c>
      <c r="D42" s="904" t="s">
        <v>8045</v>
      </c>
      <c r="E42" s="1092" t="s">
        <v>12122</v>
      </c>
      <c r="F42" s="903">
        <v>42978</v>
      </c>
      <c r="G42" s="903">
        <v>43037</v>
      </c>
      <c r="H42" s="1087" t="s">
        <v>11982</v>
      </c>
      <c r="I42" s="1087" t="s">
        <v>12085</v>
      </c>
      <c r="J42" s="902">
        <v>609007.41</v>
      </c>
      <c r="K42" s="902">
        <v>182702.23</v>
      </c>
      <c r="L42" s="902">
        <v>389266.76</v>
      </c>
      <c r="M42" s="901">
        <v>1</v>
      </c>
      <c r="N42" s="901">
        <f t="shared" si="1"/>
        <v>0.93918231635309657</v>
      </c>
      <c r="O42" s="900" t="s">
        <v>7483</v>
      </c>
    </row>
    <row r="43" spans="1:15" ht="33" customHeight="1" x14ac:dyDescent="0.25">
      <c r="A43" s="906">
        <v>528</v>
      </c>
      <c r="B43" s="905" t="s">
        <v>7963</v>
      </c>
      <c r="C43" s="905" t="s">
        <v>7972</v>
      </c>
      <c r="D43" s="904" t="s">
        <v>2070</v>
      </c>
      <c r="E43" s="1092" t="s">
        <v>11814</v>
      </c>
      <c r="F43" s="903">
        <v>43087</v>
      </c>
      <c r="G43" s="903">
        <v>43236</v>
      </c>
      <c r="H43" s="1087" t="s">
        <v>11986</v>
      </c>
      <c r="I43" s="1087" t="s">
        <v>12085</v>
      </c>
      <c r="J43" s="902">
        <v>732739.04</v>
      </c>
      <c r="K43" s="902">
        <v>219821.72</v>
      </c>
      <c r="L43" s="902">
        <f>112403.7+228207.16+60838.35</f>
        <v>401449.20999999996</v>
      </c>
      <c r="M43" s="901">
        <v>1</v>
      </c>
      <c r="N43" s="901">
        <f t="shared" si="1"/>
        <v>0.84787474951518882</v>
      </c>
      <c r="O43" s="900" t="s">
        <v>7483</v>
      </c>
    </row>
    <row r="44" spans="1:15" ht="33" customHeight="1" x14ac:dyDescent="0.25">
      <c r="A44" s="906">
        <v>564</v>
      </c>
      <c r="B44" s="905" t="s">
        <v>7963</v>
      </c>
      <c r="C44" s="905" t="s">
        <v>8926</v>
      </c>
      <c r="D44" s="904" t="s">
        <v>8925</v>
      </c>
      <c r="E44" s="1092" t="s">
        <v>11815</v>
      </c>
      <c r="F44" s="903">
        <v>43130</v>
      </c>
      <c r="G44" s="903">
        <v>43189</v>
      </c>
      <c r="H44" s="1087" t="s">
        <v>11994</v>
      </c>
      <c r="I44" s="1087" t="s">
        <v>12085</v>
      </c>
      <c r="J44" s="902">
        <v>856762.03</v>
      </c>
      <c r="K44" s="902">
        <v>0</v>
      </c>
      <c r="L44" s="902">
        <f>257028.61+319902.91+246199.93+33630.58</f>
        <v>856762.02999999991</v>
      </c>
      <c r="M44" s="901">
        <v>1</v>
      </c>
      <c r="N44" s="901">
        <f t="shared" si="1"/>
        <v>0.99999999999999989</v>
      </c>
      <c r="O44" s="900" t="s">
        <v>7483</v>
      </c>
    </row>
    <row r="45" spans="1:15" ht="33" customHeight="1" x14ac:dyDescent="0.25">
      <c r="A45" s="906">
        <v>571</v>
      </c>
      <c r="B45" s="905" t="s">
        <v>8924</v>
      </c>
      <c r="C45" s="905" t="s">
        <v>7964</v>
      </c>
      <c r="D45" s="904" t="s">
        <v>1113</v>
      </c>
      <c r="E45" s="1092" t="s">
        <v>11816</v>
      </c>
      <c r="F45" s="903">
        <v>43099</v>
      </c>
      <c r="G45" s="903">
        <v>43158</v>
      </c>
      <c r="H45" s="1087" t="s">
        <v>11995</v>
      </c>
      <c r="I45" s="1087" t="s">
        <v>12085</v>
      </c>
      <c r="J45" s="902">
        <v>7463703.0600000005</v>
      </c>
      <c r="K45" s="902">
        <v>0</v>
      </c>
      <c r="L45" s="902">
        <f>1847586.75+5426860.84</f>
        <v>7274447.5899999999</v>
      </c>
      <c r="M45" s="901">
        <v>1</v>
      </c>
      <c r="N45" s="901">
        <f t="shared" si="1"/>
        <v>0.97464322086789978</v>
      </c>
      <c r="O45" s="900" t="s">
        <v>7483</v>
      </c>
    </row>
    <row r="46" spans="1:15" ht="33" customHeight="1" x14ac:dyDescent="0.25">
      <c r="A46" s="906">
        <v>565</v>
      </c>
      <c r="B46" s="905" t="s">
        <v>8923</v>
      </c>
      <c r="C46" s="905" t="s">
        <v>8922</v>
      </c>
      <c r="D46" s="904" t="s">
        <v>8921</v>
      </c>
      <c r="E46" s="1092" t="s">
        <v>11817</v>
      </c>
      <c r="F46" s="903">
        <v>43125</v>
      </c>
      <c r="G46" s="903">
        <v>43368</v>
      </c>
      <c r="H46" s="1087" t="s">
        <v>11996</v>
      </c>
      <c r="I46" s="1087" t="s">
        <v>12086</v>
      </c>
      <c r="J46" s="902">
        <v>10218627.109999999</v>
      </c>
      <c r="K46" s="902">
        <v>0</v>
      </c>
      <c r="L46" s="902">
        <f>2998988.14+359357.37+1121497.73+1213029.05+1092299.58+1018383.96+670963.12+763877.02+980138.97</f>
        <v>10218534.939999999</v>
      </c>
      <c r="M46" s="901">
        <v>1</v>
      </c>
      <c r="N46" s="901">
        <f t="shared" si="1"/>
        <v>0.9999909801973389</v>
      </c>
      <c r="O46" s="900" t="s">
        <v>7483</v>
      </c>
    </row>
    <row r="47" spans="1:15" ht="33" customHeight="1" x14ac:dyDescent="0.25">
      <c r="A47" s="906">
        <v>457</v>
      </c>
      <c r="B47" s="905" t="s">
        <v>8006</v>
      </c>
      <c r="C47" s="905" t="s">
        <v>1114</v>
      </c>
      <c r="D47" s="904" t="s">
        <v>8008</v>
      </c>
      <c r="E47" s="1092" t="s">
        <v>12129</v>
      </c>
      <c r="F47" s="903">
        <v>42964</v>
      </c>
      <c r="G47" s="903">
        <v>43023</v>
      </c>
      <c r="H47" s="1087" t="s">
        <v>11997</v>
      </c>
      <c r="I47" s="1087" t="s">
        <v>12085</v>
      </c>
      <c r="J47" s="902">
        <v>1348339.15</v>
      </c>
      <c r="K47" s="902">
        <v>377106.33</v>
      </c>
      <c r="L47" s="902">
        <v>970359.24</v>
      </c>
      <c r="M47" s="901">
        <v>1</v>
      </c>
      <c r="N47" s="901">
        <f t="shared" si="1"/>
        <v>0.99935210662688256</v>
      </c>
      <c r="O47" s="900" t="s">
        <v>7483</v>
      </c>
    </row>
    <row r="48" spans="1:15" ht="33" customHeight="1" x14ac:dyDescent="0.25">
      <c r="A48" s="906">
        <v>459</v>
      </c>
      <c r="B48" s="905" t="s">
        <v>8006</v>
      </c>
      <c r="C48" s="905" t="s">
        <v>1114</v>
      </c>
      <c r="D48" s="904" t="s">
        <v>8009</v>
      </c>
      <c r="E48" s="1092" t="s">
        <v>12130</v>
      </c>
      <c r="F48" s="903">
        <v>42964</v>
      </c>
      <c r="G48" s="903">
        <v>43023</v>
      </c>
      <c r="H48" s="1087" t="s">
        <v>9771</v>
      </c>
      <c r="I48" s="1087" t="s">
        <v>12085</v>
      </c>
      <c r="J48" s="902">
        <f>L48+K48</f>
        <v>939718.4</v>
      </c>
      <c r="K48" s="902">
        <v>878014.65</v>
      </c>
      <c r="L48" s="902">
        <v>61703.75</v>
      </c>
      <c r="M48" s="901">
        <v>1</v>
      </c>
      <c r="N48" s="901">
        <f t="shared" si="1"/>
        <v>1</v>
      </c>
      <c r="O48" s="900" t="s">
        <v>7483</v>
      </c>
    </row>
    <row r="49" spans="1:15" ht="33" customHeight="1" x14ac:dyDescent="0.25">
      <c r="A49" s="906">
        <v>460</v>
      </c>
      <c r="B49" s="905" t="s">
        <v>8006</v>
      </c>
      <c r="C49" s="905" t="s">
        <v>1114</v>
      </c>
      <c r="D49" s="904" t="s">
        <v>8010</v>
      </c>
      <c r="E49" s="1092" t="s">
        <v>12131</v>
      </c>
      <c r="F49" s="903">
        <v>42964</v>
      </c>
      <c r="G49" s="903">
        <v>43049</v>
      </c>
      <c r="H49" s="1087" t="s">
        <v>11998</v>
      </c>
      <c r="I49" s="1087" t="s">
        <v>12085</v>
      </c>
      <c r="J49" s="902">
        <v>1063304.24</v>
      </c>
      <c r="K49" s="902">
        <f>318991.28+158383.73+470261.97</f>
        <v>947636.98</v>
      </c>
      <c r="L49" s="902">
        <v>92034.64</v>
      </c>
      <c r="M49" s="901">
        <v>1</v>
      </c>
      <c r="N49" s="901">
        <f t="shared" si="1"/>
        <v>0.97777435741251251</v>
      </c>
      <c r="O49" s="900" t="s">
        <v>7483</v>
      </c>
    </row>
    <row r="50" spans="1:15" ht="33" customHeight="1" x14ac:dyDescent="0.25">
      <c r="A50" s="906">
        <v>461</v>
      </c>
      <c r="B50" s="905" t="s">
        <v>8006</v>
      </c>
      <c r="C50" s="905" t="s">
        <v>1114</v>
      </c>
      <c r="D50" s="904" t="s">
        <v>8011</v>
      </c>
      <c r="E50" s="1092" t="s">
        <v>12132</v>
      </c>
      <c r="F50" s="903">
        <v>42929</v>
      </c>
      <c r="G50" s="903">
        <v>43050</v>
      </c>
      <c r="H50" s="1087" t="s">
        <v>11999</v>
      </c>
      <c r="I50" s="1087" t="s">
        <v>12085</v>
      </c>
      <c r="J50" s="902">
        <v>1152411.8500000001</v>
      </c>
      <c r="K50" s="902">
        <f>335512.04+236229.24</f>
        <v>571741.28</v>
      </c>
      <c r="L50" s="902">
        <v>570745.86</v>
      </c>
      <c r="M50" s="901">
        <v>1</v>
      </c>
      <c r="N50" s="901">
        <f t="shared" si="1"/>
        <v>0.99138787925514649</v>
      </c>
      <c r="O50" s="900" t="s">
        <v>7483</v>
      </c>
    </row>
    <row r="51" spans="1:15" ht="33" customHeight="1" x14ac:dyDescent="0.25">
      <c r="A51" s="906">
        <v>462</v>
      </c>
      <c r="B51" s="905" t="s">
        <v>8006</v>
      </c>
      <c r="C51" s="905" t="s">
        <v>1114</v>
      </c>
      <c r="D51" s="904" t="s">
        <v>8012</v>
      </c>
      <c r="E51" s="1092" t="s">
        <v>12133</v>
      </c>
      <c r="F51" s="903">
        <v>42930</v>
      </c>
      <c r="G51" s="903">
        <v>42988</v>
      </c>
      <c r="H51" s="1087" t="s">
        <v>11998</v>
      </c>
      <c r="I51" s="1087" t="s">
        <v>12085</v>
      </c>
      <c r="J51" s="902">
        <v>1900963.95</v>
      </c>
      <c r="K51" s="902">
        <f>570289.19+521777.56+747435.48</f>
        <v>1839502.23</v>
      </c>
      <c r="L51" s="902">
        <v>52931</v>
      </c>
      <c r="M51" s="901">
        <v>1</v>
      </c>
      <c r="N51" s="901">
        <f t="shared" si="1"/>
        <v>0.99551242410462337</v>
      </c>
      <c r="O51" s="900" t="s">
        <v>7483</v>
      </c>
    </row>
    <row r="52" spans="1:15" ht="33" customHeight="1" x14ac:dyDescent="0.25">
      <c r="A52" s="906">
        <v>467</v>
      </c>
      <c r="B52" s="905" t="s">
        <v>8006</v>
      </c>
      <c r="C52" s="905" t="s">
        <v>1114</v>
      </c>
      <c r="D52" s="904" t="s">
        <v>8013</v>
      </c>
      <c r="E52" s="1092" t="s">
        <v>12134</v>
      </c>
      <c r="F52" s="903">
        <v>42934</v>
      </c>
      <c r="G52" s="903">
        <v>43008</v>
      </c>
      <c r="H52" s="1087" t="s">
        <v>9834</v>
      </c>
      <c r="I52" s="1087" t="s">
        <v>12085</v>
      </c>
      <c r="J52" s="902">
        <v>3772104.05</v>
      </c>
      <c r="K52" s="902">
        <f>1131631.21+2465527.08</f>
        <v>3597158.29</v>
      </c>
      <c r="L52" s="902">
        <v>109486.68</v>
      </c>
      <c r="M52" s="901">
        <v>1</v>
      </c>
      <c r="N52" s="901">
        <f t="shared" si="1"/>
        <v>0.98264653383567202</v>
      </c>
      <c r="O52" s="900" t="s">
        <v>7483</v>
      </c>
    </row>
    <row r="53" spans="1:15" ht="33" customHeight="1" x14ac:dyDescent="0.25">
      <c r="A53" s="906">
        <v>468</v>
      </c>
      <c r="B53" s="905" t="s">
        <v>8006</v>
      </c>
      <c r="C53" s="905" t="s">
        <v>1114</v>
      </c>
      <c r="D53" s="904" t="s">
        <v>8014</v>
      </c>
      <c r="E53" s="1092" t="s">
        <v>12135</v>
      </c>
      <c r="F53" s="903">
        <v>42959</v>
      </c>
      <c r="G53" s="903">
        <v>43048</v>
      </c>
      <c r="H53" s="1087" t="s">
        <v>12000</v>
      </c>
      <c r="I53" s="1087" t="s">
        <v>12085</v>
      </c>
      <c r="J53" s="902">
        <v>3627336.24</v>
      </c>
      <c r="K53" s="902">
        <f>1088200.87+680844.67+1642882.64</f>
        <v>3411928.1799999997</v>
      </c>
      <c r="L53" s="902">
        <v>118452.74</v>
      </c>
      <c r="M53" s="901">
        <v>1</v>
      </c>
      <c r="N53" s="901">
        <f t="shared" si="1"/>
        <v>0.97327093117786057</v>
      </c>
      <c r="O53" s="900" t="s">
        <v>7483</v>
      </c>
    </row>
    <row r="54" spans="1:15" ht="33" customHeight="1" x14ac:dyDescent="0.25">
      <c r="A54" s="906">
        <v>469</v>
      </c>
      <c r="B54" s="905" t="s">
        <v>8006</v>
      </c>
      <c r="C54" s="905" t="s">
        <v>1114</v>
      </c>
      <c r="D54" s="904" t="s">
        <v>8015</v>
      </c>
      <c r="E54" s="1092" t="s">
        <v>12136</v>
      </c>
      <c r="F54" s="903">
        <v>42976</v>
      </c>
      <c r="G54" s="903">
        <v>43035</v>
      </c>
      <c r="H54" s="1087" t="s">
        <v>12001</v>
      </c>
      <c r="I54" s="1087" t="s">
        <v>11811</v>
      </c>
      <c r="J54" s="902">
        <v>502789.53</v>
      </c>
      <c r="K54" s="902">
        <f>130878.54+298056.98</f>
        <v>428935.51999999996</v>
      </c>
      <c r="L54" s="902">
        <v>70686.039999999994</v>
      </c>
      <c r="M54" s="901">
        <v>1</v>
      </c>
      <c r="N54" s="901">
        <f t="shared" si="1"/>
        <v>0.99369921247166759</v>
      </c>
      <c r="O54" s="900" t="s">
        <v>7483</v>
      </c>
    </row>
    <row r="55" spans="1:15" ht="33" customHeight="1" x14ac:dyDescent="0.25">
      <c r="A55" s="906">
        <v>472</v>
      </c>
      <c r="B55" s="905" t="s">
        <v>8006</v>
      </c>
      <c r="C55" s="905" t="s">
        <v>1114</v>
      </c>
      <c r="D55" s="904" t="s">
        <v>8016</v>
      </c>
      <c r="E55" s="1092" t="s">
        <v>12137</v>
      </c>
      <c r="F55" s="903">
        <v>42934</v>
      </c>
      <c r="G55" s="903">
        <v>43045</v>
      </c>
      <c r="H55" s="1087" t="s">
        <v>12002</v>
      </c>
      <c r="I55" s="1087" t="s">
        <v>12085</v>
      </c>
      <c r="J55" s="902">
        <v>868174.18</v>
      </c>
      <c r="K55" s="902">
        <v>260452.26</v>
      </c>
      <c r="L55" s="902">
        <v>593367.42000000004</v>
      </c>
      <c r="M55" s="901">
        <v>1</v>
      </c>
      <c r="N55" s="901">
        <f t="shared" si="1"/>
        <v>0.98346587547673903</v>
      </c>
      <c r="O55" s="900" t="s">
        <v>7483</v>
      </c>
    </row>
    <row r="56" spans="1:15" ht="33" customHeight="1" x14ac:dyDescent="0.25">
      <c r="A56" s="906">
        <v>473</v>
      </c>
      <c r="B56" s="905" t="s">
        <v>8006</v>
      </c>
      <c r="C56" s="905" t="s">
        <v>1114</v>
      </c>
      <c r="D56" s="904" t="s">
        <v>8017</v>
      </c>
      <c r="E56" s="1092" t="s">
        <v>12138</v>
      </c>
      <c r="F56" s="903">
        <v>42970</v>
      </c>
      <c r="G56" s="903">
        <v>43039</v>
      </c>
      <c r="H56" s="1087" t="s">
        <v>12003</v>
      </c>
      <c r="I56" s="1087" t="s">
        <v>12085</v>
      </c>
      <c r="J56" s="902">
        <v>1006572.36</v>
      </c>
      <c r="K56" s="902">
        <f>277178.54+640210.6</f>
        <v>917389.1399999999</v>
      </c>
      <c r="L56" s="902">
        <v>89180.06</v>
      </c>
      <c r="M56" s="901">
        <v>1</v>
      </c>
      <c r="N56" s="901">
        <f t="shared" si="1"/>
        <v>0.99999686063304971</v>
      </c>
      <c r="O56" s="900" t="s">
        <v>7483</v>
      </c>
    </row>
    <row r="57" spans="1:15" ht="33" customHeight="1" x14ac:dyDescent="0.25">
      <c r="A57" s="906">
        <v>474</v>
      </c>
      <c r="B57" s="905" t="s">
        <v>8006</v>
      </c>
      <c r="C57" s="905" t="s">
        <v>1114</v>
      </c>
      <c r="D57" s="904" t="s">
        <v>8018</v>
      </c>
      <c r="E57" s="1092" t="s">
        <v>12139</v>
      </c>
      <c r="F57" s="903">
        <v>42963</v>
      </c>
      <c r="G57" s="903">
        <v>43022</v>
      </c>
      <c r="H57" s="1087" t="s">
        <v>12004</v>
      </c>
      <c r="I57" s="1087" t="s">
        <v>12085</v>
      </c>
      <c r="J57" s="902">
        <v>1414943.23</v>
      </c>
      <c r="K57" s="902">
        <f>424482.98</f>
        <v>424482.98</v>
      </c>
      <c r="L57" s="902">
        <v>989133.22</v>
      </c>
      <c r="M57" s="901">
        <v>1</v>
      </c>
      <c r="N57" s="901">
        <f t="shared" si="1"/>
        <v>0.99906213198391003</v>
      </c>
      <c r="O57" s="900" t="s">
        <v>7483</v>
      </c>
    </row>
    <row r="58" spans="1:15" ht="33" customHeight="1" x14ac:dyDescent="0.25">
      <c r="A58" s="906">
        <v>477</v>
      </c>
      <c r="B58" s="905" t="s">
        <v>8006</v>
      </c>
      <c r="C58" s="905" t="s">
        <v>1114</v>
      </c>
      <c r="D58" s="904" t="s">
        <v>8020</v>
      </c>
      <c r="E58" s="1092" t="s">
        <v>12140</v>
      </c>
      <c r="F58" s="903">
        <v>42970</v>
      </c>
      <c r="G58" s="903">
        <v>43046</v>
      </c>
      <c r="H58" s="1087" t="s">
        <v>9874</v>
      </c>
      <c r="I58" s="1087" t="s">
        <v>11811</v>
      </c>
      <c r="J58" s="902">
        <v>439120.44</v>
      </c>
      <c r="K58" s="902">
        <v>131736.14000000001</v>
      </c>
      <c r="L58" s="902">
        <v>300289.21999999997</v>
      </c>
      <c r="M58" s="901">
        <v>1</v>
      </c>
      <c r="N58" s="901">
        <f t="shared" si="1"/>
        <v>0.98384251937805489</v>
      </c>
      <c r="O58" s="900" t="s">
        <v>7483</v>
      </c>
    </row>
    <row r="59" spans="1:15" ht="33" customHeight="1" x14ac:dyDescent="0.25">
      <c r="A59" s="906">
        <v>478</v>
      </c>
      <c r="B59" s="905" t="s">
        <v>8006</v>
      </c>
      <c r="C59" s="905" t="s">
        <v>1114</v>
      </c>
      <c r="D59" s="904" t="s">
        <v>8021</v>
      </c>
      <c r="E59" s="1092" t="s">
        <v>12141</v>
      </c>
      <c r="F59" s="903">
        <v>42971</v>
      </c>
      <c r="G59" s="903">
        <v>43060</v>
      </c>
      <c r="H59" s="1087" t="s">
        <v>12005</v>
      </c>
      <c r="I59" s="1087" t="s">
        <v>12085</v>
      </c>
      <c r="J59" s="902">
        <v>1388271.61</v>
      </c>
      <c r="K59" s="902">
        <v>416481.48</v>
      </c>
      <c r="L59" s="902">
        <v>971790.13</v>
      </c>
      <c r="M59" s="901">
        <v>1</v>
      </c>
      <c r="N59" s="901">
        <f t="shared" si="1"/>
        <v>0.99999999999999978</v>
      </c>
      <c r="O59" s="900" t="s">
        <v>7483</v>
      </c>
    </row>
    <row r="60" spans="1:15" ht="33" customHeight="1" x14ac:dyDescent="0.25">
      <c r="A60" s="906">
        <v>479</v>
      </c>
      <c r="B60" s="905" t="s">
        <v>8006</v>
      </c>
      <c r="C60" s="905" t="s">
        <v>1114</v>
      </c>
      <c r="D60" s="904" t="s">
        <v>8021</v>
      </c>
      <c r="E60" s="1092" t="s">
        <v>12142</v>
      </c>
      <c r="F60" s="903">
        <v>42971</v>
      </c>
      <c r="G60" s="903">
        <v>43060</v>
      </c>
      <c r="H60" s="1087" t="s">
        <v>12005</v>
      </c>
      <c r="I60" s="1087" t="s">
        <v>12085</v>
      </c>
      <c r="J60" s="902">
        <v>1556956.84</v>
      </c>
      <c r="K60" s="902">
        <v>467087.05</v>
      </c>
      <c r="L60" s="902">
        <v>1082576.3700000001</v>
      </c>
      <c r="M60" s="901">
        <v>1</v>
      </c>
      <c r="N60" s="901">
        <f t="shared" ref="N60:N91" si="2">(L60+K60)/J60</f>
        <v>0.99531559269170244</v>
      </c>
      <c r="O60" s="900" t="s">
        <v>7483</v>
      </c>
    </row>
    <row r="61" spans="1:15" ht="33" customHeight="1" x14ac:dyDescent="0.25">
      <c r="A61" s="906">
        <v>481</v>
      </c>
      <c r="B61" s="905" t="s">
        <v>8006</v>
      </c>
      <c r="C61" s="905" t="s">
        <v>7998</v>
      </c>
      <c r="D61" s="904" t="s">
        <v>7999</v>
      </c>
      <c r="E61" s="1092" t="s">
        <v>12143</v>
      </c>
      <c r="F61" s="903">
        <v>42970</v>
      </c>
      <c r="G61" s="903">
        <v>43051</v>
      </c>
      <c r="H61" s="1087" t="s">
        <v>12006</v>
      </c>
      <c r="I61" s="1087" t="s">
        <v>12085</v>
      </c>
      <c r="J61" s="902">
        <v>1975670.51</v>
      </c>
      <c r="K61" s="902">
        <f>592701.15+387028.65+873806.38</f>
        <v>1853536.1800000002</v>
      </c>
      <c r="L61" s="902">
        <v>119530.59</v>
      </c>
      <c r="M61" s="901">
        <v>1</v>
      </c>
      <c r="N61" s="901">
        <f t="shared" si="2"/>
        <v>0.99868209805895225</v>
      </c>
      <c r="O61" s="900" t="s">
        <v>7483</v>
      </c>
    </row>
    <row r="62" spans="1:15" ht="33" customHeight="1" x14ac:dyDescent="0.25">
      <c r="A62" s="906">
        <v>529</v>
      </c>
      <c r="B62" s="905" t="s">
        <v>8006</v>
      </c>
      <c r="C62" s="905" t="s">
        <v>1114</v>
      </c>
      <c r="D62" s="904" t="s">
        <v>8046</v>
      </c>
      <c r="E62" s="1092" t="s">
        <v>12144</v>
      </c>
      <c r="F62" s="903">
        <v>42934</v>
      </c>
      <c r="G62" s="903">
        <v>43062</v>
      </c>
      <c r="H62" s="1087" t="s">
        <v>12002</v>
      </c>
      <c r="I62" s="1087" t="s">
        <v>12085</v>
      </c>
      <c r="J62" s="902">
        <v>1521905.94</v>
      </c>
      <c r="K62" s="902">
        <v>456571.78</v>
      </c>
      <c r="L62" s="902">
        <v>912154.4</v>
      </c>
      <c r="M62" s="901">
        <v>1</v>
      </c>
      <c r="N62" s="901">
        <f t="shared" si="2"/>
        <v>0.89935004787483797</v>
      </c>
      <c r="O62" s="900" t="s">
        <v>7483</v>
      </c>
    </row>
    <row r="63" spans="1:15" ht="33" customHeight="1" x14ac:dyDescent="0.25">
      <c r="A63" s="906">
        <v>428</v>
      </c>
      <c r="B63" s="905" t="s">
        <v>7986</v>
      </c>
      <c r="C63" s="905" t="s">
        <v>1114</v>
      </c>
      <c r="D63" s="904" t="s">
        <v>7987</v>
      </c>
      <c r="E63" s="1092" t="s">
        <v>12145</v>
      </c>
      <c r="F63" s="903">
        <v>42963</v>
      </c>
      <c r="G63" s="903">
        <v>43052</v>
      </c>
      <c r="H63" s="1087" t="s">
        <v>12007</v>
      </c>
      <c r="I63" s="1087" t="s">
        <v>12085</v>
      </c>
      <c r="J63" s="902">
        <v>1885182.44</v>
      </c>
      <c r="K63" s="902">
        <v>565554.73</v>
      </c>
      <c r="L63" s="902">
        <v>1319621.07</v>
      </c>
      <c r="M63" s="901">
        <v>1</v>
      </c>
      <c r="N63" s="901">
        <f t="shared" si="2"/>
        <v>0.99999647779447809</v>
      </c>
      <c r="O63" s="900" t="s">
        <v>7483</v>
      </c>
    </row>
    <row r="64" spans="1:15" ht="33" customHeight="1" x14ac:dyDescent="0.25">
      <c r="A64" s="906">
        <v>429</v>
      </c>
      <c r="B64" s="905" t="s">
        <v>7986</v>
      </c>
      <c r="C64" s="905" t="s">
        <v>1114</v>
      </c>
      <c r="D64" s="904" t="s">
        <v>7988</v>
      </c>
      <c r="E64" s="1092" t="s">
        <v>12146</v>
      </c>
      <c r="F64" s="903">
        <v>42947</v>
      </c>
      <c r="G64" s="903">
        <v>43059</v>
      </c>
      <c r="H64" s="1087" t="s">
        <v>12008</v>
      </c>
      <c r="I64" s="1087" t="s">
        <v>12085</v>
      </c>
      <c r="J64" s="902">
        <v>1789938.06</v>
      </c>
      <c r="K64" s="902">
        <f>519421+304440.53+888003.4</f>
        <v>1711864.9300000002</v>
      </c>
      <c r="L64" s="902">
        <v>71689.58</v>
      </c>
      <c r="M64" s="901">
        <v>1</v>
      </c>
      <c r="N64" s="901">
        <f t="shared" si="2"/>
        <v>0.9964336475419715</v>
      </c>
      <c r="O64" s="900" t="s">
        <v>7483</v>
      </c>
    </row>
    <row r="65" spans="1:15" ht="33" customHeight="1" x14ac:dyDescent="0.25">
      <c r="A65" s="906">
        <v>431</v>
      </c>
      <c r="B65" s="905" t="s">
        <v>7986</v>
      </c>
      <c r="C65" s="905" t="s">
        <v>1114</v>
      </c>
      <c r="D65" s="904" t="s">
        <v>7989</v>
      </c>
      <c r="E65" s="1092" t="s">
        <v>12147</v>
      </c>
      <c r="F65" s="903">
        <v>42970</v>
      </c>
      <c r="G65" s="903">
        <v>43048</v>
      </c>
      <c r="H65" s="1087" t="s">
        <v>12009</v>
      </c>
      <c r="I65" s="1087" t="s">
        <v>12085</v>
      </c>
      <c r="J65" s="902">
        <v>1598945.6</v>
      </c>
      <c r="K65" s="902">
        <f>479683.68+703820.09+153126.33</f>
        <v>1336630.1000000001</v>
      </c>
      <c r="L65" s="902">
        <v>66730.11</v>
      </c>
      <c r="M65" s="901">
        <v>1</v>
      </c>
      <c r="N65" s="901">
        <f t="shared" si="2"/>
        <v>0.87767852139559976</v>
      </c>
      <c r="O65" s="900" t="s">
        <v>7483</v>
      </c>
    </row>
    <row r="66" spans="1:15" ht="33" customHeight="1" x14ac:dyDescent="0.25">
      <c r="A66" s="906">
        <v>432</v>
      </c>
      <c r="B66" s="905" t="s">
        <v>7986</v>
      </c>
      <c r="C66" s="905" t="s">
        <v>1114</v>
      </c>
      <c r="D66" s="904" t="s">
        <v>7990</v>
      </c>
      <c r="E66" s="1092" t="s">
        <v>12148</v>
      </c>
      <c r="F66" s="903">
        <v>42943</v>
      </c>
      <c r="G66" s="903">
        <v>43002</v>
      </c>
      <c r="H66" s="1087" t="s">
        <v>9821</v>
      </c>
      <c r="I66" s="1087" t="s">
        <v>12085</v>
      </c>
      <c r="J66" s="902">
        <f>L66+K66</f>
        <v>1423326.23</v>
      </c>
      <c r="K66" s="902">
        <f>431605.91+958820.7</f>
        <v>1390426.6099999999</v>
      </c>
      <c r="L66" s="902">
        <v>32899.620000000003</v>
      </c>
      <c r="M66" s="901">
        <v>1</v>
      </c>
      <c r="N66" s="901">
        <f t="shared" si="2"/>
        <v>1</v>
      </c>
      <c r="O66" s="900" t="s">
        <v>7483</v>
      </c>
    </row>
    <row r="67" spans="1:15" ht="33" customHeight="1" x14ac:dyDescent="0.25">
      <c r="A67" s="906">
        <v>434</v>
      </c>
      <c r="B67" s="905" t="s">
        <v>7986</v>
      </c>
      <c r="C67" s="905" t="s">
        <v>1114</v>
      </c>
      <c r="D67" s="904" t="s">
        <v>7991</v>
      </c>
      <c r="E67" s="1092" t="s">
        <v>12149</v>
      </c>
      <c r="F67" s="903">
        <v>42971</v>
      </c>
      <c r="G67" s="903">
        <v>43047</v>
      </c>
      <c r="H67" s="1087" t="s">
        <v>9874</v>
      </c>
      <c r="I67" s="1087" t="s">
        <v>12085</v>
      </c>
      <c r="J67" s="902">
        <v>1503560.59</v>
      </c>
      <c r="K67" s="902">
        <f>451068.18+164060.1</f>
        <v>615128.28</v>
      </c>
      <c r="L67" s="902">
        <v>746002.59</v>
      </c>
      <c r="M67" s="901">
        <v>1</v>
      </c>
      <c r="N67" s="901">
        <f t="shared" si="2"/>
        <v>0.90527171239570736</v>
      </c>
      <c r="O67" s="900" t="s">
        <v>7483</v>
      </c>
    </row>
    <row r="68" spans="1:15" ht="33" customHeight="1" x14ac:dyDescent="0.25">
      <c r="A68" s="906">
        <v>435</v>
      </c>
      <c r="B68" s="905" t="s">
        <v>7986</v>
      </c>
      <c r="C68" s="905" t="s">
        <v>1114</v>
      </c>
      <c r="D68" s="904" t="s">
        <v>7992</v>
      </c>
      <c r="E68" s="1092" t="s">
        <v>12150</v>
      </c>
      <c r="F68" s="903">
        <v>42929</v>
      </c>
      <c r="G68" s="903">
        <v>43058</v>
      </c>
      <c r="H68" s="1087" t="s">
        <v>12010</v>
      </c>
      <c r="I68" s="1087" t="s">
        <v>12085</v>
      </c>
      <c r="J68" s="902">
        <v>4429565.17</v>
      </c>
      <c r="K68" s="902">
        <f>1206097.76+1323572.7+876979.7</f>
        <v>3406650.16</v>
      </c>
      <c r="L68" s="902">
        <v>1008336.01</v>
      </c>
      <c r="M68" s="901">
        <v>1</v>
      </c>
      <c r="N68" s="901">
        <f t="shared" si="2"/>
        <v>0.9967087062859491</v>
      </c>
      <c r="O68" s="900" t="s">
        <v>7483</v>
      </c>
    </row>
    <row r="69" spans="1:15" ht="33" customHeight="1" x14ac:dyDescent="0.25">
      <c r="A69" s="906">
        <v>436</v>
      </c>
      <c r="B69" s="905" t="s">
        <v>7986</v>
      </c>
      <c r="C69" s="905" t="s">
        <v>1114</v>
      </c>
      <c r="D69" s="904" t="s">
        <v>7993</v>
      </c>
      <c r="E69" s="1092" t="s">
        <v>12151</v>
      </c>
      <c r="F69" s="903">
        <v>42968</v>
      </c>
      <c r="G69" s="903">
        <v>43049</v>
      </c>
      <c r="H69" s="1087" t="s">
        <v>12008</v>
      </c>
      <c r="I69" s="1087" t="s">
        <v>12085</v>
      </c>
      <c r="J69" s="902">
        <v>1458698.99</v>
      </c>
      <c r="K69" s="902">
        <f>437609.7+257049.74+599072.4</f>
        <v>1293731.8399999999</v>
      </c>
      <c r="L69" s="902">
        <v>164623.16</v>
      </c>
      <c r="M69" s="901">
        <v>1</v>
      </c>
      <c r="N69" s="901">
        <f t="shared" si="2"/>
        <v>0.9997641802713525</v>
      </c>
      <c r="O69" s="900" t="s">
        <v>7483</v>
      </c>
    </row>
    <row r="70" spans="1:15" ht="33" customHeight="1" x14ac:dyDescent="0.25">
      <c r="A70" s="906">
        <v>437</v>
      </c>
      <c r="B70" s="905" t="s">
        <v>7986</v>
      </c>
      <c r="C70" s="905" t="s">
        <v>1114</v>
      </c>
      <c r="D70" s="904" t="s">
        <v>7994</v>
      </c>
      <c r="E70" s="1092" t="s">
        <v>12152</v>
      </c>
      <c r="F70" s="903">
        <v>42968</v>
      </c>
      <c r="G70" s="903">
        <v>43074</v>
      </c>
      <c r="H70" s="1087" t="s">
        <v>9846</v>
      </c>
      <c r="I70" s="1087" t="s">
        <v>12085</v>
      </c>
      <c r="J70" s="902">
        <v>879289.1</v>
      </c>
      <c r="K70" s="902">
        <v>246186.22</v>
      </c>
      <c r="L70" s="902">
        <v>588279.53</v>
      </c>
      <c r="M70" s="901">
        <v>1</v>
      </c>
      <c r="N70" s="901">
        <f t="shared" si="2"/>
        <v>0.94902319385057776</v>
      </c>
      <c r="O70" s="900" t="s">
        <v>7483</v>
      </c>
    </row>
    <row r="71" spans="1:15" ht="33" customHeight="1" x14ac:dyDescent="0.25">
      <c r="A71" s="906">
        <v>438</v>
      </c>
      <c r="B71" s="905" t="s">
        <v>7986</v>
      </c>
      <c r="C71" s="905" t="s">
        <v>1114</v>
      </c>
      <c r="D71" s="904" t="s">
        <v>7995</v>
      </c>
      <c r="E71" s="1092" t="s">
        <v>12153</v>
      </c>
      <c r="F71" s="903">
        <v>42968</v>
      </c>
      <c r="G71" s="903">
        <v>43085</v>
      </c>
      <c r="H71" s="1087" t="s">
        <v>12011</v>
      </c>
      <c r="I71" s="1087" t="s">
        <v>12085</v>
      </c>
      <c r="J71" s="902">
        <v>1438686.38</v>
      </c>
      <c r="K71" s="902">
        <f>355773.67+129801.19</f>
        <v>485574.86</v>
      </c>
      <c r="L71" s="902">
        <v>520528.86</v>
      </c>
      <c r="M71" s="901">
        <v>1</v>
      </c>
      <c r="N71" s="901">
        <f t="shared" si="2"/>
        <v>0.69932108483573752</v>
      </c>
      <c r="O71" s="900" t="s">
        <v>7483</v>
      </c>
    </row>
    <row r="72" spans="1:15" ht="33" customHeight="1" x14ac:dyDescent="0.25">
      <c r="A72" s="906">
        <v>439</v>
      </c>
      <c r="B72" s="905" t="s">
        <v>7986</v>
      </c>
      <c r="C72" s="905" t="s">
        <v>1114</v>
      </c>
      <c r="D72" s="904" t="s">
        <v>7996</v>
      </c>
      <c r="E72" s="1092" t="s">
        <v>12154</v>
      </c>
      <c r="F72" s="903">
        <v>42929</v>
      </c>
      <c r="G72" s="903">
        <v>42988</v>
      </c>
      <c r="H72" s="1087" t="s">
        <v>9840</v>
      </c>
      <c r="I72" s="1087" t="s">
        <v>12085</v>
      </c>
      <c r="J72" s="902">
        <v>1133984.83</v>
      </c>
      <c r="K72" s="902">
        <f>308518.8+714460.73</f>
        <v>1022979.53</v>
      </c>
      <c r="L72" s="902">
        <v>96056.09</v>
      </c>
      <c r="M72" s="901">
        <v>1</v>
      </c>
      <c r="N72" s="901">
        <f t="shared" si="2"/>
        <v>0.98681709877900226</v>
      </c>
      <c r="O72" s="900" t="s">
        <v>7483</v>
      </c>
    </row>
    <row r="73" spans="1:15" ht="33" customHeight="1" x14ac:dyDescent="0.25">
      <c r="A73" s="906">
        <v>440</v>
      </c>
      <c r="B73" s="905" t="s">
        <v>7986</v>
      </c>
      <c r="C73" s="905" t="s">
        <v>1114</v>
      </c>
      <c r="D73" s="904" t="s">
        <v>7997</v>
      </c>
      <c r="E73" s="1092" t="s">
        <v>12155</v>
      </c>
      <c r="F73" s="903">
        <v>42977</v>
      </c>
      <c r="G73" s="903">
        <v>43036</v>
      </c>
      <c r="H73" s="1087" t="s">
        <v>12001</v>
      </c>
      <c r="I73" s="1087" t="s">
        <v>11811</v>
      </c>
      <c r="J73" s="902">
        <v>605026.89</v>
      </c>
      <c r="K73" s="902">
        <f>79210.19+142245.02</f>
        <v>221455.21</v>
      </c>
      <c r="L73" s="902">
        <v>362294.42</v>
      </c>
      <c r="M73" s="901">
        <v>1</v>
      </c>
      <c r="N73" s="901">
        <f t="shared" si="2"/>
        <v>0.96483253826949744</v>
      </c>
      <c r="O73" s="900" t="s">
        <v>7483</v>
      </c>
    </row>
    <row r="74" spans="1:15" ht="33" customHeight="1" x14ac:dyDescent="0.25">
      <c r="A74" s="906">
        <v>442</v>
      </c>
      <c r="B74" s="905" t="s">
        <v>7986</v>
      </c>
      <c r="C74" s="905" t="s">
        <v>8000</v>
      </c>
      <c r="D74" s="904" t="s">
        <v>8001</v>
      </c>
      <c r="E74" s="1092" t="s">
        <v>12156</v>
      </c>
      <c r="F74" s="903">
        <v>42962</v>
      </c>
      <c r="G74" s="903">
        <v>43056</v>
      </c>
      <c r="H74" s="1087" t="s">
        <v>12008</v>
      </c>
      <c r="I74" s="1087" t="s">
        <v>12085</v>
      </c>
      <c r="J74" s="902">
        <v>1133781.6399999999</v>
      </c>
      <c r="K74" s="902">
        <f>293204.92+119111.12+284954.63</f>
        <v>697270.66999999993</v>
      </c>
      <c r="L74" s="902">
        <v>436500.49</v>
      </c>
      <c r="M74" s="901">
        <v>1</v>
      </c>
      <c r="N74" s="901">
        <f t="shared" si="2"/>
        <v>0.99999075659754022</v>
      </c>
      <c r="O74" s="900" t="s">
        <v>7483</v>
      </c>
    </row>
    <row r="75" spans="1:15" ht="33" customHeight="1" x14ac:dyDescent="0.25">
      <c r="A75" s="906">
        <v>443</v>
      </c>
      <c r="B75" s="905" t="s">
        <v>7986</v>
      </c>
      <c r="C75" s="905" t="s">
        <v>7998</v>
      </c>
      <c r="D75" s="904" t="s">
        <v>8002</v>
      </c>
      <c r="E75" s="1092" t="s">
        <v>12157</v>
      </c>
      <c r="F75" s="903">
        <v>42936</v>
      </c>
      <c r="G75" s="903">
        <v>43010</v>
      </c>
      <c r="H75" s="1087" t="s">
        <v>12006</v>
      </c>
      <c r="I75" s="1087" t="s">
        <v>12085</v>
      </c>
      <c r="J75" s="902">
        <v>1975005.15</v>
      </c>
      <c r="K75" s="902">
        <f>592501.55+431235.86+914033.31</f>
        <v>1937770.7200000002</v>
      </c>
      <c r="L75" s="902">
        <v>379.03</v>
      </c>
      <c r="M75" s="901">
        <v>1</v>
      </c>
      <c r="N75" s="901">
        <f t="shared" si="2"/>
        <v>0.98133908663478686</v>
      </c>
      <c r="O75" s="900" t="s">
        <v>7483</v>
      </c>
    </row>
    <row r="76" spans="1:15" ht="33" customHeight="1" x14ac:dyDescent="0.25">
      <c r="A76" s="906">
        <v>444</v>
      </c>
      <c r="B76" s="905" t="s">
        <v>7986</v>
      </c>
      <c r="C76" s="905" t="s">
        <v>1114</v>
      </c>
      <c r="D76" s="904" t="s">
        <v>8003</v>
      </c>
      <c r="E76" s="1092" t="s">
        <v>12158</v>
      </c>
      <c r="F76" s="903">
        <v>42954</v>
      </c>
      <c r="G76" s="903">
        <v>43044</v>
      </c>
      <c r="H76" s="1087" t="s">
        <v>12009</v>
      </c>
      <c r="I76" s="1087" t="s">
        <v>11811</v>
      </c>
      <c r="J76" s="902">
        <v>593438.30000000005</v>
      </c>
      <c r="K76" s="902">
        <f>178031.49+68739.81+331120.38</f>
        <v>577891.67999999993</v>
      </c>
      <c r="L76" s="902">
        <v>3358.34</v>
      </c>
      <c r="M76" s="901">
        <v>1</v>
      </c>
      <c r="N76" s="901">
        <f t="shared" si="2"/>
        <v>0.97946158850886411</v>
      </c>
      <c r="O76" s="900" t="s">
        <v>7483</v>
      </c>
    </row>
    <row r="77" spans="1:15" ht="33" customHeight="1" x14ac:dyDescent="0.25">
      <c r="A77" s="906">
        <v>448</v>
      </c>
      <c r="B77" s="905" t="s">
        <v>7986</v>
      </c>
      <c r="C77" s="905" t="s">
        <v>7998</v>
      </c>
      <c r="D77" s="904" t="s">
        <v>2549</v>
      </c>
      <c r="E77" s="1092" t="s">
        <v>12159</v>
      </c>
      <c r="F77" s="903">
        <v>42977</v>
      </c>
      <c r="G77" s="903">
        <v>43057</v>
      </c>
      <c r="H77" s="1087" t="s">
        <v>12012</v>
      </c>
      <c r="I77" s="1087" t="s">
        <v>12085</v>
      </c>
      <c r="J77" s="902">
        <v>2304844.1</v>
      </c>
      <c r="K77" s="902">
        <f>691453.23+1154077.28</f>
        <v>1845530.51</v>
      </c>
      <c r="L77" s="902">
        <v>428158.48</v>
      </c>
      <c r="M77" s="901">
        <v>1</v>
      </c>
      <c r="N77" s="901">
        <f t="shared" si="2"/>
        <v>0.98648276905149468</v>
      </c>
      <c r="O77" s="900" t="s">
        <v>7483</v>
      </c>
    </row>
    <row r="78" spans="1:15" ht="33" customHeight="1" x14ac:dyDescent="0.25">
      <c r="A78" s="906">
        <v>450</v>
      </c>
      <c r="B78" s="905" t="s">
        <v>7986</v>
      </c>
      <c r="C78" s="905" t="s">
        <v>8004</v>
      </c>
      <c r="D78" s="904" t="s">
        <v>8005</v>
      </c>
      <c r="E78" s="1092" t="s">
        <v>12160</v>
      </c>
      <c r="F78" s="903">
        <v>42973</v>
      </c>
      <c r="G78" s="903">
        <v>43057</v>
      </c>
      <c r="H78" s="1087" t="s">
        <v>12013</v>
      </c>
      <c r="I78" s="1087" t="s">
        <v>12085</v>
      </c>
      <c r="J78" s="902">
        <f>L78+K78</f>
        <v>1491771.7500000002</v>
      </c>
      <c r="K78" s="902">
        <f>430724.81+343627.76+630024.59</f>
        <v>1404377.1600000001</v>
      </c>
      <c r="L78" s="902">
        <v>87394.59</v>
      </c>
      <c r="M78" s="901">
        <v>1</v>
      </c>
      <c r="N78" s="901">
        <f t="shared" si="2"/>
        <v>1</v>
      </c>
      <c r="O78" s="900" t="s">
        <v>7483</v>
      </c>
    </row>
    <row r="79" spans="1:15" ht="33" customHeight="1" x14ac:dyDescent="0.25">
      <c r="A79" s="906">
        <v>482</v>
      </c>
      <c r="B79" s="905" t="s">
        <v>7986</v>
      </c>
      <c r="C79" s="905" t="s">
        <v>1114</v>
      </c>
      <c r="D79" s="904" t="s">
        <v>8022</v>
      </c>
      <c r="E79" s="1092" t="s">
        <v>12161</v>
      </c>
      <c r="F79" s="903">
        <v>42990</v>
      </c>
      <c r="G79" s="903">
        <v>43069</v>
      </c>
      <c r="H79" s="1087" t="s">
        <v>12001</v>
      </c>
      <c r="I79" s="1087" t="s">
        <v>12085</v>
      </c>
      <c r="J79" s="902">
        <v>2808761.39</v>
      </c>
      <c r="K79" s="902">
        <f>809353.59+1023905.64+851064.8</f>
        <v>2684324.0300000003</v>
      </c>
      <c r="L79" s="902">
        <v>103093.71</v>
      </c>
      <c r="M79" s="901">
        <v>1</v>
      </c>
      <c r="N79" s="901">
        <f t="shared" si="2"/>
        <v>0.99240104550141228</v>
      </c>
      <c r="O79" s="900" t="s">
        <v>7483</v>
      </c>
    </row>
    <row r="80" spans="1:15" ht="33" customHeight="1" x14ac:dyDescent="0.25">
      <c r="A80" s="906">
        <v>483</v>
      </c>
      <c r="B80" s="905" t="s">
        <v>8224</v>
      </c>
      <c r="C80" s="905" t="s">
        <v>8919</v>
      </c>
      <c r="D80" s="904" t="s">
        <v>8920</v>
      </c>
      <c r="E80" s="1092" t="s">
        <v>11818</v>
      </c>
      <c r="F80" s="903">
        <v>43131</v>
      </c>
      <c r="G80" s="903">
        <v>43240</v>
      </c>
      <c r="H80" s="1087" t="s">
        <v>12014</v>
      </c>
      <c r="I80" s="1087" t="s">
        <v>12085</v>
      </c>
      <c r="J80" s="902">
        <v>1999826.62</v>
      </c>
      <c r="K80" s="902">
        <v>0</v>
      </c>
      <c r="L80" s="902">
        <f>500254.55+125887.72+346357.58+221291.8+283631.82+144922.5</f>
        <v>1622345.9700000002</v>
      </c>
      <c r="M80" s="901">
        <v>1</v>
      </c>
      <c r="N80" s="901">
        <f t="shared" si="2"/>
        <v>0.81124331168268982</v>
      </c>
      <c r="O80" s="900" t="s">
        <v>7483</v>
      </c>
    </row>
    <row r="81" spans="1:15" ht="33" customHeight="1" x14ac:dyDescent="0.25">
      <c r="A81" s="906">
        <v>484</v>
      </c>
      <c r="B81" s="905" t="s">
        <v>8224</v>
      </c>
      <c r="C81" s="905" t="s">
        <v>8919</v>
      </c>
      <c r="D81" s="904" t="s">
        <v>8918</v>
      </c>
      <c r="E81" s="1092" t="s">
        <v>11819</v>
      </c>
      <c r="F81" s="903">
        <v>43131</v>
      </c>
      <c r="G81" s="903">
        <v>43240</v>
      </c>
      <c r="H81" s="1087" t="s">
        <v>12014</v>
      </c>
      <c r="I81" s="1087" t="s">
        <v>12085</v>
      </c>
      <c r="J81" s="902">
        <v>1998969.08</v>
      </c>
      <c r="K81" s="902">
        <v>0</v>
      </c>
      <c r="L81" s="902">
        <f>528243.73+90067.03+435406.09+77598.9+304176.19+82795.13</f>
        <v>1518287.0699999998</v>
      </c>
      <c r="M81" s="901">
        <v>1</v>
      </c>
      <c r="N81" s="901">
        <f t="shared" si="2"/>
        <v>0.75953504493426172</v>
      </c>
      <c r="O81" s="900" t="s">
        <v>7483</v>
      </c>
    </row>
    <row r="82" spans="1:15" ht="33" customHeight="1" x14ac:dyDescent="0.25">
      <c r="A82" s="906">
        <v>488</v>
      </c>
      <c r="B82" s="905" t="s">
        <v>7604</v>
      </c>
      <c r="C82" s="905" t="s">
        <v>1114</v>
      </c>
      <c r="D82" s="904" t="s">
        <v>8023</v>
      </c>
      <c r="E82" s="1092" t="s">
        <v>12162</v>
      </c>
      <c r="F82" s="903">
        <v>42936</v>
      </c>
      <c r="G82" s="903">
        <v>42995</v>
      </c>
      <c r="H82" s="1087" t="s">
        <v>12003</v>
      </c>
      <c r="I82" s="1087" t="s">
        <v>12085</v>
      </c>
      <c r="J82" s="902">
        <v>1158804.47</v>
      </c>
      <c r="K82" s="902">
        <v>1096957.45</v>
      </c>
      <c r="L82" s="902">
        <v>57241.71</v>
      </c>
      <c r="M82" s="901">
        <v>1</v>
      </c>
      <c r="N82" s="901">
        <f t="shared" si="2"/>
        <v>0.99602580925494699</v>
      </c>
      <c r="O82" s="900" t="s">
        <v>7483</v>
      </c>
    </row>
    <row r="83" spans="1:15" ht="33" customHeight="1" x14ac:dyDescent="0.25">
      <c r="A83" s="906">
        <v>490</v>
      </c>
      <c r="B83" s="905" t="s">
        <v>8224</v>
      </c>
      <c r="C83" s="905" t="s">
        <v>1114</v>
      </c>
      <c r="D83" s="904" t="s">
        <v>8024</v>
      </c>
      <c r="E83" s="1092" t="s">
        <v>12163</v>
      </c>
      <c r="F83" s="903">
        <v>42963</v>
      </c>
      <c r="G83" s="903">
        <v>43057</v>
      </c>
      <c r="H83" s="1087" t="s">
        <v>11985</v>
      </c>
      <c r="I83" s="1087" t="s">
        <v>12085</v>
      </c>
      <c r="J83" s="902">
        <v>1360589.58</v>
      </c>
      <c r="K83" s="902">
        <f>408176.88+277829.94</f>
        <v>686006.82000000007</v>
      </c>
      <c r="L83" s="902">
        <f>468252.75+203398.33</f>
        <v>671651.08</v>
      </c>
      <c r="M83" s="901">
        <v>1</v>
      </c>
      <c r="N83" s="901">
        <f t="shared" si="2"/>
        <v>0.99784528704093101</v>
      </c>
      <c r="O83" s="900" t="s">
        <v>7483</v>
      </c>
    </row>
    <row r="84" spans="1:15" ht="33" customHeight="1" x14ac:dyDescent="0.25">
      <c r="A84" s="906">
        <v>493</v>
      </c>
      <c r="B84" s="905" t="s">
        <v>7604</v>
      </c>
      <c r="C84" s="905" t="s">
        <v>1114</v>
      </c>
      <c r="D84" s="904" t="s">
        <v>8025</v>
      </c>
      <c r="E84" s="1092" t="s">
        <v>12164</v>
      </c>
      <c r="F84" s="903">
        <v>42963</v>
      </c>
      <c r="G84" s="903">
        <v>43044</v>
      </c>
      <c r="H84" s="1087" t="s">
        <v>12015</v>
      </c>
      <c r="I84" s="1087" t="s">
        <v>12085</v>
      </c>
      <c r="J84" s="902">
        <v>1584345.63</v>
      </c>
      <c r="K84" s="902">
        <v>1547112.22</v>
      </c>
      <c r="L84" s="902">
        <v>37233.410000000003</v>
      </c>
      <c r="M84" s="901">
        <v>1</v>
      </c>
      <c r="N84" s="901">
        <f t="shared" si="2"/>
        <v>1</v>
      </c>
      <c r="O84" s="900" t="s">
        <v>7483</v>
      </c>
    </row>
    <row r="85" spans="1:15" ht="33" customHeight="1" x14ac:dyDescent="0.25">
      <c r="A85" s="906">
        <v>494</v>
      </c>
      <c r="B85" s="905" t="s">
        <v>8224</v>
      </c>
      <c r="C85" s="905" t="s">
        <v>1114</v>
      </c>
      <c r="D85" s="904" t="s">
        <v>8026</v>
      </c>
      <c r="E85" s="1092" t="s">
        <v>12165</v>
      </c>
      <c r="F85" s="903">
        <v>42930</v>
      </c>
      <c r="G85" s="903">
        <v>42995</v>
      </c>
      <c r="H85" s="1087" t="s">
        <v>10341</v>
      </c>
      <c r="I85" s="1087" t="s">
        <v>12085</v>
      </c>
      <c r="J85" s="902">
        <v>1617545.99</v>
      </c>
      <c r="K85" s="902">
        <v>352332.01</v>
      </c>
      <c r="L85" s="902">
        <f>1166653.63+83813.46</f>
        <v>1250467.0899999999</v>
      </c>
      <c r="M85" s="901">
        <v>1</v>
      </c>
      <c r="N85" s="901">
        <f t="shared" si="2"/>
        <v>0.99088317111774971</v>
      </c>
      <c r="O85" s="900" t="s">
        <v>7483</v>
      </c>
    </row>
    <row r="86" spans="1:15" ht="33" customHeight="1" x14ac:dyDescent="0.25">
      <c r="A86" s="906">
        <v>495</v>
      </c>
      <c r="B86" s="905" t="s">
        <v>8224</v>
      </c>
      <c r="C86" s="905" t="s">
        <v>1114</v>
      </c>
      <c r="D86" s="904" t="s">
        <v>8027</v>
      </c>
      <c r="E86" s="1092" t="s">
        <v>12166</v>
      </c>
      <c r="F86" s="903">
        <v>42929</v>
      </c>
      <c r="G86" s="903">
        <v>43013</v>
      </c>
      <c r="H86" s="1087" t="s">
        <v>12016</v>
      </c>
      <c r="I86" s="1087" t="s">
        <v>12085</v>
      </c>
      <c r="J86" s="902">
        <v>1686197.69</v>
      </c>
      <c r="K86" s="902">
        <f>485570.85+622903.86+510008.34</f>
        <v>1618483.05</v>
      </c>
      <c r="L86" s="902">
        <v>61216.63</v>
      </c>
      <c r="M86" s="901">
        <v>1</v>
      </c>
      <c r="N86" s="901">
        <f t="shared" si="2"/>
        <v>0.99614635339703261</v>
      </c>
      <c r="O86" s="900" t="s">
        <v>7483</v>
      </c>
    </row>
    <row r="87" spans="1:15" ht="33" customHeight="1" x14ac:dyDescent="0.25">
      <c r="A87" s="906">
        <v>496</v>
      </c>
      <c r="B87" s="905" t="s">
        <v>8224</v>
      </c>
      <c r="C87" s="905" t="s">
        <v>1114</v>
      </c>
      <c r="D87" s="904" t="s">
        <v>8028</v>
      </c>
      <c r="E87" s="1092" t="s">
        <v>12167</v>
      </c>
      <c r="F87" s="903">
        <v>42964</v>
      </c>
      <c r="G87" s="903">
        <v>43053</v>
      </c>
      <c r="H87" s="1087" t="s">
        <v>12010</v>
      </c>
      <c r="I87" s="1087" t="s">
        <v>12085</v>
      </c>
      <c r="J87" s="902">
        <v>1626046.08</v>
      </c>
      <c r="K87" s="902">
        <f>487813.83+245186.28+842772.77</f>
        <v>1575772.88</v>
      </c>
      <c r="L87" s="902">
        <v>46226.87</v>
      </c>
      <c r="M87" s="901">
        <v>1</v>
      </c>
      <c r="N87" s="901">
        <f t="shared" si="2"/>
        <v>0.9975115526861329</v>
      </c>
      <c r="O87" s="900" t="s">
        <v>7483</v>
      </c>
    </row>
    <row r="88" spans="1:15" ht="33" customHeight="1" x14ac:dyDescent="0.25">
      <c r="A88" s="906">
        <v>497</v>
      </c>
      <c r="B88" s="905" t="s">
        <v>8224</v>
      </c>
      <c r="C88" s="905" t="s">
        <v>1114</v>
      </c>
      <c r="D88" s="904" t="s">
        <v>8029</v>
      </c>
      <c r="E88" s="1092" t="s">
        <v>12168</v>
      </c>
      <c r="F88" s="903">
        <v>42964</v>
      </c>
      <c r="G88" s="903">
        <v>43043</v>
      </c>
      <c r="H88" s="1087" t="s">
        <v>10014</v>
      </c>
      <c r="I88" s="1087" t="s">
        <v>12085</v>
      </c>
      <c r="J88" s="902">
        <v>1694332.94</v>
      </c>
      <c r="K88" s="902">
        <v>494639.27</v>
      </c>
      <c r="L88" s="902">
        <v>1196369.1599999999</v>
      </c>
      <c r="M88" s="901">
        <v>1</v>
      </c>
      <c r="N88" s="901">
        <f t="shared" si="2"/>
        <v>0.99803786497829639</v>
      </c>
      <c r="O88" s="900" t="s">
        <v>7483</v>
      </c>
    </row>
    <row r="89" spans="1:15" ht="33" customHeight="1" x14ac:dyDescent="0.25">
      <c r="A89" s="906">
        <v>498</v>
      </c>
      <c r="B89" s="905" t="s">
        <v>8224</v>
      </c>
      <c r="C89" s="905" t="s">
        <v>1114</v>
      </c>
      <c r="D89" s="904" t="s">
        <v>8030</v>
      </c>
      <c r="E89" s="1092" t="s">
        <v>12169</v>
      </c>
      <c r="F89" s="903">
        <v>42962</v>
      </c>
      <c r="G89" s="903">
        <v>43021</v>
      </c>
      <c r="H89" s="1087" t="s">
        <v>9854</v>
      </c>
      <c r="I89" s="1087" t="s">
        <v>12085</v>
      </c>
      <c r="J89" s="902">
        <v>1836475.1</v>
      </c>
      <c r="K89" s="902">
        <f>533068.16+1218636.77</f>
        <v>1751704.9300000002</v>
      </c>
      <c r="L89" s="902">
        <v>84332.58</v>
      </c>
      <c r="M89" s="901">
        <v>1</v>
      </c>
      <c r="N89" s="901">
        <f t="shared" si="2"/>
        <v>0.99976172287879106</v>
      </c>
      <c r="O89" s="900" t="s">
        <v>7483</v>
      </c>
    </row>
    <row r="90" spans="1:15" ht="33" customHeight="1" x14ac:dyDescent="0.25">
      <c r="A90" s="906">
        <v>503</v>
      </c>
      <c r="B90" s="905" t="s">
        <v>7604</v>
      </c>
      <c r="C90" s="905" t="s">
        <v>1114</v>
      </c>
      <c r="D90" s="904" t="s">
        <v>8031</v>
      </c>
      <c r="E90" s="1092" t="s">
        <v>12170</v>
      </c>
      <c r="F90" s="903">
        <v>42977</v>
      </c>
      <c r="G90" s="903">
        <v>43056</v>
      </c>
      <c r="H90" s="1087" t="s">
        <v>12001</v>
      </c>
      <c r="I90" s="1087" t="s">
        <v>12085</v>
      </c>
      <c r="J90" s="902">
        <v>2574448.36</v>
      </c>
      <c r="K90" s="902">
        <v>2065039.12</v>
      </c>
      <c r="L90" s="902">
        <v>509409.24</v>
      </c>
      <c r="M90" s="901">
        <v>1</v>
      </c>
      <c r="N90" s="901">
        <f t="shared" si="2"/>
        <v>1.0000000000000002</v>
      </c>
      <c r="O90" s="900" t="s">
        <v>7483</v>
      </c>
    </row>
    <row r="91" spans="1:15" ht="33" customHeight="1" x14ac:dyDescent="0.25">
      <c r="A91" s="906">
        <v>504</v>
      </c>
      <c r="B91" s="905" t="s">
        <v>8224</v>
      </c>
      <c r="C91" s="905" t="s">
        <v>1114</v>
      </c>
      <c r="D91" s="904" t="s">
        <v>8032</v>
      </c>
      <c r="E91" s="1092" t="s">
        <v>12171</v>
      </c>
      <c r="F91" s="903">
        <v>42971</v>
      </c>
      <c r="G91" s="903">
        <v>43095</v>
      </c>
      <c r="H91" s="1087" t="s">
        <v>12017</v>
      </c>
      <c r="I91" s="1087" t="s">
        <v>12085</v>
      </c>
      <c r="J91" s="902">
        <v>3976794.1</v>
      </c>
      <c r="K91" s="902">
        <v>1052414.52</v>
      </c>
      <c r="L91" s="902">
        <f>742890.07+1914669.9+72117.37</f>
        <v>2729677.34</v>
      </c>
      <c r="M91" s="901">
        <v>1</v>
      </c>
      <c r="N91" s="901">
        <f t="shared" si="2"/>
        <v>0.95104040211687091</v>
      </c>
      <c r="O91" s="900" t="s">
        <v>7483</v>
      </c>
    </row>
    <row r="92" spans="1:15" ht="33" customHeight="1" x14ac:dyDescent="0.25">
      <c r="A92" s="906">
        <v>505</v>
      </c>
      <c r="B92" s="905" t="s">
        <v>8224</v>
      </c>
      <c r="C92" s="905" t="s">
        <v>1114</v>
      </c>
      <c r="D92" s="904" t="s">
        <v>8033</v>
      </c>
      <c r="E92" s="1092" t="s">
        <v>12172</v>
      </c>
      <c r="F92" s="903">
        <v>42922</v>
      </c>
      <c r="G92" s="903">
        <v>42981</v>
      </c>
      <c r="H92" s="1087" t="s">
        <v>12017</v>
      </c>
      <c r="I92" s="1087" t="s">
        <v>12085</v>
      </c>
      <c r="J92" s="902">
        <v>4210695.22</v>
      </c>
      <c r="K92" s="902">
        <f>1263208.56+2653444.75</f>
        <v>3916653.31</v>
      </c>
      <c r="L92" s="902">
        <v>58443.55</v>
      </c>
      <c r="M92" s="901">
        <v>1</v>
      </c>
      <c r="N92" s="901">
        <f t="shared" ref="N92:N123" si="3">(L92+K92)/J92</f>
        <v>0.94404763401517344</v>
      </c>
      <c r="O92" s="900" t="s">
        <v>7483</v>
      </c>
    </row>
    <row r="93" spans="1:15" ht="33" customHeight="1" x14ac:dyDescent="0.25">
      <c r="A93" s="906">
        <v>531</v>
      </c>
      <c r="B93" s="905" t="s">
        <v>8050</v>
      </c>
      <c r="C93" s="905" t="s">
        <v>8917</v>
      </c>
      <c r="D93" s="904" t="s">
        <v>8051</v>
      </c>
      <c r="E93" s="1092" t="s">
        <v>11820</v>
      </c>
      <c r="F93" s="903">
        <v>43010</v>
      </c>
      <c r="G93" s="903">
        <v>43084</v>
      </c>
      <c r="H93" s="1087" t="s">
        <v>12018</v>
      </c>
      <c r="I93" s="1087" t="s">
        <v>12085</v>
      </c>
      <c r="J93" s="902">
        <v>2079831.27</v>
      </c>
      <c r="K93" s="902">
        <v>1578673.2</v>
      </c>
      <c r="L93" s="902">
        <v>446367.08</v>
      </c>
      <c r="M93" s="901">
        <v>1</v>
      </c>
      <c r="N93" s="901">
        <f t="shared" si="3"/>
        <v>0.97365604085758362</v>
      </c>
      <c r="O93" s="900" t="s">
        <v>7483</v>
      </c>
    </row>
    <row r="94" spans="1:15" ht="33" customHeight="1" x14ac:dyDescent="0.25">
      <c r="A94" s="906">
        <v>532</v>
      </c>
      <c r="B94" s="905" t="s">
        <v>8050</v>
      </c>
      <c r="C94" s="905" t="s">
        <v>8917</v>
      </c>
      <c r="D94" s="904" t="s">
        <v>8052</v>
      </c>
      <c r="E94" s="1092" t="s">
        <v>11821</v>
      </c>
      <c r="F94" s="903">
        <v>43010</v>
      </c>
      <c r="G94" s="903">
        <v>43079</v>
      </c>
      <c r="H94" s="1087" t="s">
        <v>12019</v>
      </c>
      <c r="I94" s="1087" t="s">
        <v>12085</v>
      </c>
      <c r="J94" s="902">
        <v>3150784.63</v>
      </c>
      <c r="K94" s="902">
        <v>931735.39</v>
      </c>
      <c r="L94" s="902">
        <f>1301552.11+172641.14</f>
        <v>1474193.25</v>
      </c>
      <c r="M94" s="901">
        <v>1</v>
      </c>
      <c r="N94" s="901">
        <f t="shared" si="3"/>
        <v>0.76359666639607804</v>
      </c>
      <c r="O94" s="900" t="s">
        <v>7483</v>
      </c>
    </row>
    <row r="95" spans="1:15" ht="33" customHeight="1" x14ac:dyDescent="0.25">
      <c r="A95" s="906">
        <v>533</v>
      </c>
      <c r="B95" s="905" t="s">
        <v>8050</v>
      </c>
      <c r="C95" s="905" t="s">
        <v>8917</v>
      </c>
      <c r="D95" s="904" t="s">
        <v>8053</v>
      </c>
      <c r="E95" s="1092" t="s">
        <v>11822</v>
      </c>
      <c r="F95" s="903">
        <v>43010</v>
      </c>
      <c r="G95" s="903">
        <v>43084</v>
      </c>
      <c r="H95" s="1087" t="s">
        <v>12018</v>
      </c>
      <c r="I95" s="1087" t="s">
        <v>12085</v>
      </c>
      <c r="J95" s="902">
        <v>2291509.2000000002</v>
      </c>
      <c r="K95" s="902">
        <v>1810401.8900000001</v>
      </c>
      <c r="L95" s="902">
        <v>355248.62</v>
      </c>
      <c r="M95" s="901">
        <v>1</v>
      </c>
      <c r="N95" s="901">
        <f t="shared" si="3"/>
        <v>0.94507607039064034</v>
      </c>
      <c r="O95" s="900" t="s">
        <v>7483</v>
      </c>
    </row>
    <row r="96" spans="1:15" ht="33" customHeight="1" x14ac:dyDescent="0.25">
      <c r="A96" s="906">
        <v>534</v>
      </c>
      <c r="B96" s="905" t="s">
        <v>8050</v>
      </c>
      <c r="C96" s="905" t="s">
        <v>8917</v>
      </c>
      <c r="D96" s="904" t="s">
        <v>8054</v>
      </c>
      <c r="E96" s="1092" t="s">
        <v>11823</v>
      </c>
      <c r="F96" s="903">
        <v>43010</v>
      </c>
      <c r="G96" s="903">
        <v>43084</v>
      </c>
      <c r="H96" s="1087" t="s">
        <v>12019</v>
      </c>
      <c r="I96" s="1087" t="s">
        <v>12085</v>
      </c>
      <c r="J96" s="902">
        <v>5090582.3099999996</v>
      </c>
      <c r="K96" s="902">
        <f>1278444.91+1814543.19</f>
        <v>3092988.0999999996</v>
      </c>
      <c r="L96" s="902">
        <f>1413139.62+515914.12</f>
        <v>1929053.7400000002</v>
      </c>
      <c r="M96" s="901">
        <v>1</v>
      </c>
      <c r="N96" s="901">
        <f t="shared" si="3"/>
        <v>0.98653582913975124</v>
      </c>
      <c r="O96" s="900" t="s">
        <v>7483</v>
      </c>
    </row>
    <row r="97" spans="1:15" ht="33" customHeight="1" x14ac:dyDescent="0.25">
      <c r="A97" s="906">
        <v>535</v>
      </c>
      <c r="B97" s="905" t="s">
        <v>8050</v>
      </c>
      <c r="C97" s="905" t="s">
        <v>8917</v>
      </c>
      <c r="D97" s="904" t="s">
        <v>8055</v>
      </c>
      <c r="E97" s="1092" t="s">
        <v>11824</v>
      </c>
      <c r="F97" s="903">
        <v>43010</v>
      </c>
      <c r="G97" s="903">
        <v>43084</v>
      </c>
      <c r="H97" s="1087" t="s">
        <v>12018</v>
      </c>
      <c r="I97" s="1087" t="s">
        <v>12085</v>
      </c>
      <c r="J97" s="902">
        <v>5180281.3</v>
      </c>
      <c r="K97" s="902">
        <f>1554084.39+1930249.71+1010249.7</f>
        <v>4494583.8</v>
      </c>
      <c r="L97" s="902">
        <v>45652.65</v>
      </c>
      <c r="M97" s="901">
        <v>1</v>
      </c>
      <c r="N97" s="901">
        <f t="shared" si="3"/>
        <v>0.87644592775299679</v>
      </c>
      <c r="O97" s="900" t="s">
        <v>7483</v>
      </c>
    </row>
    <row r="98" spans="1:15" ht="33" customHeight="1" x14ac:dyDescent="0.25">
      <c r="A98" s="906">
        <v>536</v>
      </c>
      <c r="B98" s="905" t="s">
        <v>8050</v>
      </c>
      <c r="C98" s="905" t="s">
        <v>8917</v>
      </c>
      <c r="D98" s="904" t="s">
        <v>8056</v>
      </c>
      <c r="E98" s="1092" t="s">
        <v>11825</v>
      </c>
      <c r="F98" s="903">
        <v>43010</v>
      </c>
      <c r="G98" s="903">
        <v>43089</v>
      </c>
      <c r="H98" s="1087" t="s">
        <v>12019</v>
      </c>
      <c r="I98" s="1087" t="s">
        <v>12085</v>
      </c>
      <c r="J98" s="902">
        <v>1150993.3999999999</v>
      </c>
      <c r="K98" s="902">
        <f>334288.95+752701.77</f>
        <v>1086990.72</v>
      </c>
      <c r="L98" s="902">
        <v>64002.68</v>
      </c>
      <c r="M98" s="901">
        <v>1</v>
      </c>
      <c r="N98" s="901">
        <f t="shared" si="3"/>
        <v>1</v>
      </c>
      <c r="O98" s="900" t="s">
        <v>7483</v>
      </c>
    </row>
    <row r="99" spans="1:15" ht="33" customHeight="1" x14ac:dyDescent="0.25">
      <c r="A99" s="906">
        <v>537</v>
      </c>
      <c r="B99" s="905" t="s">
        <v>8050</v>
      </c>
      <c r="C99" s="905" t="s">
        <v>8917</v>
      </c>
      <c r="D99" s="904" t="s">
        <v>8057</v>
      </c>
      <c r="E99" s="1092" t="s">
        <v>11826</v>
      </c>
      <c r="F99" s="903">
        <v>43013</v>
      </c>
      <c r="G99" s="903">
        <v>43082</v>
      </c>
      <c r="H99" s="1087" t="s">
        <v>12019</v>
      </c>
      <c r="I99" s="1087" t="s">
        <v>12085</v>
      </c>
      <c r="J99" s="902">
        <v>4138611.81</v>
      </c>
      <c r="K99" s="902">
        <v>3577699.0700000003</v>
      </c>
      <c r="L99" s="902">
        <v>243341.06</v>
      </c>
      <c r="M99" s="901">
        <v>1</v>
      </c>
      <c r="N99" s="901">
        <f t="shared" si="3"/>
        <v>0.92326613497969023</v>
      </c>
      <c r="O99" s="900" t="s">
        <v>7483</v>
      </c>
    </row>
    <row r="100" spans="1:15" ht="33" customHeight="1" x14ac:dyDescent="0.25">
      <c r="A100" s="906">
        <v>538</v>
      </c>
      <c r="B100" s="905" t="s">
        <v>8050</v>
      </c>
      <c r="C100" s="905" t="s">
        <v>8917</v>
      </c>
      <c r="D100" s="904" t="s">
        <v>8058</v>
      </c>
      <c r="E100" s="1092" t="s">
        <v>11827</v>
      </c>
      <c r="F100" s="903">
        <v>43013</v>
      </c>
      <c r="G100" s="903">
        <v>43087</v>
      </c>
      <c r="H100" s="1087" t="s">
        <v>12020</v>
      </c>
      <c r="I100" s="1087" t="s">
        <v>12085</v>
      </c>
      <c r="J100" s="902">
        <v>7169344.8600000003</v>
      </c>
      <c r="K100" s="902">
        <v>6345003.6099999994</v>
      </c>
      <c r="L100" s="902">
        <v>824341.25</v>
      </c>
      <c r="M100" s="901">
        <v>1</v>
      </c>
      <c r="N100" s="901">
        <f t="shared" si="3"/>
        <v>0.99999999999999989</v>
      </c>
      <c r="O100" s="900" t="s">
        <v>7483</v>
      </c>
    </row>
    <row r="101" spans="1:15" ht="33" customHeight="1" x14ac:dyDescent="0.25">
      <c r="A101" s="906">
        <v>545</v>
      </c>
      <c r="B101" s="905" t="s">
        <v>8050</v>
      </c>
      <c r="C101" s="905" t="s">
        <v>7964</v>
      </c>
      <c r="D101" s="904" t="s">
        <v>1113</v>
      </c>
      <c r="E101" s="1092" t="s">
        <v>12125</v>
      </c>
      <c r="F101" s="903">
        <v>43034</v>
      </c>
      <c r="G101" s="903">
        <v>43093</v>
      </c>
      <c r="H101" s="1087" t="s">
        <v>11995</v>
      </c>
      <c r="I101" s="1087" t="s">
        <v>12085</v>
      </c>
      <c r="J101" s="902">
        <v>3564545.47</v>
      </c>
      <c r="K101" s="902">
        <v>658519.75</v>
      </c>
      <c r="L101" s="902">
        <f>1355243.36+1550782.28</f>
        <v>2906025.64</v>
      </c>
      <c r="M101" s="901">
        <v>1</v>
      </c>
      <c r="N101" s="901">
        <f t="shared" si="3"/>
        <v>0.99999997755674586</v>
      </c>
      <c r="O101" s="900" t="s">
        <v>7483</v>
      </c>
    </row>
    <row r="102" spans="1:15" ht="33" customHeight="1" x14ac:dyDescent="0.25">
      <c r="A102" s="906">
        <v>546</v>
      </c>
      <c r="B102" s="905" t="s">
        <v>8050</v>
      </c>
      <c r="C102" s="905" t="s">
        <v>7964</v>
      </c>
      <c r="D102" s="904" t="s">
        <v>1113</v>
      </c>
      <c r="E102" s="1092" t="s">
        <v>12126</v>
      </c>
      <c r="F102" s="903">
        <v>43034</v>
      </c>
      <c r="G102" s="903">
        <v>43093</v>
      </c>
      <c r="H102" s="1087" t="s">
        <v>11995</v>
      </c>
      <c r="I102" s="1087" t="s">
        <v>12085</v>
      </c>
      <c r="J102" s="902">
        <v>3330901.93</v>
      </c>
      <c r="K102" s="902">
        <v>957886.34</v>
      </c>
      <c r="L102" s="902">
        <f>2081337.97+291677.51</f>
        <v>2373015.48</v>
      </c>
      <c r="M102" s="901">
        <v>1</v>
      </c>
      <c r="N102" s="901">
        <f t="shared" si="3"/>
        <v>0.99999996697591143</v>
      </c>
      <c r="O102" s="900" t="s">
        <v>7483</v>
      </c>
    </row>
    <row r="103" spans="1:15" ht="33" customHeight="1" x14ac:dyDescent="0.25">
      <c r="A103" s="906">
        <v>547</v>
      </c>
      <c r="B103" s="905" t="s">
        <v>8050</v>
      </c>
      <c r="C103" s="905" t="s">
        <v>7964</v>
      </c>
      <c r="D103" s="904" t="s">
        <v>1113</v>
      </c>
      <c r="E103" s="1092" t="s">
        <v>12127</v>
      </c>
      <c r="F103" s="903">
        <v>43034</v>
      </c>
      <c r="G103" s="903">
        <v>43093</v>
      </c>
      <c r="H103" s="1087" t="s">
        <v>11995</v>
      </c>
      <c r="I103" s="1087" t="s">
        <v>12085</v>
      </c>
      <c r="J103" s="902">
        <v>2995745.82</v>
      </c>
      <c r="K103" s="902">
        <v>978862.81</v>
      </c>
      <c r="L103" s="902">
        <f>1378752.3+599830.4</f>
        <v>1978582.7000000002</v>
      </c>
      <c r="M103" s="901">
        <v>1</v>
      </c>
      <c r="N103" s="901">
        <f t="shared" si="3"/>
        <v>0.98721510024505366</v>
      </c>
      <c r="O103" s="900" t="s">
        <v>7483</v>
      </c>
    </row>
    <row r="104" spans="1:15" ht="33" customHeight="1" x14ac:dyDescent="0.25">
      <c r="A104" s="906">
        <v>530</v>
      </c>
      <c r="B104" s="905" t="s">
        <v>8047</v>
      </c>
      <c r="C104" s="905" t="s">
        <v>8007</v>
      </c>
      <c r="D104" s="904" t="s">
        <v>8048</v>
      </c>
      <c r="E104" s="1092" t="s">
        <v>11828</v>
      </c>
      <c r="F104" s="903">
        <v>43013</v>
      </c>
      <c r="G104" s="903">
        <v>43072</v>
      </c>
      <c r="H104" s="1087" t="s">
        <v>12020</v>
      </c>
      <c r="I104" s="1087" t="s">
        <v>12085</v>
      </c>
      <c r="J104" s="902">
        <v>2660402.02</v>
      </c>
      <c r="K104" s="902">
        <f>776100.15+1236082.14</f>
        <v>2012182.29</v>
      </c>
      <c r="L104" s="902">
        <v>647847.34</v>
      </c>
      <c r="M104" s="901">
        <v>1</v>
      </c>
      <c r="N104" s="901">
        <f t="shared" si="3"/>
        <v>0.99986002491458037</v>
      </c>
      <c r="O104" s="900" t="s">
        <v>7483</v>
      </c>
    </row>
    <row r="105" spans="1:15" ht="33" customHeight="1" x14ac:dyDescent="0.25">
      <c r="A105" s="906">
        <v>548</v>
      </c>
      <c r="B105" s="905" t="s">
        <v>8047</v>
      </c>
      <c r="C105" s="910" t="s">
        <v>8059</v>
      </c>
      <c r="D105" s="910" t="s">
        <v>8060</v>
      </c>
      <c r="E105" s="1093" t="s">
        <v>11829</v>
      </c>
      <c r="F105" s="912">
        <v>43081</v>
      </c>
      <c r="G105" s="912">
        <v>43270</v>
      </c>
      <c r="H105" s="1088" t="s">
        <v>12021</v>
      </c>
      <c r="I105" s="1087" t="s">
        <v>12086</v>
      </c>
      <c r="J105" s="916">
        <v>8132571.7599999998</v>
      </c>
      <c r="K105" s="916">
        <v>2358446.85</v>
      </c>
      <c r="L105" s="902">
        <f>387527.74+1560583.29+2493421.98+1332562.8</f>
        <v>5774095.8099999996</v>
      </c>
      <c r="M105" s="901">
        <v>1</v>
      </c>
      <c r="N105" s="901">
        <f t="shared" si="3"/>
        <v>0.9999964217960986</v>
      </c>
      <c r="O105" s="915" t="s">
        <v>7483</v>
      </c>
    </row>
    <row r="106" spans="1:15" ht="33" customHeight="1" x14ac:dyDescent="0.25">
      <c r="A106" s="906">
        <v>549</v>
      </c>
      <c r="B106" s="905" t="s">
        <v>7606</v>
      </c>
      <c r="C106" s="905" t="s">
        <v>1114</v>
      </c>
      <c r="D106" s="904" t="s">
        <v>8916</v>
      </c>
      <c r="E106" s="1092" t="s">
        <v>11830</v>
      </c>
      <c r="F106" s="903">
        <v>43091</v>
      </c>
      <c r="G106" s="903">
        <v>43150</v>
      </c>
      <c r="H106" s="1087" t="s">
        <v>12022</v>
      </c>
      <c r="I106" s="1087" t="s">
        <v>12085</v>
      </c>
      <c r="J106" s="902">
        <v>2929694.04</v>
      </c>
      <c r="K106" s="902">
        <v>0</v>
      </c>
      <c r="L106" s="902">
        <f>878908.21+1110505.04+939935.82</f>
        <v>2929349.07</v>
      </c>
      <c r="M106" s="901">
        <v>1</v>
      </c>
      <c r="N106" s="901">
        <f t="shared" si="3"/>
        <v>0.99988225050285451</v>
      </c>
      <c r="O106" s="900" t="s">
        <v>7483</v>
      </c>
    </row>
    <row r="107" spans="1:15" ht="33" customHeight="1" x14ac:dyDescent="0.25">
      <c r="A107" s="906">
        <v>550</v>
      </c>
      <c r="B107" s="905" t="s">
        <v>7606</v>
      </c>
      <c r="C107" s="905" t="s">
        <v>1114</v>
      </c>
      <c r="D107" s="904" t="s">
        <v>8915</v>
      </c>
      <c r="E107" s="1092" t="s">
        <v>11831</v>
      </c>
      <c r="F107" s="903">
        <v>43122</v>
      </c>
      <c r="G107" s="903">
        <v>43181</v>
      </c>
      <c r="H107" s="1087" t="s">
        <v>12023</v>
      </c>
      <c r="I107" s="1087" t="s">
        <v>12085</v>
      </c>
      <c r="J107" s="902">
        <v>3022763.38</v>
      </c>
      <c r="K107" s="902">
        <v>0</v>
      </c>
      <c r="L107" s="902">
        <f>906829.01+2110913.9</f>
        <v>3017742.91</v>
      </c>
      <c r="M107" s="901">
        <v>1</v>
      </c>
      <c r="N107" s="901">
        <f t="shared" si="3"/>
        <v>0.99833911247131768</v>
      </c>
      <c r="O107" s="900" t="s">
        <v>7483</v>
      </c>
    </row>
    <row r="108" spans="1:15" ht="33" customHeight="1" x14ac:dyDescent="0.25">
      <c r="A108" s="906">
        <v>551</v>
      </c>
      <c r="B108" s="905" t="s">
        <v>7606</v>
      </c>
      <c r="C108" s="905" t="s">
        <v>1114</v>
      </c>
      <c r="D108" s="904" t="s">
        <v>8914</v>
      </c>
      <c r="E108" s="1092" t="s">
        <v>11832</v>
      </c>
      <c r="F108" s="903">
        <v>43091</v>
      </c>
      <c r="G108" s="903">
        <v>43150</v>
      </c>
      <c r="H108" s="1087" t="s">
        <v>12024</v>
      </c>
      <c r="I108" s="1087" t="s">
        <v>12085</v>
      </c>
      <c r="J108" s="902">
        <v>3172161.59</v>
      </c>
      <c r="K108" s="902">
        <v>0</v>
      </c>
      <c r="L108" s="902">
        <f>951648.48+492474.81+1728038.07</f>
        <v>3172161.3600000003</v>
      </c>
      <c r="M108" s="901">
        <v>1</v>
      </c>
      <c r="N108" s="901">
        <f t="shared" si="3"/>
        <v>0.99999992749423605</v>
      </c>
      <c r="O108" s="900" t="s">
        <v>7483</v>
      </c>
    </row>
    <row r="109" spans="1:15" ht="33" customHeight="1" x14ac:dyDescent="0.25">
      <c r="A109" s="906">
        <v>552</v>
      </c>
      <c r="B109" s="905" t="s">
        <v>7606</v>
      </c>
      <c r="C109" s="905" t="s">
        <v>1114</v>
      </c>
      <c r="D109" s="904" t="s">
        <v>8023</v>
      </c>
      <c r="E109" s="1092" t="s">
        <v>11833</v>
      </c>
      <c r="F109" s="903">
        <v>43091</v>
      </c>
      <c r="G109" s="903">
        <v>43150</v>
      </c>
      <c r="H109" s="1087" t="s">
        <v>12025</v>
      </c>
      <c r="I109" s="1087" t="s">
        <v>12085</v>
      </c>
      <c r="J109" s="902">
        <v>1048396.61</v>
      </c>
      <c r="K109" s="902">
        <v>0</v>
      </c>
      <c r="L109" s="902">
        <f>314518.98+669830.53+51273.75</f>
        <v>1035623.26</v>
      </c>
      <c r="M109" s="901">
        <v>1</v>
      </c>
      <c r="N109" s="901">
        <f t="shared" si="3"/>
        <v>0.98781629978753938</v>
      </c>
      <c r="O109" s="900" t="s">
        <v>7483</v>
      </c>
    </row>
    <row r="110" spans="1:15" ht="33" customHeight="1" x14ac:dyDescent="0.25">
      <c r="A110" s="906">
        <v>553</v>
      </c>
      <c r="B110" s="905" t="s">
        <v>7606</v>
      </c>
      <c r="C110" s="905" t="s">
        <v>1114</v>
      </c>
      <c r="D110" s="904" t="s">
        <v>8913</v>
      </c>
      <c r="E110" s="1092" t="s">
        <v>11834</v>
      </c>
      <c r="F110" s="903">
        <v>43124</v>
      </c>
      <c r="G110" s="903">
        <v>43183</v>
      </c>
      <c r="H110" s="1087" t="s">
        <v>12026</v>
      </c>
      <c r="I110" s="1087" t="s">
        <v>12085</v>
      </c>
      <c r="J110" s="902">
        <v>3458560.36</v>
      </c>
      <c r="K110" s="902">
        <v>0</v>
      </c>
      <c r="L110" s="902">
        <f>1037568.11+2420992.24</f>
        <v>3458560.35</v>
      </c>
      <c r="M110" s="901">
        <v>1</v>
      </c>
      <c r="N110" s="901">
        <f t="shared" si="3"/>
        <v>0.99999999710862364</v>
      </c>
      <c r="O110" s="900" t="s">
        <v>7483</v>
      </c>
    </row>
    <row r="111" spans="1:15" ht="33" customHeight="1" x14ac:dyDescent="0.25">
      <c r="A111" s="906">
        <v>554</v>
      </c>
      <c r="B111" s="905" t="s">
        <v>7606</v>
      </c>
      <c r="C111" s="905" t="s">
        <v>1114</v>
      </c>
      <c r="D111" s="904" t="s">
        <v>8912</v>
      </c>
      <c r="E111" s="1092" t="s">
        <v>11835</v>
      </c>
      <c r="F111" s="903">
        <v>43091</v>
      </c>
      <c r="G111" s="903">
        <v>43150</v>
      </c>
      <c r="H111" s="1087" t="s">
        <v>12027</v>
      </c>
      <c r="I111" s="1087" t="s">
        <v>12085</v>
      </c>
      <c r="J111" s="902">
        <v>1878499.95</v>
      </c>
      <c r="K111" s="902">
        <v>0</v>
      </c>
      <c r="L111" s="902">
        <f>563549.98+385548.64+919100.07</f>
        <v>1868198.69</v>
      </c>
      <c r="M111" s="901">
        <v>1</v>
      </c>
      <c r="N111" s="901">
        <f t="shared" si="3"/>
        <v>0.99451623088943919</v>
      </c>
      <c r="O111" s="900" t="s">
        <v>7483</v>
      </c>
    </row>
    <row r="112" spans="1:15" ht="33" customHeight="1" x14ac:dyDescent="0.25">
      <c r="A112" s="906">
        <v>555</v>
      </c>
      <c r="B112" s="905" t="s">
        <v>7606</v>
      </c>
      <c r="C112" s="905" t="s">
        <v>1114</v>
      </c>
      <c r="D112" s="904" t="s">
        <v>8911</v>
      </c>
      <c r="E112" s="1092" t="s">
        <v>11836</v>
      </c>
      <c r="F112" s="903">
        <v>43091</v>
      </c>
      <c r="G112" s="903">
        <v>43150</v>
      </c>
      <c r="H112" s="1087" t="s">
        <v>12028</v>
      </c>
      <c r="I112" s="1087" t="s">
        <v>11811</v>
      </c>
      <c r="J112" s="902">
        <v>564801.48</v>
      </c>
      <c r="K112" s="902">
        <v>0</v>
      </c>
      <c r="L112" s="902">
        <f>169440.45+360673.94+34365.88</f>
        <v>564480.27</v>
      </c>
      <c r="M112" s="901">
        <v>1</v>
      </c>
      <c r="N112" s="901">
        <f t="shared" si="3"/>
        <v>0.99943128690101879</v>
      </c>
      <c r="O112" s="900" t="s">
        <v>7483</v>
      </c>
    </row>
    <row r="113" spans="1:15" ht="33" customHeight="1" x14ac:dyDescent="0.25">
      <c r="A113" s="906">
        <v>556</v>
      </c>
      <c r="B113" s="905" t="s">
        <v>7606</v>
      </c>
      <c r="C113" s="905" t="s">
        <v>1114</v>
      </c>
      <c r="D113" s="904" t="s">
        <v>8011</v>
      </c>
      <c r="E113" s="1092" t="s">
        <v>11837</v>
      </c>
      <c r="F113" s="903">
        <v>43091</v>
      </c>
      <c r="G113" s="903">
        <v>43150</v>
      </c>
      <c r="H113" s="1087" t="s">
        <v>12028</v>
      </c>
      <c r="I113" s="1087" t="s">
        <v>11811</v>
      </c>
      <c r="J113" s="902">
        <v>419547.76</v>
      </c>
      <c r="K113" s="902">
        <v>0</v>
      </c>
      <c r="L113" s="902">
        <f>125864.33+233954.07+59605.64</f>
        <v>419424.04000000004</v>
      </c>
      <c r="M113" s="901">
        <v>1</v>
      </c>
      <c r="N113" s="901">
        <f t="shared" si="3"/>
        <v>0.99970511104623705</v>
      </c>
      <c r="O113" s="900" t="s">
        <v>7483</v>
      </c>
    </row>
    <row r="114" spans="1:15" ht="33" customHeight="1" x14ac:dyDescent="0.25">
      <c r="A114" s="906">
        <v>557</v>
      </c>
      <c r="B114" s="905" t="s">
        <v>7606</v>
      </c>
      <c r="C114" s="905" t="s">
        <v>1114</v>
      </c>
      <c r="D114" s="904" t="s">
        <v>8910</v>
      </c>
      <c r="E114" s="1092" t="s">
        <v>12123</v>
      </c>
      <c r="F114" s="903">
        <v>43091</v>
      </c>
      <c r="G114" s="903">
        <v>43150</v>
      </c>
      <c r="H114" s="1087" t="s">
        <v>12029</v>
      </c>
      <c r="I114" s="1087" t="s">
        <v>11811</v>
      </c>
      <c r="J114" s="902">
        <v>688238.3</v>
      </c>
      <c r="K114" s="902">
        <v>0</v>
      </c>
      <c r="L114" s="902">
        <f>206471.49+468371.65</f>
        <v>674843.14</v>
      </c>
      <c r="M114" s="901">
        <v>1</v>
      </c>
      <c r="N114" s="901">
        <f t="shared" si="3"/>
        <v>0.98053703201347553</v>
      </c>
      <c r="O114" s="900" t="s">
        <v>7483</v>
      </c>
    </row>
    <row r="115" spans="1:15" ht="33" customHeight="1" x14ac:dyDescent="0.25">
      <c r="A115" s="906">
        <v>558</v>
      </c>
      <c r="B115" s="905" t="s">
        <v>7606</v>
      </c>
      <c r="C115" s="905" t="s">
        <v>1114</v>
      </c>
      <c r="D115" s="904" t="s">
        <v>8909</v>
      </c>
      <c r="E115" s="1092" t="s">
        <v>11838</v>
      </c>
      <c r="F115" s="903">
        <v>43456</v>
      </c>
      <c r="G115" s="903">
        <v>43150</v>
      </c>
      <c r="H115" s="1087" t="s">
        <v>10341</v>
      </c>
      <c r="I115" s="1087" t="s">
        <v>11811</v>
      </c>
      <c r="J115" s="902">
        <v>410435.83</v>
      </c>
      <c r="K115" s="902">
        <v>0</v>
      </c>
      <c r="L115" s="902">
        <v>404428.85</v>
      </c>
      <c r="M115" s="901">
        <v>1</v>
      </c>
      <c r="N115" s="901">
        <f t="shared" si="3"/>
        <v>0.98536438692499129</v>
      </c>
      <c r="O115" s="900" t="s">
        <v>7483</v>
      </c>
    </row>
    <row r="116" spans="1:15" ht="33" customHeight="1" x14ac:dyDescent="0.25">
      <c r="A116" s="906">
        <v>559</v>
      </c>
      <c r="B116" s="905" t="s">
        <v>7606</v>
      </c>
      <c r="C116" s="905" t="s">
        <v>1114</v>
      </c>
      <c r="D116" s="904" t="s">
        <v>8020</v>
      </c>
      <c r="E116" s="1092" t="s">
        <v>11839</v>
      </c>
      <c r="F116" s="903">
        <v>43134</v>
      </c>
      <c r="G116" s="903">
        <v>43193</v>
      </c>
      <c r="H116" s="1087" t="s">
        <v>12027</v>
      </c>
      <c r="I116" s="1087" t="s">
        <v>11811</v>
      </c>
      <c r="J116" s="902">
        <v>522621.64</v>
      </c>
      <c r="K116" s="902">
        <v>0</v>
      </c>
      <c r="L116" s="902">
        <f>156786.49+347629.84</f>
        <v>504416.33</v>
      </c>
      <c r="M116" s="901">
        <v>1</v>
      </c>
      <c r="N116" s="901">
        <f t="shared" si="3"/>
        <v>0.9651654110610498</v>
      </c>
      <c r="O116" s="900" t="s">
        <v>7483</v>
      </c>
    </row>
    <row r="117" spans="1:15" ht="33" customHeight="1" x14ac:dyDescent="0.25">
      <c r="A117" s="906">
        <v>560</v>
      </c>
      <c r="B117" s="905" t="s">
        <v>7606</v>
      </c>
      <c r="C117" s="905" t="s">
        <v>1114</v>
      </c>
      <c r="D117" s="904" t="s">
        <v>8908</v>
      </c>
      <c r="E117" s="1092" t="s">
        <v>12173</v>
      </c>
      <c r="F117" s="903">
        <v>43123</v>
      </c>
      <c r="G117" s="903">
        <v>43182</v>
      </c>
      <c r="H117" s="1087" t="s">
        <v>12023</v>
      </c>
      <c r="I117" s="1087" t="s">
        <v>12085</v>
      </c>
      <c r="J117" s="902">
        <v>1489411.31</v>
      </c>
      <c r="K117" s="902">
        <v>0</v>
      </c>
      <c r="L117" s="902">
        <f>446823.39+1011339.96+21628.05</f>
        <v>1479791.4000000001</v>
      </c>
      <c r="M117" s="901">
        <v>1</v>
      </c>
      <c r="N117" s="901">
        <f t="shared" si="3"/>
        <v>0.99354113270430322</v>
      </c>
      <c r="O117" s="900" t="s">
        <v>7483</v>
      </c>
    </row>
    <row r="118" spans="1:15" ht="33" customHeight="1" x14ac:dyDescent="0.25">
      <c r="A118" s="906">
        <v>561</v>
      </c>
      <c r="B118" s="905" t="s">
        <v>7606</v>
      </c>
      <c r="C118" s="905" t="s">
        <v>1114</v>
      </c>
      <c r="D118" s="904" t="s">
        <v>8907</v>
      </c>
      <c r="E118" s="1092" t="s">
        <v>12174</v>
      </c>
      <c r="F118" s="903">
        <v>43127</v>
      </c>
      <c r="G118" s="903">
        <v>43186</v>
      </c>
      <c r="H118" s="1087" t="s">
        <v>12030</v>
      </c>
      <c r="I118" s="1087" t="s">
        <v>12085</v>
      </c>
      <c r="J118" s="902">
        <v>1197786.3600000001</v>
      </c>
      <c r="K118" s="902">
        <v>0</v>
      </c>
      <c r="L118" s="902">
        <f>359335.91+240600.6+554110.99</f>
        <v>1154047.5</v>
      </c>
      <c r="M118" s="901">
        <v>1</v>
      </c>
      <c r="N118" s="901">
        <f t="shared" si="3"/>
        <v>0.96348358817510649</v>
      </c>
      <c r="O118" s="900" t="s">
        <v>7483</v>
      </c>
    </row>
    <row r="119" spans="1:15" ht="33" customHeight="1" x14ac:dyDescent="0.25">
      <c r="A119" s="906">
        <v>562</v>
      </c>
      <c r="B119" s="905" t="s">
        <v>7606</v>
      </c>
      <c r="C119" s="905" t="s">
        <v>1114</v>
      </c>
      <c r="D119" s="904" t="s">
        <v>8906</v>
      </c>
      <c r="E119" s="1092" t="s">
        <v>11840</v>
      </c>
      <c r="F119" s="903">
        <v>43091</v>
      </c>
      <c r="G119" s="903">
        <v>43150</v>
      </c>
      <c r="H119" s="1087" t="s">
        <v>12031</v>
      </c>
      <c r="I119" s="1087" t="s">
        <v>12085</v>
      </c>
      <c r="J119" s="902">
        <v>2934040.94</v>
      </c>
      <c r="K119" s="902">
        <v>0</v>
      </c>
      <c r="L119" s="902">
        <v>2818739.09</v>
      </c>
      <c r="M119" s="901">
        <v>1</v>
      </c>
      <c r="N119" s="901">
        <f t="shared" si="3"/>
        <v>0.96070203096757056</v>
      </c>
      <c r="O119" s="900" t="s">
        <v>7483</v>
      </c>
    </row>
    <row r="120" spans="1:15" ht="33" customHeight="1" x14ac:dyDescent="0.25">
      <c r="A120" s="906">
        <v>563</v>
      </c>
      <c r="B120" s="905" t="s">
        <v>7606</v>
      </c>
      <c r="C120" s="905" t="s">
        <v>1114</v>
      </c>
      <c r="D120" s="904" t="s">
        <v>8905</v>
      </c>
      <c r="E120" s="1092" t="s">
        <v>11841</v>
      </c>
      <c r="F120" s="903">
        <v>43127</v>
      </c>
      <c r="G120" s="903">
        <v>43186</v>
      </c>
      <c r="H120" s="1087" t="s">
        <v>12023</v>
      </c>
      <c r="I120" s="1087" t="s">
        <v>12085</v>
      </c>
      <c r="J120" s="902">
        <v>2171401.59</v>
      </c>
      <c r="K120" s="902">
        <v>0</v>
      </c>
      <c r="L120" s="902">
        <f>651420.48+1447581.95+72399.16</f>
        <v>2171401.59</v>
      </c>
      <c r="M120" s="901">
        <v>1</v>
      </c>
      <c r="N120" s="901">
        <f t="shared" si="3"/>
        <v>1</v>
      </c>
      <c r="O120" s="900" t="s">
        <v>7483</v>
      </c>
    </row>
    <row r="121" spans="1:15" ht="33" customHeight="1" x14ac:dyDescent="0.25">
      <c r="A121" s="906">
        <v>566</v>
      </c>
      <c r="B121" s="905" t="s">
        <v>7607</v>
      </c>
      <c r="C121" s="905" t="s">
        <v>8007</v>
      </c>
      <c r="D121" s="904" t="s">
        <v>8904</v>
      </c>
      <c r="E121" s="1092" t="s">
        <v>11842</v>
      </c>
      <c r="F121" s="903">
        <v>43099</v>
      </c>
      <c r="G121" s="903">
        <v>43178</v>
      </c>
      <c r="H121" s="1087" t="s">
        <v>12032</v>
      </c>
      <c r="I121" s="1087" t="s">
        <v>12085</v>
      </c>
      <c r="J121" s="902">
        <v>3439235.47</v>
      </c>
      <c r="K121" s="902">
        <v>0</v>
      </c>
      <c r="L121" s="902">
        <f>1031770.64+1125226.68+1077952.21+204093.65</f>
        <v>3439043.1799999997</v>
      </c>
      <c r="M121" s="901">
        <v>1</v>
      </c>
      <c r="N121" s="901">
        <f t="shared" si="3"/>
        <v>0.99994408931819945</v>
      </c>
      <c r="O121" s="900" t="s">
        <v>7483</v>
      </c>
    </row>
    <row r="122" spans="1:15" ht="33" customHeight="1" x14ac:dyDescent="0.25">
      <c r="A122" s="906">
        <v>567</v>
      </c>
      <c r="B122" s="905" t="s">
        <v>7607</v>
      </c>
      <c r="C122" s="905" t="s">
        <v>1114</v>
      </c>
      <c r="D122" s="904" t="s">
        <v>8903</v>
      </c>
      <c r="E122" s="1092" t="s">
        <v>11843</v>
      </c>
      <c r="F122" s="903">
        <v>43099</v>
      </c>
      <c r="G122" s="903">
        <v>43158</v>
      </c>
      <c r="H122" s="1087" t="s">
        <v>12033</v>
      </c>
      <c r="I122" s="1087" t="s">
        <v>12085</v>
      </c>
      <c r="J122" s="902">
        <v>1378495.78</v>
      </c>
      <c r="K122" s="902">
        <v>0</v>
      </c>
      <c r="L122" s="902">
        <f>413548.73+907311.54+56600.38</f>
        <v>1377460.65</v>
      </c>
      <c r="M122" s="901">
        <v>1</v>
      </c>
      <c r="N122" s="901">
        <f t="shared" si="3"/>
        <v>0.99924908729136619</v>
      </c>
      <c r="O122" s="900" t="s">
        <v>7483</v>
      </c>
    </row>
    <row r="123" spans="1:15" ht="33" customHeight="1" x14ac:dyDescent="0.25">
      <c r="A123" s="906">
        <v>568</v>
      </c>
      <c r="B123" s="905" t="s">
        <v>7607</v>
      </c>
      <c r="C123" s="905" t="s">
        <v>8007</v>
      </c>
      <c r="D123" s="904" t="s">
        <v>8902</v>
      </c>
      <c r="E123" s="1092" t="s">
        <v>11844</v>
      </c>
      <c r="F123" s="903">
        <v>43325</v>
      </c>
      <c r="G123" s="903">
        <v>43384</v>
      </c>
      <c r="H123" s="1087" t="s">
        <v>12018</v>
      </c>
      <c r="I123" s="1087" t="s">
        <v>12085</v>
      </c>
      <c r="J123" s="902">
        <v>1178610.6100000001</v>
      </c>
      <c r="K123" s="902">
        <v>0</v>
      </c>
      <c r="L123" s="902">
        <f>353583.18+825027.43</f>
        <v>1178610.6100000001</v>
      </c>
      <c r="M123" s="901">
        <v>1</v>
      </c>
      <c r="N123" s="901">
        <f t="shared" si="3"/>
        <v>1</v>
      </c>
      <c r="O123" s="900" t="s">
        <v>7483</v>
      </c>
    </row>
    <row r="124" spans="1:15" ht="33" customHeight="1" x14ac:dyDescent="0.25">
      <c r="A124" s="906">
        <v>569</v>
      </c>
      <c r="B124" s="905" t="s">
        <v>7607</v>
      </c>
      <c r="C124" s="905" t="s">
        <v>7998</v>
      </c>
      <c r="D124" s="904" t="s">
        <v>8901</v>
      </c>
      <c r="E124" s="1092" t="s">
        <v>11845</v>
      </c>
      <c r="F124" s="903">
        <v>43132</v>
      </c>
      <c r="G124" s="903">
        <v>43191</v>
      </c>
      <c r="H124" s="1087" t="s">
        <v>12034</v>
      </c>
      <c r="I124" s="1087" t="s">
        <v>12085</v>
      </c>
      <c r="J124" s="902">
        <v>2327740.65</v>
      </c>
      <c r="K124" s="902">
        <v>0</v>
      </c>
      <c r="L124" s="902">
        <f>698322.19+281223.9+1123667.16+224524.51</f>
        <v>2327737.7599999998</v>
      </c>
      <c r="M124" s="901">
        <v>1</v>
      </c>
      <c r="N124" s="901">
        <f t="shared" ref="N124:N155" si="4">(L124+K124)/J124</f>
        <v>0.9999987584527511</v>
      </c>
      <c r="O124" s="900" t="s">
        <v>7483</v>
      </c>
    </row>
    <row r="125" spans="1:15" ht="33" customHeight="1" x14ac:dyDescent="0.25">
      <c r="A125" s="906">
        <v>570</v>
      </c>
      <c r="B125" s="905" t="s">
        <v>7607</v>
      </c>
      <c r="C125" s="905" t="s">
        <v>7998</v>
      </c>
      <c r="D125" s="904" t="s">
        <v>8900</v>
      </c>
      <c r="E125" s="1092" t="s">
        <v>11846</v>
      </c>
      <c r="F125" s="903">
        <v>43132</v>
      </c>
      <c r="G125" s="903">
        <v>43191</v>
      </c>
      <c r="H125" s="1087" t="s">
        <v>12035</v>
      </c>
      <c r="I125" s="1087" t="s">
        <v>12085</v>
      </c>
      <c r="J125" s="902">
        <v>2327740.65</v>
      </c>
      <c r="K125" s="902">
        <v>0</v>
      </c>
      <c r="L125" s="902">
        <f>698322.19+283431.99+1223841.45+122145.02</f>
        <v>2327740.65</v>
      </c>
      <c r="M125" s="901">
        <v>1</v>
      </c>
      <c r="N125" s="901">
        <f t="shared" si="4"/>
        <v>1</v>
      </c>
      <c r="O125" s="900" t="s">
        <v>7483</v>
      </c>
    </row>
    <row r="126" spans="1:15" ht="33" customHeight="1" x14ac:dyDescent="0.25">
      <c r="A126" s="906">
        <v>710</v>
      </c>
      <c r="B126" s="905" t="s">
        <v>2612</v>
      </c>
      <c r="C126" s="905" t="s">
        <v>8899</v>
      </c>
      <c r="D126" s="904" t="s">
        <v>8898</v>
      </c>
      <c r="E126" s="1092" t="s">
        <v>12088</v>
      </c>
      <c r="F126" s="903">
        <v>43168</v>
      </c>
      <c r="G126" s="903">
        <v>43197</v>
      </c>
      <c r="H126" s="1087" t="s">
        <v>12089</v>
      </c>
      <c r="I126" s="1087" t="s">
        <v>11811</v>
      </c>
      <c r="J126" s="902">
        <v>164341.20000000001</v>
      </c>
      <c r="K126" s="902">
        <v>0</v>
      </c>
      <c r="L126" s="902">
        <f>49302.35+82757.2+30275.44</f>
        <v>162334.99</v>
      </c>
      <c r="M126" s="901">
        <v>1</v>
      </c>
      <c r="N126" s="901">
        <f t="shared" si="4"/>
        <v>0.98779240993737405</v>
      </c>
      <c r="O126" s="900" t="s">
        <v>7483</v>
      </c>
    </row>
    <row r="127" spans="1:15" ht="33" customHeight="1" x14ac:dyDescent="0.25">
      <c r="A127" s="906">
        <v>711</v>
      </c>
      <c r="B127" s="905" t="s">
        <v>2612</v>
      </c>
      <c r="C127" s="905" t="s">
        <v>8897</v>
      </c>
      <c r="D127" s="904" t="s">
        <v>8896</v>
      </c>
      <c r="E127" s="1092" t="s">
        <v>12091</v>
      </c>
      <c r="F127" s="903">
        <v>43168</v>
      </c>
      <c r="G127" s="903">
        <v>43197</v>
      </c>
      <c r="H127" s="1087" t="s">
        <v>12090</v>
      </c>
      <c r="I127" s="1087" t="s">
        <v>11811</v>
      </c>
      <c r="J127" s="902">
        <v>238749.23</v>
      </c>
      <c r="K127" s="902">
        <v>0</v>
      </c>
      <c r="L127" s="902">
        <v>238057.51</v>
      </c>
      <c r="M127" s="901">
        <v>1</v>
      </c>
      <c r="N127" s="901">
        <f t="shared" si="4"/>
        <v>0.99710273411143568</v>
      </c>
      <c r="O127" s="900" t="s">
        <v>7483</v>
      </c>
    </row>
    <row r="128" spans="1:15" ht="33" customHeight="1" x14ac:dyDescent="0.25">
      <c r="A128" s="906">
        <v>789</v>
      </c>
      <c r="B128" s="905" t="s">
        <v>2612</v>
      </c>
      <c r="C128" s="905" t="s">
        <v>8895</v>
      </c>
      <c r="D128" s="904" t="s">
        <v>8894</v>
      </c>
      <c r="E128" s="1092" t="s">
        <v>12092</v>
      </c>
      <c r="F128" s="903">
        <v>43264</v>
      </c>
      <c r="G128" s="903">
        <v>43263</v>
      </c>
      <c r="H128" s="1087" t="s">
        <v>10341</v>
      </c>
      <c r="I128" s="1087" t="s">
        <v>11811</v>
      </c>
      <c r="J128" s="902">
        <f>170941.48*1.16</f>
        <v>198292.11679999999</v>
      </c>
      <c r="K128" s="902">
        <v>0</v>
      </c>
      <c r="L128" s="902">
        <v>198292.12</v>
      </c>
      <c r="M128" s="901">
        <v>1</v>
      </c>
      <c r="N128" s="901">
        <f t="shared" si="4"/>
        <v>1.0000000161378075</v>
      </c>
      <c r="O128" s="900" t="s">
        <v>7483</v>
      </c>
    </row>
    <row r="129" spans="1:15" ht="33" customHeight="1" x14ac:dyDescent="0.25">
      <c r="A129" s="906">
        <v>744</v>
      </c>
      <c r="B129" s="905" t="s">
        <v>8867</v>
      </c>
      <c r="C129" s="905" t="s">
        <v>7972</v>
      </c>
      <c r="D129" s="904" t="s">
        <v>8885</v>
      </c>
      <c r="E129" s="1092" t="s">
        <v>11847</v>
      </c>
      <c r="F129" s="903">
        <v>43270</v>
      </c>
      <c r="G129" s="903">
        <v>43359</v>
      </c>
      <c r="H129" s="1087" t="s">
        <v>12036</v>
      </c>
      <c r="I129" s="1087" t="s">
        <v>12086</v>
      </c>
      <c r="J129" s="902">
        <v>4432296.33</v>
      </c>
      <c r="K129" s="902">
        <v>0</v>
      </c>
      <c r="L129" s="902">
        <f>1231123.43+1350225.72+914892.52+928782.33</f>
        <v>4425024</v>
      </c>
      <c r="M129" s="901">
        <v>1</v>
      </c>
      <c r="N129" s="901">
        <f t="shared" si="4"/>
        <v>0.99835924102123375</v>
      </c>
      <c r="O129" s="900" t="s">
        <v>7483</v>
      </c>
    </row>
    <row r="130" spans="1:15" ht="33" customHeight="1" x14ac:dyDescent="0.25">
      <c r="A130" s="906">
        <v>771</v>
      </c>
      <c r="B130" s="905" t="s">
        <v>8867</v>
      </c>
      <c r="C130" s="905" t="s">
        <v>8893</v>
      </c>
      <c r="D130" s="904" t="s">
        <v>1113</v>
      </c>
      <c r="E130" s="1092" t="s">
        <v>11848</v>
      </c>
      <c r="F130" s="903">
        <v>43277</v>
      </c>
      <c r="G130" s="903">
        <v>43336</v>
      </c>
      <c r="H130" s="1087" t="s">
        <v>12037</v>
      </c>
      <c r="I130" s="1087" t="s">
        <v>12085</v>
      </c>
      <c r="J130" s="902">
        <v>1245134.3999999999</v>
      </c>
      <c r="K130" s="902">
        <v>0</v>
      </c>
      <c r="L130" s="902">
        <f>373540.32+860477.6</f>
        <v>1234017.92</v>
      </c>
      <c r="M130" s="901">
        <v>1</v>
      </c>
      <c r="N130" s="901">
        <f t="shared" si="4"/>
        <v>0.99107206418841209</v>
      </c>
      <c r="O130" s="900" t="s">
        <v>7483</v>
      </c>
    </row>
    <row r="131" spans="1:15" ht="33" customHeight="1" x14ac:dyDescent="0.25">
      <c r="A131" s="906">
        <v>772</v>
      </c>
      <c r="B131" s="905" t="s">
        <v>8867</v>
      </c>
      <c r="C131" s="905" t="s">
        <v>8893</v>
      </c>
      <c r="D131" s="904" t="s">
        <v>1113</v>
      </c>
      <c r="E131" s="1092" t="s">
        <v>11849</v>
      </c>
      <c r="F131" s="903">
        <v>43277</v>
      </c>
      <c r="G131" s="903">
        <v>43336</v>
      </c>
      <c r="H131" s="1087" t="s">
        <v>12037</v>
      </c>
      <c r="I131" s="1087" t="s">
        <v>12085</v>
      </c>
      <c r="J131" s="902">
        <v>1216549.6100000001</v>
      </c>
      <c r="K131" s="902">
        <v>0</v>
      </c>
      <c r="L131" s="902">
        <f>364964.88+831574.93</f>
        <v>1196539.81</v>
      </c>
      <c r="M131" s="901">
        <v>1</v>
      </c>
      <c r="N131" s="901">
        <f t="shared" si="4"/>
        <v>0.98355200656387531</v>
      </c>
      <c r="O131" s="900" t="s">
        <v>7483</v>
      </c>
    </row>
    <row r="132" spans="1:15" ht="33" customHeight="1" x14ac:dyDescent="0.25">
      <c r="A132" s="906">
        <v>773</v>
      </c>
      <c r="B132" s="905" t="s">
        <v>8867</v>
      </c>
      <c r="C132" s="905" t="s">
        <v>8893</v>
      </c>
      <c r="D132" s="904" t="s">
        <v>1113</v>
      </c>
      <c r="E132" s="1092" t="s">
        <v>11850</v>
      </c>
      <c r="F132" s="903">
        <v>43277</v>
      </c>
      <c r="G132" s="903">
        <v>43336</v>
      </c>
      <c r="H132" s="1087" t="s">
        <v>12037</v>
      </c>
      <c r="I132" s="1087" t="s">
        <v>12085</v>
      </c>
      <c r="J132" s="902">
        <v>863934.62</v>
      </c>
      <c r="K132" s="902">
        <v>0</v>
      </c>
      <c r="L132" s="902">
        <f>259180.39+552188.15</f>
        <v>811368.54</v>
      </c>
      <c r="M132" s="901">
        <v>1</v>
      </c>
      <c r="N132" s="901">
        <f t="shared" si="4"/>
        <v>0.9391550254115294</v>
      </c>
      <c r="O132" s="900" t="s">
        <v>7483</v>
      </c>
    </row>
    <row r="133" spans="1:15" ht="33" customHeight="1" x14ac:dyDescent="0.25">
      <c r="A133" s="906">
        <v>774</v>
      </c>
      <c r="B133" s="905" t="s">
        <v>8867</v>
      </c>
      <c r="C133" s="905" t="s">
        <v>8893</v>
      </c>
      <c r="D133" s="904" t="s">
        <v>1113</v>
      </c>
      <c r="E133" s="1092" t="s">
        <v>11851</v>
      </c>
      <c r="F133" s="903">
        <v>43277</v>
      </c>
      <c r="G133" s="903">
        <v>43336</v>
      </c>
      <c r="H133" s="1087" t="s">
        <v>12037</v>
      </c>
      <c r="I133" s="1087" t="s">
        <v>12085</v>
      </c>
      <c r="J133" s="902">
        <v>1192293.5</v>
      </c>
      <c r="K133" s="902">
        <v>0</v>
      </c>
      <c r="L133" s="902">
        <f>357688.05+790640.98</f>
        <v>1148329.03</v>
      </c>
      <c r="M133" s="901">
        <v>1</v>
      </c>
      <c r="N133" s="901">
        <f t="shared" si="4"/>
        <v>0.96312613463044128</v>
      </c>
      <c r="O133" s="900" t="s">
        <v>7483</v>
      </c>
    </row>
    <row r="134" spans="1:15" ht="33" customHeight="1" x14ac:dyDescent="0.25">
      <c r="A134" s="906">
        <v>775</v>
      </c>
      <c r="B134" s="905" t="s">
        <v>8867</v>
      </c>
      <c r="C134" s="905" t="s">
        <v>8893</v>
      </c>
      <c r="D134" s="904" t="s">
        <v>1113</v>
      </c>
      <c r="E134" s="1092" t="s">
        <v>11852</v>
      </c>
      <c r="F134" s="903">
        <v>43277</v>
      </c>
      <c r="G134" s="903">
        <v>43336</v>
      </c>
      <c r="H134" s="1087" t="s">
        <v>12037</v>
      </c>
      <c r="I134" s="1087" t="s">
        <v>12085</v>
      </c>
      <c r="J134" s="902">
        <v>979017.68</v>
      </c>
      <c r="K134" s="902">
        <v>0</v>
      </c>
      <c r="L134" s="902">
        <f>293705.31+685311.1</f>
        <v>979016.40999999992</v>
      </c>
      <c r="M134" s="901">
        <v>1</v>
      </c>
      <c r="N134" s="901">
        <f t="shared" si="4"/>
        <v>0.99999870278134284</v>
      </c>
      <c r="O134" s="900" t="s">
        <v>7483</v>
      </c>
    </row>
    <row r="135" spans="1:15" ht="33" customHeight="1" x14ac:dyDescent="0.25">
      <c r="A135" s="906">
        <v>776</v>
      </c>
      <c r="B135" s="905" t="s">
        <v>8867</v>
      </c>
      <c r="C135" s="905" t="s">
        <v>8871</v>
      </c>
      <c r="D135" s="904" t="s">
        <v>8892</v>
      </c>
      <c r="E135" s="1092" t="s">
        <v>11853</v>
      </c>
      <c r="F135" s="903">
        <v>43277</v>
      </c>
      <c r="G135" s="903">
        <v>43366</v>
      </c>
      <c r="H135" s="1087" t="s">
        <v>12038</v>
      </c>
      <c r="I135" s="1087" t="s">
        <v>12085</v>
      </c>
      <c r="J135" s="902">
        <v>1272953.49</v>
      </c>
      <c r="K135" s="902">
        <v>0</v>
      </c>
      <c r="L135" s="902">
        <f>381886.05+619504.61+247799.4</f>
        <v>1249190.0599999998</v>
      </c>
      <c r="M135" s="901">
        <v>1</v>
      </c>
      <c r="N135" s="901">
        <f t="shared" si="4"/>
        <v>0.98133205165257043</v>
      </c>
      <c r="O135" s="900" t="s">
        <v>7483</v>
      </c>
    </row>
    <row r="136" spans="1:15" ht="33" customHeight="1" x14ac:dyDescent="0.25">
      <c r="A136" s="906">
        <v>777</v>
      </c>
      <c r="B136" s="905" t="s">
        <v>8867</v>
      </c>
      <c r="C136" s="905" t="s">
        <v>8891</v>
      </c>
      <c r="D136" s="904" t="s">
        <v>8890</v>
      </c>
      <c r="E136" s="1092" t="s">
        <v>11854</v>
      </c>
      <c r="F136" s="903">
        <v>43276</v>
      </c>
      <c r="G136" s="903">
        <v>43365</v>
      </c>
      <c r="H136" s="1087" t="s">
        <v>11977</v>
      </c>
      <c r="I136" s="1087" t="s">
        <v>12085</v>
      </c>
      <c r="J136" s="902">
        <v>893958.9</v>
      </c>
      <c r="K136" s="902">
        <v>0</v>
      </c>
      <c r="L136" s="902">
        <f>268187.67+625765.5</f>
        <v>893953.16999999993</v>
      </c>
      <c r="M136" s="901">
        <v>1</v>
      </c>
      <c r="N136" s="901">
        <f t="shared" si="4"/>
        <v>0.99999359030935309</v>
      </c>
      <c r="O136" s="900" t="s">
        <v>7483</v>
      </c>
    </row>
    <row r="137" spans="1:15" ht="33" customHeight="1" x14ac:dyDescent="0.25">
      <c r="A137" s="906">
        <v>778</v>
      </c>
      <c r="B137" s="905" t="s">
        <v>8867</v>
      </c>
      <c r="C137" s="905" t="s">
        <v>8889</v>
      </c>
      <c r="D137" s="904" t="s">
        <v>7980</v>
      </c>
      <c r="E137" s="1092" t="s">
        <v>11855</v>
      </c>
      <c r="F137" s="903">
        <v>43276</v>
      </c>
      <c r="G137" s="903">
        <v>43365</v>
      </c>
      <c r="H137" s="1087" t="s">
        <v>11977</v>
      </c>
      <c r="I137" s="1087" t="s">
        <v>12085</v>
      </c>
      <c r="J137" s="902">
        <v>1021253.05</v>
      </c>
      <c r="K137" s="902">
        <v>0</v>
      </c>
      <c r="L137" s="902">
        <f>306375.92+714811.41</f>
        <v>1021187.3300000001</v>
      </c>
      <c r="M137" s="901">
        <v>1</v>
      </c>
      <c r="N137" s="901">
        <f t="shared" si="4"/>
        <v>0.99993564768301058</v>
      </c>
      <c r="O137" s="900" t="s">
        <v>7483</v>
      </c>
    </row>
    <row r="138" spans="1:15" ht="33" customHeight="1" x14ac:dyDescent="0.25">
      <c r="A138" s="906">
        <v>779</v>
      </c>
      <c r="B138" s="905" t="s">
        <v>8867</v>
      </c>
      <c r="C138" s="905" t="s">
        <v>2617</v>
      </c>
      <c r="D138" s="904" t="s">
        <v>8888</v>
      </c>
      <c r="E138" s="1092" t="s">
        <v>12124</v>
      </c>
      <c r="F138" s="903">
        <v>43276</v>
      </c>
      <c r="G138" s="903">
        <v>43365</v>
      </c>
      <c r="H138" s="1087" t="s">
        <v>12039</v>
      </c>
      <c r="I138" s="1087" t="s">
        <v>12085</v>
      </c>
      <c r="J138" s="902">
        <v>1145886.99</v>
      </c>
      <c r="K138" s="902">
        <v>0</v>
      </c>
      <c r="L138" s="902">
        <f>343766.09+571922.91+202526.77</f>
        <v>1118215.77</v>
      </c>
      <c r="M138" s="901">
        <v>1</v>
      </c>
      <c r="N138" s="901">
        <f t="shared" si="4"/>
        <v>0.97585170244406039</v>
      </c>
      <c r="O138" s="900" t="s">
        <v>7483</v>
      </c>
    </row>
    <row r="139" spans="1:15" ht="33" customHeight="1" x14ac:dyDescent="0.25">
      <c r="A139" s="906">
        <v>800</v>
      </c>
      <c r="B139" s="905" t="s">
        <v>8867</v>
      </c>
      <c r="C139" s="905" t="s">
        <v>8871</v>
      </c>
      <c r="D139" s="904" t="s">
        <v>8887</v>
      </c>
      <c r="E139" s="1092" t="s">
        <v>11856</v>
      </c>
      <c r="F139" s="903">
        <v>43322</v>
      </c>
      <c r="G139" s="903">
        <v>43381</v>
      </c>
      <c r="H139" s="1087" t="s">
        <v>12040</v>
      </c>
      <c r="I139" s="1087" t="s">
        <v>12085</v>
      </c>
      <c r="J139" s="902">
        <v>1269977.8600000001</v>
      </c>
      <c r="K139" s="902">
        <v>0</v>
      </c>
      <c r="L139" s="902">
        <f>380993.36+536861.04+209001.57</f>
        <v>1126855.97</v>
      </c>
      <c r="M139" s="901">
        <v>1</v>
      </c>
      <c r="N139" s="901">
        <f t="shared" si="4"/>
        <v>0.88730363378145816</v>
      </c>
      <c r="O139" s="900" t="s">
        <v>7483</v>
      </c>
    </row>
    <row r="140" spans="1:15" ht="33" customHeight="1" x14ac:dyDescent="0.25">
      <c r="A140" s="906">
        <v>801</v>
      </c>
      <c r="B140" s="905" t="s">
        <v>8867</v>
      </c>
      <c r="C140" s="905" t="s">
        <v>8871</v>
      </c>
      <c r="D140" s="904" t="s">
        <v>7976</v>
      </c>
      <c r="E140" s="1092" t="s">
        <v>11857</v>
      </c>
      <c r="F140" s="903">
        <v>43322</v>
      </c>
      <c r="G140" s="903">
        <v>43381</v>
      </c>
      <c r="H140" s="1087" t="s">
        <v>12041</v>
      </c>
      <c r="I140" s="1087" t="s">
        <v>12085</v>
      </c>
      <c r="J140" s="902">
        <v>1273257.4099999999</v>
      </c>
      <c r="K140" s="902">
        <v>0</v>
      </c>
      <c r="L140" s="902">
        <f>381977.22+179267.85+176955.23+514072.72</f>
        <v>1252273.02</v>
      </c>
      <c r="M140" s="901">
        <v>1</v>
      </c>
      <c r="N140" s="901">
        <f t="shared" si="4"/>
        <v>0.98351912988277845</v>
      </c>
      <c r="O140" s="900" t="s">
        <v>7483</v>
      </c>
    </row>
    <row r="141" spans="1:15" ht="33" customHeight="1" x14ac:dyDescent="0.25">
      <c r="A141" s="906">
        <v>802</v>
      </c>
      <c r="B141" s="905" t="s">
        <v>8867</v>
      </c>
      <c r="C141" s="905" t="s">
        <v>8871</v>
      </c>
      <c r="D141" s="904" t="s">
        <v>8885</v>
      </c>
      <c r="E141" s="1092" t="s">
        <v>11858</v>
      </c>
      <c r="F141" s="903">
        <v>43333</v>
      </c>
      <c r="G141" s="903">
        <v>43392</v>
      </c>
      <c r="H141" s="1087" t="s">
        <v>11988</v>
      </c>
      <c r="I141" s="1087" t="s">
        <v>12085</v>
      </c>
      <c r="J141" s="902">
        <v>1273221.1000000001</v>
      </c>
      <c r="K141" s="902">
        <v>0</v>
      </c>
      <c r="L141" s="902">
        <f>381966.33+265242.12+583418.37</f>
        <v>1230626.8199999998</v>
      </c>
      <c r="M141" s="901">
        <v>1</v>
      </c>
      <c r="N141" s="901">
        <f t="shared" si="4"/>
        <v>0.96654604608736039</v>
      </c>
      <c r="O141" s="900" t="s">
        <v>7483</v>
      </c>
    </row>
    <row r="142" spans="1:15" ht="33" customHeight="1" x14ac:dyDescent="0.25">
      <c r="A142" s="906">
        <v>803</v>
      </c>
      <c r="B142" s="905" t="s">
        <v>8867</v>
      </c>
      <c r="C142" s="905" t="s">
        <v>8871</v>
      </c>
      <c r="D142" s="904" t="s">
        <v>8886</v>
      </c>
      <c r="E142" s="1092" t="s">
        <v>11859</v>
      </c>
      <c r="F142" s="903">
        <v>43320</v>
      </c>
      <c r="G142" s="903">
        <v>43379</v>
      </c>
      <c r="H142" s="1087" t="s">
        <v>12042</v>
      </c>
      <c r="I142" s="1087" t="s">
        <v>12085</v>
      </c>
      <c r="J142" s="902">
        <v>1273465.17</v>
      </c>
      <c r="K142" s="902">
        <v>0</v>
      </c>
      <c r="L142" s="902">
        <f>382039.55+888078.59</f>
        <v>1270118.1399999999</v>
      </c>
      <c r="M142" s="901">
        <v>1</v>
      </c>
      <c r="N142" s="901">
        <f t="shared" si="4"/>
        <v>0.99737171453224749</v>
      </c>
      <c r="O142" s="900" t="s">
        <v>7483</v>
      </c>
    </row>
    <row r="143" spans="1:15" ht="33" customHeight="1" x14ac:dyDescent="0.25">
      <c r="A143" s="906">
        <v>804</v>
      </c>
      <c r="B143" s="905" t="s">
        <v>8867</v>
      </c>
      <c r="C143" s="905" t="s">
        <v>8871</v>
      </c>
      <c r="D143" s="904" t="s">
        <v>8885</v>
      </c>
      <c r="E143" s="1092" t="s">
        <v>11860</v>
      </c>
      <c r="F143" s="903">
        <v>43320</v>
      </c>
      <c r="G143" s="903">
        <v>43379</v>
      </c>
      <c r="H143" s="1087" t="s">
        <v>12004</v>
      </c>
      <c r="I143" s="1087" t="s">
        <v>12085</v>
      </c>
      <c r="J143" s="902">
        <v>1273503.1000000001</v>
      </c>
      <c r="K143" s="902">
        <v>0</v>
      </c>
      <c r="L143" s="902">
        <f>382050.93+889128.13</f>
        <v>1271179.06</v>
      </c>
      <c r="M143" s="901">
        <v>1</v>
      </c>
      <c r="N143" s="901">
        <f t="shared" si="4"/>
        <v>0.99817508100294372</v>
      </c>
      <c r="O143" s="900" t="s">
        <v>7483</v>
      </c>
    </row>
    <row r="144" spans="1:15" ht="33" customHeight="1" x14ac:dyDescent="0.25">
      <c r="A144" s="906">
        <v>805</v>
      </c>
      <c r="B144" s="905" t="s">
        <v>8867</v>
      </c>
      <c r="C144" s="905" t="s">
        <v>8871</v>
      </c>
      <c r="D144" s="904" t="s">
        <v>7980</v>
      </c>
      <c r="E144" s="1092" t="s">
        <v>11861</v>
      </c>
      <c r="F144" s="903">
        <v>43327</v>
      </c>
      <c r="G144" s="903">
        <v>43386</v>
      </c>
      <c r="H144" s="1087" t="s">
        <v>11988</v>
      </c>
      <c r="I144" s="1087" t="s">
        <v>12085</v>
      </c>
      <c r="J144" s="902">
        <v>1272837.72</v>
      </c>
      <c r="K144" s="902">
        <v>0</v>
      </c>
      <c r="L144" s="902">
        <f>381851.32+297214.71+334177.82+232786.06</f>
        <v>1246029.9100000001</v>
      </c>
      <c r="M144" s="901">
        <v>1</v>
      </c>
      <c r="N144" s="901">
        <f t="shared" si="4"/>
        <v>0.9789385484270533</v>
      </c>
      <c r="O144" s="900" t="s">
        <v>7483</v>
      </c>
    </row>
    <row r="145" spans="1:15" ht="33" customHeight="1" x14ac:dyDescent="0.25">
      <c r="A145" s="906">
        <v>806</v>
      </c>
      <c r="B145" s="905" t="s">
        <v>8867</v>
      </c>
      <c r="C145" s="905" t="s">
        <v>8871</v>
      </c>
      <c r="D145" s="904" t="s">
        <v>8884</v>
      </c>
      <c r="E145" s="1092" t="s">
        <v>11862</v>
      </c>
      <c r="F145" s="903">
        <v>43333</v>
      </c>
      <c r="G145" s="903">
        <v>43374</v>
      </c>
      <c r="H145" s="1087" t="s">
        <v>11988</v>
      </c>
      <c r="I145" s="1087" t="s">
        <v>12085</v>
      </c>
      <c r="J145" s="902">
        <v>1272837.72</v>
      </c>
      <c r="K145" s="902">
        <v>0</v>
      </c>
      <c r="L145" s="902">
        <f>381851.32+390921.04+374265.35+96932.44</f>
        <v>1243970.1499999999</v>
      </c>
      <c r="M145" s="901">
        <v>1</v>
      </c>
      <c r="N145" s="901">
        <f t="shared" si="4"/>
        <v>0.97732030600098807</v>
      </c>
      <c r="O145" s="900" t="s">
        <v>7483</v>
      </c>
    </row>
    <row r="146" spans="1:15" ht="33" customHeight="1" x14ac:dyDescent="0.25">
      <c r="A146" s="906">
        <v>807</v>
      </c>
      <c r="B146" s="905" t="s">
        <v>8867</v>
      </c>
      <c r="C146" s="905" t="s">
        <v>8871</v>
      </c>
      <c r="D146" s="904" t="s">
        <v>8883</v>
      </c>
      <c r="E146" s="1092" t="s">
        <v>11863</v>
      </c>
      <c r="F146" s="903">
        <v>43320</v>
      </c>
      <c r="G146" s="903">
        <v>43379</v>
      </c>
      <c r="H146" s="1087" t="s">
        <v>12040</v>
      </c>
      <c r="I146" s="1087" t="s">
        <v>12085</v>
      </c>
      <c r="J146" s="902">
        <v>1269977.8600000001</v>
      </c>
      <c r="K146" s="902">
        <v>0</v>
      </c>
      <c r="L146" s="902">
        <f>380993.36+888984.5</f>
        <v>1269977.8599999999</v>
      </c>
      <c r="M146" s="901">
        <v>1</v>
      </c>
      <c r="N146" s="901">
        <f t="shared" si="4"/>
        <v>0.99999999999999978</v>
      </c>
      <c r="O146" s="900" t="s">
        <v>7483</v>
      </c>
    </row>
    <row r="147" spans="1:15" ht="33" customHeight="1" x14ac:dyDescent="0.25">
      <c r="A147" s="906">
        <v>808</v>
      </c>
      <c r="B147" s="905" t="s">
        <v>8867</v>
      </c>
      <c r="C147" s="905" t="s">
        <v>8871</v>
      </c>
      <c r="D147" s="904" t="s">
        <v>8882</v>
      </c>
      <c r="E147" s="1092" t="s">
        <v>11864</v>
      </c>
      <c r="F147" s="903">
        <v>43320</v>
      </c>
      <c r="G147" s="903">
        <v>43379</v>
      </c>
      <c r="H147" s="1087" t="s">
        <v>12040</v>
      </c>
      <c r="I147" s="1087" t="s">
        <v>12085</v>
      </c>
      <c r="J147" s="902">
        <v>1269977.8600000001</v>
      </c>
      <c r="K147" s="902">
        <v>0</v>
      </c>
      <c r="L147" s="902">
        <f>380993.36+597499.17+277779.57</f>
        <v>1256272.1000000001</v>
      </c>
      <c r="M147" s="901">
        <v>1</v>
      </c>
      <c r="N147" s="901">
        <f t="shared" si="4"/>
        <v>0.98920787485224349</v>
      </c>
      <c r="O147" s="900" t="s">
        <v>7483</v>
      </c>
    </row>
    <row r="148" spans="1:15" ht="33" customHeight="1" x14ac:dyDescent="0.25">
      <c r="A148" s="906">
        <v>809</v>
      </c>
      <c r="B148" s="905" t="s">
        <v>8867</v>
      </c>
      <c r="C148" s="905" t="s">
        <v>8871</v>
      </c>
      <c r="D148" s="904" t="s">
        <v>8881</v>
      </c>
      <c r="E148" s="1092" t="s">
        <v>11865</v>
      </c>
      <c r="F148" s="903">
        <v>43321</v>
      </c>
      <c r="G148" s="903">
        <v>43380</v>
      </c>
      <c r="H148" s="1087" t="s">
        <v>12043</v>
      </c>
      <c r="I148" s="1087" t="s">
        <v>12085</v>
      </c>
      <c r="J148" s="902">
        <v>1273421.44</v>
      </c>
      <c r="K148" s="902">
        <v>0</v>
      </c>
      <c r="L148" s="902">
        <f>808941.64+450777.52</f>
        <v>1259719.1600000001</v>
      </c>
      <c r="M148" s="901">
        <v>1</v>
      </c>
      <c r="N148" s="901">
        <f t="shared" si="4"/>
        <v>0.98923979165923281</v>
      </c>
      <c r="O148" s="900" t="s">
        <v>7483</v>
      </c>
    </row>
    <row r="149" spans="1:15" ht="33" customHeight="1" x14ac:dyDescent="0.25">
      <c r="A149" s="906">
        <v>810</v>
      </c>
      <c r="B149" s="905" t="s">
        <v>8867</v>
      </c>
      <c r="C149" s="905" t="s">
        <v>8871</v>
      </c>
      <c r="D149" s="904" t="s">
        <v>8880</v>
      </c>
      <c r="E149" s="1092" t="s">
        <v>11866</v>
      </c>
      <c r="F149" s="903">
        <v>43321</v>
      </c>
      <c r="G149" s="903">
        <v>43380</v>
      </c>
      <c r="H149" s="1087" t="s">
        <v>12043</v>
      </c>
      <c r="I149" s="1087" t="s">
        <v>12085</v>
      </c>
      <c r="J149" s="902">
        <v>1273421.44</v>
      </c>
      <c r="K149" s="902">
        <v>0</v>
      </c>
      <c r="L149" s="902">
        <f>725375.68+534965.09</f>
        <v>1260340.77</v>
      </c>
      <c r="M149" s="901">
        <v>1</v>
      </c>
      <c r="N149" s="901">
        <f t="shared" si="4"/>
        <v>0.98972793327556985</v>
      </c>
      <c r="O149" s="900" t="s">
        <v>7483</v>
      </c>
    </row>
    <row r="150" spans="1:15" ht="33" customHeight="1" x14ac:dyDescent="0.25">
      <c r="A150" s="906">
        <v>811</v>
      </c>
      <c r="B150" s="905" t="s">
        <v>8867</v>
      </c>
      <c r="C150" s="905" t="s">
        <v>7967</v>
      </c>
      <c r="D150" s="904" t="s">
        <v>8879</v>
      </c>
      <c r="E150" s="1092" t="s">
        <v>11867</v>
      </c>
      <c r="F150" s="903">
        <v>43321</v>
      </c>
      <c r="G150" s="903">
        <v>43380</v>
      </c>
      <c r="H150" s="1087" t="s">
        <v>11985</v>
      </c>
      <c r="I150" s="1087" t="s">
        <v>12085</v>
      </c>
      <c r="J150" s="902">
        <v>641030.35</v>
      </c>
      <c r="K150" s="902">
        <v>0</v>
      </c>
      <c r="L150" s="902">
        <f>192309.1+178884.89+248104.37</f>
        <v>619298.36</v>
      </c>
      <c r="M150" s="901">
        <v>1</v>
      </c>
      <c r="N150" s="901">
        <f t="shared" si="4"/>
        <v>0.9660983446415603</v>
      </c>
      <c r="O150" s="900" t="s">
        <v>7483</v>
      </c>
    </row>
    <row r="151" spans="1:15" ht="33" customHeight="1" x14ac:dyDescent="0.25">
      <c r="A151" s="906">
        <v>812</v>
      </c>
      <c r="B151" s="905" t="s">
        <v>8867</v>
      </c>
      <c r="C151" s="905" t="s">
        <v>7967</v>
      </c>
      <c r="D151" s="904" t="s">
        <v>8878</v>
      </c>
      <c r="E151" s="1092" t="s">
        <v>12094</v>
      </c>
      <c r="F151" s="903">
        <v>43321</v>
      </c>
      <c r="G151" s="903">
        <v>43380</v>
      </c>
      <c r="H151" s="1087" t="s">
        <v>11989</v>
      </c>
      <c r="I151" s="1087" t="s">
        <v>12085</v>
      </c>
      <c r="J151" s="902">
        <v>641187.65</v>
      </c>
      <c r="K151" s="902">
        <v>0</v>
      </c>
      <c r="L151" s="902">
        <f>192356.29+448752.24</f>
        <v>641108.53</v>
      </c>
      <c r="M151" s="901">
        <v>1</v>
      </c>
      <c r="N151" s="901">
        <f t="shared" si="4"/>
        <v>0.99987660398636813</v>
      </c>
      <c r="O151" s="900" t="s">
        <v>7483</v>
      </c>
    </row>
    <row r="152" spans="1:15" ht="33" customHeight="1" x14ac:dyDescent="0.25">
      <c r="A152" s="906">
        <v>813</v>
      </c>
      <c r="B152" s="905" t="s">
        <v>8867</v>
      </c>
      <c r="C152" s="905" t="s">
        <v>7967</v>
      </c>
      <c r="D152" s="904" t="s">
        <v>8877</v>
      </c>
      <c r="E152" s="1092" t="s">
        <v>11868</v>
      </c>
      <c r="F152" s="903">
        <v>43333</v>
      </c>
      <c r="G152" s="903">
        <v>43392</v>
      </c>
      <c r="H152" s="1087" t="s">
        <v>11983</v>
      </c>
      <c r="I152" s="1087" t="s">
        <v>12085</v>
      </c>
      <c r="J152" s="902">
        <v>641011.13</v>
      </c>
      <c r="K152" s="902">
        <v>0</v>
      </c>
      <c r="L152" s="902">
        <f>192303.34+52896.02+179125.82+212297.26</f>
        <v>636622.43999999994</v>
      </c>
      <c r="M152" s="901">
        <v>1</v>
      </c>
      <c r="N152" s="901">
        <f t="shared" si="4"/>
        <v>0.99315348861415231</v>
      </c>
      <c r="O152" s="900" t="s">
        <v>7483</v>
      </c>
    </row>
    <row r="153" spans="1:15" ht="33" customHeight="1" x14ac:dyDescent="0.25">
      <c r="A153" s="906">
        <v>815</v>
      </c>
      <c r="B153" s="905" t="s">
        <v>8867</v>
      </c>
      <c r="C153" s="905" t="s">
        <v>8876</v>
      </c>
      <c r="D153" s="904" t="s">
        <v>8014</v>
      </c>
      <c r="E153" s="1092" t="s">
        <v>11869</v>
      </c>
      <c r="F153" s="903">
        <v>43326</v>
      </c>
      <c r="G153" s="903">
        <v>43385</v>
      </c>
      <c r="H153" s="1087" t="s">
        <v>12028</v>
      </c>
      <c r="I153" s="1087" t="s">
        <v>12085</v>
      </c>
      <c r="J153" s="902">
        <v>1134719.33</v>
      </c>
      <c r="K153" s="902">
        <v>0</v>
      </c>
      <c r="L153" s="902">
        <f>340415.8+794033.19</f>
        <v>1134448.99</v>
      </c>
      <c r="M153" s="901">
        <v>1</v>
      </c>
      <c r="N153" s="901">
        <f t="shared" si="4"/>
        <v>0.99976175606350159</v>
      </c>
      <c r="O153" s="900" t="s">
        <v>7483</v>
      </c>
    </row>
    <row r="154" spans="1:15" ht="33" customHeight="1" x14ac:dyDescent="0.25">
      <c r="A154" s="906">
        <v>816</v>
      </c>
      <c r="B154" s="905" t="s">
        <v>8867</v>
      </c>
      <c r="C154" s="905" t="s">
        <v>8875</v>
      </c>
      <c r="D154" s="904" t="s">
        <v>8874</v>
      </c>
      <c r="E154" s="1092" t="s">
        <v>11870</v>
      </c>
      <c r="F154" s="903">
        <v>43326</v>
      </c>
      <c r="G154" s="903">
        <v>43385</v>
      </c>
      <c r="H154" s="1087" t="s">
        <v>12028</v>
      </c>
      <c r="I154" s="1087" t="s">
        <v>11811</v>
      </c>
      <c r="J154" s="902">
        <v>269043.02</v>
      </c>
      <c r="K154" s="902">
        <v>0</v>
      </c>
      <c r="L154" s="902">
        <f>80712.9+188329.5</f>
        <v>269042.40000000002</v>
      </c>
      <c r="M154" s="901">
        <v>1</v>
      </c>
      <c r="N154" s="901">
        <f t="shared" si="4"/>
        <v>0.99999769553582918</v>
      </c>
      <c r="O154" s="900" t="s">
        <v>7483</v>
      </c>
    </row>
    <row r="155" spans="1:15" ht="33" customHeight="1" x14ac:dyDescent="0.25">
      <c r="A155" s="906">
        <v>817</v>
      </c>
      <c r="B155" s="905" t="s">
        <v>8867</v>
      </c>
      <c r="C155" s="905" t="s">
        <v>8871</v>
      </c>
      <c r="D155" s="904" t="s">
        <v>8873</v>
      </c>
      <c r="E155" s="1092" t="s">
        <v>11871</v>
      </c>
      <c r="F155" s="903">
        <v>43322</v>
      </c>
      <c r="G155" s="903">
        <v>43381</v>
      </c>
      <c r="H155" s="1087" t="s">
        <v>12044</v>
      </c>
      <c r="I155" s="1087" t="s">
        <v>11811</v>
      </c>
      <c r="J155" s="902">
        <v>1273577.46</v>
      </c>
      <c r="K155" s="902">
        <v>0</v>
      </c>
      <c r="L155" s="902">
        <f>382073.24+891392.35</f>
        <v>1273465.5899999999</v>
      </c>
      <c r="M155" s="901">
        <v>1</v>
      </c>
      <c r="N155" s="901">
        <f t="shared" si="4"/>
        <v>0.99991216081980583</v>
      </c>
      <c r="O155" s="900" t="s">
        <v>7483</v>
      </c>
    </row>
    <row r="156" spans="1:15" ht="33" customHeight="1" x14ac:dyDescent="0.25">
      <c r="A156" s="906">
        <v>818</v>
      </c>
      <c r="B156" s="905" t="s">
        <v>8867</v>
      </c>
      <c r="C156" s="905" t="s">
        <v>8871</v>
      </c>
      <c r="D156" s="904" t="s">
        <v>8872</v>
      </c>
      <c r="E156" s="1092" t="s">
        <v>11872</v>
      </c>
      <c r="F156" s="903">
        <v>43322</v>
      </c>
      <c r="G156" s="903">
        <v>43381</v>
      </c>
      <c r="H156" s="1087" t="s">
        <v>12045</v>
      </c>
      <c r="I156" s="1087" t="s">
        <v>12085</v>
      </c>
      <c r="J156" s="902">
        <v>1273577.46</v>
      </c>
      <c r="K156" s="902">
        <v>0</v>
      </c>
      <c r="L156" s="902">
        <f>382073.24+890118.95</f>
        <v>1272192.19</v>
      </c>
      <c r="M156" s="901">
        <v>1</v>
      </c>
      <c r="N156" s="901">
        <f t="shared" ref="N156:N171" si="5">(L156+K156)/J156</f>
        <v>0.99891230015958354</v>
      </c>
      <c r="O156" s="900" t="s">
        <v>7483</v>
      </c>
    </row>
    <row r="157" spans="1:15" ht="33" customHeight="1" x14ac:dyDescent="0.25">
      <c r="A157" s="906">
        <v>819</v>
      </c>
      <c r="B157" s="905" t="s">
        <v>8867</v>
      </c>
      <c r="C157" s="905" t="s">
        <v>8871</v>
      </c>
      <c r="D157" s="904" t="s">
        <v>8870</v>
      </c>
      <c r="E157" s="1092" t="s">
        <v>11873</v>
      </c>
      <c r="F157" s="903">
        <v>43329</v>
      </c>
      <c r="G157" s="903">
        <v>43388</v>
      </c>
      <c r="H157" s="1087" t="s">
        <v>12046</v>
      </c>
      <c r="I157" s="1087" t="s">
        <v>12085</v>
      </c>
      <c r="J157" s="902">
        <v>1272748.75</v>
      </c>
      <c r="K157" s="902">
        <v>0</v>
      </c>
      <c r="L157" s="902">
        <f>381824.63+155440.17+510637.5+224846.45</f>
        <v>1272748.75</v>
      </c>
      <c r="M157" s="901">
        <v>1</v>
      </c>
      <c r="N157" s="901">
        <f t="shared" si="5"/>
        <v>1</v>
      </c>
      <c r="O157" s="900" t="s">
        <v>7483</v>
      </c>
    </row>
    <row r="158" spans="1:15" ht="33" customHeight="1" x14ac:dyDescent="0.25">
      <c r="A158" s="906">
        <v>820</v>
      </c>
      <c r="B158" s="905" t="s">
        <v>8867</v>
      </c>
      <c r="C158" s="905" t="s">
        <v>8852</v>
      </c>
      <c r="D158" s="904" t="s">
        <v>8869</v>
      </c>
      <c r="E158" s="1092" t="s">
        <v>11874</v>
      </c>
      <c r="F158" s="903">
        <v>43326</v>
      </c>
      <c r="G158" s="903">
        <v>43385</v>
      </c>
      <c r="H158" s="1087" t="s">
        <v>12025</v>
      </c>
      <c r="I158" s="1087" t="s">
        <v>12085</v>
      </c>
      <c r="J158" s="902">
        <v>530283.14</v>
      </c>
      <c r="K158" s="902">
        <v>0</v>
      </c>
      <c r="L158" s="902">
        <f>159084.94+371191.78</f>
        <v>530276.72</v>
      </c>
      <c r="M158" s="901">
        <v>1</v>
      </c>
      <c r="N158" s="901">
        <f t="shared" si="5"/>
        <v>0.99998789326019299</v>
      </c>
      <c r="O158" s="900" t="s">
        <v>7483</v>
      </c>
    </row>
    <row r="159" spans="1:15" ht="33" customHeight="1" x14ac:dyDescent="0.25">
      <c r="A159" s="906">
        <v>821</v>
      </c>
      <c r="B159" s="905" t="s">
        <v>8867</v>
      </c>
      <c r="C159" s="905" t="s">
        <v>7972</v>
      </c>
      <c r="D159" s="904" t="s">
        <v>8868</v>
      </c>
      <c r="E159" s="1092" t="s">
        <v>11875</v>
      </c>
      <c r="F159" s="903">
        <v>43332</v>
      </c>
      <c r="G159" s="903">
        <v>43391</v>
      </c>
      <c r="H159" s="1087" t="s">
        <v>12036</v>
      </c>
      <c r="I159" s="1087" t="s">
        <v>12085</v>
      </c>
      <c r="J159" s="902">
        <v>585612.14</v>
      </c>
      <c r="K159" s="902">
        <v>0</v>
      </c>
      <c r="L159" s="902">
        <f>175683.65+186756.9+122673.72</f>
        <v>485114.27</v>
      </c>
      <c r="M159" s="901">
        <v>1</v>
      </c>
      <c r="N159" s="901">
        <f t="shared" si="5"/>
        <v>0.82838834249576865</v>
      </c>
      <c r="O159" s="900" t="s">
        <v>7483</v>
      </c>
    </row>
    <row r="160" spans="1:15" ht="33" customHeight="1" x14ac:dyDescent="0.25">
      <c r="A160" s="906">
        <v>822</v>
      </c>
      <c r="B160" s="905" t="s">
        <v>8867</v>
      </c>
      <c r="C160" s="905" t="s">
        <v>7972</v>
      </c>
      <c r="D160" s="904" t="s">
        <v>8866</v>
      </c>
      <c r="E160" s="1092" t="s">
        <v>11876</v>
      </c>
      <c r="F160" s="903">
        <v>43332</v>
      </c>
      <c r="G160" s="903">
        <v>43391</v>
      </c>
      <c r="H160" s="1087" t="s">
        <v>12036</v>
      </c>
      <c r="I160" s="1087" t="s">
        <v>12085</v>
      </c>
      <c r="J160" s="902">
        <v>927694.55</v>
      </c>
      <c r="K160" s="902">
        <v>0</v>
      </c>
      <c r="L160" s="902">
        <f>278308.36+326982.81+230454.69+91729.33</f>
        <v>927475.18999999983</v>
      </c>
      <c r="M160" s="901">
        <v>1</v>
      </c>
      <c r="N160" s="901">
        <f t="shared" si="5"/>
        <v>0.99976354286009306</v>
      </c>
      <c r="O160" s="900" t="s">
        <v>7483</v>
      </c>
    </row>
    <row r="161" spans="1:15" ht="33" customHeight="1" x14ac:dyDescent="0.25">
      <c r="A161" s="906">
        <v>712</v>
      </c>
      <c r="B161" s="905" t="s">
        <v>8861</v>
      </c>
      <c r="C161" s="905" t="s">
        <v>8864</v>
      </c>
      <c r="D161" s="904" t="s">
        <v>1113</v>
      </c>
      <c r="E161" s="1092" t="s">
        <v>12175</v>
      </c>
      <c r="F161" s="903">
        <v>43232</v>
      </c>
      <c r="G161" s="903">
        <v>43276</v>
      </c>
      <c r="H161" s="1087" t="s">
        <v>12047</v>
      </c>
      <c r="I161" s="1087" t="s">
        <v>11811</v>
      </c>
      <c r="J161" s="902">
        <v>674845.49</v>
      </c>
      <c r="K161" s="902">
        <v>0</v>
      </c>
      <c r="L161" s="902">
        <f>202453.64+472391.83</f>
        <v>674845.47</v>
      </c>
      <c r="M161" s="901">
        <v>1</v>
      </c>
      <c r="N161" s="901">
        <f t="shared" si="5"/>
        <v>0.99999997036358645</v>
      </c>
      <c r="O161" s="900" t="s">
        <v>7483</v>
      </c>
    </row>
    <row r="162" spans="1:15" ht="33" customHeight="1" x14ac:dyDescent="0.25">
      <c r="A162" s="906">
        <v>713</v>
      </c>
      <c r="B162" s="905" t="s">
        <v>8861</v>
      </c>
      <c r="C162" s="905" t="s">
        <v>8864</v>
      </c>
      <c r="D162" s="904" t="s">
        <v>1113</v>
      </c>
      <c r="E162" s="1092" t="s">
        <v>11877</v>
      </c>
      <c r="F162" s="903">
        <v>43253</v>
      </c>
      <c r="G162" s="903">
        <v>43297</v>
      </c>
      <c r="H162" s="1087" t="s">
        <v>12032</v>
      </c>
      <c r="I162" s="1087" t="s">
        <v>11811</v>
      </c>
      <c r="J162" s="902">
        <v>676659.9</v>
      </c>
      <c r="K162" s="902">
        <v>0</v>
      </c>
      <c r="L162" s="902">
        <f>202997.97+283487.49+190174.44</f>
        <v>676659.89999999991</v>
      </c>
      <c r="M162" s="901">
        <v>1</v>
      </c>
      <c r="N162" s="901">
        <f t="shared" si="5"/>
        <v>0.99999999999999978</v>
      </c>
      <c r="O162" s="900" t="s">
        <v>7483</v>
      </c>
    </row>
    <row r="163" spans="1:15" ht="33" customHeight="1" x14ac:dyDescent="0.25">
      <c r="A163" s="906">
        <v>743</v>
      </c>
      <c r="B163" s="905" t="s">
        <v>8861</v>
      </c>
      <c r="C163" s="905" t="s">
        <v>8864</v>
      </c>
      <c r="D163" s="904" t="s">
        <v>1113</v>
      </c>
      <c r="E163" s="1092" t="s">
        <v>11878</v>
      </c>
      <c r="F163" s="903">
        <v>43237</v>
      </c>
      <c r="G163" s="903">
        <v>43281</v>
      </c>
      <c r="H163" s="1087" t="s">
        <v>12048</v>
      </c>
      <c r="I163" s="1087" t="s">
        <v>11811</v>
      </c>
      <c r="J163" s="902">
        <v>675994.06</v>
      </c>
      <c r="K163" s="902">
        <v>0</v>
      </c>
      <c r="L163" s="902">
        <f>505233.72+170760.34</f>
        <v>675994.05999999994</v>
      </c>
      <c r="M163" s="901">
        <v>1</v>
      </c>
      <c r="N163" s="901">
        <f t="shared" si="5"/>
        <v>0.99999999999999978</v>
      </c>
      <c r="O163" s="900" t="s">
        <v>7483</v>
      </c>
    </row>
    <row r="164" spans="1:15" ht="33" customHeight="1" x14ac:dyDescent="0.25">
      <c r="A164" s="906">
        <v>814</v>
      </c>
      <c r="B164" s="905" t="s">
        <v>8861</v>
      </c>
      <c r="C164" s="905" t="s">
        <v>8864</v>
      </c>
      <c r="D164" s="904" t="s">
        <v>1113</v>
      </c>
      <c r="E164" s="1092" t="s">
        <v>11879</v>
      </c>
      <c r="F164" s="903">
        <v>43332</v>
      </c>
      <c r="G164" s="903">
        <v>43371</v>
      </c>
      <c r="H164" s="1087" t="s">
        <v>12049</v>
      </c>
      <c r="I164" s="1087" t="s">
        <v>11811</v>
      </c>
      <c r="J164" s="902">
        <v>776531.17</v>
      </c>
      <c r="K164" s="902">
        <v>0</v>
      </c>
      <c r="L164" s="902">
        <f>232959.35+543571.82</f>
        <v>776531.16999999993</v>
      </c>
      <c r="M164" s="901">
        <v>1</v>
      </c>
      <c r="N164" s="901">
        <f t="shared" si="5"/>
        <v>0.99999999999999989</v>
      </c>
      <c r="O164" s="900" t="s">
        <v>7483</v>
      </c>
    </row>
    <row r="165" spans="1:15" ht="33" customHeight="1" x14ac:dyDescent="0.25">
      <c r="A165" s="906">
        <v>823</v>
      </c>
      <c r="B165" s="905" t="s">
        <v>8861</v>
      </c>
      <c r="C165" s="905" t="s">
        <v>8865</v>
      </c>
      <c r="D165" s="904" t="s">
        <v>1113</v>
      </c>
      <c r="E165" s="1092" t="s">
        <v>11880</v>
      </c>
      <c r="F165" s="903">
        <v>43346</v>
      </c>
      <c r="G165" s="903">
        <v>43169</v>
      </c>
      <c r="H165" s="1087" t="s">
        <v>11995</v>
      </c>
      <c r="I165" s="1087" t="s">
        <v>11811</v>
      </c>
      <c r="J165" s="902">
        <f>234672.81*1.16</f>
        <v>272220.4596</v>
      </c>
      <c r="K165" s="902">
        <v>0</v>
      </c>
      <c r="L165" s="902">
        <v>272220.46000000002</v>
      </c>
      <c r="M165" s="901">
        <v>1</v>
      </c>
      <c r="N165" s="901">
        <f t="shared" si="5"/>
        <v>1.0000000014693973</v>
      </c>
      <c r="O165" s="900" t="s">
        <v>7483</v>
      </c>
    </row>
    <row r="166" spans="1:15" ht="33" customHeight="1" x14ac:dyDescent="0.25">
      <c r="A166" s="906">
        <v>824</v>
      </c>
      <c r="B166" s="905" t="s">
        <v>8861</v>
      </c>
      <c r="C166" s="905" t="s">
        <v>8864</v>
      </c>
      <c r="D166" s="904" t="s">
        <v>1113</v>
      </c>
      <c r="E166" s="1092" t="s">
        <v>11881</v>
      </c>
      <c r="F166" s="903">
        <v>43348</v>
      </c>
      <c r="G166" s="903">
        <v>43377</v>
      </c>
      <c r="H166" s="1087" t="s">
        <v>12050</v>
      </c>
      <c r="I166" s="1087" t="s">
        <v>11811</v>
      </c>
      <c r="J166" s="902">
        <v>784529.83</v>
      </c>
      <c r="K166" s="902">
        <v>0</v>
      </c>
      <c r="L166" s="902">
        <f>235358.95+549170.88</f>
        <v>784529.83000000007</v>
      </c>
      <c r="M166" s="901">
        <v>1</v>
      </c>
      <c r="N166" s="901">
        <f t="shared" si="5"/>
        <v>1.0000000000000002</v>
      </c>
      <c r="O166" s="900" t="s">
        <v>7483</v>
      </c>
    </row>
    <row r="167" spans="1:15" ht="33" customHeight="1" x14ac:dyDescent="0.25">
      <c r="A167" s="906">
        <v>825</v>
      </c>
      <c r="B167" s="905" t="s">
        <v>8861</v>
      </c>
      <c r="C167" s="905" t="s">
        <v>8778</v>
      </c>
      <c r="D167" s="904" t="s">
        <v>8863</v>
      </c>
      <c r="E167" s="1092" t="s">
        <v>11882</v>
      </c>
      <c r="F167" s="903">
        <v>43355</v>
      </c>
      <c r="G167" s="903">
        <v>43384</v>
      </c>
      <c r="H167" s="1087" t="s">
        <v>12048</v>
      </c>
      <c r="I167" s="1087" t="s">
        <v>12085</v>
      </c>
      <c r="J167" s="902">
        <v>1502695.37</v>
      </c>
      <c r="K167" s="902">
        <v>0</v>
      </c>
      <c r="L167" s="902">
        <v>1485049.29</v>
      </c>
      <c r="M167" s="901">
        <v>1</v>
      </c>
      <c r="N167" s="901">
        <f t="shared" si="5"/>
        <v>0.98825704773416578</v>
      </c>
      <c r="O167" s="900" t="s">
        <v>7483</v>
      </c>
    </row>
    <row r="168" spans="1:15" ht="33" customHeight="1" x14ac:dyDescent="0.25">
      <c r="A168" s="906">
        <v>833</v>
      </c>
      <c r="B168" s="905" t="s">
        <v>8861</v>
      </c>
      <c r="C168" s="905" t="s">
        <v>1115</v>
      </c>
      <c r="D168" s="904" t="s">
        <v>1113</v>
      </c>
      <c r="E168" s="1092" t="s">
        <v>11883</v>
      </c>
      <c r="F168" s="903">
        <v>43419</v>
      </c>
      <c r="G168" s="903">
        <v>43438</v>
      </c>
      <c r="H168" s="1087" t="s">
        <v>12050</v>
      </c>
      <c r="I168" s="1087" t="s">
        <v>12086</v>
      </c>
      <c r="J168" s="902">
        <v>1399761.9</v>
      </c>
      <c r="K168" s="902">
        <v>0</v>
      </c>
      <c r="L168" s="902">
        <v>1399761.9</v>
      </c>
      <c r="M168" s="901">
        <v>1</v>
      </c>
      <c r="N168" s="901">
        <f t="shared" si="5"/>
        <v>1</v>
      </c>
      <c r="O168" s="900" t="s">
        <v>7483</v>
      </c>
    </row>
    <row r="169" spans="1:15" ht="33" customHeight="1" x14ac:dyDescent="0.25">
      <c r="A169" s="906">
        <v>840</v>
      </c>
      <c r="B169" s="905" t="s">
        <v>8861</v>
      </c>
      <c r="C169" s="905" t="s">
        <v>1115</v>
      </c>
      <c r="D169" s="904" t="s">
        <v>1113</v>
      </c>
      <c r="E169" s="1092" t="s">
        <v>11884</v>
      </c>
      <c r="F169" s="903">
        <v>43437</v>
      </c>
      <c r="G169" s="903">
        <v>43465</v>
      </c>
      <c r="H169" s="1087" t="s">
        <v>9901</v>
      </c>
      <c r="I169" s="1087" t="s">
        <v>11811</v>
      </c>
      <c r="J169" s="902">
        <v>653007.51</v>
      </c>
      <c r="K169" s="902">
        <v>0</v>
      </c>
      <c r="L169" s="902">
        <v>653007.56999999995</v>
      </c>
      <c r="M169" s="901">
        <v>1</v>
      </c>
      <c r="N169" s="901">
        <f t="shared" si="5"/>
        <v>1.0000000918825573</v>
      </c>
      <c r="O169" s="900" t="s">
        <v>7483</v>
      </c>
    </row>
    <row r="170" spans="1:15" ht="33" customHeight="1" x14ac:dyDescent="0.25">
      <c r="A170" s="906">
        <v>841</v>
      </c>
      <c r="B170" s="905" t="s">
        <v>8861</v>
      </c>
      <c r="C170" s="905" t="s">
        <v>8862</v>
      </c>
      <c r="D170" s="904" t="s">
        <v>1113</v>
      </c>
      <c r="E170" s="1092" t="s">
        <v>11885</v>
      </c>
      <c r="F170" s="903">
        <v>43439</v>
      </c>
      <c r="G170" s="903">
        <v>43465</v>
      </c>
      <c r="H170" s="1087" t="s">
        <v>9874</v>
      </c>
      <c r="I170" s="1087" t="s">
        <v>11811</v>
      </c>
      <c r="J170" s="902">
        <v>491365.88</v>
      </c>
      <c r="K170" s="902">
        <v>0</v>
      </c>
      <c r="L170" s="902">
        <v>491365.88</v>
      </c>
      <c r="M170" s="901">
        <v>1</v>
      </c>
      <c r="N170" s="901">
        <f t="shared" si="5"/>
        <v>1</v>
      </c>
      <c r="O170" s="900" t="s">
        <v>7483</v>
      </c>
    </row>
    <row r="171" spans="1:15" ht="33" customHeight="1" x14ac:dyDescent="0.25">
      <c r="A171" s="906">
        <v>843</v>
      </c>
      <c r="B171" s="905" t="s">
        <v>8861</v>
      </c>
      <c r="C171" s="905" t="s">
        <v>1115</v>
      </c>
      <c r="D171" s="904" t="s">
        <v>1113</v>
      </c>
      <c r="E171" s="1092" t="s">
        <v>11886</v>
      </c>
      <c r="F171" s="903">
        <v>43447</v>
      </c>
      <c r="G171" s="903">
        <v>43464</v>
      </c>
      <c r="H171" s="1087" t="s">
        <v>12051</v>
      </c>
      <c r="I171" s="1087" t="s">
        <v>12086</v>
      </c>
      <c r="J171" s="902">
        <v>1152214.72</v>
      </c>
      <c r="K171" s="902">
        <v>0</v>
      </c>
      <c r="L171" s="902">
        <v>1152214.72</v>
      </c>
      <c r="M171" s="901">
        <v>1</v>
      </c>
      <c r="N171" s="901">
        <f t="shared" si="5"/>
        <v>1</v>
      </c>
      <c r="O171" s="900" t="s">
        <v>7483</v>
      </c>
    </row>
    <row r="172" spans="1:15" ht="33" customHeight="1" x14ac:dyDescent="0.25">
      <c r="A172" s="906">
        <v>844</v>
      </c>
      <c r="B172" s="905" t="s">
        <v>8861</v>
      </c>
      <c r="C172" s="905" t="s">
        <v>1115</v>
      </c>
      <c r="D172" s="904" t="s">
        <v>1113</v>
      </c>
      <c r="E172" s="1092" t="s">
        <v>11887</v>
      </c>
      <c r="F172" s="903">
        <v>43460</v>
      </c>
      <c r="G172" s="903">
        <v>43489</v>
      </c>
      <c r="H172" s="1087" t="s">
        <v>12052</v>
      </c>
      <c r="I172" s="1087" t="s">
        <v>12086</v>
      </c>
      <c r="J172" s="902">
        <v>2249832.5699999998</v>
      </c>
      <c r="K172" s="902">
        <v>0</v>
      </c>
      <c r="L172" s="902">
        <v>0</v>
      </c>
      <c r="M172" s="901">
        <v>0</v>
      </c>
      <c r="N172" s="901">
        <v>0</v>
      </c>
      <c r="O172" s="900" t="s">
        <v>7484</v>
      </c>
    </row>
    <row r="173" spans="1:15" ht="33" customHeight="1" x14ac:dyDescent="0.25">
      <c r="A173" s="906">
        <v>794</v>
      </c>
      <c r="B173" s="905" t="s">
        <v>8858</v>
      </c>
      <c r="C173" s="905" t="s">
        <v>8852</v>
      </c>
      <c r="D173" s="904" t="s">
        <v>8860</v>
      </c>
      <c r="E173" s="1092" t="s">
        <v>11888</v>
      </c>
      <c r="F173" s="903">
        <v>43325</v>
      </c>
      <c r="G173" s="903">
        <v>43384</v>
      </c>
      <c r="H173" s="1087" t="s">
        <v>12053</v>
      </c>
      <c r="I173" s="1087" t="s">
        <v>12085</v>
      </c>
      <c r="J173" s="902">
        <v>1362396.38</v>
      </c>
      <c r="K173" s="902">
        <v>0</v>
      </c>
      <c r="L173" s="902">
        <f>408718.91+532363.1+419864.36</f>
        <v>1360946.37</v>
      </c>
      <c r="M173" s="901">
        <v>1</v>
      </c>
      <c r="N173" s="901">
        <f t="shared" ref="N173:N204" si="6">(L173+K173)/J173</f>
        <v>0.99893569153494099</v>
      </c>
      <c r="O173" s="900" t="s">
        <v>7483</v>
      </c>
    </row>
    <row r="174" spans="1:15" ht="33" customHeight="1" x14ac:dyDescent="0.25">
      <c r="A174" s="906">
        <v>795</v>
      </c>
      <c r="B174" s="905" t="s">
        <v>8858</v>
      </c>
      <c r="C174" s="905" t="s">
        <v>7998</v>
      </c>
      <c r="D174" s="904" t="s">
        <v>8859</v>
      </c>
      <c r="E174" s="1092" t="s">
        <v>11889</v>
      </c>
      <c r="F174" s="903">
        <v>43322</v>
      </c>
      <c r="G174" s="903">
        <v>43381</v>
      </c>
      <c r="H174" s="1087" t="s">
        <v>12053</v>
      </c>
      <c r="I174" s="1087" t="s">
        <v>11811</v>
      </c>
      <c r="J174" s="902">
        <v>720367.27</v>
      </c>
      <c r="K174" s="902">
        <v>0</v>
      </c>
      <c r="L174" s="902">
        <f>216110.18+271388.38+223587.52</f>
        <v>711086.07999999996</v>
      </c>
      <c r="M174" s="901">
        <v>1</v>
      </c>
      <c r="N174" s="901">
        <f t="shared" si="6"/>
        <v>0.98711603041043205</v>
      </c>
      <c r="O174" s="900" t="s">
        <v>7483</v>
      </c>
    </row>
    <row r="175" spans="1:15" ht="33" customHeight="1" x14ac:dyDescent="0.25">
      <c r="A175" s="906">
        <v>796</v>
      </c>
      <c r="B175" s="905" t="s">
        <v>8858</v>
      </c>
      <c r="C175" s="905" t="s">
        <v>7998</v>
      </c>
      <c r="D175" s="904" t="s">
        <v>8857</v>
      </c>
      <c r="E175" s="1092" t="s">
        <v>11890</v>
      </c>
      <c r="F175" s="903">
        <v>43325</v>
      </c>
      <c r="G175" s="903">
        <v>43384</v>
      </c>
      <c r="H175" s="1087" t="s">
        <v>12053</v>
      </c>
      <c r="I175" s="1087" t="s">
        <v>12085</v>
      </c>
      <c r="J175" s="902">
        <v>1323035.3700000001</v>
      </c>
      <c r="K175" s="902">
        <v>0</v>
      </c>
      <c r="L175" s="902">
        <f>396910.61+526870.86+244010.83</f>
        <v>1167792.3</v>
      </c>
      <c r="M175" s="901">
        <v>1</v>
      </c>
      <c r="N175" s="901">
        <f t="shared" si="6"/>
        <v>0.88266143633030758</v>
      </c>
      <c r="O175" s="900" t="s">
        <v>7483</v>
      </c>
    </row>
    <row r="176" spans="1:15" ht="33" customHeight="1" x14ac:dyDescent="0.25">
      <c r="A176" s="906">
        <v>714</v>
      </c>
      <c r="B176" s="905" t="s">
        <v>8823</v>
      </c>
      <c r="C176" s="905" t="s">
        <v>8856</v>
      </c>
      <c r="D176" s="904" t="s">
        <v>8855</v>
      </c>
      <c r="E176" s="1092" t="s">
        <v>11891</v>
      </c>
      <c r="F176" s="903">
        <v>43230</v>
      </c>
      <c r="G176" s="903">
        <v>43306</v>
      </c>
      <c r="H176" s="1087" t="s">
        <v>12038</v>
      </c>
      <c r="I176" s="1087" t="s">
        <v>11811</v>
      </c>
      <c r="J176" s="902">
        <v>348771.85</v>
      </c>
      <c r="K176" s="902">
        <v>0</v>
      </c>
      <c r="L176" s="902">
        <f>104631.56+244140.29</f>
        <v>348771.85</v>
      </c>
      <c r="M176" s="901">
        <v>1</v>
      </c>
      <c r="N176" s="901">
        <f t="shared" si="6"/>
        <v>1</v>
      </c>
      <c r="O176" s="900" t="s">
        <v>7483</v>
      </c>
    </row>
    <row r="177" spans="1:15" ht="33" customHeight="1" x14ac:dyDescent="0.25">
      <c r="A177" s="906">
        <v>715</v>
      </c>
      <c r="B177" s="905" t="s">
        <v>8823</v>
      </c>
      <c r="C177" s="905" t="s">
        <v>8854</v>
      </c>
      <c r="D177" s="904" t="s">
        <v>8853</v>
      </c>
      <c r="E177" s="1092" t="s">
        <v>11892</v>
      </c>
      <c r="F177" s="903">
        <v>43230</v>
      </c>
      <c r="G177" s="903">
        <v>43289</v>
      </c>
      <c r="H177" s="1087" t="s">
        <v>12054</v>
      </c>
      <c r="I177" s="1087" t="s">
        <v>11811</v>
      </c>
      <c r="J177" s="902">
        <v>226265.82</v>
      </c>
      <c r="K177" s="902">
        <v>0</v>
      </c>
      <c r="L177" s="902">
        <f>67879.74+136303.45</f>
        <v>204183.19</v>
      </c>
      <c r="M177" s="901">
        <v>1</v>
      </c>
      <c r="N177" s="901">
        <f t="shared" si="6"/>
        <v>0.90240403963797977</v>
      </c>
      <c r="O177" s="900" t="s">
        <v>7483</v>
      </c>
    </row>
    <row r="178" spans="1:15" ht="33" customHeight="1" x14ac:dyDescent="0.25">
      <c r="A178" s="906">
        <v>716</v>
      </c>
      <c r="B178" s="905" t="s">
        <v>8823</v>
      </c>
      <c r="C178" s="905" t="s">
        <v>8852</v>
      </c>
      <c r="D178" s="904" t="s">
        <v>8851</v>
      </c>
      <c r="E178" s="1092" t="s">
        <v>11893</v>
      </c>
      <c r="F178" s="903">
        <v>43230</v>
      </c>
      <c r="G178" s="903">
        <v>43289</v>
      </c>
      <c r="H178" s="1087" t="s">
        <v>12038</v>
      </c>
      <c r="I178" s="1087" t="s">
        <v>12085</v>
      </c>
      <c r="J178" s="902">
        <v>247069.81</v>
      </c>
      <c r="K178" s="902">
        <v>0</v>
      </c>
      <c r="L178" s="902">
        <f>44974.99+180514.19</f>
        <v>225489.18</v>
      </c>
      <c r="M178" s="901">
        <v>1</v>
      </c>
      <c r="N178" s="901">
        <f t="shared" si="6"/>
        <v>0.91265371515848093</v>
      </c>
      <c r="O178" s="900" t="s">
        <v>7483</v>
      </c>
    </row>
    <row r="179" spans="1:15" ht="33" customHeight="1" x14ac:dyDescent="0.25">
      <c r="A179" s="906">
        <v>717</v>
      </c>
      <c r="B179" s="905" t="s">
        <v>8823</v>
      </c>
      <c r="C179" s="905" t="s">
        <v>8847</v>
      </c>
      <c r="D179" s="904" t="s">
        <v>8850</v>
      </c>
      <c r="E179" s="1092" t="s">
        <v>11894</v>
      </c>
      <c r="F179" s="903">
        <v>43250</v>
      </c>
      <c r="G179" s="903">
        <v>43309</v>
      </c>
      <c r="H179" s="1087" t="s">
        <v>12055</v>
      </c>
      <c r="I179" s="1087" t="s">
        <v>12085</v>
      </c>
      <c r="J179" s="902">
        <v>1699874.81</v>
      </c>
      <c r="K179" s="902">
        <v>0</v>
      </c>
      <c r="L179" s="902">
        <f>509962.45+240949.64+948668.5</f>
        <v>1699580.59</v>
      </c>
      <c r="M179" s="901">
        <v>1</v>
      </c>
      <c r="N179" s="901">
        <f t="shared" si="6"/>
        <v>0.99982691666570433</v>
      </c>
      <c r="O179" s="900" t="s">
        <v>7483</v>
      </c>
    </row>
    <row r="180" spans="1:15" ht="33" customHeight="1" x14ac:dyDescent="0.25">
      <c r="A180" s="906">
        <v>718</v>
      </c>
      <c r="B180" s="905" t="s">
        <v>8823</v>
      </c>
      <c r="C180" s="905" t="s">
        <v>8849</v>
      </c>
      <c r="D180" s="904" t="s">
        <v>8848</v>
      </c>
      <c r="E180" s="1092" t="s">
        <v>11895</v>
      </c>
      <c r="F180" s="903">
        <v>43229</v>
      </c>
      <c r="G180" s="903">
        <v>43288</v>
      </c>
      <c r="H180" s="1087" t="s">
        <v>12056</v>
      </c>
      <c r="I180" s="1087" t="s">
        <v>12085</v>
      </c>
      <c r="J180" s="902">
        <v>746989.06</v>
      </c>
      <c r="K180" s="902">
        <v>0</v>
      </c>
      <c r="L180" s="902">
        <f>224096.72+516584.89</f>
        <v>740681.61</v>
      </c>
      <c r="M180" s="901">
        <v>1</v>
      </c>
      <c r="N180" s="901">
        <f t="shared" si="6"/>
        <v>0.99155616817199432</v>
      </c>
      <c r="O180" s="900" t="s">
        <v>7483</v>
      </c>
    </row>
    <row r="181" spans="1:15" ht="33" customHeight="1" x14ac:dyDescent="0.25">
      <c r="A181" s="906">
        <v>719</v>
      </c>
      <c r="B181" s="905" t="s">
        <v>8823</v>
      </c>
      <c r="C181" s="905" t="s">
        <v>8847</v>
      </c>
      <c r="D181" s="904" t="s">
        <v>8846</v>
      </c>
      <c r="E181" s="1092" t="s">
        <v>11896</v>
      </c>
      <c r="F181" s="903">
        <v>43229</v>
      </c>
      <c r="G181" s="903">
        <v>43288</v>
      </c>
      <c r="H181" s="1087" t="s">
        <v>12054</v>
      </c>
      <c r="I181" s="1087" t="s">
        <v>12085</v>
      </c>
      <c r="J181" s="902">
        <v>1496298.08</v>
      </c>
      <c r="K181" s="902">
        <v>0</v>
      </c>
      <c r="L181" s="902">
        <f>448889.42+1047405.67</f>
        <v>1496295.09</v>
      </c>
      <c r="M181" s="901">
        <v>1</v>
      </c>
      <c r="N181" s="901">
        <f t="shared" si="6"/>
        <v>0.99999800173505538</v>
      </c>
      <c r="O181" s="900" t="s">
        <v>7483</v>
      </c>
    </row>
    <row r="182" spans="1:15" ht="33" customHeight="1" x14ac:dyDescent="0.25">
      <c r="A182" s="906">
        <v>720</v>
      </c>
      <c r="B182" s="905" t="s">
        <v>8823</v>
      </c>
      <c r="C182" s="905" t="s">
        <v>8007</v>
      </c>
      <c r="D182" s="904" t="s">
        <v>8845</v>
      </c>
      <c r="E182" s="1092" t="s">
        <v>11897</v>
      </c>
      <c r="F182" s="903">
        <v>43250</v>
      </c>
      <c r="G182" s="903">
        <v>43309</v>
      </c>
      <c r="H182" s="1087" t="s">
        <v>12055</v>
      </c>
      <c r="I182" s="1087" t="s">
        <v>12085</v>
      </c>
      <c r="J182" s="902">
        <v>765638.25</v>
      </c>
      <c r="K182" s="902">
        <v>0</v>
      </c>
      <c r="L182" s="902">
        <f>229691.47+501836.89</f>
        <v>731528.36</v>
      </c>
      <c r="M182" s="901">
        <v>1</v>
      </c>
      <c r="N182" s="901">
        <f t="shared" si="6"/>
        <v>0.95544907794248779</v>
      </c>
      <c r="O182" s="900" t="s">
        <v>7483</v>
      </c>
    </row>
    <row r="183" spans="1:15" ht="33" customHeight="1" x14ac:dyDescent="0.25">
      <c r="A183" s="906">
        <v>721</v>
      </c>
      <c r="B183" s="905" t="s">
        <v>8823</v>
      </c>
      <c r="C183" s="905" t="s">
        <v>7998</v>
      </c>
      <c r="D183" s="904" t="s">
        <v>8844</v>
      </c>
      <c r="E183" s="1092" t="s">
        <v>11898</v>
      </c>
      <c r="F183" s="903">
        <v>43229</v>
      </c>
      <c r="G183" s="903">
        <v>43288</v>
      </c>
      <c r="H183" s="1087" t="s">
        <v>12045</v>
      </c>
      <c r="I183" s="1087" t="s">
        <v>12085</v>
      </c>
      <c r="J183" s="902">
        <v>2094741.76</v>
      </c>
      <c r="K183" s="902">
        <v>0</v>
      </c>
      <c r="L183" s="902">
        <f>628422.53+1376615.93+89703.25</f>
        <v>2094741.71</v>
      </c>
      <c r="M183" s="901">
        <v>1</v>
      </c>
      <c r="N183" s="901">
        <f t="shared" si="6"/>
        <v>0.99999997613070923</v>
      </c>
      <c r="O183" s="900" t="s">
        <v>7483</v>
      </c>
    </row>
    <row r="184" spans="1:15" ht="33" customHeight="1" x14ac:dyDescent="0.25">
      <c r="A184" s="906">
        <v>722</v>
      </c>
      <c r="B184" s="905" t="s">
        <v>8823</v>
      </c>
      <c r="C184" s="905" t="s">
        <v>1114</v>
      </c>
      <c r="D184" s="904" t="s">
        <v>8843</v>
      </c>
      <c r="E184" s="1092" t="s">
        <v>11899</v>
      </c>
      <c r="F184" s="903">
        <v>43232</v>
      </c>
      <c r="G184" s="903">
        <v>43291</v>
      </c>
      <c r="H184" s="1087" t="s">
        <v>12022</v>
      </c>
      <c r="I184" s="1087" t="s">
        <v>12085</v>
      </c>
      <c r="J184" s="902">
        <v>4038493.77</v>
      </c>
      <c r="K184" s="902">
        <v>0</v>
      </c>
      <c r="L184" s="902">
        <f>1211548.14+2465546.22+360333.06</f>
        <v>4037427.4200000004</v>
      </c>
      <c r="M184" s="901">
        <v>1</v>
      </c>
      <c r="N184" s="901">
        <f t="shared" si="6"/>
        <v>0.99973595353596412</v>
      </c>
      <c r="O184" s="900" t="s">
        <v>7483</v>
      </c>
    </row>
    <row r="185" spans="1:15" ht="33" customHeight="1" x14ac:dyDescent="0.25">
      <c r="A185" s="906">
        <v>723</v>
      </c>
      <c r="B185" s="905" t="s">
        <v>8823</v>
      </c>
      <c r="C185" s="905" t="s">
        <v>1114</v>
      </c>
      <c r="D185" s="904" t="s">
        <v>8842</v>
      </c>
      <c r="E185" s="1092" t="s">
        <v>11900</v>
      </c>
      <c r="F185" s="903">
        <v>43229</v>
      </c>
      <c r="G185" s="903">
        <v>43288</v>
      </c>
      <c r="H185" s="1087" t="s">
        <v>11985</v>
      </c>
      <c r="I185" s="1087" t="s">
        <v>12085</v>
      </c>
      <c r="J185" s="902">
        <v>958120.78</v>
      </c>
      <c r="K185" s="902">
        <v>0</v>
      </c>
      <c r="L185" s="902">
        <f>287436.24+452399.65+218284.57</f>
        <v>958120.46</v>
      </c>
      <c r="M185" s="901">
        <v>1</v>
      </c>
      <c r="N185" s="901">
        <f t="shared" si="6"/>
        <v>0.99999966601287982</v>
      </c>
      <c r="O185" s="900" t="s">
        <v>7483</v>
      </c>
    </row>
    <row r="186" spans="1:15" ht="33" customHeight="1" x14ac:dyDescent="0.25">
      <c r="A186" s="906">
        <v>724</v>
      </c>
      <c r="B186" s="905" t="s">
        <v>8823</v>
      </c>
      <c r="C186" s="905" t="s">
        <v>1114</v>
      </c>
      <c r="D186" s="904" t="s">
        <v>8834</v>
      </c>
      <c r="E186" s="1092" t="s">
        <v>11901</v>
      </c>
      <c r="F186" s="903">
        <v>43250</v>
      </c>
      <c r="G186" s="903">
        <v>43309</v>
      </c>
      <c r="H186" s="1087" t="s">
        <v>12055</v>
      </c>
      <c r="I186" s="1087" t="s">
        <v>12085</v>
      </c>
      <c r="J186" s="902">
        <v>3420288.4</v>
      </c>
      <c r="K186" s="902">
        <v>0</v>
      </c>
      <c r="L186" s="902">
        <f>1026086.51+2367043.02</f>
        <v>3393129.5300000003</v>
      </c>
      <c r="M186" s="901">
        <v>1</v>
      </c>
      <c r="N186" s="901">
        <f t="shared" si="6"/>
        <v>0.99205947954564311</v>
      </c>
      <c r="O186" s="900" t="s">
        <v>7483</v>
      </c>
    </row>
    <row r="187" spans="1:15" ht="33" customHeight="1" x14ac:dyDescent="0.25">
      <c r="A187" s="906">
        <v>725</v>
      </c>
      <c r="B187" s="905" t="s">
        <v>8823</v>
      </c>
      <c r="C187" s="905" t="s">
        <v>1114</v>
      </c>
      <c r="D187" s="904" t="s">
        <v>8841</v>
      </c>
      <c r="E187" s="1092" t="s">
        <v>11902</v>
      </c>
      <c r="F187" s="903">
        <v>43231</v>
      </c>
      <c r="G187" s="903">
        <v>43290</v>
      </c>
      <c r="H187" s="1087" t="s">
        <v>11976</v>
      </c>
      <c r="I187" s="1087" t="s">
        <v>12085</v>
      </c>
      <c r="J187" s="902">
        <v>2856690.21</v>
      </c>
      <c r="K187" s="902">
        <v>0</v>
      </c>
      <c r="L187" s="902">
        <f>857007.06+1664390.52</f>
        <v>2521397.58</v>
      </c>
      <c r="M187" s="901">
        <v>1</v>
      </c>
      <c r="N187" s="901">
        <f t="shared" si="6"/>
        <v>0.88262898482086372</v>
      </c>
      <c r="O187" s="900" t="s">
        <v>7483</v>
      </c>
    </row>
    <row r="188" spans="1:15" ht="33" customHeight="1" x14ac:dyDescent="0.25">
      <c r="A188" s="906">
        <v>726</v>
      </c>
      <c r="B188" s="905" t="s">
        <v>8823</v>
      </c>
      <c r="C188" s="905" t="s">
        <v>1114</v>
      </c>
      <c r="D188" s="904" t="s">
        <v>8840</v>
      </c>
      <c r="E188" s="1092" t="s">
        <v>11903</v>
      </c>
      <c r="F188" s="903">
        <v>43231</v>
      </c>
      <c r="G188" s="903">
        <v>43290</v>
      </c>
      <c r="H188" s="1087" t="s">
        <v>12031</v>
      </c>
      <c r="I188" s="1087" t="s">
        <v>12085</v>
      </c>
      <c r="J188" s="902">
        <v>1356528.75</v>
      </c>
      <c r="K188" s="902">
        <v>0</v>
      </c>
      <c r="L188" s="902">
        <f>406958.62+713634.83+223956.69</f>
        <v>1344550.14</v>
      </c>
      <c r="M188" s="901">
        <v>1</v>
      </c>
      <c r="N188" s="901">
        <f t="shared" si="6"/>
        <v>0.9911696600606511</v>
      </c>
      <c r="O188" s="900" t="s">
        <v>7483</v>
      </c>
    </row>
    <row r="189" spans="1:15" ht="33" customHeight="1" x14ac:dyDescent="0.25">
      <c r="A189" s="906">
        <v>727</v>
      </c>
      <c r="B189" s="905" t="s">
        <v>8823</v>
      </c>
      <c r="C189" s="905" t="s">
        <v>1114</v>
      </c>
      <c r="D189" s="904" t="s">
        <v>8839</v>
      </c>
      <c r="E189" s="1092" t="s">
        <v>11904</v>
      </c>
      <c r="F189" s="903">
        <v>43229</v>
      </c>
      <c r="G189" s="903">
        <v>43288</v>
      </c>
      <c r="H189" s="1087" t="s">
        <v>9854</v>
      </c>
      <c r="I189" s="1087" t="s">
        <v>12085</v>
      </c>
      <c r="J189" s="902">
        <v>2180799.62</v>
      </c>
      <c r="K189" s="902">
        <v>0</v>
      </c>
      <c r="L189" s="902">
        <f>654239.88+711195.7+719384.25+95979.79</f>
        <v>2180799.62</v>
      </c>
      <c r="M189" s="901">
        <v>1</v>
      </c>
      <c r="N189" s="901">
        <f t="shared" si="6"/>
        <v>1</v>
      </c>
      <c r="O189" s="900" t="s">
        <v>7483</v>
      </c>
    </row>
    <row r="190" spans="1:15" ht="33" customHeight="1" x14ac:dyDescent="0.25">
      <c r="A190" s="906">
        <v>728</v>
      </c>
      <c r="B190" s="905" t="s">
        <v>8823</v>
      </c>
      <c r="C190" s="905" t="s">
        <v>1114</v>
      </c>
      <c r="D190" s="904" t="s">
        <v>8838</v>
      </c>
      <c r="E190" s="1092" t="s">
        <v>11905</v>
      </c>
      <c r="F190" s="903">
        <v>43229</v>
      </c>
      <c r="G190" s="903">
        <v>43288</v>
      </c>
      <c r="H190" s="1087" t="s">
        <v>12057</v>
      </c>
      <c r="I190" s="1087" t="s">
        <v>12085</v>
      </c>
      <c r="J190" s="902">
        <v>1640571.15</v>
      </c>
      <c r="K190" s="902">
        <v>0</v>
      </c>
      <c r="L190" s="902">
        <f>492171.34+852382.62+255402.8+34787.22</f>
        <v>1634743.98</v>
      </c>
      <c r="M190" s="901">
        <v>1</v>
      </c>
      <c r="N190" s="901">
        <f t="shared" si="6"/>
        <v>0.99644808455884404</v>
      </c>
      <c r="O190" s="900" t="s">
        <v>7483</v>
      </c>
    </row>
    <row r="191" spans="1:15" ht="33" customHeight="1" x14ac:dyDescent="0.25">
      <c r="A191" s="906">
        <v>729</v>
      </c>
      <c r="B191" s="905" t="s">
        <v>8823</v>
      </c>
      <c r="C191" s="905" t="s">
        <v>1114</v>
      </c>
      <c r="D191" s="904" t="s">
        <v>8837</v>
      </c>
      <c r="E191" s="1092" t="s">
        <v>11906</v>
      </c>
      <c r="F191" s="903">
        <v>43230</v>
      </c>
      <c r="G191" s="903">
        <v>43289</v>
      </c>
      <c r="H191" s="1087" t="s">
        <v>12058</v>
      </c>
      <c r="I191" s="1087" t="s">
        <v>12085</v>
      </c>
      <c r="J191" s="902">
        <v>3419924.47</v>
      </c>
      <c r="K191" s="902">
        <v>0</v>
      </c>
      <c r="L191" s="902">
        <f>1025977.35+370132.31+432499.42+1591315.39</f>
        <v>3419924.4699999997</v>
      </c>
      <c r="M191" s="901">
        <v>1</v>
      </c>
      <c r="N191" s="901">
        <f t="shared" si="6"/>
        <v>0.99999999999999989</v>
      </c>
      <c r="O191" s="900" t="s">
        <v>7483</v>
      </c>
    </row>
    <row r="192" spans="1:15" ht="33" customHeight="1" x14ac:dyDescent="0.25">
      <c r="A192" s="906">
        <v>730</v>
      </c>
      <c r="B192" s="905" t="s">
        <v>8823</v>
      </c>
      <c r="C192" s="905" t="s">
        <v>1114</v>
      </c>
      <c r="D192" s="904" t="s">
        <v>8837</v>
      </c>
      <c r="E192" s="1092" t="s">
        <v>11907</v>
      </c>
      <c r="F192" s="903">
        <v>43230</v>
      </c>
      <c r="G192" s="903">
        <v>43289</v>
      </c>
      <c r="H192" s="1087" t="s">
        <v>12020</v>
      </c>
      <c r="I192" s="1087" t="s">
        <v>12085</v>
      </c>
      <c r="J192" s="902">
        <v>5180842.3</v>
      </c>
      <c r="K192" s="902">
        <v>0</v>
      </c>
      <c r="L192" s="902">
        <f>1554252.69+1869686.45+1668949.21+75169.15</f>
        <v>5168057.5</v>
      </c>
      <c r="M192" s="901">
        <v>1</v>
      </c>
      <c r="N192" s="901">
        <f t="shared" si="6"/>
        <v>0.99753229315626923</v>
      </c>
      <c r="O192" s="900" t="s">
        <v>7483</v>
      </c>
    </row>
    <row r="193" spans="1:17" ht="33" customHeight="1" x14ac:dyDescent="0.25">
      <c r="A193" s="906">
        <v>731</v>
      </c>
      <c r="B193" s="905" t="s">
        <v>8823</v>
      </c>
      <c r="C193" s="905" t="s">
        <v>1114</v>
      </c>
      <c r="D193" s="904" t="s">
        <v>8836</v>
      </c>
      <c r="E193" s="1092" t="s">
        <v>11908</v>
      </c>
      <c r="F193" s="903">
        <v>43230</v>
      </c>
      <c r="G193" s="903">
        <v>43289</v>
      </c>
      <c r="H193" s="1087" t="s">
        <v>11985</v>
      </c>
      <c r="I193" s="1087" t="s">
        <v>12085</v>
      </c>
      <c r="J193" s="902">
        <v>1578094.74</v>
      </c>
      <c r="K193" s="902">
        <v>0</v>
      </c>
      <c r="L193" s="902">
        <f>473428.42+875284.66+178606.35</f>
        <v>1527319.4300000002</v>
      </c>
      <c r="M193" s="901">
        <v>1</v>
      </c>
      <c r="N193" s="901">
        <f t="shared" si="6"/>
        <v>0.96782492919278107</v>
      </c>
      <c r="O193" s="900" t="s">
        <v>7483</v>
      </c>
    </row>
    <row r="194" spans="1:17" ht="33" customHeight="1" x14ac:dyDescent="0.25">
      <c r="A194" s="906">
        <v>732</v>
      </c>
      <c r="B194" s="905" t="s">
        <v>8823</v>
      </c>
      <c r="C194" s="905" t="s">
        <v>1114</v>
      </c>
      <c r="D194" s="904" t="s">
        <v>8835</v>
      </c>
      <c r="E194" s="1092" t="s">
        <v>11909</v>
      </c>
      <c r="F194" s="903">
        <v>43231</v>
      </c>
      <c r="G194" s="903">
        <v>43290</v>
      </c>
      <c r="H194" s="1087" t="s">
        <v>12045</v>
      </c>
      <c r="I194" s="1087" t="s">
        <v>12085</v>
      </c>
      <c r="J194" s="902">
        <v>1768996.38</v>
      </c>
      <c r="K194" s="902">
        <v>0</v>
      </c>
      <c r="L194" s="902">
        <f>530698.91+1179023.22</f>
        <v>1709722.13</v>
      </c>
      <c r="M194" s="901">
        <v>1</v>
      </c>
      <c r="N194" s="901">
        <f t="shared" si="6"/>
        <v>0.96649272397041308</v>
      </c>
      <c r="O194" s="900" t="s">
        <v>7483</v>
      </c>
    </row>
    <row r="195" spans="1:17" ht="33" customHeight="1" x14ac:dyDescent="0.25">
      <c r="A195" s="906">
        <v>733</v>
      </c>
      <c r="B195" s="905" t="s">
        <v>8823</v>
      </c>
      <c r="C195" s="905" t="s">
        <v>1114</v>
      </c>
      <c r="D195" s="904" t="s">
        <v>8834</v>
      </c>
      <c r="E195" s="1092" t="s">
        <v>11910</v>
      </c>
      <c r="F195" s="903">
        <v>43243</v>
      </c>
      <c r="G195" s="903">
        <v>43302</v>
      </c>
      <c r="H195" s="1087" t="s">
        <v>12022</v>
      </c>
      <c r="I195" s="1087" t="s">
        <v>12085</v>
      </c>
      <c r="J195" s="902">
        <v>3965558.63</v>
      </c>
      <c r="K195" s="902">
        <v>0</v>
      </c>
      <c r="L195" s="902">
        <f>1189667.59+2537248.21+66434.6</f>
        <v>3793350.4</v>
      </c>
      <c r="M195" s="901">
        <v>1</v>
      </c>
      <c r="N195" s="901">
        <f t="shared" si="6"/>
        <v>0.95657403002512154</v>
      </c>
      <c r="O195" s="900" t="s">
        <v>7483</v>
      </c>
    </row>
    <row r="196" spans="1:17" ht="33" customHeight="1" x14ac:dyDescent="0.25">
      <c r="A196" s="906">
        <v>734</v>
      </c>
      <c r="B196" s="905" t="s">
        <v>8823</v>
      </c>
      <c r="C196" s="905" t="s">
        <v>1114</v>
      </c>
      <c r="D196" s="904" t="s">
        <v>8834</v>
      </c>
      <c r="E196" s="1092" t="s">
        <v>11911</v>
      </c>
      <c r="F196" s="903">
        <v>43243</v>
      </c>
      <c r="G196" s="903">
        <v>43302</v>
      </c>
      <c r="H196" s="1087" t="s">
        <v>12022</v>
      </c>
      <c r="I196" s="1087" t="s">
        <v>12085</v>
      </c>
      <c r="J196" s="902">
        <v>3606859.5</v>
      </c>
      <c r="K196" s="902">
        <v>0</v>
      </c>
      <c r="L196" s="902">
        <f>1082057.85+2524801.07</f>
        <v>3606858.92</v>
      </c>
      <c r="M196" s="901">
        <v>1</v>
      </c>
      <c r="N196" s="901">
        <f t="shared" si="6"/>
        <v>0.9999998391952889</v>
      </c>
      <c r="O196" s="900" t="s">
        <v>7483</v>
      </c>
    </row>
    <row r="197" spans="1:17" ht="33" customHeight="1" x14ac:dyDescent="0.25">
      <c r="A197" s="906">
        <v>735</v>
      </c>
      <c r="B197" s="905" t="s">
        <v>8823</v>
      </c>
      <c r="C197" s="905" t="s">
        <v>1114</v>
      </c>
      <c r="D197" s="904" t="s">
        <v>8833</v>
      </c>
      <c r="E197" s="1092" t="s">
        <v>11912</v>
      </c>
      <c r="F197" s="903">
        <v>43230</v>
      </c>
      <c r="G197" s="903">
        <v>43289</v>
      </c>
      <c r="H197" s="1087" t="s">
        <v>12048</v>
      </c>
      <c r="I197" s="1087" t="s">
        <v>12085</v>
      </c>
      <c r="J197" s="902">
        <v>1738063.16</v>
      </c>
      <c r="K197" s="902">
        <v>0</v>
      </c>
      <c r="L197" s="902">
        <f>521418.94+982297.35</f>
        <v>1503716.29</v>
      </c>
      <c r="M197" s="901">
        <v>1</v>
      </c>
      <c r="N197" s="901">
        <f t="shared" si="6"/>
        <v>0.86516780552439765</v>
      </c>
      <c r="O197" s="900" t="s">
        <v>7483</v>
      </c>
    </row>
    <row r="198" spans="1:17" ht="33" customHeight="1" x14ac:dyDescent="0.25">
      <c r="A198" s="906">
        <v>736</v>
      </c>
      <c r="B198" s="905" t="s">
        <v>8823</v>
      </c>
      <c r="C198" s="905" t="s">
        <v>1114</v>
      </c>
      <c r="D198" s="904" t="s">
        <v>8832</v>
      </c>
      <c r="E198" s="1092" t="s">
        <v>11913</v>
      </c>
      <c r="F198" s="903">
        <v>43231</v>
      </c>
      <c r="G198" s="903">
        <v>43290</v>
      </c>
      <c r="H198" s="1087" t="s">
        <v>12048</v>
      </c>
      <c r="I198" s="1087" t="s">
        <v>12085</v>
      </c>
      <c r="J198" s="902">
        <v>1969969.05</v>
      </c>
      <c r="K198" s="902">
        <v>0</v>
      </c>
      <c r="L198" s="902">
        <f>590990.71+863402.24</f>
        <v>1454392.95</v>
      </c>
      <c r="M198" s="901">
        <v>1</v>
      </c>
      <c r="N198" s="901">
        <f t="shared" si="6"/>
        <v>0.73828213189440717</v>
      </c>
      <c r="O198" s="900" t="s">
        <v>7483</v>
      </c>
    </row>
    <row r="199" spans="1:17" ht="33" customHeight="1" x14ac:dyDescent="0.25">
      <c r="A199" s="906">
        <v>737</v>
      </c>
      <c r="B199" s="905" t="s">
        <v>8823</v>
      </c>
      <c r="C199" s="905" t="s">
        <v>1114</v>
      </c>
      <c r="D199" s="904" t="s">
        <v>8831</v>
      </c>
      <c r="E199" s="1092" t="s">
        <v>11914</v>
      </c>
      <c r="F199" s="903">
        <v>43232</v>
      </c>
      <c r="G199" s="903">
        <v>43291</v>
      </c>
      <c r="H199" s="1087" t="s">
        <v>12059</v>
      </c>
      <c r="I199" s="1087" t="s">
        <v>12085</v>
      </c>
      <c r="J199" s="902">
        <v>2137141.39</v>
      </c>
      <c r="K199" s="902">
        <v>0</v>
      </c>
      <c r="L199" s="902">
        <f>641142.42+1212439.33</f>
        <v>1853581.75</v>
      </c>
      <c r="M199" s="901">
        <v>1</v>
      </c>
      <c r="N199" s="901">
        <f t="shared" si="6"/>
        <v>0.86731825918171934</v>
      </c>
      <c r="O199" s="900" t="s">
        <v>7483</v>
      </c>
    </row>
    <row r="200" spans="1:17" ht="33" customHeight="1" x14ac:dyDescent="0.25">
      <c r="A200" s="906">
        <v>738</v>
      </c>
      <c r="B200" s="905" t="s">
        <v>8823</v>
      </c>
      <c r="C200" s="905" t="s">
        <v>1114</v>
      </c>
      <c r="D200" s="904" t="s">
        <v>8830</v>
      </c>
      <c r="E200" s="1092" t="s">
        <v>11915</v>
      </c>
      <c r="F200" s="903">
        <v>43230</v>
      </c>
      <c r="G200" s="903">
        <v>43289</v>
      </c>
      <c r="H200" s="1087" t="s">
        <v>12031</v>
      </c>
      <c r="I200" s="1087" t="s">
        <v>12085</v>
      </c>
      <c r="J200" s="902">
        <v>1039298.09</v>
      </c>
      <c r="K200" s="902">
        <v>0</v>
      </c>
      <c r="L200" s="902">
        <f>311789.43+509917.67</f>
        <v>821707.1</v>
      </c>
      <c r="M200" s="901">
        <v>1</v>
      </c>
      <c r="N200" s="901">
        <f t="shared" si="6"/>
        <v>0.7906365920483891</v>
      </c>
      <c r="O200" s="900" t="s">
        <v>7483</v>
      </c>
    </row>
    <row r="201" spans="1:17" ht="33" customHeight="1" x14ac:dyDescent="0.25">
      <c r="A201" s="906">
        <v>739</v>
      </c>
      <c r="B201" s="905" t="s">
        <v>8823</v>
      </c>
      <c r="C201" s="905" t="s">
        <v>1114</v>
      </c>
      <c r="D201" s="904" t="s">
        <v>8829</v>
      </c>
      <c r="E201" s="1092" t="s">
        <v>11916</v>
      </c>
      <c r="F201" s="903">
        <v>43232</v>
      </c>
      <c r="G201" s="903">
        <v>43306</v>
      </c>
      <c r="H201" s="1087" t="s">
        <v>12031</v>
      </c>
      <c r="I201" s="1087" t="s">
        <v>12085</v>
      </c>
      <c r="J201" s="902">
        <v>2372018.29</v>
      </c>
      <c r="K201" s="902">
        <v>0</v>
      </c>
      <c r="L201" s="902">
        <f>711605.49+1100776.76</f>
        <v>1812382.25</v>
      </c>
      <c r="M201" s="901">
        <v>1</v>
      </c>
      <c r="N201" s="901">
        <f t="shared" si="6"/>
        <v>0.76406756964761846</v>
      </c>
      <c r="O201" s="900" t="s">
        <v>7483</v>
      </c>
    </row>
    <row r="202" spans="1:17" ht="33" customHeight="1" x14ac:dyDescent="0.25">
      <c r="A202" s="906">
        <v>740</v>
      </c>
      <c r="B202" s="905" t="s">
        <v>8823</v>
      </c>
      <c r="C202" s="905" t="s">
        <v>8828</v>
      </c>
      <c r="D202" s="904" t="s">
        <v>8827</v>
      </c>
      <c r="E202" s="1092" t="s">
        <v>11917</v>
      </c>
      <c r="F202" s="903">
        <v>43232</v>
      </c>
      <c r="G202" s="903">
        <v>43291</v>
      </c>
      <c r="H202" s="1087" t="s">
        <v>12045</v>
      </c>
      <c r="I202" s="1087" t="s">
        <v>12085</v>
      </c>
      <c r="J202" s="902">
        <v>1039129.29</v>
      </c>
      <c r="K202" s="902">
        <v>0</v>
      </c>
      <c r="L202" s="902">
        <f>311738.78+727390.51</f>
        <v>1039129.29</v>
      </c>
      <c r="M202" s="901">
        <v>1</v>
      </c>
      <c r="N202" s="901">
        <f t="shared" si="6"/>
        <v>1</v>
      </c>
      <c r="O202" s="900" t="s">
        <v>7483</v>
      </c>
    </row>
    <row r="203" spans="1:17" ht="33" customHeight="1" x14ac:dyDescent="0.25">
      <c r="A203" s="906">
        <v>741</v>
      </c>
      <c r="B203" s="905" t="s">
        <v>8823</v>
      </c>
      <c r="C203" s="905" t="s">
        <v>7998</v>
      </c>
      <c r="D203" s="904" t="s">
        <v>8826</v>
      </c>
      <c r="E203" s="1092" t="s">
        <v>11918</v>
      </c>
      <c r="F203" s="903">
        <v>43230</v>
      </c>
      <c r="G203" s="903">
        <v>43319</v>
      </c>
      <c r="H203" s="1087" t="s">
        <v>12038</v>
      </c>
      <c r="I203" s="1087" t="s">
        <v>12085</v>
      </c>
      <c r="J203" s="902">
        <v>2108115.63</v>
      </c>
      <c r="K203" s="902">
        <v>0</v>
      </c>
      <c r="L203" s="902">
        <f>632434.69+687184.13+1009088.65</f>
        <v>2328707.4699999997</v>
      </c>
      <c r="M203" s="901">
        <v>1</v>
      </c>
      <c r="N203" s="901">
        <f t="shared" si="6"/>
        <v>1.1046393456131245</v>
      </c>
      <c r="O203" s="900" t="s">
        <v>7483</v>
      </c>
    </row>
    <row r="204" spans="1:17" ht="33" customHeight="1" x14ac:dyDescent="0.25">
      <c r="A204" s="906">
        <v>742</v>
      </c>
      <c r="B204" s="905" t="s">
        <v>8823</v>
      </c>
      <c r="C204" s="905" t="s">
        <v>7998</v>
      </c>
      <c r="D204" s="904" t="s">
        <v>8825</v>
      </c>
      <c r="E204" s="1092" t="s">
        <v>11919</v>
      </c>
      <c r="F204" s="903">
        <v>43230</v>
      </c>
      <c r="G204" s="903">
        <v>43304</v>
      </c>
      <c r="H204" s="1087" t="s">
        <v>12045</v>
      </c>
      <c r="I204" s="1087" t="s">
        <v>12085</v>
      </c>
      <c r="J204" s="902">
        <v>2697658.75</v>
      </c>
      <c r="K204" s="902">
        <v>0</v>
      </c>
      <c r="L204" s="902">
        <f>809297.63+1707348.24+180622.34</f>
        <v>2697268.21</v>
      </c>
      <c r="M204" s="901">
        <v>1</v>
      </c>
      <c r="N204" s="901">
        <f t="shared" si="6"/>
        <v>0.99985523002121746</v>
      </c>
      <c r="O204" s="900" t="s">
        <v>7483</v>
      </c>
      <c r="Q204" s="945"/>
    </row>
    <row r="205" spans="1:17" ht="33" customHeight="1" x14ac:dyDescent="0.25">
      <c r="A205" s="906">
        <v>745</v>
      </c>
      <c r="B205" s="905" t="s">
        <v>8823</v>
      </c>
      <c r="C205" s="905" t="s">
        <v>8822</v>
      </c>
      <c r="D205" s="904" t="s">
        <v>8824</v>
      </c>
      <c r="E205" s="1092" t="s">
        <v>11920</v>
      </c>
      <c r="F205" s="903">
        <v>43272</v>
      </c>
      <c r="G205" s="903">
        <v>43451</v>
      </c>
      <c r="H205" s="1087" t="s">
        <v>12060</v>
      </c>
      <c r="I205" s="1087" t="s">
        <v>12086</v>
      </c>
      <c r="J205" s="902">
        <v>9702248.3599999994</v>
      </c>
      <c r="K205" s="902">
        <v>0</v>
      </c>
      <c r="L205" s="902">
        <f>2910674.51+2676764.96+3412997.17+45355.53</f>
        <v>9045792.1699999999</v>
      </c>
      <c r="M205" s="901">
        <v>1</v>
      </c>
      <c r="N205" s="901">
        <f t="shared" ref="N205:N241" si="7">(L205+K205)/J205</f>
        <v>0.93233978706354215</v>
      </c>
      <c r="O205" s="900" t="s">
        <v>7483</v>
      </c>
      <c r="Q205" s="945"/>
    </row>
    <row r="206" spans="1:17" ht="33" customHeight="1" x14ac:dyDescent="0.25">
      <c r="A206" s="906">
        <v>746</v>
      </c>
      <c r="B206" s="905" t="s">
        <v>8823</v>
      </c>
      <c r="C206" s="905" t="s">
        <v>8822</v>
      </c>
      <c r="D206" s="904" t="s">
        <v>8821</v>
      </c>
      <c r="E206" s="1092" t="s">
        <v>11921</v>
      </c>
      <c r="F206" s="903">
        <v>43272</v>
      </c>
      <c r="G206" s="903">
        <v>43451</v>
      </c>
      <c r="H206" s="1087" t="s">
        <v>12060</v>
      </c>
      <c r="I206" s="1087" t="s">
        <v>12086</v>
      </c>
      <c r="J206" s="902">
        <v>9626083.3000000007</v>
      </c>
      <c r="K206" s="902">
        <v>0</v>
      </c>
      <c r="L206" s="902">
        <f>2887824.99+2020559.55+4047104.22+496126.87</f>
        <v>9451615.629999999</v>
      </c>
      <c r="M206" s="901">
        <v>1</v>
      </c>
      <c r="N206" s="901">
        <f t="shared" si="7"/>
        <v>0.98187552875217676</v>
      </c>
      <c r="O206" s="900" t="s">
        <v>7483</v>
      </c>
      <c r="Q206" s="945"/>
    </row>
    <row r="207" spans="1:17" ht="33" customHeight="1" x14ac:dyDescent="0.25">
      <c r="A207" s="906">
        <v>766</v>
      </c>
      <c r="B207" s="905" t="s">
        <v>8818</v>
      </c>
      <c r="C207" s="905" t="s">
        <v>8820</v>
      </c>
      <c r="D207" s="904" t="s">
        <v>1113</v>
      </c>
      <c r="E207" s="1092" t="s">
        <v>11922</v>
      </c>
      <c r="F207" s="903">
        <v>43263</v>
      </c>
      <c r="G207" s="903">
        <v>43412</v>
      </c>
      <c r="H207" s="1087" t="s">
        <v>12061</v>
      </c>
      <c r="I207" s="1087" t="s">
        <v>12085</v>
      </c>
      <c r="J207" s="902">
        <v>4579146.47</v>
      </c>
      <c r="K207" s="902">
        <v>0</v>
      </c>
      <c r="L207" s="902">
        <f>1373743.94+509850.65+572029.33+595431.21+1528091.34</f>
        <v>4579146.47</v>
      </c>
      <c r="M207" s="901">
        <v>1</v>
      </c>
      <c r="N207" s="901">
        <f t="shared" si="7"/>
        <v>1</v>
      </c>
      <c r="O207" s="900" t="s">
        <v>7483</v>
      </c>
      <c r="Q207" s="914"/>
    </row>
    <row r="208" spans="1:17" ht="33" customHeight="1" x14ac:dyDescent="0.25">
      <c r="A208" s="906">
        <v>767</v>
      </c>
      <c r="B208" s="905" t="s">
        <v>8818</v>
      </c>
      <c r="C208" s="905" t="s">
        <v>8820</v>
      </c>
      <c r="D208" s="904" t="s">
        <v>1113</v>
      </c>
      <c r="E208" s="1092" t="s">
        <v>11923</v>
      </c>
      <c r="F208" s="903">
        <v>43263</v>
      </c>
      <c r="G208" s="903">
        <v>43352</v>
      </c>
      <c r="H208" s="1087" t="s">
        <v>11983</v>
      </c>
      <c r="I208" s="1087" t="s">
        <v>12085</v>
      </c>
      <c r="J208" s="902">
        <v>1512149.77</v>
      </c>
      <c r="K208" s="902">
        <v>0</v>
      </c>
      <c r="L208" s="902">
        <f>453644.93+411623.73+643956.23</f>
        <v>1509224.89</v>
      </c>
      <c r="M208" s="901">
        <v>1</v>
      </c>
      <c r="N208" s="901">
        <f t="shared" si="7"/>
        <v>0.99806574715148744</v>
      </c>
      <c r="O208" s="900" t="s">
        <v>7483</v>
      </c>
      <c r="Q208" s="914"/>
    </row>
    <row r="209" spans="1:17" ht="33" customHeight="1" x14ac:dyDescent="0.25">
      <c r="A209" s="906">
        <v>768</v>
      </c>
      <c r="B209" s="905" t="s">
        <v>8818</v>
      </c>
      <c r="C209" s="905" t="s">
        <v>8820</v>
      </c>
      <c r="D209" s="904" t="s">
        <v>1113</v>
      </c>
      <c r="E209" s="1092" t="s">
        <v>11924</v>
      </c>
      <c r="F209" s="903">
        <v>43263</v>
      </c>
      <c r="G209" s="903">
        <v>43367</v>
      </c>
      <c r="H209" s="1087" t="s">
        <v>11983</v>
      </c>
      <c r="I209" s="1087" t="s">
        <v>12085</v>
      </c>
      <c r="J209" s="902">
        <v>1374681.61</v>
      </c>
      <c r="K209" s="902">
        <v>0</v>
      </c>
      <c r="L209" s="902">
        <f>412404.49+120137.23+578842.06+171595.98</f>
        <v>1282979.76</v>
      </c>
      <c r="M209" s="901">
        <v>1</v>
      </c>
      <c r="N209" s="901">
        <f t="shared" si="7"/>
        <v>0.93329229886184328</v>
      </c>
      <c r="O209" s="900" t="s">
        <v>7483</v>
      </c>
      <c r="Q209" s="914"/>
    </row>
    <row r="210" spans="1:17" ht="33" customHeight="1" x14ac:dyDescent="0.25">
      <c r="A210" s="906">
        <v>769</v>
      </c>
      <c r="B210" s="905" t="s">
        <v>8818</v>
      </c>
      <c r="C210" s="905" t="s">
        <v>8820</v>
      </c>
      <c r="D210" s="904" t="s">
        <v>1113</v>
      </c>
      <c r="E210" s="1092" t="s">
        <v>11925</v>
      </c>
      <c r="F210" s="903">
        <v>43265</v>
      </c>
      <c r="G210" s="903">
        <v>43354</v>
      </c>
      <c r="H210" s="1087" t="s">
        <v>12062</v>
      </c>
      <c r="I210" s="1087" t="s">
        <v>12085</v>
      </c>
      <c r="J210" s="902">
        <v>1695339.58</v>
      </c>
      <c r="K210" s="902">
        <v>0</v>
      </c>
      <c r="L210" s="902">
        <f>508601.87+293856.95+741278.91+105402.26</f>
        <v>1649139.99</v>
      </c>
      <c r="M210" s="901">
        <v>1</v>
      </c>
      <c r="N210" s="901">
        <f t="shared" si="7"/>
        <v>0.97274906423172158</v>
      </c>
      <c r="O210" s="900" t="s">
        <v>7483</v>
      </c>
      <c r="Q210" s="914"/>
    </row>
    <row r="211" spans="1:17" ht="33" customHeight="1" x14ac:dyDescent="0.25">
      <c r="A211" s="906">
        <v>790</v>
      </c>
      <c r="B211" s="905" t="s">
        <v>8818</v>
      </c>
      <c r="C211" s="905" t="s">
        <v>8819</v>
      </c>
      <c r="D211" s="904" t="s">
        <v>8816</v>
      </c>
      <c r="E211" s="1092" t="s">
        <v>11926</v>
      </c>
      <c r="F211" s="903">
        <v>43335</v>
      </c>
      <c r="G211" s="903">
        <v>43394</v>
      </c>
      <c r="H211" s="1087" t="s">
        <v>12046</v>
      </c>
      <c r="I211" s="1087" t="s">
        <v>12085</v>
      </c>
      <c r="J211" s="902">
        <v>1420843.08</v>
      </c>
      <c r="K211" s="902">
        <v>0</v>
      </c>
      <c r="L211" s="902">
        <f>426252.93+183053.64+436669.3+374867.21</f>
        <v>1420843.08</v>
      </c>
      <c r="M211" s="901">
        <v>1</v>
      </c>
      <c r="N211" s="901">
        <f t="shared" si="7"/>
        <v>1</v>
      </c>
      <c r="O211" s="900" t="s">
        <v>7483</v>
      </c>
      <c r="Q211" s="914"/>
    </row>
    <row r="212" spans="1:17" ht="33" customHeight="1" x14ac:dyDescent="0.25">
      <c r="A212" s="906">
        <v>791</v>
      </c>
      <c r="B212" s="905" t="s">
        <v>8818</v>
      </c>
      <c r="C212" s="905" t="s">
        <v>8817</v>
      </c>
      <c r="D212" s="904" t="s">
        <v>8816</v>
      </c>
      <c r="E212" s="1092" t="s">
        <v>11927</v>
      </c>
      <c r="F212" s="903">
        <v>43325</v>
      </c>
      <c r="G212" s="903">
        <v>43384</v>
      </c>
      <c r="H212" s="1087" t="s">
        <v>11983</v>
      </c>
      <c r="I212" s="1087" t="s">
        <v>12085</v>
      </c>
      <c r="J212" s="902">
        <v>1374769.91</v>
      </c>
      <c r="K212" s="902">
        <v>0</v>
      </c>
      <c r="L212" s="902">
        <f>412430.97+356342.17+563434.11+42562.66</f>
        <v>1374769.91</v>
      </c>
      <c r="M212" s="901">
        <v>1</v>
      </c>
      <c r="N212" s="901">
        <f t="shared" si="7"/>
        <v>1</v>
      </c>
      <c r="O212" s="900" t="s">
        <v>7483</v>
      </c>
      <c r="Q212" s="914"/>
    </row>
    <row r="213" spans="1:17" ht="33" customHeight="1" x14ac:dyDescent="0.25">
      <c r="A213" s="906">
        <v>770</v>
      </c>
      <c r="B213" s="905" t="s">
        <v>8815</v>
      </c>
      <c r="C213" s="905" t="s">
        <v>8762</v>
      </c>
      <c r="D213" s="904" t="s">
        <v>8814</v>
      </c>
      <c r="E213" s="1092" t="s">
        <v>11928</v>
      </c>
      <c r="F213" s="903">
        <v>43265</v>
      </c>
      <c r="G213" s="903">
        <v>43354</v>
      </c>
      <c r="H213" s="1087" t="s">
        <v>12063</v>
      </c>
      <c r="I213" s="1087" t="s">
        <v>12085</v>
      </c>
      <c r="J213" s="902">
        <v>2966160.52</v>
      </c>
      <c r="K213" s="902">
        <v>0</v>
      </c>
      <c r="L213" s="902">
        <f>889848.16+1069700.29+116512.02+822338.22</f>
        <v>2898398.6900000004</v>
      </c>
      <c r="M213" s="901">
        <v>1</v>
      </c>
      <c r="N213" s="901">
        <f t="shared" si="7"/>
        <v>0.97715503610033905</v>
      </c>
      <c r="O213" s="900" t="s">
        <v>7483</v>
      </c>
      <c r="Q213" s="1090"/>
    </row>
    <row r="214" spans="1:17" ht="33" customHeight="1" x14ac:dyDescent="0.25">
      <c r="A214" s="906">
        <v>747</v>
      </c>
      <c r="B214" s="905" t="s">
        <v>8785</v>
      </c>
      <c r="C214" s="905" t="s">
        <v>8778</v>
      </c>
      <c r="D214" s="904" t="s">
        <v>8813</v>
      </c>
      <c r="E214" s="1092" t="s">
        <v>11929</v>
      </c>
      <c r="F214" s="903">
        <v>43263</v>
      </c>
      <c r="G214" s="903">
        <v>43322</v>
      </c>
      <c r="H214" s="1087" t="s">
        <v>12064</v>
      </c>
      <c r="I214" s="1087" t="s">
        <v>12085</v>
      </c>
      <c r="J214" s="902">
        <v>3053359.25</v>
      </c>
      <c r="K214" s="902">
        <v>0</v>
      </c>
      <c r="L214" s="902">
        <f>916007.78+1054519.39+779427.91+292920.52</f>
        <v>3042875.6</v>
      </c>
      <c r="M214" s="901">
        <v>1</v>
      </c>
      <c r="N214" s="901">
        <f t="shared" si="7"/>
        <v>0.99656651931802653</v>
      </c>
      <c r="O214" s="900" t="s">
        <v>7483</v>
      </c>
      <c r="Q214" s="1090"/>
    </row>
    <row r="215" spans="1:17" ht="33" customHeight="1" x14ac:dyDescent="0.25">
      <c r="A215" s="906">
        <v>748</v>
      </c>
      <c r="B215" s="905" t="s">
        <v>8785</v>
      </c>
      <c r="C215" s="905" t="s">
        <v>8762</v>
      </c>
      <c r="D215" s="904" t="s">
        <v>8812</v>
      </c>
      <c r="E215" s="1092" t="s">
        <v>11930</v>
      </c>
      <c r="F215" s="903">
        <v>43263</v>
      </c>
      <c r="G215" s="903">
        <v>43322</v>
      </c>
      <c r="H215" s="1087" t="s">
        <v>12065</v>
      </c>
      <c r="I215" s="1087" t="s">
        <v>12085</v>
      </c>
      <c r="J215" s="902">
        <v>1879079.04</v>
      </c>
      <c r="K215" s="902">
        <v>0</v>
      </c>
      <c r="L215" s="902">
        <f>563723.71+1033212.71+173149.06</f>
        <v>1770085.48</v>
      </c>
      <c r="M215" s="901">
        <v>1</v>
      </c>
      <c r="N215" s="901">
        <f t="shared" si="7"/>
        <v>0.9419962877133683</v>
      </c>
      <c r="O215" s="900" t="s">
        <v>7483</v>
      </c>
      <c r="Q215" s="1090"/>
    </row>
    <row r="216" spans="1:17" ht="33" customHeight="1" x14ac:dyDescent="0.25">
      <c r="A216" s="906">
        <v>749</v>
      </c>
      <c r="B216" s="905" t="s">
        <v>8785</v>
      </c>
      <c r="C216" s="905" t="s">
        <v>8778</v>
      </c>
      <c r="D216" s="904" t="s">
        <v>8811</v>
      </c>
      <c r="E216" s="1092" t="s">
        <v>11931</v>
      </c>
      <c r="F216" s="903">
        <v>43263</v>
      </c>
      <c r="G216" s="903">
        <v>43322</v>
      </c>
      <c r="H216" s="1087" t="s">
        <v>12048</v>
      </c>
      <c r="I216" s="1087" t="s">
        <v>12085</v>
      </c>
      <c r="J216" s="902">
        <v>2660505.02</v>
      </c>
      <c r="K216" s="902">
        <v>0</v>
      </c>
      <c r="L216" s="902">
        <f>798151.5+1730376.08+65208.07</f>
        <v>2593735.65</v>
      </c>
      <c r="M216" s="901">
        <v>1</v>
      </c>
      <c r="N216" s="901">
        <f t="shared" si="7"/>
        <v>0.97490349783290386</v>
      </c>
      <c r="O216" s="900" t="s">
        <v>7483</v>
      </c>
    </row>
    <row r="217" spans="1:17" ht="33" customHeight="1" x14ac:dyDescent="0.25">
      <c r="A217" s="906">
        <v>750</v>
      </c>
      <c r="B217" s="905" t="s">
        <v>8785</v>
      </c>
      <c r="C217" s="905" t="s">
        <v>8762</v>
      </c>
      <c r="D217" s="904" t="s">
        <v>8810</v>
      </c>
      <c r="E217" s="1092" t="s">
        <v>11932</v>
      </c>
      <c r="F217" s="903">
        <v>43263</v>
      </c>
      <c r="G217" s="903">
        <v>43322</v>
      </c>
      <c r="H217" s="1087" t="s">
        <v>12066</v>
      </c>
      <c r="I217" s="1087" t="s">
        <v>12085</v>
      </c>
      <c r="J217" s="902">
        <v>1272135.8</v>
      </c>
      <c r="K217" s="902">
        <v>0</v>
      </c>
      <c r="L217" s="902">
        <f>381640.74+274109.15+616385.91</f>
        <v>1272135.8</v>
      </c>
      <c r="M217" s="901">
        <v>1</v>
      </c>
      <c r="N217" s="901">
        <f t="shared" si="7"/>
        <v>1</v>
      </c>
      <c r="O217" s="900" t="s">
        <v>7483</v>
      </c>
    </row>
    <row r="218" spans="1:17" ht="33" customHeight="1" x14ac:dyDescent="0.25">
      <c r="A218" s="906">
        <v>751</v>
      </c>
      <c r="B218" s="905" t="s">
        <v>8785</v>
      </c>
      <c r="C218" s="905" t="s">
        <v>8762</v>
      </c>
      <c r="D218" s="904" t="s">
        <v>8809</v>
      </c>
      <c r="E218" s="1092" t="s">
        <v>11933</v>
      </c>
      <c r="F218" s="903">
        <v>43263</v>
      </c>
      <c r="G218" s="903">
        <v>43322</v>
      </c>
      <c r="H218" s="1087" t="s">
        <v>12067</v>
      </c>
      <c r="I218" s="1087" t="s">
        <v>12085</v>
      </c>
      <c r="J218" s="902">
        <v>1203934.49</v>
      </c>
      <c r="K218" s="902">
        <v>0</v>
      </c>
      <c r="L218" s="902">
        <f>361180.35+740879.21+9659.55</f>
        <v>1111719.1100000001</v>
      </c>
      <c r="M218" s="901">
        <v>1</v>
      </c>
      <c r="N218" s="901">
        <f t="shared" si="7"/>
        <v>0.92340498526626658</v>
      </c>
      <c r="O218" s="900" t="s">
        <v>7483</v>
      </c>
    </row>
    <row r="219" spans="1:17" ht="33" customHeight="1" x14ac:dyDescent="0.25">
      <c r="A219" s="906">
        <v>752</v>
      </c>
      <c r="B219" s="905" t="s">
        <v>8785</v>
      </c>
      <c r="C219" s="905" t="s">
        <v>8762</v>
      </c>
      <c r="D219" s="904" t="s">
        <v>8808</v>
      </c>
      <c r="E219" s="1092" t="s">
        <v>11934</v>
      </c>
      <c r="F219" s="903">
        <v>43265</v>
      </c>
      <c r="G219" s="903">
        <v>43336</v>
      </c>
      <c r="H219" s="1087" t="s">
        <v>12003</v>
      </c>
      <c r="I219" s="1087" t="s">
        <v>12085</v>
      </c>
      <c r="J219" s="902">
        <v>1164563.75</v>
      </c>
      <c r="K219" s="902">
        <v>0</v>
      </c>
      <c r="L219" s="902">
        <f>349369.12+773458.02</f>
        <v>1122827.1400000001</v>
      </c>
      <c r="M219" s="901">
        <v>1</v>
      </c>
      <c r="N219" s="901">
        <f t="shared" si="7"/>
        <v>0.96416116335408875</v>
      </c>
      <c r="O219" s="900" t="s">
        <v>7483</v>
      </c>
    </row>
    <row r="220" spans="1:17" ht="33" customHeight="1" x14ac:dyDescent="0.25">
      <c r="A220" s="906">
        <v>753</v>
      </c>
      <c r="B220" s="905" t="s">
        <v>8785</v>
      </c>
      <c r="C220" s="905" t="s">
        <v>8762</v>
      </c>
      <c r="D220" s="904" t="s">
        <v>8807</v>
      </c>
      <c r="E220" s="1092" t="s">
        <v>11935</v>
      </c>
      <c r="F220" s="903">
        <v>43265</v>
      </c>
      <c r="G220" s="903">
        <v>43324</v>
      </c>
      <c r="H220" s="1087" t="s">
        <v>12033</v>
      </c>
      <c r="I220" s="1087" t="s">
        <v>12085</v>
      </c>
      <c r="J220" s="902">
        <v>1846994.57</v>
      </c>
      <c r="K220" s="902">
        <v>0</v>
      </c>
      <c r="L220" s="902">
        <f>554098.37+970337.4</f>
        <v>1524435.77</v>
      </c>
      <c r="M220" s="901">
        <v>1</v>
      </c>
      <c r="N220" s="901">
        <f t="shared" si="7"/>
        <v>0.82536017959164865</v>
      </c>
      <c r="O220" s="900" t="s">
        <v>7483</v>
      </c>
    </row>
    <row r="221" spans="1:17" ht="33" customHeight="1" x14ac:dyDescent="0.25">
      <c r="A221" s="906">
        <v>754</v>
      </c>
      <c r="B221" s="905" t="s">
        <v>8785</v>
      </c>
      <c r="C221" s="905" t="s">
        <v>8778</v>
      </c>
      <c r="D221" s="904" t="s">
        <v>8806</v>
      </c>
      <c r="E221" s="1092" t="s">
        <v>11936</v>
      </c>
      <c r="F221" s="903">
        <v>43265</v>
      </c>
      <c r="G221" s="903">
        <v>43324</v>
      </c>
      <c r="H221" s="1087" t="s">
        <v>12068</v>
      </c>
      <c r="I221" s="1087" t="s">
        <v>12085</v>
      </c>
      <c r="J221" s="902">
        <v>3614963.69</v>
      </c>
      <c r="K221" s="902">
        <v>0</v>
      </c>
      <c r="L221" s="902">
        <f>1084489.1+1060645.44+902007.23+318137.22</f>
        <v>3365278.99</v>
      </c>
      <c r="M221" s="901">
        <v>1</v>
      </c>
      <c r="N221" s="901">
        <f t="shared" si="7"/>
        <v>0.93093023293962884</v>
      </c>
      <c r="O221" s="900" t="s">
        <v>7483</v>
      </c>
    </row>
    <row r="222" spans="1:17" ht="33" customHeight="1" x14ac:dyDescent="0.25">
      <c r="A222" s="906">
        <v>755</v>
      </c>
      <c r="B222" s="905" t="s">
        <v>8785</v>
      </c>
      <c r="C222" s="905" t="s">
        <v>8762</v>
      </c>
      <c r="D222" s="904" t="s">
        <v>8805</v>
      </c>
      <c r="E222" s="1092" t="s">
        <v>11937</v>
      </c>
      <c r="F222" s="903">
        <v>43274</v>
      </c>
      <c r="G222" s="903">
        <v>43348</v>
      </c>
      <c r="H222" s="1087" t="s">
        <v>12069</v>
      </c>
      <c r="I222" s="1087" t="s">
        <v>12085</v>
      </c>
      <c r="J222" s="902">
        <v>1128392.3899999999</v>
      </c>
      <c r="K222" s="902">
        <v>0</v>
      </c>
      <c r="L222" s="902">
        <f>338517.72+826697.74</f>
        <v>1165215.46</v>
      </c>
      <c r="M222" s="901">
        <v>1</v>
      </c>
      <c r="N222" s="901">
        <f t="shared" si="7"/>
        <v>1.0326332136997132</v>
      </c>
      <c r="O222" s="900" t="s">
        <v>7483</v>
      </c>
    </row>
    <row r="223" spans="1:17" ht="33" customHeight="1" x14ac:dyDescent="0.25">
      <c r="A223" s="906">
        <v>756</v>
      </c>
      <c r="B223" s="905" t="s">
        <v>8785</v>
      </c>
      <c r="C223" s="905" t="s">
        <v>8762</v>
      </c>
      <c r="D223" s="904" t="s">
        <v>8804</v>
      </c>
      <c r="E223" s="1092" t="s">
        <v>11938</v>
      </c>
      <c r="F223" s="903">
        <v>43265</v>
      </c>
      <c r="G223" s="903">
        <v>43324</v>
      </c>
      <c r="H223" s="1087" t="s">
        <v>12070</v>
      </c>
      <c r="I223" s="1087" t="s">
        <v>12085</v>
      </c>
      <c r="J223" s="902">
        <v>2311714.13</v>
      </c>
      <c r="K223" s="902">
        <v>0</v>
      </c>
      <c r="L223" s="902">
        <f>583635.07+1301815.27+344731.71</f>
        <v>2230182.0499999998</v>
      </c>
      <c r="M223" s="901">
        <v>1</v>
      </c>
      <c r="N223" s="901">
        <f t="shared" si="7"/>
        <v>0.96473089862542816</v>
      </c>
      <c r="O223" s="900" t="s">
        <v>7483</v>
      </c>
    </row>
    <row r="224" spans="1:17" ht="33" customHeight="1" x14ac:dyDescent="0.25">
      <c r="A224" s="906">
        <v>757</v>
      </c>
      <c r="B224" s="905" t="s">
        <v>8785</v>
      </c>
      <c r="C224" s="905" t="s">
        <v>8762</v>
      </c>
      <c r="D224" s="904" t="s">
        <v>8803</v>
      </c>
      <c r="E224" s="1092" t="s">
        <v>11939</v>
      </c>
      <c r="F224" s="903">
        <v>43265</v>
      </c>
      <c r="G224" s="903">
        <v>43324</v>
      </c>
      <c r="H224" s="1087" t="s">
        <v>12071</v>
      </c>
      <c r="I224" s="1087" t="s">
        <v>12085</v>
      </c>
      <c r="J224" s="902">
        <v>1319351.0900000001</v>
      </c>
      <c r="K224" s="902">
        <v>0</v>
      </c>
      <c r="L224" s="902">
        <f>395805.33+789656.53+79940.94</f>
        <v>1265402.8</v>
      </c>
      <c r="M224" s="901">
        <v>1</v>
      </c>
      <c r="N224" s="901">
        <f t="shared" si="7"/>
        <v>0.9591099818623714</v>
      </c>
      <c r="O224" s="900" t="s">
        <v>7483</v>
      </c>
    </row>
    <row r="225" spans="1:15" ht="33" customHeight="1" x14ac:dyDescent="0.25">
      <c r="A225" s="906">
        <v>758</v>
      </c>
      <c r="B225" s="905" t="s">
        <v>8785</v>
      </c>
      <c r="C225" s="905" t="s">
        <v>8778</v>
      </c>
      <c r="D225" s="904" t="s">
        <v>8802</v>
      </c>
      <c r="E225" s="1092" t="s">
        <v>11940</v>
      </c>
      <c r="F225" s="903">
        <v>43265</v>
      </c>
      <c r="G225" s="903">
        <v>43324</v>
      </c>
      <c r="H225" s="1087" t="s">
        <v>12072</v>
      </c>
      <c r="I225" s="1087" t="s">
        <v>12085</v>
      </c>
      <c r="J225" s="902">
        <v>1753851.78</v>
      </c>
      <c r="K225" s="902">
        <v>0</v>
      </c>
      <c r="L225" s="902">
        <f>526155.53+1223839.88</f>
        <v>1749995.41</v>
      </c>
      <c r="M225" s="901">
        <v>1</v>
      </c>
      <c r="N225" s="901">
        <f t="shared" si="7"/>
        <v>0.99780119959737978</v>
      </c>
      <c r="O225" s="900" t="s">
        <v>7483</v>
      </c>
    </row>
    <row r="226" spans="1:15" ht="33" customHeight="1" x14ac:dyDescent="0.25">
      <c r="A226" s="906">
        <v>759</v>
      </c>
      <c r="B226" s="905" t="s">
        <v>8785</v>
      </c>
      <c r="C226" s="905" t="s">
        <v>8762</v>
      </c>
      <c r="D226" s="904" t="s">
        <v>8801</v>
      </c>
      <c r="E226" s="1092" t="s">
        <v>11941</v>
      </c>
      <c r="F226" s="903">
        <v>43265</v>
      </c>
      <c r="G226" s="903">
        <v>43324</v>
      </c>
      <c r="H226" s="1087" t="s">
        <v>12068</v>
      </c>
      <c r="I226" s="1087" t="s">
        <v>12085</v>
      </c>
      <c r="J226" s="902">
        <v>1643520.1</v>
      </c>
      <c r="K226" s="902">
        <v>0</v>
      </c>
      <c r="L226" s="902">
        <f>493056.03+961595.42+38391.13</f>
        <v>1493042.58</v>
      </c>
      <c r="M226" s="901">
        <v>1</v>
      </c>
      <c r="N226" s="901">
        <f t="shared" si="7"/>
        <v>0.90844193508798587</v>
      </c>
      <c r="O226" s="900" t="s">
        <v>7483</v>
      </c>
    </row>
    <row r="227" spans="1:15" ht="33" customHeight="1" x14ac:dyDescent="0.25">
      <c r="A227" s="906">
        <v>760</v>
      </c>
      <c r="B227" s="905" t="s">
        <v>8785</v>
      </c>
      <c r="C227" s="905" t="s">
        <v>8762</v>
      </c>
      <c r="D227" s="904" t="s">
        <v>8028</v>
      </c>
      <c r="E227" s="1092" t="s">
        <v>11942</v>
      </c>
      <c r="F227" s="903">
        <v>43265</v>
      </c>
      <c r="G227" s="903">
        <v>43324</v>
      </c>
      <c r="H227" s="1087" t="s">
        <v>12069</v>
      </c>
      <c r="I227" s="1087" t="s">
        <v>12085</v>
      </c>
      <c r="J227" s="902">
        <v>986138.43</v>
      </c>
      <c r="K227" s="902">
        <v>0</v>
      </c>
      <c r="L227" s="902">
        <f>295841.53+471407.61+8020.11</f>
        <v>775269.25</v>
      </c>
      <c r="M227" s="901">
        <v>1</v>
      </c>
      <c r="N227" s="901">
        <f t="shared" si="7"/>
        <v>0.78616675551321935</v>
      </c>
      <c r="O227" s="900" t="s">
        <v>7483</v>
      </c>
    </row>
    <row r="228" spans="1:15" ht="33" customHeight="1" x14ac:dyDescent="0.25">
      <c r="A228" s="906">
        <v>761</v>
      </c>
      <c r="B228" s="905" t="s">
        <v>8785</v>
      </c>
      <c r="C228" s="905" t="s">
        <v>8762</v>
      </c>
      <c r="D228" s="904" t="s">
        <v>8800</v>
      </c>
      <c r="E228" s="1092" t="s">
        <v>11943</v>
      </c>
      <c r="F228" s="903">
        <v>43265</v>
      </c>
      <c r="G228" s="903">
        <v>43336</v>
      </c>
      <c r="H228" s="1087" t="s">
        <v>12068</v>
      </c>
      <c r="I228" s="1087" t="s">
        <v>12085</v>
      </c>
      <c r="J228" s="902">
        <v>3960001.65</v>
      </c>
      <c r="K228" s="902">
        <v>0</v>
      </c>
      <c r="L228" s="902">
        <f>1166047.89+1287789.56+1506162.75</f>
        <v>3960000.2</v>
      </c>
      <c r="M228" s="901">
        <v>1</v>
      </c>
      <c r="N228" s="901">
        <f t="shared" si="7"/>
        <v>0.99999963383853652</v>
      </c>
      <c r="O228" s="900" t="s">
        <v>7483</v>
      </c>
    </row>
    <row r="229" spans="1:15" ht="33" customHeight="1" x14ac:dyDescent="0.25">
      <c r="A229" s="906">
        <v>762</v>
      </c>
      <c r="B229" s="905" t="s">
        <v>8785</v>
      </c>
      <c r="C229" s="905" t="s">
        <v>1114</v>
      </c>
      <c r="D229" s="904" t="s">
        <v>8799</v>
      </c>
      <c r="E229" s="1092" t="s">
        <v>11944</v>
      </c>
      <c r="F229" s="903">
        <v>43265</v>
      </c>
      <c r="G229" s="903">
        <v>43324</v>
      </c>
      <c r="H229" s="1087" t="s">
        <v>12029</v>
      </c>
      <c r="I229" s="1087" t="s">
        <v>12085</v>
      </c>
      <c r="J229" s="902">
        <v>1308806.8600000001</v>
      </c>
      <c r="K229" s="902">
        <v>0</v>
      </c>
      <c r="L229" s="902">
        <f>392642.06+750456.08+153029.86</f>
        <v>1296128</v>
      </c>
      <c r="M229" s="901">
        <v>1</v>
      </c>
      <c r="N229" s="901">
        <f t="shared" si="7"/>
        <v>0.9903126577438629</v>
      </c>
      <c r="O229" s="900" t="s">
        <v>7483</v>
      </c>
    </row>
    <row r="230" spans="1:15" ht="33" customHeight="1" x14ac:dyDescent="0.25">
      <c r="A230" s="906">
        <v>780</v>
      </c>
      <c r="B230" s="905" t="s">
        <v>8785</v>
      </c>
      <c r="C230" s="905" t="s">
        <v>1114</v>
      </c>
      <c r="D230" s="904" t="s">
        <v>8798</v>
      </c>
      <c r="E230" s="1092" t="s">
        <v>11945</v>
      </c>
      <c r="F230" s="903">
        <v>43276</v>
      </c>
      <c r="G230" s="903">
        <v>43350</v>
      </c>
      <c r="H230" s="1087" t="s">
        <v>12073</v>
      </c>
      <c r="I230" s="1087" t="s">
        <v>12085</v>
      </c>
      <c r="J230" s="902">
        <v>1114530.9099999999</v>
      </c>
      <c r="K230" s="902">
        <v>0</v>
      </c>
      <c r="L230" s="902">
        <f>334359.27+780171.64</f>
        <v>1114530.9100000001</v>
      </c>
      <c r="M230" s="901">
        <v>1</v>
      </c>
      <c r="N230" s="901">
        <f t="shared" si="7"/>
        <v>1.0000000000000002</v>
      </c>
      <c r="O230" s="900" t="s">
        <v>7483</v>
      </c>
    </row>
    <row r="231" spans="1:15" ht="33" customHeight="1" x14ac:dyDescent="0.25">
      <c r="A231" s="906">
        <v>781</v>
      </c>
      <c r="B231" s="905" t="s">
        <v>8785</v>
      </c>
      <c r="C231" s="905" t="s">
        <v>7998</v>
      </c>
      <c r="D231" s="904" t="s">
        <v>8797</v>
      </c>
      <c r="E231" s="1092" t="s">
        <v>11946</v>
      </c>
      <c r="F231" s="903">
        <v>43276</v>
      </c>
      <c r="G231" s="903">
        <v>43335</v>
      </c>
      <c r="H231" s="1087" t="s">
        <v>12034</v>
      </c>
      <c r="I231" s="1087" t="s">
        <v>12085</v>
      </c>
      <c r="J231" s="902">
        <v>2499861.2200000002</v>
      </c>
      <c r="K231" s="902">
        <v>0</v>
      </c>
      <c r="L231" s="902">
        <f>749958.36+278365.9+1434237.36</f>
        <v>2462561.62</v>
      </c>
      <c r="M231" s="901">
        <v>1</v>
      </c>
      <c r="N231" s="901">
        <f t="shared" si="7"/>
        <v>0.98507933172386264</v>
      </c>
      <c r="O231" s="900" t="s">
        <v>7483</v>
      </c>
    </row>
    <row r="232" spans="1:15" ht="33" customHeight="1" x14ac:dyDescent="0.25">
      <c r="A232" s="906">
        <v>782</v>
      </c>
      <c r="B232" s="905" t="s">
        <v>8785</v>
      </c>
      <c r="C232" s="905" t="s">
        <v>1114</v>
      </c>
      <c r="D232" s="904" t="s">
        <v>8796</v>
      </c>
      <c r="E232" s="1092" t="s">
        <v>11947</v>
      </c>
      <c r="F232" s="903">
        <v>43276</v>
      </c>
      <c r="G232" s="903">
        <v>43335</v>
      </c>
      <c r="H232" s="1087" t="s">
        <v>12027</v>
      </c>
      <c r="I232" s="1087" t="s">
        <v>12085</v>
      </c>
      <c r="J232" s="902">
        <v>1524182.48</v>
      </c>
      <c r="K232" s="902">
        <v>0</v>
      </c>
      <c r="L232" s="902">
        <f>457254.74+650448.85+115208.29</f>
        <v>1222911.8799999999</v>
      </c>
      <c r="M232" s="901">
        <v>1</v>
      </c>
      <c r="N232" s="901">
        <f t="shared" si="7"/>
        <v>0.80233954664011087</v>
      </c>
      <c r="O232" s="900" t="s">
        <v>7483</v>
      </c>
    </row>
    <row r="233" spans="1:15" ht="33" customHeight="1" x14ac:dyDescent="0.25">
      <c r="A233" s="906">
        <v>783</v>
      </c>
      <c r="B233" s="905" t="s">
        <v>8785</v>
      </c>
      <c r="C233" s="905" t="s">
        <v>8762</v>
      </c>
      <c r="D233" s="904" t="s">
        <v>8795</v>
      </c>
      <c r="E233" s="1092" t="s">
        <v>12176</v>
      </c>
      <c r="F233" s="903">
        <v>43273</v>
      </c>
      <c r="G233" s="903">
        <v>43347</v>
      </c>
      <c r="H233" s="1087" t="s">
        <v>12023</v>
      </c>
      <c r="I233" s="1087" t="s">
        <v>12086</v>
      </c>
      <c r="J233" s="902">
        <v>1950414.7</v>
      </c>
      <c r="K233" s="902">
        <v>0</v>
      </c>
      <c r="L233" s="902">
        <f>585124.4+1361884.96</f>
        <v>1947009.3599999999</v>
      </c>
      <c r="M233" s="901">
        <v>1</v>
      </c>
      <c r="N233" s="901">
        <f t="shared" si="7"/>
        <v>0.9982540431017054</v>
      </c>
      <c r="O233" s="900" t="s">
        <v>7483</v>
      </c>
    </row>
    <row r="234" spans="1:15" ht="33" customHeight="1" x14ac:dyDescent="0.25">
      <c r="A234" s="906">
        <v>784</v>
      </c>
      <c r="B234" s="905" t="s">
        <v>8785</v>
      </c>
      <c r="C234" s="905" t="s">
        <v>8762</v>
      </c>
      <c r="D234" s="904" t="s">
        <v>8794</v>
      </c>
      <c r="E234" s="1092" t="s">
        <v>11948</v>
      </c>
      <c r="F234" s="903">
        <v>43273</v>
      </c>
      <c r="G234" s="903">
        <v>43352</v>
      </c>
      <c r="H234" s="1087" t="s">
        <v>12027</v>
      </c>
      <c r="I234" s="1087" t="s">
        <v>12085</v>
      </c>
      <c r="J234" s="902">
        <v>977325.06</v>
      </c>
      <c r="K234" s="902">
        <v>0</v>
      </c>
      <c r="L234" s="902">
        <f>293197.52+497398.08+70437.61</f>
        <v>861033.21000000008</v>
      </c>
      <c r="M234" s="901">
        <v>1</v>
      </c>
      <c r="N234" s="901">
        <f t="shared" si="7"/>
        <v>0.88101006025569428</v>
      </c>
      <c r="O234" s="900" t="s">
        <v>7483</v>
      </c>
    </row>
    <row r="235" spans="1:15" ht="33" customHeight="1" x14ac:dyDescent="0.25">
      <c r="A235" s="906">
        <v>785</v>
      </c>
      <c r="B235" s="905" t="s">
        <v>8785</v>
      </c>
      <c r="C235" s="905" t="s">
        <v>8762</v>
      </c>
      <c r="D235" s="904" t="s">
        <v>8793</v>
      </c>
      <c r="E235" s="1092" t="s">
        <v>11949</v>
      </c>
      <c r="F235" s="903">
        <v>43273</v>
      </c>
      <c r="G235" s="903">
        <v>43342</v>
      </c>
      <c r="H235" s="1087" t="s">
        <v>12074</v>
      </c>
      <c r="I235" s="1087" t="s">
        <v>12085</v>
      </c>
      <c r="J235" s="902">
        <v>1517275.26</v>
      </c>
      <c r="K235" s="902">
        <v>0</v>
      </c>
      <c r="L235" s="902">
        <f>455182.57+949854.98</f>
        <v>1405037.55</v>
      </c>
      <c r="M235" s="901">
        <v>1</v>
      </c>
      <c r="N235" s="901">
        <f t="shared" si="7"/>
        <v>0.92602679753705341</v>
      </c>
      <c r="O235" s="900" t="s">
        <v>7483</v>
      </c>
    </row>
    <row r="236" spans="1:15" ht="33" customHeight="1" x14ac:dyDescent="0.25">
      <c r="A236" s="906">
        <v>786</v>
      </c>
      <c r="B236" s="905" t="s">
        <v>8785</v>
      </c>
      <c r="C236" s="905" t="s">
        <v>8762</v>
      </c>
      <c r="D236" s="904" t="s">
        <v>8792</v>
      </c>
      <c r="E236" s="1092" t="s">
        <v>11950</v>
      </c>
      <c r="F236" s="903">
        <v>43273</v>
      </c>
      <c r="G236" s="903">
        <v>43332</v>
      </c>
      <c r="H236" s="1087" t="s">
        <v>12073</v>
      </c>
      <c r="I236" s="1087" t="s">
        <v>12085</v>
      </c>
      <c r="J236" s="902">
        <v>1369104.53</v>
      </c>
      <c r="K236" s="902">
        <v>0</v>
      </c>
      <c r="L236" s="902">
        <f>410731.36+925095.49</f>
        <v>1335826.8500000001</v>
      </c>
      <c r="M236" s="901">
        <v>1</v>
      </c>
      <c r="N236" s="901">
        <f t="shared" si="7"/>
        <v>0.97569383544439814</v>
      </c>
      <c r="O236" s="900" t="s">
        <v>7483</v>
      </c>
    </row>
    <row r="237" spans="1:15" ht="33" customHeight="1" x14ac:dyDescent="0.25">
      <c r="A237" s="906">
        <v>787</v>
      </c>
      <c r="B237" s="905" t="s">
        <v>8785</v>
      </c>
      <c r="C237" s="905" t="s">
        <v>8762</v>
      </c>
      <c r="D237" s="904" t="s">
        <v>8791</v>
      </c>
      <c r="E237" s="1092" t="s">
        <v>11951</v>
      </c>
      <c r="F237" s="903">
        <v>43273</v>
      </c>
      <c r="G237" s="903">
        <v>43362</v>
      </c>
      <c r="H237" s="1087" t="s">
        <v>12074</v>
      </c>
      <c r="I237" s="1087" t="s">
        <v>12085</v>
      </c>
      <c r="J237" s="902">
        <v>2417439.6800000002</v>
      </c>
      <c r="K237" s="902">
        <v>0</v>
      </c>
      <c r="L237" s="902">
        <f>725231.91+197417.52+1329236.65</f>
        <v>2251886.08</v>
      </c>
      <c r="M237" s="901">
        <v>1</v>
      </c>
      <c r="N237" s="901">
        <f t="shared" si="7"/>
        <v>0.93151696757124458</v>
      </c>
      <c r="O237" s="900" t="s">
        <v>7483</v>
      </c>
    </row>
    <row r="238" spans="1:15" ht="33" customHeight="1" x14ac:dyDescent="0.25">
      <c r="A238" s="906">
        <v>788</v>
      </c>
      <c r="B238" s="905" t="s">
        <v>8785</v>
      </c>
      <c r="C238" s="905" t="s">
        <v>7998</v>
      </c>
      <c r="D238" s="904" t="s">
        <v>7718</v>
      </c>
      <c r="E238" s="1092" t="s">
        <v>11952</v>
      </c>
      <c r="F238" s="903">
        <v>43273</v>
      </c>
      <c r="G238" s="903">
        <v>43332</v>
      </c>
      <c r="H238" s="1087" t="s">
        <v>12034</v>
      </c>
      <c r="I238" s="1087" t="s">
        <v>12085</v>
      </c>
      <c r="J238" s="902">
        <v>2499860.15</v>
      </c>
      <c r="K238" s="902">
        <v>0</v>
      </c>
      <c r="L238" s="902">
        <f>749958.05+321659.47+1412149.49</f>
        <v>2483767.0099999998</v>
      </c>
      <c r="M238" s="901">
        <v>1</v>
      </c>
      <c r="N238" s="901">
        <f t="shared" si="7"/>
        <v>0.99356238387975415</v>
      </c>
      <c r="O238" s="900" t="s">
        <v>7483</v>
      </c>
    </row>
    <row r="239" spans="1:15" ht="33" customHeight="1" x14ac:dyDescent="0.25">
      <c r="A239" s="906">
        <v>797</v>
      </c>
      <c r="B239" s="905" t="s">
        <v>8785</v>
      </c>
      <c r="C239" s="905" t="s">
        <v>8790</v>
      </c>
      <c r="D239" s="904" t="s">
        <v>8789</v>
      </c>
      <c r="E239" s="1092" t="s">
        <v>11953</v>
      </c>
      <c r="F239" s="903">
        <v>43325</v>
      </c>
      <c r="G239" s="903">
        <v>43384</v>
      </c>
      <c r="H239" s="1087" t="s">
        <v>12075</v>
      </c>
      <c r="I239" s="1087" t="s">
        <v>12085</v>
      </c>
      <c r="J239" s="902">
        <v>1608950.67</v>
      </c>
      <c r="K239" s="902">
        <v>0</v>
      </c>
      <c r="L239" s="902">
        <f>482685.2+991735.55</f>
        <v>1474420.75</v>
      </c>
      <c r="M239" s="901">
        <v>1</v>
      </c>
      <c r="N239" s="901">
        <f t="shared" si="7"/>
        <v>0.91638654776159179</v>
      </c>
      <c r="O239" s="900" t="s">
        <v>7483</v>
      </c>
    </row>
    <row r="240" spans="1:15" ht="33" customHeight="1" x14ac:dyDescent="0.25">
      <c r="A240" s="906">
        <v>798</v>
      </c>
      <c r="B240" s="905" t="s">
        <v>8785</v>
      </c>
      <c r="C240" s="905" t="s">
        <v>8778</v>
      </c>
      <c r="D240" s="904" t="s">
        <v>8788</v>
      </c>
      <c r="E240" s="1092" t="s">
        <v>11954</v>
      </c>
      <c r="F240" s="903">
        <v>43325</v>
      </c>
      <c r="G240" s="903">
        <v>43384</v>
      </c>
      <c r="H240" s="1087" t="s">
        <v>12048</v>
      </c>
      <c r="I240" s="1087" t="s">
        <v>12085</v>
      </c>
      <c r="J240" s="902">
        <v>832636.08</v>
      </c>
      <c r="K240" s="902">
        <v>0</v>
      </c>
      <c r="L240" s="902">
        <f>249790.83+543129.45+28882.28</f>
        <v>821802.55999999994</v>
      </c>
      <c r="M240" s="901">
        <v>1</v>
      </c>
      <c r="N240" s="901">
        <f t="shared" si="7"/>
        <v>0.98698888955184361</v>
      </c>
      <c r="O240" s="900" t="s">
        <v>7483</v>
      </c>
    </row>
    <row r="241" spans="1:15" ht="33" customHeight="1" x14ac:dyDescent="0.25">
      <c r="A241" s="906">
        <v>799</v>
      </c>
      <c r="B241" s="905" t="s">
        <v>8785</v>
      </c>
      <c r="C241" s="905" t="s">
        <v>8778</v>
      </c>
      <c r="D241" s="904" t="s">
        <v>8787</v>
      </c>
      <c r="E241" s="1092" t="s">
        <v>11955</v>
      </c>
      <c r="F241" s="903">
        <v>43322</v>
      </c>
      <c r="G241" s="903">
        <v>43381</v>
      </c>
      <c r="H241" s="1087" t="s">
        <v>12048</v>
      </c>
      <c r="I241" s="1087" t="s">
        <v>11811</v>
      </c>
      <c r="J241" s="902">
        <f>1041904.36*1.16</f>
        <v>1208609.0575999999</v>
      </c>
      <c r="K241" s="902">
        <v>0</v>
      </c>
      <c r="L241" s="902">
        <f>200209.45+881821.1</f>
        <v>1082030.55</v>
      </c>
      <c r="M241" s="901">
        <v>1</v>
      </c>
      <c r="N241" s="901">
        <f t="shared" si="7"/>
        <v>0.89526927106491028</v>
      </c>
      <c r="O241" s="900" t="s">
        <v>7483</v>
      </c>
    </row>
    <row r="242" spans="1:15" ht="33" customHeight="1" x14ac:dyDescent="0.25">
      <c r="A242" s="906">
        <v>838</v>
      </c>
      <c r="B242" s="905" t="s">
        <v>8785</v>
      </c>
      <c r="C242" s="905" t="s">
        <v>8786</v>
      </c>
      <c r="D242" s="904" t="s">
        <v>7976</v>
      </c>
      <c r="E242" s="1092" t="s">
        <v>11956</v>
      </c>
      <c r="F242" s="903">
        <v>43460</v>
      </c>
      <c r="G242" s="903">
        <v>43184</v>
      </c>
      <c r="H242" s="1087" t="s">
        <v>12076</v>
      </c>
      <c r="I242" s="1087" t="s">
        <v>12086</v>
      </c>
      <c r="J242" s="902">
        <v>3727684.62</v>
      </c>
      <c r="K242" s="902">
        <v>0</v>
      </c>
      <c r="L242" s="902">
        <v>0</v>
      </c>
      <c r="M242" s="901">
        <v>0</v>
      </c>
      <c r="N242" s="901">
        <v>0</v>
      </c>
      <c r="O242" s="900" t="s">
        <v>7974</v>
      </c>
    </row>
    <row r="243" spans="1:15" ht="33" customHeight="1" x14ac:dyDescent="0.25">
      <c r="A243" s="906">
        <v>839</v>
      </c>
      <c r="B243" s="905" t="s">
        <v>8785</v>
      </c>
      <c r="C243" s="905" t="s">
        <v>8784</v>
      </c>
      <c r="D243" s="904" t="s">
        <v>8783</v>
      </c>
      <c r="E243" s="1092" t="s">
        <v>11957</v>
      </c>
      <c r="F243" s="903">
        <v>43460</v>
      </c>
      <c r="G243" s="903">
        <v>43184</v>
      </c>
      <c r="H243" s="1087" t="s">
        <v>12076</v>
      </c>
      <c r="I243" s="1087" t="s">
        <v>12086</v>
      </c>
      <c r="J243" s="902">
        <v>1442943.42</v>
      </c>
      <c r="K243" s="902">
        <v>0</v>
      </c>
      <c r="L243" s="902">
        <v>0</v>
      </c>
      <c r="M243" s="901">
        <v>0</v>
      </c>
      <c r="N243" s="901">
        <v>0</v>
      </c>
      <c r="O243" s="900" t="s">
        <v>7974</v>
      </c>
    </row>
    <row r="244" spans="1:15" ht="33" customHeight="1" x14ac:dyDescent="0.25">
      <c r="A244" s="906">
        <v>792</v>
      </c>
      <c r="B244" s="905" t="s">
        <v>8781</v>
      </c>
      <c r="C244" s="905" t="s">
        <v>8768</v>
      </c>
      <c r="D244" s="904" t="s">
        <v>8782</v>
      </c>
      <c r="E244" s="1092" t="s">
        <v>11958</v>
      </c>
      <c r="F244" s="903">
        <v>43325</v>
      </c>
      <c r="G244" s="903">
        <v>43384</v>
      </c>
      <c r="H244" s="1087" t="s">
        <v>11997</v>
      </c>
      <c r="I244" s="1087" t="s">
        <v>12085</v>
      </c>
      <c r="J244" s="902">
        <v>1390130.65</v>
      </c>
      <c r="K244" s="902">
        <v>0</v>
      </c>
      <c r="L244" s="902">
        <f>417039.16+565270.7+407051.52</f>
        <v>1389361.38</v>
      </c>
      <c r="M244" s="901">
        <v>1</v>
      </c>
      <c r="N244" s="901">
        <f t="shared" ref="N244:N258" si="8">(L244+K244)/J244</f>
        <v>0.99944662035902887</v>
      </c>
      <c r="O244" s="900" t="s">
        <v>7483</v>
      </c>
    </row>
    <row r="245" spans="1:15" ht="33" customHeight="1" x14ac:dyDescent="0.25">
      <c r="A245" s="906">
        <v>793</v>
      </c>
      <c r="B245" s="905" t="s">
        <v>8781</v>
      </c>
      <c r="C245" s="905" t="s">
        <v>8780</v>
      </c>
      <c r="D245" s="904" t="s">
        <v>8779</v>
      </c>
      <c r="E245" s="1092" t="s">
        <v>11959</v>
      </c>
      <c r="F245" s="903">
        <v>43322</v>
      </c>
      <c r="G245" s="903">
        <v>43381</v>
      </c>
      <c r="H245" s="1087" t="s">
        <v>11997</v>
      </c>
      <c r="I245" s="1087" t="s">
        <v>11811</v>
      </c>
      <c r="J245" s="902">
        <v>400000</v>
      </c>
      <c r="K245" s="902">
        <v>0</v>
      </c>
      <c r="L245" s="902">
        <f>262409.61+137590.45</f>
        <v>400000.06</v>
      </c>
      <c r="M245" s="901">
        <v>1</v>
      </c>
      <c r="N245" s="901">
        <f t="shared" si="8"/>
        <v>1.00000015</v>
      </c>
      <c r="O245" s="900" t="s">
        <v>7483</v>
      </c>
    </row>
    <row r="246" spans="1:15" ht="33" customHeight="1" x14ac:dyDescent="0.25">
      <c r="A246" s="913">
        <v>763</v>
      </c>
      <c r="B246" s="910" t="s">
        <v>8775</v>
      </c>
      <c r="C246" s="910" t="s">
        <v>8778</v>
      </c>
      <c r="D246" s="910" t="s">
        <v>8777</v>
      </c>
      <c r="E246" s="1093" t="s">
        <v>11960</v>
      </c>
      <c r="F246" s="912">
        <v>43302</v>
      </c>
      <c r="G246" s="912">
        <v>43361</v>
      </c>
      <c r="H246" s="912" t="s">
        <v>12019</v>
      </c>
      <c r="I246" s="1087" t="s">
        <v>12085</v>
      </c>
      <c r="J246" s="911">
        <v>1593704.91</v>
      </c>
      <c r="K246" s="911">
        <v>0</v>
      </c>
      <c r="L246" s="911">
        <f>478111.47+629354.84+354876.93+50341.47</f>
        <v>1512684.71</v>
      </c>
      <c r="M246" s="901">
        <v>1</v>
      </c>
      <c r="N246" s="901">
        <f t="shared" si="8"/>
        <v>0.94916235779181979</v>
      </c>
      <c r="O246" s="900" t="s">
        <v>7483</v>
      </c>
    </row>
    <row r="247" spans="1:15" ht="33" customHeight="1" x14ac:dyDescent="0.25">
      <c r="A247" s="906">
        <v>764</v>
      </c>
      <c r="B247" s="910" t="s">
        <v>8775</v>
      </c>
      <c r="C247" s="905" t="s">
        <v>8762</v>
      </c>
      <c r="D247" s="904" t="s">
        <v>8776</v>
      </c>
      <c r="E247" s="1092" t="s">
        <v>11961</v>
      </c>
      <c r="F247" s="903">
        <v>43314</v>
      </c>
      <c r="G247" s="903">
        <v>43373</v>
      </c>
      <c r="H247" s="903" t="s">
        <v>10341</v>
      </c>
      <c r="I247" s="1087" t="s">
        <v>12085</v>
      </c>
      <c r="J247" s="909">
        <v>820328.21</v>
      </c>
      <c r="K247" s="909">
        <v>0</v>
      </c>
      <c r="L247" s="909">
        <f>246098.47+533494.85</f>
        <v>779593.32</v>
      </c>
      <c r="M247" s="901">
        <v>1</v>
      </c>
      <c r="N247" s="901">
        <f t="shared" si="8"/>
        <v>0.95034318032290999</v>
      </c>
      <c r="O247" s="900" t="s">
        <v>7483</v>
      </c>
    </row>
    <row r="248" spans="1:15" ht="33" customHeight="1" x14ac:dyDescent="0.25">
      <c r="A248" s="906">
        <v>765</v>
      </c>
      <c r="B248" s="910" t="s">
        <v>8775</v>
      </c>
      <c r="C248" s="905" t="s">
        <v>8762</v>
      </c>
      <c r="D248" s="904" t="s">
        <v>8774</v>
      </c>
      <c r="E248" s="1092" t="s">
        <v>11962</v>
      </c>
      <c r="F248" s="903">
        <v>43265</v>
      </c>
      <c r="G248" s="903">
        <v>43324</v>
      </c>
      <c r="H248" s="903" t="s">
        <v>12007</v>
      </c>
      <c r="I248" s="1087" t="s">
        <v>11811</v>
      </c>
      <c r="J248" s="909">
        <v>463058.78</v>
      </c>
      <c r="K248" s="909">
        <v>0</v>
      </c>
      <c r="L248" s="909">
        <f>304800.74+156003.21</f>
        <v>460803.94999999995</v>
      </c>
      <c r="M248" s="901">
        <v>1</v>
      </c>
      <c r="N248" s="901">
        <f t="shared" si="8"/>
        <v>0.99513057499957114</v>
      </c>
      <c r="O248" s="900" t="s">
        <v>7483</v>
      </c>
    </row>
    <row r="249" spans="1:15" ht="33" customHeight="1" x14ac:dyDescent="0.25">
      <c r="A249" s="906">
        <v>834</v>
      </c>
      <c r="B249" s="904" t="s">
        <v>8769</v>
      </c>
      <c r="C249" s="905" t="s">
        <v>8773</v>
      </c>
      <c r="D249" s="904" t="s">
        <v>8772</v>
      </c>
      <c r="E249" s="1092" t="s">
        <v>11963</v>
      </c>
      <c r="F249" s="903">
        <v>43430</v>
      </c>
      <c r="G249" s="903">
        <v>43465</v>
      </c>
      <c r="H249" s="903" t="s">
        <v>12077</v>
      </c>
      <c r="I249" s="1087" t="s">
        <v>12086</v>
      </c>
      <c r="J249" s="909">
        <v>1978961.59</v>
      </c>
      <c r="K249" s="909">
        <v>0</v>
      </c>
      <c r="L249" s="909">
        <f>593688.48+1385273.11</f>
        <v>1978961.59</v>
      </c>
      <c r="M249" s="901">
        <v>1</v>
      </c>
      <c r="N249" s="901">
        <f t="shared" si="8"/>
        <v>1</v>
      </c>
      <c r="O249" s="900" t="s">
        <v>7483</v>
      </c>
    </row>
    <row r="250" spans="1:15" ht="33" customHeight="1" x14ac:dyDescent="0.25">
      <c r="A250" s="906">
        <v>835</v>
      </c>
      <c r="B250" s="904" t="s">
        <v>8769</v>
      </c>
      <c r="C250" s="905" t="s">
        <v>8768</v>
      </c>
      <c r="D250" s="904" t="s">
        <v>8771</v>
      </c>
      <c r="E250" s="1092" t="s">
        <v>11964</v>
      </c>
      <c r="F250" s="903">
        <v>43423</v>
      </c>
      <c r="G250" s="903">
        <v>43456</v>
      </c>
      <c r="H250" s="903" t="s">
        <v>12078</v>
      </c>
      <c r="I250" s="1087" t="s">
        <v>11811</v>
      </c>
      <c r="J250" s="909">
        <v>612741.36</v>
      </c>
      <c r="K250" s="909">
        <v>0</v>
      </c>
      <c r="L250" s="909">
        <v>592199.41</v>
      </c>
      <c r="M250" s="901">
        <v>1</v>
      </c>
      <c r="N250" s="901">
        <f t="shared" si="8"/>
        <v>0.96647533308344002</v>
      </c>
      <c r="O250" s="900" t="s">
        <v>7483</v>
      </c>
    </row>
    <row r="251" spans="1:15" ht="33" customHeight="1" x14ac:dyDescent="0.25">
      <c r="A251" s="906">
        <v>836</v>
      </c>
      <c r="B251" s="904" t="s">
        <v>8769</v>
      </c>
      <c r="C251" s="905" t="s">
        <v>8768</v>
      </c>
      <c r="D251" s="904" t="s">
        <v>8770</v>
      </c>
      <c r="E251" s="1092" t="s">
        <v>11965</v>
      </c>
      <c r="F251" s="903">
        <v>43322</v>
      </c>
      <c r="G251" s="903">
        <v>43381</v>
      </c>
      <c r="H251" s="903" t="s">
        <v>9997</v>
      </c>
      <c r="I251" s="1087" t="s">
        <v>11811</v>
      </c>
      <c r="J251" s="909">
        <v>149886.98000000001</v>
      </c>
      <c r="K251" s="909">
        <v>0</v>
      </c>
      <c r="L251" s="909">
        <v>149886.98000000001</v>
      </c>
      <c r="M251" s="901">
        <v>1</v>
      </c>
      <c r="N251" s="901">
        <f t="shared" si="8"/>
        <v>1</v>
      </c>
      <c r="O251" s="900" t="s">
        <v>7483</v>
      </c>
    </row>
    <row r="252" spans="1:15" ht="33" customHeight="1" x14ac:dyDescent="0.25">
      <c r="A252" s="906">
        <v>837</v>
      </c>
      <c r="B252" s="904" t="s">
        <v>8769</v>
      </c>
      <c r="C252" s="905" t="s">
        <v>8768</v>
      </c>
      <c r="D252" s="904" t="s">
        <v>8767</v>
      </c>
      <c r="E252" s="1092" t="s">
        <v>11966</v>
      </c>
      <c r="F252" s="903">
        <v>43424</v>
      </c>
      <c r="G252" s="903">
        <v>43456</v>
      </c>
      <c r="H252" s="903" t="s">
        <v>10001</v>
      </c>
      <c r="I252" s="1087" t="s">
        <v>11811</v>
      </c>
      <c r="J252" s="909">
        <v>443420.32</v>
      </c>
      <c r="K252" s="909">
        <v>0</v>
      </c>
      <c r="L252" s="909">
        <f>133026.1+310394.22</f>
        <v>443420.31999999995</v>
      </c>
      <c r="M252" s="901">
        <v>1</v>
      </c>
      <c r="N252" s="901">
        <f t="shared" si="8"/>
        <v>0.99999999999999989</v>
      </c>
      <c r="O252" s="900" t="s">
        <v>7483</v>
      </c>
    </row>
    <row r="253" spans="1:15" ht="33" customHeight="1" x14ac:dyDescent="0.25">
      <c r="A253" s="906">
        <v>826</v>
      </c>
      <c r="B253" s="904" t="s">
        <v>8761</v>
      </c>
      <c r="C253" s="905" t="s">
        <v>8762</v>
      </c>
      <c r="D253" s="904" t="s">
        <v>8766</v>
      </c>
      <c r="E253" s="1092" t="s">
        <v>11967</v>
      </c>
      <c r="F253" s="903">
        <v>43420</v>
      </c>
      <c r="G253" s="903">
        <v>43464</v>
      </c>
      <c r="H253" s="903" t="s">
        <v>12079</v>
      </c>
      <c r="I253" s="1087" t="s">
        <v>12086</v>
      </c>
      <c r="J253" s="909">
        <v>821633.78</v>
      </c>
      <c r="K253" s="909">
        <v>0</v>
      </c>
      <c r="L253" s="909">
        <f>246490.13+496064.36</f>
        <v>742554.49</v>
      </c>
      <c r="M253" s="901">
        <v>1</v>
      </c>
      <c r="N253" s="901">
        <f t="shared" si="8"/>
        <v>0.90375360419090844</v>
      </c>
      <c r="O253" s="900" t="s">
        <v>7483</v>
      </c>
    </row>
    <row r="254" spans="1:15" ht="33" customHeight="1" x14ac:dyDescent="0.25">
      <c r="A254" s="906">
        <v>827</v>
      </c>
      <c r="B254" s="904" t="s">
        <v>8761</v>
      </c>
      <c r="C254" s="905" t="s">
        <v>8762</v>
      </c>
      <c r="D254" s="904" t="s">
        <v>8765</v>
      </c>
      <c r="E254" s="1092" t="s">
        <v>11968</v>
      </c>
      <c r="F254" s="903">
        <v>43421</v>
      </c>
      <c r="G254" s="903">
        <v>43465</v>
      </c>
      <c r="H254" s="903" t="s">
        <v>12080</v>
      </c>
      <c r="I254" s="1087" t="s">
        <v>11811</v>
      </c>
      <c r="J254" s="909">
        <v>714339.32</v>
      </c>
      <c r="K254" s="909">
        <v>0</v>
      </c>
      <c r="L254" s="909">
        <v>214301.8</v>
      </c>
      <c r="M254" s="901">
        <v>0.6</v>
      </c>
      <c r="N254" s="901">
        <f t="shared" si="8"/>
        <v>0.30000000559957979</v>
      </c>
      <c r="O254" s="900" t="s">
        <v>7484</v>
      </c>
    </row>
    <row r="255" spans="1:15" ht="33" customHeight="1" x14ac:dyDescent="0.25">
      <c r="A255" s="906">
        <v>828</v>
      </c>
      <c r="B255" s="904" t="s">
        <v>8761</v>
      </c>
      <c r="C255" s="905" t="s">
        <v>8762</v>
      </c>
      <c r="D255" s="904" t="s">
        <v>8764</v>
      </c>
      <c r="E255" s="1092" t="s">
        <v>11969</v>
      </c>
      <c r="F255" s="903">
        <v>43421</v>
      </c>
      <c r="G255" s="903">
        <v>43465</v>
      </c>
      <c r="H255" s="903" t="s">
        <v>12081</v>
      </c>
      <c r="I255" s="1087" t="s">
        <v>12086</v>
      </c>
      <c r="J255" s="909">
        <v>580916.85</v>
      </c>
      <c r="K255" s="909">
        <v>0</v>
      </c>
      <c r="L255" s="909">
        <f>174275.06+387177.29</f>
        <v>561452.35</v>
      </c>
      <c r="M255" s="901">
        <v>1</v>
      </c>
      <c r="N255" s="901">
        <f t="shared" si="8"/>
        <v>0.96649348353383102</v>
      </c>
      <c r="O255" s="900" t="s">
        <v>7483</v>
      </c>
    </row>
    <row r="256" spans="1:15" ht="33" customHeight="1" x14ac:dyDescent="0.25">
      <c r="A256" s="906">
        <v>829</v>
      </c>
      <c r="B256" s="904" t="s">
        <v>8761</v>
      </c>
      <c r="C256" s="905" t="s">
        <v>8762</v>
      </c>
      <c r="D256" s="904" t="s">
        <v>8764</v>
      </c>
      <c r="E256" s="1092" t="s">
        <v>11970</v>
      </c>
      <c r="F256" s="903">
        <v>43420</v>
      </c>
      <c r="G256" s="903">
        <v>43464</v>
      </c>
      <c r="H256" s="903" t="s">
        <v>12082</v>
      </c>
      <c r="I256" s="1087" t="s">
        <v>12086</v>
      </c>
      <c r="J256" s="909">
        <v>1647854.02</v>
      </c>
      <c r="K256" s="909">
        <v>0</v>
      </c>
      <c r="L256" s="909">
        <f>494356.2+710539.58</f>
        <v>1204895.78</v>
      </c>
      <c r="M256" s="901">
        <v>0.95</v>
      </c>
      <c r="N256" s="901">
        <f t="shared" si="8"/>
        <v>0.73119084905348597</v>
      </c>
      <c r="O256" s="900" t="s">
        <v>7484</v>
      </c>
    </row>
    <row r="257" spans="1:15" ht="33" customHeight="1" x14ac:dyDescent="0.25">
      <c r="A257" s="906">
        <v>830</v>
      </c>
      <c r="B257" s="904" t="s">
        <v>8761</v>
      </c>
      <c r="C257" s="905" t="s">
        <v>8762</v>
      </c>
      <c r="D257" s="904" t="s">
        <v>8763</v>
      </c>
      <c r="E257" s="1092" t="s">
        <v>11971</v>
      </c>
      <c r="F257" s="903">
        <v>43420</v>
      </c>
      <c r="G257" s="903">
        <v>43464</v>
      </c>
      <c r="H257" s="903" t="s">
        <v>12083</v>
      </c>
      <c r="I257" s="1087" t="s">
        <v>12086</v>
      </c>
      <c r="J257" s="909">
        <v>1056524.02</v>
      </c>
      <c r="K257" s="909">
        <v>0</v>
      </c>
      <c r="L257" s="909">
        <f>316957.21+739072.44</f>
        <v>1056029.6499999999</v>
      </c>
      <c r="M257" s="901">
        <v>1</v>
      </c>
      <c r="N257" s="901">
        <f t="shared" si="8"/>
        <v>0.99953207878794836</v>
      </c>
      <c r="O257" s="900" t="s">
        <v>7483</v>
      </c>
    </row>
    <row r="258" spans="1:15" ht="33" customHeight="1" x14ac:dyDescent="0.25">
      <c r="A258" s="906">
        <v>831</v>
      </c>
      <c r="B258" s="904" t="s">
        <v>8761</v>
      </c>
      <c r="C258" s="905" t="s">
        <v>8762</v>
      </c>
      <c r="D258" s="904" t="s">
        <v>8019</v>
      </c>
      <c r="E258" s="1092" t="s">
        <v>11972</v>
      </c>
      <c r="F258" s="903">
        <v>43420</v>
      </c>
      <c r="G258" s="903">
        <v>43464</v>
      </c>
      <c r="H258" s="903" t="s">
        <v>12084</v>
      </c>
      <c r="I258" s="903" t="s">
        <v>12086</v>
      </c>
      <c r="J258" s="909">
        <v>2083078.83</v>
      </c>
      <c r="K258" s="909">
        <v>0</v>
      </c>
      <c r="L258" s="909">
        <v>624923.64</v>
      </c>
      <c r="M258" s="901">
        <v>0.3</v>
      </c>
      <c r="N258" s="901">
        <f t="shared" si="8"/>
        <v>0.29999999567947222</v>
      </c>
      <c r="O258" s="900" t="s">
        <v>7484</v>
      </c>
    </row>
    <row r="259" spans="1:15" ht="33" customHeight="1" x14ac:dyDescent="0.25">
      <c r="A259" s="906">
        <v>832</v>
      </c>
      <c r="B259" s="904" t="s">
        <v>8761</v>
      </c>
      <c r="C259" s="905" t="s">
        <v>8760</v>
      </c>
      <c r="D259" s="904" t="s">
        <v>8759</v>
      </c>
      <c r="E259" s="1092" t="s">
        <v>11973</v>
      </c>
      <c r="F259" s="903">
        <v>43420</v>
      </c>
      <c r="G259" s="903">
        <v>43449</v>
      </c>
      <c r="H259" s="903" t="s">
        <v>12080</v>
      </c>
      <c r="I259" s="903" t="s">
        <v>11811</v>
      </c>
      <c r="J259" s="909">
        <v>32479.97</v>
      </c>
      <c r="K259" s="909">
        <v>0</v>
      </c>
      <c r="L259" s="909">
        <v>0</v>
      </c>
      <c r="M259" s="901">
        <v>0</v>
      </c>
      <c r="N259" s="901">
        <v>0</v>
      </c>
      <c r="O259" s="900" t="s">
        <v>7484</v>
      </c>
    </row>
    <row r="260" spans="1:15" ht="33" customHeight="1" x14ac:dyDescent="0.25">
      <c r="A260" s="906">
        <v>842</v>
      </c>
      <c r="B260" s="904" t="s">
        <v>8758</v>
      </c>
      <c r="C260" s="905" t="s">
        <v>8757</v>
      </c>
      <c r="D260" s="904" t="s">
        <v>8756</v>
      </c>
      <c r="E260" s="1092" t="s">
        <v>11974</v>
      </c>
      <c r="F260" s="903">
        <v>43437</v>
      </c>
      <c r="G260" s="903">
        <v>43465</v>
      </c>
      <c r="H260" s="903" t="s">
        <v>12043</v>
      </c>
      <c r="I260" s="903" t="s">
        <v>11811</v>
      </c>
      <c r="J260" s="909">
        <v>346756.69</v>
      </c>
      <c r="K260" s="909">
        <v>0</v>
      </c>
      <c r="L260" s="909">
        <v>346756.69</v>
      </c>
      <c r="M260" s="901">
        <v>1</v>
      </c>
      <c r="N260" s="901">
        <f>(L260+K260)/J260</f>
        <v>1</v>
      </c>
      <c r="O260" s="900" t="s">
        <v>7483</v>
      </c>
    </row>
    <row r="261" spans="1:15" ht="33" customHeight="1" x14ac:dyDescent="0.25">
      <c r="A261" s="906">
        <v>184159</v>
      </c>
      <c r="B261" s="904" t="s">
        <v>7596</v>
      </c>
      <c r="C261" s="904" t="s">
        <v>2618</v>
      </c>
      <c r="D261" s="904" t="s">
        <v>1113</v>
      </c>
      <c r="E261" s="1092" t="s">
        <v>7467</v>
      </c>
      <c r="F261" s="903">
        <v>43160</v>
      </c>
      <c r="G261" s="903">
        <v>43250</v>
      </c>
      <c r="H261" s="903" t="s">
        <v>12093</v>
      </c>
      <c r="I261" s="903" t="s">
        <v>11811</v>
      </c>
      <c r="J261" s="909">
        <v>2770486</v>
      </c>
      <c r="K261" s="909">
        <v>0</v>
      </c>
      <c r="L261" s="909">
        <f>1381560+1388926</f>
        <v>2770486</v>
      </c>
      <c r="M261" s="901">
        <v>1</v>
      </c>
      <c r="N261" s="901">
        <f>(L261+K261)/J261</f>
        <v>1</v>
      </c>
      <c r="O261" s="900" t="s">
        <v>7483</v>
      </c>
    </row>
    <row r="262" spans="1:15" ht="33" customHeight="1" x14ac:dyDescent="0.25">
      <c r="A262" s="906">
        <v>181620</v>
      </c>
      <c r="B262" s="904" t="s">
        <v>2612</v>
      </c>
      <c r="C262" s="904" t="s">
        <v>2618</v>
      </c>
      <c r="D262" s="904" t="s">
        <v>1113</v>
      </c>
      <c r="E262" s="1092" t="s">
        <v>7467</v>
      </c>
      <c r="F262" s="903">
        <v>43131</v>
      </c>
      <c r="G262" s="903">
        <v>43131</v>
      </c>
      <c r="H262" s="903" t="s">
        <v>12093</v>
      </c>
      <c r="I262" s="903" t="s">
        <v>11811</v>
      </c>
      <c r="J262" s="909">
        <v>1061231.29</v>
      </c>
      <c r="K262" s="909">
        <v>0</v>
      </c>
      <c r="L262" s="909">
        <v>1061231.29</v>
      </c>
      <c r="M262" s="901">
        <v>1</v>
      </c>
      <c r="N262" s="901">
        <f>(L262+K262)/J262</f>
        <v>1</v>
      </c>
      <c r="O262" s="900" t="s">
        <v>7483</v>
      </c>
    </row>
    <row r="263" spans="1:15" ht="33" customHeight="1" thickBot="1" x14ac:dyDescent="0.3">
      <c r="A263" s="899">
        <v>181620</v>
      </c>
      <c r="B263" s="898" t="s">
        <v>2612</v>
      </c>
      <c r="C263" s="898" t="s">
        <v>2618</v>
      </c>
      <c r="D263" s="908" t="s">
        <v>1113</v>
      </c>
      <c r="E263" s="1094" t="s">
        <v>7467</v>
      </c>
      <c r="F263" s="897">
        <v>43374</v>
      </c>
      <c r="G263" s="897">
        <v>43465</v>
      </c>
      <c r="H263" s="1089" t="s">
        <v>12051</v>
      </c>
      <c r="I263" s="1089" t="s">
        <v>11811</v>
      </c>
      <c r="J263" s="907">
        <v>1020510</v>
      </c>
      <c r="K263" s="907">
        <v>0</v>
      </c>
      <c r="L263" s="907">
        <v>1020510</v>
      </c>
      <c r="M263" s="896">
        <v>1</v>
      </c>
      <c r="N263" s="896">
        <f>(L263+K263)/J263</f>
        <v>1</v>
      </c>
      <c r="O263" s="895" t="s">
        <v>7483</v>
      </c>
    </row>
    <row r="264" spans="1:15" ht="16.5" customHeight="1" thickBot="1" x14ac:dyDescent="0.3">
      <c r="B264" s="877" t="s">
        <v>559</v>
      </c>
      <c r="C264" s="877" t="s">
        <v>559</v>
      </c>
      <c r="D264" s="877"/>
      <c r="E264" s="877"/>
      <c r="F264" s="892"/>
      <c r="G264" s="892"/>
      <c r="H264" s="892"/>
      <c r="I264" s="892"/>
      <c r="J264" s="894">
        <f>SUM(J8:J263)</f>
        <v>437174316.03400004</v>
      </c>
      <c r="K264" s="894">
        <f>SUM(K8:K263)</f>
        <v>95950283.650000006</v>
      </c>
      <c r="L264" s="893">
        <f>SUM(L8:L263)</f>
        <v>318581880.72000009</v>
      </c>
    </row>
    <row r="265" spans="1:15" ht="16.5" customHeight="1" x14ac:dyDescent="0.25">
      <c r="B265" s="877"/>
      <c r="C265" s="877"/>
      <c r="D265" s="877"/>
      <c r="E265" s="877"/>
      <c r="F265" s="892"/>
      <c r="G265" s="892"/>
      <c r="H265" s="892"/>
      <c r="I265" s="892"/>
      <c r="J265" s="891"/>
      <c r="K265" s="891"/>
      <c r="L265" s="891"/>
    </row>
    <row r="266" spans="1:15" ht="17.25" customHeight="1" x14ac:dyDescent="0.25">
      <c r="B266" s="1241" t="s">
        <v>2388</v>
      </c>
      <c r="C266" s="1242"/>
      <c r="D266" s="886"/>
      <c r="E266" s="886"/>
      <c r="F266" s="887"/>
      <c r="G266" s="890"/>
      <c r="H266" s="890"/>
      <c r="I266" s="890"/>
      <c r="J266" s="889"/>
      <c r="K266" s="1242" t="s">
        <v>1202</v>
      </c>
      <c r="L266" s="1242"/>
      <c r="M266" s="1242"/>
      <c r="N266" s="1242"/>
      <c r="O266" s="888"/>
    </row>
    <row r="267" spans="1:15" ht="17.25" customHeight="1" x14ac:dyDescent="0.25">
      <c r="D267" s="886"/>
      <c r="E267" s="886"/>
      <c r="F267" s="887"/>
      <c r="G267" s="887"/>
      <c r="H267" s="887"/>
      <c r="I267" s="887"/>
      <c r="O267" s="886"/>
    </row>
    <row r="268" spans="1:15" ht="15.75" customHeight="1" x14ac:dyDescent="0.25">
      <c r="B268" s="1243"/>
      <c r="C268" s="1243"/>
      <c r="D268" s="883"/>
      <c r="E268" s="883"/>
      <c r="F268" s="882"/>
      <c r="G268" s="885"/>
      <c r="H268" s="885"/>
      <c r="I268" s="885"/>
      <c r="J268" s="884"/>
      <c r="K268" s="1244"/>
      <c r="L268" s="1244"/>
      <c r="M268" s="1244"/>
      <c r="N268" s="1244"/>
    </row>
    <row r="269" spans="1:15" ht="15.75" customHeight="1" x14ac:dyDescent="0.2">
      <c r="B269" s="1233" t="s">
        <v>8755</v>
      </c>
      <c r="C269" s="1234"/>
      <c r="D269" s="883"/>
      <c r="E269" s="883"/>
      <c r="F269" s="882"/>
      <c r="G269" s="881"/>
      <c r="H269" s="881"/>
      <c r="I269" s="881"/>
      <c r="J269" s="880"/>
      <c r="K269" s="1235" t="s">
        <v>8754</v>
      </c>
      <c r="L269" s="1236"/>
      <c r="M269" s="1236"/>
      <c r="N269" s="1236"/>
      <c r="O269" s="879"/>
    </row>
    <row r="270" spans="1:15" ht="3" customHeight="1" x14ac:dyDescent="0.25">
      <c r="J270" s="878"/>
      <c r="K270" s="878"/>
      <c r="L270" s="878"/>
    </row>
    <row r="276" spans="12:12" x14ac:dyDescent="0.2">
      <c r="L276" s="313"/>
    </row>
  </sheetData>
  <mergeCells count="21">
    <mergeCell ref="A2:B4"/>
    <mergeCell ref="C2:O2"/>
    <mergeCell ref="C3:O3"/>
    <mergeCell ref="C4:O4"/>
    <mergeCell ref="A6:A7"/>
    <mergeCell ref="B6:B7"/>
    <mergeCell ref="C6:C7"/>
    <mergeCell ref="D6:D7"/>
    <mergeCell ref="F6:G6"/>
    <mergeCell ref="J6:L6"/>
    <mergeCell ref="B269:C269"/>
    <mergeCell ref="K269:N269"/>
    <mergeCell ref="M6:N6"/>
    <mergeCell ref="O6:O7"/>
    <mergeCell ref="B266:C266"/>
    <mergeCell ref="K266:N266"/>
    <mergeCell ref="B268:C268"/>
    <mergeCell ref="K268:N268"/>
    <mergeCell ref="H6:H7"/>
    <mergeCell ref="I6:I7"/>
    <mergeCell ref="E6:E7"/>
  </mergeCells>
  <printOptions horizontalCentered="1"/>
  <pageMargins left="7.874015748031496E-2" right="0.39370078740157483" top="0.39370078740157483" bottom="0.39370078740157483" header="0.19685039370078741" footer="0.19685039370078741"/>
  <pageSetup scale="45" fitToHeight="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6"/>
  <sheetViews>
    <sheetView view="pageBreakPreview" zoomScale="60" zoomScaleNormal="100" workbookViewId="0"/>
  </sheetViews>
  <sheetFormatPr baseColWidth="10" defaultRowHeight="12.75" x14ac:dyDescent="0.2"/>
  <cols>
    <col min="1" max="1" width="4.42578125" style="718" customWidth="1"/>
    <col min="2" max="2" width="26" style="719" customWidth="1"/>
    <col min="3" max="3" width="40.85546875" style="719" customWidth="1"/>
    <col min="4" max="4" width="49.5703125" style="719" customWidth="1"/>
    <col min="5" max="6" width="10.7109375" style="719" customWidth="1"/>
    <col min="7" max="8" width="12.85546875" style="719" customWidth="1"/>
    <col min="9" max="9" width="9.7109375" style="719" customWidth="1"/>
    <col min="10" max="10" width="10.28515625" style="719" customWidth="1"/>
    <col min="11" max="11" width="20.85546875" style="719" customWidth="1"/>
    <col min="12" max="12" width="3.7109375" style="720" customWidth="1"/>
    <col min="13" max="13" width="11.42578125" style="719"/>
    <col min="14" max="14" width="12.7109375" style="719" bestFit="1" customWidth="1"/>
    <col min="15" max="256" width="11.42578125" style="719"/>
    <col min="257" max="257" width="4.42578125" style="719" customWidth="1"/>
    <col min="258" max="260" width="22.42578125" style="719" customWidth="1"/>
    <col min="261" max="262" width="17" style="719" customWidth="1"/>
    <col min="263" max="264" width="12" style="719" customWidth="1"/>
    <col min="265" max="265" width="9.7109375" style="719" customWidth="1"/>
    <col min="266" max="266" width="10.28515625" style="719" customWidth="1"/>
    <col min="267" max="267" width="20.85546875" style="719" customWidth="1"/>
    <col min="268" max="268" width="3.7109375" style="719" customWidth="1"/>
    <col min="269" max="269" width="11.42578125" style="719"/>
    <col min="270" max="270" width="12.7109375" style="719" bestFit="1" customWidth="1"/>
    <col min="271" max="512" width="11.42578125" style="719"/>
    <col min="513" max="513" width="4.42578125" style="719" customWidth="1"/>
    <col min="514" max="516" width="22.42578125" style="719" customWidth="1"/>
    <col min="517" max="518" width="17" style="719" customWidth="1"/>
    <col min="519" max="520" width="12" style="719" customWidth="1"/>
    <col min="521" max="521" width="9.7109375" style="719" customWidth="1"/>
    <col min="522" max="522" width="10.28515625" style="719" customWidth="1"/>
    <col min="523" max="523" width="20.85546875" style="719" customWidth="1"/>
    <col min="524" max="524" width="3.7109375" style="719" customWidth="1"/>
    <col min="525" max="525" width="11.42578125" style="719"/>
    <col min="526" max="526" width="12.7109375" style="719" bestFit="1" customWidth="1"/>
    <col min="527" max="768" width="11.42578125" style="719"/>
    <col min="769" max="769" width="4.42578125" style="719" customWidth="1"/>
    <col min="770" max="772" width="22.42578125" style="719" customWidth="1"/>
    <col min="773" max="774" width="17" style="719" customWidth="1"/>
    <col min="775" max="776" width="12" style="719" customWidth="1"/>
    <col min="777" max="777" width="9.7109375" style="719" customWidth="1"/>
    <col min="778" max="778" width="10.28515625" style="719" customWidth="1"/>
    <col min="779" max="779" width="20.85546875" style="719" customWidth="1"/>
    <col min="780" max="780" width="3.7109375" style="719" customWidth="1"/>
    <col min="781" max="781" width="11.42578125" style="719"/>
    <col min="782" max="782" width="12.7109375" style="719" bestFit="1" customWidth="1"/>
    <col min="783" max="1024" width="11.42578125" style="719"/>
    <col min="1025" max="1025" width="4.42578125" style="719" customWidth="1"/>
    <col min="1026" max="1028" width="22.42578125" style="719" customWidth="1"/>
    <col min="1029" max="1030" width="17" style="719" customWidth="1"/>
    <col min="1031" max="1032" width="12" style="719" customWidth="1"/>
    <col min="1033" max="1033" width="9.7109375" style="719" customWidth="1"/>
    <col min="1034" max="1034" width="10.28515625" style="719" customWidth="1"/>
    <col min="1035" max="1035" width="20.85546875" style="719" customWidth="1"/>
    <col min="1036" max="1036" width="3.7109375" style="719" customWidth="1"/>
    <col min="1037" max="1037" width="11.42578125" style="719"/>
    <col min="1038" max="1038" width="12.7109375" style="719" bestFit="1" customWidth="1"/>
    <col min="1039" max="1280" width="11.42578125" style="719"/>
    <col min="1281" max="1281" width="4.42578125" style="719" customWidth="1"/>
    <col min="1282" max="1284" width="22.42578125" style="719" customWidth="1"/>
    <col min="1285" max="1286" width="17" style="719" customWidth="1"/>
    <col min="1287" max="1288" width="12" style="719" customWidth="1"/>
    <col min="1289" max="1289" width="9.7109375" style="719" customWidth="1"/>
    <col min="1290" max="1290" width="10.28515625" style="719" customWidth="1"/>
    <col min="1291" max="1291" width="20.85546875" style="719" customWidth="1"/>
    <col min="1292" max="1292" width="3.7109375" style="719" customWidth="1"/>
    <col min="1293" max="1293" width="11.42578125" style="719"/>
    <col min="1294" max="1294" width="12.7109375" style="719" bestFit="1" customWidth="1"/>
    <col min="1295" max="1536" width="11.42578125" style="719"/>
    <col min="1537" max="1537" width="4.42578125" style="719" customWidth="1"/>
    <col min="1538" max="1540" width="22.42578125" style="719" customWidth="1"/>
    <col min="1541" max="1542" width="17" style="719" customWidth="1"/>
    <col min="1543" max="1544" width="12" style="719" customWidth="1"/>
    <col min="1545" max="1545" width="9.7109375" style="719" customWidth="1"/>
    <col min="1546" max="1546" width="10.28515625" style="719" customWidth="1"/>
    <col min="1547" max="1547" width="20.85546875" style="719" customWidth="1"/>
    <col min="1548" max="1548" width="3.7109375" style="719" customWidth="1"/>
    <col min="1549" max="1549" width="11.42578125" style="719"/>
    <col min="1550" max="1550" width="12.7109375" style="719" bestFit="1" customWidth="1"/>
    <col min="1551" max="1792" width="11.42578125" style="719"/>
    <col min="1793" max="1793" width="4.42578125" style="719" customWidth="1"/>
    <col min="1794" max="1796" width="22.42578125" style="719" customWidth="1"/>
    <col min="1797" max="1798" width="17" style="719" customWidth="1"/>
    <col min="1799" max="1800" width="12" style="719" customWidth="1"/>
    <col min="1801" max="1801" width="9.7109375" style="719" customWidth="1"/>
    <col min="1802" max="1802" width="10.28515625" style="719" customWidth="1"/>
    <col min="1803" max="1803" width="20.85546875" style="719" customWidth="1"/>
    <col min="1804" max="1804" width="3.7109375" style="719" customWidth="1"/>
    <col min="1805" max="1805" width="11.42578125" style="719"/>
    <col min="1806" max="1806" width="12.7109375" style="719" bestFit="1" customWidth="1"/>
    <col min="1807" max="2048" width="11.42578125" style="719"/>
    <col min="2049" max="2049" width="4.42578125" style="719" customWidth="1"/>
    <col min="2050" max="2052" width="22.42578125" style="719" customWidth="1"/>
    <col min="2053" max="2054" width="17" style="719" customWidth="1"/>
    <col min="2055" max="2056" width="12" style="719" customWidth="1"/>
    <col min="2057" max="2057" width="9.7109375" style="719" customWidth="1"/>
    <col min="2058" max="2058" width="10.28515625" style="719" customWidth="1"/>
    <col min="2059" max="2059" width="20.85546875" style="719" customWidth="1"/>
    <col min="2060" max="2060" width="3.7109375" style="719" customWidth="1"/>
    <col min="2061" max="2061" width="11.42578125" style="719"/>
    <col min="2062" max="2062" width="12.7109375" style="719" bestFit="1" customWidth="1"/>
    <col min="2063" max="2304" width="11.42578125" style="719"/>
    <col min="2305" max="2305" width="4.42578125" style="719" customWidth="1"/>
    <col min="2306" max="2308" width="22.42578125" style="719" customWidth="1"/>
    <col min="2309" max="2310" width="17" style="719" customWidth="1"/>
    <col min="2311" max="2312" width="12" style="719" customWidth="1"/>
    <col min="2313" max="2313" width="9.7109375" style="719" customWidth="1"/>
    <col min="2314" max="2314" width="10.28515625" style="719" customWidth="1"/>
    <col min="2315" max="2315" width="20.85546875" style="719" customWidth="1"/>
    <col min="2316" max="2316" width="3.7109375" style="719" customWidth="1"/>
    <col min="2317" max="2317" width="11.42578125" style="719"/>
    <col min="2318" max="2318" width="12.7109375" style="719" bestFit="1" customWidth="1"/>
    <col min="2319" max="2560" width="11.42578125" style="719"/>
    <col min="2561" max="2561" width="4.42578125" style="719" customWidth="1"/>
    <col min="2562" max="2564" width="22.42578125" style="719" customWidth="1"/>
    <col min="2565" max="2566" width="17" style="719" customWidth="1"/>
    <col min="2567" max="2568" width="12" style="719" customWidth="1"/>
    <col min="2569" max="2569" width="9.7109375" style="719" customWidth="1"/>
    <col min="2570" max="2570" width="10.28515625" style="719" customWidth="1"/>
    <col min="2571" max="2571" width="20.85546875" style="719" customWidth="1"/>
    <col min="2572" max="2572" width="3.7109375" style="719" customWidth="1"/>
    <col min="2573" max="2573" width="11.42578125" style="719"/>
    <col min="2574" max="2574" width="12.7109375" style="719" bestFit="1" customWidth="1"/>
    <col min="2575" max="2816" width="11.42578125" style="719"/>
    <col min="2817" max="2817" width="4.42578125" style="719" customWidth="1"/>
    <col min="2818" max="2820" width="22.42578125" style="719" customWidth="1"/>
    <col min="2821" max="2822" width="17" style="719" customWidth="1"/>
    <col min="2823" max="2824" width="12" style="719" customWidth="1"/>
    <col min="2825" max="2825" width="9.7109375" style="719" customWidth="1"/>
    <col min="2826" max="2826" width="10.28515625" style="719" customWidth="1"/>
    <col min="2827" max="2827" width="20.85546875" style="719" customWidth="1"/>
    <col min="2828" max="2828" width="3.7109375" style="719" customWidth="1"/>
    <col min="2829" max="2829" width="11.42578125" style="719"/>
    <col min="2830" max="2830" width="12.7109375" style="719" bestFit="1" customWidth="1"/>
    <col min="2831" max="3072" width="11.42578125" style="719"/>
    <col min="3073" max="3073" width="4.42578125" style="719" customWidth="1"/>
    <col min="3074" max="3076" width="22.42578125" style="719" customWidth="1"/>
    <col min="3077" max="3078" width="17" style="719" customWidth="1"/>
    <col min="3079" max="3080" width="12" style="719" customWidth="1"/>
    <col min="3081" max="3081" width="9.7109375" style="719" customWidth="1"/>
    <col min="3082" max="3082" width="10.28515625" style="719" customWidth="1"/>
    <col min="3083" max="3083" width="20.85546875" style="719" customWidth="1"/>
    <col min="3084" max="3084" width="3.7109375" style="719" customWidth="1"/>
    <col min="3085" max="3085" width="11.42578125" style="719"/>
    <col min="3086" max="3086" width="12.7109375" style="719" bestFit="1" customWidth="1"/>
    <col min="3087" max="3328" width="11.42578125" style="719"/>
    <col min="3329" max="3329" width="4.42578125" style="719" customWidth="1"/>
    <col min="3330" max="3332" width="22.42578125" style="719" customWidth="1"/>
    <col min="3333" max="3334" width="17" style="719" customWidth="1"/>
    <col min="3335" max="3336" width="12" style="719" customWidth="1"/>
    <col min="3337" max="3337" width="9.7109375" style="719" customWidth="1"/>
    <col min="3338" max="3338" width="10.28515625" style="719" customWidth="1"/>
    <col min="3339" max="3339" width="20.85546875" style="719" customWidth="1"/>
    <col min="3340" max="3340" width="3.7109375" style="719" customWidth="1"/>
    <col min="3341" max="3341" width="11.42578125" style="719"/>
    <col min="3342" max="3342" width="12.7109375" style="719" bestFit="1" customWidth="1"/>
    <col min="3343" max="3584" width="11.42578125" style="719"/>
    <col min="3585" max="3585" width="4.42578125" style="719" customWidth="1"/>
    <col min="3586" max="3588" width="22.42578125" style="719" customWidth="1"/>
    <col min="3589" max="3590" width="17" style="719" customWidth="1"/>
    <col min="3591" max="3592" width="12" style="719" customWidth="1"/>
    <col min="3593" max="3593" width="9.7109375" style="719" customWidth="1"/>
    <col min="3594" max="3594" width="10.28515625" style="719" customWidth="1"/>
    <col min="3595" max="3595" width="20.85546875" style="719" customWidth="1"/>
    <col min="3596" max="3596" width="3.7109375" style="719" customWidth="1"/>
    <col min="3597" max="3597" width="11.42578125" style="719"/>
    <col min="3598" max="3598" width="12.7109375" style="719" bestFit="1" customWidth="1"/>
    <col min="3599" max="3840" width="11.42578125" style="719"/>
    <col min="3841" max="3841" width="4.42578125" style="719" customWidth="1"/>
    <col min="3842" max="3844" width="22.42578125" style="719" customWidth="1"/>
    <col min="3845" max="3846" width="17" style="719" customWidth="1"/>
    <col min="3847" max="3848" width="12" style="719" customWidth="1"/>
    <col min="3849" max="3849" width="9.7109375" style="719" customWidth="1"/>
    <col min="3850" max="3850" width="10.28515625" style="719" customWidth="1"/>
    <col min="3851" max="3851" width="20.85546875" style="719" customWidth="1"/>
    <col min="3852" max="3852" width="3.7109375" style="719" customWidth="1"/>
    <col min="3853" max="3853" width="11.42578125" style="719"/>
    <col min="3854" max="3854" width="12.7109375" style="719" bestFit="1" customWidth="1"/>
    <col min="3855" max="4096" width="11.42578125" style="719"/>
    <col min="4097" max="4097" width="4.42578125" style="719" customWidth="1"/>
    <col min="4098" max="4100" width="22.42578125" style="719" customWidth="1"/>
    <col min="4101" max="4102" width="17" style="719" customWidth="1"/>
    <col min="4103" max="4104" width="12" style="719" customWidth="1"/>
    <col min="4105" max="4105" width="9.7109375" style="719" customWidth="1"/>
    <col min="4106" max="4106" width="10.28515625" style="719" customWidth="1"/>
    <col min="4107" max="4107" width="20.85546875" style="719" customWidth="1"/>
    <col min="4108" max="4108" width="3.7109375" style="719" customWidth="1"/>
    <col min="4109" max="4109" width="11.42578125" style="719"/>
    <col min="4110" max="4110" width="12.7109375" style="719" bestFit="1" customWidth="1"/>
    <col min="4111" max="4352" width="11.42578125" style="719"/>
    <col min="4353" max="4353" width="4.42578125" style="719" customWidth="1"/>
    <col min="4354" max="4356" width="22.42578125" style="719" customWidth="1"/>
    <col min="4357" max="4358" width="17" style="719" customWidth="1"/>
    <col min="4359" max="4360" width="12" style="719" customWidth="1"/>
    <col min="4361" max="4361" width="9.7109375" style="719" customWidth="1"/>
    <col min="4362" max="4362" width="10.28515625" style="719" customWidth="1"/>
    <col min="4363" max="4363" width="20.85546875" style="719" customWidth="1"/>
    <col min="4364" max="4364" width="3.7109375" style="719" customWidth="1"/>
    <col min="4365" max="4365" width="11.42578125" style="719"/>
    <col min="4366" max="4366" width="12.7109375" style="719" bestFit="1" customWidth="1"/>
    <col min="4367" max="4608" width="11.42578125" style="719"/>
    <col min="4609" max="4609" width="4.42578125" style="719" customWidth="1"/>
    <col min="4610" max="4612" width="22.42578125" style="719" customWidth="1"/>
    <col min="4613" max="4614" width="17" style="719" customWidth="1"/>
    <col min="4615" max="4616" width="12" style="719" customWidth="1"/>
    <col min="4617" max="4617" width="9.7109375" style="719" customWidth="1"/>
    <col min="4618" max="4618" width="10.28515625" style="719" customWidth="1"/>
    <col min="4619" max="4619" width="20.85546875" style="719" customWidth="1"/>
    <col min="4620" max="4620" width="3.7109375" style="719" customWidth="1"/>
    <col min="4621" max="4621" width="11.42578125" style="719"/>
    <col min="4622" max="4622" width="12.7109375" style="719" bestFit="1" customWidth="1"/>
    <col min="4623" max="4864" width="11.42578125" style="719"/>
    <col min="4865" max="4865" width="4.42578125" style="719" customWidth="1"/>
    <col min="4866" max="4868" width="22.42578125" style="719" customWidth="1"/>
    <col min="4869" max="4870" width="17" style="719" customWidth="1"/>
    <col min="4871" max="4872" width="12" style="719" customWidth="1"/>
    <col min="4873" max="4873" width="9.7109375" style="719" customWidth="1"/>
    <col min="4874" max="4874" width="10.28515625" style="719" customWidth="1"/>
    <col min="4875" max="4875" width="20.85546875" style="719" customWidth="1"/>
    <col min="4876" max="4876" width="3.7109375" style="719" customWidth="1"/>
    <col min="4877" max="4877" width="11.42578125" style="719"/>
    <col min="4878" max="4878" width="12.7109375" style="719" bestFit="1" customWidth="1"/>
    <col min="4879" max="5120" width="11.42578125" style="719"/>
    <col min="5121" max="5121" width="4.42578125" style="719" customWidth="1"/>
    <col min="5122" max="5124" width="22.42578125" style="719" customWidth="1"/>
    <col min="5125" max="5126" width="17" style="719" customWidth="1"/>
    <col min="5127" max="5128" width="12" style="719" customWidth="1"/>
    <col min="5129" max="5129" width="9.7109375" style="719" customWidth="1"/>
    <col min="5130" max="5130" width="10.28515625" style="719" customWidth="1"/>
    <col min="5131" max="5131" width="20.85546875" style="719" customWidth="1"/>
    <col min="5132" max="5132" width="3.7109375" style="719" customWidth="1"/>
    <col min="5133" max="5133" width="11.42578125" style="719"/>
    <col min="5134" max="5134" width="12.7109375" style="719" bestFit="1" customWidth="1"/>
    <col min="5135" max="5376" width="11.42578125" style="719"/>
    <col min="5377" max="5377" width="4.42578125" style="719" customWidth="1"/>
    <col min="5378" max="5380" width="22.42578125" style="719" customWidth="1"/>
    <col min="5381" max="5382" width="17" style="719" customWidth="1"/>
    <col min="5383" max="5384" width="12" style="719" customWidth="1"/>
    <col min="5385" max="5385" width="9.7109375" style="719" customWidth="1"/>
    <col min="5386" max="5386" width="10.28515625" style="719" customWidth="1"/>
    <col min="5387" max="5387" width="20.85546875" style="719" customWidth="1"/>
    <col min="5388" max="5388" width="3.7109375" style="719" customWidth="1"/>
    <col min="5389" max="5389" width="11.42578125" style="719"/>
    <col min="5390" max="5390" width="12.7109375" style="719" bestFit="1" customWidth="1"/>
    <col min="5391" max="5632" width="11.42578125" style="719"/>
    <col min="5633" max="5633" width="4.42578125" style="719" customWidth="1"/>
    <col min="5634" max="5636" width="22.42578125" style="719" customWidth="1"/>
    <col min="5637" max="5638" width="17" style="719" customWidth="1"/>
    <col min="5639" max="5640" width="12" style="719" customWidth="1"/>
    <col min="5641" max="5641" width="9.7109375" style="719" customWidth="1"/>
    <col min="5642" max="5642" width="10.28515625" style="719" customWidth="1"/>
    <col min="5643" max="5643" width="20.85546875" style="719" customWidth="1"/>
    <col min="5644" max="5644" width="3.7109375" style="719" customWidth="1"/>
    <col min="5645" max="5645" width="11.42578125" style="719"/>
    <col min="5646" max="5646" width="12.7109375" style="719" bestFit="1" customWidth="1"/>
    <col min="5647" max="5888" width="11.42578125" style="719"/>
    <col min="5889" max="5889" width="4.42578125" style="719" customWidth="1"/>
    <col min="5890" max="5892" width="22.42578125" style="719" customWidth="1"/>
    <col min="5893" max="5894" width="17" style="719" customWidth="1"/>
    <col min="5895" max="5896" width="12" style="719" customWidth="1"/>
    <col min="5897" max="5897" width="9.7109375" style="719" customWidth="1"/>
    <col min="5898" max="5898" width="10.28515625" style="719" customWidth="1"/>
    <col min="5899" max="5899" width="20.85546875" style="719" customWidth="1"/>
    <col min="5900" max="5900" width="3.7109375" style="719" customWidth="1"/>
    <col min="5901" max="5901" width="11.42578125" style="719"/>
    <col min="5902" max="5902" width="12.7109375" style="719" bestFit="1" customWidth="1"/>
    <col min="5903" max="6144" width="11.42578125" style="719"/>
    <col min="6145" max="6145" width="4.42578125" style="719" customWidth="1"/>
    <col min="6146" max="6148" width="22.42578125" style="719" customWidth="1"/>
    <col min="6149" max="6150" width="17" style="719" customWidth="1"/>
    <col min="6151" max="6152" width="12" style="719" customWidth="1"/>
    <col min="6153" max="6153" width="9.7109375" style="719" customWidth="1"/>
    <col min="6154" max="6154" width="10.28515625" style="719" customWidth="1"/>
    <col min="6155" max="6155" width="20.85546875" style="719" customWidth="1"/>
    <col min="6156" max="6156" width="3.7109375" style="719" customWidth="1"/>
    <col min="6157" max="6157" width="11.42578125" style="719"/>
    <col min="6158" max="6158" width="12.7109375" style="719" bestFit="1" customWidth="1"/>
    <col min="6159" max="6400" width="11.42578125" style="719"/>
    <col min="6401" max="6401" width="4.42578125" style="719" customWidth="1"/>
    <col min="6402" max="6404" width="22.42578125" style="719" customWidth="1"/>
    <col min="6405" max="6406" width="17" style="719" customWidth="1"/>
    <col min="6407" max="6408" width="12" style="719" customWidth="1"/>
    <col min="6409" max="6409" width="9.7109375" style="719" customWidth="1"/>
    <col min="6410" max="6410" width="10.28515625" style="719" customWidth="1"/>
    <col min="6411" max="6411" width="20.85546875" style="719" customWidth="1"/>
    <col min="6412" max="6412" width="3.7109375" style="719" customWidth="1"/>
    <col min="6413" max="6413" width="11.42578125" style="719"/>
    <col min="6414" max="6414" width="12.7109375" style="719" bestFit="1" customWidth="1"/>
    <col min="6415" max="6656" width="11.42578125" style="719"/>
    <col min="6657" max="6657" width="4.42578125" style="719" customWidth="1"/>
    <col min="6658" max="6660" width="22.42578125" style="719" customWidth="1"/>
    <col min="6661" max="6662" width="17" style="719" customWidth="1"/>
    <col min="6663" max="6664" width="12" style="719" customWidth="1"/>
    <col min="6665" max="6665" width="9.7109375" style="719" customWidth="1"/>
    <col min="6666" max="6666" width="10.28515625" style="719" customWidth="1"/>
    <col min="6667" max="6667" width="20.85546875" style="719" customWidth="1"/>
    <col min="6668" max="6668" width="3.7109375" style="719" customWidth="1"/>
    <col min="6669" max="6669" width="11.42578125" style="719"/>
    <col min="6670" max="6670" width="12.7109375" style="719" bestFit="1" customWidth="1"/>
    <col min="6671" max="6912" width="11.42578125" style="719"/>
    <col min="6913" max="6913" width="4.42578125" style="719" customWidth="1"/>
    <col min="6914" max="6916" width="22.42578125" style="719" customWidth="1"/>
    <col min="6917" max="6918" width="17" style="719" customWidth="1"/>
    <col min="6919" max="6920" width="12" style="719" customWidth="1"/>
    <col min="6921" max="6921" width="9.7109375" style="719" customWidth="1"/>
    <col min="6922" max="6922" width="10.28515625" style="719" customWidth="1"/>
    <col min="6923" max="6923" width="20.85546875" style="719" customWidth="1"/>
    <col min="6924" max="6924" width="3.7109375" style="719" customWidth="1"/>
    <col min="6925" max="6925" width="11.42578125" style="719"/>
    <col min="6926" max="6926" width="12.7109375" style="719" bestFit="1" customWidth="1"/>
    <col min="6927" max="7168" width="11.42578125" style="719"/>
    <col min="7169" max="7169" width="4.42578125" style="719" customWidth="1"/>
    <col min="7170" max="7172" width="22.42578125" style="719" customWidth="1"/>
    <col min="7173" max="7174" width="17" style="719" customWidth="1"/>
    <col min="7175" max="7176" width="12" style="719" customWidth="1"/>
    <col min="7177" max="7177" width="9.7109375" style="719" customWidth="1"/>
    <col min="7178" max="7178" width="10.28515625" style="719" customWidth="1"/>
    <col min="7179" max="7179" width="20.85546875" style="719" customWidth="1"/>
    <col min="7180" max="7180" width="3.7109375" style="719" customWidth="1"/>
    <col min="7181" max="7181" width="11.42578125" style="719"/>
    <col min="7182" max="7182" width="12.7109375" style="719" bestFit="1" customWidth="1"/>
    <col min="7183" max="7424" width="11.42578125" style="719"/>
    <col min="7425" max="7425" width="4.42578125" style="719" customWidth="1"/>
    <col min="7426" max="7428" width="22.42578125" style="719" customWidth="1"/>
    <col min="7429" max="7430" width="17" style="719" customWidth="1"/>
    <col min="7431" max="7432" width="12" style="719" customWidth="1"/>
    <col min="7433" max="7433" width="9.7109375" style="719" customWidth="1"/>
    <col min="7434" max="7434" width="10.28515625" style="719" customWidth="1"/>
    <col min="7435" max="7435" width="20.85546875" style="719" customWidth="1"/>
    <col min="7436" max="7436" width="3.7109375" style="719" customWidth="1"/>
    <col min="7437" max="7437" width="11.42578125" style="719"/>
    <col min="7438" max="7438" width="12.7109375" style="719" bestFit="1" customWidth="1"/>
    <col min="7439" max="7680" width="11.42578125" style="719"/>
    <col min="7681" max="7681" width="4.42578125" style="719" customWidth="1"/>
    <col min="7682" max="7684" width="22.42578125" style="719" customWidth="1"/>
    <col min="7685" max="7686" width="17" style="719" customWidth="1"/>
    <col min="7687" max="7688" width="12" style="719" customWidth="1"/>
    <col min="7689" max="7689" width="9.7109375" style="719" customWidth="1"/>
    <col min="7690" max="7690" width="10.28515625" style="719" customWidth="1"/>
    <col min="7691" max="7691" width="20.85546875" style="719" customWidth="1"/>
    <col min="7692" max="7692" width="3.7109375" style="719" customWidth="1"/>
    <col min="7693" max="7693" width="11.42578125" style="719"/>
    <col min="7694" max="7694" width="12.7109375" style="719" bestFit="1" customWidth="1"/>
    <col min="7695" max="7936" width="11.42578125" style="719"/>
    <col min="7937" max="7937" width="4.42578125" style="719" customWidth="1"/>
    <col min="7938" max="7940" width="22.42578125" style="719" customWidth="1"/>
    <col min="7941" max="7942" width="17" style="719" customWidth="1"/>
    <col min="7943" max="7944" width="12" style="719" customWidth="1"/>
    <col min="7945" max="7945" width="9.7109375" style="719" customWidth="1"/>
    <col min="7946" max="7946" width="10.28515625" style="719" customWidth="1"/>
    <col min="7947" max="7947" width="20.85546875" style="719" customWidth="1"/>
    <col min="7948" max="7948" width="3.7109375" style="719" customWidth="1"/>
    <col min="7949" max="7949" width="11.42578125" style="719"/>
    <col min="7950" max="7950" width="12.7109375" style="719" bestFit="1" customWidth="1"/>
    <col min="7951" max="8192" width="11.42578125" style="719"/>
    <col min="8193" max="8193" width="4.42578125" style="719" customWidth="1"/>
    <col min="8194" max="8196" width="22.42578125" style="719" customWidth="1"/>
    <col min="8197" max="8198" width="17" style="719" customWidth="1"/>
    <col min="8199" max="8200" width="12" style="719" customWidth="1"/>
    <col min="8201" max="8201" width="9.7109375" style="719" customWidth="1"/>
    <col min="8202" max="8202" width="10.28515625" style="719" customWidth="1"/>
    <col min="8203" max="8203" width="20.85546875" style="719" customWidth="1"/>
    <col min="8204" max="8204" width="3.7109375" style="719" customWidth="1"/>
    <col min="8205" max="8205" width="11.42578125" style="719"/>
    <col min="8206" max="8206" width="12.7109375" style="719" bestFit="1" customWidth="1"/>
    <col min="8207" max="8448" width="11.42578125" style="719"/>
    <col min="8449" max="8449" width="4.42578125" style="719" customWidth="1"/>
    <col min="8450" max="8452" width="22.42578125" style="719" customWidth="1"/>
    <col min="8453" max="8454" width="17" style="719" customWidth="1"/>
    <col min="8455" max="8456" width="12" style="719" customWidth="1"/>
    <col min="8457" max="8457" width="9.7109375" style="719" customWidth="1"/>
    <col min="8458" max="8458" width="10.28515625" style="719" customWidth="1"/>
    <col min="8459" max="8459" width="20.85546875" style="719" customWidth="1"/>
    <col min="8460" max="8460" width="3.7109375" style="719" customWidth="1"/>
    <col min="8461" max="8461" width="11.42578125" style="719"/>
    <col min="8462" max="8462" width="12.7109375" style="719" bestFit="1" customWidth="1"/>
    <col min="8463" max="8704" width="11.42578125" style="719"/>
    <col min="8705" max="8705" width="4.42578125" style="719" customWidth="1"/>
    <col min="8706" max="8708" width="22.42578125" style="719" customWidth="1"/>
    <col min="8709" max="8710" width="17" style="719" customWidth="1"/>
    <col min="8711" max="8712" width="12" style="719" customWidth="1"/>
    <col min="8713" max="8713" width="9.7109375" style="719" customWidth="1"/>
    <col min="8714" max="8714" width="10.28515625" style="719" customWidth="1"/>
    <col min="8715" max="8715" width="20.85546875" style="719" customWidth="1"/>
    <col min="8716" max="8716" width="3.7109375" style="719" customWidth="1"/>
    <col min="8717" max="8717" width="11.42578125" style="719"/>
    <col min="8718" max="8718" width="12.7109375" style="719" bestFit="1" customWidth="1"/>
    <col min="8719" max="8960" width="11.42578125" style="719"/>
    <col min="8961" max="8961" width="4.42578125" style="719" customWidth="1"/>
    <col min="8962" max="8964" width="22.42578125" style="719" customWidth="1"/>
    <col min="8965" max="8966" width="17" style="719" customWidth="1"/>
    <col min="8967" max="8968" width="12" style="719" customWidth="1"/>
    <col min="8969" max="8969" width="9.7109375" style="719" customWidth="1"/>
    <col min="8970" max="8970" width="10.28515625" style="719" customWidth="1"/>
    <col min="8971" max="8971" width="20.85546875" style="719" customWidth="1"/>
    <col min="8972" max="8972" width="3.7109375" style="719" customWidth="1"/>
    <col min="8973" max="8973" width="11.42578125" style="719"/>
    <col min="8974" max="8974" width="12.7109375" style="719" bestFit="1" customWidth="1"/>
    <col min="8975" max="9216" width="11.42578125" style="719"/>
    <col min="9217" max="9217" width="4.42578125" style="719" customWidth="1"/>
    <col min="9218" max="9220" width="22.42578125" style="719" customWidth="1"/>
    <col min="9221" max="9222" width="17" style="719" customWidth="1"/>
    <col min="9223" max="9224" width="12" style="719" customWidth="1"/>
    <col min="9225" max="9225" width="9.7109375" style="719" customWidth="1"/>
    <col min="9226" max="9226" width="10.28515625" style="719" customWidth="1"/>
    <col min="9227" max="9227" width="20.85546875" style="719" customWidth="1"/>
    <col min="9228" max="9228" width="3.7109375" style="719" customWidth="1"/>
    <col min="9229" max="9229" width="11.42578125" style="719"/>
    <col min="9230" max="9230" width="12.7109375" style="719" bestFit="1" customWidth="1"/>
    <col min="9231" max="9472" width="11.42578125" style="719"/>
    <col min="9473" max="9473" width="4.42578125" style="719" customWidth="1"/>
    <col min="9474" max="9476" width="22.42578125" style="719" customWidth="1"/>
    <col min="9477" max="9478" width="17" style="719" customWidth="1"/>
    <col min="9479" max="9480" width="12" style="719" customWidth="1"/>
    <col min="9481" max="9481" width="9.7109375" style="719" customWidth="1"/>
    <col min="9482" max="9482" width="10.28515625" style="719" customWidth="1"/>
    <col min="9483" max="9483" width="20.85546875" style="719" customWidth="1"/>
    <col min="9484" max="9484" width="3.7109375" style="719" customWidth="1"/>
    <col min="9485" max="9485" width="11.42578125" style="719"/>
    <col min="9486" max="9486" width="12.7109375" style="719" bestFit="1" customWidth="1"/>
    <col min="9487" max="9728" width="11.42578125" style="719"/>
    <col min="9729" max="9729" width="4.42578125" style="719" customWidth="1"/>
    <col min="9730" max="9732" width="22.42578125" style="719" customWidth="1"/>
    <col min="9733" max="9734" width="17" style="719" customWidth="1"/>
    <col min="9735" max="9736" width="12" style="719" customWidth="1"/>
    <col min="9737" max="9737" width="9.7109375" style="719" customWidth="1"/>
    <col min="9738" max="9738" width="10.28515625" style="719" customWidth="1"/>
    <col min="9739" max="9739" width="20.85546875" style="719" customWidth="1"/>
    <col min="9740" max="9740" width="3.7109375" style="719" customWidth="1"/>
    <col min="9741" max="9741" width="11.42578125" style="719"/>
    <col min="9742" max="9742" width="12.7109375" style="719" bestFit="1" customWidth="1"/>
    <col min="9743" max="9984" width="11.42578125" style="719"/>
    <col min="9985" max="9985" width="4.42578125" style="719" customWidth="1"/>
    <col min="9986" max="9988" width="22.42578125" style="719" customWidth="1"/>
    <col min="9989" max="9990" width="17" style="719" customWidth="1"/>
    <col min="9991" max="9992" width="12" style="719" customWidth="1"/>
    <col min="9993" max="9993" width="9.7109375" style="719" customWidth="1"/>
    <col min="9994" max="9994" width="10.28515625" style="719" customWidth="1"/>
    <col min="9995" max="9995" width="20.85546875" style="719" customWidth="1"/>
    <col min="9996" max="9996" width="3.7109375" style="719" customWidth="1"/>
    <col min="9997" max="9997" width="11.42578125" style="719"/>
    <col min="9998" max="9998" width="12.7109375" style="719" bestFit="1" customWidth="1"/>
    <col min="9999" max="10240" width="11.42578125" style="719"/>
    <col min="10241" max="10241" width="4.42578125" style="719" customWidth="1"/>
    <col min="10242" max="10244" width="22.42578125" style="719" customWidth="1"/>
    <col min="10245" max="10246" width="17" style="719" customWidth="1"/>
    <col min="10247" max="10248" width="12" style="719" customWidth="1"/>
    <col min="10249" max="10249" width="9.7109375" style="719" customWidth="1"/>
    <col min="10250" max="10250" width="10.28515625" style="719" customWidth="1"/>
    <col min="10251" max="10251" width="20.85546875" style="719" customWidth="1"/>
    <col min="10252" max="10252" width="3.7109375" style="719" customWidth="1"/>
    <col min="10253" max="10253" width="11.42578125" style="719"/>
    <col min="10254" max="10254" width="12.7109375" style="719" bestFit="1" customWidth="1"/>
    <col min="10255" max="10496" width="11.42578125" style="719"/>
    <col min="10497" max="10497" width="4.42578125" style="719" customWidth="1"/>
    <col min="10498" max="10500" width="22.42578125" style="719" customWidth="1"/>
    <col min="10501" max="10502" width="17" style="719" customWidth="1"/>
    <col min="10503" max="10504" width="12" style="719" customWidth="1"/>
    <col min="10505" max="10505" width="9.7109375" style="719" customWidth="1"/>
    <col min="10506" max="10506" width="10.28515625" style="719" customWidth="1"/>
    <col min="10507" max="10507" width="20.85546875" style="719" customWidth="1"/>
    <col min="10508" max="10508" width="3.7109375" style="719" customWidth="1"/>
    <col min="10509" max="10509" width="11.42578125" style="719"/>
    <col min="10510" max="10510" width="12.7109375" style="719" bestFit="1" customWidth="1"/>
    <col min="10511" max="10752" width="11.42578125" style="719"/>
    <col min="10753" max="10753" width="4.42578125" style="719" customWidth="1"/>
    <col min="10754" max="10756" width="22.42578125" style="719" customWidth="1"/>
    <col min="10757" max="10758" width="17" style="719" customWidth="1"/>
    <col min="10759" max="10760" width="12" style="719" customWidth="1"/>
    <col min="10761" max="10761" width="9.7109375" style="719" customWidth="1"/>
    <col min="10762" max="10762" width="10.28515625" style="719" customWidth="1"/>
    <col min="10763" max="10763" width="20.85546875" style="719" customWidth="1"/>
    <col min="10764" max="10764" width="3.7109375" style="719" customWidth="1"/>
    <col min="10765" max="10765" width="11.42578125" style="719"/>
    <col min="10766" max="10766" width="12.7109375" style="719" bestFit="1" customWidth="1"/>
    <col min="10767" max="11008" width="11.42578125" style="719"/>
    <col min="11009" max="11009" width="4.42578125" style="719" customWidth="1"/>
    <col min="11010" max="11012" width="22.42578125" style="719" customWidth="1"/>
    <col min="11013" max="11014" width="17" style="719" customWidth="1"/>
    <col min="11015" max="11016" width="12" style="719" customWidth="1"/>
    <col min="11017" max="11017" width="9.7109375" style="719" customWidth="1"/>
    <col min="11018" max="11018" width="10.28515625" style="719" customWidth="1"/>
    <col min="11019" max="11019" width="20.85546875" style="719" customWidth="1"/>
    <col min="11020" max="11020" width="3.7109375" style="719" customWidth="1"/>
    <col min="11021" max="11021" width="11.42578125" style="719"/>
    <col min="11022" max="11022" width="12.7109375" style="719" bestFit="1" customWidth="1"/>
    <col min="11023" max="11264" width="11.42578125" style="719"/>
    <col min="11265" max="11265" width="4.42578125" style="719" customWidth="1"/>
    <col min="11266" max="11268" width="22.42578125" style="719" customWidth="1"/>
    <col min="11269" max="11270" width="17" style="719" customWidth="1"/>
    <col min="11271" max="11272" width="12" style="719" customWidth="1"/>
    <col min="11273" max="11273" width="9.7109375" style="719" customWidth="1"/>
    <col min="11274" max="11274" width="10.28515625" style="719" customWidth="1"/>
    <col min="11275" max="11275" width="20.85546875" style="719" customWidth="1"/>
    <col min="11276" max="11276" width="3.7109375" style="719" customWidth="1"/>
    <col min="11277" max="11277" width="11.42578125" style="719"/>
    <col min="11278" max="11278" width="12.7109375" style="719" bestFit="1" customWidth="1"/>
    <col min="11279" max="11520" width="11.42578125" style="719"/>
    <col min="11521" max="11521" width="4.42578125" style="719" customWidth="1"/>
    <col min="11522" max="11524" width="22.42578125" style="719" customWidth="1"/>
    <col min="11525" max="11526" width="17" style="719" customWidth="1"/>
    <col min="11527" max="11528" width="12" style="719" customWidth="1"/>
    <col min="11529" max="11529" width="9.7109375" style="719" customWidth="1"/>
    <col min="11530" max="11530" width="10.28515625" style="719" customWidth="1"/>
    <col min="11531" max="11531" width="20.85546875" style="719" customWidth="1"/>
    <col min="11532" max="11532" width="3.7109375" style="719" customWidth="1"/>
    <col min="11533" max="11533" width="11.42578125" style="719"/>
    <col min="11534" max="11534" width="12.7109375" style="719" bestFit="1" customWidth="1"/>
    <col min="11535" max="11776" width="11.42578125" style="719"/>
    <col min="11777" max="11777" width="4.42578125" style="719" customWidth="1"/>
    <col min="11778" max="11780" width="22.42578125" style="719" customWidth="1"/>
    <col min="11781" max="11782" width="17" style="719" customWidth="1"/>
    <col min="11783" max="11784" width="12" style="719" customWidth="1"/>
    <col min="11785" max="11785" width="9.7109375" style="719" customWidth="1"/>
    <col min="11786" max="11786" width="10.28515625" style="719" customWidth="1"/>
    <col min="11787" max="11787" width="20.85546875" style="719" customWidth="1"/>
    <col min="11788" max="11788" width="3.7109375" style="719" customWidth="1"/>
    <col min="11789" max="11789" width="11.42578125" style="719"/>
    <col min="11790" max="11790" width="12.7109375" style="719" bestFit="1" customWidth="1"/>
    <col min="11791" max="12032" width="11.42578125" style="719"/>
    <col min="12033" max="12033" width="4.42578125" style="719" customWidth="1"/>
    <col min="12034" max="12036" width="22.42578125" style="719" customWidth="1"/>
    <col min="12037" max="12038" width="17" style="719" customWidth="1"/>
    <col min="12039" max="12040" width="12" style="719" customWidth="1"/>
    <col min="12041" max="12041" width="9.7109375" style="719" customWidth="1"/>
    <col min="12042" max="12042" width="10.28515625" style="719" customWidth="1"/>
    <col min="12043" max="12043" width="20.85546875" style="719" customWidth="1"/>
    <col min="12044" max="12044" width="3.7109375" style="719" customWidth="1"/>
    <col min="12045" max="12045" width="11.42578125" style="719"/>
    <col min="12046" max="12046" width="12.7109375" style="719" bestFit="1" customWidth="1"/>
    <col min="12047" max="12288" width="11.42578125" style="719"/>
    <col min="12289" max="12289" width="4.42578125" style="719" customWidth="1"/>
    <col min="12290" max="12292" width="22.42578125" style="719" customWidth="1"/>
    <col min="12293" max="12294" width="17" style="719" customWidth="1"/>
    <col min="12295" max="12296" width="12" style="719" customWidth="1"/>
    <col min="12297" max="12297" width="9.7109375" style="719" customWidth="1"/>
    <col min="12298" max="12298" width="10.28515625" style="719" customWidth="1"/>
    <col min="12299" max="12299" width="20.85546875" style="719" customWidth="1"/>
    <col min="12300" max="12300" width="3.7109375" style="719" customWidth="1"/>
    <col min="12301" max="12301" width="11.42578125" style="719"/>
    <col min="12302" max="12302" width="12.7109375" style="719" bestFit="1" customWidth="1"/>
    <col min="12303" max="12544" width="11.42578125" style="719"/>
    <col min="12545" max="12545" width="4.42578125" style="719" customWidth="1"/>
    <col min="12546" max="12548" width="22.42578125" style="719" customWidth="1"/>
    <col min="12549" max="12550" width="17" style="719" customWidth="1"/>
    <col min="12551" max="12552" width="12" style="719" customWidth="1"/>
    <col min="12553" max="12553" width="9.7109375" style="719" customWidth="1"/>
    <col min="12554" max="12554" width="10.28515625" style="719" customWidth="1"/>
    <col min="12555" max="12555" width="20.85546875" style="719" customWidth="1"/>
    <col min="12556" max="12556" width="3.7109375" style="719" customWidth="1"/>
    <col min="12557" max="12557" width="11.42578125" style="719"/>
    <col min="12558" max="12558" width="12.7109375" style="719" bestFit="1" customWidth="1"/>
    <col min="12559" max="12800" width="11.42578125" style="719"/>
    <col min="12801" max="12801" width="4.42578125" style="719" customWidth="1"/>
    <col min="12802" max="12804" width="22.42578125" style="719" customWidth="1"/>
    <col min="12805" max="12806" width="17" style="719" customWidth="1"/>
    <col min="12807" max="12808" width="12" style="719" customWidth="1"/>
    <col min="12809" max="12809" width="9.7109375" style="719" customWidth="1"/>
    <col min="12810" max="12810" width="10.28515625" style="719" customWidth="1"/>
    <col min="12811" max="12811" width="20.85546875" style="719" customWidth="1"/>
    <col min="12812" max="12812" width="3.7109375" style="719" customWidth="1"/>
    <col min="12813" max="12813" width="11.42578125" style="719"/>
    <col min="12814" max="12814" width="12.7109375" style="719" bestFit="1" customWidth="1"/>
    <col min="12815" max="13056" width="11.42578125" style="719"/>
    <col min="13057" max="13057" width="4.42578125" style="719" customWidth="1"/>
    <col min="13058" max="13060" width="22.42578125" style="719" customWidth="1"/>
    <col min="13061" max="13062" width="17" style="719" customWidth="1"/>
    <col min="13063" max="13064" width="12" style="719" customWidth="1"/>
    <col min="13065" max="13065" width="9.7109375" style="719" customWidth="1"/>
    <col min="13066" max="13066" width="10.28515625" style="719" customWidth="1"/>
    <col min="13067" max="13067" width="20.85546875" style="719" customWidth="1"/>
    <col min="13068" max="13068" width="3.7109375" style="719" customWidth="1"/>
    <col min="13069" max="13069" width="11.42578125" style="719"/>
    <col min="13070" max="13070" width="12.7109375" style="719" bestFit="1" customWidth="1"/>
    <col min="13071" max="13312" width="11.42578125" style="719"/>
    <col min="13313" max="13313" width="4.42578125" style="719" customWidth="1"/>
    <col min="13314" max="13316" width="22.42578125" style="719" customWidth="1"/>
    <col min="13317" max="13318" width="17" style="719" customWidth="1"/>
    <col min="13319" max="13320" width="12" style="719" customWidth="1"/>
    <col min="13321" max="13321" width="9.7109375" style="719" customWidth="1"/>
    <col min="13322" max="13322" width="10.28515625" style="719" customWidth="1"/>
    <col min="13323" max="13323" width="20.85546875" style="719" customWidth="1"/>
    <col min="13324" max="13324" width="3.7109375" style="719" customWidth="1"/>
    <col min="13325" max="13325" width="11.42578125" style="719"/>
    <col min="13326" max="13326" width="12.7109375" style="719" bestFit="1" customWidth="1"/>
    <col min="13327" max="13568" width="11.42578125" style="719"/>
    <col min="13569" max="13569" width="4.42578125" style="719" customWidth="1"/>
    <col min="13570" max="13572" width="22.42578125" style="719" customWidth="1"/>
    <col min="13573" max="13574" width="17" style="719" customWidth="1"/>
    <col min="13575" max="13576" width="12" style="719" customWidth="1"/>
    <col min="13577" max="13577" width="9.7109375" style="719" customWidth="1"/>
    <col min="13578" max="13578" width="10.28515625" style="719" customWidth="1"/>
    <col min="13579" max="13579" width="20.85546875" style="719" customWidth="1"/>
    <col min="13580" max="13580" width="3.7109375" style="719" customWidth="1"/>
    <col min="13581" max="13581" width="11.42578125" style="719"/>
    <col min="13582" max="13582" width="12.7109375" style="719" bestFit="1" customWidth="1"/>
    <col min="13583" max="13824" width="11.42578125" style="719"/>
    <col min="13825" max="13825" width="4.42578125" style="719" customWidth="1"/>
    <col min="13826" max="13828" width="22.42578125" style="719" customWidth="1"/>
    <col min="13829" max="13830" width="17" style="719" customWidth="1"/>
    <col min="13831" max="13832" width="12" style="719" customWidth="1"/>
    <col min="13833" max="13833" width="9.7109375" style="719" customWidth="1"/>
    <col min="13834" max="13834" width="10.28515625" style="719" customWidth="1"/>
    <col min="13835" max="13835" width="20.85546875" style="719" customWidth="1"/>
    <col min="13836" max="13836" width="3.7109375" style="719" customWidth="1"/>
    <col min="13837" max="13837" width="11.42578125" style="719"/>
    <col min="13838" max="13838" width="12.7109375" style="719" bestFit="1" customWidth="1"/>
    <col min="13839" max="14080" width="11.42578125" style="719"/>
    <col min="14081" max="14081" width="4.42578125" style="719" customWidth="1"/>
    <col min="14082" max="14084" width="22.42578125" style="719" customWidth="1"/>
    <col min="14085" max="14086" width="17" style="719" customWidth="1"/>
    <col min="14087" max="14088" width="12" style="719" customWidth="1"/>
    <col min="14089" max="14089" width="9.7109375" style="719" customWidth="1"/>
    <col min="14090" max="14090" width="10.28515625" style="719" customWidth="1"/>
    <col min="14091" max="14091" width="20.85546875" style="719" customWidth="1"/>
    <col min="14092" max="14092" width="3.7109375" style="719" customWidth="1"/>
    <col min="14093" max="14093" width="11.42578125" style="719"/>
    <col min="14094" max="14094" width="12.7109375" style="719" bestFit="1" customWidth="1"/>
    <col min="14095" max="14336" width="11.42578125" style="719"/>
    <col min="14337" max="14337" width="4.42578125" style="719" customWidth="1"/>
    <col min="14338" max="14340" width="22.42578125" style="719" customWidth="1"/>
    <col min="14341" max="14342" width="17" style="719" customWidth="1"/>
    <col min="14343" max="14344" width="12" style="719" customWidth="1"/>
    <col min="14345" max="14345" width="9.7109375" style="719" customWidth="1"/>
    <col min="14346" max="14346" width="10.28515625" style="719" customWidth="1"/>
    <col min="14347" max="14347" width="20.85546875" style="719" customWidth="1"/>
    <col min="14348" max="14348" width="3.7109375" style="719" customWidth="1"/>
    <col min="14349" max="14349" width="11.42578125" style="719"/>
    <col min="14350" max="14350" width="12.7109375" style="719" bestFit="1" customWidth="1"/>
    <col min="14351" max="14592" width="11.42578125" style="719"/>
    <col min="14593" max="14593" width="4.42578125" style="719" customWidth="1"/>
    <col min="14594" max="14596" width="22.42578125" style="719" customWidth="1"/>
    <col min="14597" max="14598" width="17" style="719" customWidth="1"/>
    <col min="14599" max="14600" width="12" style="719" customWidth="1"/>
    <col min="14601" max="14601" width="9.7109375" style="719" customWidth="1"/>
    <col min="14602" max="14602" width="10.28515625" style="719" customWidth="1"/>
    <col min="14603" max="14603" width="20.85546875" style="719" customWidth="1"/>
    <col min="14604" max="14604" width="3.7109375" style="719" customWidth="1"/>
    <col min="14605" max="14605" width="11.42578125" style="719"/>
    <col min="14606" max="14606" width="12.7109375" style="719" bestFit="1" customWidth="1"/>
    <col min="14607" max="14848" width="11.42578125" style="719"/>
    <col min="14849" max="14849" width="4.42578125" style="719" customWidth="1"/>
    <col min="14850" max="14852" width="22.42578125" style="719" customWidth="1"/>
    <col min="14853" max="14854" width="17" style="719" customWidth="1"/>
    <col min="14855" max="14856" width="12" style="719" customWidth="1"/>
    <col min="14857" max="14857" width="9.7109375" style="719" customWidth="1"/>
    <col min="14858" max="14858" width="10.28515625" style="719" customWidth="1"/>
    <col min="14859" max="14859" width="20.85546875" style="719" customWidth="1"/>
    <col min="14860" max="14860" width="3.7109375" style="719" customWidth="1"/>
    <col min="14861" max="14861" width="11.42578125" style="719"/>
    <col min="14862" max="14862" width="12.7109375" style="719" bestFit="1" customWidth="1"/>
    <col min="14863" max="15104" width="11.42578125" style="719"/>
    <col min="15105" max="15105" width="4.42578125" style="719" customWidth="1"/>
    <col min="15106" max="15108" width="22.42578125" style="719" customWidth="1"/>
    <col min="15109" max="15110" width="17" style="719" customWidth="1"/>
    <col min="15111" max="15112" width="12" style="719" customWidth="1"/>
    <col min="15113" max="15113" width="9.7109375" style="719" customWidth="1"/>
    <col min="15114" max="15114" width="10.28515625" style="719" customWidth="1"/>
    <col min="15115" max="15115" width="20.85546875" style="719" customWidth="1"/>
    <col min="15116" max="15116" width="3.7109375" style="719" customWidth="1"/>
    <col min="15117" max="15117" width="11.42578125" style="719"/>
    <col min="15118" max="15118" width="12.7109375" style="719" bestFit="1" customWidth="1"/>
    <col min="15119" max="15360" width="11.42578125" style="719"/>
    <col min="15361" max="15361" width="4.42578125" style="719" customWidth="1"/>
    <col min="15362" max="15364" width="22.42578125" style="719" customWidth="1"/>
    <col min="15365" max="15366" width="17" style="719" customWidth="1"/>
    <col min="15367" max="15368" width="12" style="719" customWidth="1"/>
    <col min="15369" max="15369" width="9.7109375" style="719" customWidth="1"/>
    <col min="15370" max="15370" width="10.28515625" style="719" customWidth="1"/>
    <col min="15371" max="15371" width="20.85546875" style="719" customWidth="1"/>
    <col min="15372" max="15372" width="3.7109375" style="719" customWidth="1"/>
    <col min="15373" max="15373" width="11.42578125" style="719"/>
    <col min="15374" max="15374" width="12.7109375" style="719" bestFit="1" customWidth="1"/>
    <col min="15375" max="15616" width="11.42578125" style="719"/>
    <col min="15617" max="15617" width="4.42578125" style="719" customWidth="1"/>
    <col min="15618" max="15620" width="22.42578125" style="719" customWidth="1"/>
    <col min="15621" max="15622" width="17" style="719" customWidth="1"/>
    <col min="15623" max="15624" width="12" style="719" customWidth="1"/>
    <col min="15625" max="15625" width="9.7109375" style="719" customWidth="1"/>
    <col min="15626" max="15626" width="10.28515625" style="719" customWidth="1"/>
    <col min="15627" max="15627" width="20.85546875" style="719" customWidth="1"/>
    <col min="15628" max="15628" width="3.7109375" style="719" customWidth="1"/>
    <col min="15629" max="15629" width="11.42578125" style="719"/>
    <col min="15630" max="15630" width="12.7109375" style="719" bestFit="1" customWidth="1"/>
    <col min="15631" max="15872" width="11.42578125" style="719"/>
    <col min="15873" max="15873" width="4.42578125" style="719" customWidth="1"/>
    <col min="15874" max="15876" width="22.42578125" style="719" customWidth="1"/>
    <col min="15877" max="15878" width="17" style="719" customWidth="1"/>
    <col min="15879" max="15880" width="12" style="719" customWidth="1"/>
    <col min="15881" max="15881" width="9.7109375" style="719" customWidth="1"/>
    <col min="15882" max="15882" width="10.28515625" style="719" customWidth="1"/>
    <col min="15883" max="15883" width="20.85546875" style="719" customWidth="1"/>
    <col min="15884" max="15884" width="3.7109375" style="719" customWidth="1"/>
    <col min="15885" max="15885" width="11.42578125" style="719"/>
    <col min="15886" max="15886" width="12.7109375" style="719" bestFit="1" customWidth="1"/>
    <col min="15887" max="16128" width="11.42578125" style="719"/>
    <col min="16129" max="16129" width="4.42578125" style="719" customWidth="1"/>
    <col min="16130" max="16132" width="22.42578125" style="719" customWidth="1"/>
    <col min="16133" max="16134" width="17" style="719" customWidth="1"/>
    <col min="16135" max="16136" width="12" style="719" customWidth="1"/>
    <col min="16137" max="16137" width="9.7109375" style="719" customWidth="1"/>
    <col min="16138" max="16138" width="10.28515625" style="719" customWidth="1"/>
    <col min="16139" max="16139" width="20.85546875" style="719" customWidth="1"/>
    <col min="16140" max="16140" width="3.7109375" style="719" customWidth="1"/>
    <col min="16141" max="16141" width="11.42578125" style="719"/>
    <col min="16142" max="16142" width="12.7109375" style="719" bestFit="1" customWidth="1"/>
    <col min="16143" max="16384" width="11.42578125" style="719"/>
  </cols>
  <sheetData>
    <row r="1" spans="1:12" ht="6.75" customHeight="1" thickBot="1" x14ac:dyDescent="0.25"/>
    <row r="2" spans="1:12" ht="16.5" customHeight="1" thickBot="1" x14ac:dyDescent="0.3">
      <c r="A2" s="1277"/>
      <c r="B2" s="1277"/>
      <c r="C2" s="1278" t="s">
        <v>7485</v>
      </c>
      <c r="D2" s="1278"/>
      <c r="E2" s="1278"/>
      <c r="F2" s="1278"/>
      <c r="G2" s="1278"/>
      <c r="H2" s="1278"/>
      <c r="I2" s="1278"/>
      <c r="J2" s="1278"/>
      <c r="K2" s="1279"/>
    </row>
    <row r="3" spans="1:12" ht="20.25" customHeight="1" x14ac:dyDescent="0.2">
      <c r="A3" s="1277"/>
      <c r="B3" s="1277"/>
      <c r="C3" s="1280" t="s">
        <v>566</v>
      </c>
      <c r="D3" s="1280"/>
      <c r="E3" s="1280"/>
      <c r="F3" s="1280"/>
      <c r="G3" s="1280"/>
      <c r="H3" s="1280"/>
      <c r="I3" s="1280"/>
      <c r="J3" s="1280"/>
      <c r="K3" s="1280"/>
    </row>
    <row r="4" spans="1:12" ht="20.25" customHeight="1" x14ac:dyDescent="0.2">
      <c r="A4" s="1277"/>
      <c r="B4" s="1277"/>
      <c r="C4" s="1281" t="s">
        <v>8929</v>
      </c>
      <c r="D4" s="1281"/>
      <c r="E4" s="1281"/>
      <c r="F4" s="1281"/>
      <c r="G4" s="1281"/>
      <c r="H4" s="1281"/>
      <c r="I4" s="1281"/>
      <c r="J4" s="1281"/>
      <c r="K4" s="1281"/>
    </row>
    <row r="5" spans="1:12" ht="12" customHeight="1" x14ac:dyDescent="0.2">
      <c r="A5" s="1277"/>
      <c r="B5" s="1277"/>
      <c r="C5" s="1282"/>
      <c r="D5" s="1282"/>
      <c r="E5" s="1282"/>
      <c r="F5" s="1282"/>
      <c r="G5" s="1282"/>
      <c r="H5" s="1282"/>
      <c r="I5" s="1282"/>
      <c r="J5" s="1282"/>
      <c r="K5" s="1282"/>
    </row>
    <row r="6" spans="1:12" ht="8.25" customHeight="1" thickBot="1" x14ac:dyDescent="0.25">
      <c r="A6" s="642"/>
      <c r="B6" s="583" t="s">
        <v>559</v>
      </c>
      <c r="C6" s="583" t="s">
        <v>559</v>
      </c>
      <c r="D6" s="582"/>
      <c r="E6" s="582"/>
      <c r="F6" s="582"/>
      <c r="G6" s="582"/>
      <c r="H6" s="582"/>
      <c r="I6" s="582"/>
      <c r="J6" s="582"/>
      <c r="K6" s="582"/>
    </row>
    <row r="7" spans="1:12" s="724" customFormat="1" ht="30" customHeight="1" x14ac:dyDescent="0.25">
      <c r="A7" s="1271" t="s">
        <v>560</v>
      </c>
      <c r="B7" s="1273" t="s">
        <v>2384</v>
      </c>
      <c r="C7" s="1273" t="s">
        <v>561</v>
      </c>
      <c r="D7" s="1264" t="s">
        <v>562</v>
      </c>
      <c r="E7" s="1276" t="s">
        <v>2389</v>
      </c>
      <c r="F7" s="1273"/>
      <c r="G7" s="1263" t="s">
        <v>541</v>
      </c>
      <c r="H7" s="1263"/>
      <c r="I7" s="1264" t="s">
        <v>563</v>
      </c>
      <c r="J7" s="1264"/>
      <c r="K7" s="1265" t="s">
        <v>2390</v>
      </c>
      <c r="L7" s="729"/>
    </row>
    <row r="8" spans="1:12" s="724" customFormat="1" ht="33.75" customHeight="1" thickBot="1" x14ac:dyDescent="0.3">
      <c r="A8" s="1272"/>
      <c r="B8" s="1274"/>
      <c r="C8" s="1274"/>
      <c r="D8" s="1275"/>
      <c r="E8" s="584" t="s">
        <v>2385</v>
      </c>
      <c r="F8" s="584" t="s">
        <v>2386</v>
      </c>
      <c r="G8" s="826" t="s">
        <v>2391</v>
      </c>
      <c r="H8" s="826" t="s">
        <v>2387</v>
      </c>
      <c r="I8" s="827" t="s">
        <v>564</v>
      </c>
      <c r="J8" s="827" t="s">
        <v>565</v>
      </c>
      <c r="K8" s="1266"/>
      <c r="L8" s="720"/>
    </row>
    <row r="9" spans="1:12" ht="9.75" customHeight="1" x14ac:dyDescent="0.2"/>
    <row r="10" spans="1:12" ht="33" customHeight="1" x14ac:dyDescent="0.2">
      <c r="A10" s="730"/>
      <c r="B10" s="731"/>
      <c r="C10" s="731"/>
      <c r="D10" s="732"/>
      <c r="E10" s="732"/>
      <c r="F10" s="732"/>
      <c r="G10" s="733"/>
      <c r="H10" s="733"/>
      <c r="I10" s="734"/>
      <c r="J10" s="734"/>
      <c r="K10" s="735"/>
    </row>
    <row r="11" spans="1:12" ht="33" customHeight="1" x14ac:dyDescent="0.2">
      <c r="A11" s="730"/>
      <c r="B11" s="731"/>
      <c r="C11" s="731"/>
      <c r="D11" s="732"/>
      <c r="E11" s="732"/>
      <c r="F11" s="732"/>
      <c r="G11" s="733"/>
      <c r="H11" s="733"/>
      <c r="I11" s="734"/>
      <c r="J11" s="734"/>
      <c r="K11" s="735"/>
    </row>
    <row r="12" spans="1:12" ht="33" customHeight="1" x14ac:dyDescent="0.2">
      <c r="A12" s="730"/>
      <c r="B12" s="731"/>
      <c r="C12" s="731"/>
      <c r="D12" s="732"/>
      <c r="E12" s="732"/>
      <c r="F12" s="732"/>
      <c r="G12" s="733"/>
      <c r="H12" s="733"/>
      <c r="I12" s="734"/>
      <c r="J12" s="734"/>
      <c r="K12" s="735"/>
    </row>
    <row r="13" spans="1:12" ht="33" customHeight="1" x14ac:dyDescent="0.2">
      <c r="A13" s="730"/>
      <c r="B13" s="731"/>
      <c r="C13" s="731"/>
      <c r="D13" s="732"/>
      <c r="E13" s="732"/>
      <c r="F13" s="732"/>
      <c r="G13" s="733"/>
      <c r="H13" s="733"/>
      <c r="I13" s="734"/>
      <c r="J13" s="734"/>
      <c r="K13" s="735"/>
    </row>
    <row r="14" spans="1:12" ht="33" customHeight="1" x14ac:dyDescent="0.2">
      <c r="A14" s="730"/>
      <c r="B14" s="731"/>
      <c r="C14" s="731"/>
      <c r="D14" s="732"/>
      <c r="E14" s="732"/>
      <c r="F14" s="732"/>
      <c r="G14" s="733"/>
      <c r="H14" s="733"/>
      <c r="I14" s="734"/>
      <c r="J14" s="734"/>
      <c r="K14" s="735"/>
    </row>
    <row r="15" spans="1:12" ht="33" customHeight="1" x14ac:dyDescent="0.2">
      <c r="A15" s="730"/>
      <c r="B15" s="731"/>
      <c r="C15" s="731"/>
      <c r="D15" s="732"/>
      <c r="E15" s="732"/>
      <c r="F15" s="732"/>
      <c r="G15" s="733"/>
      <c r="H15" s="733"/>
      <c r="I15" s="734"/>
      <c r="J15" s="734"/>
      <c r="K15" s="735"/>
    </row>
    <row r="16" spans="1:12" ht="33" customHeight="1" x14ac:dyDescent="0.2">
      <c r="A16" s="730"/>
      <c r="B16" s="731"/>
      <c r="C16" s="731"/>
      <c r="D16" s="732"/>
      <c r="E16" s="732"/>
      <c r="F16" s="732"/>
      <c r="G16" s="733"/>
      <c r="H16" s="733"/>
      <c r="I16" s="734"/>
      <c r="J16" s="734"/>
      <c r="K16" s="735"/>
    </row>
    <row r="17" spans="1:12" ht="33" customHeight="1" x14ac:dyDescent="0.2">
      <c r="A17" s="730"/>
      <c r="B17" s="731"/>
      <c r="C17" s="731"/>
      <c r="D17" s="732"/>
      <c r="E17" s="732"/>
      <c r="F17" s="732"/>
      <c r="G17" s="733"/>
      <c r="H17" s="733"/>
      <c r="I17" s="734"/>
      <c r="J17" s="734"/>
      <c r="K17" s="735"/>
    </row>
    <row r="18" spans="1:12" ht="33" customHeight="1" x14ac:dyDescent="0.2">
      <c r="A18" s="730"/>
      <c r="B18" s="731"/>
      <c r="C18" s="731"/>
      <c r="D18" s="732"/>
      <c r="E18" s="732"/>
      <c r="F18" s="732"/>
      <c r="G18" s="733"/>
      <c r="H18" s="733"/>
      <c r="I18" s="734"/>
      <c r="J18" s="734"/>
      <c r="K18" s="735"/>
    </row>
    <row r="19" spans="1:12" ht="33" customHeight="1" x14ac:dyDescent="0.2">
      <c r="A19" s="730"/>
      <c r="B19" s="731"/>
      <c r="C19" s="731"/>
      <c r="D19" s="732"/>
      <c r="E19" s="732"/>
      <c r="F19" s="732"/>
      <c r="G19" s="733"/>
      <c r="H19" s="733"/>
      <c r="I19" s="734"/>
      <c r="J19" s="734"/>
      <c r="K19" s="735"/>
    </row>
    <row r="20" spans="1:12" ht="33" customHeight="1" x14ac:dyDescent="0.2">
      <c r="A20" s="730"/>
      <c r="B20" s="731"/>
      <c r="C20" s="731"/>
      <c r="D20" s="732"/>
      <c r="E20" s="732"/>
      <c r="F20" s="732"/>
      <c r="G20" s="733"/>
      <c r="H20" s="733"/>
      <c r="I20" s="734"/>
      <c r="J20" s="734"/>
      <c r="K20" s="735"/>
    </row>
    <row r="21" spans="1:12" ht="33" customHeight="1" x14ac:dyDescent="0.2">
      <c r="A21" s="730"/>
      <c r="B21" s="731"/>
      <c r="C21" s="731"/>
      <c r="D21" s="732"/>
      <c r="E21" s="732"/>
      <c r="F21" s="732"/>
      <c r="G21" s="733"/>
      <c r="H21" s="733"/>
      <c r="I21" s="734"/>
      <c r="J21" s="734"/>
      <c r="K21" s="735"/>
    </row>
    <row r="22" spans="1:12" ht="33" customHeight="1" x14ac:dyDescent="0.2">
      <c r="A22" s="730"/>
      <c r="B22" s="731"/>
      <c r="C22" s="731"/>
      <c r="D22" s="732"/>
      <c r="E22" s="732"/>
      <c r="F22" s="732"/>
      <c r="G22" s="733"/>
      <c r="H22" s="733"/>
      <c r="I22" s="734"/>
      <c r="J22" s="734"/>
      <c r="K22" s="735"/>
    </row>
    <row r="23" spans="1:12" ht="33" customHeight="1" x14ac:dyDescent="0.2">
      <c r="A23" s="730"/>
      <c r="B23" s="731"/>
      <c r="C23" s="731"/>
      <c r="D23" s="732"/>
      <c r="E23" s="732"/>
      <c r="F23" s="732"/>
      <c r="G23" s="733"/>
      <c r="H23" s="733"/>
      <c r="I23" s="734"/>
      <c r="J23" s="734"/>
      <c r="K23" s="735"/>
    </row>
    <row r="24" spans="1:12" ht="33" customHeight="1" x14ac:dyDescent="0.2">
      <c r="A24" s="730"/>
      <c r="B24" s="731"/>
      <c r="C24" s="731"/>
      <c r="D24" s="732"/>
      <c r="E24" s="732"/>
      <c r="F24" s="732"/>
      <c r="G24" s="733"/>
      <c r="H24" s="733"/>
      <c r="I24" s="734"/>
      <c r="J24" s="734"/>
      <c r="K24" s="735"/>
    </row>
    <row r="25" spans="1:12" ht="33" customHeight="1" x14ac:dyDescent="0.2">
      <c r="A25" s="730"/>
      <c r="B25" s="731"/>
      <c r="C25" s="731"/>
      <c r="D25" s="732"/>
      <c r="E25" s="732"/>
      <c r="F25" s="732"/>
      <c r="G25" s="733"/>
      <c r="H25" s="733"/>
      <c r="I25" s="734"/>
      <c r="J25" s="734"/>
      <c r="K25" s="735"/>
    </row>
    <row r="26" spans="1:12" ht="33" customHeight="1" x14ac:dyDescent="0.2">
      <c r="A26" s="730"/>
      <c r="B26" s="731"/>
      <c r="C26" s="731"/>
      <c r="D26" s="732"/>
      <c r="E26" s="732"/>
      <c r="F26" s="732"/>
      <c r="G26" s="733"/>
      <c r="H26" s="733"/>
      <c r="I26" s="734"/>
      <c r="J26" s="734"/>
      <c r="K26" s="735"/>
    </row>
    <row r="27" spans="1:12" ht="33" customHeight="1" x14ac:dyDescent="0.2">
      <c r="A27" s="730"/>
      <c r="B27" s="731"/>
      <c r="C27" s="731"/>
      <c r="D27" s="732"/>
      <c r="E27" s="732"/>
      <c r="F27" s="732"/>
      <c r="G27" s="733"/>
      <c r="H27" s="733"/>
      <c r="I27" s="734"/>
      <c r="J27" s="734"/>
      <c r="K27" s="735"/>
    </row>
    <row r="28" spans="1:12" ht="33" customHeight="1" x14ac:dyDescent="0.2">
      <c r="A28" s="730"/>
      <c r="B28" s="731"/>
      <c r="C28" s="731"/>
      <c r="D28" s="732"/>
      <c r="E28" s="732"/>
      <c r="F28" s="732"/>
      <c r="G28" s="733"/>
      <c r="H28" s="733"/>
      <c r="I28" s="734"/>
      <c r="J28" s="734"/>
      <c r="K28" s="735"/>
    </row>
    <row r="29" spans="1:12" ht="33" customHeight="1" thickBot="1" x14ac:dyDescent="0.25">
      <c r="A29" s="736"/>
      <c r="B29" s="737" t="s">
        <v>559</v>
      </c>
      <c r="C29" s="737" t="s">
        <v>559</v>
      </c>
      <c r="D29" s="738"/>
      <c r="E29" s="738"/>
      <c r="F29" s="738"/>
      <c r="G29" s="739"/>
      <c r="H29" s="739"/>
      <c r="I29" s="740"/>
      <c r="J29" s="740"/>
      <c r="K29" s="741"/>
    </row>
    <row r="30" spans="1:12" ht="16.5" customHeight="1" thickBot="1" x14ac:dyDescent="0.25">
      <c r="B30" s="742" t="s">
        <v>559</v>
      </c>
      <c r="C30" s="742" t="s">
        <v>559</v>
      </c>
      <c r="D30" s="742"/>
      <c r="E30" s="742"/>
      <c r="F30" s="742"/>
      <c r="G30" s="743">
        <f>SUM(G10:G29)</f>
        <v>0</v>
      </c>
      <c r="H30" s="744">
        <f>SUM(H10:H29)</f>
        <v>0</v>
      </c>
      <c r="I30" s="745"/>
      <c r="J30" s="745"/>
      <c r="K30" s="825"/>
    </row>
    <row r="32" spans="1:12" s="724" customFormat="1" ht="17.25" customHeight="1" x14ac:dyDescent="0.25">
      <c r="A32" s="718"/>
      <c r="B32" s="1267" t="s">
        <v>2388</v>
      </c>
      <c r="C32" s="1268"/>
      <c r="D32" s="721"/>
      <c r="E32" s="721"/>
      <c r="F32" s="722"/>
      <c r="G32" s="1268" t="s">
        <v>1202</v>
      </c>
      <c r="H32" s="1268"/>
      <c r="I32" s="1268"/>
      <c r="J32" s="1268"/>
      <c r="K32" s="723"/>
      <c r="L32" s="720"/>
    </row>
    <row r="33" spans="1:12" s="724" customFormat="1" ht="17.25" customHeight="1" x14ac:dyDescent="0.25">
      <c r="A33" s="718"/>
      <c r="D33" s="721"/>
      <c r="E33" s="721"/>
      <c r="F33" s="721"/>
      <c r="K33" s="723"/>
      <c r="L33" s="720"/>
    </row>
    <row r="34" spans="1:12" s="724" customFormat="1" ht="15.75" customHeight="1" x14ac:dyDescent="0.25">
      <c r="A34" s="718"/>
      <c r="B34" s="1269"/>
      <c r="C34" s="1269"/>
      <c r="D34" s="725"/>
      <c r="E34" s="725"/>
      <c r="F34" s="726"/>
      <c r="G34" s="1270"/>
      <c r="H34" s="1270"/>
      <c r="I34" s="1270"/>
      <c r="J34" s="1270"/>
      <c r="L34" s="720"/>
    </row>
    <row r="35" spans="1:12" s="724" customFormat="1" ht="15.75" customHeight="1" x14ac:dyDescent="0.25">
      <c r="A35" s="718"/>
      <c r="B35" s="1260" t="s">
        <v>8755</v>
      </c>
      <c r="C35" s="1261"/>
      <c r="D35" s="725"/>
      <c r="E35" s="725"/>
      <c r="F35" s="727"/>
      <c r="G35" s="1262" t="s">
        <v>8754</v>
      </c>
      <c r="H35" s="1262"/>
      <c r="I35" s="1262"/>
      <c r="J35" s="1262"/>
      <c r="K35" s="722"/>
      <c r="L35" s="720"/>
    </row>
    <row r="36" spans="1:12" ht="3" customHeight="1" x14ac:dyDescent="0.2">
      <c r="G36" s="728"/>
      <c r="H36" s="728"/>
    </row>
  </sheetData>
  <mergeCells count="19">
    <mergeCell ref="A2:B5"/>
    <mergeCell ref="C2:K2"/>
    <mergeCell ref="C3:K3"/>
    <mergeCell ref="C4:K4"/>
    <mergeCell ref="C5:K5"/>
    <mergeCell ref="A7:A8"/>
    <mergeCell ref="B7:B8"/>
    <mergeCell ref="C7:C8"/>
    <mergeCell ref="D7:D8"/>
    <mergeCell ref="E7:F7"/>
    <mergeCell ref="B35:C35"/>
    <mergeCell ref="G35:J35"/>
    <mergeCell ref="G7:H7"/>
    <mergeCell ref="I7:J7"/>
    <mergeCell ref="K7:K8"/>
    <mergeCell ref="B32:C32"/>
    <mergeCell ref="G32:J32"/>
    <mergeCell ref="B34:C34"/>
    <mergeCell ref="G34:J34"/>
  </mergeCells>
  <printOptions horizontalCentered="1"/>
  <pageMargins left="0.19685039370078741" right="0.19685039370078741" top="0.35433070866141736" bottom="0.35433070866141736" header="0.19685039370078741" footer="0.19685039370078741"/>
  <pageSetup scale="6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46"/>
  <sheetViews>
    <sheetView view="pageBreakPreview" topLeftCell="A13" zoomScale="60" zoomScaleNormal="100" workbookViewId="0">
      <selection activeCell="H42" sqref="H42"/>
    </sheetView>
  </sheetViews>
  <sheetFormatPr baseColWidth="10" defaultColWidth="11.42578125" defaultRowHeight="12.75" x14ac:dyDescent="0.2"/>
  <cols>
    <col min="1" max="1" width="6.7109375" style="309" bestFit="1" customWidth="1"/>
    <col min="2" max="2" width="56.85546875" style="306" customWidth="1"/>
    <col min="3" max="4" width="15.85546875" style="313" bestFit="1" customWidth="1"/>
    <col min="5" max="5" width="1.7109375" style="306" customWidth="1"/>
    <col min="6" max="6" width="6.7109375" style="309" bestFit="1" customWidth="1"/>
    <col min="7" max="7" width="60.28515625" style="306" customWidth="1"/>
    <col min="8" max="9" width="15.85546875" style="307" bestFit="1" customWidth="1"/>
    <col min="10" max="10" width="10.5703125" style="307" hidden="1" customWidth="1"/>
    <col min="11" max="11" width="3.28515625" style="307" bestFit="1" customWidth="1"/>
    <col min="12" max="12" width="16" style="306" bestFit="1" customWidth="1"/>
    <col min="13" max="13" width="14.85546875" style="306" bestFit="1" customWidth="1"/>
    <col min="14" max="14" width="13.85546875" style="306" bestFit="1" customWidth="1"/>
    <col min="15" max="15" width="15.85546875" style="306" customWidth="1"/>
    <col min="16" max="16384" width="11.42578125" style="306"/>
  </cols>
  <sheetData>
    <row r="1" spans="1:13" s="282" customFormat="1" ht="13.5" customHeight="1" x14ac:dyDescent="0.2">
      <c r="A1" s="283"/>
      <c r="C1" s="284"/>
      <c r="D1" s="284"/>
      <c r="F1" s="283"/>
      <c r="H1" s="285"/>
      <c r="I1" s="285"/>
      <c r="J1" s="285" t="s">
        <v>2450</v>
      </c>
      <c r="K1" s="635" t="s">
        <v>302</v>
      </c>
    </row>
    <row r="2" spans="1:13" s="281" customFormat="1" ht="18.75" x14ac:dyDescent="0.3">
      <c r="A2" s="1131" t="s">
        <v>566</v>
      </c>
      <c r="B2" s="1131"/>
      <c r="C2" s="1131"/>
      <c r="D2" s="1131"/>
      <c r="E2" s="1131"/>
      <c r="F2" s="1131"/>
      <c r="G2" s="1131"/>
      <c r="H2" s="1131"/>
      <c r="I2" s="1131"/>
      <c r="J2" s="1131"/>
      <c r="K2" s="1132"/>
    </row>
    <row r="3" spans="1:13" s="281" customFormat="1" ht="18.75" x14ac:dyDescent="0.3">
      <c r="A3" s="1131" t="s">
        <v>0</v>
      </c>
      <c r="B3" s="1131"/>
      <c r="C3" s="1131"/>
      <c r="D3" s="1131"/>
      <c r="E3" s="1131"/>
      <c r="F3" s="1131"/>
      <c r="G3" s="1131"/>
      <c r="H3" s="1131"/>
      <c r="I3" s="1131"/>
      <c r="J3" s="1131"/>
      <c r="K3" s="1132"/>
    </row>
    <row r="4" spans="1:13" s="282" customFormat="1" ht="18.75" x14ac:dyDescent="0.3">
      <c r="A4" s="1131" t="s">
        <v>8600</v>
      </c>
      <c r="B4" s="1131"/>
      <c r="C4" s="1131"/>
      <c r="D4" s="1131"/>
      <c r="E4" s="1131"/>
      <c r="F4" s="1131"/>
      <c r="G4" s="1131"/>
      <c r="H4" s="1131"/>
      <c r="I4" s="1131"/>
      <c r="J4" s="1131"/>
      <c r="K4" s="1132"/>
    </row>
    <row r="5" spans="1:13" s="282" customFormat="1" ht="13.5" customHeight="1" x14ac:dyDescent="0.2">
      <c r="A5" s="283"/>
      <c r="C5" s="284"/>
      <c r="D5" s="284"/>
      <c r="F5" s="283"/>
      <c r="H5" s="285"/>
      <c r="I5" s="285"/>
      <c r="J5" s="285" t="s">
        <v>2450</v>
      </c>
      <c r="K5" s="1132"/>
    </row>
    <row r="6" spans="1:13" s="287" customFormat="1" x14ac:dyDescent="0.2">
      <c r="A6" s="286"/>
      <c r="C6" s="288">
        <v>2018</v>
      </c>
      <c r="D6" s="288">
        <v>2017</v>
      </c>
      <c r="F6" s="286"/>
      <c r="H6" s="288">
        <v>2018</v>
      </c>
      <c r="I6" s="288">
        <v>2017</v>
      </c>
      <c r="J6" s="288"/>
      <c r="K6" s="288"/>
    </row>
    <row r="7" spans="1:13" s="287" customFormat="1" x14ac:dyDescent="0.2">
      <c r="A7" s="283">
        <v>1</v>
      </c>
      <c r="B7" s="282" t="s">
        <v>1</v>
      </c>
      <c r="F7" s="283">
        <v>2</v>
      </c>
      <c r="G7" s="282" t="s">
        <v>2</v>
      </c>
      <c r="K7" s="295"/>
    </row>
    <row r="8" spans="1:13" s="287" customFormat="1" x14ac:dyDescent="0.2">
      <c r="A8" s="283">
        <v>1.1000000000000001</v>
      </c>
      <c r="B8" s="282" t="s">
        <v>567</v>
      </c>
      <c r="C8" s="289">
        <f>C9+C13+C18+C22+C23+C24+C25</f>
        <v>51553822.710000001</v>
      </c>
      <c r="D8" s="289">
        <f>D9+D13+D18+D22+D23+D24+D25</f>
        <v>155552421.65000001</v>
      </c>
      <c r="F8" s="283">
        <v>2.1</v>
      </c>
      <c r="G8" s="282" t="s">
        <v>568</v>
      </c>
      <c r="H8" s="289">
        <f>+H9+H15+H16+H17+H18+H19+H20+H21</f>
        <v>47712196.189999998</v>
      </c>
      <c r="I8" s="289">
        <f>+I9+I15+I16+I17+I18+I19+I20+I21</f>
        <v>36538019.160000004</v>
      </c>
      <c r="J8" s="289"/>
      <c r="K8" s="291"/>
      <c r="L8" s="290"/>
    </row>
    <row r="9" spans="1:13" s="287" customFormat="1" x14ac:dyDescent="0.2">
      <c r="A9" s="283" t="s">
        <v>5</v>
      </c>
      <c r="B9" s="282" t="s">
        <v>6</v>
      </c>
      <c r="C9" s="291">
        <f>SUM(C10:C12)</f>
        <v>29971515.989999998</v>
      </c>
      <c r="D9" s="291">
        <f>SUM(D10:D12)</f>
        <v>150781040.81</v>
      </c>
      <c r="F9" s="283" t="s">
        <v>7</v>
      </c>
      <c r="G9" s="282" t="s">
        <v>8</v>
      </c>
      <c r="H9" s="280">
        <f>SUM(H10:H14)</f>
        <v>47712196.189999998</v>
      </c>
      <c r="I9" s="280">
        <f>SUM(I10:I14)</f>
        <v>36538019.160000004</v>
      </c>
      <c r="J9" s="280"/>
      <c r="K9" s="280"/>
      <c r="L9" s="290"/>
      <c r="M9" s="290"/>
    </row>
    <row r="10" spans="1:13" s="287" customFormat="1" x14ac:dyDescent="0.2">
      <c r="A10" s="286" t="s">
        <v>569</v>
      </c>
      <c r="B10" s="621" t="s">
        <v>570</v>
      </c>
      <c r="C10" s="280">
        <v>38000</v>
      </c>
      <c r="D10" s="280">
        <v>63000</v>
      </c>
      <c r="F10" s="287" t="s">
        <v>571</v>
      </c>
      <c r="G10" s="621" t="s">
        <v>572</v>
      </c>
      <c r="H10" s="280">
        <v>86967.06</v>
      </c>
      <c r="I10" s="280">
        <v>300351.43</v>
      </c>
      <c r="J10" s="280"/>
      <c r="K10" s="280"/>
      <c r="M10" s="290"/>
    </row>
    <row r="11" spans="1:13" s="287" customFormat="1" x14ac:dyDescent="0.2">
      <c r="A11" s="286" t="s">
        <v>573</v>
      </c>
      <c r="B11" s="621" t="s">
        <v>574</v>
      </c>
      <c r="C11" s="280">
        <v>29933515.989999998</v>
      </c>
      <c r="D11" s="280">
        <v>3753040.81</v>
      </c>
      <c r="F11" s="286" t="s">
        <v>575</v>
      </c>
      <c r="G11" s="621" t="s">
        <v>576</v>
      </c>
      <c r="H11" s="280">
        <v>27814757.43</v>
      </c>
      <c r="I11" s="280">
        <v>23898662.949999999</v>
      </c>
      <c r="J11" s="280"/>
      <c r="K11" s="280"/>
    </row>
    <row r="12" spans="1:13" s="287" customFormat="1" x14ac:dyDescent="0.2">
      <c r="A12" s="287" t="s">
        <v>577</v>
      </c>
      <c r="B12" s="621" t="s">
        <v>578</v>
      </c>
      <c r="C12" s="280">
        <v>0</v>
      </c>
      <c r="D12" s="280">
        <v>146965000</v>
      </c>
      <c r="F12" s="286" t="s">
        <v>579</v>
      </c>
      <c r="G12" s="621" t="s">
        <v>2451</v>
      </c>
      <c r="H12" s="280">
        <v>9756031.9499999993</v>
      </c>
      <c r="I12" s="280">
        <v>837747.39</v>
      </c>
      <c r="J12" s="280"/>
      <c r="K12" s="280"/>
    </row>
    <row r="13" spans="1:13" s="287" customFormat="1" x14ac:dyDescent="0.2">
      <c r="A13" s="283" t="s">
        <v>9</v>
      </c>
      <c r="B13" s="282" t="s">
        <v>10</v>
      </c>
      <c r="C13" s="291">
        <f>SUM(C14:C17)</f>
        <v>19881532.32</v>
      </c>
      <c r="D13" s="291">
        <f>SUM(D14:D17)</f>
        <v>2447528.84</v>
      </c>
      <c r="F13" s="287" t="s">
        <v>580</v>
      </c>
      <c r="G13" s="621" t="s">
        <v>581</v>
      </c>
      <c r="H13" s="280">
        <v>8934031.2899999991</v>
      </c>
      <c r="I13" s="280">
        <v>10392449.4</v>
      </c>
      <c r="J13" s="280"/>
      <c r="K13" s="280"/>
    </row>
    <row r="14" spans="1:13" s="287" customFormat="1" x14ac:dyDescent="0.2">
      <c r="A14" s="286" t="s">
        <v>582</v>
      </c>
      <c r="B14" s="621" t="s">
        <v>583</v>
      </c>
      <c r="C14" s="280">
        <v>19881532.32</v>
      </c>
      <c r="D14" s="280">
        <v>2447528.84</v>
      </c>
      <c r="F14" s="287" t="s">
        <v>584</v>
      </c>
      <c r="G14" s="621" t="s">
        <v>585</v>
      </c>
      <c r="H14" s="280">
        <v>1120408.46</v>
      </c>
      <c r="I14" s="280">
        <v>1108807.99</v>
      </c>
      <c r="J14" s="280"/>
      <c r="K14" s="280"/>
    </row>
    <row r="15" spans="1:13" s="287" customFormat="1" x14ac:dyDescent="0.2">
      <c r="A15" s="286" t="s">
        <v>586</v>
      </c>
      <c r="B15" s="621" t="s">
        <v>587</v>
      </c>
      <c r="C15" s="280">
        <v>0</v>
      </c>
      <c r="D15" s="280">
        <v>0</v>
      </c>
      <c r="F15" s="283" t="s">
        <v>11</v>
      </c>
      <c r="G15" s="282" t="s">
        <v>12</v>
      </c>
      <c r="H15" s="280">
        <v>0</v>
      </c>
      <c r="I15" s="280">
        <v>0</v>
      </c>
      <c r="J15" s="280"/>
      <c r="K15" s="280"/>
    </row>
    <row r="16" spans="1:13" s="287" customFormat="1" x14ac:dyDescent="0.2">
      <c r="A16" s="286" t="s">
        <v>588</v>
      </c>
      <c r="B16" s="621" t="s">
        <v>589</v>
      </c>
      <c r="C16" s="280">
        <v>0</v>
      </c>
      <c r="D16" s="280">
        <v>0</v>
      </c>
      <c r="F16" s="283" t="s">
        <v>15</v>
      </c>
      <c r="G16" s="282" t="s">
        <v>16</v>
      </c>
      <c r="H16" s="280">
        <v>0</v>
      </c>
      <c r="I16" s="280">
        <v>0</v>
      </c>
      <c r="J16" s="280"/>
      <c r="K16" s="280"/>
    </row>
    <row r="17" spans="1:13" s="287" customFormat="1" x14ac:dyDescent="0.2">
      <c r="A17" s="286" t="s">
        <v>590</v>
      </c>
      <c r="B17" s="621" t="s">
        <v>591</v>
      </c>
      <c r="C17" s="280">
        <v>0</v>
      </c>
      <c r="D17" s="280">
        <v>0</v>
      </c>
      <c r="F17" s="283" t="s">
        <v>19</v>
      </c>
      <c r="G17" s="282" t="s">
        <v>20</v>
      </c>
      <c r="H17" s="280">
        <v>0</v>
      </c>
      <c r="I17" s="280">
        <v>0</v>
      </c>
      <c r="J17" s="280"/>
      <c r="K17" s="280"/>
    </row>
    <row r="18" spans="1:13" s="287" customFormat="1" x14ac:dyDescent="0.2">
      <c r="A18" s="283" t="s">
        <v>13</v>
      </c>
      <c r="B18" s="282" t="s">
        <v>14</v>
      </c>
      <c r="C18" s="291">
        <f>SUM(C19:C21)</f>
        <v>6890.4</v>
      </c>
      <c r="D18" s="291">
        <f>SUM(D19:D21)</f>
        <v>629968</v>
      </c>
      <c r="F18" s="283" t="s">
        <v>592</v>
      </c>
      <c r="G18" s="282" t="s">
        <v>23</v>
      </c>
      <c r="H18" s="280">
        <v>0</v>
      </c>
      <c r="I18" s="280">
        <v>0</v>
      </c>
      <c r="J18" s="280"/>
      <c r="K18" s="280"/>
    </row>
    <row r="19" spans="1:13" s="287" customFormat="1" x14ac:dyDescent="0.2">
      <c r="A19" s="286" t="s">
        <v>593</v>
      </c>
      <c r="B19" s="621" t="s">
        <v>594</v>
      </c>
      <c r="C19" s="280">
        <v>0</v>
      </c>
      <c r="D19" s="280">
        <v>623077.6</v>
      </c>
      <c r="F19" s="283" t="s">
        <v>595</v>
      </c>
      <c r="G19" s="282" t="s">
        <v>26</v>
      </c>
      <c r="H19" s="280">
        <v>0</v>
      </c>
      <c r="I19" s="280">
        <v>0</v>
      </c>
      <c r="J19" s="280"/>
      <c r="K19" s="280"/>
    </row>
    <row r="20" spans="1:13" s="287" customFormat="1" x14ac:dyDescent="0.2">
      <c r="A20" s="286" t="s">
        <v>596</v>
      </c>
      <c r="B20" s="621" t="s">
        <v>597</v>
      </c>
      <c r="C20" s="280">
        <v>6890.4</v>
      </c>
      <c r="D20" s="280">
        <v>6890.4</v>
      </c>
      <c r="F20" s="283" t="s">
        <v>598</v>
      </c>
      <c r="G20" s="282" t="s">
        <v>29</v>
      </c>
      <c r="H20" s="280">
        <v>0</v>
      </c>
      <c r="I20" s="280">
        <v>0</v>
      </c>
      <c r="J20" s="280"/>
      <c r="K20" s="280"/>
    </row>
    <row r="21" spans="1:13" s="287" customFormat="1" x14ac:dyDescent="0.2">
      <c r="A21" s="286" t="s">
        <v>599</v>
      </c>
      <c r="B21" s="621" t="s">
        <v>2452</v>
      </c>
      <c r="C21" s="280">
        <v>0</v>
      </c>
      <c r="D21" s="280">
        <v>0</v>
      </c>
      <c r="F21" s="282" t="s">
        <v>600</v>
      </c>
      <c r="G21" s="282" t="s">
        <v>30</v>
      </c>
      <c r="H21" s="280">
        <v>0</v>
      </c>
      <c r="I21" s="280">
        <v>0</v>
      </c>
      <c r="J21" s="280"/>
      <c r="K21" s="280"/>
    </row>
    <row r="22" spans="1:13" s="287" customFormat="1" ht="13.5" customHeight="1" x14ac:dyDescent="0.2">
      <c r="A22" s="283" t="s">
        <v>17</v>
      </c>
      <c r="B22" s="282" t="s">
        <v>18</v>
      </c>
      <c r="C22" s="291">
        <v>0</v>
      </c>
      <c r="D22" s="291">
        <v>0</v>
      </c>
      <c r="H22" s="280"/>
      <c r="I22" s="280"/>
      <c r="J22" s="280"/>
      <c r="K22" s="280"/>
    </row>
    <row r="23" spans="1:13" s="287" customFormat="1" x14ac:dyDescent="0.2">
      <c r="A23" s="283" t="s">
        <v>21</v>
      </c>
      <c r="B23" s="282" t="s">
        <v>22</v>
      </c>
      <c r="C23" s="291">
        <v>0</v>
      </c>
      <c r="D23" s="291">
        <v>0</v>
      </c>
      <c r="F23" s="283">
        <v>2.2000000000000002</v>
      </c>
      <c r="G23" s="282" t="s">
        <v>601</v>
      </c>
      <c r="H23" s="289">
        <f>+H24+H25+H26+H28+H29+H30</f>
        <v>9999999.6899999995</v>
      </c>
      <c r="I23" s="289">
        <f>+I24+I25+I26+I28+I29+I30</f>
        <v>14999999.73</v>
      </c>
      <c r="J23" s="289"/>
      <c r="K23" s="291"/>
    </row>
    <row r="24" spans="1:13" s="287" customFormat="1" x14ac:dyDescent="0.2">
      <c r="A24" s="283" t="s">
        <v>24</v>
      </c>
      <c r="B24" s="282" t="s">
        <v>25</v>
      </c>
      <c r="C24" s="291">
        <v>0</v>
      </c>
      <c r="D24" s="291">
        <v>0</v>
      </c>
      <c r="F24" s="283" t="s">
        <v>35</v>
      </c>
      <c r="G24" s="282" t="s">
        <v>8</v>
      </c>
      <c r="H24" s="280">
        <v>0</v>
      </c>
      <c r="I24" s="280">
        <v>0</v>
      </c>
      <c r="J24" s="280"/>
      <c r="K24" s="280"/>
      <c r="L24" s="290"/>
    </row>
    <row r="25" spans="1:13" s="287" customFormat="1" x14ac:dyDescent="0.2">
      <c r="A25" s="283" t="s">
        <v>27</v>
      </c>
      <c r="B25" s="282" t="s">
        <v>28</v>
      </c>
      <c r="C25" s="291">
        <f>SUM(C26)</f>
        <v>1693884</v>
      </c>
      <c r="D25" s="291">
        <f>SUM(D26)</f>
        <v>1693884</v>
      </c>
      <c r="F25" s="283" t="s">
        <v>39</v>
      </c>
      <c r="G25" s="282" t="s">
        <v>40</v>
      </c>
      <c r="H25" s="280">
        <v>0</v>
      </c>
      <c r="I25" s="280">
        <v>0</v>
      </c>
      <c r="J25" s="280"/>
      <c r="K25" s="280"/>
    </row>
    <row r="26" spans="1:13" s="287" customFormat="1" x14ac:dyDescent="0.2">
      <c r="A26" s="286" t="s">
        <v>602</v>
      </c>
      <c r="B26" s="621" t="s">
        <v>603</v>
      </c>
      <c r="C26" s="280">
        <v>1693884</v>
      </c>
      <c r="D26" s="280">
        <v>1693884</v>
      </c>
      <c r="F26" s="283" t="s">
        <v>43</v>
      </c>
      <c r="G26" s="282" t="s">
        <v>44</v>
      </c>
      <c r="H26" s="291">
        <f>SUM(H27)</f>
        <v>9999999.6899999995</v>
      </c>
      <c r="I26" s="291">
        <f>SUM(I27)</f>
        <v>14999999.73</v>
      </c>
      <c r="J26" s="291"/>
      <c r="K26" s="291"/>
      <c r="M26" s="290"/>
    </row>
    <row r="27" spans="1:13" s="287" customFormat="1" x14ac:dyDescent="0.2">
      <c r="A27" s="283">
        <v>1.2</v>
      </c>
      <c r="B27" s="282" t="s">
        <v>606</v>
      </c>
      <c r="C27" s="289">
        <f>+C30+C34+C44+C41+C48</f>
        <v>970299736.83000004</v>
      </c>
      <c r="D27" s="289">
        <f>+D30+D34+D44+D41</f>
        <v>1088747496.5900002</v>
      </c>
      <c r="F27" s="287" t="s">
        <v>604</v>
      </c>
      <c r="G27" s="621" t="s">
        <v>605</v>
      </c>
      <c r="H27" s="280">
        <v>9999999.6899999995</v>
      </c>
      <c r="I27" s="280">
        <v>14999999.73</v>
      </c>
      <c r="J27" s="280"/>
      <c r="K27" s="280"/>
      <c r="L27" s="290"/>
    </row>
    <row r="28" spans="1:13" s="287" customFormat="1" x14ac:dyDescent="0.2">
      <c r="A28" s="283" t="s">
        <v>33</v>
      </c>
      <c r="B28" s="282" t="s">
        <v>34</v>
      </c>
      <c r="C28" s="280">
        <v>0</v>
      </c>
      <c r="D28" s="280">
        <v>0</v>
      </c>
      <c r="F28" s="283" t="s">
        <v>607</v>
      </c>
      <c r="G28" s="282" t="s">
        <v>47</v>
      </c>
      <c r="H28" s="280">
        <v>0</v>
      </c>
      <c r="I28" s="280">
        <v>0</v>
      </c>
      <c r="J28" s="280"/>
      <c r="K28" s="280"/>
    </row>
    <row r="29" spans="1:13" s="287" customFormat="1" x14ac:dyDescent="0.2">
      <c r="A29" s="283" t="s">
        <v>37</v>
      </c>
      <c r="B29" s="282" t="s">
        <v>38</v>
      </c>
      <c r="C29" s="280">
        <v>0</v>
      </c>
      <c r="D29" s="280">
        <v>0</v>
      </c>
      <c r="F29" s="282" t="s">
        <v>608</v>
      </c>
      <c r="G29" s="282" t="s">
        <v>50</v>
      </c>
      <c r="H29" s="280">
        <v>0</v>
      </c>
      <c r="I29" s="280">
        <v>0</v>
      </c>
      <c r="J29" s="280"/>
      <c r="K29" s="280"/>
      <c r="M29" s="290"/>
    </row>
    <row r="30" spans="1:13" s="287" customFormat="1" x14ac:dyDescent="0.2">
      <c r="A30" s="283" t="s">
        <v>41</v>
      </c>
      <c r="B30" s="282" t="s">
        <v>42</v>
      </c>
      <c r="C30" s="292">
        <f>SUM(C31:C33)</f>
        <v>946650837.32000005</v>
      </c>
      <c r="D30" s="292">
        <f>SUM(D31:D33)</f>
        <v>1043690311.88</v>
      </c>
      <c r="F30" s="282" t="s">
        <v>609</v>
      </c>
      <c r="G30" s="282" t="s">
        <v>53</v>
      </c>
      <c r="H30" s="280">
        <v>0</v>
      </c>
      <c r="I30" s="280">
        <v>0</v>
      </c>
      <c r="J30" s="280"/>
      <c r="K30" s="280"/>
    </row>
    <row r="31" spans="1:13" s="287" customFormat="1" x14ac:dyDescent="0.2">
      <c r="A31" s="286" t="s">
        <v>610</v>
      </c>
      <c r="B31" s="621" t="s">
        <v>611</v>
      </c>
      <c r="C31" s="280">
        <v>752869784.87</v>
      </c>
      <c r="D31" s="280">
        <v>752869784.87</v>
      </c>
      <c r="F31" s="286"/>
      <c r="H31" s="280"/>
      <c r="I31" s="280"/>
      <c r="J31" s="280"/>
      <c r="K31" s="280"/>
    </row>
    <row r="32" spans="1:13" s="287" customFormat="1" x14ac:dyDescent="0.2">
      <c r="A32" s="286" t="s">
        <v>612</v>
      </c>
      <c r="B32" s="621" t="s">
        <v>613</v>
      </c>
      <c r="C32" s="280">
        <v>190994376.74000001</v>
      </c>
      <c r="D32" s="280">
        <v>190994376.74000001</v>
      </c>
      <c r="G32" s="282" t="s">
        <v>2453</v>
      </c>
      <c r="H32" s="289">
        <f>+H23+H8</f>
        <v>57712195.879999995</v>
      </c>
      <c r="I32" s="289">
        <f>+I23+I8</f>
        <v>51538018.890000001</v>
      </c>
      <c r="J32" s="289"/>
      <c r="K32" s="291"/>
    </row>
    <row r="33" spans="1:14" s="287" customFormat="1" x14ac:dyDescent="0.2">
      <c r="A33" s="286" t="s">
        <v>1206</v>
      </c>
      <c r="B33" s="621" t="s">
        <v>614</v>
      </c>
      <c r="C33" s="280">
        <v>2786675.71</v>
      </c>
      <c r="D33" s="280">
        <f>178830624.56-79004474.29</f>
        <v>99826150.269999996</v>
      </c>
      <c r="F33" s="286"/>
      <c r="K33" s="295"/>
    </row>
    <row r="34" spans="1:14" s="287" customFormat="1" x14ac:dyDescent="0.2">
      <c r="A34" s="283" t="s">
        <v>45</v>
      </c>
      <c r="B34" s="282" t="s">
        <v>46</v>
      </c>
      <c r="C34" s="292">
        <f>SUM(C35:C40)</f>
        <v>137169749.30000001</v>
      </c>
      <c r="D34" s="292">
        <f>SUM(D35:D40)</f>
        <v>136524908.01999998</v>
      </c>
      <c r="F34" s="283">
        <v>3</v>
      </c>
      <c r="G34" s="282" t="s">
        <v>615</v>
      </c>
      <c r="H34" s="291">
        <f>H35+H40</f>
        <v>964141363.66000009</v>
      </c>
      <c r="I34" s="291">
        <f>I35+I40</f>
        <v>1192761899.3499999</v>
      </c>
      <c r="J34" s="291"/>
      <c r="K34" s="291"/>
    </row>
    <row r="35" spans="1:14" s="287" customFormat="1" x14ac:dyDescent="0.2">
      <c r="A35" s="286" t="s">
        <v>617</v>
      </c>
      <c r="B35" s="621" t="s">
        <v>618</v>
      </c>
      <c r="C35" s="280">
        <v>13127034.98</v>
      </c>
      <c r="D35" s="280">
        <v>12810278.59</v>
      </c>
      <c r="F35" s="283">
        <v>3.1</v>
      </c>
      <c r="G35" s="282" t="s">
        <v>616</v>
      </c>
      <c r="H35" s="289">
        <f>SUM(H36:H38)</f>
        <v>0</v>
      </c>
      <c r="I35" s="289">
        <f>SUM(I36:I38)</f>
        <v>0</v>
      </c>
      <c r="J35" s="289"/>
      <c r="K35" s="291"/>
    </row>
    <row r="36" spans="1:14" s="287" customFormat="1" x14ac:dyDescent="0.2">
      <c r="A36" s="286" t="s">
        <v>619</v>
      </c>
      <c r="B36" s="621" t="s">
        <v>620</v>
      </c>
      <c r="C36" s="280">
        <v>641337.4</v>
      </c>
      <c r="D36" s="280">
        <v>630632.55000000005</v>
      </c>
      <c r="F36" s="283" t="s">
        <v>58</v>
      </c>
      <c r="G36" s="282" t="s">
        <v>59</v>
      </c>
      <c r="H36" s="280">
        <v>0</v>
      </c>
      <c r="I36" s="280">
        <v>0</v>
      </c>
      <c r="J36" s="280"/>
      <c r="K36" s="280"/>
    </row>
    <row r="37" spans="1:14" s="287" customFormat="1" x14ac:dyDescent="0.2">
      <c r="A37" s="286" t="s">
        <v>7473</v>
      </c>
      <c r="B37" s="621" t="s">
        <v>8080</v>
      </c>
      <c r="C37" s="280">
        <v>49536.77</v>
      </c>
      <c r="D37" s="280">
        <v>49536.77</v>
      </c>
      <c r="F37" s="283" t="s">
        <v>60</v>
      </c>
      <c r="G37" s="282" t="s">
        <v>61</v>
      </c>
      <c r="H37" s="280">
        <v>0</v>
      </c>
      <c r="I37" s="280">
        <v>0</v>
      </c>
      <c r="J37" s="280"/>
      <c r="K37" s="280"/>
    </row>
    <row r="38" spans="1:14" s="287" customFormat="1" x14ac:dyDescent="0.2">
      <c r="A38" s="286" t="s">
        <v>621</v>
      </c>
      <c r="B38" s="621" t="s">
        <v>510</v>
      </c>
      <c r="C38" s="280">
        <v>107205304.75</v>
      </c>
      <c r="D38" s="280">
        <v>107179804.75</v>
      </c>
      <c r="F38" s="283" t="s">
        <v>62</v>
      </c>
      <c r="G38" s="282" t="s">
        <v>190</v>
      </c>
      <c r="H38" s="280">
        <v>0</v>
      </c>
      <c r="I38" s="280">
        <v>0</v>
      </c>
      <c r="J38" s="280"/>
      <c r="K38" s="280"/>
    </row>
    <row r="39" spans="1:14" s="287" customFormat="1" x14ac:dyDescent="0.2">
      <c r="A39" s="286" t="s">
        <v>622</v>
      </c>
      <c r="B39" s="621" t="s">
        <v>623</v>
      </c>
      <c r="C39" s="280">
        <v>16123335.4</v>
      </c>
      <c r="D39" s="280">
        <v>15831455.359999999</v>
      </c>
      <c r="K39" s="295"/>
    </row>
    <row r="40" spans="1:14" s="287" customFormat="1" x14ac:dyDescent="0.2">
      <c r="A40" s="286" t="s">
        <v>624</v>
      </c>
      <c r="B40" s="621" t="s">
        <v>625</v>
      </c>
      <c r="C40" s="280">
        <v>23200</v>
      </c>
      <c r="D40" s="280">
        <v>23200</v>
      </c>
      <c r="F40" s="283">
        <v>3.2</v>
      </c>
      <c r="G40" s="282" t="s">
        <v>626</v>
      </c>
      <c r="H40" s="289">
        <f>+H41+H42+H43+H45+H47</f>
        <v>964141363.66000009</v>
      </c>
      <c r="I40" s="289">
        <f>+I41+I42+I43+I45+I47</f>
        <v>1192761899.3499999</v>
      </c>
      <c r="J40" s="289"/>
      <c r="K40" s="291"/>
    </row>
    <row r="41" spans="1:14" s="287" customFormat="1" x14ac:dyDescent="0.2">
      <c r="A41" s="283" t="s">
        <v>48</v>
      </c>
      <c r="B41" s="282" t="s">
        <v>49</v>
      </c>
      <c r="C41" s="291">
        <f>SUM(C42:C43)</f>
        <v>285855.8</v>
      </c>
      <c r="D41" s="291">
        <f>SUM(D42:D43)</f>
        <v>285855.8</v>
      </c>
      <c r="F41" s="283" t="s">
        <v>65</v>
      </c>
      <c r="G41" s="282" t="s">
        <v>66</v>
      </c>
      <c r="H41" s="280">
        <v>-128794385.42</v>
      </c>
      <c r="I41" s="280">
        <v>179816003.84</v>
      </c>
      <c r="J41" s="280"/>
      <c r="K41" s="280"/>
      <c r="N41" s="290"/>
    </row>
    <row r="42" spans="1:14" s="287" customFormat="1" x14ac:dyDescent="0.2">
      <c r="A42" s="287" t="s">
        <v>627</v>
      </c>
      <c r="B42" s="621" t="s">
        <v>628</v>
      </c>
      <c r="C42" s="280">
        <v>206697.4</v>
      </c>
      <c r="D42" s="280">
        <v>206697.4</v>
      </c>
      <c r="F42" s="283" t="s">
        <v>67</v>
      </c>
      <c r="G42" s="282" t="s">
        <v>68</v>
      </c>
      <c r="H42" s="280">
        <v>268060820.13</v>
      </c>
      <c r="I42" s="280">
        <f>196496457.89-8425491.33</f>
        <v>188070966.55999997</v>
      </c>
      <c r="J42" s="280"/>
      <c r="K42" s="280"/>
      <c r="L42" s="290"/>
      <c r="M42" s="280"/>
    </row>
    <row r="43" spans="1:14" s="287" customFormat="1" ht="12" customHeight="1" x14ac:dyDescent="0.2">
      <c r="A43" s="287" t="s">
        <v>703</v>
      </c>
      <c r="B43" s="621" t="s">
        <v>704</v>
      </c>
      <c r="C43" s="280">
        <v>79158.399999999994</v>
      </c>
      <c r="D43" s="280">
        <v>79158.399999999994</v>
      </c>
      <c r="F43" s="283" t="s">
        <v>69</v>
      </c>
      <c r="G43" s="282" t="s">
        <v>70</v>
      </c>
      <c r="H43" s="291">
        <v>824874928.95000005</v>
      </c>
      <c r="I43" s="291">
        <v>824874928.95000005</v>
      </c>
      <c r="J43" s="291"/>
      <c r="K43" s="291"/>
      <c r="L43" s="290"/>
      <c r="M43" s="290"/>
    </row>
    <row r="44" spans="1:14" s="287" customFormat="1" ht="12" customHeight="1" x14ac:dyDescent="0.2">
      <c r="A44" s="283" t="s">
        <v>51</v>
      </c>
      <c r="B44" s="282" t="s">
        <v>52</v>
      </c>
      <c r="C44" s="291">
        <f>SUM(C45:C47)</f>
        <v>-113806705.59</v>
      </c>
      <c r="D44" s="291">
        <f>SUM(D45:D47)</f>
        <v>-91753579.109999999</v>
      </c>
      <c r="F44" s="283" t="s">
        <v>71</v>
      </c>
      <c r="G44" s="282" t="s">
        <v>72</v>
      </c>
      <c r="H44" s="291">
        <f>SUM(H88:H90)</f>
        <v>0</v>
      </c>
      <c r="I44" s="291">
        <f>SUM(I88:I90)</f>
        <v>0</v>
      </c>
      <c r="J44" s="291"/>
      <c r="K44" s="291"/>
      <c r="L44" s="290"/>
    </row>
    <row r="45" spans="1:14" s="287" customFormat="1" x14ac:dyDescent="0.2">
      <c r="A45" s="287" t="s">
        <v>705</v>
      </c>
      <c r="B45" s="621" t="s">
        <v>706</v>
      </c>
      <c r="C45" s="280">
        <v>-18908443.32</v>
      </c>
      <c r="D45" s="280">
        <v>-12605628.84</v>
      </c>
      <c r="F45" s="283" t="s">
        <v>73</v>
      </c>
      <c r="G45" s="282" t="s">
        <v>74</v>
      </c>
      <c r="H45" s="280">
        <f>SUM(H92:H93)</f>
        <v>0</v>
      </c>
      <c r="I45" s="280">
        <f>SUM(I92:I93)</f>
        <v>0</v>
      </c>
      <c r="J45" s="280"/>
      <c r="K45" s="280"/>
    </row>
    <row r="46" spans="1:14" s="287" customFormat="1" x14ac:dyDescent="0.2">
      <c r="A46" s="287" t="s">
        <v>629</v>
      </c>
      <c r="B46" s="621" t="s">
        <v>630</v>
      </c>
      <c r="C46" s="280">
        <v>-94840726.269999996</v>
      </c>
      <c r="D46" s="280">
        <v>-79090414.269999996</v>
      </c>
      <c r="F46" s="283"/>
      <c r="G46" s="282"/>
      <c r="H46" s="280"/>
      <c r="I46" s="280"/>
      <c r="J46" s="280"/>
      <c r="K46" s="280"/>
    </row>
    <row r="47" spans="1:14" s="287" customFormat="1" x14ac:dyDescent="0.2">
      <c r="A47" s="287" t="s">
        <v>707</v>
      </c>
      <c r="B47" s="621" t="s">
        <v>2471</v>
      </c>
      <c r="C47" s="280">
        <v>-57536</v>
      </c>
      <c r="D47" s="280">
        <v>-57536</v>
      </c>
      <c r="F47" s="283"/>
      <c r="G47" s="282"/>
      <c r="H47" s="280"/>
      <c r="I47" s="280"/>
      <c r="J47" s="280"/>
      <c r="K47" s="280"/>
    </row>
    <row r="48" spans="1:14" s="287" customFormat="1" ht="14.25" customHeight="1" x14ac:dyDescent="0.2">
      <c r="A48" s="283" t="s">
        <v>8601</v>
      </c>
      <c r="B48" s="282" t="s">
        <v>54</v>
      </c>
      <c r="C48" s="291">
        <f>SUM(C49)</f>
        <v>0</v>
      </c>
      <c r="D48" s="280">
        <v>0</v>
      </c>
      <c r="K48" s="295"/>
    </row>
    <row r="49" spans="1:64" s="287" customFormat="1" x14ac:dyDescent="0.2">
      <c r="A49" s="287" t="s">
        <v>8602</v>
      </c>
      <c r="B49" s="621" t="s">
        <v>8603</v>
      </c>
      <c r="C49" s="280">
        <v>0</v>
      </c>
      <c r="D49" s="280">
        <v>0</v>
      </c>
      <c r="F49" s="283" t="s">
        <v>73</v>
      </c>
      <c r="G49" s="282" t="s">
        <v>74</v>
      </c>
      <c r="H49" s="280">
        <f>SUM(H96:H97)</f>
        <v>0</v>
      </c>
      <c r="I49" s="280">
        <f>SUM(I96:I97)</f>
        <v>0</v>
      </c>
      <c r="J49" s="280"/>
      <c r="K49" s="280"/>
    </row>
    <row r="50" spans="1:64" s="287" customFormat="1" ht="7.5" customHeight="1" x14ac:dyDescent="0.2">
      <c r="A50" s="286"/>
      <c r="C50" s="280"/>
      <c r="D50" s="280"/>
      <c r="K50" s="295"/>
    </row>
    <row r="51" spans="1:64" s="287" customFormat="1" x14ac:dyDescent="0.2">
      <c r="B51" s="282" t="s">
        <v>2454</v>
      </c>
      <c r="C51" s="293">
        <f>+C27+C8</f>
        <v>1021853559.5400001</v>
      </c>
      <c r="D51" s="293">
        <f>+D27+D8</f>
        <v>1244299918.2400002</v>
      </c>
      <c r="G51" s="282" t="s">
        <v>2455</v>
      </c>
      <c r="H51" s="289">
        <f>+H32+H34</f>
        <v>1021853559.5400001</v>
      </c>
      <c r="I51" s="289">
        <f>+I32+I34</f>
        <v>1244299918.24</v>
      </c>
      <c r="J51" s="289"/>
      <c r="K51" s="291"/>
      <c r="L51" s="290"/>
      <c r="M51" s="290"/>
      <c r="N51" s="290"/>
    </row>
    <row r="52" spans="1:64" s="287" customFormat="1" x14ac:dyDescent="0.2">
      <c r="C52" s="290"/>
      <c r="D52" s="290"/>
      <c r="K52" s="295"/>
      <c r="M52" s="290"/>
    </row>
    <row r="53" spans="1:64" s="287" customFormat="1" x14ac:dyDescent="0.2">
      <c r="A53" s="1133" t="s">
        <v>631</v>
      </c>
      <c r="B53" s="1133"/>
      <c r="C53" s="1133"/>
      <c r="D53" s="1133"/>
      <c r="E53" s="1133"/>
      <c r="F53" s="1133"/>
      <c r="G53" s="1133"/>
      <c r="H53" s="1133"/>
      <c r="I53" s="1133"/>
      <c r="J53" s="1133"/>
      <c r="K53" s="816"/>
    </row>
    <row r="54" spans="1:64" s="287" customFormat="1" x14ac:dyDescent="0.2">
      <c r="A54" s="283">
        <v>8.1</v>
      </c>
      <c r="B54" s="282" t="s">
        <v>78</v>
      </c>
      <c r="C54" s="290"/>
      <c r="F54" s="283">
        <v>8.1999999999999993</v>
      </c>
      <c r="G54" s="282" t="s">
        <v>79</v>
      </c>
    </row>
    <row r="55" spans="1:64" s="287" customFormat="1" x14ac:dyDescent="0.2">
      <c r="A55" s="286" t="s">
        <v>80</v>
      </c>
      <c r="B55" s="621" t="s">
        <v>81</v>
      </c>
      <c r="C55" s="280">
        <v>845081315</v>
      </c>
      <c r="D55" s="280">
        <v>838938000</v>
      </c>
      <c r="F55" s="286" t="s">
        <v>82</v>
      </c>
      <c r="G55" s="621" t="s">
        <v>83</v>
      </c>
      <c r="H55" s="280">
        <v>845081315</v>
      </c>
      <c r="I55" s="280">
        <v>838938000</v>
      </c>
      <c r="J55" s="280"/>
      <c r="K55" s="280"/>
    </row>
    <row r="56" spans="1:64" s="287" customFormat="1" x14ac:dyDescent="0.2">
      <c r="A56" s="286" t="s">
        <v>84</v>
      </c>
      <c r="B56" s="621" t="s">
        <v>85</v>
      </c>
      <c r="C56" s="280">
        <f>C55+C57-C59</f>
        <v>47203882.940000057</v>
      </c>
      <c r="D56" s="280">
        <v>75800000</v>
      </c>
      <c r="F56" s="286" t="s">
        <v>86</v>
      </c>
      <c r="G56" s="621" t="s">
        <v>87</v>
      </c>
      <c r="H56" s="280">
        <f>H55+H57-H59-H61-H58</f>
        <v>45250555.859999657</v>
      </c>
      <c r="I56" s="280">
        <v>145397368.16000032</v>
      </c>
      <c r="J56" s="280"/>
      <c r="K56" s="280"/>
      <c r="L56" s="290"/>
      <c r="M56" s="290"/>
    </row>
    <row r="57" spans="1:64" s="287" customFormat="1" x14ac:dyDescent="0.2">
      <c r="A57" s="286" t="s">
        <v>88</v>
      </c>
      <c r="B57" s="621" t="s">
        <v>89</v>
      </c>
      <c r="C57" s="280">
        <v>280930000</v>
      </c>
      <c r="D57" s="280">
        <v>271202976.85000002</v>
      </c>
      <c r="F57" s="286" t="s">
        <v>90</v>
      </c>
      <c r="G57" s="621" t="s">
        <v>91</v>
      </c>
      <c r="H57" s="280">
        <v>436197797.65999985</v>
      </c>
      <c r="I57" s="280">
        <v>340946342.57000005</v>
      </c>
      <c r="J57" s="280"/>
      <c r="K57" s="280"/>
      <c r="M57" s="290"/>
    </row>
    <row r="58" spans="1:64" s="287" customFormat="1" x14ac:dyDescent="0.2">
      <c r="A58" s="286" t="s">
        <v>92</v>
      </c>
      <c r="B58" s="621" t="s">
        <v>93</v>
      </c>
      <c r="C58" s="280">
        <v>0</v>
      </c>
      <c r="D58" s="280">
        <v>0</v>
      </c>
      <c r="F58" s="286" t="s">
        <v>94</v>
      </c>
      <c r="G58" s="621" t="s">
        <v>95</v>
      </c>
      <c r="H58" s="280">
        <v>0</v>
      </c>
      <c r="I58" s="280">
        <v>0</v>
      </c>
      <c r="J58" s="280"/>
      <c r="K58" s="280"/>
      <c r="L58" s="290"/>
    </row>
    <row r="59" spans="1:64" s="287" customFormat="1" x14ac:dyDescent="0.2">
      <c r="A59" s="286" t="s">
        <v>96</v>
      </c>
      <c r="B59" s="621" t="s">
        <v>97</v>
      </c>
      <c r="C59" s="280">
        <v>1078807432.0599999</v>
      </c>
      <c r="D59" s="280">
        <v>1110140976.8499999</v>
      </c>
      <c r="F59" s="286" t="s">
        <v>98</v>
      </c>
      <c r="G59" s="621" t="s">
        <v>99</v>
      </c>
      <c r="H59" s="280">
        <v>37656590.440000035</v>
      </c>
      <c r="I59" s="280">
        <v>25105665.770000022</v>
      </c>
      <c r="J59" s="280"/>
      <c r="K59" s="280"/>
      <c r="L59" s="290"/>
      <c r="M59" s="290"/>
    </row>
    <row r="60" spans="1:64" s="287" customFormat="1" ht="14.25" customHeight="1" x14ac:dyDescent="0.2">
      <c r="F60" s="286" t="s">
        <v>100</v>
      </c>
      <c r="G60" s="621" t="s">
        <v>101</v>
      </c>
      <c r="H60" s="280">
        <v>0</v>
      </c>
      <c r="I60" s="280">
        <v>0</v>
      </c>
      <c r="J60" s="280"/>
      <c r="K60" s="280"/>
    </row>
    <row r="61" spans="1:64" s="287" customFormat="1" x14ac:dyDescent="0.2">
      <c r="A61" s="286"/>
      <c r="F61" s="286" t="s">
        <v>102</v>
      </c>
      <c r="G61" s="621" t="s">
        <v>103</v>
      </c>
      <c r="H61" s="280">
        <v>1198371966.3600001</v>
      </c>
      <c r="I61" s="280">
        <v>1009450212.6399999</v>
      </c>
      <c r="J61" s="280"/>
      <c r="K61" s="280"/>
      <c r="L61" s="290"/>
    </row>
    <row r="62" spans="1:64" s="287" customFormat="1" ht="10.5" customHeight="1" x14ac:dyDescent="0.2">
      <c r="A62" s="294"/>
      <c r="B62" s="295"/>
      <c r="C62" s="295"/>
      <c r="D62" s="295"/>
      <c r="E62" s="295"/>
      <c r="F62" s="295"/>
      <c r="G62" s="295"/>
      <c r="H62" s="295"/>
      <c r="I62" s="295"/>
      <c r="J62" s="295"/>
      <c r="K62" s="295"/>
    </row>
    <row r="63" spans="1:64" s="301" customFormat="1" ht="15" x14ac:dyDescent="0.25">
      <c r="A63" s="296"/>
      <c r="B63" s="297"/>
      <c r="C63" s="298"/>
      <c r="D63" s="297"/>
      <c r="E63" s="299"/>
      <c r="F63" s="299"/>
      <c r="G63" s="280"/>
      <c r="H63" s="280"/>
      <c r="I63" s="280"/>
      <c r="J63" s="300"/>
      <c r="K63" s="300"/>
      <c r="L63" s="300"/>
      <c r="M63" s="300"/>
      <c r="N63" s="300"/>
      <c r="O63" s="300"/>
      <c r="P63" s="300"/>
      <c r="Q63" s="300"/>
      <c r="R63" s="300"/>
      <c r="S63" s="300"/>
      <c r="T63" s="300"/>
      <c r="U63" s="300"/>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row>
    <row r="64" spans="1:64" s="301" customFormat="1" ht="15" x14ac:dyDescent="0.25">
      <c r="A64" s="296"/>
      <c r="B64" s="297"/>
      <c r="C64" s="298"/>
      <c r="D64" s="297"/>
      <c r="E64" s="299"/>
      <c r="F64" s="299"/>
      <c r="G64" s="297"/>
      <c r="H64" s="280"/>
      <c r="I64" s="280"/>
      <c r="J64" s="300"/>
      <c r="K64" s="300"/>
      <c r="L64" s="300"/>
      <c r="M64" s="300"/>
      <c r="N64" s="300"/>
      <c r="O64" s="300"/>
      <c r="P64" s="300"/>
      <c r="Q64" s="300"/>
      <c r="R64" s="300"/>
      <c r="S64" s="300"/>
      <c r="T64" s="300"/>
      <c r="U64" s="300"/>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row>
    <row r="65" spans="1:64" s="301" customFormat="1" ht="15" x14ac:dyDescent="0.25">
      <c r="A65" s="296"/>
      <c r="B65" s="297"/>
      <c r="C65" s="298"/>
      <c r="D65" s="297"/>
      <c r="E65" s="299"/>
      <c r="F65" s="299"/>
      <c r="G65" s="297"/>
      <c r="H65" s="280"/>
      <c r="I65" s="280"/>
      <c r="J65" s="300"/>
      <c r="K65" s="300"/>
      <c r="L65" s="300"/>
      <c r="M65" s="300"/>
      <c r="N65" s="300"/>
      <c r="O65" s="300"/>
      <c r="P65" s="300"/>
      <c r="Q65" s="300"/>
      <c r="R65" s="300"/>
      <c r="S65" s="300"/>
      <c r="T65" s="300"/>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row>
    <row r="66" spans="1:64" s="301" customFormat="1" ht="15" x14ac:dyDescent="0.25">
      <c r="A66" s="296"/>
      <c r="B66" s="297"/>
      <c r="C66" s="298"/>
      <c r="D66" s="297"/>
      <c r="E66" s="299"/>
      <c r="F66" s="299"/>
      <c r="G66" s="297"/>
      <c r="H66" s="280"/>
      <c r="I66" s="280"/>
      <c r="J66" s="300"/>
      <c r="K66" s="300"/>
      <c r="L66" s="300"/>
      <c r="M66" s="300"/>
      <c r="N66" s="300"/>
      <c r="O66" s="300"/>
      <c r="P66" s="300"/>
      <c r="Q66" s="300"/>
      <c r="R66" s="300"/>
      <c r="S66" s="300"/>
      <c r="T66" s="300"/>
      <c r="U66" s="300"/>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row>
    <row r="67" spans="1:64" s="301" customFormat="1" x14ac:dyDescent="0.2">
      <c r="A67" s="296"/>
      <c r="B67" s="297"/>
      <c r="C67" s="302"/>
      <c r="D67" s="302"/>
      <c r="E67" s="302"/>
      <c r="F67" s="297"/>
      <c r="G67" s="297"/>
      <c r="H67" s="302"/>
      <c r="I67" s="302"/>
      <c r="J67" s="300"/>
      <c r="K67" s="300"/>
      <c r="L67" s="300"/>
      <c r="M67" s="300"/>
      <c r="N67" s="300"/>
      <c r="O67" s="300"/>
      <c r="P67" s="300"/>
      <c r="Q67" s="300"/>
      <c r="R67" s="300"/>
      <c r="S67" s="300"/>
      <c r="T67" s="300"/>
      <c r="U67" s="300"/>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row>
    <row r="68" spans="1:64" s="287" customFormat="1" x14ac:dyDescent="0.2">
      <c r="F68" s="286"/>
      <c r="H68" s="280"/>
      <c r="I68" s="280"/>
      <c r="J68" s="280"/>
      <c r="K68" s="280"/>
    </row>
    <row r="69" spans="1:64" s="287" customFormat="1" x14ac:dyDescent="0.2">
      <c r="A69" s="286"/>
      <c r="C69" s="280"/>
      <c r="D69" s="280"/>
      <c r="F69" s="286"/>
      <c r="H69" s="280"/>
      <c r="I69" s="280"/>
      <c r="J69" s="280"/>
      <c r="K69" s="280"/>
    </row>
    <row r="70" spans="1:64" s="287" customFormat="1" x14ac:dyDescent="0.2">
      <c r="A70" s="286"/>
      <c r="C70" s="280"/>
      <c r="D70" s="280"/>
    </row>
    <row r="71" spans="1:64" s="287" customFormat="1" x14ac:dyDescent="0.2"/>
    <row r="72" spans="1:64" s="287" customFormat="1" x14ac:dyDescent="0.2">
      <c r="F72" s="286"/>
    </row>
    <row r="73" spans="1:64" s="287" customFormat="1" x14ac:dyDescent="0.2">
      <c r="A73" s="286"/>
      <c r="C73" s="280"/>
      <c r="D73" s="280"/>
      <c r="F73" s="286"/>
      <c r="H73" s="280"/>
      <c r="I73" s="280"/>
      <c r="J73" s="280"/>
      <c r="K73" s="280"/>
    </row>
    <row r="74" spans="1:64" s="287" customFormat="1" x14ac:dyDescent="0.2">
      <c r="A74" s="286"/>
      <c r="C74" s="280"/>
      <c r="D74" s="280"/>
    </row>
    <row r="75" spans="1:64" s="287" customFormat="1" x14ac:dyDescent="0.2">
      <c r="A75" s="286"/>
      <c r="C75" s="280"/>
      <c r="D75" s="280"/>
    </row>
    <row r="76" spans="1:64" s="287" customFormat="1" x14ac:dyDescent="0.2">
      <c r="C76" s="280"/>
      <c r="D76" s="280"/>
    </row>
    <row r="77" spans="1:64" s="287" customFormat="1" x14ac:dyDescent="0.2">
      <c r="A77" s="286"/>
      <c r="B77" s="303"/>
      <c r="C77" s="280"/>
      <c r="D77" s="280"/>
    </row>
    <row r="78" spans="1:64" s="287" customFormat="1" x14ac:dyDescent="0.2">
      <c r="A78" s="286"/>
      <c r="B78" s="303"/>
      <c r="C78" s="280"/>
      <c r="D78" s="280"/>
    </row>
    <row r="79" spans="1:64" s="287" customFormat="1" x14ac:dyDescent="0.2">
      <c r="A79" s="286"/>
      <c r="B79" s="303"/>
      <c r="C79" s="280"/>
      <c r="D79" s="280"/>
    </row>
    <row r="80" spans="1:64" s="287" customFormat="1" x14ac:dyDescent="0.2">
      <c r="A80" s="286"/>
      <c r="B80" s="303"/>
      <c r="C80" s="280"/>
      <c r="D80" s="280"/>
    </row>
    <row r="81" spans="1:11" s="287" customFormat="1" x14ac:dyDescent="0.2">
      <c r="A81" s="286"/>
      <c r="B81" s="303"/>
      <c r="C81" s="280"/>
      <c r="D81" s="280"/>
    </row>
    <row r="82" spans="1:11" s="287" customFormat="1" x14ac:dyDescent="0.2">
      <c r="C82" s="280"/>
      <c r="D82" s="280"/>
    </row>
    <row r="83" spans="1:11" s="287" customFormat="1" x14ac:dyDescent="0.2">
      <c r="C83" s="280"/>
      <c r="D83" s="280"/>
    </row>
    <row r="84" spans="1:11" s="287" customFormat="1" x14ac:dyDescent="0.2">
      <c r="C84" s="280"/>
      <c r="D84" s="280"/>
    </row>
    <row r="85" spans="1:11" s="287" customFormat="1" x14ac:dyDescent="0.2">
      <c r="C85" s="280"/>
      <c r="D85" s="280"/>
      <c r="H85" s="280"/>
      <c r="I85" s="280"/>
      <c r="J85" s="280"/>
      <c r="K85" s="280"/>
    </row>
    <row r="86" spans="1:11" s="287" customFormat="1" x14ac:dyDescent="0.2">
      <c r="C86" s="280"/>
      <c r="D86" s="280"/>
      <c r="F86" s="286"/>
      <c r="H86" s="280"/>
      <c r="I86" s="280"/>
      <c r="J86" s="280"/>
      <c r="K86" s="280"/>
    </row>
    <row r="87" spans="1:11" s="287" customFormat="1" x14ac:dyDescent="0.2">
      <c r="C87" s="280"/>
      <c r="D87" s="280"/>
    </row>
    <row r="88" spans="1:11" s="287" customFormat="1" x14ac:dyDescent="0.2">
      <c r="C88" s="280"/>
      <c r="D88" s="280"/>
    </row>
    <row r="89" spans="1:11" s="287" customFormat="1" x14ac:dyDescent="0.2">
      <c r="A89" s="286"/>
      <c r="C89" s="280"/>
      <c r="D89" s="280"/>
      <c r="F89" s="286"/>
      <c r="H89" s="291"/>
      <c r="I89" s="291"/>
      <c r="J89" s="291"/>
      <c r="K89" s="291"/>
    </row>
    <row r="90" spans="1:11" s="287" customFormat="1" x14ac:dyDescent="0.2">
      <c r="C90" s="280"/>
      <c r="D90" s="280"/>
      <c r="H90" s="291"/>
      <c r="I90" s="291"/>
      <c r="J90" s="291"/>
      <c r="K90" s="291"/>
    </row>
    <row r="91" spans="1:11" s="287" customFormat="1" x14ac:dyDescent="0.2">
      <c r="A91" s="286"/>
      <c r="C91" s="280"/>
      <c r="D91" s="280"/>
      <c r="F91" s="286"/>
      <c r="H91" s="291"/>
      <c r="I91" s="291"/>
      <c r="J91" s="291"/>
      <c r="K91" s="291"/>
    </row>
    <row r="92" spans="1:11" s="287" customFormat="1" x14ac:dyDescent="0.2">
      <c r="C92" s="304"/>
      <c r="D92" s="304"/>
    </row>
    <row r="93" spans="1:11" s="287" customFormat="1" x14ac:dyDescent="0.2">
      <c r="A93" s="286"/>
      <c r="C93" s="280"/>
      <c r="D93" s="280"/>
      <c r="H93" s="280"/>
      <c r="I93" s="280"/>
      <c r="J93" s="280"/>
      <c r="K93" s="280"/>
    </row>
    <row r="94" spans="1:11" s="287" customFormat="1" x14ac:dyDescent="0.2">
      <c r="A94" s="286"/>
      <c r="C94" s="280"/>
      <c r="D94" s="280"/>
      <c r="H94" s="280"/>
      <c r="I94" s="280"/>
      <c r="J94" s="280"/>
      <c r="K94" s="280"/>
    </row>
    <row r="95" spans="1:11" s="287" customFormat="1" ht="9" customHeight="1" x14ac:dyDescent="0.2">
      <c r="A95" s="286"/>
      <c r="C95" s="280"/>
      <c r="D95" s="280"/>
    </row>
    <row r="96" spans="1:11" x14ac:dyDescent="0.2">
      <c r="A96" s="286"/>
      <c r="B96" s="305"/>
      <c r="C96" s="291"/>
      <c r="D96" s="291"/>
      <c r="E96" s="287"/>
      <c r="F96" s="286"/>
    </row>
    <row r="97" spans="1:11" x14ac:dyDescent="0.2">
      <c r="A97" s="286"/>
      <c r="B97" s="287"/>
      <c r="C97" s="280"/>
      <c r="D97" s="280"/>
      <c r="E97" s="287"/>
      <c r="F97" s="286"/>
      <c r="G97" s="287"/>
      <c r="H97" s="280"/>
      <c r="I97" s="280"/>
      <c r="J97" s="280"/>
      <c r="K97" s="280"/>
    </row>
    <row r="98" spans="1:11" x14ac:dyDescent="0.2">
      <c r="A98" s="306"/>
      <c r="C98" s="306"/>
      <c r="D98" s="306"/>
      <c r="F98" s="306"/>
      <c r="H98" s="306"/>
      <c r="I98" s="306"/>
      <c r="J98" s="306"/>
      <c r="K98" s="306"/>
    </row>
    <row r="99" spans="1:11" x14ac:dyDescent="0.2">
      <c r="A99" s="306"/>
      <c r="C99" s="308"/>
      <c r="D99" s="308"/>
      <c r="E99" s="287"/>
      <c r="F99" s="306"/>
      <c r="H99" s="291"/>
      <c r="I99" s="291"/>
      <c r="J99" s="291"/>
      <c r="K99" s="291"/>
    </row>
    <row r="100" spans="1:11" x14ac:dyDescent="0.2">
      <c r="A100" s="306"/>
      <c r="C100" s="280"/>
      <c r="D100" s="280"/>
      <c r="E100" s="287"/>
      <c r="F100" s="306"/>
      <c r="H100" s="280"/>
      <c r="I100" s="280"/>
      <c r="J100" s="280"/>
      <c r="K100" s="280"/>
    </row>
    <row r="101" spans="1:11" x14ac:dyDescent="0.2">
      <c r="A101" s="306"/>
      <c r="C101" s="280"/>
      <c r="D101" s="280"/>
      <c r="E101" s="287"/>
      <c r="F101" s="306"/>
      <c r="H101" s="280"/>
      <c r="I101" s="280"/>
      <c r="J101" s="280"/>
      <c r="K101" s="280"/>
    </row>
    <row r="102" spans="1:11" x14ac:dyDescent="0.2">
      <c r="A102" s="306"/>
      <c r="C102" s="308"/>
      <c r="D102" s="308"/>
      <c r="E102" s="287"/>
      <c r="F102" s="306"/>
      <c r="H102" s="280"/>
      <c r="I102" s="280"/>
      <c r="J102" s="280"/>
      <c r="K102" s="280"/>
    </row>
    <row r="103" spans="1:11" x14ac:dyDescent="0.2">
      <c r="A103" s="306"/>
      <c r="C103" s="280"/>
      <c r="D103" s="280"/>
      <c r="E103" s="287"/>
      <c r="F103" s="306"/>
      <c r="H103" s="280"/>
      <c r="I103" s="280"/>
      <c r="J103" s="280"/>
      <c r="K103" s="280"/>
    </row>
    <row r="104" spans="1:11" x14ac:dyDescent="0.2">
      <c r="A104" s="306"/>
      <c r="C104" s="280"/>
      <c r="D104" s="280"/>
      <c r="E104" s="287"/>
      <c r="F104" s="306"/>
      <c r="H104" s="280"/>
      <c r="I104" s="280"/>
      <c r="J104" s="280"/>
      <c r="K104" s="280"/>
    </row>
    <row r="105" spans="1:11" x14ac:dyDescent="0.2">
      <c r="A105" s="286"/>
      <c r="B105" s="287"/>
      <c r="C105" s="308"/>
      <c r="D105" s="308"/>
      <c r="E105" s="287"/>
      <c r="F105" s="306"/>
      <c r="H105" s="280"/>
      <c r="I105" s="280"/>
      <c r="J105" s="280"/>
      <c r="K105" s="280"/>
    </row>
    <row r="106" spans="1:11" x14ac:dyDescent="0.2">
      <c r="A106" s="286"/>
      <c r="B106" s="287"/>
      <c r="C106" s="280"/>
      <c r="D106" s="280"/>
      <c r="E106" s="287"/>
      <c r="F106" s="306"/>
      <c r="H106" s="280"/>
      <c r="I106" s="280"/>
      <c r="J106" s="280"/>
      <c r="K106" s="280"/>
    </row>
    <row r="107" spans="1:11" s="307" customFormat="1" ht="10.5" customHeight="1" x14ac:dyDescent="0.2">
      <c r="A107" s="309"/>
      <c r="B107" s="306"/>
      <c r="C107" s="297"/>
      <c r="D107" s="297"/>
      <c r="E107" s="306"/>
      <c r="F107" s="310"/>
      <c r="G107" s="311"/>
      <c r="H107" s="312"/>
      <c r="I107" s="312"/>
      <c r="J107" s="312"/>
      <c r="K107" s="312"/>
    </row>
    <row r="108" spans="1:11" s="307" customFormat="1" ht="6.75" customHeight="1" x14ac:dyDescent="0.2">
      <c r="A108" s="309"/>
      <c r="B108" s="306"/>
      <c r="C108" s="297"/>
      <c r="D108" s="297"/>
      <c r="E108" s="306"/>
      <c r="F108" s="310"/>
      <c r="G108" s="311"/>
      <c r="H108" s="312"/>
      <c r="I108" s="312"/>
      <c r="J108" s="312"/>
      <c r="K108" s="312"/>
    </row>
    <row r="109" spans="1:11" s="307" customFormat="1" ht="8.25" customHeight="1" x14ac:dyDescent="0.2">
      <c r="A109" s="818"/>
      <c r="B109" s="818"/>
      <c r="C109" s="818"/>
      <c r="D109" s="818"/>
      <c r="E109" s="818"/>
      <c r="F109" s="818"/>
      <c r="G109" s="818"/>
      <c r="H109" s="818"/>
      <c r="I109" s="818"/>
      <c r="J109" s="818"/>
      <c r="K109" s="818"/>
    </row>
    <row r="110" spans="1:11" s="307" customFormat="1" x14ac:dyDescent="0.2">
      <c r="A110" s="818"/>
      <c r="B110" s="818"/>
      <c r="C110" s="818"/>
      <c r="D110" s="818"/>
      <c r="E110" s="818"/>
      <c r="F110" s="818"/>
      <c r="G110" s="818"/>
      <c r="H110" s="818"/>
      <c r="I110" s="818"/>
      <c r="J110" s="818"/>
      <c r="K110" s="818"/>
    </row>
    <row r="111" spans="1:11" s="307" customFormat="1" x14ac:dyDescent="0.2">
      <c r="A111" s="309"/>
      <c r="B111" s="306"/>
      <c r="C111" s="297"/>
      <c r="D111" s="297"/>
      <c r="E111" s="306"/>
      <c r="F111" s="309"/>
      <c r="G111" s="306"/>
    </row>
    <row r="112" spans="1:11" s="307" customFormat="1" x14ac:dyDescent="0.2">
      <c r="A112" s="310"/>
      <c r="B112" s="306"/>
      <c r="C112" s="297"/>
      <c r="D112" s="297"/>
      <c r="E112" s="306"/>
      <c r="F112" s="309"/>
      <c r="G112" s="306"/>
    </row>
    <row r="113" spans="1:11" s="307" customFormat="1" x14ac:dyDescent="0.2">
      <c r="A113" s="309"/>
      <c r="B113" s="306"/>
      <c r="C113" s="297"/>
      <c r="D113" s="297"/>
      <c r="E113" s="306"/>
      <c r="F113" s="309"/>
      <c r="G113" s="306"/>
    </row>
    <row r="114" spans="1:11" s="307" customFormat="1" x14ac:dyDescent="0.2">
      <c r="A114" s="309"/>
      <c r="B114" s="306"/>
      <c r="C114" s="297"/>
      <c r="D114" s="297"/>
      <c r="E114" s="306"/>
      <c r="F114" s="309"/>
      <c r="G114" s="306"/>
    </row>
    <row r="115" spans="1:11" s="307" customFormat="1" x14ac:dyDescent="0.2">
      <c r="A115" s="309"/>
      <c r="B115" s="306"/>
      <c r="C115" s="297"/>
      <c r="D115" s="297"/>
      <c r="E115" s="306"/>
      <c r="F115" s="309"/>
      <c r="G115" s="306"/>
    </row>
    <row r="116" spans="1:11" s="307" customFormat="1" x14ac:dyDescent="0.2">
      <c r="A116" s="309"/>
      <c r="B116" s="306"/>
      <c r="C116" s="297"/>
      <c r="D116" s="297"/>
      <c r="E116" s="306"/>
      <c r="F116" s="309"/>
      <c r="G116" s="306"/>
    </row>
    <row r="117" spans="1:11" s="307" customFormat="1" x14ac:dyDescent="0.2">
      <c r="A117" s="309"/>
      <c r="B117" s="306"/>
      <c r="C117" s="297"/>
      <c r="D117" s="297"/>
      <c r="E117" s="306"/>
      <c r="F117" s="309"/>
      <c r="G117" s="306"/>
    </row>
    <row r="118" spans="1:11" s="307" customFormat="1" x14ac:dyDescent="0.2"/>
    <row r="119" spans="1:11" s="307" customFormat="1" x14ac:dyDescent="0.2"/>
    <row r="120" spans="1:11" x14ac:dyDescent="0.2">
      <c r="A120" s="307"/>
      <c r="B120" s="307"/>
      <c r="C120" s="307"/>
      <c r="D120" s="307"/>
      <c r="E120" s="307"/>
      <c r="F120" s="307"/>
      <c r="G120" s="307"/>
      <c r="H120" s="306"/>
      <c r="I120" s="306"/>
      <c r="J120" s="306"/>
      <c r="K120" s="306"/>
    </row>
    <row r="121" spans="1:11" x14ac:dyDescent="0.2">
      <c r="A121" s="307"/>
      <c r="B121" s="307"/>
      <c r="C121" s="307"/>
      <c r="D121" s="307"/>
      <c r="E121" s="307"/>
      <c r="F121" s="307"/>
      <c r="G121" s="307"/>
      <c r="H121" s="306"/>
      <c r="I121" s="306"/>
      <c r="J121" s="306"/>
      <c r="K121" s="306"/>
    </row>
    <row r="122" spans="1:11" x14ac:dyDescent="0.2">
      <c r="A122" s="307"/>
      <c r="B122" s="307"/>
      <c r="C122" s="307"/>
      <c r="D122" s="307"/>
      <c r="E122" s="307"/>
      <c r="F122" s="307"/>
      <c r="G122" s="307"/>
      <c r="H122" s="306"/>
      <c r="I122" s="306"/>
      <c r="J122" s="306"/>
      <c r="K122" s="306"/>
    </row>
    <row r="132" spans="1:11" ht="9.75" customHeight="1" x14ac:dyDescent="0.2">
      <c r="H132" s="306"/>
      <c r="I132" s="306"/>
      <c r="J132" s="306"/>
      <c r="K132" s="306"/>
    </row>
    <row r="142" spans="1:11" ht="27.75" customHeight="1" x14ac:dyDescent="0.2">
      <c r="A142" s="306"/>
      <c r="C142" s="306"/>
      <c r="D142" s="306"/>
      <c r="F142" s="306"/>
      <c r="H142" s="306"/>
      <c r="I142" s="306"/>
      <c r="J142" s="306"/>
      <c r="K142" s="306"/>
    </row>
    <row r="143" spans="1:11" ht="24" customHeight="1" x14ac:dyDescent="0.2">
      <c r="A143" s="306"/>
      <c r="C143" s="306"/>
      <c r="D143" s="306"/>
      <c r="F143" s="306"/>
      <c r="H143" s="306"/>
      <c r="I143" s="306"/>
      <c r="J143" s="306"/>
      <c r="K143" s="306"/>
    </row>
    <row r="144" spans="1:11" ht="15" customHeight="1" x14ac:dyDescent="0.2">
      <c r="A144" s="306"/>
      <c r="C144" s="306"/>
      <c r="D144" s="306"/>
      <c r="F144" s="306"/>
      <c r="H144" s="306"/>
      <c r="I144" s="306"/>
      <c r="J144" s="306"/>
      <c r="K144" s="306"/>
    </row>
    <row r="146" spans="1:11" ht="44.25" customHeight="1" x14ac:dyDescent="0.2">
      <c r="A146" s="306"/>
      <c r="C146" s="306"/>
      <c r="D146" s="306"/>
      <c r="F146" s="306"/>
      <c r="H146" s="306"/>
      <c r="I146" s="306"/>
      <c r="J146" s="306"/>
      <c r="K146" s="306"/>
    </row>
  </sheetData>
  <mergeCells count="5">
    <mergeCell ref="A2:J2"/>
    <mergeCell ref="K2:K5"/>
    <mergeCell ref="A3:J3"/>
    <mergeCell ref="A4:J4"/>
    <mergeCell ref="A53:J53"/>
  </mergeCells>
  <printOptions horizontalCentered="1"/>
  <pageMargins left="0.15748031496062992" right="0.17" top="0.33" bottom="0.11811023622047245" header="0.31496062992125984" footer="0.31496062992125984"/>
  <pageSetup scale="66" orientation="landscape" r:id="rId1"/>
  <headerFooter>
    <oddFooter>&amp;C&amp;"Arial,Normal"&amp;9“Bajo protesta de decir verdad declaramos que los Estados Financieros y sus notas, son razonablemente correctos y son responsabilidad del emisor”</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339"/>
  <sheetViews>
    <sheetView view="pageBreakPreview" topLeftCell="A2263" zoomScale="60" zoomScaleNormal="100" workbookViewId="0"/>
  </sheetViews>
  <sheetFormatPr baseColWidth="10" defaultColWidth="11.42578125" defaultRowHeight="12.75" x14ac:dyDescent="0.2"/>
  <cols>
    <col min="1" max="1" width="0.5703125" style="700" customWidth="1"/>
    <col min="2" max="2" width="7.42578125" style="700" bestFit="1" customWidth="1"/>
    <col min="3" max="3" width="53.42578125" style="700" customWidth="1"/>
    <col min="4" max="4" width="20.140625" style="702" bestFit="1" customWidth="1"/>
    <col min="5" max="5" width="1.85546875" style="586" customWidth="1"/>
    <col min="6" max="6" width="20.85546875" style="701" bestFit="1" customWidth="1"/>
    <col min="7" max="16384" width="11.42578125" style="700"/>
  </cols>
  <sheetData>
    <row r="2" spans="1:6" x14ac:dyDescent="0.2">
      <c r="A2" s="1285" t="s">
        <v>7476</v>
      </c>
      <c r="B2" s="1285"/>
      <c r="C2" s="1285"/>
      <c r="D2" s="1285"/>
      <c r="E2" s="1285"/>
      <c r="F2" s="1285"/>
    </row>
    <row r="3" spans="1:6" x14ac:dyDescent="0.2">
      <c r="A3" s="1285" t="s">
        <v>7478</v>
      </c>
      <c r="B3" s="1285"/>
      <c r="C3" s="1285"/>
      <c r="D3" s="1285"/>
      <c r="E3" s="1285"/>
      <c r="F3" s="1285"/>
    </row>
    <row r="4" spans="1:6" x14ac:dyDescent="0.2">
      <c r="A4" s="1285" t="s">
        <v>7482</v>
      </c>
      <c r="B4" s="1285"/>
      <c r="C4" s="1285"/>
      <c r="D4" s="1285"/>
      <c r="E4" s="1285"/>
      <c r="F4" s="1285"/>
    </row>
    <row r="5" spans="1:6" x14ac:dyDescent="0.2">
      <c r="A5" s="1285" t="s">
        <v>8965</v>
      </c>
      <c r="B5" s="1285"/>
      <c r="C5" s="1285"/>
      <c r="D5" s="1285"/>
      <c r="E5" s="1285"/>
      <c r="F5" s="1285"/>
    </row>
    <row r="6" spans="1:6" x14ac:dyDescent="0.2">
      <c r="D6" s="701"/>
      <c r="E6" s="588"/>
      <c r="F6" s="714"/>
    </row>
    <row r="7" spans="1:6" x14ac:dyDescent="0.2">
      <c r="D7" s="701"/>
      <c r="E7" s="588"/>
      <c r="F7" s="714"/>
    </row>
    <row r="8" spans="1:6" x14ac:dyDescent="0.2">
      <c r="C8" s="708"/>
      <c r="D8" s="713" t="s">
        <v>2392</v>
      </c>
      <c r="E8" s="590"/>
      <c r="F8" s="713" t="s">
        <v>2393</v>
      </c>
    </row>
    <row r="9" spans="1:6" x14ac:dyDescent="0.2">
      <c r="B9" s="712"/>
      <c r="C9" s="2"/>
      <c r="D9" s="701"/>
      <c r="E9" s="588"/>
    </row>
    <row r="10" spans="1:6" x14ac:dyDescent="0.2">
      <c r="C10" s="711" t="s">
        <v>2394</v>
      </c>
      <c r="D10" s="594">
        <v>0</v>
      </c>
      <c r="E10" s="591"/>
      <c r="F10" s="594">
        <v>2876.29</v>
      </c>
    </row>
    <row r="11" spans="1:6" x14ac:dyDescent="0.2">
      <c r="C11" s="711"/>
      <c r="D11" s="709"/>
      <c r="E11" s="591"/>
      <c r="F11" s="709"/>
    </row>
    <row r="12" spans="1:6" x14ac:dyDescent="0.2">
      <c r="B12" s="1286" t="s">
        <v>2395</v>
      </c>
      <c r="C12" s="1286"/>
      <c r="D12" s="588"/>
      <c r="E12" s="588"/>
      <c r="F12" s="588"/>
    </row>
    <row r="13" spans="1:6" x14ac:dyDescent="0.2">
      <c r="B13" s="592">
        <v>1</v>
      </c>
      <c r="C13" s="710" t="s">
        <v>107</v>
      </c>
      <c r="D13" s="588"/>
      <c r="E13" s="588"/>
      <c r="F13" s="588"/>
    </row>
    <row r="14" spans="1:6" x14ac:dyDescent="0.2">
      <c r="B14" s="592">
        <v>2</v>
      </c>
      <c r="C14" s="710" t="s">
        <v>109</v>
      </c>
      <c r="D14" s="588"/>
      <c r="E14" s="588"/>
      <c r="F14" s="588"/>
    </row>
    <row r="15" spans="1:6" x14ac:dyDescent="0.2">
      <c r="B15" s="592">
        <v>3</v>
      </c>
      <c r="C15" s="710" t="s">
        <v>2396</v>
      </c>
      <c r="D15" s="588"/>
      <c r="E15" s="588"/>
      <c r="F15" s="588"/>
    </row>
    <row r="16" spans="1:6" s="1100" customFormat="1" x14ac:dyDescent="0.2">
      <c r="A16" s="700"/>
      <c r="B16" s="592">
        <v>4</v>
      </c>
      <c r="C16" s="710" t="s">
        <v>113</v>
      </c>
      <c r="D16" s="588"/>
      <c r="E16" s="588"/>
      <c r="F16" s="588"/>
    </row>
    <row r="17" spans="1:6" s="1100" customFormat="1" x14ac:dyDescent="0.2">
      <c r="A17" s="700"/>
      <c r="B17" s="592">
        <v>5</v>
      </c>
      <c r="C17" s="710" t="s">
        <v>228</v>
      </c>
      <c r="D17" s="588"/>
      <c r="E17" s="588"/>
      <c r="F17" s="588">
        <v>-28.34</v>
      </c>
    </row>
    <row r="18" spans="1:6" s="1100" customFormat="1" x14ac:dyDescent="0.2">
      <c r="A18" s="700"/>
      <c r="B18" s="592">
        <v>6</v>
      </c>
      <c r="C18" s="710" t="s">
        <v>231</v>
      </c>
      <c r="D18" s="588"/>
      <c r="E18" s="588"/>
      <c r="F18" s="588"/>
    </row>
    <row r="19" spans="1:6" s="1100" customFormat="1" x14ac:dyDescent="0.2">
      <c r="A19" s="700"/>
      <c r="B19" s="592">
        <v>7</v>
      </c>
      <c r="C19" s="710" t="s">
        <v>2397</v>
      </c>
      <c r="D19" s="350"/>
      <c r="E19" s="350"/>
      <c r="F19" s="350"/>
    </row>
    <row r="20" spans="1:6" s="1100" customFormat="1" x14ac:dyDescent="0.2">
      <c r="A20" s="700"/>
      <c r="B20" s="592">
        <v>8</v>
      </c>
      <c r="C20" s="710" t="s">
        <v>2398</v>
      </c>
      <c r="D20" s="588"/>
      <c r="E20" s="588"/>
      <c r="F20" s="588"/>
    </row>
    <row r="21" spans="1:6" s="1100" customFormat="1" x14ac:dyDescent="0.2">
      <c r="A21" s="700"/>
      <c r="B21" s="592">
        <v>9</v>
      </c>
      <c r="C21" s="710" t="s">
        <v>2399</v>
      </c>
      <c r="D21" s="588"/>
      <c r="E21" s="588"/>
      <c r="F21" s="588"/>
    </row>
    <row r="22" spans="1:6" s="1100" customFormat="1" x14ac:dyDescent="0.2">
      <c r="A22" s="700"/>
      <c r="B22" s="592">
        <v>0</v>
      </c>
      <c r="C22" s="710" t="s">
        <v>500</v>
      </c>
      <c r="D22" s="593"/>
      <c r="E22" s="588"/>
      <c r="F22" s="593"/>
    </row>
    <row r="23" spans="1:6" s="1100" customFormat="1" x14ac:dyDescent="0.2">
      <c r="A23" s="700"/>
      <c r="B23" s="585"/>
      <c r="C23" s="587" t="s">
        <v>2400</v>
      </c>
      <c r="D23" s="709">
        <f>SUM(D13:D22)</f>
        <v>0</v>
      </c>
      <c r="E23" s="591"/>
      <c r="F23" s="709">
        <f>SUM(F13:F22)</f>
        <v>-28.34</v>
      </c>
    </row>
    <row r="24" spans="1:6" s="1100" customFormat="1" x14ac:dyDescent="0.2">
      <c r="A24" s="700"/>
      <c r="B24" s="585"/>
      <c r="C24" s="585"/>
      <c r="D24" s="701"/>
      <c r="E24" s="588"/>
      <c r="F24" s="701"/>
    </row>
    <row r="25" spans="1:6" s="1100" customFormat="1" x14ac:dyDescent="0.2">
      <c r="A25" s="700"/>
      <c r="B25" s="1283" t="s">
        <v>2401</v>
      </c>
      <c r="C25" s="1283"/>
      <c r="D25" s="709"/>
      <c r="E25" s="591"/>
      <c r="F25" s="709"/>
    </row>
    <row r="26" spans="1:6" s="1100" customFormat="1" x14ac:dyDescent="0.2">
      <c r="A26" s="700"/>
      <c r="B26" s="592">
        <v>1000</v>
      </c>
      <c r="C26" s="710" t="s">
        <v>2402</v>
      </c>
      <c r="D26" s="701"/>
      <c r="E26" s="588"/>
      <c r="F26" s="701"/>
    </row>
    <row r="27" spans="1:6" s="1100" customFormat="1" x14ac:dyDescent="0.2">
      <c r="A27" s="700"/>
      <c r="B27" s="592">
        <v>2000</v>
      </c>
      <c r="C27" s="710" t="s">
        <v>2403</v>
      </c>
      <c r="D27" s="701"/>
      <c r="E27" s="588"/>
      <c r="F27" s="701"/>
    </row>
    <row r="28" spans="1:6" s="1100" customFormat="1" x14ac:dyDescent="0.2">
      <c r="A28" s="700"/>
      <c r="B28" s="592">
        <v>3000</v>
      </c>
      <c r="C28" s="710" t="s">
        <v>2404</v>
      </c>
      <c r="D28" s="701"/>
      <c r="E28" s="588"/>
      <c r="F28" s="701"/>
    </row>
    <row r="29" spans="1:6" s="1100" customFormat="1" x14ac:dyDescent="0.2">
      <c r="A29" s="700"/>
      <c r="B29" s="592">
        <v>4000</v>
      </c>
      <c r="C29" s="710" t="s">
        <v>2399</v>
      </c>
      <c r="D29" s="701"/>
      <c r="E29" s="588"/>
      <c r="F29" s="701"/>
    </row>
    <row r="30" spans="1:6" s="1100" customFormat="1" x14ac:dyDescent="0.2">
      <c r="A30" s="700"/>
      <c r="B30" s="592">
        <v>5000</v>
      </c>
      <c r="C30" s="710" t="s">
        <v>2405</v>
      </c>
      <c r="D30" s="701"/>
      <c r="E30" s="588"/>
      <c r="F30" s="701"/>
    </row>
    <row r="31" spans="1:6" s="1100" customFormat="1" x14ac:dyDescent="0.2">
      <c r="A31" s="700"/>
      <c r="B31" s="592">
        <v>6000</v>
      </c>
      <c r="C31" s="710" t="s">
        <v>2406</v>
      </c>
      <c r="D31" s="701"/>
      <c r="E31" s="588"/>
      <c r="F31" s="701">
        <v>2847.95</v>
      </c>
    </row>
    <row r="32" spans="1:6" s="1100" customFormat="1" x14ac:dyDescent="0.2">
      <c r="A32" s="700"/>
      <c r="B32" s="592">
        <v>7000</v>
      </c>
      <c r="C32" s="710" t="s">
        <v>2407</v>
      </c>
      <c r="D32" s="701"/>
      <c r="E32" s="588"/>
      <c r="F32" s="701"/>
    </row>
    <row r="33" spans="1:6" s="1100" customFormat="1" x14ac:dyDescent="0.2">
      <c r="A33" s="700"/>
      <c r="B33" s="592">
        <v>8000</v>
      </c>
      <c r="C33" s="710" t="s">
        <v>2398</v>
      </c>
      <c r="D33" s="701"/>
      <c r="E33" s="588"/>
      <c r="F33" s="701"/>
    </row>
    <row r="34" spans="1:6" s="1100" customFormat="1" x14ac:dyDescent="0.2">
      <c r="A34" s="700"/>
      <c r="B34" s="592">
        <v>9000</v>
      </c>
      <c r="C34" s="710" t="s">
        <v>2408</v>
      </c>
      <c r="D34" s="593"/>
      <c r="E34" s="588"/>
      <c r="F34" s="593"/>
    </row>
    <row r="35" spans="1:6" s="1100" customFormat="1" x14ac:dyDescent="0.2">
      <c r="A35" s="700"/>
      <c r="B35" s="589"/>
      <c r="C35" s="587" t="s">
        <v>2409</v>
      </c>
      <c r="D35" s="709">
        <f>SUM(D26:D34)</f>
        <v>0</v>
      </c>
      <c r="E35" s="591"/>
      <c r="F35" s="709">
        <f>SUM(F26:F34)</f>
        <v>2847.95</v>
      </c>
    </row>
    <row r="36" spans="1:6" s="1100" customFormat="1" x14ac:dyDescent="0.2">
      <c r="A36" s="700"/>
      <c r="B36" s="585"/>
      <c r="C36" s="585"/>
      <c r="D36" s="701"/>
      <c r="E36" s="588"/>
      <c r="F36" s="701"/>
    </row>
    <row r="37" spans="1:6" s="1100" customFormat="1" x14ac:dyDescent="0.2">
      <c r="A37" s="700"/>
      <c r="B37" s="589"/>
      <c r="C37" s="696" t="s">
        <v>2410</v>
      </c>
      <c r="D37" s="594">
        <f>+D10+D23-D35</f>
        <v>0</v>
      </c>
      <c r="E37" s="591"/>
      <c r="F37" s="594">
        <f>+F10+F23-F35</f>
        <v>0</v>
      </c>
    </row>
    <row r="39" spans="1:6" s="1100" customFormat="1" x14ac:dyDescent="0.2">
      <c r="A39" s="700"/>
      <c r="B39" s="1284" t="s">
        <v>2411</v>
      </c>
      <c r="C39" s="1284"/>
      <c r="D39" s="1284"/>
      <c r="E39" s="1284"/>
      <c r="F39" s="1284"/>
    </row>
    <row r="40" spans="1:6" s="1100" customFormat="1" x14ac:dyDescent="0.2">
      <c r="A40" s="700"/>
      <c r="B40" s="708"/>
      <c r="C40" s="585"/>
      <c r="D40" s="702"/>
      <c r="E40" s="586"/>
      <c r="F40" s="701"/>
    </row>
    <row r="41" spans="1:6" s="1100" customFormat="1" x14ac:dyDescent="0.2">
      <c r="A41" s="700"/>
      <c r="B41" s="708"/>
      <c r="C41" s="708" t="s">
        <v>2412</v>
      </c>
      <c r="D41" s="586"/>
      <c r="E41" s="586"/>
      <c r="F41" s="591"/>
    </row>
    <row r="42" spans="1:6" s="1100" customFormat="1" x14ac:dyDescent="0.2">
      <c r="A42" s="700"/>
      <c r="B42" s="705" t="s">
        <v>5</v>
      </c>
      <c r="C42" s="2" t="s">
        <v>6</v>
      </c>
      <c r="D42" s="701">
        <v>0</v>
      </c>
      <c r="E42" s="588"/>
      <c r="F42" s="701">
        <v>0</v>
      </c>
    </row>
    <row r="43" spans="1:6" s="1100" customFormat="1" x14ac:dyDescent="0.2">
      <c r="A43" s="700"/>
      <c r="B43" s="705" t="s">
        <v>9</v>
      </c>
      <c r="C43" s="700" t="s">
        <v>10</v>
      </c>
      <c r="D43" s="702"/>
      <c r="E43" s="586"/>
      <c r="F43" s="701"/>
    </row>
    <row r="44" spans="1:6" s="1100" customFormat="1" x14ac:dyDescent="0.2">
      <c r="A44" s="700"/>
      <c r="B44" s="705" t="s">
        <v>13</v>
      </c>
      <c r="C44" s="700" t="s">
        <v>14</v>
      </c>
      <c r="D44" s="702"/>
      <c r="E44" s="586"/>
      <c r="F44" s="701"/>
    </row>
    <row r="45" spans="1:6" s="1100" customFormat="1" x14ac:dyDescent="0.2">
      <c r="A45" s="700"/>
      <c r="B45" s="705" t="s">
        <v>27</v>
      </c>
      <c r="C45" s="2" t="s">
        <v>28</v>
      </c>
      <c r="D45" s="593"/>
      <c r="E45" s="588"/>
      <c r="F45" s="593"/>
    </row>
    <row r="46" spans="1:6" s="1100" customFormat="1" x14ac:dyDescent="0.2">
      <c r="A46" s="700"/>
      <c r="B46" s="700"/>
      <c r="C46" s="704" t="s">
        <v>2413</v>
      </c>
      <c r="D46" s="595">
        <f>SUM(D42:D45)</f>
        <v>0</v>
      </c>
      <c r="E46" s="595"/>
      <c r="F46" s="595">
        <f>SUM(F42:F45)</f>
        <v>0</v>
      </c>
    </row>
    <row r="47" spans="1:6" s="1100" customFormat="1" x14ac:dyDescent="0.2">
      <c r="A47" s="700"/>
      <c r="B47" s="705"/>
      <c r="C47" s="704" t="s">
        <v>2414</v>
      </c>
      <c r="D47" s="702"/>
      <c r="E47" s="586"/>
      <c r="F47" s="701"/>
    </row>
    <row r="48" spans="1:6" s="1100" customFormat="1" x14ac:dyDescent="0.2">
      <c r="A48" s="700"/>
      <c r="B48" s="705" t="s">
        <v>7</v>
      </c>
      <c r="C48" s="2" t="s">
        <v>8</v>
      </c>
      <c r="D48" s="702"/>
      <c r="E48" s="586"/>
      <c r="F48" s="702"/>
    </row>
    <row r="49" spans="1:6" s="1100" customFormat="1" x14ac:dyDescent="0.2">
      <c r="A49" s="700"/>
      <c r="B49" s="705" t="s">
        <v>11</v>
      </c>
      <c r="C49" s="2" t="s">
        <v>12</v>
      </c>
      <c r="D49" s="701"/>
      <c r="E49" s="586"/>
      <c r="F49" s="701"/>
    </row>
    <row r="50" spans="1:6" s="1100" customFormat="1" x14ac:dyDescent="0.2">
      <c r="A50" s="700"/>
      <c r="B50" s="705" t="s">
        <v>15</v>
      </c>
      <c r="C50" s="2" t="s">
        <v>16</v>
      </c>
      <c r="D50" s="702"/>
      <c r="E50" s="586"/>
      <c r="F50" s="701"/>
    </row>
    <row r="51" spans="1:6" s="1100" customFormat="1" x14ac:dyDescent="0.2">
      <c r="A51" s="700"/>
      <c r="B51" s="705" t="s">
        <v>592</v>
      </c>
      <c r="C51" s="2" t="s">
        <v>23</v>
      </c>
      <c r="D51" s="702"/>
      <c r="E51" s="586"/>
      <c r="F51" s="701"/>
    </row>
    <row r="52" spans="1:6" s="1100" customFormat="1" ht="25.5" x14ac:dyDescent="0.2">
      <c r="A52" s="700"/>
      <c r="B52" s="707" t="s">
        <v>595</v>
      </c>
      <c r="C52" s="706" t="s">
        <v>2415</v>
      </c>
      <c r="D52" s="702"/>
      <c r="E52" s="586"/>
      <c r="F52" s="701"/>
    </row>
    <row r="53" spans="1:6" s="1100" customFormat="1" x14ac:dyDescent="0.2">
      <c r="A53" s="700"/>
      <c r="B53" s="705" t="s">
        <v>598</v>
      </c>
      <c r="C53" s="2" t="s">
        <v>2416</v>
      </c>
      <c r="D53" s="702"/>
      <c r="E53" s="586"/>
      <c r="F53" s="701"/>
    </row>
    <row r="54" spans="1:6" s="1100" customFormat="1" x14ac:dyDescent="0.2">
      <c r="A54" s="700"/>
      <c r="B54" s="705" t="s">
        <v>600</v>
      </c>
      <c r="C54" s="2" t="s">
        <v>2417</v>
      </c>
      <c r="D54" s="593"/>
      <c r="E54" s="588"/>
      <c r="F54" s="593"/>
    </row>
    <row r="55" spans="1:6" s="1100" customFormat="1" x14ac:dyDescent="0.2">
      <c r="A55" s="700"/>
      <c r="B55" s="700"/>
      <c r="C55" s="704" t="s">
        <v>2418</v>
      </c>
      <c r="D55" s="591">
        <f>SUM(D48:D54)</f>
        <v>0</v>
      </c>
      <c r="E55" s="591"/>
      <c r="F55" s="591">
        <f>SUM(F48:F54)</f>
        <v>0</v>
      </c>
    </row>
    <row r="57" spans="1:6" s="1100" customFormat="1" x14ac:dyDescent="0.2">
      <c r="A57" s="700"/>
      <c r="B57" s="700"/>
      <c r="C57" s="703" t="s">
        <v>2419</v>
      </c>
      <c r="D57" s="594">
        <f>+D46-D55</f>
        <v>0</v>
      </c>
      <c r="E57" s="591"/>
      <c r="F57" s="594">
        <f>+F46-F55</f>
        <v>0</v>
      </c>
    </row>
    <row r="60" spans="1:6" s="1100" customFormat="1" x14ac:dyDescent="0.2">
      <c r="A60" s="700"/>
      <c r="B60" s="700"/>
      <c r="C60" s="700"/>
      <c r="D60" s="700"/>
      <c r="E60" s="585"/>
      <c r="F60" s="700"/>
    </row>
    <row r="61" spans="1:6" s="1100" customFormat="1" x14ac:dyDescent="0.2">
      <c r="A61" s="700"/>
      <c r="B61" s="700"/>
      <c r="C61" s="700"/>
      <c r="D61" s="700"/>
      <c r="E61" s="585"/>
      <c r="F61" s="700"/>
    </row>
    <row r="62" spans="1:6" s="1100" customFormat="1" x14ac:dyDescent="0.2">
      <c r="A62" s="700"/>
      <c r="B62" s="700"/>
      <c r="C62" s="700"/>
      <c r="D62" s="700"/>
      <c r="E62" s="585"/>
      <c r="F62" s="700"/>
    </row>
    <row r="63" spans="1:6" s="1100" customFormat="1" ht="12.75" customHeight="1" x14ac:dyDescent="0.2">
      <c r="A63" s="700"/>
      <c r="B63" s="700"/>
      <c r="C63" s="700"/>
      <c r="D63" s="702"/>
      <c r="E63" s="586"/>
      <c r="F63" s="701"/>
    </row>
    <row r="67" spans="1:6" x14ac:dyDescent="0.2">
      <c r="A67" s="1285" t="s">
        <v>7476</v>
      </c>
      <c r="B67" s="1285"/>
      <c r="C67" s="1285"/>
      <c r="D67" s="1285"/>
      <c r="E67" s="1285"/>
      <c r="F67" s="1285"/>
    </row>
    <row r="68" spans="1:6" x14ac:dyDescent="0.2">
      <c r="A68" s="1285" t="s">
        <v>7478</v>
      </c>
      <c r="B68" s="1285"/>
      <c r="C68" s="1285"/>
      <c r="D68" s="1285"/>
      <c r="E68" s="1285"/>
      <c r="F68" s="1285"/>
    </row>
    <row r="69" spans="1:6" x14ac:dyDescent="0.2">
      <c r="A69" s="1285" t="s">
        <v>7481</v>
      </c>
      <c r="B69" s="1285"/>
      <c r="C69" s="1285"/>
      <c r="D69" s="1285"/>
      <c r="E69" s="1285"/>
      <c r="F69" s="1285"/>
    </row>
    <row r="70" spans="1:6" x14ac:dyDescent="0.2">
      <c r="A70" s="1285" t="s">
        <v>8964</v>
      </c>
      <c r="B70" s="1285"/>
      <c r="C70" s="1285"/>
      <c r="D70" s="1285"/>
      <c r="E70" s="1285"/>
      <c r="F70" s="1285"/>
    </row>
    <row r="71" spans="1:6" x14ac:dyDescent="0.2">
      <c r="D71" s="701"/>
      <c r="E71" s="588"/>
      <c r="F71" s="714"/>
    </row>
    <row r="72" spans="1:6" x14ac:dyDescent="0.2">
      <c r="D72" s="701"/>
      <c r="E72" s="588"/>
      <c r="F72" s="714"/>
    </row>
    <row r="73" spans="1:6" x14ac:dyDescent="0.2">
      <c r="C73" s="708"/>
      <c r="D73" s="713" t="s">
        <v>2392</v>
      </c>
      <c r="E73" s="590"/>
      <c r="F73" s="713" t="s">
        <v>2393</v>
      </c>
    </row>
    <row r="74" spans="1:6" x14ac:dyDescent="0.2">
      <c r="B74" s="712"/>
      <c r="C74" s="2"/>
      <c r="D74" s="701"/>
      <c r="E74" s="588"/>
    </row>
    <row r="75" spans="1:6" x14ac:dyDescent="0.2">
      <c r="C75" s="711" t="s">
        <v>2394</v>
      </c>
      <c r="D75" s="594">
        <v>0</v>
      </c>
      <c r="E75" s="591"/>
      <c r="F75" s="594">
        <v>31044.98</v>
      </c>
    </row>
    <row r="76" spans="1:6" x14ac:dyDescent="0.2">
      <c r="C76" s="711"/>
      <c r="D76" s="709"/>
      <c r="E76" s="591"/>
      <c r="F76" s="709"/>
    </row>
    <row r="77" spans="1:6" x14ac:dyDescent="0.2">
      <c r="B77" s="1286" t="s">
        <v>2395</v>
      </c>
      <c r="C77" s="1286"/>
      <c r="D77" s="588"/>
      <c r="E77" s="588"/>
      <c r="F77" s="588"/>
    </row>
    <row r="78" spans="1:6" x14ac:dyDescent="0.2">
      <c r="B78" s="592">
        <v>1</v>
      </c>
      <c r="C78" s="710" t="s">
        <v>107</v>
      </c>
      <c r="D78" s="588"/>
      <c r="E78" s="588"/>
      <c r="F78" s="588"/>
    </row>
    <row r="79" spans="1:6" x14ac:dyDescent="0.2">
      <c r="B79" s="592">
        <v>2</v>
      </c>
      <c r="C79" s="710" t="s">
        <v>109</v>
      </c>
      <c r="D79" s="588"/>
      <c r="E79" s="588"/>
      <c r="F79" s="588"/>
    </row>
    <row r="80" spans="1:6" x14ac:dyDescent="0.2">
      <c r="B80" s="592">
        <v>3</v>
      </c>
      <c r="C80" s="710" t="s">
        <v>2396</v>
      </c>
      <c r="D80" s="588"/>
      <c r="E80" s="588"/>
      <c r="F80" s="588"/>
    </row>
    <row r="81" spans="1:6" x14ac:dyDescent="0.2">
      <c r="B81" s="592">
        <v>4</v>
      </c>
      <c r="C81" s="710" t="s">
        <v>113</v>
      </c>
      <c r="D81" s="588"/>
      <c r="E81" s="588"/>
      <c r="F81" s="588"/>
    </row>
    <row r="82" spans="1:6" x14ac:dyDescent="0.2">
      <c r="B82" s="592">
        <v>5</v>
      </c>
      <c r="C82" s="710" t="s">
        <v>228</v>
      </c>
      <c r="D82" s="588"/>
      <c r="E82" s="588"/>
      <c r="F82" s="588">
        <v>-484.28</v>
      </c>
    </row>
    <row r="83" spans="1:6" x14ac:dyDescent="0.2">
      <c r="B83" s="592">
        <v>6</v>
      </c>
      <c r="C83" s="710" t="s">
        <v>231</v>
      </c>
      <c r="D83" s="588"/>
      <c r="E83" s="588"/>
      <c r="F83" s="588"/>
    </row>
    <row r="84" spans="1:6" x14ac:dyDescent="0.2">
      <c r="B84" s="592">
        <v>7</v>
      </c>
      <c r="C84" s="710" t="s">
        <v>2397</v>
      </c>
      <c r="D84" s="350"/>
      <c r="E84" s="350"/>
      <c r="F84" s="350"/>
    </row>
    <row r="85" spans="1:6" x14ac:dyDescent="0.2">
      <c r="B85" s="592">
        <v>8</v>
      </c>
      <c r="C85" s="710" t="s">
        <v>2398</v>
      </c>
      <c r="D85" s="588"/>
      <c r="E85" s="588"/>
      <c r="F85" s="588"/>
    </row>
    <row r="86" spans="1:6" x14ac:dyDescent="0.2">
      <c r="B86" s="592">
        <v>9</v>
      </c>
      <c r="C86" s="710" t="s">
        <v>2399</v>
      </c>
      <c r="D86" s="588"/>
      <c r="E86" s="588"/>
      <c r="F86" s="588"/>
    </row>
    <row r="87" spans="1:6" x14ac:dyDescent="0.2">
      <c r="B87" s="592">
        <v>0</v>
      </c>
      <c r="C87" s="710" t="s">
        <v>500</v>
      </c>
      <c r="D87" s="593"/>
      <c r="E87" s="588"/>
      <c r="F87" s="593"/>
    </row>
    <row r="88" spans="1:6" x14ac:dyDescent="0.2">
      <c r="B88" s="585"/>
      <c r="C88" s="587" t="s">
        <v>2400</v>
      </c>
      <c r="D88" s="709">
        <f>SUM(D78:D87)</f>
        <v>0</v>
      </c>
      <c r="E88" s="591"/>
      <c r="F88" s="709">
        <f>SUM(F78:F87)</f>
        <v>-484.28</v>
      </c>
    </row>
    <row r="89" spans="1:6" x14ac:dyDescent="0.2">
      <c r="B89" s="585"/>
      <c r="C89" s="585"/>
      <c r="D89" s="701"/>
      <c r="E89" s="588"/>
    </row>
    <row r="90" spans="1:6" x14ac:dyDescent="0.2">
      <c r="B90" s="1283" t="s">
        <v>2401</v>
      </c>
      <c r="C90" s="1283"/>
      <c r="D90" s="709"/>
      <c r="E90" s="591"/>
      <c r="F90" s="709"/>
    </row>
    <row r="91" spans="1:6" x14ac:dyDescent="0.2">
      <c r="B91" s="592">
        <v>1000</v>
      </c>
      <c r="C91" s="710" t="s">
        <v>2402</v>
      </c>
      <c r="D91" s="701"/>
      <c r="E91" s="588"/>
    </row>
    <row r="92" spans="1:6" s="1100" customFormat="1" x14ac:dyDescent="0.2">
      <c r="A92" s="700"/>
      <c r="B92" s="592">
        <v>2000</v>
      </c>
      <c r="C92" s="710" t="s">
        <v>2403</v>
      </c>
      <c r="D92" s="701"/>
      <c r="E92" s="588"/>
      <c r="F92" s="701"/>
    </row>
    <row r="93" spans="1:6" s="1100" customFormat="1" x14ac:dyDescent="0.2">
      <c r="A93" s="700"/>
      <c r="B93" s="592">
        <v>3000</v>
      </c>
      <c r="C93" s="710" t="s">
        <v>2404</v>
      </c>
      <c r="D93" s="701"/>
      <c r="E93" s="588"/>
      <c r="F93" s="701"/>
    </row>
    <row r="94" spans="1:6" s="1100" customFormat="1" x14ac:dyDescent="0.2">
      <c r="A94" s="700"/>
      <c r="B94" s="592">
        <v>4000</v>
      </c>
      <c r="C94" s="710" t="s">
        <v>2399</v>
      </c>
      <c r="D94" s="701"/>
      <c r="E94" s="588"/>
      <c r="F94" s="701"/>
    </row>
    <row r="95" spans="1:6" s="1100" customFormat="1" x14ac:dyDescent="0.2">
      <c r="A95" s="700"/>
      <c r="B95" s="592">
        <v>5000</v>
      </c>
      <c r="C95" s="710" t="s">
        <v>2405</v>
      </c>
      <c r="D95" s="701"/>
      <c r="E95" s="588"/>
      <c r="F95" s="701"/>
    </row>
    <row r="96" spans="1:6" s="1100" customFormat="1" x14ac:dyDescent="0.2">
      <c r="A96" s="700"/>
      <c r="B96" s="592">
        <v>6000</v>
      </c>
      <c r="C96" s="710" t="s">
        <v>2406</v>
      </c>
      <c r="D96" s="701"/>
      <c r="E96" s="588"/>
      <c r="F96" s="701">
        <v>30560.7</v>
      </c>
    </row>
    <row r="97" spans="1:6" s="1100" customFormat="1" x14ac:dyDescent="0.2">
      <c r="A97" s="700"/>
      <c r="B97" s="592">
        <v>7000</v>
      </c>
      <c r="C97" s="710" t="s">
        <v>2407</v>
      </c>
      <c r="D97" s="701"/>
      <c r="E97" s="588"/>
      <c r="F97" s="701"/>
    </row>
    <row r="98" spans="1:6" s="1100" customFormat="1" x14ac:dyDescent="0.2">
      <c r="A98" s="700"/>
      <c r="B98" s="592">
        <v>8000</v>
      </c>
      <c r="C98" s="710" t="s">
        <v>2398</v>
      </c>
      <c r="D98" s="701"/>
      <c r="E98" s="588"/>
      <c r="F98" s="701"/>
    </row>
    <row r="99" spans="1:6" s="1100" customFormat="1" x14ac:dyDescent="0.2">
      <c r="A99" s="700"/>
      <c r="B99" s="592">
        <v>9000</v>
      </c>
      <c r="C99" s="710" t="s">
        <v>2408</v>
      </c>
      <c r="D99" s="593"/>
      <c r="E99" s="588"/>
      <c r="F99" s="593"/>
    </row>
    <row r="100" spans="1:6" s="1100" customFormat="1" x14ac:dyDescent="0.2">
      <c r="A100" s="700"/>
      <c r="B100" s="589"/>
      <c r="C100" s="587" t="s">
        <v>2409</v>
      </c>
      <c r="D100" s="709">
        <f>SUM(D91:D99)</f>
        <v>0</v>
      </c>
      <c r="E100" s="591"/>
      <c r="F100" s="709">
        <f>SUM(F91:F99)</f>
        <v>30560.7</v>
      </c>
    </row>
    <row r="101" spans="1:6" s="1100" customFormat="1" x14ac:dyDescent="0.2">
      <c r="A101" s="700"/>
      <c r="B101" s="585"/>
      <c r="C101" s="585"/>
      <c r="D101" s="701"/>
      <c r="E101" s="588"/>
      <c r="F101" s="701"/>
    </row>
    <row r="102" spans="1:6" s="1100" customFormat="1" x14ac:dyDescent="0.2">
      <c r="A102" s="700"/>
      <c r="B102" s="589"/>
      <c r="C102" s="696" t="s">
        <v>2410</v>
      </c>
      <c r="D102" s="594">
        <f>+D75+D88-D100</f>
        <v>0</v>
      </c>
      <c r="E102" s="591"/>
      <c r="F102" s="594">
        <f>+F75+F88-F100</f>
        <v>0</v>
      </c>
    </row>
    <row r="104" spans="1:6" s="1100" customFormat="1" x14ac:dyDescent="0.2">
      <c r="A104" s="700"/>
      <c r="B104" s="1284" t="s">
        <v>2411</v>
      </c>
      <c r="C104" s="1284"/>
      <c r="D104" s="1284"/>
      <c r="E104" s="1284"/>
      <c r="F104" s="1284"/>
    </row>
    <row r="105" spans="1:6" s="1100" customFormat="1" x14ac:dyDescent="0.2">
      <c r="A105" s="700"/>
      <c r="B105" s="708"/>
      <c r="C105" s="585"/>
      <c r="D105" s="702"/>
      <c r="E105" s="586"/>
      <c r="F105" s="701"/>
    </row>
    <row r="106" spans="1:6" s="1100" customFormat="1" x14ac:dyDescent="0.2">
      <c r="A106" s="700"/>
      <c r="B106" s="708"/>
      <c r="C106" s="708" t="s">
        <v>2412</v>
      </c>
      <c r="D106" s="586"/>
      <c r="E106" s="586"/>
      <c r="F106" s="591"/>
    </row>
    <row r="107" spans="1:6" s="1100" customFormat="1" x14ac:dyDescent="0.2">
      <c r="A107" s="700"/>
      <c r="B107" s="705" t="s">
        <v>5</v>
      </c>
      <c r="C107" s="2" t="s">
        <v>6</v>
      </c>
      <c r="D107" s="701">
        <v>0</v>
      </c>
      <c r="E107" s="588"/>
      <c r="F107" s="701">
        <v>0</v>
      </c>
    </row>
    <row r="108" spans="1:6" x14ac:dyDescent="0.2">
      <c r="B108" s="705" t="s">
        <v>9</v>
      </c>
      <c r="C108" s="700" t="s">
        <v>10</v>
      </c>
      <c r="D108" s="715"/>
    </row>
    <row r="109" spans="1:6" x14ac:dyDescent="0.2">
      <c r="B109" s="705" t="s">
        <v>13</v>
      </c>
      <c r="C109" s="700" t="s">
        <v>14</v>
      </c>
    </row>
    <row r="110" spans="1:6" x14ac:dyDescent="0.2">
      <c r="B110" s="705" t="s">
        <v>27</v>
      </c>
      <c r="C110" s="2" t="s">
        <v>28</v>
      </c>
      <c r="D110" s="593"/>
      <c r="E110" s="588"/>
      <c r="F110" s="593"/>
    </row>
    <row r="111" spans="1:6" x14ac:dyDescent="0.2">
      <c r="C111" s="704" t="s">
        <v>2413</v>
      </c>
      <c r="D111" s="595">
        <f>SUM(D107:D110)</f>
        <v>0</v>
      </c>
      <c r="E111" s="595"/>
      <c r="F111" s="595">
        <f>SUM(F107:F110)</f>
        <v>0</v>
      </c>
    </row>
    <row r="112" spans="1:6" x14ac:dyDescent="0.2">
      <c r="B112" s="705"/>
      <c r="C112" s="704" t="s">
        <v>2414</v>
      </c>
    </row>
    <row r="113" spans="2:6" x14ac:dyDescent="0.2">
      <c r="B113" s="705" t="s">
        <v>7</v>
      </c>
      <c r="C113" s="2" t="s">
        <v>8</v>
      </c>
      <c r="F113" s="702"/>
    </row>
    <row r="114" spans="2:6" x14ac:dyDescent="0.2">
      <c r="B114" s="705" t="s">
        <v>11</v>
      </c>
      <c r="C114" s="2" t="s">
        <v>12</v>
      </c>
      <c r="F114" s="702"/>
    </row>
    <row r="115" spans="2:6" x14ac:dyDescent="0.2">
      <c r="B115" s="705" t="s">
        <v>15</v>
      </c>
      <c r="C115" s="2" t="s">
        <v>16</v>
      </c>
    </row>
    <row r="116" spans="2:6" x14ac:dyDescent="0.2">
      <c r="B116" s="705" t="s">
        <v>592</v>
      </c>
      <c r="C116" s="2" t="s">
        <v>23</v>
      </c>
    </row>
    <row r="117" spans="2:6" ht="25.5" x14ac:dyDescent="0.2">
      <c r="B117" s="707" t="s">
        <v>595</v>
      </c>
      <c r="C117" s="706" t="s">
        <v>2415</v>
      </c>
    </row>
    <row r="118" spans="2:6" x14ac:dyDescent="0.2">
      <c r="B118" s="705" t="s">
        <v>598</v>
      </c>
      <c r="C118" s="2" t="s">
        <v>2416</v>
      </c>
    </row>
    <row r="119" spans="2:6" x14ac:dyDescent="0.2">
      <c r="B119" s="705" t="s">
        <v>600</v>
      </c>
      <c r="C119" s="2" t="s">
        <v>2417</v>
      </c>
      <c r="D119" s="593"/>
      <c r="E119" s="588"/>
      <c r="F119" s="593"/>
    </row>
    <row r="120" spans="2:6" x14ac:dyDescent="0.2">
      <c r="C120" s="704" t="s">
        <v>2418</v>
      </c>
      <c r="D120" s="591">
        <f>SUM(D113:D119)</f>
        <v>0</v>
      </c>
      <c r="E120" s="591"/>
      <c r="F120" s="591">
        <f>SUM(F113:F119)</f>
        <v>0</v>
      </c>
    </row>
    <row r="122" spans="2:6" x14ac:dyDescent="0.2">
      <c r="C122" s="703" t="s">
        <v>2419</v>
      </c>
      <c r="D122" s="594">
        <f>+D111-D120</f>
        <v>0</v>
      </c>
      <c r="E122" s="591"/>
      <c r="F122" s="594">
        <f>+F111-F120</f>
        <v>0</v>
      </c>
    </row>
    <row r="125" spans="2:6" x14ac:dyDescent="0.2">
      <c r="D125" s="700"/>
      <c r="E125" s="585"/>
      <c r="F125" s="700"/>
    </row>
    <row r="126" spans="2:6" x14ac:dyDescent="0.2">
      <c r="D126" s="700"/>
      <c r="E126" s="585"/>
      <c r="F126" s="700"/>
    </row>
    <row r="127" spans="2:6" x14ac:dyDescent="0.2">
      <c r="D127" s="700"/>
      <c r="E127" s="585"/>
      <c r="F127" s="700"/>
    </row>
    <row r="132" spans="1:6" x14ac:dyDescent="0.2">
      <c r="A132" s="1285" t="s">
        <v>7476</v>
      </c>
      <c r="B132" s="1285"/>
      <c r="C132" s="1285"/>
      <c r="D132" s="1285"/>
      <c r="E132" s="1285"/>
      <c r="F132" s="1285"/>
    </row>
    <row r="133" spans="1:6" x14ac:dyDescent="0.2">
      <c r="A133" s="1285" t="s">
        <v>7478</v>
      </c>
      <c r="B133" s="1285"/>
      <c r="C133" s="1285"/>
      <c r="D133" s="1285"/>
      <c r="E133" s="1285"/>
      <c r="F133" s="1285"/>
    </row>
    <row r="134" spans="1:6" x14ac:dyDescent="0.2">
      <c r="A134" s="1285" t="s">
        <v>7480</v>
      </c>
      <c r="B134" s="1285"/>
      <c r="C134" s="1285"/>
      <c r="D134" s="1285"/>
      <c r="E134" s="1285"/>
      <c r="F134" s="1285"/>
    </row>
    <row r="135" spans="1:6" x14ac:dyDescent="0.2">
      <c r="A135" s="1285" t="s">
        <v>8963</v>
      </c>
      <c r="B135" s="1285"/>
      <c r="C135" s="1285"/>
      <c r="D135" s="1285"/>
      <c r="E135" s="1285"/>
      <c r="F135" s="1285"/>
    </row>
    <row r="136" spans="1:6" x14ac:dyDescent="0.2">
      <c r="D136" s="701"/>
      <c r="E136" s="588"/>
      <c r="F136" s="714"/>
    </row>
    <row r="137" spans="1:6" x14ac:dyDescent="0.2">
      <c r="D137" s="701"/>
      <c r="E137" s="588"/>
      <c r="F137" s="714"/>
    </row>
    <row r="138" spans="1:6" x14ac:dyDescent="0.2">
      <c r="C138" s="708"/>
      <c r="D138" s="713" t="s">
        <v>2392</v>
      </c>
      <c r="E138" s="590"/>
      <c r="F138" s="713" t="s">
        <v>2393</v>
      </c>
    </row>
    <row r="139" spans="1:6" x14ac:dyDescent="0.2">
      <c r="B139" s="712"/>
      <c r="C139" s="2"/>
      <c r="D139" s="701"/>
      <c r="E139" s="588"/>
    </row>
    <row r="140" spans="1:6" x14ac:dyDescent="0.2">
      <c r="C140" s="711" t="s">
        <v>2394</v>
      </c>
      <c r="D140" s="594">
        <v>0</v>
      </c>
      <c r="E140" s="591"/>
      <c r="F140" s="594">
        <v>68640.41</v>
      </c>
    </row>
    <row r="141" spans="1:6" x14ac:dyDescent="0.2">
      <c r="C141" s="711"/>
      <c r="D141" s="709"/>
      <c r="E141" s="591"/>
      <c r="F141" s="709"/>
    </row>
    <row r="142" spans="1:6" x14ac:dyDescent="0.2">
      <c r="B142" s="1286" t="s">
        <v>2395</v>
      </c>
      <c r="C142" s="1286"/>
      <c r="D142" s="588"/>
      <c r="E142" s="588"/>
      <c r="F142" s="588"/>
    </row>
    <row r="143" spans="1:6" x14ac:dyDescent="0.2">
      <c r="B143" s="592">
        <v>1</v>
      </c>
      <c r="C143" s="710" t="s">
        <v>107</v>
      </c>
      <c r="D143" s="701"/>
      <c r="E143" s="701"/>
    </row>
    <row r="144" spans="1:6" x14ac:dyDescent="0.2">
      <c r="B144" s="592">
        <v>2</v>
      </c>
      <c r="C144" s="710" t="s">
        <v>109</v>
      </c>
      <c r="D144" s="701"/>
      <c r="E144" s="701"/>
    </row>
    <row r="145" spans="1:6" x14ac:dyDescent="0.2">
      <c r="B145" s="592">
        <v>3</v>
      </c>
      <c r="C145" s="710" t="s">
        <v>2396</v>
      </c>
      <c r="D145" s="701"/>
      <c r="E145" s="701"/>
    </row>
    <row r="146" spans="1:6" x14ac:dyDescent="0.2">
      <c r="B146" s="592">
        <v>4</v>
      </c>
      <c r="C146" s="710" t="s">
        <v>113</v>
      </c>
      <c r="D146" s="701"/>
      <c r="E146" s="701"/>
    </row>
    <row r="147" spans="1:6" x14ac:dyDescent="0.2">
      <c r="B147" s="592">
        <v>5</v>
      </c>
      <c r="C147" s="710" t="s">
        <v>228</v>
      </c>
      <c r="D147" s="701"/>
      <c r="E147" s="701"/>
      <c r="F147" s="701">
        <v>-92.39</v>
      </c>
    </row>
    <row r="148" spans="1:6" x14ac:dyDescent="0.2">
      <c r="B148" s="592">
        <v>6</v>
      </c>
      <c r="C148" s="710" t="s">
        <v>231</v>
      </c>
      <c r="D148" s="701"/>
      <c r="E148" s="701"/>
    </row>
    <row r="149" spans="1:6" x14ac:dyDescent="0.2">
      <c r="B149" s="592">
        <v>7</v>
      </c>
      <c r="C149" s="710" t="s">
        <v>2397</v>
      </c>
      <c r="D149" s="701"/>
      <c r="E149" s="701"/>
    </row>
    <row r="150" spans="1:6" x14ac:dyDescent="0.2">
      <c r="B150" s="592">
        <v>8</v>
      </c>
      <c r="C150" s="710" t="s">
        <v>2398</v>
      </c>
      <c r="D150" s="701"/>
      <c r="E150" s="701"/>
    </row>
    <row r="151" spans="1:6" x14ac:dyDescent="0.2">
      <c r="B151" s="592">
        <v>9</v>
      </c>
      <c r="C151" s="710" t="s">
        <v>2399</v>
      </c>
      <c r="D151" s="701"/>
      <c r="E151" s="701"/>
    </row>
    <row r="152" spans="1:6" x14ac:dyDescent="0.2">
      <c r="B152" s="592">
        <v>0</v>
      </c>
      <c r="C152" s="710" t="s">
        <v>500</v>
      </c>
      <c r="D152" s="593"/>
      <c r="E152" s="701"/>
      <c r="F152" s="593"/>
    </row>
    <row r="153" spans="1:6" x14ac:dyDescent="0.2">
      <c r="B153" s="585"/>
      <c r="C153" s="587" t="s">
        <v>2400</v>
      </c>
      <c r="D153" s="709">
        <f>SUM(D143:D152)</f>
        <v>0</v>
      </c>
      <c r="E153" s="591"/>
      <c r="F153" s="709">
        <f>SUM(F143:F152)</f>
        <v>-92.39</v>
      </c>
    </row>
    <row r="154" spans="1:6" x14ac:dyDescent="0.2">
      <c r="B154" s="585"/>
      <c r="C154" s="585"/>
      <c r="D154" s="701"/>
      <c r="E154" s="588"/>
    </row>
    <row r="155" spans="1:6" x14ac:dyDescent="0.2">
      <c r="B155" s="1283" t="s">
        <v>2401</v>
      </c>
      <c r="C155" s="1283"/>
      <c r="D155" s="709"/>
      <c r="E155" s="591"/>
      <c r="F155" s="709"/>
    </row>
    <row r="156" spans="1:6" x14ac:dyDescent="0.2">
      <c r="B156" s="592">
        <v>1000</v>
      </c>
      <c r="C156" s="710" t="s">
        <v>2402</v>
      </c>
      <c r="D156" s="701"/>
      <c r="E156" s="588"/>
    </row>
    <row r="157" spans="1:6" s="1100" customFormat="1" x14ac:dyDescent="0.2">
      <c r="A157" s="700"/>
      <c r="B157" s="592">
        <v>2000</v>
      </c>
      <c r="C157" s="710" t="s">
        <v>2403</v>
      </c>
      <c r="D157" s="701"/>
      <c r="E157" s="588"/>
      <c r="F157" s="701"/>
    </row>
    <row r="158" spans="1:6" s="1100" customFormat="1" x14ac:dyDescent="0.2">
      <c r="A158" s="700"/>
      <c r="B158" s="592">
        <v>3000</v>
      </c>
      <c r="C158" s="710" t="s">
        <v>2404</v>
      </c>
      <c r="D158" s="701"/>
      <c r="E158" s="588"/>
      <c r="F158" s="701">
        <v>109.81</v>
      </c>
    </row>
    <row r="159" spans="1:6" s="1100" customFormat="1" x14ac:dyDescent="0.2">
      <c r="A159" s="700"/>
      <c r="B159" s="592">
        <v>4000</v>
      </c>
      <c r="C159" s="710" t="s">
        <v>2399</v>
      </c>
      <c r="D159" s="701"/>
      <c r="E159" s="588"/>
      <c r="F159" s="701"/>
    </row>
    <row r="160" spans="1:6" s="1100" customFormat="1" x14ac:dyDescent="0.2">
      <c r="A160" s="700"/>
      <c r="B160" s="592">
        <v>5000</v>
      </c>
      <c r="C160" s="710" t="s">
        <v>2405</v>
      </c>
      <c r="D160" s="701"/>
      <c r="E160" s="588"/>
      <c r="F160" s="701"/>
    </row>
    <row r="161" spans="1:6" s="1100" customFormat="1" x14ac:dyDescent="0.2">
      <c r="A161" s="700"/>
      <c r="B161" s="592">
        <v>6000</v>
      </c>
      <c r="C161" s="710" t="s">
        <v>2406</v>
      </c>
      <c r="D161" s="701"/>
      <c r="E161" s="588"/>
      <c r="F161" s="701">
        <v>68438.210000000006</v>
      </c>
    </row>
    <row r="162" spans="1:6" s="1100" customFormat="1" x14ac:dyDescent="0.2">
      <c r="A162" s="700"/>
      <c r="B162" s="592">
        <v>7000</v>
      </c>
      <c r="C162" s="710" t="s">
        <v>2407</v>
      </c>
      <c r="D162" s="701"/>
      <c r="E162" s="588"/>
      <c r="F162" s="701"/>
    </row>
    <row r="163" spans="1:6" s="1100" customFormat="1" x14ac:dyDescent="0.2">
      <c r="A163" s="700"/>
      <c r="B163" s="592">
        <v>8000</v>
      </c>
      <c r="C163" s="710" t="s">
        <v>2398</v>
      </c>
      <c r="D163" s="701"/>
      <c r="E163" s="588"/>
      <c r="F163" s="701"/>
    </row>
    <row r="164" spans="1:6" s="1100" customFormat="1" x14ac:dyDescent="0.2">
      <c r="A164" s="700"/>
      <c r="B164" s="592">
        <v>9000</v>
      </c>
      <c r="C164" s="710" t="s">
        <v>2408</v>
      </c>
      <c r="D164" s="593"/>
      <c r="E164" s="588"/>
      <c r="F164" s="593"/>
    </row>
    <row r="165" spans="1:6" s="1100" customFormat="1" x14ac:dyDescent="0.2">
      <c r="A165" s="700"/>
      <c r="B165" s="589"/>
      <c r="C165" s="587" t="s">
        <v>2409</v>
      </c>
      <c r="D165" s="709">
        <f>SUM(D156:D164)</f>
        <v>0</v>
      </c>
      <c r="E165" s="591"/>
      <c r="F165" s="709">
        <f>SUM(F156:F164)</f>
        <v>68548.02</v>
      </c>
    </row>
    <row r="166" spans="1:6" s="1100" customFormat="1" x14ac:dyDescent="0.2">
      <c r="A166" s="700"/>
      <c r="B166" s="585"/>
      <c r="C166" s="585"/>
      <c r="D166" s="701"/>
      <c r="E166" s="588"/>
      <c r="F166" s="701"/>
    </row>
    <row r="167" spans="1:6" s="1100" customFormat="1" x14ac:dyDescent="0.2">
      <c r="A167" s="700"/>
      <c r="B167" s="589"/>
      <c r="C167" s="696" t="s">
        <v>2410</v>
      </c>
      <c r="D167" s="594">
        <f>+D140+D153-D165</f>
        <v>0</v>
      </c>
      <c r="E167" s="591"/>
      <c r="F167" s="594">
        <f>+F140+F153-F165</f>
        <v>0</v>
      </c>
    </row>
    <row r="169" spans="1:6" s="1100" customFormat="1" x14ac:dyDescent="0.2">
      <c r="A169" s="700"/>
      <c r="B169" s="1284" t="s">
        <v>2411</v>
      </c>
      <c r="C169" s="1284"/>
      <c r="D169" s="1284"/>
      <c r="E169" s="1284"/>
      <c r="F169" s="1284"/>
    </row>
    <row r="170" spans="1:6" s="1100" customFormat="1" x14ac:dyDescent="0.2">
      <c r="A170" s="700"/>
      <c r="B170" s="708"/>
      <c r="C170" s="585"/>
      <c r="D170" s="702"/>
      <c r="E170" s="586"/>
      <c r="F170" s="701"/>
    </row>
    <row r="171" spans="1:6" s="1100" customFormat="1" x14ac:dyDescent="0.2">
      <c r="A171" s="700"/>
      <c r="B171" s="708"/>
      <c r="C171" s="708" t="s">
        <v>2412</v>
      </c>
      <c r="D171" s="586"/>
      <c r="E171" s="586"/>
      <c r="F171" s="591"/>
    </row>
    <row r="172" spans="1:6" s="1100" customFormat="1" x14ac:dyDescent="0.2">
      <c r="A172" s="700"/>
      <c r="B172" s="705" t="s">
        <v>5</v>
      </c>
      <c r="C172" s="2" t="s">
        <v>6</v>
      </c>
      <c r="D172" s="701">
        <v>0</v>
      </c>
      <c r="E172" s="588"/>
      <c r="F172" s="701">
        <v>0</v>
      </c>
    </row>
    <row r="173" spans="1:6" x14ac:dyDescent="0.2">
      <c r="B173" s="705" t="s">
        <v>9</v>
      </c>
      <c r="C173" s="700" t="s">
        <v>10</v>
      </c>
      <c r="D173" s="715"/>
    </row>
    <row r="174" spans="1:6" x14ac:dyDescent="0.2">
      <c r="B174" s="705" t="s">
        <v>13</v>
      </c>
      <c r="C174" s="700" t="s">
        <v>14</v>
      </c>
      <c r="D174" s="701"/>
    </row>
    <row r="175" spans="1:6" x14ac:dyDescent="0.2">
      <c r="B175" s="705" t="s">
        <v>27</v>
      </c>
      <c r="C175" s="2" t="s">
        <v>28</v>
      </c>
      <c r="D175" s="593"/>
      <c r="E175" s="588"/>
      <c r="F175" s="593"/>
    </row>
    <row r="176" spans="1:6" x14ac:dyDescent="0.2">
      <c r="C176" s="704" t="s">
        <v>2413</v>
      </c>
      <c r="D176" s="595">
        <f>SUM(D172:D175)</f>
        <v>0</v>
      </c>
      <c r="E176" s="595"/>
      <c r="F176" s="595">
        <f>SUM(F172:F175)</f>
        <v>0</v>
      </c>
    </row>
    <row r="177" spans="2:6" x14ac:dyDescent="0.2">
      <c r="B177" s="705"/>
      <c r="C177" s="704" t="s">
        <v>2414</v>
      </c>
    </row>
    <row r="178" spans="2:6" x14ac:dyDescent="0.2">
      <c r="B178" s="705" t="s">
        <v>7</v>
      </c>
      <c r="C178" s="2" t="s">
        <v>8</v>
      </c>
      <c r="F178" s="702"/>
    </row>
    <row r="179" spans="2:6" x14ac:dyDescent="0.2">
      <c r="B179" s="705" t="s">
        <v>11</v>
      </c>
      <c r="C179" s="2" t="s">
        <v>12</v>
      </c>
      <c r="F179" s="702"/>
    </row>
    <row r="180" spans="2:6" x14ac:dyDescent="0.2">
      <c r="B180" s="705" t="s">
        <v>15</v>
      </c>
      <c r="C180" s="2" t="s">
        <v>16</v>
      </c>
    </row>
    <row r="181" spans="2:6" x14ac:dyDescent="0.2">
      <c r="B181" s="705" t="s">
        <v>592</v>
      </c>
      <c r="C181" s="2" t="s">
        <v>23</v>
      </c>
    </row>
    <row r="182" spans="2:6" ht="25.5" x14ac:dyDescent="0.2">
      <c r="B182" s="707" t="s">
        <v>595</v>
      </c>
      <c r="C182" s="706" t="s">
        <v>2415</v>
      </c>
    </row>
    <row r="183" spans="2:6" x14ac:dyDescent="0.2">
      <c r="B183" s="705" t="s">
        <v>598</v>
      </c>
      <c r="C183" s="2" t="s">
        <v>2416</v>
      </c>
    </row>
    <row r="184" spans="2:6" x14ac:dyDescent="0.2">
      <c r="B184" s="705" t="s">
        <v>600</v>
      </c>
      <c r="C184" s="2" t="s">
        <v>2417</v>
      </c>
      <c r="D184" s="593"/>
      <c r="E184" s="588"/>
      <c r="F184" s="593"/>
    </row>
    <row r="185" spans="2:6" x14ac:dyDescent="0.2">
      <c r="C185" s="704" t="s">
        <v>2418</v>
      </c>
      <c r="D185" s="591">
        <f>SUM(D178:D184)</f>
        <v>0</v>
      </c>
      <c r="E185" s="591"/>
      <c r="F185" s="591">
        <f>SUM(F178:F184)</f>
        <v>0</v>
      </c>
    </row>
    <row r="187" spans="2:6" x14ac:dyDescent="0.2">
      <c r="C187" s="703" t="s">
        <v>2419</v>
      </c>
      <c r="D187" s="594">
        <f>+D176-D185</f>
        <v>0</v>
      </c>
      <c r="E187" s="591"/>
      <c r="F187" s="594">
        <f>+F176-F185</f>
        <v>0</v>
      </c>
    </row>
    <row r="190" spans="2:6" x14ac:dyDescent="0.2">
      <c r="D190" s="700"/>
      <c r="E190" s="585"/>
      <c r="F190" s="700"/>
    </row>
    <row r="191" spans="2:6" x14ac:dyDescent="0.2">
      <c r="D191" s="700"/>
      <c r="E191" s="585"/>
      <c r="F191" s="700"/>
    </row>
    <row r="192" spans="2:6" x14ac:dyDescent="0.2">
      <c r="D192" s="700"/>
      <c r="E192" s="585"/>
      <c r="F192" s="700"/>
    </row>
    <row r="197" spans="1:6" x14ac:dyDescent="0.2">
      <c r="A197" s="1285" t="s">
        <v>7476</v>
      </c>
      <c r="B197" s="1285"/>
      <c r="C197" s="1285"/>
      <c r="D197" s="1285"/>
      <c r="E197" s="1285"/>
      <c r="F197" s="1285"/>
    </row>
    <row r="198" spans="1:6" x14ac:dyDescent="0.2">
      <c r="A198" s="1285" t="s">
        <v>7478</v>
      </c>
      <c r="B198" s="1285"/>
      <c r="C198" s="1285"/>
      <c r="D198" s="1285"/>
      <c r="E198" s="1285"/>
      <c r="F198" s="1285"/>
    </row>
    <row r="199" spans="1:6" x14ac:dyDescent="0.2">
      <c r="A199" s="1285" t="s">
        <v>7479</v>
      </c>
      <c r="B199" s="1285"/>
      <c r="C199" s="1285"/>
      <c r="D199" s="1285"/>
      <c r="E199" s="1285"/>
      <c r="F199" s="1285"/>
    </row>
    <row r="200" spans="1:6" x14ac:dyDescent="0.2">
      <c r="A200" s="1285" t="s">
        <v>8946</v>
      </c>
      <c r="B200" s="1285"/>
      <c r="C200" s="1285"/>
      <c r="D200" s="1285"/>
      <c r="E200" s="1285"/>
      <c r="F200" s="1285"/>
    </row>
    <row r="201" spans="1:6" x14ac:dyDescent="0.2">
      <c r="D201" s="701"/>
      <c r="E201" s="588"/>
      <c r="F201" s="714"/>
    </row>
    <row r="202" spans="1:6" x14ac:dyDescent="0.2">
      <c r="D202" s="701"/>
      <c r="E202" s="588"/>
      <c r="F202" s="714"/>
    </row>
    <row r="203" spans="1:6" x14ac:dyDescent="0.2">
      <c r="C203" s="708"/>
      <c r="D203" s="713" t="s">
        <v>2392</v>
      </c>
      <c r="E203" s="590"/>
      <c r="F203" s="713" t="s">
        <v>2393</v>
      </c>
    </row>
    <row r="204" spans="1:6" x14ac:dyDescent="0.2">
      <c r="B204" s="712"/>
      <c r="C204" s="2"/>
      <c r="D204" s="701"/>
      <c r="E204" s="588"/>
    </row>
    <row r="205" spans="1:6" x14ac:dyDescent="0.2">
      <c r="C205" s="711" t="s">
        <v>2394</v>
      </c>
      <c r="D205" s="594">
        <v>0</v>
      </c>
      <c r="E205" s="591"/>
      <c r="F205" s="594">
        <v>1399868.2999999998</v>
      </c>
    </row>
    <row r="206" spans="1:6" x14ac:dyDescent="0.2">
      <c r="C206" s="711"/>
      <c r="D206" s="709"/>
      <c r="E206" s="591"/>
      <c r="F206" s="709"/>
    </row>
    <row r="207" spans="1:6" x14ac:dyDescent="0.2">
      <c r="B207" s="1286" t="s">
        <v>2395</v>
      </c>
      <c r="C207" s="1286"/>
      <c r="D207" s="588"/>
      <c r="E207" s="588"/>
      <c r="F207" s="588"/>
    </row>
    <row r="208" spans="1:6" x14ac:dyDescent="0.2">
      <c r="B208" s="592">
        <v>1</v>
      </c>
      <c r="C208" s="710" t="s">
        <v>107</v>
      </c>
      <c r="D208" s="588"/>
      <c r="E208" s="588"/>
      <c r="F208" s="588"/>
    </row>
    <row r="209" spans="2:6" x14ac:dyDescent="0.2">
      <c r="B209" s="592">
        <v>2</v>
      </c>
      <c r="C209" s="710" t="s">
        <v>109</v>
      </c>
      <c r="D209" s="588"/>
      <c r="E209" s="588"/>
      <c r="F209" s="588"/>
    </row>
    <row r="210" spans="2:6" x14ac:dyDescent="0.2">
      <c r="B210" s="592">
        <v>3</v>
      </c>
      <c r="C210" s="710" t="s">
        <v>2396</v>
      </c>
      <c r="D210" s="588"/>
      <c r="E210" s="588"/>
      <c r="F210" s="588"/>
    </row>
    <row r="211" spans="2:6" x14ac:dyDescent="0.2">
      <c r="B211" s="592">
        <v>4</v>
      </c>
      <c r="C211" s="710" t="s">
        <v>113</v>
      </c>
      <c r="D211" s="588"/>
      <c r="E211" s="588"/>
      <c r="F211" s="588"/>
    </row>
    <row r="212" spans="2:6" x14ac:dyDescent="0.2">
      <c r="B212" s="592">
        <v>5</v>
      </c>
      <c r="C212" s="710" t="s">
        <v>228</v>
      </c>
      <c r="D212" s="588"/>
      <c r="E212" s="588"/>
      <c r="F212" s="588">
        <v>10682.92</v>
      </c>
    </row>
    <row r="213" spans="2:6" x14ac:dyDescent="0.2">
      <c r="B213" s="592">
        <v>6</v>
      </c>
      <c r="C213" s="710" t="s">
        <v>231</v>
      </c>
      <c r="D213" s="588"/>
      <c r="E213" s="588"/>
      <c r="F213" s="588"/>
    </row>
    <row r="214" spans="2:6" x14ac:dyDescent="0.2">
      <c r="B214" s="592">
        <v>7</v>
      </c>
      <c r="C214" s="710" t="s">
        <v>2397</v>
      </c>
      <c r="D214" s="350"/>
      <c r="E214" s="350"/>
      <c r="F214" s="350"/>
    </row>
    <row r="215" spans="2:6" x14ac:dyDescent="0.2">
      <c r="B215" s="592">
        <v>8</v>
      </c>
      <c r="C215" s="710" t="s">
        <v>2398</v>
      </c>
      <c r="D215" s="588"/>
      <c r="E215" s="588"/>
      <c r="F215" s="588"/>
    </row>
    <row r="216" spans="2:6" x14ac:dyDescent="0.2">
      <c r="B216" s="592">
        <v>9</v>
      </c>
      <c r="C216" s="710" t="s">
        <v>2399</v>
      </c>
      <c r="D216" s="588"/>
      <c r="E216" s="588"/>
      <c r="F216" s="588"/>
    </row>
    <row r="217" spans="2:6" x14ac:dyDescent="0.2">
      <c r="B217" s="592">
        <v>0</v>
      </c>
      <c r="C217" s="710" t="s">
        <v>500</v>
      </c>
      <c r="D217" s="593"/>
      <c r="E217" s="588"/>
      <c r="F217" s="593"/>
    </row>
    <row r="218" spans="2:6" x14ac:dyDescent="0.2">
      <c r="B218" s="585"/>
      <c r="C218" s="587" t="s">
        <v>2400</v>
      </c>
      <c r="D218" s="709">
        <f>SUM(D208:D217)</f>
        <v>0</v>
      </c>
      <c r="E218" s="591"/>
      <c r="F218" s="709">
        <f>SUM(F208:F217)</f>
        <v>10682.92</v>
      </c>
    </row>
    <row r="219" spans="2:6" x14ac:dyDescent="0.2">
      <c r="B219" s="585"/>
      <c r="C219" s="585"/>
      <c r="D219" s="701"/>
      <c r="E219" s="588"/>
    </row>
    <row r="220" spans="2:6" x14ac:dyDescent="0.2">
      <c r="B220" s="1283" t="s">
        <v>2401</v>
      </c>
      <c r="C220" s="1283"/>
      <c r="D220" s="709"/>
      <c r="E220" s="591"/>
      <c r="F220" s="709"/>
    </row>
    <row r="221" spans="2:6" x14ac:dyDescent="0.2">
      <c r="B221" s="592">
        <v>1000</v>
      </c>
      <c r="C221" s="710" t="s">
        <v>2402</v>
      </c>
      <c r="D221" s="701"/>
      <c r="E221" s="588"/>
    </row>
    <row r="222" spans="2:6" x14ac:dyDescent="0.2">
      <c r="B222" s="592">
        <v>2000</v>
      </c>
      <c r="C222" s="710" t="s">
        <v>2403</v>
      </c>
      <c r="D222" s="701"/>
      <c r="E222" s="588"/>
    </row>
    <row r="223" spans="2:6" x14ac:dyDescent="0.2">
      <c r="B223" s="592">
        <v>3000</v>
      </c>
      <c r="C223" s="710" t="s">
        <v>2404</v>
      </c>
      <c r="D223" s="701"/>
      <c r="E223" s="588"/>
    </row>
    <row r="224" spans="2:6" x14ac:dyDescent="0.2">
      <c r="B224" s="592">
        <v>4000</v>
      </c>
      <c r="C224" s="710" t="s">
        <v>2399</v>
      </c>
      <c r="D224" s="701"/>
      <c r="E224" s="588"/>
      <c r="F224" s="701">
        <v>1410551.22</v>
      </c>
    </row>
    <row r="225" spans="2:6" x14ac:dyDescent="0.2">
      <c r="B225" s="592">
        <v>5000</v>
      </c>
      <c r="C225" s="710" t="s">
        <v>2405</v>
      </c>
      <c r="D225" s="701"/>
      <c r="E225" s="588"/>
    </row>
    <row r="226" spans="2:6" x14ac:dyDescent="0.2">
      <c r="B226" s="592">
        <v>6000</v>
      </c>
      <c r="C226" s="710" t="s">
        <v>2406</v>
      </c>
      <c r="D226" s="701"/>
      <c r="E226" s="588"/>
    </row>
    <row r="227" spans="2:6" x14ac:dyDescent="0.2">
      <c r="B227" s="592">
        <v>7000</v>
      </c>
      <c r="C227" s="710" t="s">
        <v>2407</v>
      </c>
      <c r="D227" s="701"/>
      <c r="E227" s="588"/>
    </row>
    <row r="228" spans="2:6" x14ac:dyDescent="0.2">
      <c r="B228" s="592">
        <v>8000</v>
      </c>
      <c r="C228" s="710" t="s">
        <v>2398</v>
      </c>
      <c r="D228" s="701"/>
      <c r="E228" s="588"/>
    </row>
    <row r="229" spans="2:6" x14ac:dyDescent="0.2">
      <c r="B229" s="592">
        <v>9000</v>
      </c>
      <c r="C229" s="710" t="s">
        <v>2408</v>
      </c>
      <c r="D229" s="593"/>
      <c r="E229" s="588"/>
      <c r="F229" s="593"/>
    </row>
    <row r="230" spans="2:6" x14ac:dyDescent="0.2">
      <c r="B230" s="589"/>
      <c r="C230" s="587" t="s">
        <v>2409</v>
      </c>
      <c r="D230" s="709">
        <f>SUM(D221:D229)</f>
        <v>0</v>
      </c>
      <c r="E230" s="591"/>
      <c r="F230" s="709">
        <f>SUM(F221:F229)</f>
        <v>1410551.22</v>
      </c>
    </row>
    <row r="231" spans="2:6" x14ac:dyDescent="0.2">
      <c r="B231" s="585"/>
      <c r="C231" s="585"/>
      <c r="D231" s="701"/>
      <c r="E231" s="588"/>
    </row>
    <row r="232" spans="2:6" x14ac:dyDescent="0.2">
      <c r="B232" s="589"/>
      <c r="C232" s="696" t="s">
        <v>2410</v>
      </c>
      <c r="D232" s="594">
        <f>+D205+D218-D230</f>
        <v>0</v>
      </c>
      <c r="E232" s="591"/>
      <c r="F232" s="594">
        <f>+F205+F218-F230</f>
        <v>0</v>
      </c>
    </row>
    <row r="234" spans="2:6" x14ac:dyDescent="0.2">
      <c r="B234" s="1284" t="s">
        <v>2411</v>
      </c>
      <c r="C234" s="1284"/>
      <c r="D234" s="1284"/>
      <c r="E234" s="1284"/>
      <c r="F234" s="1284"/>
    </row>
    <row r="235" spans="2:6" x14ac:dyDescent="0.2">
      <c r="B235" s="708"/>
      <c r="C235" s="585"/>
    </row>
    <row r="236" spans="2:6" x14ac:dyDescent="0.2">
      <c r="B236" s="708"/>
      <c r="C236" s="708" t="s">
        <v>2412</v>
      </c>
      <c r="D236" s="586"/>
      <c r="F236" s="591"/>
    </row>
    <row r="237" spans="2:6" x14ac:dyDescent="0.2">
      <c r="B237" s="705" t="s">
        <v>5</v>
      </c>
      <c r="C237" s="2" t="s">
        <v>6</v>
      </c>
      <c r="D237" s="701">
        <v>0</v>
      </c>
      <c r="E237" s="588"/>
      <c r="F237" s="701">
        <v>0</v>
      </c>
    </row>
    <row r="238" spans="2:6" x14ac:dyDescent="0.2">
      <c r="B238" s="705" t="s">
        <v>9</v>
      </c>
      <c r="C238" s="700" t="s">
        <v>10</v>
      </c>
      <c r="D238" s="715"/>
    </row>
    <row r="239" spans="2:6" x14ac:dyDescent="0.2">
      <c r="B239" s="705" t="s">
        <v>13</v>
      </c>
      <c r="C239" s="700" t="s">
        <v>14</v>
      </c>
      <c r="D239" s="701"/>
    </row>
    <row r="240" spans="2:6" x14ac:dyDescent="0.2">
      <c r="B240" s="705" t="s">
        <v>27</v>
      </c>
      <c r="C240" s="2" t="s">
        <v>28</v>
      </c>
      <c r="D240" s="593"/>
      <c r="E240" s="588"/>
      <c r="F240" s="593"/>
    </row>
    <row r="241" spans="2:6" x14ac:dyDescent="0.2">
      <c r="C241" s="704" t="s">
        <v>2413</v>
      </c>
      <c r="D241" s="595">
        <f>SUM(D237:D240)</f>
        <v>0</v>
      </c>
      <c r="E241" s="595"/>
      <c r="F241" s="595">
        <f>SUM(F237:F240)</f>
        <v>0</v>
      </c>
    </row>
    <row r="242" spans="2:6" x14ac:dyDescent="0.2">
      <c r="B242" s="705"/>
      <c r="C242" s="704" t="s">
        <v>2414</v>
      </c>
    </row>
    <row r="243" spans="2:6" x14ac:dyDescent="0.2">
      <c r="B243" s="705" t="s">
        <v>7</v>
      </c>
      <c r="C243" s="2" t="s">
        <v>8</v>
      </c>
      <c r="F243" s="702"/>
    </row>
    <row r="244" spans="2:6" x14ac:dyDescent="0.2">
      <c r="B244" s="705" t="s">
        <v>11</v>
      </c>
      <c r="C244" s="2" t="s">
        <v>12</v>
      </c>
      <c r="F244" s="702"/>
    </row>
    <row r="245" spans="2:6" x14ac:dyDescent="0.2">
      <c r="B245" s="705" t="s">
        <v>15</v>
      </c>
      <c r="C245" s="2" t="s">
        <v>16</v>
      </c>
    </row>
    <row r="246" spans="2:6" x14ac:dyDescent="0.2">
      <c r="B246" s="705" t="s">
        <v>592</v>
      </c>
      <c r="C246" s="2" t="s">
        <v>23</v>
      </c>
    </row>
    <row r="247" spans="2:6" ht="25.5" x14ac:dyDescent="0.2">
      <c r="B247" s="707" t="s">
        <v>595</v>
      </c>
      <c r="C247" s="706" t="s">
        <v>2415</v>
      </c>
    </row>
    <row r="248" spans="2:6" x14ac:dyDescent="0.2">
      <c r="B248" s="705" t="s">
        <v>598</v>
      </c>
      <c r="C248" s="2" t="s">
        <v>2416</v>
      </c>
    </row>
    <row r="249" spans="2:6" x14ac:dyDescent="0.2">
      <c r="B249" s="705" t="s">
        <v>600</v>
      </c>
      <c r="C249" s="2" t="s">
        <v>2417</v>
      </c>
      <c r="D249" s="593"/>
      <c r="E249" s="588"/>
      <c r="F249" s="593"/>
    </row>
    <row r="250" spans="2:6" x14ac:dyDescent="0.2">
      <c r="C250" s="704" t="s">
        <v>2418</v>
      </c>
      <c r="D250" s="591">
        <f>SUM(D243:D249)</f>
        <v>0</v>
      </c>
      <c r="E250" s="591"/>
      <c r="F250" s="591">
        <f>SUM(F243:F249)</f>
        <v>0</v>
      </c>
    </row>
    <row r="252" spans="2:6" x14ac:dyDescent="0.2">
      <c r="C252" s="703" t="s">
        <v>2419</v>
      </c>
      <c r="D252" s="594">
        <f>+D241-D250</f>
        <v>0</v>
      </c>
      <c r="E252" s="591"/>
      <c r="F252" s="594">
        <f>+F241-F250</f>
        <v>0</v>
      </c>
    </row>
    <row r="255" spans="2:6" x14ac:dyDescent="0.2">
      <c r="D255" s="700"/>
      <c r="E255" s="585"/>
      <c r="F255" s="700"/>
    </row>
    <row r="256" spans="2:6" x14ac:dyDescent="0.2">
      <c r="D256" s="700"/>
      <c r="E256" s="585"/>
      <c r="F256" s="700"/>
    </row>
    <row r="257" spans="1:6" x14ac:dyDescent="0.2">
      <c r="D257" s="700"/>
      <c r="E257" s="585"/>
      <c r="F257" s="700"/>
    </row>
    <row r="262" spans="1:6" x14ac:dyDescent="0.2">
      <c r="A262" s="1285" t="s">
        <v>7476</v>
      </c>
      <c r="B262" s="1285"/>
      <c r="C262" s="1285"/>
      <c r="D262" s="1285"/>
      <c r="E262" s="1285"/>
      <c r="F262" s="1285"/>
    </row>
    <row r="263" spans="1:6" x14ac:dyDescent="0.2">
      <c r="A263" s="1285" t="s">
        <v>7478</v>
      </c>
      <c r="B263" s="1285"/>
      <c r="C263" s="1285"/>
      <c r="D263" s="1285"/>
      <c r="E263" s="1285"/>
      <c r="F263" s="1285"/>
    </row>
    <row r="264" spans="1:6" x14ac:dyDescent="0.2">
      <c r="A264" s="1285" t="s">
        <v>8061</v>
      </c>
      <c r="B264" s="1285"/>
      <c r="C264" s="1285"/>
      <c r="D264" s="1285"/>
      <c r="E264" s="1285"/>
      <c r="F264" s="1285"/>
    </row>
    <row r="265" spans="1:6" x14ac:dyDescent="0.2">
      <c r="A265" s="1285" t="s">
        <v>8962</v>
      </c>
      <c r="B265" s="1285"/>
      <c r="C265" s="1285"/>
      <c r="D265" s="1285"/>
      <c r="E265" s="1285"/>
      <c r="F265" s="1285"/>
    </row>
    <row r="266" spans="1:6" x14ac:dyDescent="0.2">
      <c r="D266" s="701"/>
      <c r="E266" s="588"/>
      <c r="F266" s="714"/>
    </row>
    <row r="267" spans="1:6" x14ac:dyDescent="0.2">
      <c r="D267" s="701"/>
      <c r="E267" s="588"/>
      <c r="F267" s="714"/>
    </row>
    <row r="268" spans="1:6" x14ac:dyDescent="0.2">
      <c r="C268" s="708"/>
      <c r="D268" s="713" t="s">
        <v>2392</v>
      </c>
      <c r="E268" s="590"/>
      <c r="F268" s="713" t="s">
        <v>2393</v>
      </c>
    </row>
    <row r="269" spans="1:6" x14ac:dyDescent="0.2">
      <c r="B269" s="712"/>
      <c r="C269" s="2"/>
      <c r="D269" s="701"/>
      <c r="E269" s="588"/>
    </row>
    <row r="270" spans="1:6" x14ac:dyDescent="0.2">
      <c r="C270" s="711" t="s">
        <v>2394</v>
      </c>
      <c r="D270" s="594">
        <v>0</v>
      </c>
      <c r="E270" s="591"/>
      <c r="F270" s="594">
        <v>1020429.34</v>
      </c>
    </row>
    <row r="271" spans="1:6" x14ac:dyDescent="0.2">
      <c r="C271" s="711"/>
      <c r="D271" s="709"/>
      <c r="E271" s="591"/>
      <c r="F271" s="709"/>
    </row>
    <row r="272" spans="1:6" x14ac:dyDescent="0.2">
      <c r="B272" s="1286" t="s">
        <v>2395</v>
      </c>
      <c r="C272" s="1286"/>
      <c r="D272" s="588"/>
      <c r="E272" s="588"/>
      <c r="F272" s="588"/>
    </row>
    <row r="273" spans="2:6" x14ac:dyDescent="0.2">
      <c r="B273" s="592">
        <v>1</v>
      </c>
      <c r="C273" s="710" t="s">
        <v>107</v>
      </c>
      <c r="D273" s="588"/>
      <c r="E273" s="588"/>
      <c r="F273" s="588"/>
    </row>
    <row r="274" spans="2:6" x14ac:dyDescent="0.2">
      <c r="B274" s="592">
        <v>2</v>
      </c>
      <c r="C274" s="710" t="s">
        <v>109</v>
      </c>
      <c r="D274" s="588"/>
      <c r="E274" s="588"/>
      <c r="F274" s="588"/>
    </row>
    <row r="275" spans="2:6" x14ac:dyDescent="0.2">
      <c r="B275" s="592">
        <v>3</v>
      </c>
      <c r="C275" s="710" t="s">
        <v>2396</v>
      </c>
      <c r="D275" s="588"/>
      <c r="E275" s="588"/>
      <c r="F275" s="588"/>
    </row>
    <row r="276" spans="2:6" x14ac:dyDescent="0.2">
      <c r="B276" s="592">
        <v>4</v>
      </c>
      <c r="C276" s="710" t="s">
        <v>113</v>
      </c>
      <c r="D276" s="588"/>
      <c r="E276" s="588"/>
      <c r="F276" s="588"/>
    </row>
    <row r="277" spans="2:6" x14ac:dyDescent="0.2">
      <c r="B277" s="592">
        <v>5</v>
      </c>
      <c r="C277" s="710" t="s">
        <v>228</v>
      </c>
      <c r="D277" s="588"/>
      <c r="E277" s="588"/>
      <c r="F277" s="588">
        <v>1045.48</v>
      </c>
    </row>
    <row r="278" spans="2:6" x14ac:dyDescent="0.2">
      <c r="B278" s="592">
        <v>6</v>
      </c>
      <c r="C278" s="710" t="s">
        <v>231</v>
      </c>
      <c r="D278" s="588"/>
      <c r="E278" s="588"/>
      <c r="F278" s="588"/>
    </row>
    <row r="279" spans="2:6" x14ac:dyDescent="0.2">
      <c r="B279" s="592">
        <v>7</v>
      </c>
      <c r="C279" s="710" t="s">
        <v>2397</v>
      </c>
      <c r="D279" s="350"/>
      <c r="E279" s="350"/>
      <c r="F279" s="350"/>
    </row>
    <row r="280" spans="2:6" x14ac:dyDescent="0.2">
      <c r="B280" s="592">
        <v>8</v>
      </c>
      <c r="C280" s="710" t="s">
        <v>2398</v>
      </c>
      <c r="D280" s="588"/>
      <c r="E280" s="588"/>
      <c r="F280" s="588"/>
    </row>
    <row r="281" spans="2:6" x14ac:dyDescent="0.2">
      <c r="B281" s="592">
        <v>9</v>
      </c>
      <c r="C281" s="710" t="s">
        <v>2399</v>
      </c>
      <c r="D281" s="588"/>
      <c r="E281" s="588"/>
      <c r="F281" s="588"/>
    </row>
    <row r="282" spans="2:6" x14ac:dyDescent="0.2">
      <c r="B282" s="592">
        <v>0</v>
      </c>
      <c r="C282" s="710" t="s">
        <v>500</v>
      </c>
      <c r="D282" s="593"/>
      <c r="E282" s="588"/>
      <c r="F282" s="593"/>
    </row>
    <row r="283" spans="2:6" x14ac:dyDescent="0.2">
      <c r="B283" s="585"/>
      <c r="C283" s="587" t="s">
        <v>2400</v>
      </c>
      <c r="D283" s="709">
        <f>SUM(D273:D282)</f>
        <v>0</v>
      </c>
      <c r="E283" s="591"/>
      <c r="F283" s="709">
        <f>SUM(F273:F282)</f>
        <v>1045.48</v>
      </c>
    </row>
    <row r="284" spans="2:6" x14ac:dyDescent="0.2">
      <c r="B284" s="585"/>
      <c r="C284" s="585"/>
      <c r="D284" s="701"/>
      <c r="E284" s="588"/>
    </row>
    <row r="285" spans="2:6" x14ac:dyDescent="0.2">
      <c r="B285" s="1283" t="s">
        <v>2401</v>
      </c>
      <c r="C285" s="1283"/>
      <c r="D285" s="709"/>
      <c r="E285" s="591"/>
      <c r="F285" s="709"/>
    </row>
    <row r="286" spans="2:6" x14ac:dyDescent="0.2">
      <c r="B286" s="592">
        <v>1000</v>
      </c>
      <c r="C286" s="710" t="s">
        <v>2402</v>
      </c>
      <c r="D286" s="701"/>
      <c r="E286" s="588"/>
    </row>
    <row r="287" spans="2:6" x14ac:dyDescent="0.2">
      <c r="B287" s="592">
        <v>2000</v>
      </c>
      <c r="C287" s="710" t="s">
        <v>2403</v>
      </c>
      <c r="D287" s="701"/>
      <c r="E287" s="588"/>
      <c r="F287" s="701">
        <v>12490.64</v>
      </c>
    </row>
    <row r="288" spans="2:6" x14ac:dyDescent="0.2">
      <c r="B288" s="592">
        <v>3000</v>
      </c>
      <c r="C288" s="710" t="s">
        <v>2404</v>
      </c>
      <c r="D288" s="701"/>
      <c r="E288" s="588"/>
    </row>
    <row r="289" spans="2:6" x14ac:dyDescent="0.2">
      <c r="B289" s="592">
        <v>4000</v>
      </c>
      <c r="C289" s="710" t="s">
        <v>2399</v>
      </c>
      <c r="D289" s="701"/>
      <c r="E289" s="588"/>
    </row>
    <row r="290" spans="2:6" x14ac:dyDescent="0.2">
      <c r="B290" s="592">
        <v>5000</v>
      </c>
      <c r="C290" s="710" t="s">
        <v>2405</v>
      </c>
      <c r="D290" s="701"/>
      <c r="E290" s="588"/>
    </row>
    <row r="291" spans="2:6" x14ac:dyDescent="0.2">
      <c r="B291" s="592">
        <v>6000</v>
      </c>
      <c r="C291" s="710" t="s">
        <v>2406</v>
      </c>
      <c r="D291" s="701"/>
      <c r="E291" s="588"/>
    </row>
    <row r="292" spans="2:6" x14ac:dyDescent="0.2">
      <c r="B292" s="592">
        <v>7000</v>
      </c>
      <c r="C292" s="710" t="s">
        <v>2407</v>
      </c>
      <c r="D292" s="701"/>
      <c r="E292" s="588"/>
    </row>
    <row r="293" spans="2:6" x14ac:dyDescent="0.2">
      <c r="B293" s="592">
        <v>8000</v>
      </c>
      <c r="C293" s="710" t="s">
        <v>2398</v>
      </c>
      <c r="D293" s="701"/>
      <c r="E293" s="588"/>
    </row>
    <row r="294" spans="2:6" x14ac:dyDescent="0.2">
      <c r="B294" s="592">
        <v>9000</v>
      </c>
      <c r="C294" s="710" t="s">
        <v>2408</v>
      </c>
      <c r="D294" s="593"/>
      <c r="E294" s="588"/>
      <c r="F294" s="593">
        <v>1008984.18</v>
      </c>
    </row>
    <row r="295" spans="2:6" x14ac:dyDescent="0.2">
      <c r="B295" s="589"/>
      <c r="C295" s="587" t="s">
        <v>2409</v>
      </c>
      <c r="D295" s="709">
        <f>SUM(D286:D294)</f>
        <v>0</v>
      </c>
      <c r="E295" s="591"/>
      <c r="F295" s="709">
        <f>SUM(F286:F294)</f>
        <v>1021474.8200000001</v>
      </c>
    </row>
    <row r="296" spans="2:6" x14ac:dyDescent="0.2">
      <c r="B296" s="585"/>
      <c r="C296" s="585"/>
      <c r="D296" s="701"/>
      <c r="E296" s="588"/>
    </row>
    <row r="297" spans="2:6" x14ac:dyDescent="0.2">
      <c r="B297" s="589"/>
      <c r="C297" s="696" t="s">
        <v>2410</v>
      </c>
      <c r="D297" s="594">
        <f>+D270+D283-D295</f>
        <v>0</v>
      </c>
      <c r="E297" s="591"/>
      <c r="F297" s="594">
        <f>+F270+F283-F295</f>
        <v>0</v>
      </c>
    </row>
    <row r="299" spans="2:6" x14ac:dyDescent="0.2">
      <c r="B299" s="1284" t="s">
        <v>2411</v>
      </c>
      <c r="C299" s="1284"/>
      <c r="D299" s="1284"/>
      <c r="E299" s="1284"/>
      <c r="F299" s="1284"/>
    </row>
    <row r="300" spans="2:6" x14ac:dyDescent="0.2">
      <c r="B300" s="708"/>
      <c r="C300" s="585"/>
    </row>
    <row r="301" spans="2:6" x14ac:dyDescent="0.2">
      <c r="B301" s="708"/>
      <c r="C301" s="708" t="s">
        <v>2412</v>
      </c>
      <c r="D301" s="586"/>
      <c r="F301" s="591"/>
    </row>
    <row r="302" spans="2:6" x14ac:dyDescent="0.2">
      <c r="B302" s="705" t="s">
        <v>5</v>
      </c>
      <c r="C302" s="2" t="s">
        <v>6</v>
      </c>
      <c r="D302" s="701">
        <v>0</v>
      </c>
      <c r="E302" s="588"/>
      <c r="F302" s="701">
        <v>0</v>
      </c>
    </row>
    <row r="303" spans="2:6" x14ac:dyDescent="0.2">
      <c r="B303" s="705" t="s">
        <v>9</v>
      </c>
      <c r="C303" s="700" t="s">
        <v>10</v>
      </c>
      <c r="D303" s="715"/>
    </row>
    <row r="304" spans="2:6" x14ac:dyDescent="0.2">
      <c r="B304" s="705" t="s">
        <v>13</v>
      </c>
      <c r="C304" s="700" t="s">
        <v>14</v>
      </c>
      <c r="D304" s="701"/>
    </row>
    <row r="305" spans="2:6" x14ac:dyDescent="0.2">
      <c r="B305" s="705" t="s">
        <v>27</v>
      </c>
      <c r="C305" s="2" t="s">
        <v>28</v>
      </c>
      <c r="D305" s="593"/>
      <c r="E305" s="588"/>
      <c r="F305" s="593"/>
    </row>
    <row r="306" spans="2:6" x14ac:dyDescent="0.2">
      <c r="C306" s="704" t="s">
        <v>2413</v>
      </c>
      <c r="D306" s="595">
        <f>SUM(D302:D305)</f>
        <v>0</v>
      </c>
      <c r="E306" s="595"/>
      <c r="F306" s="595">
        <f>SUM(F302:F305)</f>
        <v>0</v>
      </c>
    </row>
    <row r="307" spans="2:6" x14ac:dyDescent="0.2">
      <c r="B307" s="705"/>
      <c r="C307" s="704" t="s">
        <v>2414</v>
      </c>
    </row>
    <row r="308" spans="2:6" x14ac:dyDescent="0.2">
      <c r="B308" s="705" t="s">
        <v>7</v>
      </c>
      <c r="C308" s="2" t="s">
        <v>8</v>
      </c>
      <c r="F308" s="702"/>
    </row>
    <row r="309" spans="2:6" x14ac:dyDescent="0.2">
      <c r="B309" s="705" t="s">
        <v>11</v>
      </c>
      <c r="C309" s="2" t="s">
        <v>12</v>
      </c>
      <c r="F309" s="702"/>
    </row>
    <row r="310" spans="2:6" x14ac:dyDescent="0.2">
      <c r="B310" s="705" t="s">
        <v>15</v>
      </c>
      <c r="C310" s="2" t="s">
        <v>16</v>
      </c>
    </row>
    <row r="311" spans="2:6" x14ac:dyDescent="0.2">
      <c r="B311" s="705" t="s">
        <v>592</v>
      </c>
      <c r="C311" s="2" t="s">
        <v>23</v>
      </c>
    </row>
    <row r="312" spans="2:6" ht="25.5" x14ac:dyDescent="0.2">
      <c r="B312" s="707" t="s">
        <v>595</v>
      </c>
      <c r="C312" s="706" t="s">
        <v>2415</v>
      </c>
    </row>
    <row r="313" spans="2:6" x14ac:dyDescent="0.2">
      <c r="B313" s="705" t="s">
        <v>598</v>
      </c>
      <c r="C313" s="2" t="s">
        <v>2416</v>
      </c>
    </row>
    <row r="314" spans="2:6" x14ac:dyDescent="0.2">
      <c r="B314" s="705" t="s">
        <v>600</v>
      </c>
      <c r="C314" s="2" t="s">
        <v>2417</v>
      </c>
      <c r="D314" s="593"/>
      <c r="E314" s="588"/>
      <c r="F314" s="593"/>
    </row>
    <row r="315" spans="2:6" x14ac:dyDescent="0.2">
      <c r="C315" s="704" t="s">
        <v>2418</v>
      </c>
      <c r="D315" s="591">
        <f>SUM(D308:D314)</f>
        <v>0</v>
      </c>
      <c r="E315" s="591"/>
      <c r="F315" s="591">
        <f>SUM(F308:F314)</f>
        <v>0</v>
      </c>
    </row>
    <row r="317" spans="2:6" x14ac:dyDescent="0.2">
      <c r="C317" s="703" t="s">
        <v>2419</v>
      </c>
      <c r="D317" s="594">
        <f>+D306-D315</f>
        <v>0</v>
      </c>
      <c r="E317" s="591"/>
      <c r="F317" s="594">
        <f>+F306-F315</f>
        <v>0</v>
      </c>
    </row>
    <row r="320" spans="2:6" x14ac:dyDescent="0.2">
      <c r="D320" s="700"/>
      <c r="E320" s="585"/>
      <c r="F320" s="700"/>
    </row>
    <row r="321" spans="1:6" x14ac:dyDescent="0.2">
      <c r="D321" s="700"/>
      <c r="E321" s="585"/>
      <c r="F321" s="700"/>
    </row>
    <row r="322" spans="1:6" x14ac:dyDescent="0.2">
      <c r="D322" s="700"/>
      <c r="E322" s="585"/>
      <c r="F322" s="700"/>
    </row>
    <row r="327" spans="1:6" x14ac:dyDescent="0.2">
      <c r="A327" s="1285" t="s">
        <v>7476</v>
      </c>
      <c r="B327" s="1285"/>
      <c r="C327" s="1285"/>
      <c r="D327" s="1285"/>
      <c r="E327" s="1285"/>
      <c r="F327" s="1285"/>
    </row>
    <row r="328" spans="1:6" x14ac:dyDescent="0.2">
      <c r="A328" s="1285" t="s">
        <v>7478</v>
      </c>
      <c r="B328" s="1285"/>
      <c r="C328" s="1285"/>
      <c r="D328" s="1285"/>
      <c r="E328" s="1285"/>
      <c r="F328" s="1285"/>
    </row>
    <row r="329" spans="1:6" x14ac:dyDescent="0.2">
      <c r="A329" s="1285" t="s">
        <v>8062</v>
      </c>
      <c r="B329" s="1285"/>
      <c r="C329" s="1285"/>
      <c r="D329" s="1285"/>
      <c r="E329" s="1285"/>
      <c r="F329" s="1285"/>
    </row>
    <row r="330" spans="1:6" x14ac:dyDescent="0.2">
      <c r="A330" s="1285" t="s">
        <v>8930</v>
      </c>
      <c r="B330" s="1285"/>
      <c r="C330" s="1285"/>
      <c r="D330" s="1285"/>
      <c r="E330" s="1285"/>
      <c r="F330" s="1285"/>
    </row>
    <row r="331" spans="1:6" x14ac:dyDescent="0.2">
      <c r="D331" s="701"/>
      <c r="E331" s="588"/>
      <c r="F331" s="714"/>
    </row>
    <row r="332" spans="1:6" x14ac:dyDescent="0.2">
      <c r="D332" s="701"/>
      <c r="E332" s="588"/>
      <c r="F332" s="714"/>
    </row>
    <row r="333" spans="1:6" x14ac:dyDescent="0.2">
      <c r="C333" s="708"/>
      <c r="D333" s="713" t="s">
        <v>2392</v>
      </c>
      <c r="E333" s="590"/>
      <c r="F333" s="713" t="s">
        <v>2393</v>
      </c>
    </row>
    <row r="334" spans="1:6" x14ac:dyDescent="0.2">
      <c r="B334" s="712"/>
      <c r="C334" s="2"/>
      <c r="D334" s="701"/>
      <c r="E334" s="588"/>
    </row>
    <row r="335" spans="1:6" x14ac:dyDescent="0.2">
      <c r="C335" s="711" t="s">
        <v>2394</v>
      </c>
      <c r="D335" s="594">
        <v>59329.5</v>
      </c>
      <c r="E335" s="591"/>
      <c r="F335" s="594">
        <v>18578427.460000001</v>
      </c>
    </row>
    <row r="336" spans="1:6" x14ac:dyDescent="0.2">
      <c r="C336" s="711"/>
      <c r="D336" s="709"/>
      <c r="E336" s="591"/>
      <c r="F336" s="709"/>
    </row>
    <row r="337" spans="2:6" x14ac:dyDescent="0.2">
      <c r="B337" s="1286" t="s">
        <v>2395</v>
      </c>
      <c r="C337" s="1286"/>
      <c r="D337" s="588"/>
      <c r="E337" s="588"/>
      <c r="F337" s="588"/>
    </row>
    <row r="338" spans="2:6" x14ac:dyDescent="0.2">
      <c r="B338" s="592">
        <v>1</v>
      </c>
      <c r="C338" s="710" t="s">
        <v>107</v>
      </c>
      <c r="D338" s="588"/>
      <c r="E338" s="588"/>
      <c r="F338" s="588"/>
    </row>
    <row r="339" spans="2:6" x14ac:dyDescent="0.2">
      <c r="B339" s="592">
        <v>2</v>
      </c>
      <c r="C339" s="710" t="s">
        <v>109</v>
      </c>
      <c r="D339" s="588"/>
      <c r="E339" s="588"/>
      <c r="F339" s="588"/>
    </row>
    <row r="340" spans="2:6" x14ac:dyDescent="0.2">
      <c r="B340" s="592">
        <v>3</v>
      </c>
      <c r="C340" s="710" t="s">
        <v>2396</v>
      </c>
      <c r="D340" s="588"/>
      <c r="E340" s="588"/>
      <c r="F340" s="588"/>
    </row>
    <row r="341" spans="2:6" x14ac:dyDescent="0.2">
      <c r="B341" s="592">
        <v>4</v>
      </c>
      <c r="C341" s="710" t="s">
        <v>113</v>
      </c>
      <c r="D341" s="588"/>
      <c r="E341" s="588"/>
      <c r="F341" s="588"/>
    </row>
    <row r="342" spans="2:6" x14ac:dyDescent="0.2">
      <c r="B342" s="592">
        <v>5</v>
      </c>
      <c r="C342" s="710" t="s">
        <v>228</v>
      </c>
      <c r="D342" s="588">
        <v>-31.64</v>
      </c>
      <c r="E342" s="588"/>
      <c r="F342" s="588">
        <f>269585.84+D342</f>
        <v>269554.2</v>
      </c>
    </row>
    <row r="343" spans="2:6" x14ac:dyDescent="0.2">
      <c r="B343" s="592">
        <v>6</v>
      </c>
      <c r="C343" s="710" t="s">
        <v>231</v>
      </c>
      <c r="D343" s="588"/>
      <c r="E343" s="588"/>
      <c r="F343" s="588"/>
    </row>
    <row r="344" spans="2:6" x14ac:dyDescent="0.2">
      <c r="B344" s="592">
        <v>7</v>
      </c>
      <c r="C344" s="710" t="s">
        <v>2397</v>
      </c>
      <c r="D344" s="350"/>
      <c r="E344" s="350"/>
      <c r="F344" s="350"/>
    </row>
    <row r="345" spans="2:6" x14ac:dyDescent="0.2">
      <c r="B345" s="592">
        <v>8</v>
      </c>
      <c r="C345" s="710" t="s">
        <v>2398</v>
      </c>
      <c r="D345" s="588"/>
      <c r="E345" s="588"/>
      <c r="F345" s="588"/>
    </row>
    <row r="346" spans="2:6" x14ac:dyDescent="0.2">
      <c r="B346" s="592">
        <v>9</v>
      </c>
      <c r="C346" s="710" t="s">
        <v>2399</v>
      </c>
      <c r="D346" s="588"/>
      <c r="E346" s="588"/>
      <c r="F346" s="588"/>
    </row>
    <row r="347" spans="2:6" x14ac:dyDescent="0.2">
      <c r="B347" s="592">
        <v>0</v>
      </c>
      <c r="C347" s="710" t="s">
        <v>500</v>
      </c>
      <c r="D347" s="593"/>
      <c r="E347" s="588"/>
      <c r="F347" s="593"/>
    </row>
    <row r="348" spans="2:6" x14ac:dyDescent="0.2">
      <c r="B348" s="585"/>
      <c r="C348" s="587" t="s">
        <v>2400</v>
      </c>
      <c r="D348" s="709">
        <f>SUM(D338:D347)</f>
        <v>-31.64</v>
      </c>
      <c r="E348" s="591"/>
      <c r="F348" s="709">
        <f>SUM(F338:F347)</f>
        <v>269554.2</v>
      </c>
    </row>
    <row r="349" spans="2:6" x14ac:dyDescent="0.2">
      <c r="B349" s="585"/>
      <c r="C349" s="585"/>
      <c r="D349" s="701"/>
      <c r="E349" s="588"/>
    </row>
    <row r="350" spans="2:6" x14ac:dyDescent="0.2">
      <c r="B350" s="1283" t="s">
        <v>2401</v>
      </c>
      <c r="C350" s="1283"/>
      <c r="D350" s="709"/>
      <c r="E350" s="591"/>
      <c r="F350" s="709"/>
    </row>
    <row r="351" spans="2:6" x14ac:dyDescent="0.2">
      <c r="B351" s="592">
        <v>1000</v>
      </c>
      <c r="C351" s="710" t="s">
        <v>2402</v>
      </c>
      <c r="D351" s="701"/>
      <c r="E351" s="588"/>
    </row>
    <row r="352" spans="2:6" x14ac:dyDescent="0.2">
      <c r="B352" s="592">
        <v>2000</v>
      </c>
      <c r="C352" s="710" t="s">
        <v>2403</v>
      </c>
      <c r="D352" s="701"/>
      <c r="E352" s="588"/>
    </row>
    <row r="353" spans="2:6" x14ac:dyDescent="0.2">
      <c r="B353" s="592">
        <v>3000</v>
      </c>
      <c r="C353" s="710" t="s">
        <v>2404</v>
      </c>
      <c r="D353" s="701"/>
      <c r="E353" s="588"/>
      <c r="F353" s="701">
        <v>35028.35</v>
      </c>
    </row>
    <row r="354" spans="2:6" x14ac:dyDescent="0.2">
      <c r="B354" s="592">
        <v>4000</v>
      </c>
      <c r="C354" s="710" t="s">
        <v>2399</v>
      </c>
      <c r="D354" s="701">
        <v>59297.86</v>
      </c>
      <c r="E354" s="588"/>
      <c r="F354" s="701">
        <v>972096.86</v>
      </c>
    </row>
    <row r="355" spans="2:6" x14ac:dyDescent="0.2">
      <c r="B355" s="592">
        <v>5000</v>
      </c>
      <c r="C355" s="710" t="s">
        <v>2405</v>
      </c>
      <c r="D355" s="701"/>
      <c r="E355" s="588"/>
    </row>
    <row r="356" spans="2:6" x14ac:dyDescent="0.2">
      <c r="B356" s="592">
        <v>6000</v>
      </c>
      <c r="C356" s="710" t="s">
        <v>2406</v>
      </c>
      <c r="D356" s="701"/>
      <c r="E356" s="588"/>
      <c r="F356" s="701">
        <v>17840856.449999999</v>
      </c>
    </row>
    <row r="357" spans="2:6" x14ac:dyDescent="0.2">
      <c r="B357" s="592">
        <v>7000</v>
      </c>
      <c r="C357" s="710" t="s">
        <v>2407</v>
      </c>
      <c r="D357" s="701"/>
      <c r="E357" s="588"/>
    </row>
    <row r="358" spans="2:6" x14ac:dyDescent="0.2">
      <c r="B358" s="592">
        <v>8000</v>
      </c>
      <c r="C358" s="710" t="s">
        <v>2398</v>
      </c>
      <c r="D358" s="701"/>
      <c r="E358" s="588"/>
    </row>
    <row r="359" spans="2:6" x14ac:dyDescent="0.2">
      <c r="B359" s="592">
        <v>9000</v>
      </c>
      <c r="C359" s="710" t="s">
        <v>2408</v>
      </c>
      <c r="D359" s="593"/>
      <c r="E359" s="588"/>
      <c r="F359" s="593"/>
    </row>
    <row r="360" spans="2:6" x14ac:dyDescent="0.2">
      <c r="B360" s="589"/>
      <c r="C360" s="587" t="s">
        <v>2409</v>
      </c>
      <c r="D360" s="709">
        <f>SUM(D351:D359)</f>
        <v>59297.86</v>
      </c>
      <c r="E360" s="591"/>
      <c r="F360" s="709">
        <f>SUM(F351:F359)</f>
        <v>18847981.66</v>
      </c>
    </row>
    <row r="361" spans="2:6" x14ac:dyDescent="0.2">
      <c r="B361" s="585"/>
      <c r="C361" s="585"/>
      <c r="D361" s="701"/>
      <c r="E361" s="588"/>
    </row>
    <row r="362" spans="2:6" x14ac:dyDescent="0.2">
      <c r="B362" s="589"/>
      <c r="C362" s="696" t="s">
        <v>2410</v>
      </c>
      <c r="D362" s="594">
        <f>+D335+D348-D360</f>
        <v>0</v>
      </c>
      <c r="E362" s="591"/>
      <c r="F362" s="594">
        <f>+F335+F348-F360</f>
        <v>0</v>
      </c>
    </row>
    <row r="364" spans="2:6" x14ac:dyDescent="0.2">
      <c r="B364" s="1284" t="s">
        <v>2411</v>
      </c>
      <c r="C364" s="1284"/>
      <c r="D364" s="1284"/>
      <c r="E364" s="1284"/>
      <c r="F364" s="1284"/>
    </row>
    <row r="365" spans="2:6" x14ac:dyDescent="0.2">
      <c r="B365" s="708"/>
      <c r="C365" s="585"/>
    </row>
    <row r="366" spans="2:6" x14ac:dyDescent="0.2">
      <c r="B366" s="708"/>
      <c r="C366" s="708" t="s">
        <v>2412</v>
      </c>
      <c r="D366" s="586"/>
      <c r="F366" s="591"/>
    </row>
    <row r="367" spans="2:6" x14ac:dyDescent="0.2">
      <c r="B367" s="705" t="s">
        <v>5</v>
      </c>
      <c r="C367" s="2" t="s">
        <v>6</v>
      </c>
      <c r="D367" s="701">
        <v>0</v>
      </c>
      <c r="E367" s="588"/>
      <c r="F367" s="701">
        <v>0</v>
      </c>
    </row>
    <row r="368" spans="2:6" x14ac:dyDescent="0.2">
      <c r="B368" s="705" t="s">
        <v>9</v>
      </c>
      <c r="C368" s="700" t="s">
        <v>10</v>
      </c>
      <c r="D368" s="715"/>
    </row>
    <row r="369" spans="2:6" x14ac:dyDescent="0.2">
      <c r="B369" s="705" t="s">
        <v>13</v>
      </c>
      <c r="C369" s="700" t="s">
        <v>14</v>
      </c>
      <c r="D369" s="701"/>
    </row>
    <row r="370" spans="2:6" x14ac:dyDescent="0.2">
      <c r="B370" s="705" t="s">
        <v>27</v>
      </c>
      <c r="C370" s="2" t="s">
        <v>28</v>
      </c>
      <c r="D370" s="593"/>
      <c r="E370" s="588"/>
      <c r="F370" s="593"/>
    </row>
    <row r="371" spans="2:6" x14ac:dyDescent="0.2">
      <c r="C371" s="704" t="s">
        <v>2413</v>
      </c>
      <c r="D371" s="595">
        <f>SUM(D367:D370)</f>
        <v>0</v>
      </c>
      <c r="E371" s="595"/>
      <c r="F371" s="595">
        <f>SUM(F367:F370)</f>
        <v>0</v>
      </c>
    </row>
    <row r="372" spans="2:6" x14ac:dyDescent="0.2">
      <c r="B372" s="705"/>
      <c r="C372" s="704" t="s">
        <v>2414</v>
      </c>
    </row>
    <row r="373" spans="2:6" x14ac:dyDescent="0.2">
      <c r="B373" s="705" t="s">
        <v>7</v>
      </c>
      <c r="C373" s="2" t="s">
        <v>8</v>
      </c>
      <c r="F373" s="702"/>
    </row>
    <row r="374" spans="2:6" x14ac:dyDescent="0.2">
      <c r="B374" s="705" t="s">
        <v>11</v>
      </c>
      <c r="C374" s="2" t="s">
        <v>12</v>
      </c>
      <c r="F374" s="702"/>
    </row>
    <row r="375" spans="2:6" x14ac:dyDescent="0.2">
      <c r="B375" s="705" t="s">
        <v>15</v>
      </c>
      <c r="C375" s="2" t="s">
        <v>16</v>
      </c>
    </row>
    <row r="376" spans="2:6" x14ac:dyDescent="0.2">
      <c r="B376" s="705" t="s">
        <v>592</v>
      </c>
      <c r="C376" s="2" t="s">
        <v>23</v>
      </c>
    </row>
    <row r="377" spans="2:6" ht="25.5" x14ac:dyDescent="0.2">
      <c r="B377" s="707" t="s">
        <v>595</v>
      </c>
      <c r="C377" s="706" t="s">
        <v>2415</v>
      </c>
    </row>
    <row r="378" spans="2:6" x14ac:dyDescent="0.2">
      <c r="B378" s="705" t="s">
        <v>598</v>
      </c>
      <c r="C378" s="2" t="s">
        <v>2416</v>
      </c>
    </row>
    <row r="379" spans="2:6" x14ac:dyDescent="0.2">
      <c r="B379" s="705" t="s">
        <v>600</v>
      </c>
      <c r="C379" s="2" t="s">
        <v>2417</v>
      </c>
      <c r="D379" s="593"/>
      <c r="E379" s="588"/>
      <c r="F379" s="593"/>
    </row>
    <row r="380" spans="2:6" x14ac:dyDescent="0.2">
      <c r="C380" s="704" t="s">
        <v>2418</v>
      </c>
      <c r="D380" s="591">
        <f>SUM(D373:D379)</f>
        <v>0</v>
      </c>
      <c r="E380" s="591"/>
      <c r="F380" s="591">
        <f>SUM(F373:F379)</f>
        <v>0</v>
      </c>
    </row>
    <row r="382" spans="2:6" x14ac:dyDescent="0.2">
      <c r="C382" s="703" t="s">
        <v>2419</v>
      </c>
      <c r="D382" s="594">
        <f>+D371-D380</f>
        <v>0</v>
      </c>
      <c r="E382" s="591"/>
      <c r="F382" s="594">
        <f>+F371-F380</f>
        <v>0</v>
      </c>
    </row>
    <row r="385" spans="1:6" x14ac:dyDescent="0.2">
      <c r="D385" s="700"/>
      <c r="E385" s="585"/>
      <c r="F385" s="700"/>
    </row>
    <row r="386" spans="1:6" x14ac:dyDescent="0.2">
      <c r="D386" s="700"/>
      <c r="E386" s="585"/>
      <c r="F386" s="700"/>
    </row>
    <row r="387" spans="1:6" x14ac:dyDescent="0.2">
      <c r="D387" s="700"/>
      <c r="E387" s="585"/>
      <c r="F387" s="700"/>
    </row>
    <row r="392" spans="1:6" x14ac:dyDescent="0.2">
      <c r="A392" s="1285" t="s">
        <v>7476</v>
      </c>
      <c r="B392" s="1285"/>
      <c r="C392" s="1285"/>
      <c r="D392" s="1285"/>
      <c r="E392" s="1285"/>
      <c r="F392" s="1285"/>
    </row>
    <row r="393" spans="1:6" x14ac:dyDescent="0.2">
      <c r="A393" s="1285" t="s">
        <v>7478</v>
      </c>
      <c r="B393" s="1285"/>
      <c r="C393" s="1285"/>
      <c r="D393" s="1285"/>
      <c r="E393" s="1285"/>
      <c r="F393" s="1285"/>
    </row>
    <row r="394" spans="1:6" x14ac:dyDescent="0.2">
      <c r="A394" s="1285" t="s">
        <v>8063</v>
      </c>
      <c r="B394" s="1285"/>
      <c r="C394" s="1285"/>
      <c r="D394" s="1285"/>
      <c r="E394" s="1285"/>
      <c r="F394" s="1285"/>
    </row>
    <row r="395" spans="1:6" x14ac:dyDescent="0.2">
      <c r="A395" s="1285" t="s">
        <v>8961</v>
      </c>
      <c r="B395" s="1285"/>
      <c r="C395" s="1285"/>
      <c r="D395" s="1285"/>
      <c r="E395" s="1285"/>
      <c r="F395" s="1285"/>
    </row>
    <row r="396" spans="1:6" x14ac:dyDescent="0.2">
      <c r="D396" s="701"/>
      <c r="E396" s="588"/>
      <c r="F396" s="714"/>
    </row>
    <row r="397" spans="1:6" x14ac:dyDescent="0.2">
      <c r="D397" s="701"/>
      <c r="E397" s="588"/>
      <c r="F397" s="714"/>
    </row>
    <row r="398" spans="1:6" x14ac:dyDescent="0.2">
      <c r="C398" s="708"/>
      <c r="D398" s="713" t="s">
        <v>2392</v>
      </c>
      <c r="E398" s="590"/>
      <c r="F398" s="713" t="s">
        <v>2393</v>
      </c>
    </row>
    <row r="399" spans="1:6" x14ac:dyDescent="0.2">
      <c r="B399" s="712"/>
      <c r="C399" s="2"/>
      <c r="D399" s="701"/>
      <c r="E399" s="588"/>
    </row>
    <row r="400" spans="1:6" x14ac:dyDescent="0.2">
      <c r="C400" s="711" t="s">
        <v>2394</v>
      </c>
      <c r="D400" s="594">
        <v>0</v>
      </c>
      <c r="E400" s="591"/>
      <c r="F400" s="594">
        <v>5899.02</v>
      </c>
    </row>
    <row r="401" spans="2:6" x14ac:dyDescent="0.2">
      <c r="C401" s="711"/>
      <c r="D401" s="709"/>
      <c r="E401" s="591"/>
      <c r="F401" s="709"/>
    </row>
    <row r="402" spans="2:6" x14ac:dyDescent="0.2">
      <c r="B402" s="1286" t="s">
        <v>2395</v>
      </c>
      <c r="C402" s="1286"/>
      <c r="D402" s="588"/>
      <c r="E402" s="588"/>
      <c r="F402" s="588"/>
    </row>
    <row r="403" spans="2:6" x14ac:dyDescent="0.2">
      <c r="B403" s="592">
        <v>1</v>
      </c>
      <c r="C403" s="710" t="s">
        <v>107</v>
      </c>
      <c r="D403" s="588"/>
      <c r="E403" s="588"/>
      <c r="F403" s="588"/>
    </row>
    <row r="404" spans="2:6" x14ac:dyDescent="0.2">
      <c r="B404" s="592">
        <v>2</v>
      </c>
      <c r="C404" s="710" t="s">
        <v>109</v>
      </c>
      <c r="D404" s="588"/>
      <c r="E404" s="588"/>
      <c r="F404" s="588"/>
    </row>
    <row r="405" spans="2:6" x14ac:dyDescent="0.2">
      <c r="B405" s="592">
        <v>3</v>
      </c>
      <c r="C405" s="710" t="s">
        <v>2396</v>
      </c>
      <c r="D405" s="588"/>
      <c r="E405" s="588"/>
      <c r="F405" s="588"/>
    </row>
    <row r="406" spans="2:6" x14ac:dyDescent="0.2">
      <c r="B406" s="592">
        <v>4</v>
      </c>
      <c r="C406" s="710" t="s">
        <v>113</v>
      </c>
      <c r="D406" s="588"/>
      <c r="E406" s="588"/>
      <c r="F406" s="588"/>
    </row>
    <row r="407" spans="2:6" x14ac:dyDescent="0.2">
      <c r="B407" s="592">
        <v>5</v>
      </c>
      <c r="C407" s="710" t="s">
        <v>228</v>
      </c>
      <c r="D407" s="588"/>
      <c r="E407" s="588"/>
      <c r="F407" s="588">
        <v>-0.02</v>
      </c>
    </row>
    <row r="408" spans="2:6" x14ac:dyDescent="0.2">
      <c r="B408" s="592">
        <v>6</v>
      </c>
      <c r="C408" s="710" t="s">
        <v>231</v>
      </c>
      <c r="D408" s="588"/>
      <c r="E408" s="588"/>
      <c r="F408" s="588"/>
    </row>
    <row r="409" spans="2:6" x14ac:dyDescent="0.2">
      <c r="B409" s="592">
        <v>7</v>
      </c>
      <c r="C409" s="710" t="s">
        <v>2397</v>
      </c>
      <c r="D409" s="350"/>
      <c r="E409" s="350"/>
      <c r="F409" s="350"/>
    </row>
    <row r="410" spans="2:6" x14ac:dyDescent="0.2">
      <c r="B410" s="592">
        <v>8</v>
      </c>
      <c r="C410" s="710" t="s">
        <v>2398</v>
      </c>
      <c r="D410" s="588"/>
      <c r="E410" s="588"/>
      <c r="F410" s="588"/>
    </row>
    <row r="411" spans="2:6" x14ac:dyDescent="0.2">
      <c r="B411" s="592">
        <v>9</v>
      </c>
      <c r="C411" s="710" t="s">
        <v>2399</v>
      </c>
      <c r="D411" s="588"/>
      <c r="E411" s="588"/>
      <c r="F411" s="588"/>
    </row>
    <row r="412" spans="2:6" x14ac:dyDescent="0.2">
      <c r="B412" s="592">
        <v>0</v>
      </c>
      <c r="C412" s="710" t="s">
        <v>500</v>
      </c>
      <c r="D412" s="593"/>
      <c r="E412" s="588"/>
      <c r="F412" s="593"/>
    </row>
    <row r="413" spans="2:6" x14ac:dyDescent="0.2">
      <c r="B413" s="585"/>
      <c r="C413" s="587" t="s">
        <v>2400</v>
      </c>
      <c r="D413" s="709">
        <f>SUM(D403:D412)</f>
        <v>0</v>
      </c>
      <c r="E413" s="591"/>
      <c r="F413" s="709">
        <f>SUM(F403:F412)</f>
        <v>-0.02</v>
      </c>
    </row>
    <row r="414" spans="2:6" x14ac:dyDescent="0.2">
      <c r="B414" s="585"/>
      <c r="C414" s="585"/>
      <c r="D414" s="701"/>
      <c r="E414" s="588"/>
    </row>
    <row r="415" spans="2:6" x14ac:dyDescent="0.2">
      <c r="B415" s="1283" t="s">
        <v>2401</v>
      </c>
      <c r="C415" s="1283"/>
      <c r="D415" s="709"/>
      <c r="E415" s="591"/>
      <c r="F415" s="709"/>
    </row>
    <row r="416" spans="2:6" x14ac:dyDescent="0.2">
      <c r="B416" s="592">
        <v>1000</v>
      </c>
      <c r="C416" s="710" t="s">
        <v>2402</v>
      </c>
      <c r="D416" s="701"/>
      <c r="E416" s="588"/>
    </row>
    <row r="417" spans="2:6" x14ac:dyDescent="0.2">
      <c r="B417" s="592">
        <v>2000</v>
      </c>
      <c r="C417" s="710" t="s">
        <v>2403</v>
      </c>
      <c r="D417" s="701"/>
      <c r="E417" s="588"/>
    </row>
    <row r="418" spans="2:6" x14ac:dyDescent="0.2">
      <c r="B418" s="592">
        <v>3000</v>
      </c>
      <c r="C418" s="710" t="s">
        <v>2404</v>
      </c>
      <c r="D418" s="701"/>
      <c r="E418" s="588"/>
    </row>
    <row r="419" spans="2:6" x14ac:dyDescent="0.2">
      <c r="B419" s="592">
        <v>4000</v>
      </c>
      <c r="C419" s="710" t="s">
        <v>2399</v>
      </c>
      <c r="D419" s="701"/>
      <c r="E419" s="588"/>
      <c r="F419" s="701">
        <v>5899</v>
      </c>
    </row>
    <row r="420" spans="2:6" x14ac:dyDescent="0.2">
      <c r="B420" s="592">
        <v>5000</v>
      </c>
      <c r="C420" s="710" t="s">
        <v>2405</v>
      </c>
      <c r="D420" s="701"/>
      <c r="E420" s="588"/>
    </row>
    <row r="421" spans="2:6" x14ac:dyDescent="0.2">
      <c r="B421" s="592">
        <v>6000</v>
      </c>
      <c r="C421" s="710" t="s">
        <v>2406</v>
      </c>
      <c r="D421" s="701"/>
      <c r="E421" s="588"/>
    </row>
    <row r="422" spans="2:6" x14ac:dyDescent="0.2">
      <c r="B422" s="592">
        <v>7000</v>
      </c>
      <c r="C422" s="710" t="s">
        <v>2407</v>
      </c>
      <c r="D422" s="701"/>
      <c r="E422" s="588"/>
    </row>
    <row r="423" spans="2:6" x14ac:dyDescent="0.2">
      <c r="B423" s="592">
        <v>8000</v>
      </c>
      <c r="C423" s="710" t="s">
        <v>2398</v>
      </c>
      <c r="D423" s="701"/>
      <c r="E423" s="588"/>
    </row>
    <row r="424" spans="2:6" x14ac:dyDescent="0.2">
      <c r="B424" s="592">
        <v>9000</v>
      </c>
      <c r="C424" s="710" t="s">
        <v>2408</v>
      </c>
      <c r="D424" s="593"/>
      <c r="E424" s="588"/>
      <c r="F424" s="593"/>
    </row>
    <row r="425" spans="2:6" x14ac:dyDescent="0.2">
      <c r="B425" s="589"/>
      <c r="C425" s="587" t="s">
        <v>2409</v>
      </c>
      <c r="D425" s="709">
        <f>SUM(D416:D424)</f>
        <v>0</v>
      </c>
      <c r="E425" s="591"/>
      <c r="F425" s="709">
        <f>SUM(F416:F424)</f>
        <v>5899</v>
      </c>
    </row>
    <row r="426" spans="2:6" x14ac:dyDescent="0.2">
      <c r="B426" s="585"/>
      <c r="C426" s="585"/>
      <c r="D426" s="701"/>
      <c r="E426" s="588"/>
    </row>
    <row r="427" spans="2:6" x14ac:dyDescent="0.2">
      <c r="B427" s="589"/>
      <c r="C427" s="696" t="s">
        <v>2410</v>
      </c>
      <c r="D427" s="594">
        <f>+D400+D413-D425</f>
        <v>0</v>
      </c>
      <c r="E427" s="591"/>
      <c r="F427" s="594">
        <f>+F400+F413-F425</f>
        <v>0</v>
      </c>
    </row>
    <row r="429" spans="2:6" x14ac:dyDescent="0.2">
      <c r="B429" s="1284" t="s">
        <v>2411</v>
      </c>
      <c r="C429" s="1284"/>
      <c r="D429" s="1284"/>
      <c r="E429" s="1284"/>
      <c r="F429" s="1284"/>
    </row>
    <row r="430" spans="2:6" x14ac:dyDescent="0.2">
      <c r="B430" s="708"/>
      <c r="C430" s="585"/>
    </row>
    <row r="431" spans="2:6" x14ac:dyDescent="0.2">
      <c r="B431" s="708"/>
      <c r="C431" s="708" t="s">
        <v>2412</v>
      </c>
      <c r="D431" s="586"/>
      <c r="F431" s="591"/>
    </row>
    <row r="432" spans="2:6" x14ac:dyDescent="0.2">
      <c r="B432" s="705" t="s">
        <v>5</v>
      </c>
      <c r="C432" s="2" t="s">
        <v>6</v>
      </c>
      <c r="D432" s="701">
        <v>0</v>
      </c>
      <c r="E432" s="588"/>
      <c r="F432" s="701">
        <v>0</v>
      </c>
    </row>
    <row r="433" spans="2:6" x14ac:dyDescent="0.2">
      <c r="B433" s="705" t="s">
        <v>9</v>
      </c>
      <c r="C433" s="700" t="s">
        <v>10</v>
      </c>
      <c r="D433" s="715"/>
    </row>
    <row r="434" spans="2:6" x14ac:dyDescent="0.2">
      <c r="B434" s="705" t="s">
        <v>13</v>
      </c>
      <c r="C434" s="700" t="s">
        <v>14</v>
      </c>
      <c r="D434" s="701"/>
    </row>
    <row r="435" spans="2:6" x14ac:dyDescent="0.2">
      <c r="B435" s="705" t="s">
        <v>27</v>
      </c>
      <c r="C435" s="2" t="s">
        <v>28</v>
      </c>
      <c r="D435" s="593"/>
      <c r="E435" s="588"/>
      <c r="F435" s="593"/>
    </row>
    <row r="436" spans="2:6" x14ac:dyDescent="0.2">
      <c r="C436" s="704" t="s">
        <v>2413</v>
      </c>
      <c r="D436" s="595">
        <f>SUM(D432:D435)</f>
        <v>0</v>
      </c>
      <c r="E436" s="595"/>
      <c r="F436" s="595">
        <f>SUM(F432:F435)</f>
        <v>0</v>
      </c>
    </row>
    <row r="437" spans="2:6" x14ac:dyDescent="0.2">
      <c r="B437" s="705"/>
      <c r="C437" s="704" t="s">
        <v>2414</v>
      </c>
    </row>
    <row r="438" spans="2:6" x14ac:dyDescent="0.2">
      <c r="B438" s="705" t="s">
        <v>7</v>
      </c>
      <c r="C438" s="2" t="s">
        <v>8</v>
      </c>
      <c r="F438" s="702"/>
    </row>
    <row r="439" spans="2:6" x14ac:dyDescent="0.2">
      <c r="B439" s="705" t="s">
        <v>11</v>
      </c>
      <c r="C439" s="2" t="s">
        <v>12</v>
      </c>
      <c r="F439" s="702"/>
    </row>
    <row r="440" spans="2:6" x14ac:dyDescent="0.2">
      <c r="B440" s="705" t="s">
        <v>15</v>
      </c>
      <c r="C440" s="2" t="s">
        <v>16</v>
      </c>
    </row>
    <row r="441" spans="2:6" x14ac:dyDescent="0.2">
      <c r="B441" s="705" t="s">
        <v>592</v>
      </c>
      <c r="C441" s="2" t="s">
        <v>23</v>
      </c>
    </row>
    <row r="442" spans="2:6" ht="25.5" x14ac:dyDescent="0.2">
      <c r="B442" s="707" t="s">
        <v>595</v>
      </c>
      <c r="C442" s="706" t="s">
        <v>2415</v>
      </c>
    </row>
    <row r="443" spans="2:6" x14ac:dyDescent="0.2">
      <c r="B443" s="705" t="s">
        <v>598</v>
      </c>
      <c r="C443" s="2" t="s">
        <v>2416</v>
      </c>
    </row>
    <row r="444" spans="2:6" x14ac:dyDescent="0.2">
      <c r="B444" s="705" t="s">
        <v>600</v>
      </c>
      <c r="C444" s="2" t="s">
        <v>2417</v>
      </c>
      <c r="D444" s="593"/>
      <c r="E444" s="588"/>
      <c r="F444" s="593"/>
    </row>
    <row r="445" spans="2:6" x14ac:dyDescent="0.2">
      <c r="C445" s="704" t="s">
        <v>2418</v>
      </c>
      <c r="D445" s="591">
        <f>SUM(D438:D444)</f>
        <v>0</v>
      </c>
      <c r="E445" s="591"/>
      <c r="F445" s="591">
        <f>SUM(F438:F444)</f>
        <v>0</v>
      </c>
    </row>
    <row r="447" spans="2:6" x14ac:dyDescent="0.2">
      <c r="C447" s="703" t="s">
        <v>2419</v>
      </c>
      <c r="D447" s="594">
        <f>+D436-D445</f>
        <v>0</v>
      </c>
      <c r="E447" s="591"/>
      <c r="F447" s="594">
        <f>+F436-F445</f>
        <v>0</v>
      </c>
    </row>
    <row r="450" spans="1:6" x14ac:dyDescent="0.2">
      <c r="D450" s="700"/>
      <c r="E450" s="585"/>
      <c r="F450" s="700"/>
    </row>
    <row r="451" spans="1:6" x14ac:dyDescent="0.2">
      <c r="D451" s="700"/>
      <c r="E451" s="585"/>
      <c r="F451" s="700"/>
    </row>
    <row r="452" spans="1:6" x14ac:dyDescent="0.2">
      <c r="D452" s="700"/>
      <c r="E452" s="585"/>
      <c r="F452" s="700"/>
    </row>
    <row r="457" spans="1:6" x14ac:dyDescent="0.2">
      <c r="A457" s="1285" t="s">
        <v>7476</v>
      </c>
      <c r="B457" s="1285"/>
      <c r="C457" s="1285"/>
      <c r="D457" s="1285"/>
      <c r="E457" s="1285"/>
      <c r="F457" s="1285"/>
    </row>
    <row r="458" spans="1:6" x14ac:dyDescent="0.2">
      <c r="A458" s="1285" t="s">
        <v>7478</v>
      </c>
      <c r="B458" s="1285"/>
      <c r="C458" s="1285"/>
      <c r="D458" s="1285"/>
      <c r="E458" s="1285"/>
      <c r="F458" s="1285"/>
    </row>
    <row r="459" spans="1:6" x14ac:dyDescent="0.2">
      <c r="A459" s="1285" t="s">
        <v>8064</v>
      </c>
      <c r="B459" s="1285"/>
      <c r="C459" s="1285"/>
      <c r="D459" s="1285"/>
      <c r="E459" s="1285"/>
      <c r="F459" s="1285"/>
    </row>
    <row r="460" spans="1:6" x14ac:dyDescent="0.2">
      <c r="A460" s="1285" t="s">
        <v>8960</v>
      </c>
      <c r="B460" s="1285"/>
      <c r="C460" s="1285"/>
      <c r="D460" s="1285"/>
      <c r="E460" s="1285"/>
      <c r="F460" s="1285"/>
    </row>
    <row r="461" spans="1:6" x14ac:dyDescent="0.2">
      <c r="D461" s="701"/>
      <c r="E461" s="588"/>
      <c r="F461" s="714"/>
    </row>
    <row r="462" spans="1:6" x14ac:dyDescent="0.2">
      <c r="D462" s="701"/>
      <c r="E462" s="588"/>
      <c r="F462" s="714"/>
    </row>
    <row r="463" spans="1:6" x14ac:dyDescent="0.2">
      <c r="C463" s="708"/>
      <c r="D463" s="713" t="s">
        <v>2392</v>
      </c>
      <c r="E463" s="590"/>
      <c r="F463" s="713" t="s">
        <v>2393</v>
      </c>
    </row>
    <row r="464" spans="1:6" x14ac:dyDescent="0.2">
      <c r="B464" s="712"/>
      <c r="C464" s="2"/>
      <c r="D464" s="701"/>
      <c r="E464" s="588"/>
    </row>
    <row r="465" spans="2:6" x14ac:dyDescent="0.2">
      <c r="C465" s="711" t="s">
        <v>2394</v>
      </c>
      <c r="D465" s="594">
        <v>0</v>
      </c>
      <c r="E465" s="591"/>
      <c r="F465" s="594">
        <v>52166.650000000023</v>
      </c>
    </row>
    <row r="466" spans="2:6" x14ac:dyDescent="0.2">
      <c r="C466" s="711"/>
      <c r="D466" s="709"/>
      <c r="E466" s="591"/>
      <c r="F466" s="709"/>
    </row>
    <row r="467" spans="2:6" x14ac:dyDescent="0.2">
      <c r="B467" s="1286" t="s">
        <v>2395</v>
      </c>
      <c r="C467" s="1286"/>
      <c r="D467" s="588"/>
      <c r="E467" s="588"/>
      <c r="F467" s="588"/>
    </row>
    <row r="468" spans="2:6" x14ac:dyDescent="0.2">
      <c r="B468" s="592">
        <v>1</v>
      </c>
      <c r="C468" s="710" t="s">
        <v>107</v>
      </c>
      <c r="D468" s="588"/>
      <c r="E468" s="588"/>
      <c r="F468" s="588"/>
    </row>
    <row r="469" spans="2:6" x14ac:dyDescent="0.2">
      <c r="B469" s="592">
        <v>2</v>
      </c>
      <c r="C469" s="710" t="s">
        <v>109</v>
      </c>
      <c r="D469" s="588"/>
      <c r="E469" s="588"/>
      <c r="F469" s="588"/>
    </row>
    <row r="470" spans="2:6" x14ac:dyDescent="0.2">
      <c r="B470" s="592">
        <v>3</v>
      </c>
      <c r="C470" s="710" t="s">
        <v>2396</v>
      </c>
      <c r="D470" s="588"/>
      <c r="E470" s="588"/>
      <c r="F470" s="588"/>
    </row>
    <row r="471" spans="2:6" x14ac:dyDescent="0.2">
      <c r="B471" s="592">
        <v>4</v>
      </c>
      <c r="C471" s="710" t="s">
        <v>113</v>
      </c>
      <c r="D471" s="588"/>
      <c r="E471" s="588"/>
      <c r="F471" s="588"/>
    </row>
    <row r="472" spans="2:6" x14ac:dyDescent="0.2">
      <c r="B472" s="592">
        <v>5</v>
      </c>
      <c r="C472" s="710" t="s">
        <v>228</v>
      </c>
      <c r="D472" s="588"/>
      <c r="E472" s="588"/>
      <c r="F472" s="588"/>
    </row>
    <row r="473" spans="2:6" x14ac:dyDescent="0.2">
      <c r="B473" s="592">
        <v>6</v>
      </c>
      <c r="C473" s="710" t="s">
        <v>231</v>
      </c>
      <c r="D473" s="588"/>
      <c r="E473" s="588"/>
      <c r="F473" s="588"/>
    </row>
    <row r="474" spans="2:6" x14ac:dyDescent="0.2">
      <c r="B474" s="592">
        <v>7</v>
      </c>
      <c r="C474" s="710" t="s">
        <v>2397</v>
      </c>
      <c r="D474" s="350"/>
      <c r="E474" s="350"/>
      <c r="F474" s="350"/>
    </row>
    <row r="475" spans="2:6" x14ac:dyDescent="0.2">
      <c r="B475" s="592">
        <v>8</v>
      </c>
      <c r="C475" s="710" t="s">
        <v>2398</v>
      </c>
      <c r="D475" s="588"/>
      <c r="E475" s="588"/>
      <c r="F475" s="588"/>
    </row>
    <row r="476" spans="2:6" x14ac:dyDescent="0.2">
      <c r="B476" s="592">
        <v>9</v>
      </c>
      <c r="C476" s="710" t="s">
        <v>2399</v>
      </c>
      <c r="D476" s="588"/>
      <c r="E476" s="588"/>
      <c r="F476" s="588"/>
    </row>
    <row r="477" spans="2:6" x14ac:dyDescent="0.2">
      <c r="B477" s="592">
        <v>0</v>
      </c>
      <c r="C477" s="710" t="s">
        <v>500</v>
      </c>
      <c r="D477" s="593"/>
      <c r="E477" s="588"/>
      <c r="F477" s="593"/>
    </row>
    <row r="478" spans="2:6" x14ac:dyDescent="0.2">
      <c r="B478" s="585"/>
      <c r="C478" s="587" t="s">
        <v>2400</v>
      </c>
      <c r="D478" s="709">
        <f>SUM(D468:D477)</f>
        <v>0</v>
      </c>
      <c r="E478" s="591"/>
      <c r="F478" s="709">
        <f>SUM(F468:F477)</f>
        <v>0</v>
      </c>
    </row>
    <row r="479" spans="2:6" x14ac:dyDescent="0.2">
      <c r="B479" s="585"/>
      <c r="C479" s="585"/>
      <c r="D479" s="701"/>
      <c r="E479" s="588"/>
    </row>
    <row r="480" spans="2:6" x14ac:dyDescent="0.2">
      <c r="B480" s="1283" t="s">
        <v>2401</v>
      </c>
      <c r="C480" s="1283"/>
      <c r="D480" s="709"/>
      <c r="E480" s="591"/>
      <c r="F480" s="709"/>
    </row>
    <row r="481" spans="2:6" x14ac:dyDescent="0.2">
      <c r="B481" s="592">
        <v>1000</v>
      </c>
      <c r="C481" s="710" t="s">
        <v>2402</v>
      </c>
      <c r="D481" s="701"/>
      <c r="E481" s="588"/>
    </row>
    <row r="482" spans="2:6" x14ac:dyDescent="0.2">
      <c r="B482" s="592">
        <v>2000</v>
      </c>
      <c r="C482" s="710" t="s">
        <v>2403</v>
      </c>
      <c r="D482" s="701"/>
      <c r="E482" s="588"/>
    </row>
    <row r="483" spans="2:6" x14ac:dyDescent="0.2">
      <c r="B483" s="592">
        <v>3000</v>
      </c>
      <c r="C483" s="710" t="s">
        <v>2404</v>
      </c>
      <c r="D483" s="701"/>
      <c r="E483" s="588"/>
    </row>
    <row r="484" spans="2:6" x14ac:dyDescent="0.2">
      <c r="B484" s="592">
        <v>4000</v>
      </c>
      <c r="C484" s="710" t="s">
        <v>2399</v>
      </c>
      <c r="D484" s="701"/>
      <c r="E484" s="588"/>
      <c r="F484" s="701">
        <v>52166.65</v>
      </c>
    </row>
    <row r="485" spans="2:6" x14ac:dyDescent="0.2">
      <c r="B485" s="592">
        <v>5000</v>
      </c>
      <c r="C485" s="710" t="s">
        <v>2405</v>
      </c>
      <c r="D485" s="701"/>
      <c r="E485" s="588"/>
    </row>
    <row r="486" spans="2:6" x14ac:dyDescent="0.2">
      <c r="B486" s="592">
        <v>6000</v>
      </c>
      <c r="C486" s="710" t="s">
        <v>2406</v>
      </c>
      <c r="D486" s="701"/>
      <c r="E486" s="588"/>
    </row>
    <row r="487" spans="2:6" x14ac:dyDescent="0.2">
      <c r="B487" s="592">
        <v>7000</v>
      </c>
      <c r="C487" s="710" t="s">
        <v>2407</v>
      </c>
      <c r="D487" s="701"/>
      <c r="E487" s="588"/>
    </row>
    <row r="488" spans="2:6" x14ac:dyDescent="0.2">
      <c r="B488" s="592">
        <v>8000</v>
      </c>
      <c r="C488" s="710" t="s">
        <v>2398</v>
      </c>
      <c r="D488" s="701"/>
      <c r="E488" s="588"/>
    </row>
    <row r="489" spans="2:6" x14ac:dyDescent="0.2">
      <c r="B489" s="592">
        <v>9000</v>
      </c>
      <c r="C489" s="710" t="s">
        <v>2408</v>
      </c>
      <c r="D489" s="593"/>
      <c r="E489" s="588"/>
      <c r="F489" s="593"/>
    </row>
    <row r="490" spans="2:6" x14ac:dyDescent="0.2">
      <c r="B490" s="589"/>
      <c r="C490" s="587" t="s">
        <v>2409</v>
      </c>
      <c r="D490" s="709">
        <f>SUM(D481:D489)</f>
        <v>0</v>
      </c>
      <c r="E490" s="591"/>
      <c r="F490" s="709">
        <f>SUM(F481:F489)</f>
        <v>52166.65</v>
      </c>
    </row>
    <row r="491" spans="2:6" x14ac:dyDescent="0.2">
      <c r="B491" s="585"/>
      <c r="C491" s="585"/>
      <c r="D491" s="701"/>
      <c r="E491" s="588"/>
    </row>
    <row r="492" spans="2:6" x14ac:dyDescent="0.2">
      <c r="B492" s="589"/>
      <c r="C492" s="696" t="s">
        <v>2410</v>
      </c>
      <c r="D492" s="594">
        <f>+D465+D478-D490</f>
        <v>0</v>
      </c>
      <c r="E492" s="591"/>
      <c r="F492" s="594">
        <f>+F465+F478-F490</f>
        <v>0</v>
      </c>
    </row>
    <row r="494" spans="2:6" x14ac:dyDescent="0.2">
      <c r="B494" s="1284" t="s">
        <v>2411</v>
      </c>
      <c r="C494" s="1284"/>
      <c r="D494" s="1284"/>
      <c r="E494" s="1284"/>
      <c r="F494" s="1284"/>
    </row>
    <row r="495" spans="2:6" x14ac:dyDescent="0.2">
      <c r="B495" s="708"/>
      <c r="C495" s="585"/>
    </row>
    <row r="496" spans="2:6" x14ac:dyDescent="0.2">
      <c r="B496" s="708"/>
      <c r="C496" s="708" t="s">
        <v>2412</v>
      </c>
      <c r="D496" s="586"/>
      <c r="F496" s="591"/>
    </row>
    <row r="497" spans="2:6" x14ac:dyDescent="0.2">
      <c r="B497" s="705" t="s">
        <v>5</v>
      </c>
      <c r="C497" s="2" t="s">
        <v>6</v>
      </c>
      <c r="D497" s="701">
        <v>0</v>
      </c>
      <c r="E497" s="588"/>
      <c r="F497" s="701">
        <v>0</v>
      </c>
    </row>
    <row r="498" spans="2:6" x14ac:dyDescent="0.2">
      <c r="B498" s="705" t="s">
        <v>9</v>
      </c>
      <c r="C498" s="700" t="s">
        <v>10</v>
      </c>
      <c r="D498" s="715"/>
    </row>
    <row r="499" spans="2:6" x14ac:dyDescent="0.2">
      <c r="B499" s="705" t="s">
        <v>13</v>
      </c>
      <c r="C499" s="700" t="s">
        <v>14</v>
      </c>
      <c r="D499" s="701"/>
    </row>
    <row r="500" spans="2:6" x14ac:dyDescent="0.2">
      <c r="B500" s="705" t="s">
        <v>27</v>
      </c>
      <c r="C500" s="2" t="s">
        <v>28</v>
      </c>
      <c r="D500" s="593"/>
      <c r="E500" s="588"/>
      <c r="F500" s="593"/>
    </row>
    <row r="501" spans="2:6" x14ac:dyDescent="0.2">
      <c r="C501" s="704" t="s">
        <v>2413</v>
      </c>
      <c r="D501" s="595">
        <f>SUM(D497:D500)</f>
        <v>0</v>
      </c>
      <c r="E501" s="595"/>
      <c r="F501" s="595">
        <f>SUM(F497:F500)</f>
        <v>0</v>
      </c>
    </row>
    <row r="502" spans="2:6" x14ac:dyDescent="0.2">
      <c r="B502" s="705"/>
      <c r="C502" s="704" t="s">
        <v>2414</v>
      </c>
    </row>
    <row r="503" spans="2:6" x14ac:dyDescent="0.2">
      <c r="B503" s="705" t="s">
        <v>7</v>
      </c>
      <c r="C503" s="2" t="s">
        <v>8</v>
      </c>
      <c r="F503" s="702"/>
    </row>
    <row r="504" spans="2:6" x14ac:dyDescent="0.2">
      <c r="B504" s="705" t="s">
        <v>11</v>
      </c>
      <c r="C504" s="2" t="s">
        <v>12</v>
      </c>
      <c r="F504" s="702"/>
    </row>
    <row r="505" spans="2:6" x14ac:dyDescent="0.2">
      <c r="B505" s="705" t="s">
        <v>15</v>
      </c>
      <c r="C505" s="2" t="s">
        <v>16</v>
      </c>
    </row>
    <row r="506" spans="2:6" x14ac:dyDescent="0.2">
      <c r="B506" s="705" t="s">
        <v>592</v>
      </c>
      <c r="C506" s="2" t="s">
        <v>23</v>
      </c>
    </row>
    <row r="507" spans="2:6" ht="25.5" x14ac:dyDescent="0.2">
      <c r="B507" s="707" t="s">
        <v>595</v>
      </c>
      <c r="C507" s="706" t="s">
        <v>2415</v>
      </c>
    </row>
    <row r="508" spans="2:6" x14ac:dyDescent="0.2">
      <c r="B508" s="705" t="s">
        <v>598</v>
      </c>
      <c r="C508" s="2" t="s">
        <v>2416</v>
      </c>
    </row>
    <row r="509" spans="2:6" x14ac:dyDescent="0.2">
      <c r="B509" s="705" t="s">
        <v>600</v>
      </c>
      <c r="C509" s="2" t="s">
        <v>2417</v>
      </c>
      <c r="D509" s="593"/>
      <c r="E509" s="588"/>
      <c r="F509" s="593"/>
    </row>
    <row r="510" spans="2:6" x14ac:dyDescent="0.2">
      <c r="C510" s="704" t="s">
        <v>2418</v>
      </c>
      <c r="D510" s="591">
        <f>SUM(D503:D509)</f>
        <v>0</v>
      </c>
      <c r="E510" s="591"/>
      <c r="F510" s="591">
        <f>SUM(F503:F509)</f>
        <v>0</v>
      </c>
    </row>
    <row r="512" spans="2:6" x14ac:dyDescent="0.2">
      <c r="C512" s="703" t="s">
        <v>2419</v>
      </c>
      <c r="D512" s="594">
        <f>+D501-D510</f>
        <v>0</v>
      </c>
      <c r="E512" s="591"/>
      <c r="F512" s="594">
        <f>+F501-F510</f>
        <v>0</v>
      </c>
    </row>
    <row r="515" spans="1:6" x14ac:dyDescent="0.2">
      <c r="D515" s="700"/>
      <c r="E515" s="585"/>
      <c r="F515" s="700"/>
    </row>
    <row r="516" spans="1:6" x14ac:dyDescent="0.2">
      <c r="D516" s="700"/>
      <c r="E516" s="585"/>
      <c r="F516" s="700"/>
    </row>
    <row r="517" spans="1:6" x14ac:dyDescent="0.2">
      <c r="D517" s="700"/>
      <c r="E517" s="585"/>
      <c r="F517" s="700"/>
    </row>
    <row r="522" spans="1:6" x14ac:dyDescent="0.2">
      <c r="A522" s="1285" t="s">
        <v>7476</v>
      </c>
      <c r="B522" s="1285"/>
      <c r="C522" s="1285"/>
      <c r="D522" s="1285"/>
      <c r="E522" s="1285"/>
      <c r="F522" s="1285"/>
    </row>
    <row r="523" spans="1:6" x14ac:dyDescent="0.2">
      <c r="A523" s="1285" t="s">
        <v>7478</v>
      </c>
      <c r="B523" s="1285"/>
      <c r="C523" s="1285"/>
      <c r="D523" s="1285"/>
      <c r="E523" s="1285"/>
      <c r="F523" s="1285"/>
    </row>
    <row r="524" spans="1:6" x14ac:dyDescent="0.2">
      <c r="A524" s="1285" t="s">
        <v>8065</v>
      </c>
      <c r="B524" s="1285"/>
      <c r="C524" s="1285"/>
      <c r="D524" s="1285"/>
      <c r="E524" s="1285"/>
      <c r="F524" s="1285"/>
    </row>
    <row r="525" spans="1:6" x14ac:dyDescent="0.2">
      <c r="A525" s="1285" t="s">
        <v>8959</v>
      </c>
      <c r="B525" s="1285"/>
      <c r="C525" s="1285"/>
      <c r="D525" s="1285"/>
      <c r="E525" s="1285"/>
      <c r="F525" s="1285"/>
    </row>
    <row r="526" spans="1:6" x14ac:dyDescent="0.2">
      <c r="D526" s="701"/>
      <c r="E526" s="588"/>
      <c r="F526" s="714"/>
    </row>
    <row r="527" spans="1:6" x14ac:dyDescent="0.2">
      <c r="D527" s="701"/>
      <c r="E527" s="588"/>
      <c r="F527" s="714"/>
    </row>
    <row r="528" spans="1:6" x14ac:dyDescent="0.2">
      <c r="C528" s="708"/>
      <c r="D528" s="713" t="s">
        <v>2392</v>
      </c>
      <c r="E528" s="590"/>
      <c r="F528" s="713" t="s">
        <v>2393</v>
      </c>
    </row>
    <row r="529" spans="2:6" x14ac:dyDescent="0.2">
      <c r="B529" s="712"/>
      <c r="C529" s="2"/>
      <c r="D529" s="701"/>
      <c r="E529" s="588"/>
    </row>
    <row r="530" spans="2:6" x14ac:dyDescent="0.2">
      <c r="C530" s="711" t="s">
        <v>2394</v>
      </c>
      <c r="D530" s="594">
        <v>0</v>
      </c>
      <c r="E530" s="591"/>
      <c r="F530" s="594">
        <v>26075341.550000001</v>
      </c>
    </row>
    <row r="531" spans="2:6" x14ac:dyDescent="0.2">
      <c r="C531" s="711"/>
      <c r="D531" s="709"/>
      <c r="E531" s="591"/>
      <c r="F531" s="709"/>
    </row>
    <row r="532" spans="2:6" x14ac:dyDescent="0.2">
      <c r="B532" s="1286" t="s">
        <v>2395</v>
      </c>
      <c r="C532" s="1286"/>
      <c r="D532" s="588"/>
      <c r="E532" s="588"/>
      <c r="F532" s="588"/>
    </row>
    <row r="533" spans="2:6" x14ac:dyDescent="0.2">
      <c r="B533" s="592">
        <v>1</v>
      </c>
      <c r="C533" s="710" t="s">
        <v>107</v>
      </c>
      <c r="D533" s="588"/>
      <c r="E533" s="588"/>
      <c r="F533" s="588"/>
    </row>
    <row r="534" spans="2:6" x14ac:dyDescent="0.2">
      <c r="B534" s="592">
        <v>2</v>
      </c>
      <c r="C534" s="710" t="s">
        <v>109</v>
      </c>
      <c r="D534" s="588"/>
      <c r="E534" s="588"/>
      <c r="F534" s="588"/>
    </row>
    <row r="535" spans="2:6" x14ac:dyDescent="0.2">
      <c r="B535" s="592">
        <v>3</v>
      </c>
      <c r="C535" s="710" t="s">
        <v>2396</v>
      </c>
      <c r="D535" s="588"/>
      <c r="E535" s="588"/>
      <c r="F535" s="588"/>
    </row>
    <row r="536" spans="2:6" x14ac:dyDescent="0.2">
      <c r="B536" s="592">
        <v>4</v>
      </c>
      <c r="C536" s="710" t="s">
        <v>113</v>
      </c>
      <c r="D536" s="588"/>
      <c r="E536" s="588"/>
      <c r="F536" s="588"/>
    </row>
    <row r="537" spans="2:6" x14ac:dyDescent="0.2">
      <c r="B537" s="592">
        <v>5</v>
      </c>
      <c r="C537" s="710" t="s">
        <v>228</v>
      </c>
      <c r="D537" s="588"/>
      <c r="E537" s="588"/>
      <c r="F537" s="588">
        <v>346904.31</v>
      </c>
    </row>
    <row r="538" spans="2:6" x14ac:dyDescent="0.2">
      <c r="B538" s="592">
        <v>6</v>
      </c>
      <c r="C538" s="710" t="s">
        <v>231</v>
      </c>
      <c r="D538" s="588"/>
      <c r="E538" s="588"/>
      <c r="F538" s="588"/>
    </row>
    <row r="539" spans="2:6" x14ac:dyDescent="0.2">
      <c r="B539" s="592">
        <v>7</v>
      </c>
      <c r="C539" s="710" t="s">
        <v>2397</v>
      </c>
      <c r="D539" s="350"/>
      <c r="E539" s="350"/>
      <c r="F539" s="350"/>
    </row>
    <row r="540" spans="2:6" x14ac:dyDescent="0.2">
      <c r="B540" s="592">
        <v>8</v>
      </c>
      <c r="C540" s="710" t="s">
        <v>2398</v>
      </c>
      <c r="D540" s="716"/>
      <c r="E540" s="588"/>
      <c r="F540" s="588"/>
    </row>
    <row r="541" spans="2:6" x14ac:dyDescent="0.2">
      <c r="B541" s="592">
        <v>9</v>
      </c>
      <c r="C541" s="710" t="s">
        <v>2399</v>
      </c>
      <c r="D541" s="588"/>
      <c r="E541" s="588"/>
      <c r="F541" s="588"/>
    </row>
    <row r="542" spans="2:6" x14ac:dyDescent="0.2">
      <c r="B542" s="592">
        <v>0</v>
      </c>
      <c r="C542" s="710" t="s">
        <v>500</v>
      </c>
      <c r="D542" s="593"/>
      <c r="E542" s="588"/>
      <c r="F542" s="593"/>
    </row>
    <row r="543" spans="2:6" x14ac:dyDescent="0.2">
      <c r="B543" s="585"/>
      <c r="C543" s="587" t="s">
        <v>2400</v>
      </c>
      <c r="D543" s="709">
        <f>SUM(D533:D542)</f>
        <v>0</v>
      </c>
      <c r="E543" s="591"/>
      <c r="F543" s="709">
        <f>SUM(F533:F542)</f>
        <v>346904.31</v>
      </c>
    </row>
    <row r="544" spans="2:6" x14ac:dyDescent="0.2">
      <c r="B544" s="585"/>
      <c r="C544" s="585"/>
      <c r="D544" s="701"/>
      <c r="E544" s="588"/>
    </row>
    <row r="545" spans="2:6" x14ac:dyDescent="0.2">
      <c r="B545" s="1283" t="s">
        <v>2401</v>
      </c>
      <c r="C545" s="1283"/>
      <c r="D545" s="709"/>
      <c r="E545" s="591"/>
      <c r="F545" s="709"/>
    </row>
    <row r="546" spans="2:6" x14ac:dyDescent="0.2">
      <c r="B546" s="592">
        <v>1000</v>
      </c>
      <c r="C546" s="710" t="s">
        <v>2402</v>
      </c>
      <c r="D546" s="701"/>
      <c r="E546" s="588"/>
    </row>
    <row r="547" spans="2:6" x14ac:dyDescent="0.2">
      <c r="B547" s="592">
        <v>2000</v>
      </c>
      <c r="C547" s="710" t="s">
        <v>2403</v>
      </c>
      <c r="D547" s="701"/>
      <c r="E547" s="588"/>
    </row>
    <row r="548" spans="2:6" x14ac:dyDescent="0.2">
      <c r="B548" s="592">
        <v>3000</v>
      </c>
      <c r="C548" s="710" t="s">
        <v>2404</v>
      </c>
      <c r="D548" s="701"/>
      <c r="E548" s="588"/>
    </row>
    <row r="549" spans="2:6" x14ac:dyDescent="0.2">
      <c r="B549" s="592">
        <v>4000</v>
      </c>
      <c r="C549" s="710" t="s">
        <v>2399</v>
      </c>
      <c r="D549" s="701"/>
      <c r="E549" s="588"/>
      <c r="F549" s="701">
        <v>749038.01</v>
      </c>
    </row>
    <row r="550" spans="2:6" x14ac:dyDescent="0.2">
      <c r="B550" s="592">
        <v>5000</v>
      </c>
      <c r="C550" s="710" t="s">
        <v>2405</v>
      </c>
      <c r="D550" s="701"/>
      <c r="E550" s="588"/>
    </row>
    <row r="551" spans="2:6" x14ac:dyDescent="0.2">
      <c r="B551" s="592">
        <v>6000</v>
      </c>
      <c r="C551" s="710" t="s">
        <v>2406</v>
      </c>
      <c r="D551" s="701"/>
      <c r="E551" s="588"/>
      <c r="F551" s="701">
        <v>25673207.850000001</v>
      </c>
    </row>
    <row r="552" spans="2:6" x14ac:dyDescent="0.2">
      <c r="B552" s="592">
        <v>7000</v>
      </c>
      <c r="C552" s="710" t="s">
        <v>2407</v>
      </c>
      <c r="D552" s="701"/>
      <c r="E552" s="588"/>
    </row>
    <row r="553" spans="2:6" x14ac:dyDescent="0.2">
      <c r="B553" s="592">
        <v>8000</v>
      </c>
      <c r="C553" s="710" t="s">
        <v>2398</v>
      </c>
      <c r="D553" s="701"/>
      <c r="E553" s="588"/>
    </row>
    <row r="554" spans="2:6" x14ac:dyDescent="0.2">
      <c r="B554" s="592">
        <v>9000</v>
      </c>
      <c r="C554" s="710" t="s">
        <v>2408</v>
      </c>
      <c r="D554" s="593"/>
      <c r="E554" s="588"/>
      <c r="F554" s="593"/>
    </row>
    <row r="555" spans="2:6" x14ac:dyDescent="0.2">
      <c r="B555" s="589"/>
      <c r="C555" s="587" t="s">
        <v>2409</v>
      </c>
      <c r="D555" s="709">
        <f>SUM(D546:D554)</f>
        <v>0</v>
      </c>
      <c r="E555" s="591"/>
      <c r="F555" s="709">
        <f>SUM(F546:F554)</f>
        <v>26422245.860000003</v>
      </c>
    </row>
    <row r="556" spans="2:6" x14ac:dyDescent="0.2">
      <c r="B556" s="585"/>
      <c r="C556" s="585"/>
      <c r="D556" s="701"/>
      <c r="E556" s="588"/>
    </row>
    <row r="557" spans="2:6" x14ac:dyDescent="0.2">
      <c r="B557" s="589"/>
      <c r="C557" s="696" t="s">
        <v>2410</v>
      </c>
      <c r="D557" s="594">
        <f>+D530+D543-D555</f>
        <v>0</v>
      </c>
      <c r="E557" s="591"/>
      <c r="F557" s="594">
        <f>+F530+F543-F555</f>
        <v>0</v>
      </c>
    </row>
    <row r="559" spans="2:6" x14ac:dyDescent="0.2">
      <c r="B559" s="1284" t="s">
        <v>2411</v>
      </c>
      <c r="C559" s="1284"/>
      <c r="D559" s="1284"/>
      <c r="E559" s="1284"/>
      <c r="F559" s="1284"/>
    </row>
    <row r="560" spans="2:6" x14ac:dyDescent="0.2">
      <c r="B560" s="708"/>
      <c r="C560" s="585"/>
    </row>
    <row r="561" spans="2:6" x14ac:dyDescent="0.2">
      <c r="B561" s="708"/>
      <c r="C561" s="708" t="s">
        <v>2412</v>
      </c>
      <c r="D561" s="586"/>
      <c r="F561" s="591"/>
    </row>
    <row r="562" spans="2:6" x14ac:dyDescent="0.2">
      <c r="B562" s="705" t="s">
        <v>5</v>
      </c>
      <c r="C562" s="2" t="s">
        <v>6</v>
      </c>
      <c r="D562" s="701">
        <v>0</v>
      </c>
      <c r="E562" s="588"/>
      <c r="F562" s="701">
        <v>0</v>
      </c>
    </row>
    <row r="563" spans="2:6" x14ac:dyDescent="0.2">
      <c r="B563" s="705" t="s">
        <v>9</v>
      </c>
      <c r="C563" s="700" t="s">
        <v>10</v>
      </c>
      <c r="D563" s="715"/>
    </row>
    <row r="564" spans="2:6" x14ac:dyDescent="0.2">
      <c r="B564" s="705" t="s">
        <v>13</v>
      </c>
      <c r="C564" s="700" t="s">
        <v>14</v>
      </c>
      <c r="D564" s="701"/>
    </row>
    <row r="565" spans="2:6" x14ac:dyDescent="0.2">
      <c r="B565" s="705" t="s">
        <v>27</v>
      </c>
      <c r="C565" s="2" t="s">
        <v>28</v>
      </c>
      <c r="D565" s="593"/>
      <c r="E565" s="588"/>
      <c r="F565" s="593"/>
    </row>
    <row r="566" spans="2:6" x14ac:dyDescent="0.2">
      <c r="C566" s="704" t="s">
        <v>2413</v>
      </c>
      <c r="D566" s="595">
        <f>SUM(D562:D565)</f>
        <v>0</v>
      </c>
      <c r="E566" s="595"/>
      <c r="F566" s="595">
        <f>SUM(F562:F565)</f>
        <v>0</v>
      </c>
    </row>
    <row r="567" spans="2:6" x14ac:dyDescent="0.2">
      <c r="B567" s="705"/>
      <c r="C567" s="704" t="s">
        <v>2414</v>
      </c>
    </row>
    <row r="568" spans="2:6" x14ac:dyDescent="0.2">
      <c r="B568" s="705" t="s">
        <v>7</v>
      </c>
      <c r="C568" s="2" t="s">
        <v>8</v>
      </c>
      <c r="F568" s="702"/>
    </row>
    <row r="569" spans="2:6" x14ac:dyDescent="0.2">
      <c r="B569" s="705" t="s">
        <v>11</v>
      </c>
      <c r="C569" s="2" t="s">
        <v>12</v>
      </c>
      <c r="F569" s="702"/>
    </row>
    <row r="570" spans="2:6" x14ac:dyDescent="0.2">
      <c r="B570" s="705" t="s">
        <v>15</v>
      </c>
      <c r="C570" s="2" t="s">
        <v>16</v>
      </c>
    </row>
    <row r="571" spans="2:6" x14ac:dyDescent="0.2">
      <c r="B571" s="705" t="s">
        <v>592</v>
      </c>
      <c r="C571" s="2" t="s">
        <v>23</v>
      </c>
    </row>
    <row r="572" spans="2:6" ht="25.5" x14ac:dyDescent="0.2">
      <c r="B572" s="707" t="s">
        <v>595</v>
      </c>
      <c r="C572" s="706" t="s">
        <v>2415</v>
      </c>
    </row>
    <row r="573" spans="2:6" x14ac:dyDescent="0.2">
      <c r="B573" s="705" t="s">
        <v>598</v>
      </c>
      <c r="C573" s="2" t="s">
        <v>2416</v>
      </c>
    </row>
    <row r="574" spans="2:6" x14ac:dyDescent="0.2">
      <c r="B574" s="705" t="s">
        <v>600</v>
      </c>
      <c r="C574" s="2" t="s">
        <v>2417</v>
      </c>
      <c r="D574" s="593"/>
      <c r="E574" s="588"/>
      <c r="F574" s="593"/>
    </row>
    <row r="575" spans="2:6" x14ac:dyDescent="0.2">
      <c r="C575" s="704" t="s">
        <v>2418</v>
      </c>
      <c r="D575" s="591">
        <f>SUM(D568:D574)</f>
        <v>0</v>
      </c>
      <c r="E575" s="591"/>
      <c r="F575" s="591">
        <f>SUM(F568:F574)</f>
        <v>0</v>
      </c>
    </row>
    <row r="577" spans="1:6" x14ac:dyDescent="0.2">
      <c r="C577" s="703" t="s">
        <v>2419</v>
      </c>
      <c r="D577" s="594">
        <f>+D566-D575</f>
        <v>0</v>
      </c>
      <c r="E577" s="591"/>
      <c r="F577" s="594">
        <f>+F566-F575</f>
        <v>0</v>
      </c>
    </row>
    <row r="580" spans="1:6" x14ac:dyDescent="0.2">
      <c r="D580" s="700"/>
      <c r="E580" s="585"/>
      <c r="F580" s="700"/>
    </row>
    <row r="581" spans="1:6" x14ac:dyDescent="0.2">
      <c r="D581" s="700"/>
      <c r="E581" s="585"/>
      <c r="F581" s="700"/>
    </row>
    <row r="582" spans="1:6" x14ac:dyDescent="0.2">
      <c r="D582" s="700"/>
      <c r="E582" s="585"/>
      <c r="F582" s="700"/>
    </row>
    <row r="587" spans="1:6" x14ac:dyDescent="0.2">
      <c r="A587" s="1285" t="s">
        <v>7476</v>
      </c>
      <c r="B587" s="1285"/>
      <c r="C587" s="1285"/>
      <c r="D587" s="1285"/>
      <c r="E587" s="1285"/>
      <c r="F587" s="1285"/>
    </row>
    <row r="588" spans="1:6" x14ac:dyDescent="0.2">
      <c r="A588" s="1285" t="s">
        <v>7478</v>
      </c>
      <c r="B588" s="1285"/>
      <c r="C588" s="1285"/>
      <c r="D588" s="1285"/>
      <c r="E588" s="1285"/>
      <c r="F588" s="1285"/>
    </row>
    <row r="589" spans="1:6" x14ac:dyDescent="0.2">
      <c r="A589" s="1285" t="s">
        <v>8958</v>
      </c>
      <c r="B589" s="1285"/>
      <c r="C589" s="1285"/>
      <c r="D589" s="1285"/>
      <c r="E589" s="1285"/>
      <c r="F589" s="1285"/>
    </row>
    <row r="590" spans="1:6" x14ac:dyDescent="0.2">
      <c r="A590" s="1285" t="s">
        <v>8957</v>
      </c>
      <c r="B590" s="1285"/>
      <c r="C590" s="1285"/>
      <c r="D590" s="1285"/>
      <c r="E590" s="1285"/>
      <c r="F590" s="1285"/>
    </row>
    <row r="591" spans="1:6" x14ac:dyDescent="0.2">
      <c r="D591" s="701"/>
      <c r="E591" s="588"/>
      <c r="F591" s="714"/>
    </row>
    <row r="592" spans="1:6" x14ac:dyDescent="0.2">
      <c r="D592" s="701"/>
      <c r="E592" s="588"/>
      <c r="F592" s="714"/>
    </row>
    <row r="593" spans="2:6" x14ac:dyDescent="0.2">
      <c r="C593" s="708"/>
      <c r="D593" s="713" t="s">
        <v>2392</v>
      </c>
      <c r="E593" s="590"/>
      <c r="F593" s="713" t="s">
        <v>2393</v>
      </c>
    </row>
    <row r="594" spans="2:6" x14ac:dyDescent="0.2">
      <c r="B594" s="712"/>
      <c r="C594" s="2"/>
      <c r="D594" s="701"/>
      <c r="E594" s="588"/>
    </row>
    <row r="595" spans="2:6" x14ac:dyDescent="0.2">
      <c r="C595" s="711" t="s">
        <v>2394</v>
      </c>
      <c r="D595" s="594">
        <v>27905797.010000009</v>
      </c>
      <c r="E595" s="591"/>
      <c r="F595" s="594">
        <v>0</v>
      </c>
    </row>
    <row r="596" spans="2:6" x14ac:dyDescent="0.2">
      <c r="C596" s="711"/>
      <c r="D596" s="709"/>
      <c r="E596" s="591"/>
      <c r="F596" s="709"/>
    </row>
    <row r="597" spans="2:6" x14ac:dyDescent="0.2">
      <c r="B597" s="1286" t="s">
        <v>2395</v>
      </c>
      <c r="C597" s="1286"/>
      <c r="D597" s="588"/>
      <c r="E597" s="588"/>
      <c r="F597" s="588"/>
    </row>
    <row r="598" spans="2:6" x14ac:dyDescent="0.2">
      <c r="B598" s="592">
        <v>1</v>
      </c>
      <c r="C598" s="710" t="s">
        <v>107</v>
      </c>
      <c r="D598" s="588"/>
      <c r="E598" s="588"/>
      <c r="F598" s="588"/>
    </row>
    <row r="599" spans="2:6" x14ac:dyDescent="0.2">
      <c r="B599" s="592">
        <v>2</v>
      </c>
      <c r="C599" s="710" t="s">
        <v>109</v>
      </c>
      <c r="D599" s="588"/>
      <c r="E599" s="588"/>
      <c r="F599" s="588"/>
    </row>
    <row r="600" spans="2:6" x14ac:dyDescent="0.2">
      <c r="B600" s="592">
        <v>3</v>
      </c>
      <c r="C600" s="710" t="s">
        <v>2396</v>
      </c>
      <c r="D600" s="588"/>
      <c r="E600" s="588"/>
      <c r="F600" s="588"/>
    </row>
    <row r="601" spans="2:6" x14ac:dyDescent="0.2">
      <c r="B601" s="592">
        <v>4</v>
      </c>
      <c r="C601" s="710" t="s">
        <v>113</v>
      </c>
      <c r="D601" s="588"/>
      <c r="E601" s="588"/>
      <c r="F601" s="588"/>
    </row>
    <row r="602" spans="2:6" x14ac:dyDescent="0.2">
      <c r="B602" s="592">
        <v>5</v>
      </c>
      <c r="C602" s="710" t="s">
        <v>228</v>
      </c>
      <c r="D602" s="588">
        <v>28716.28</v>
      </c>
      <c r="E602" s="588"/>
      <c r="F602" s="588">
        <v>331044.06000000006</v>
      </c>
    </row>
    <row r="603" spans="2:6" x14ac:dyDescent="0.2">
      <c r="B603" s="592">
        <v>6</v>
      </c>
      <c r="C603" s="710" t="s">
        <v>231</v>
      </c>
      <c r="D603" s="588"/>
      <c r="E603" s="588"/>
      <c r="F603" s="588"/>
    </row>
    <row r="604" spans="2:6" x14ac:dyDescent="0.2">
      <c r="B604" s="592">
        <v>7</v>
      </c>
      <c r="C604" s="710" t="s">
        <v>2397</v>
      </c>
      <c r="D604" s="350"/>
      <c r="E604" s="350"/>
      <c r="F604" s="350"/>
    </row>
    <row r="605" spans="2:6" x14ac:dyDescent="0.2">
      <c r="B605" s="592">
        <v>8</v>
      </c>
      <c r="C605" s="710" t="s">
        <v>2398</v>
      </c>
      <c r="D605" s="588">
        <v>18021697</v>
      </c>
      <c r="E605" s="588"/>
      <c r="F605" s="588">
        <v>216260408</v>
      </c>
    </row>
    <row r="606" spans="2:6" x14ac:dyDescent="0.2">
      <c r="B606" s="592">
        <v>9</v>
      </c>
      <c r="C606" s="710" t="s">
        <v>2399</v>
      </c>
      <c r="D606" s="588"/>
      <c r="E606" s="588"/>
      <c r="F606" s="588"/>
    </row>
    <row r="607" spans="2:6" x14ac:dyDescent="0.2">
      <c r="B607" s="592">
        <v>0</v>
      </c>
      <c r="C607" s="710" t="s">
        <v>500</v>
      </c>
      <c r="D607" s="593"/>
      <c r="E607" s="588"/>
      <c r="F607" s="593"/>
    </row>
    <row r="608" spans="2:6" x14ac:dyDescent="0.2">
      <c r="B608" s="585"/>
      <c r="C608" s="587" t="s">
        <v>2400</v>
      </c>
      <c r="D608" s="709">
        <f>SUM(D598:D607)</f>
        <v>18050413.280000001</v>
      </c>
      <c r="E608" s="591"/>
      <c r="F608" s="709">
        <f>SUM(F598:F607)</f>
        <v>216591452.06</v>
      </c>
    </row>
    <row r="609" spans="2:6" x14ac:dyDescent="0.2">
      <c r="B609" s="585"/>
      <c r="C609" s="585"/>
      <c r="D609" s="701"/>
      <c r="E609" s="588"/>
    </row>
    <row r="610" spans="2:6" x14ac:dyDescent="0.2">
      <c r="B610" s="1283" t="s">
        <v>2401</v>
      </c>
      <c r="C610" s="1283"/>
      <c r="D610" s="709"/>
      <c r="E610" s="591"/>
      <c r="F610" s="709"/>
    </row>
    <row r="611" spans="2:6" x14ac:dyDescent="0.2">
      <c r="B611" s="592">
        <v>1000</v>
      </c>
      <c r="C611" s="710" t="s">
        <v>2402</v>
      </c>
      <c r="D611" s="701">
        <v>1476537</v>
      </c>
      <c r="E611" s="588"/>
      <c r="F611" s="701">
        <v>5042533.84</v>
      </c>
    </row>
    <row r="612" spans="2:6" x14ac:dyDescent="0.2">
      <c r="B612" s="592">
        <v>2000</v>
      </c>
      <c r="C612" s="710" t="s">
        <v>2403</v>
      </c>
      <c r="D612" s="701">
        <v>-846912.11</v>
      </c>
      <c r="E612" s="588"/>
      <c r="F612" s="701">
        <v>37473406.020000003</v>
      </c>
    </row>
    <row r="613" spans="2:6" x14ac:dyDescent="0.2">
      <c r="B613" s="592">
        <v>3000</v>
      </c>
      <c r="C613" s="710" t="s">
        <v>2404</v>
      </c>
      <c r="D613" s="701">
        <v>24150021</v>
      </c>
      <c r="E613" s="588"/>
      <c r="F613" s="701">
        <v>84796506.769999996</v>
      </c>
    </row>
    <row r="614" spans="2:6" x14ac:dyDescent="0.2">
      <c r="B614" s="592">
        <v>4000</v>
      </c>
      <c r="C614" s="710" t="s">
        <v>2399</v>
      </c>
      <c r="D614" s="701">
        <v>21081731.579999983</v>
      </c>
      <c r="E614" s="588"/>
      <c r="F614" s="701">
        <v>76698617.929999977</v>
      </c>
    </row>
    <row r="615" spans="2:6" x14ac:dyDescent="0.2">
      <c r="B615" s="592">
        <v>5000</v>
      </c>
      <c r="C615" s="710" t="s">
        <v>2405</v>
      </c>
      <c r="D615" s="701"/>
      <c r="E615" s="588"/>
    </row>
    <row r="616" spans="2:6" x14ac:dyDescent="0.2">
      <c r="B616" s="592">
        <v>6000</v>
      </c>
      <c r="C616" s="710" t="s">
        <v>2406</v>
      </c>
      <c r="D616" s="701">
        <v>0</v>
      </c>
      <c r="E616" s="588"/>
      <c r="F616" s="701">
        <v>4536488.54</v>
      </c>
    </row>
    <row r="617" spans="2:6" x14ac:dyDescent="0.2">
      <c r="B617" s="592">
        <v>7000</v>
      </c>
      <c r="C617" s="710" t="s">
        <v>2407</v>
      </c>
      <c r="D617" s="701"/>
      <c r="E617" s="588"/>
    </row>
    <row r="618" spans="2:6" x14ac:dyDescent="0.2">
      <c r="B618" s="592">
        <v>8000</v>
      </c>
      <c r="C618" s="710" t="s">
        <v>2398</v>
      </c>
      <c r="D618" s="701"/>
      <c r="E618" s="588"/>
    </row>
    <row r="619" spans="2:6" x14ac:dyDescent="0.2">
      <c r="B619" s="592">
        <v>9000</v>
      </c>
      <c r="C619" s="710" t="s">
        <v>2408</v>
      </c>
      <c r="D619" s="593">
        <f>604251.41-510985.46</f>
        <v>93265.950000000012</v>
      </c>
      <c r="E619" s="588"/>
      <c r="F619" s="593">
        <f>7949066.14+D619</f>
        <v>8042332.0899999999</v>
      </c>
    </row>
    <row r="620" spans="2:6" x14ac:dyDescent="0.2">
      <c r="B620" s="589"/>
      <c r="C620" s="587" t="s">
        <v>2409</v>
      </c>
      <c r="D620" s="709">
        <f>SUM(D611:D619)</f>
        <v>45954643.419999987</v>
      </c>
      <c r="E620" s="591"/>
      <c r="F620" s="709">
        <f>SUM(F611:F619)</f>
        <v>216589885.18999997</v>
      </c>
    </row>
    <row r="621" spans="2:6" x14ac:dyDescent="0.2">
      <c r="B621" s="585"/>
      <c r="C621" s="585"/>
      <c r="D621" s="701"/>
      <c r="E621" s="588"/>
    </row>
    <row r="622" spans="2:6" x14ac:dyDescent="0.2">
      <c r="B622" s="589"/>
      <c r="C622" s="696" t="s">
        <v>2410</v>
      </c>
      <c r="D622" s="594">
        <f>+D595+D608-D620</f>
        <v>1566.8700000196695</v>
      </c>
      <c r="E622" s="591"/>
      <c r="F622" s="594">
        <f>+F595+F608-F620</f>
        <v>1566.8700000345707</v>
      </c>
    </row>
    <row r="624" spans="2:6" x14ac:dyDescent="0.2">
      <c r="B624" s="1284" t="s">
        <v>2411</v>
      </c>
      <c r="C624" s="1284"/>
      <c r="D624" s="1284"/>
      <c r="E624" s="1284"/>
      <c r="F624" s="1284"/>
    </row>
    <row r="625" spans="2:6" x14ac:dyDescent="0.2">
      <c r="B625" s="708"/>
      <c r="C625" s="585"/>
    </row>
    <row r="626" spans="2:6" x14ac:dyDescent="0.2">
      <c r="B626" s="708"/>
      <c r="C626" s="708" t="s">
        <v>2412</v>
      </c>
      <c r="D626" s="586"/>
      <c r="F626" s="591"/>
    </row>
    <row r="627" spans="2:6" x14ac:dyDescent="0.2">
      <c r="B627" s="705" t="s">
        <v>5</v>
      </c>
      <c r="C627" s="2" t="s">
        <v>6</v>
      </c>
      <c r="D627" s="701">
        <v>1566.87</v>
      </c>
      <c r="E627" s="588"/>
      <c r="F627" s="701">
        <v>1566.87</v>
      </c>
    </row>
    <row r="628" spans="2:6" x14ac:dyDescent="0.2">
      <c r="B628" s="705" t="s">
        <v>9</v>
      </c>
      <c r="C628" s="700" t="s">
        <v>10</v>
      </c>
      <c r="D628" s="715"/>
    </row>
    <row r="629" spans="2:6" x14ac:dyDescent="0.2">
      <c r="B629" s="705" t="s">
        <v>13</v>
      </c>
      <c r="C629" s="700" t="s">
        <v>14</v>
      </c>
      <c r="D629" s="701"/>
    </row>
    <row r="630" spans="2:6" x14ac:dyDescent="0.2">
      <c r="B630" s="705" t="s">
        <v>27</v>
      </c>
      <c r="C630" s="2" t="s">
        <v>28</v>
      </c>
      <c r="D630" s="593"/>
      <c r="E630" s="588"/>
      <c r="F630" s="593"/>
    </row>
    <row r="631" spans="2:6" x14ac:dyDescent="0.2">
      <c r="C631" s="704" t="s">
        <v>2413</v>
      </c>
      <c r="D631" s="595">
        <f>SUM(D627:D630)</f>
        <v>1566.87</v>
      </c>
      <c r="E631" s="595"/>
      <c r="F631" s="595">
        <f>SUM(F627:F630)</f>
        <v>1566.87</v>
      </c>
    </row>
    <row r="632" spans="2:6" x14ac:dyDescent="0.2">
      <c r="B632" s="705"/>
      <c r="C632" s="704" t="s">
        <v>2414</v>
      </c>
    </row>
    <row r="633" spans="2:6" x14ac:dyDescent="0.2">
      <c r="B633" s="705" t="s">
        <v>7</v>
      </c>
      <c r="C633" s="2" t="s">
        <v>8</v>
      </c>
      <c r="F633" s="702"/>
    </row>
    <row r="634" spans="2:6" x14ac:dyDescent="0.2">
      <c r="B634" s="705" t="s">
        <v>11</v>
      </c>
      <c r="C634" s="2" t="s">
        <v>12</v>
      </c>
      <c r="F634" s="702"/>
    </row>
    <row r="635" spans="2:6" x14ac:dyDescent="0.2">
      <c r="B635" s="705" t="s">
        <v>15</v>
      </c>
      <c r="C635" s="2" t="s">
        <v>16</v>
      </c>
    </row>
    <row r="636" spans="2:6" x14ac:dyDescent="0.2">
      <c r="B636" s="705" t="s">
        <v>592</v>
      </c>
      <c r="C636" s="2" t="s">
        <v>23</v>
      </c>
    </row>
    <row r="637" spans="2:6" ht="25.5" x14ac:dyDescent="0.2">
      <c r="B637" s="707" t="s">
        <v>595</v>
      </c>
      <c r="C637" s="706" t="s">
        <v>2415</v>
      </c>
    </row>
    <row r="638" spans="2:6" x14ac:dyDescent="0.2">
      <c r="B638" s="705" t="s">
        <v>598</v>
      </c>
      <c r="C638" s="2" t="s">
        <v>2416</v>
      </c>
    </row>
    <row r="639" spans="2:6" x14ac:dyDescent="0.2">
      <c r="B639" s="705" t="s">
        <v>600</v>
      </c>
      <c r="C639" s="2" t="s">
        <v>2417</v>
      </c>
      <c r="D639" s="593"/>
      <c r="E639" s="588"/>
      <c r="F639" s="593"/>
    </row>
    <row r="640" spans="2:6" x14ac:dyDescent="0.2">
      <c r="C640" s="704" t="s">
        <v>2418</v>
      </c>
      <c r="D640" s="591">
        <f>SUM(D633:D639)</f>
        <v>0</v>
      </c>
      <c r="E640" s="591"/>
      <c r="F640" s="591">
        <f>SUM(F633:F639)</f>
        <v>0</v>
      </c>
    </row>
    <row r="642" spans="1:6" x14ac:dyDescent="0.2">
      <c r="C642" s="703" t="s">
        <v>2419</v>
      </c>
      <c r="D642" s="594">
        <f>+D631-D640</f>
        <v>1566.87</v>
      </c>
      <c r="E642" s="591"/>
      <c r="F642" s="594">
        <f>+F631-F640</f>
        <v>1566.87</v>
      </c>
    </row>
    <row r="645" spans="1:6" x14ac:dyDescent="0.2">
      <c r="D645" s="700"/>
      <c r="E645" s="585"/>
      <c r="F645" s="700"/>
    </row>
    <row r="646" spans="1:6" x14ac:dyDescent="0.2">
      <c r="D646" s="700"/>
      <c r="E646" s="585"/>
      <c r="F646" s="700"/>
    </row>
    <row r="647" spans="1:6" x14ac:dyDescent="0.2">
      <c r="D647" s="700"/>
      <c r="E647" s="585"/>
      <c r="F647" s="700"/>
    </row>
    <row r="652" spans="1:6" x14ac:dyDescent="0.2">
      <c r="A652" s="1285" t="s">
        <v>7476</v>
      </c>
      <c r="B652" s="1285"/>
      <c r="C652" s="1285"/>
      <c r="D652" s="1285"/>
      <c r="E652" s="1285"/>
      <c r="F652" s="1285"/>
    </row>
    <row r="653" spans="1:6" x14ac:dyDescent="0.2">
      <c r="A653" s="1285" t="s">
        <v>7478</v>
      </c>
      <c r="B653" s="1285"/>
      <c r="C653" s="1285"/>
      <c r="D653" s="1285"/>
      <c r="E653" s="1285"/>
      <c r="F653" s="1285"/>
    </row>
    <row r="654" spans="1:6" x14ac:dyDescent="0.2">
      <c r="A654" s="1285" t="s">
        <v>8956</v>
      </c>
      <c r="B654" s="1285"/>
      <c r="C654" s="1285"/>
      <c r="D654" s="1285"/>
      <c r="E654" s="1285"/>
      <c r="F654" s="1285"/>
    </row>
    <row r="655" spans="1:6" x14ac:dyDescent="0.2">
      <c r="A655" s="1285" t="s">
        <v>8930</v>
      </c>
      <c r="B655" s="1285"/>
      <c r="C655" s="1285"/>
      <c r="D655" s="1285"/>
      <c r="E655" s="1285"/>
      <c r="F655" s="1285"/>
    </row>
    <row r="656" spans="1:6" x14ac:dyDescent="0.2">
      <c r="D656" s="701"/>
      <c r="E656" s="588"/>
      <c r="F656" s="714"/>
    </row>
    <row r="657" spans="2:6" x14ac:dyDescent="0.2">
      <c r="D657" s="701"/>
      <c r="E657" s="588"/>
      <c r="F657" s="714"/>
    </row>
    <row r="658" spans="2:6" x14ac:dyDescent="0.2">
      <c r="C658" s="708"/>
      <c r="D658" s="713" t="s">
        <v>2392</v>
      </c>
      <c r="E658" s="590"/>
      <c r="F658" s="713" t="s">
        <v>2393</v>
      </c>
    </row>
    <row r="659" spans="2:6" x14ac:dyDescent="0.2">
      <c r="B659" s="712"/>
      <c r="C659" s="2"/>
      <c r="D659" s="701"/>
      <c r="E659" s="588"/>
    </row>
    <row r="660" spans="2:6" x14ac:dyDescent="0.2">
      <c r="C660" s="711" t="s">
        <v>2394</v>
      </c>
      <c r="D660" s="594">
        <v>8603023.5500000045</v>
      </c>
      <c r="E660" s="591"/>
      <c r="F660" s="594">
        <v>0</v>
      </c>
    </row>
    <row r="661" spans="2:6" x14ac:dyDescent="0.2">
      <c r="C661" s="711"/>
      <c r="D661" s="709"/>
      <c r="E661" s="591"/>
      <c r="F661" s="709"/>
    </row>
    <row r="662" spans="2:6" x14ac:dyDescent="0.2">
      <c r="B662" s="1286" t="s">
        <v>2395</v>
      </c>
      <c r="C662" s="1286"/>
      <c r="D662" s="588"/>
      <c r="E662" s="588"/>
      <c r="F662" s="588"/>
    </row>
    <row r="663" spans="2:6" x14ac:dyDescent="0.2">
      <c r="B663" s="592">
        <v>1</v>
      </c>
      <c r="C663" s="710" t="s">
        <v>107</v>
      </c>
      <c r="D663" s="588"/>
      <c r="E663" s="588"/>
      <c r="F663" s="588"/>
    </row>
    <row r="664" spans="2:6" x14ac:dyDescent="0.2">
      <c r="B664" s="592">
        <v>2</v>
      </c>
      <c r="C664" s="710" t="s">
        <v>109</v>
      </c>
      <c r="D664" s="588"/>
      <c r="E664" s="588"/>
      <c r="F664" s="588"/>
    </row>
    <row r="665" spans="2:6" x14ac:dyDescent="0.2">
      <c r="B665" s="592">
        <v>3</v>
      </c>
      <c r="C665" s="710" t="s">
        <v>2396</v>
      </c>
      <c r="D665" s="588"/>
      <c r="E665" s="588"/>
      <c r="F665" s="588"/>
    </row>
    <row r="666" spans="2:6" x14ac:dyDescent="0.2">
      <c r="B666" s="592">
        <v>4</v>
      </c>
      <c r="C666" s="710" t="s">
        <v>113</v>
      </c>
      <c r="D666" s="588"/>
      <c r="E666" s="588"/>
      <c r="F666" s="588"/>
    </row>
    <row r="667" spans="2:6" x14ac:dyDescent="0.2">
      <c r="B667" s="592">
        <v>5</v>
      </c>
      <c r="C667" s="710" t="s">
        <v>228</v>
      </c>
      <c r="D667" s="588">
        <v>29050.84</v>
      </c>
      <c r="E667" s="588"/>
      <c r="F667" s="588">
        <v>527398.88</v>
      </c>
    </row>
    <row r="668" spans="2:6" x14ac:dyDescent="0.2">
      <c r="B668" s="592">
        <v>6</v>
      </c>
      <c r="C668" s="710" t="s">
        <v>231</v>
      </c>
      <c r="D668" s="588"/>
      <c r="E668" s="588"/>
      <c r="F668" s="588"/>
    </row>
    <row r="669" spans="2:6" x14ac:dyDescent="0.2">
      <c r="B669" s="592">
        <v>7</v>
      </c>
      <c r="C669" s="710" t="s">
        <v>2397</v>
      </c>
      <c r="D669" s="350"/>
      <c r="E669" s="350"/>
      <c r="F669" s="350"/>
    </row>
    <row r="670" spans="2:6" x14ac:dyDescent="0.2">
      <c r="B670" s="592">
        <v>8</v>
      </c>
      <c r="C670" s="710" t="s">
        <v>2398</v>
      </c>
      <c r="D670" s="588"/>
      <c r="E670" s="588"/>
      <c r="F670" s="588">
        <v>37244919</v>
      </c>
    </row>
    <row r="671" spans="2:6" x14ac:dyDescent="0.2">
      <c r="B671" s="592">
        <v>9</v>
      </c>
      <c r="C671" s="710" t="s">
        <v>2399</v>
      </c>
      <c r="D671" s="588"/>
      <c r="E671" s="588"/>
      <c r="F671" s="588"/>
    </row>
    <row r="672" spans="2:6" x14ac:dyDescent="0.2">
      <c r="B672" s="592">
        <v>0</v>
      </c>
      <c r="C672" s="710" t="s">
        <v>500</v>
      </c>
      <c r="D672" s="593"/>
      <c r="E672" s="588"/>
      <c r="F672" s="593"/>
    </row>
    <row r="673" spans="2:6" x14ac:dyDescent="0.2">
      <c r="B673" s="585"/>
      <c r="C673" s="587" t="s">
        <v>2400</v>
      </c>
      <c r="D673" s="709">
        <f>SUM(D663:D672)</f>
        <v>29050.84</v>
      </c>
      <c r="E673" s="591"/>
      <c r="F673" s="709">
        <f>SUM(F663:F672)</f>
        <v>37772317.880000003</v>
      </c>
    </row>
    <row r="674" spans="2:6" x14ac:dyDescent="0.2">
      <c r="B674" s="585"/>
      <c r="C674" s="585"/>
      <c r="D674" s="701"/>
      <c r="E674" s="588"/>
    </row>
    <row r="675" spans="2:6" x14ac:dyDescent="0.2">
      <c r="B675" s="1283" t="s">
        <v>2401</v>
      </c>
      <c r="C675" s="1283"/>
      <c r="D675" s="709"/>
      <c r="E675" s="591"/>
      <c r="F675" s="709"/>
    </row>
    <row r="676" spans="2:6" x14ac:dyDescent="0.2">
      <c r="B676" s="592">
        <v>1000</v>
      </c>
      <c r="C676" s="710" t="s">
        <v>2402</v>
      </c>
      <c r="D676" s="701"/>
      <c r="E676" s="588"/>
    </row>
    <row r="677" spans="2:6" x14ac:dyDescent="0.2">
      <c r="B677" s="592">
        <v>2000</v>
      </c>
      <c r="C677" s="710" t="s">
        <v>2403</v>
      </c>
      <c r="D677" s="701"/>
      <c r="E677" s="588"/>
    </row>
    <row r="678" spans="2:6" x14ac:dyDescent="0.2">
      <c r="B678" s="592">
        <v>3000</v>
      </c>
      <c r="C678" s="710" t="s">
        <v>2404</v>
      </c>
      <c r="D678" s="701"/>
      <c r="E678" s="588"/>
    </row>
    <row r="679" spans="2:6" x14ac:dyDescent="0.2">
      <c r="B679" s="592">
        <v>4000</v>
      </c>
      <c r="C679" s="710" t="s">
        <v>2399</v>
      </c>
      <c r="D679" s="701"/>
      <c r="E679" s="588"/>
    </row>
    <row r="680" spans="2:6" x14ac:dyDescent="0.2">
      <c r="B680" s="592">
        <v>5000</v>
      </c>
      <c r="C680" s="710" t="s">
        <v>2405</v>
      </c>
      <c r="D680" s="701"/>
      <c r="E680" s="588"/>
    </row>
    <row r="681" spans="2:6" x14ac:dyDescent="0.2">
      <c r="B681" s="592">
        <v>6000</v>
      </c>
      <c r="C681" s="710" t="s">
        <v>2406</v>
      </c>
      <c r="D681" s="701">
        <v>7685754.9400000004</v>
      </c>
      <c r="E681" s="588"/>
      <c r="F681" s="701">
        <v>36825998.43</v>
      </c>
    </row>
    <row r="682" spans="2:6" x14ac:dyDescent="0.2">
      <c r="B682" s="592">
        <v>7000</v>
      </c>
      <c r="C682" s="710" t="s">
        <v>2407</v>
      </c>
      <c r="D682" s="701"/>
      <c r="E682" s="588"/>
    </row>
    <row r="683" spans="2:6" x14ac:dyDescent="0.2">
      <c r="B683" s="592">
        <v>8000</v>
      </c>
      <c r="C683" s="710" t="s">
        <v>2398</v>
      </c>
      <c r="D683" s="701"/>
      <c r="E683" s="588"/>
    </row>
    <row r="684" spans="2:6" x14ac:dyDescent="0.2">
      <c r="B684" s="592">
        <v>9000</v>
      </c>
      <c r="C684" s="710" t="s">
        <v>2408</v>
      </c>
      <c r="D684" s="593"/>
      <c r="E684" s="588"/>
      <c r="F684" s="593"/>
    </row>
    <row r="685" spans="2:6" x14ac:dyDescent="0.2">
      <c r="B685" s="589"/>
      <c r="C685" s="587" t="s">
        <v>2409</v>
      </c>
      <c r="D685" s="709">
        <f>SUM(D676:D684)</f>
        <v>7685754.9400000004</v>
      </c>
      <c r="E685" s="591"/>
      <c r="F685" s="709">
        <f>SUM(F676:F684)</f>
        <v>36825998.43</v>
      </c>
    </row>
    <row r="686" spans="2:6" x14ac:dyDescent="0.2">
      <c r="B686" s="585"/>
      <c r="C686" s="585"/>
      <c r="D686" s="701"/>
      <c r="E686" s="588"/>
    </row>
    <row r="687" spans="2:6" x14ac:dyDescent="0.2">
      <c r="B687" s="589"/>
      <c r="C687" s="696" t="s">
        <v>2410</v>
      </c>
      <c r="D687" s="594">
        <f>+D660+D673-D685</f>
        <v>946319.45000000391</v>
      </c>
      <c r="E687" s="591"/>
      <c r="F687" s="594">
        <f>+F660+F673-F685</f>
        <v>946319.45000000298</v>
      </c>
    </row>
    <row r="689" spans="2:6" x14ac:dyDescent="0.2">
      <c r="B689" s="1284" t="s">
        <v>2411</v>
      </c>
      <c r="C689" s="1284"/>
      <c r="D689" s="1284"/>
      <c r="E689" s="1284"/>
      <c r="F689" s="1284"/>
    </row>
    <row r="690" spans="2:6" x14ac:dyDescent="0.2">
      <c r="B690" s="708"/>
      <c r="C690" s="585"/>
    </row>
    <row r="691" spans="2:6" x14ac:dyDescent="0.2">
      <c r="B691" s="708"/>
      <c r="C691" s="708" t="s">
        <v>2412</v>
      </c>
      <c r="D691" s="586"/>
      <c r="F691" s="591"/>
    </row>
    <row r="692" spans="2:6" x14ac:dyDescent="0.2">
      <c r="B692" s="705" t="s">
        <v>5</v>
      </c>
      <c r="C692" s="2" t="s">
        <v>6</v>
      </c>
      <c r="D692" s="701">
        <v>5495796.25</v>
      </c>
      <c r="E692" s="588"/>
      <c r="F692" s="701">
        <v>5495796.25</v>
      </c>
    </row>
    <row r="693" spans="2:6" x14ac:dyDescent="0.2">
      <c r="B693" s="705" t="s">
        <v>9</v>
      </c>
      <c r="C693" s="700" t="s">
        <v>10</v>
      </c>
      <c r="D693" s="715"/>
    </row>
    <row r="694" spans="2:6" x14ac:dyDescent="0.2">
      <c r="B694" s="705" t="s">
        <v>13</v>
      </c>
      <c r="C694" s="700" t="s">
        <v>14</v>
      </c>
      <c r="D694" s="701"/>
    </row>
    <row r="695" spans="2:6" x14ac:dyDescent="0.2">
      <c r="B695" s="705" t="s">
        <v>27</v>
      </c>
      <c r="C695" s="2" t="s">
        <v>28</v>
      </c>
      <c r="D695" s="593"/>
      <c r="E695" s="588"/>
      <c r="F695" s="593"/>
    </row>
    <row r="696" spans="2:6" x14ac:dyDescent="0.2">
      <c r="C696" s="704" t="s">
        <v>2413</v>
      </c>
      <c r="D696" s="595">
        <f>SUM(D692:D695)</f>
        <v>5495796.25</v>
      </c>
      <c r="E696" s="595"/>
      <c r="F696" s="595">
        <f>SUM(F692:F695)</f>
        <v>5495796.25</v>
      </c>
    </row>
    <row r="697" spans="2:6" x14ac:dyDescent="0.2">
      <c r="B697" s="705"/>
      <c r="C697" s="704" t="s">
        <v>2414</v>
      </c>
    </row>
    <row r="698" spans="2:6" x14ac:dyDescent="0.2">
      <c r="B698" s="705" t="s">
        <v>7</v>
      </c>
      <c r="C698" s="2" t="s">
        <v>8</v>
      </c>
      <c r="D698" s="702">
        <v>4549476.8</v>
      </c>
      <c r="F698" s="702">
        <v>4549476.8</v>
      </c>
    </row>
    <row r="699" spans="2:6" x14ac:dyDescent="0.2">
      <c r="B699" s="705" t="s">
        <v>11</v>
      </c>
      <c r="C699" s="2" t="s">
        <v>12</v>
      </c>
      <c r="F699" s="702"/>
    </row>
    <row r="700" spans="2:6" x14ac:dyDescent="0.2">
      <c r="B700" s="705" t="s">
        <v>15</v>
      </c>
      <c r="C700" s="2" t="s">
        <v>16</v>
      </c>
    </row>
    <row r="701" spans="2:6" x14ac:dyDescent="0.2">
      <c r="B701" s="705" t="s">
        <v>592</v>
      </c>
      <c r="C701" s="2" t="s">
        <v>23</v>
      </c>
    </row>
    <row r="702" spans="2:6" ht="25.5" x14ac:dyDescent="0.2">
      <c r="B702" s="707" t="s">
        <v>595</v>
      </c>
      <c r="C702" s="706" t="s">
        <v>2415</v>
      </c>
    </row>
    <row r="703" spans="2:6" x14ac:dyDescent="0.2">
      <c r="B703" s="705" t="s">
        <v>598</v>
      </c>
      <c r="C703" s="2" t="s">
        <v>2416</v>
      </c>
    </row>
    <row r="704" spans="2:6" x14ac:dyDescent="0.2">
      <c r="B704" s="705" t="s">
        <v>600</v>
      </c>
      <c r="C704" s="2" t="s">
        <v>2417</v>
      </c>
      <c r="D704" s="593"/>
      <c r="E704" s="588"/>
      <c r="F704" s="593"/>
    </row>
    <row r="705" spans="1:6" x14ac:dyDescent="0.2">
      <c r="C705" s="704" t="s">
        <v>2418</v>
      </c>
      <c r="D705" s="591">
        <f>SUM(D698:D704)</f>
        <v>4549476.8</v>
      </c>
      <c r="E705" s="591"/>
      <c r="F705" s="591">
        <f>SUM(F698:F704)</f>
        <v>4549476.8</v>
      </c>
    </row>
    <row r="707" spans="1:6" x14ac:dyDescent="0.2">
      <c r="C707" s="703" t="s">
        <v>2419</v>
      </c>
      <c r="D707" s="594">
        <f>+D696-D705</f>
        <v>946319.45000000019</v>
      </c>
      <c r="E707" s="591"/>
      <c r="F707" s="594">
        <f>+F696-F705</f>
        <v>946319.45000000019</v>
      </c>
    </row>
    <row r="710" spans="1:6" x14ac:dyDescent="0.2">
      <c r="D710" s="700"/>
      <c r="E710" s="585"/>
      <c r="F710" s="700"/>
    </row>
    <row r="711" spans="1:6" x14ac:dyDescent="0.2">
      <c r="D711" s="700"/>
      <c r="E711" s="585"/>
      <c r="F711" s="700"/>
    </row>
    <row r="712" spans="1:6" x14ac:dyDescent="0.2">
      <c r="D712" s="700"/>
      <c r="E712" s="585"/>
      <c r="F712" s="700"/>
    </row>
    <row r="717" spans="1:6" x14ac:dyDescent="0.2">
      <c r="A717" s="1285" t="s">
        <v>7476</v>
      </c>
      <c r="B717" s="1285"/>
      <c r="C717" s="1285"/>
      <c r="D717" s="1285"/>
      <c r="E717" s="1285"/>
      <c r="F717" s="1285"/>
    </row>
    <row r="718" spans="1:6" x14ac:dyDescent="0.2">
      <c r="A718" s="1285" t="s">
        <v>7478</v>
      </c>
      <c r="B718" s="1285"/>
      <c r="C718" s="1285"/>
      <c r="D718" s="1285"/>
      <c r="E718" s="1285"/>
      <c r="F718" s="1285"/>
    </row>
    <row r="719" spans="1:6" x14ac:dyDescent="0.2">
      <c r="A719" s="1285" t="s">
        <v>8066</v>
      </c>
      <c r="B719" s="1285"/>
      <c r="C719" s="1285"/>
      <c r="D719" s="1285"/>
      <c r="E719" s="1285"/>
      <c r="F719" s="1285"/>
    </row>
    <row r="720" spans="1:6" x14ac:dyDescent="0.2">
      <c r="A720" s="1285" t="s">
        <v>8941</v>
      </c>
      <c r="B720" s="1285"/>
      <c r="C720" s="1285"/>
      <c r="D720" s="1285"/>
      <c r="E720" s="1285"/>
      <c r="F720" s="1285"/>
    </row>
    <row r="721" spans="2:6" x14ac:dyDescent="0.2">
      <c r="D721" s="701"/>
      <c r="E721" s="588"/>
      <c r="F721" s="714"/>
    </row>
    <row r="722" spans="2:6" x14ac:dyDescent="0.2">
      <c r="D722" s="701"/>
      <c r="E722" s="588"/>
      <c r="F722" s="714"/>
    </row>
    <row r="723" spans="2:6" x14ac:dyDescent="0.2">
      <c r="C723" s="708"/>
      <c r="D723" s="713" t="s">
        <v>2392</v>
      </c>
      <c r="E723" s="590"/>
      <c r="F723" s="713" t="s">
        <v>2393</v>
      </c>
    </row>
    <row r="724" spans="2:6" x14ac:dyDescent="0.2">
      <c r="B724" s="712"/>
      <c r="C724" s="2"/>
      <c r="D724" s="701"/>
      <c r="E724" s="588"/>
    </row>
    <row r="725" spans="2:6" x14ac:dyDescent="0.2">
      <c r="C725" s="711" t="s">
        <v>2394</v>
      </c>
      <c r="D725" s="594">
        <v>0</v>
      </c>
      <c r="E725" s="591"/>
      <c r="F725" s="594">
        <v>10687402.359999999</v>
      </c>
    </row>
    <row r="726" spans="2:6" x14ac:dyDescent="0.2">
      <c r="C726" s="711"/>
      <c r="D726" s="709"/>
      <c r="E726" s="591"/>
      <c r="F726" s="709"/>
    </row>
    <row r="727" spans="2:6" x14ac:dyDescent="0.2">
      <c r="B727" s="1286" t="s">
        <v>2395</v>
      </c>
      <c r="C727" s="1286"/>
      <c r="D727" s="588"/>
      <c r="E727" s="588"/>
      <c r="F727" s="588"/>
    </row>
    <row r="728" spans="2:6" x14ac:dyDescent="0.2">
      <c r="B728" s="592">
        <v>1</v>
      </c>
      <c r="C728" s="710" t="s">
        <v>107</v>
      </c>
      <c r="D728" s="588"/>
      <c r="E728" s="588"/>
      <c r="F728" s="588"/>
    </row>
    <row r="729" spans="2:6" x14ac:dyDescent="0.2">
      <c r="B729" s="592">
        <v>2</v>
      </c>
      <c r="C729" s="710" t="s">
        <v>109</v>
      </c>
      <c r="D729" s="588"/>
      <c r="E729" s="588"/>
      <c r="F729" s="588"/>
    </row>
    <row r="730" spans="2:6" x14ac:dyDescent="0.2">
      <c r="B730" s="592">
        <v>3</v>
      </c>
      <c r="C730" s="710" t="s">
        <v>2396</v>
      </c>
      <c r="D730" s="588"/>
      <c r="E730" s="588"/>
      <c r="F730" s="588"/>
    </row>
    <row r="731" spans="2:6" x14ac:dyDescent="0.2">
      <c r="B731" s="592">
        <v>4</v>
      </c>
      <c r="C731" s="710" t="s">
        <v>113</v>
      </c>
      <c r="D731" s="588"/>
      <c r="E731" s="588"/>
      <c r="F731" s="588"/>
    </row>
    <row r="732" spans="2:6" x14ac:dyDescent="0.2">
      <c r="B732" s="592">
        <v>5</v>
      </c>
      <c r="C732" s="710" t="s">
        <v>228</v>
      </c>
      <c r="D732" s="588"/>
      <c r="E732" s="588"/>
      <c r="F732" s="588">
        <v>115446.29999999999</v>
      </c>
    </row>
    <row r="733" spans="2:6" x14ac:dyDescent="0.2">
      <c r="B733" s="592">
        <v>6</v>
      </c>
      <c r="C733" s="710" t="s">
        <v>231</v>
      </c>
      <c r="D733" s="588"/>
      <c r="E733" s="588"/>
      <c r="F733" s="588"/>
    </row>
    <row r="734" spans="2:6" x14ac:dyDescent="0.2">
      <c r="B734" s="592">
        <v>7</v>
      </c>
      <c r="C734" s="710" t="s">
        <v>2397</v>
      </c>
      <c r="D734" s="350"/>
      <c r="E734" s="350"/>
      <c r="F734" s="350"/>
    </row>
    <row r="735" spans="2:6" x14ac:dyDescent="0.2">
      <c r="B735" s="592">
        <v>8</v>
      </c>
      <c r="C735" s="710" t="s">
        <v>2398</v>
      </c>
      <c r="D735" s="588"/>
      <c r="E735" s="588"/>
      <c r="F735" s="588"/>
    </row>
    <row r="736" spans="2:6" x14ac:dyDescent="0.2">
      <c r="B736" s="592">
        <v>9</v>
      </c>
      <c r="C736" s="710" t="s">
        <v>2399</v>
      </c>
      <c r="D736" s="588"/>
      <c r="E736" s="588"/>
      <c r="F736" s="588"/>
    </row>
    <row r="737" spans="2:6" x14ac:dyDescent="0.2">
      <c r="B737" s="592">
        <v>0</v>
      </c>
      <c r="C737" s="710" t="s">
        <v>500</v>
      </c>
      <c r="D737" s="593"/>
      <c r="E737" s="588"/>
      <c r="F737" s="593"/>
    </row>
    <row r="738" spans="2:6" x14ac:dyDescent="0.2">
      <c r="B738" s="585"/>
      <c r="C738" s="587" t="s">
        <v>2400</v>
      </c>
      <c r="D738" s="709">
        <f>SUM(D728:D737)</f>
        <v>0</v>
      </c>
      <c r="E738" s="591"/>
      <c r="F738" s="709">
        <f>SUM(F728:F737)</f>
        <v>115446.29999999999</v>
      </c>
    </row>
    <row r="739" spans="2:6" x14ac:dyDescent="0.2">
      <c r="B739" s="585"/>
      <c r="C739" s="585"/>
      <c r="D739" s="701"/>
      <c r="E739" s="588"/>
    </row>
    <row r="740" spans="2:6" x14ac:dyDescent="0.2">
      <c r="B740" s="1283" t="s">
        <v>2401</v>
      </c>
      <c r="C740" s="1283"/>
      <c r="D740" s="709"/>
      <c r="E740" s="591"/>
      <c r="F740" s="709"/>
    </row>
    <row r="741" spans="2:6" x14ac:dyDescent="0.2">
      <c r="B741" s="592">
        <v>1000</v>
      </c>
      <c r="C741" s="710" t="s">
        <v>2402</v>
      </c>
      <c r="D741" s="701"/>
      <c r="E741" s="588"/>
    </row>
    <row r="742" spans="2:6" x14ac:dyDescent="0.2">
      <c r="B742" s="592">
        <v>2000</v>
      </c>
      <c r="C742" s="710" t="s">
        <v>2403</v>
      </c>
      <c r="D742" s="701"/>
      <c r="E742" s="588"/>
    </row>
    <row r="743" spans="2:6" x14ac:dyDescent="0.2">
      <c r="B743" s="592">
        <v>3000</v>
      </c>
      <c r="C743" s="710" t="s">
        <v>2404</v>
      </c>
      <c r="D743" s="701"/>
      <c r="E743" s="588"/>
    </row>
    <row r="744" spans="2:6" x14ac:dyDescent="0.2">
      <c r="B744" s="592">
        <v>4000</v>
      </c>
      <c r="C744" s="710" t="s">
        <v>2399</v>
      </c>
      <c r="D744" s="701"/>
      <c r="E744" s="588"/>
      <c r="F744" s="701">
        <v>152255.81</v>
      </c>
    </row>
    <row r="745" spans="2:6" x14ac:dyDescent="0.2">
      <c r="B745" s="592">
        <v>5000</v>
      </c>
      <c r="C745" s="710" t="s">
        <v>2405</v>
      </c>
      <c r="D745" s="701"/>
      <c r="E745" s="588"/>
    </row>
    <row r="746" spans="2:6" x14ac:dyDescent="0.2">
      <c r="B746" s="592">
        <v>6000</v>
      </c>
      <c r="C746" s="710" t="s">
        <v>2406</v>
      </c>
      <c r="D746" s="701"/>
      <c r="E746" s="588"/>
      <c r="F746" s="701">
        <v>10650592.85</v>
      </c>
    </row>
    <row r="747" spans="2:6" x14ac:dyDescent="0.2">
      <c r="B747" s="592">
        <v>7000</v>
      </c>
      <c r="C747" s="710" t="s">
        <v>2407</v>
      </c>
      <c r="D747" s="701"/>
      <c r="E747" s="588"/>
    </row>
    <row r="748" spans="2:6" x14ac:dyDescent="0.2">
      <c r="B748" s="592">
        <v>8000</v>
      </c>
      <c r="C748" s="710" t="s">
        <v>2398</v>
      </c>
      <c r="D748" s="701"/>
      <c r="E748" s="588"/>
    </row>
    <row r="749" spans="2:6" x14ac:dyDescent="0.2">
      <c r="B749" s="592">
        <v>9000</v>
      </c>
      <c r="C749" s="710" t="s">
        <v>2408</v>
      </c>
      <c r="D749" s="593"/>
      <c r="E749" s="588"/>
      <c r="F749" s="593"/>
    </row>
    <row r="750" spans="2:6" x14ac:dyDescent="0.2">
      <c r="B750" s="589"/>
      <c r="C750" s="587" t="s">
        <v>2409</v>
      </c>
      <c r="D750" s="709">
        <f>SUM(D741:D749)</f>
        <v>0</v>
      </c>
      <c r="E750" s="591"/>
      <c r="F750" s="709">
        <f>SUM(F741:F749)</f>
        <v>10802848.66</v>
      </c>
    </row>
    <row r="751" spans="2:6" x14ac:dyDescent="0.2">
      <c r="B751" s="585"/>
      <c r="C751" s="585"/>
      <c r="D751" s="701"/>
      <c r="E751" s="588"/>
    </row>
    <row r="752" spans="2:6" x14ac:dyDescent="0.2">
      <c r="B752" s="589"/>
      <c r="C752" s="696" t="s">
        <v>2410</v>
      </c>
      <c r="D752" s="594">
        <f>+D725+D738-D750</f>
        <v>0</v>
      </c>
      <c r="E752" s="591"/>
      <c r="F752" s="594">
        <f>+F725+F738-F750</f>
        <v>0</v>
      </c>
    </row>
    <row r="754" spans="2:6" x14ac:dyDescent="0.2">
      <c r="B754" s="1284" t="s">
        <v>2411</v>
      </c>
      <c r="C754" s="1284"/>
      <c r="D754" s="1284"/>
      <c r="E754" s="1284"/>
      <c r="F754" s="1284"/>
    </row>
    <row r="755" spans="2:6" x14ac:dyDescent="0.2">
      <c r="B755" s="708"/>
      <c r="C755" s="585"/>
    </row>
    <row r="756" spans="2:6" x14ac:dyDescent="0.2">
      <c r="B756" s="708"/>
      <c r="C756" s="708" t="s">
        <v>2412</v>
      </c>
      <c r="D756" s="586"/>
      <c r="F756" s="591"/>
    </row>
    <row r="757" spans="2:6" x14ac:dyDescent="0.2">
      <c r="B757" s="705" t="s">
        <v>5</v>
      </c>
      <c r="C757" s="2" t="s">
        <v>6</v>
      </c>
      <c r="D757" s="701">
        <v>0</v>
      </c>
      <c r="E757" s="588"/>
      <c r="F757" s="701">
        <v>0</v>
      </c>
    </row>
    <row r="758" spans="2:6" x14ac:dyDescent="0.2">
      <c r="B758" s="705" t="s">
        <v>9</v>
      </c>
      <c r="C758" s="700" t="s">
        <v>10</v>
      </c>
      <c r="D758" s="715"/>
    </row>
    <row r="759" spans="2:6" x14ac:dyDescent="0.2">
      <c r="B759" s="705" t="s">
        <v>13</v>
      </c>
      <c r="C759" s="700" t="s">
        <v>14</v>
      </c>
      <c r="D759" s="701"/>
    </row>
    <row r="760" spans="2:6" x14ac:dyDescent="0.2">
      <c r="B760" s="705" t="s">
        <v>27</v>
      </c>
      <c r="C760" s="2" t="s">
        <v>28</v>
      </c>
      <c r="D760" s="593"/>
      <c r="E760" s="588"/>
      <c r="F760" s="593"/>
    </row>
    <row r="761" spans="2:6" x14ac:dyDescent="0.2">
      <c r="C761" s="704" t="s">
        <v>2413</v>
      </c>
      <c r="D761" s="595">
        <f>SUM(D757:D760)</f>
        <v>0</v>
      </c>
      <c r="E761" s="595"/>
      <c r="F761" s="595">
        <f>SUM(F757:F760)</f>
        <v>0</v>
      </c>
    </row>
    <row r="762" spans="2:6" x14ac:dyDescent="0.2">
      <c r="B762" s="705"/>
      <c r="C762" s="704" t="s">
        <v>2414</v>
      </c>
    </row>
    <row r="763" spans="2:6" x14ac:dyDescent="0.2">
      <c r="B763" s="705" t="s">
        <v>7</v>
      </c>
      <c r="C763" s="2" t="s">
        <v>8</v>
      </c>
      <c r="F763" s="702"/>
    </row>
    <row r="764" spans="2:6" x14ac:dyDescent="0.2">
      <c r="B764" s="705" t="s">
        <v>11</v>
      </c>
      <c r="C764" s="2" t="s">
        <v>12</v>
      </c>
      <c r="F764" s="702"/>
    </row>
    <row r="765" spans="2:6" x14ac:dyDescent="0.2">
      <c r="B765" s="705" t="s">
        <v>15</v>
      </c>
      <c r="C765" s="2" t="s">
        <v>16</v>
      </c>
    </row>
    <row r="766" spans="2:6" x14ac:dyDescent="0.2">
      <c r="B766" s="705" t="s">
        <v>592</v>
      </c>
      <c r="C766" s="2" t="s">
        <v>23</v>
      </c>
    </row>
    <row r="767" spans="2:6" ht="25.5" x14ac:dyDescent="0.2">
      <c r="B767" s="707" t="s">
        <v>595</v>
      </c>
      <c r="C767" s="706" t="s">
        <v>2415</v>
      </c>
    </row>
    <row r="768" spans="2:6" x14ac:dyDescent="0.2">
      <c r="B768" s="705" t="s">
        <v>598</v>
      </c>
      <c r="C768" s="2" t="s">
        <v>2416</v>
      </c>
    </row>
    <row r="769" spans="1:6" x14ac:dyDescent="0.2">
      <c r="B769" s="705" t="s">
        <v>600</v>
      </c>
      <c r="C769" s="2" t="s">
        <v>2417</v>
      </c>
      <c r="D769" s="593"/>
      <c r="E769" s="588"/>
      <c r="F769" s="593"/>
    </row>
    <row r="770" spans="1:6" x14ac:dyDescent="0.2">
      <c r="C770" s="704" t="s">
        <v>2418</v>
      </c>
      <c r="D770" s="591">
        <f>SUM(D763:D769)</f>
        <v>0</v>
      </c>
      <c r="E770" s="591"/>
      <c r="F770" s="591">
        <f>SUM(F763:F769)</f>
        <v>0</v>
      </c>
    </row>
    <row r="772" spans="1:6" x14ac:dyDescent="0.2">
      <c r="C772" s="703" t="s">
        <v>2419</v>
      </c>
      <c r="D772" s="594">
        <f>+D761-D770</f>
        <v>0</v>
      </c>
      <c r="E772" s="591"/>
      <c r="F772" s="594">
        <f>+F761-F770</f>
        <v>0</v>
      </c>
    </row>
    <row r="775" spans="1:6" x14ac:dyDescent="0.2">
      <c r="D775" s="700"/>
      <c r="E775" s="585"/>
      <c r="F775" s="700"/>
    </row>
    <row r="776" spans="1:6" x14ac:dyDescent="0.2">
      <c r="D776" s="700"/>
      <c r="E776" s="585"/>
      <c r="F776" s="700"/>
    </row>
    <row r="777" spans="1:6" x14ac:dyDescent="0.2">
      <c r="D777" s="700"/>
      <c r="E777" s="585"/>
      <c r="F777" s="700"/>
    </row>
    <row r="782" spans="1:6" x14ac:dyDescent="0.2">
      <c r="A782" s="1285" t="s">
        <v>7476</v>
      </c>
      <c r="B782" s="1285"/>
      <c r="C782" s="1285"/>
      <c r="D782" s="1285"/>
      <c r="E782" s="1285"/>
      <c r="F782" s="1285"/>
    </row>
    <row r="783" spans="1:6" x14ac:dyDescent="0.2">
      <c r="A783" s="1285" t="s">
        <v>7478</v>
      </c>
      <c r="B783" s="1285"/>
      <c r="C783" s="1285"/>
      <c r="D783" s="1285"/>
      <c r="E783" s="1285"/>
      <c r="F783" s="1285"/>
    </row>
    <row r="784" spans="1:6" x14ac:dyDescent="0.2">
      <c r="A784" s="1285" t="s">
        <v>8955</v>
      </c>
      <c r="B784" s="1285"/>
      <c r="C784" s="1285"/>
      <c r="D784" s="1285"/>
      <c r="E784" s="1285"/>
      <c r="F784" s="1285"/>
    </row>
    <row r="785" spans="1:6" x14ac:dyDescent="0.2">
      <c r="A785" s="1285" t="s">
        <v>8930</v>
      </c>
      <c r="B785" s="1285"/>
      <c r="C785" s="1285"/>
      <c r="D785" s="1285"/>
      <c r="E785" s="1285"/>
      <c r="F785" s="1285"/>
    </row>
    <row r="786" spans="1:6" x14ac:dyDescent="0.2">
      <c r="D786" s="701"/>
      <c r="E786" s="588"/>
      <c r="F786" s="714"/>
    </row>
    <row r="787" spans="1:6" x14ac:dyDescent="0.2">
      <c r="D787" s="701"/>
      <c r="E787" s="588"/>
      <c r="F787" s="714"/>
    </row>
    <row r="788" spans="1:6" x14ac:dyDescent="0.2">
      <c r="C788" s="708"/>
      <c r="D788" s="713" t="s">
        <v>2392</v>
      </c>
      <c r="E788" s="590"/>
      <c r="F788" s="713" t="s">
        <v>2393</v>
      </c>
    </row>
    <row r="789" spans="1:6" x14ac:dyDescent="0.2">
      <c r="B789" s="712"/>
      <c r="C789" s="2"/>
      <c r="D789" s="701"/>
      <c r="E789" s="588"/>
    </row>
    <row r="790" spans="1:6" x14ac:dyDescent="0.2">
      <c r="C790" s="711" t="s">
        <v>2394</v>
      </c>
      <c r="D790" s="594">
        <v>2038.45</v>
      </c>
      <c r="E790" s="591"/>
      <c r="F790" s="594">
        <v>0</v>
      </c>
    </row>
    <row r="791" spans="1:6" x14ac:dyDescent="0.2">
      <c r="C791" s="711"/>
      <c r="D791" s="709"/>
      <c r="E791" s="591"/>
      <c r="F791" s="709"/>
    </row>
    <row r="792" spans="1:6" x14ac:dyDescent="0.2">
      <c r="B792" s="1286" t="s">
        <v>2395</v>
      </c>
      <c r="C792" s="1286"/>
      <c r="D792" s="588"/>
      <c r="E792" s="588"/>
      <c r="F792" s="588"/>
    </row>
    <row r="793" spans="1:6" x14ac:dyDescent="0.2">
      <c r="B793" s="592">
        <v>1</v>
      </c>
      <c r="C793" s="710" t="s">
        <v>107</v>
      </c>
      <c r="D793" s="588"/>
      <c r="E793" s="588"/>
      <c r="F793" s="588"/>
    </row>
    <row r="794" spans="1:6" x14ac:dyDescent="0.2">
      <c r="B794" s="592">
        <v>2</v>
      </c>
      <c r="C794" s="710" t="s">
        <v>109</v>
      </c>
      <c r="D794" s="588"/>
      <c r="E794" s="588"/>
      <c r="F794" s="588"/>
    </row>
    <row r="795" spans="1:6" x14ac:dyDescent="0.2">
      <c r="B795" s="592">
        <v>3</v>
      </c>
      <c r="C795" s="710" t="s">
        <v>2396</v>
      </c>
      <c r="D795" s="588"/>
      <c r="E795" s="588"/>
      <c r="F795" s="588"/>
    </row>
    <row r="796" spans="1:6" x14ac:dyDescent="0.2">
      <c r="B796" s="592">
        <v>4</v>
      </c>
      <c r="C796" s="710" t="s">
        <v>113</v>
      </c>
      <c r="D796" s="588"/>
      <c r="E796" s="588"/>
      <c r="F796" s="588"/>
    </row>
    <row r="797" spans="1:6" x14ac:dyDescent="0.2">
      <c r="B797" s="592">
        <v>5</v>
      </c>
      <c r="C797" s="710" t="s">
        <v>228</v>
      </c>
      <c r="D797" s="588">
        <v>-0.45</v>
      </c>
      <c r="E797" s="588"/>
      <c r="F797" s="588">
        <v>2038</v>
      </c>
    </row>
    <row r="798" spans="1:6" x14ac:dyDescent="0.2">
      <c r="B798" s="592">
        <v>6</v>
      </c>
      <c r="C798" s="710" t="s">
        <v>231</v>
      </c>
      <c r="D798" s="588"/>
      <c r="E798" s="588"/>
      <c r="F798" s="588"/>
    </row>
    <row r="799" spans="1:6" x14ac:dyDescent="0.2">
      <c r="B799" s="592">
        <v>7</v>
      </c>
      <c r="C799" s="710" t="s">
        <v>2397</v>
      </c>
      <c r="D799" s="350"/>
      <c r="E799" s="350"/>
      <c r="F799" s="350"/>
    </row>
    <row r="800" spans="1:6" x14ac:dyDescent="0.2">
      <c r="B800" s="592">
        <v>8</v>
      </c>
      <c r="C800" s="710" t="s">
        <v>2398</v>
      </c>
      <c r="D800" s="588"/>
      <c r="E800" s="588"/>
      <c r="F800" s="588">
        <v>2389087.7999999998</v>
      </c>
    </row>
    <row r="801" spans="2:6" x14ac:dyDescent="0.2">
      <c r="B801" s="592">
        <v>9</v>
      </c>
      <c r="C801" s="710" t="s">
        <v>2399</v>
      </c>
      <c r="D801" s="588"/>
      <c r="E801" s="588"/>
      <c r="F801" s="588"/>
    </row>
    <row r="802" spans="2:6" x14ac:dyDescent="0.2">
      <c r="B802" s="592">
        <v>0</v>
      </c>
      <c r="C802" s="710" t="s">
        <v>500</v>
      </c>
      <c r="D802" s="593"/>
      <c r="E802" s="588"/>
      <c r="F802" s="593"/>
    </row>
    <row r="803" spans="2:6" x14ac:dyDescent="0.2">
      <c r="B803" s="585"/>
      <c r="C803" s="587" t="s">
        <v>2400</v>
      </c>
      <c r="D803" s="709">
        <f>SUM(D793:D802)</f>
        <v>-0.45</v>
      </c>
      <c r="E803" s="591"/>
      <c r="F803" s="709">
        <f>SUM(F793:F802)</f>
        <v>2391125.7999999998</v>
      </c>
    </row>
    <row r="804" spans="2:6" x14ac:dyDescent="0.2">
      <c r="B804" s="585"/>
      <c r="C804" s="585"/>
      <c r="D804" s="701"/>
      <c r="E804" s="588"/>
    </row>
    <row r="805" spans="2:6" x14ac:dyDescent="0.2">
      <c r="B805" s="1283" t="s">
        <v>2401</v>
      </c>
      <c r="C805" s="1283"/>
      <c r="D805" s="709"/>
      <c r="E805" s="591"/>
      <c r="F805" s="709"/>
    </row>
    <row r="806" spans="2:6" x14ac:dyDescent="0.2">
      <c r="B806" s="592">
        <v>1000</v>
      </c>
      <c r="C806" s="710" t="s">
        <v>2402</v>
      </c>
      <c r="D806" s="701"/>
      <c r="E806" s="588"/>
    </row>
    <row r="807" spans="2:6" x14ac:dyDescent="0.2">
      <c r="B807" s="592">
        <v>2000</v>
      </c>
      <c r="C807" s="710" t="s">
        <v>2403</v>
      </c>
      <c r="D807" s="701"/>
      <c r="E807" s="588"/>
    </row>
    <row r="808" spans="2:6" x14ac:dyDescent="0.2">
      <c r="B808" s="592">
        <v>3000</v>
      </c>
      <c r="C808" s="710" t="s">
        <v>2404</v>
      </c>
      <c r="D808" s="701"/>
      <c r="E808" s="588"/>
      <c r="F808" s="701">
        <v>2389087.7999999998</v>
      </c>
    </row>
    <row r="809" spans="2:6" x14ac:dyDescent="0.2">
      <c r="B809" s="592">
        <v>4000</v>
      </c>
      <c r="C809" s="710" t="s">
        <v>2399</v>
      </c>
      <c r="D809" s="701">
        <v>2038</v>
      </c>
      <c r="E809" s="588"/>
      <c r="F809" s="701">
        <v>2038</v>
      </c>
    </row>
    <row r="810" spans="2:6" x14ac:dyDescent="0.2">
      <c r="B810" s="592">
        <v>5000</v>
      </c>
      <c r="C810" s="710" t="s">
        <v>2405</v>
      </c>
      <c r="D810" s="701"/>
      <c r="E810" s="588"/>
    </row>
    <row r="811" spans="2:6" x14ac:dyDescent="0.2">
      <c r="B811" s="592">
        <v>6000</v>
      </c>
      <c r="C811" s="710" t="s">
        <v>2406</v>
      </c>
      <c r="D811" s="701"/>
      <c r="E811" s="588"/>
    </row>
    <row r="812" spans="2:6" x14ac:dyDescent="0.2">
      <c r="B812" s="592">
        <v>7000</v>
      </c>
      <c r="C812" s="710" t="s">
        <v>2407</v>
      </c>
      <c r="D812" s="701"/>
      <c r="E812" s="588"/>
    </row>
    <row r="813" spans="2:6" x14ac:dyDescent="0.2">
      <c r="B813" s="592">
        <v>8000</v>
      </c>
      <c r="C813" s="710" t="s">
        <v>2398</v>
      </c>
      <c r="D813" s="701"/>
      <c r="E813" s="588"/>
    </row>
    <row r="814" spans="2:6" x14ac:dyDescent="0.2">
      <c r="B814" s="592">
        <v>9000</v>
      </c>
      <c r="C814" s="710" t="s">
        <v>2408</v>
      </c>
      <c r="D814" s="593"/>
      <c r="E814" s="588"/>
      <c r="F814" s="593"/>
    </row>
    <row r="815" spans="2:6" x14ac:dyDescent="0.2">
      <c r="B815" s="589"/>
      <c r="C815" s="587" t="s">
        <v>2409</v>
      </c>
      <c r="D815" s="709">
        <f>SUM(D806:D814)</f>
        <v>2038</v>
      </c>
      <c r="E815" s="591"/>
      <c r="F815" s="709">
        <f>SUM(F806:F814)</f>
        <v>2391125.7999999998</v>
      </c>
    </row>
    <row r="816" spans="2:6" x14ac:dyDescent="0.2">
      <c r="B816" s="585"/>
      <c r="C816" s="585"/>
      <c r="D816" s="701"/>
      <c r="E816" s="588"/>
    </row>
    <row r="817" spans="2:6" x14ac:dyDescent="0.2">
      <c r="B817" s="589"/>
      <c r="C817" s="696" t="s">
        <v>2410</v>
      </c>
      <c r="D817" s="594">
        <f>+D790+D803-D815</f>
        <v>0</v>
      </c>
      <c r="E817" s="591"/>
      <c r="F817" s="594">
        <f>+F790+F803-F815</f>
        <v>0</v>
      </c>
    </row>
    <row r="819" spans="2:6" x14ac:dyDescent="0.2">
      <c r="B819" s="1284" t="s">
        <v>2411</v>
      </c>
      <c r="C819" s="1284"/>
      <c r="D819" s="1284"/>
      <c r="E819" s="1284"/>
      <c r="F819" s="1284"/>
    </row>
    <row r="820" spans="2:6" x14ac:dyDescent="0.2">
      <c r="B820" s="708"/>
      <c r="C820" s="585"/>
    </row>
    <row r="821" spans="2:6" x14ac:dyDescent="0.2">
      <c r="B821" s="708"/>
      <c r="C821" s="708" t="s">
        <v>2412</v>
      </c>
      <c r="D821" s="586"/>
      <c r="F821" s="591"/>
    </row>
    <row r="822" spans="2:6" x14ac:dyDescent="0.2">
      <c r="B822" s="705" t="s">
        <v>5</v>
      </c>
      <c r="C822" s="2" t="s">
        <v>6</v>
      </c>
      <c r="D822" s="701">
        <v>0</v>
      </c>
      <c r="E822" s="588"/>
      <c r="F822" s="701">
        <v>0</v>
      </c>
    </row>
    <row r="823" spans="2:6" x14ac:dyDescent="0.2">
      <c r="B823" s="705" t="s">
        <v>9</v>
      </c>
      <c r="C823" s="700" t="s">
        <v>10</v>
      </c>
      <c r="D823" s="715"/>
    </row>
    <row r="824" spans="2:6" x14ac:dyDescent="0.2">
      <c r="B824" s="705" t="s">
        <v>13</v>
      </c>
      <c r="C824" s="700" t="s">
        <v>14</v>
      </c>
      <c r="D824" s="701"/>
    </row>
    <row r="825" spans="2:6" x14ac:dyDescent="0.2">
      <c r="B825" s="705" t="s">
        <v>27</v>
      </c>
      <c r="C825" s="2" t="s">
        <v>28</v>
      </c>
      <c r="D825" s="593"/>
      <c r="E825" s="588"/>
      <c r="F825" s="593"/>
    </row>
    <row r="826" spans="2:6" x14ac:dyDescent="0.2">
      <c r="C826" s="704" t="s">
        <v>2413</v>
      </c>
      <c r="D826" s="595">
        <f>SUM(D822:D825)</f>
        <v>0</v>
      </c>
      <c r="E826" s="595"/>
      <c r="F826" s="595">
        <f>SUM(F822:F825)</f>
        <v>0</v>
      </c>
    </row>
    <row r="827" spans="2:6" x14ac:dyDescent="0.2">
      <c r="B827" s="705"/>
      <c r="C827" s="704" t="s">
        <v>2414</v>
      </c>
    </row>
    <row r="828" spans="2:6" x14ac:dyDescent="0.2">
      <c r="B828" s="705" t="s">
        <v>7</v>
      </c>
      <c r="C828" s="2" t="s">
        <v>8</v>
      </c>
      <c r="F828" s="702"/>
    </row>
    <row r="829" spans="2:6" x14ac:dyDescent="0.2">
      <c r="B829" s="705" t="s">
        <v>11</v>
      </c>
      <c r="C829" s="2" t="s">
        <v>12</v>
      </c>
      <c r="F829" s="702"/>
    </row>
    <row r="830" spans="2:6" x14ac:dyDescent="0.2">
      <c r="B830" s="705" t="s">
        <v>15</v>
      </c>
      <c r="C830" s="2" t="s">
        <v>16</v>
      </c>
    </row>
    <row r="831" spans="2:6" x14ac:dyDescent="0.2">
      <c r="B831" s="705" t="s">
        <v>592</v>
      </c>
      <c r="C831" s="2" t="s">
        <v>23</v>
      </c>
    </row>
    <row r="832" spans="2:6" ht="25.5" x14ac:dyDescent="0.2">
      <c r="B832" s="707" t="s">
        <v>595</v>
      </c>
      <c r="C832" s="706" t="s">
        <v>2415</v>
      </c>
    </row>
    <row r="833" spans="1:6" x14ac:dyDescent="0.2">
      <c r="B833" s="705" t="s">
        <v>598</v>
      </c>
      <c r="C833" s="2" t="s">
        <v>2416</v>
      </c>
    </row>
    <row r="834" spans="1:6" x14ac:dyDescent="0.2">
      <c r="B834" s="705" t="s">
        <v>600</v>
      </c>
      <c r="C834" s="2" t="s">
        <v>2417</v>
      </c>
      <c r="D834" s="593"/>
      <c r="E834" s="588"/>
      <c r="F834" s="593"/>
    </row>
    <row r="835" spans="1:6" x14ac:dyDescent="0.2">
      <c r="C835" s="704" t="s">
        <v>2418</v>
      </c>
      <c r="D835" s="591">
        <f>SUM(D828:D834)</f>
        <v>0</v>
      </c>
      <c r="E835" s="591"/>
      <c r="F835" s="591">
        <f>SUM(F828:F834)</f>
        <v>0</v>
      </c>
    </row>
    <row r="837" spans="1:6" x14ac:dyDescent="0.2">
      <c r="C837" s="703" t="s">
        <v>2419</v>
      </c>
      <c r="D837" s="594">
        <f>+D826-D835</f>
        <v>0</v>
      </c>
      <c r="E837" s="591"/>
      <c r="F837" s="594">
        <f>+F826-F835</f>
        <v>0</v>
      </c>
    </row>
    <row r="840" spans="1:6" x14ac:dyDescent="0.2">
      <c r="D840" s="700"/>
      <c r="E840" s="585"/>
      <c r="F840" s="700"/>
    </row>
    <row r="841" spans="1:6" x14ac:dyDescent="0.2">
      <c r="D841" s="700"/>
      <c r="E841" s="585"/>
      <c r="F841" s="700"/>
    </row>
    <row r="842" spans="1:6" x14ac:dyDescent="0.2">
      <c r="D842" s="700"/>
      <c r="E842" s="585"/>
      <c r="F842" s="700"/>
    </row>
    <row r="847" spans="1:6" x14ac:dyDescent="0.2">
      <c r="A847" s="1285" t="s">
        <v>7476</v>
      </c>
      <c r="B847" s="1285"/>
      <c r="C847" s="1285"/>
      <c r="D847" s="1285"/>
      <c r="E847" s="1285"/>
      <c r="F847" s="1285"/>
    </row>
    <row r="848" spans="1:6" x14ac:dyDescent="0.2">
      <c r="A848" s="1285" t="s">
        <v>7478</v>
      </c>
      <c r="B848" s="1285"/>
      <c r="C848" s="1285"/>
      <c r="D848" s="1285"/>
      <c r="E848" s="1285"/>
      <c r="F848" s="1285"/>
    </row>
    <row r="849" spans="1:6" x14ac:dyDescent="0.2">
      <c r="A849" s="1285" t="s">
        <v>8954</v>
      </c>
      <c r="B849" s="1285"/>
      <c r="C849" s="1285"/>
      <c r="D849" s="1285"/>
      <c r="E849" s="1285"/>
      <c r="F849" s="1285"/>
    </row>
    <row r="850" spans="1:6" x14ac:dyDescent="0.2">
      <c r="A850" s="1285" t="s">
        <v>8930</v>
      </c>
      <c r="B850" s="1285"/>
      <c r="C850" s="1285"/>
      <c r="D850" s="1285"/>
      <c r="E850" s="1285"/>
      <c r="F850" s="1285"/>
    </row>
    <row r="851" spans="1:6" x14ac:dyDescent="0.2">
      <c r="D851" s="701"/>
      <c r="E851" s="588"/>
      <c r="F851" s="714"/>
    </row>
    <row r="852" spans="1:6" x14ac:dyDescent="0.2">
      <c r="D852" s="701"/>
      <c r="E852" s="588"/>
      <c r="F852" s="714"/>
    </row>
    <row r="853" spans="1:6" x14ac:dyDescent="0.2">
      <c r="C853" s="708"/>
      <c r="D853" s="713" t="s">
        <v>2392</v>
      </c>
      <c r="E853" s="590"/>
      <c r="F853" s="713" t="s">
        <v>2393</v>
      </c>
    </row>
    <row r="854" spans="1:6" x14ac:dyDescent="0.2">
      <c r="B854" s="712"/>
      <c r="C854" s="2"/>
      <c r="D854" s="701"/>
      <c r="E854" s="588"/>
    </row>
    <row r="855" spans="1:6" x14ac:dyDescent="0.2">
      <c r="C855" s="711" t="s">
        <v>2394</v>
      </c>
      <c r="D855" s="594">
        <v>60087.010000000017</v>
      </c>
      <c r="E855" s="591"/>
      <c r="F855" s="594">
        <v>0</v>
      </c>
    </row>
    <row r="856" spans="1:6" x14ac:dyDescent="0.2">
      <c r="C856" s="711"/>
      <c r="D856" s="709"/>
      <c r="E856" s="591"/>
      <c r="F856" s="709"/>
    </row>
    <row r="857" spans="1:6" x14ac:dyDescent="0.2">
      <c r="B857" s="1286" t="s">
        <v>2395</v>
      </c>
      <c r="C857" s="1286"/>
      <c r="D857" s="588"/>
      <c r="E857" s="588"/>
      <c r="F857" s="588"/>
    </row>
    <row r="858" spans="1:6" x14ac:dyDescent="0.2">
      <c r="B858" s="592">
        <v>1</v>
      </c>
      <c r="C858" s="710" t="s">
        <v>107</v>
      </c>
      <c r="D858" s="588"/>
      <c r="E858" s="588"/>
      <c r="F858" s="588"/>
    </row>
    <row r="859" spans="1:6" x14ac:dyDescent="0.2">
      <c r="B859" s="592">
        <v>2</v>
      </c>
      <c r="C859" s="710" t="s">
        <v>109</v>
      </c>
      <c r="D859" s="588"/>
      <c r="E859" s="588"/>
      <c r="F859" s="588"/>
    </row>
    <row r="860" spans="1:6" x14ac:dyDescent="0.2">
      <c r="B860" s="592">
        <v>3</v>
      </c>
      <c r="C860" s="710" t="s">
        <v>2396</v>
      </c>
      <c r="D860" s="588"/>
      <c r="E860" s="588"/>
      <c r="F860" s="588"/>
    </row>
    <row r="861" spans="1:6" x14ac:dyDescent="0.2">
      <c r="B861" s="592">
        <v>4</v>
      </c>
      <c r="C861" s="710" t="s">
        <v>113</v>
      </c>
      <c r="D861" s="588"/>
      <c r="E861" s="588"/>
      <c r="F861" s="588"/>
    </row>
    <row r="862" spans="1:6" x14ac:dyDescent="0.2">
      <c r="B862" s="592">
        <v>5</v>
      </c>
      <c r="C862" s="710" t="s">
        <v>228</v>
      </c>
      <c r="D862" s="588"/>
      <c r="E862" s="588"/>
      <c r="F862" s="588">
        <v>87.01</v>
      </c>
    </row>
    <row r="863" spans="1:6" x14ac:dyDescent="0.2">
      <c r="B863" s="592">
        <v>6</v>
      </c>
      <c r="C863" s="710" t="s">
        <v>231</v>
      </c>
      <c r="D863" s="588"/>
      <c r="E863" s="588"/>
      <c r="F863" s="588"/>
    </row>
    <row r="864" spans="1:6" x14ac:dyDescent="0.2">
      <c r="B864" s="592">
        <v>7</v>
      </c>
      <c r="C864" s="710" t="s">
        <v>2397</v>
      </c>
      <c r="D864" s="350"/>
      <c r="E864" s="350"/>
      <c r="F864" s="350"/>
    </row>
    <row r="865" spans="2:6" x14ac:dyDescent="0.2">
      <c r="B865" s="592">
        <v>8</v>
      </c>
      <c r="C865" s="710" t="s">
        <v>2398</v>
      </c>
      <c r="D865" s="588"/>
      <c r="E865" s="588"/>
      <c r="F865" s="588">
        <v>537817.56000000006</v>
      </c>
    </row>
    <row r="866" spans="2:6" x14ac:dyDescent="0.2">
      <c r="B866" s="592">
        <v>9</v>
      </c>
      <c r="C866" s="710" t="s">
        <v>2399</v>
      </c>
      <c r="D866" s="588"/>
      <c r="E866" s="588"/>
      <c r="F866" s="588"/>
    </row>
    <row r="867" spans="2:6" x14ac:dyDescent="0.2">
      <c r="B867" s="592">
        <v>0</v>
      </c>
      <c r="C867" s="710" t="s">
        <v>500</v>
      </c>
      <c r="D867" s="593"/>
      <c r="E867" s="588"/>
      <c r="F867" s="593"/>
    </row>
    <row r="868" spans="2:6" x14ac:dyDescent="0.2">
      <c r="B868" s="585"/>
      <c r="C868" s="587" t="s">
        <v>2400</v>
      </c>
      <c r="D868" s="709">
        <f>SUM(D858:D867)</f>
        <v>0</v>
      </c>
      <c r="E868" s="591"/>
      <c r="F868" s="709">
        <f>SUM(F858:F867)</f>
        <v>537904.57000000007</v>
      </c>
    </row>
    <row r="869" spans="2:6" x14ac:dyDescent="0.2">
      <c r="B869" s="585"/>
      <c r="C869" s="585"/>
      <c r="D869" s="701"/>
      <c r="E869" s="588"/>
    </row>
    <row r="870" spans="2:6" x14ac:dyDescent="0.2">
      <c r="B870" s="1283" t="s">
        <v>2401</v>
      </c>
      <c r="C870" s="1283"/>
      <c r="D870" s="709"/>
      <c r="E870" s="591"/>
      <c r="F870" s="709"/>
    </row>
    <row r="871" spans="2:6" x14ac:dyDescent="0.2">
      <c r="B871" s="592">
        <v>1000</v>
      </c>
      <c r="C871" s="710" t="s">
        <v>2402</v>
      </c>
      <c r="D871" s="701"/>
      <c r="E871" s="588"/>
    </row>
    <row r="872" spans="2:6" x14ac:dyDescent="0.2">
      <c r="B872" s="592">
        <v>2000</v>
      </c>
      <c r="C872" s="710" t="s">
        <v>2403</v>
      </c>
      <c r="D872" s="701"/>
      <c r="E872" s="588"/>
    </row>
    <row r="873" spans="2:6" x14ac:dyDescent="0.2">
      <c r="B873" s="592">
        <v>3000</v>
      </c>
      <c r="C873" s="710" t="s">
        <v>2404</v>
      </c>
      <c r="D873" s="701"/>
      <c r="E873" s="588"/>
    </row>
    <row r="874" spans="2:6" x14ac:dyDescent="0.2">
      <c r="B874" s="592">
        <v>4000</v>
      </c>
      <c r="C874" s="710" t="s">
        <v>2399</v>
      </c>
      <c r="D874" s="701">
        <v>60087.01</v>
      </c>
      <c r="E874" s="588"/>
      <c r="F874" s="701">
        <v>537904.56999999995</v>
      </c>
    </row>
    <row r="875" spans="2:6" x14ac:dyDescent="0.2">
      <c r="B875" s="592">
        <v>5000</v>
      </c>
      <c r="C875" s="710" t="s">
        <v>2405</v>
      </c>
      <c r="D875" s="701"/>
      <c r="E875" s="588"/>
    </row>
    <row r="876" spans="2:6" x14ac:dyDescent="0.2">
      <c r="B876" s="592">
        <v>6000</v>
      </c>
      <c r="C876" s="710" t="s">
        <v>2406</v>
      </c>
      <c r="D876" s="701"/>
      <c r="E876" s="588"/>
    </row>
    <row r="877" spans="2:6" x14ac:dyDescent="0.2">
      <c r="B877" s="592">
        <v>7000</v>
      </c>
      <c r="C877" s="710" t="s">
        <v>2407</v>
      </c>
      <c r="D877" s="701"/>
      <c r="E877" s="588"/>
    </row>
    <row r="878" spans="2:6" x14ac:dyDescent="0.2">
      <c r="B878" s="592">
        <v>8000</v>
      </c>
      <c r="C878" s="710" t="s">
        <v>2398</v>
      </c>
      <c r="D878" s="701"/>
      <c r="E878" s="588"/>
    </row>
    <row r="879" spans="2:6" x14ac:dyDescent="0.2">
      <c r="B879" s="592">
        <v>9000</v>
      </c>
      <c r="C879" s="710" t="s">
        <v>2408</v>
      </c>
      <c r="D879" s="593"/>
      <c r="E879" s="588"/>
      <c r="F879" s="593"/>
    </row>
    <row r="880" spans="2:6" x14ac:dyDescent="0.2">
      <c r="B880" s="589"/>
      <c r="C880" s="587" t="s">
        <v>2409</v>
      </c>
      <c r="D880" s="709">
        <f>SUM(D871:D879)</f>
        <v>60087.01</v>
      </c>
      <c r="E880" s="591"/>
      <c r="F880" s="709">
        <f>SUM(F871:F879)</f>
        <v>537904.56999999995</v>
      </c>
    </row>
    <row r="881" spans="2:6" x14ac:dyDescent="0.2">
      <c r="B881" s="585"/>
      <c r="C881" s="585"/>
      <c r="D881" s="701"/>
      <c r="E881" s="588"/>
    </row>
    <row r="882" spans="2:6" x14ac:dyDescent="0.2">
      <c r="B882" s="589"/>
      <c r="C882" s="696" t="s">
        <v>2410</v>
      </c>
      <c r="D882" s="594">
        <f>+D855+D868-D880</f>
        <v>0</v>
      </c>
      <c r="E882" s="591"/>
      <c r="F882" s="594">
        <f>+F855+F868-F880</f>
        <v>0</v>
      </c>
    </row>
    <row r="884" spans="2:6" x14ac:dyDescent="0.2">
      <c r="B884" s="1284" t="s">
        <v>2411</v>
      </c>
      <c r="C884" s="1284"/>
      <c r="D884" s="1284"/>
      <c r="E884" s="1284"/>
      <c r="F884" s="1284"/>
    </row>
    <row r="885" spans="2:6" x14ac:dyDescent="0.2">
      <c r="B885" s="708"/>
      <c r="C885" s="585"/>
    </row>
    <row r="886" spans="2:6" x14ac:dyDescent="0.2">
      <c r="B886" s="708"/>
      <c r="C886" s="708" t="s">
        <v>2412</v>
      </c>
      <c r="D886" s="586"/>
      <c r="F886" s="591"/>
    </row>
    <row r="887" spans="2:6" x14ac:dyDescent="0.2">
      <c r="B887" s="705" t="s">
        <v>5</v>
      </c>
      <c r="C887" s="2" t="s">
        <v>6</v>
      </c>
      <c r="D887" s="701">
        <v>0</v>
      </c>
      <c r="E887" s="588"/>
      <c r="F887" s="701">
        <v>0</v>
      </c>
    </row>
    <row r="888" spans="2:6" x14ac:dyDescent="0.2">
      <c r="B888" s="705" t="s">
        <v>9</v>
      </c>
      <c r="C888" s="700" t="s">
        <v>10</v>
      </c>
      <c r="D888" s="715"/>
    </row>
    <row r="889" spans="2:6" x14ac:dyDescent="0.2">
      <c r="B889" s="705" t="s">
        <v>13</v>
      </c>
      <c r="C889" s="700" t="s">
        <v>14</v>
      </c>
      <c r="D889" s="701"/>
    </row>
    <row r="890" spans="2:6" x14ac:dyDescent="0.2">
      <c r="B890" s="705" t="s">
        <v>27</v>
      </c>
      <c r="C890" s="2" t="s">
        <v>28</v>
      </c>
      <c r="D890" s="593"/>
      <c r="E890" s="588"/>
      <c r="F890" s="593"/>
    </row>
    <row r="891" spans="2:6" x14ac:dyDescent="0.2">
      <c r="C891" s="704" t="s">
        <v>2413</v>
      </c>
      <c r="D891" s="595">
        <f>SUM(D887:D890)</f>
        <v>0</v>
      </c>
      <c r="E891" s="595"/>
      <c r="F891" s="595">
        <f>SUM(F887:F890)</f>
        <v>0</v>
      </c>
    </row>
    <row r="892" spans="2:6" x14ac:dyDescent="0.2">
      <c r="B892" s="705"/>
      <c r="C892" s="704" t="s">
        <v>2414</v>
      </c>
    </row>
    <row r="893" spans="2:6" x14ac:dyDescent="0.2">
      <c r="B893" s="705" t="s">
        <v>7</v>
      </c>
      <c r="C893" s="2" t="s">
        <v>8</v>
      </c>
      <c r="F893" s="702"/>
    </row>
    <row r="894" spans="2:6" x14ac:dyDescent="0.2">
      <c r="B894" s="705" t="s">
        <v>11</v>
      </c>
      <c r="C894" s="2" t="s">
        <v>12</v>
      </c>
      <c r="F894" s="702"/>
    </row>
    <row r="895" spans="2:6" x14ac:dyDescent="0.2">
      <c r="B895" s="705" t="s">
        <v>15</v>
      </c>
      <c r="C895" s="2" t="s">
        <v>16</v>
      </c>
    </row>
    <row r="896" spans="2:6" x14ac:dyDescent="0.2">
      <c r="B896" s="705" t="s">
        <v>592</v>
      </c>
      <c r="C896" s="2" t="s">
        <v>23</v>
      </c>
    </row>
    <row r="897" spans="1:6" ht="25.5" x14ac:dyDescent="0.2">
      <c r="B897" s="707" t="s">
        <v>595</v>
      </c>
      <c r="C897" s="706" t="s">
        <v>2415</v>
      </c>
    </row>
    <row r="898" spans="1:6" x14ac:dyDescent="0.2">
      <c r="B898" s="705" t="s">
        <v>598</v>
      </c>
      <c r="C898" s="2" t="s">
        <v>2416</v>
      </c>
    </row>
    <row r="899" spans="1:6" x14ac:dyDescent="0.2">
      <c r="B899" s="705" t="s">
        <v>600</v>
      </c>
      <c r="C899" s="2" t="s">
        <v>2417</v>
      </c>
      <c r="D899" s="593"/>
      <c r="E899" s="588"/>
      <c r="F899" s="593"/>
    </row>
    <row r="900" spans="1:6" x14ac:dyDescent="0.2">
      <c r="C900" s="704" t="s">
        <v>2418</v>
      </c>
      <c r="D900" s="591">
        <f>SUM(D893:D899)</f>
        <v>0</v>
      </c>
      <c r="E900" s="591"/>
      <c r="F900" s="591">
        <f>SUM(F893:F899)</f>
        <v>0</v>
      </c>
    </row>
    <row r="902" spans="1:6" x14ac:dyDescent="0.2">
      <c r="C902" s="703" t="s">
        <v>2419</v>
      </c>
      <c r="D902" s="594">
        <f>+D891-D900</f>
        <v>0</v>
      </c>
      <c r="E902" s="591"/>
      <c r="F902" s="594">
        <f>+F891-F900</f>
        <v>0</v>
      </c>
    </row>
    <row r="905" spans="1:6" x14ac:dyDescent="0.2">
      <c r="D905" s="700"/>
      <c r="E905" s="585"/>
      <c r="F905" s="700"/>
    </row>
    <row r="906" spans="1:6" x14ac:dyDescent="0.2">
      <c r="D906" s="700"/>
      <c r="E906" s="585"/>
      <c r="F906" s="700"/>
    </row>
    <row r="907" spans="1:6" x14ac:dyDescent="0.2">
      <c r="D907" s="700"/>
      <c r="E907" s="585"/>
      <c r="F907" s="700"/>
    </row>
    <row r="912" spans="1:6" x14ac:dyDescent="0.2">
      <c r="A912" s="1285" t="s">
        <v>7476</v>
      </c>
      <c r="B912" s="1285"/>
      <c r="C912" s="1285"/>
      <c r="D912" s="1285"/>
      <c r="E912" s="1285"/>
      <c r="F912" s="1285"/>
    </row>
    <row r="913" spans="1:6" x14ac:dyDescent="0.2">
      <c r="A913" s="1285" t="s">
        <v>7478</v>
      </c>
      <c r="B913" s="1285"/>
      <c r="C913" s="1285"/>
      <c r="D913" s="1285"/>
      <c r="E913" s="1285"/>
      <c r="F913" s="1285"/>
    </row>
    <row r="914" spans="1:6" x14ac:dyDescent="0.2">
      <c r="A914" s="1285" t="s">
        <v>8953</v>
      </c>
      <c r="B914" s="1285"/>
      <c r="C914" s="1285"/>
      <c r="D914" s="1285"/>
      <c r="E914" s="1285"/>
      <c r="F914" s="1285"/>
    </row>
    <row r="915" spans="1:6" x14ac:dyDescent="0.2">
      <c r="A915" s="1285" t="s">
        <v>8952</v>
      </c>
      <c r="B915" s="1285"/>
      <c r="C915" s="1285"/>
      <c r="D915" s="1285"/>
      <c r="E915" s="1285"/>
      <c r="F915" s="1285"/>
    </row>
    <row r="916" spans="1:6" x14ac:dyDescent="0.2">
      <c r="D916" s="701"/>
      <c r="E916" s="588"/>
      <c r="F916" s="714"/>
    </row>
    <row r="917" spans="1:6" x14ac:dyDescent="0.2">
      <c r="D917" s="701"/>
      <c r="E917" s="588"/>
      <c r="F917" s="714"/>
    </row>
    <row r="918" spans="1:6" x14ac:dyDescent="0.2">
      <c r="C918" s="708"/>
      <c r="D918" s="713" t="s">
        <v>2392</v>
      </c>
      <c r="E918" s="590"/>
      <c r="F918" s="713" t="s">
        <v>2393</v>
      </c>
    </row>
    <row r="919" spans="1:6" x14ac:dyDescent="0.2">
      <c r="B919" s="712"/>
      <c r="C919" s="2"/>
      <c r="D919" s="701"/>
      <c r="E919" s="588"/>
    </row>
    <row r="920" spans="1:6" x14ac:dyDescent="0.2">
      <c r="C920" s="711" t="s">
        <v>2394</v>
      </c>
      <c r="D920" s="594">
        <v>3773692.8500000006</v>
      </c>
      <c r="E920" s="591"/>
      <c r="F920" s="594">
        <v>0</v>
      </c>
    </row>
    <row r="921" spans="1:6" x14ac:dyDescent="0.2">
      <c r="C921" s="711"/>
      <c r="D921" s="709"/>
      <c r="E921" s="591"/>
      <c r="F921" s="709"/>
    </row>
    <row r="922" spans="1:6" x14ac:dyDescent="0.2">
      <c r="B922" s="1286" t="s">
        <v>2395</v>
      </c>
      <c r="C922" s="1286"/>
      <c r="D922" s="588"/>
      <c r="E922" s="588"/>
      <c r="F922" s="588"/>
    </row>
    <row r="923" spans="1:6" x14ac:dyDescent="0.2">
      <c r="B923" s="592">
        <v>1</v>
      </c>
      <c r="C923" s="710" t="s">
        <v>107</v>
      </c>
      <c r="D923" s="588"/>
      <c r="E923" s="588"/>
      <c r="F923" s="588"/>
    </row>
    <row r="924" spans="1:6" x14ac:dyDescent="0.2">
      <c r="B924" s="592">
        <v>2</v>
      </c>
      <c r="C924" s="710" t="s">
        <v>109</v>
      </c>
      <c r="D924" s="588"/>
      <c r="E924" s="588"/>
      <c r="F924" s="588"/>
    </row>
    <row r="925" spans="1:6" x14ac:dyDescent="0.2">
      <c r="B925" s="592">
        <v>3</v>
      </c>
      <c r="C925" s="710" t="s">
        <v>2396</v>
      </c>
      <c r="D925" s="588"/>
      <c r="E925" s="588"/>
      <c r="F925" s="588"/>
    </row>
    <row r="926" spans="1:6" x14ac:dyDescent="0.2">
      <c r="B926" s="592">
        <v>4</v>
      </c>
      <c r="C926" s="710" t="s">
        <v>113</v>
      </c>
      <c r="D926" s="588"/>
      <c r="E926" s="588"/>
      <c r="F926" s="588"/>
    </row>
    <row r="927" spans="1:6" x14ac:dyDescent="0.2">
      <c r="B927" s="592">
        <v>5</v>
      </c>
      <c r="C927" s="710" t="s">
        <v>228</v>
      </c>
      <c r="D927" s="588">
        <v>11041.18</v>
      </c>
      <c r="E927" s="588"/>
      <c r="F927" s="588">
        <v>89890.43</v>
      </c>
    </row>
    <row r="928" spans="1:6" x14ac:dyDescent="0.2">
      <c r="B928" s="592">
        <v>6</v>
      </c>
      <c r="C928" s="710" t="s">
        <v>231</v>
      </c>
      <c r="D928" s="588"/>
      <c r="E928" s="588"/>
      <c r="F928" s="588"/>
    </row>
    <row r="929" spans="2:6" x14ac:dyDescent="0.2">
      <c r="B929" s="592">
        <v>7</v>
      </c>
      <c r="C929" s="710" t="s">
        <v>2397</v>
      </c>
      <c r="D929" s="350"/>
      <c r="E929" s="350"/>
      <c r="F929" s="350"/>
    </row>
    <row r="930" spans="2:6" x14ac:dyDescent="0.2">
      <c r="B930" s="592">
        <v>8</v>
      </c>
      <c r="C930" s="710" t="s">
        <v>2398</v>
      </c>
      <c r="D930" s="588">
        <v>1243827.03</v>
      </c>
      <c r="E930" s="588"/>
      <c r="F930" s="588">
        <v>10284500.809999999</v>
      </c>
    </row>
    <row r="931" spans="2:6" x14ac:dyDescent="0.2">
      <c r="B931" s="592">
        <v>9</v>
      </c>
      <c r="C931" s="710" t="s">
        <v>2399</v>
      </c>
      <c r="D931" s="588"/>
      <c r="E931" s="588"/>
      <c r="F931" s="588"/>
    </row>
    <row r="932" spans="2:6" x14ac:dyDescent="0.2">
      <c r="B932" s="592">
        <v>0</v>
      </c>
      <c r="C932" s="710" t="s">
        <v>500</v>
      </c>
      <c r="D932" s="593"/>
      <c r="E932" s="588"/>
      <c r="F932" s="593"/>
    </row>
    <row r="933" spans="2:6" x14ac:dyDescent="0.2">
      <c r="B933" s="585"/>
      <c r="C933" s="587" t="s">
        <v>2400</v>
      </c>
      <c r="D933" s="709">
        <f>SUM(D923:D932)</f>
        <v>1254868.21</v>
      </c>
      <c r="E933" s="591"/>
      <c r="F933" s="709">
        <f>SUM(F923:F932)</f>
        <v>10374391.239999998</v>
      </c>
    </row>
    <row r="934" spans="2:6" x14ac:dyDescent="0.2">
      <c r="B934" s="585"/>
      <c r="C934" s="585"/>
      <c r="D934" s="701"/>
      <c r="E934" s="588"/>
    </row>
    <row r="935" spans="2:6" x14ac:dyDescent="0.2">
      <c r="B935" s="1283" t="s">
        <v>2401</v>
      </c>
      <c r="C935" s="1283"/>
      <c r="D935" s="709"/>
      <c r="E935" s="591"/>
      <c r="F935" s="709"/>
    </row>
    <row r="936" spans="2:6" x14ac:dyDescent="0.2">
      <c r="B936" s="592">
        <v>1000</v>
      </c>
      <c r="C936" s="710" t="s">
        <v>2402</v>
      </c>
      <c r="D936" s="701"/>
      <c r="E936" s="588"/>
    </row>
    <row r="937" spans="2:6" x14ac:dyDescent="0.2">
      <c r="B937" s="592">
        <v>2000</v>
      </c>
      <c r="C937" s="710" t="s">
        <v>2403</v>
      </c>
      <c r="D937" s="701"/>
      <c r="E937" s="588"/>
    </row>
    <row r="938" spans="2:6" x14ac:dyDescent="0.2">
      <c r="B938" s="592">
        <v>3000</v>
      </c>
      <c r="C938" s="710" t="s">
        <v>2404</v>
      </c>
      <c r="D938" s="701"/>
      <c r="E938" s="588"/>
    </row>
    <row r="939" spans="2:6" x14ac:dyDescent="0.2">
      <c r="B939" s="592">
        <v>4000</v>
      </c>
      <c r="C939" s="710" t="s">
        <v>2399</v>
      </c>
      <c r="D939" s="701"/>
      <c r="E939" s="588"/>
    </row>
    <row r="940" spans="2:6" x14ac:dyDescent="0.2">
      <c r="B940" s="592">
        <v>5000</v>
      </c>
      <c r="C940" s="710" t="s">
        <v>2405</v>
      </c>
      <c r="D940" s="701"/>
      <c r="E940" s="588"/>
    </row>
    <row r="941" spans="2:6" x14ac:dyDescent="0.2">
      <c r="B941" s="592">
        <v>6000</v>
      </c>
      <c r="C941" s="710" t="s">
        <v>2406</v>
      </c>
      <c r="D941" s="701">
        <v>3696350.07</v>
      </c>
      <c r="E941" s="588"/>
      <c r="F941" s="701">
        <v>9042180.25</v>
      </c>
    </row>
    <row r="942" spans="2:6" x14ac:dyDescent="0.2">
      <c r="B942" s="592">
        <v>7000</v>
      </c>
      <c r="C942" s="710" t="s">
        <v>2407</v>
      </c>
      <c r="D942" s="701"/>
      <c r="E942" s="588"/>
    </row>
    <row r="943" spans="2:6" x14ac:dyDescent="0.2">
      <c r="B943" s="592">
        <v>8000</v>
      </c>
      <c r="C943" s="710" t="s">
        <v>2398</v>
      </c>
      <c r="D943" s="701"/>
      <c r="E943" s="588"/>
    </row>
    <row r="944" spans="2:6" x14ac:dyDescent="0.2">
      <c r="B944" s="592">
        <v>9000</v>
      </c>
      <c r="C944" s="710" t="s">
        <v>2408</v>
      </c>
      <c r="D944" s="593"/>
      <c r="E944" s="588"/>
      <c r="F944" s="593"/>
    </row>
    <row r="945" spans="2:6" x14ac:dyDescent="0.2">
      <c r="B945" s="589"/>
      <c r="C945" s="587" t="s">
        <v>2409</v>
      </c>
      <c r="D945" s="709">
        <f>SUM(D936:D944)</f>
        <v>3696350.07</v>
      </c>
      <c r="E945" s="591"/>
      <c r="F945" s="709">
        <f>SUM(F936:F944)</f>
        <v>9042180.25</v>
      </c>
    </row>
    <row r="946" spans="2:6" x14ac:dyDescent="0.2">
      <c r="B946" s="585"/>
      <c r="C946" s="585"/>
      <c r="D946" s="701"/>
      <c r="E946" s="588"/>
    </row>
    <row r="947" spans="2:6" x14ac:dyDescent="0.2">
      <c r="B947" s="589"/>
      <c r="C947" s="696" t="s">
        <v>2410</v>
      </c>
      <c r="D947" s="594">
        <f>+D920+D933-D945</f>
        <v>1332210.9900000007</v>
      </c>
      <c r="E947" s="591"/>
      <c r="F947" s="594">
        <f>+F920+F933-F945</f>
        <v>1332210.9899999984</v>
      </c>
    </row>
    <row r="949" spans="2:6" x14ac:dyDescent="0.2">
      <c r="B949" s="1284" t="s">
        <v>2411</v>
      </c>
      <c r="C949" s="1284"/>
      <c r="D949" s="1284"/>
      <c r="E949" s="1284"/>
      <c r="F949" s="1284"/>
    </row>
    <row r="950" spans="2:6" x14ac:dyDescent="0.2">
      <c r="B950" s="708"/>
      <c r="C950" s="585"/>
    </row>
    <row r="951" spans="2:6" x14ac:dyDescent="0.2">
      <c r="B951" s="708"/>
      <c r="C951" s="708" t="s">
        <v>2412</v>
      </c>
      <c r="D951" s="586"/>
      <c r="F951" s="591"/>
    </row>
    <row r="952" spans="2:6" x14ac:dyDescent="0.2">
      <c r="B952" s="705" t="s">
        <v>5</v>
      </c>
      <c r="C952" s="2" t="s">
        <v>6</v>
      </c>
      <c r="D952" s="701">
        <v>2491331.42</v>
      </c>
      <c r="E952" s="588"/>
      <c r="F952" s="701">
        <v>2491331.42</v>
      </c>
    </row>
    <row r="953" spans="2:6" x14ac:dyDescent="0.2">
      <c r="B953" s="705" t="s">
        <v>9</v>
      </c>
      <c r="C953" s="700" t="s">
        <v>10</v>
      </c>
      <c r="D953" s="715"/>
    </row>
    <row r="954" spans="2:6" x14ac:dyDescent="0.2">
      <c r="B954" s="705" t="s">
        <v>13</v>
      </c>
      <c r="C954" s="700" t="s">
        <v>14</v>
      </c>
      <c r="D954" s="701"/>
    </row>
    <row r="955" spans="2:6" x14ac:dyDescent="0.2">
      <c r="B955" s="705" t="s">
        <v>27</v>
      </c>
      <c r="C955" s="2" t="s">
        <v>28</v>
      </c>
      <c r="D955" s="593"/>
      <c r="E955" s="588"/>
      <c r="F955" s="593"/>
    </row>
    <row r="956" spans="2:6" x14ac:dyDescent="0.2">
      <c r="C956" s="704" t="s">
        <v>2413</v>
      </c>
      <c r="D956" s="595">
        <f>SUM(D952:D955)</f>
        <v>2491331.42</v>
      </c>
      <c r="E956" s="595"/>
      <c r="F956" s="595">
        <f>SUM(F952:F955)</f>
        <v>2491331.42</v>
      </c>
    </row>
    <row r="957" spans="2:6" x14ac:dyDescent="0.2">
      <c r="B957" s="705"/>
      <c r="C957" s="704" t="s">
        <v>2414</v>
      </c>
    </row>
    <row r="958" spans="2:6" x14ac:dyDescent="0.2">
      <c r="B958" s="705" t="s">
        <v>7</v>
      </c>
      <c r="C958" s="2" t="s">
        <v>8</v>
      </c>
      <c r="D958" s="702">
        <v>1159120.43</v>
      </c>
      <c r="F958" s="702">
        <v>1159120.43</v>
      </c>
    </row>
    <row r="959" spans="2:6" x14ac:dyDescent="0.2">
      <c r="B959" s="705" t="s">
        <v>11</v>
      </c>
      <c r="C959" s="2" t="s">
        <v>12</v>
      </c>
      <c r="F959" s="702"/>
    </row>
    <row r="960" spans="2:6" x14ac:dyDescent="0.2">
      <c r="B960" s="705" t="s">
        <v>15</v>
      </c>
      <c r="C960" s="2" t="s">
        <v>16</v>
      </c>
    </row>
    <row r="961" spans="2:6" x14ac:dyDescent="0.2">
      <c r="B961" s="705" t="s">
        <v>592</v>
      </c>
      <c r="C961" s="2" t="s">
        <v>23</v>
      </c>
    </row>
    <row r="962" spans="2:6" ht="25.5" x14ac:dyDescent="0.2">
      <c r="B962" s="707" t="s">
        <v>595</v>
      </c>
      <c r="C962" s="706" t="s">
        <v>2415</v>
      </c>
    </row>
    <row r="963" spans="2:6" x14ac:dyDescent="0.2">
      <c r="B963" s="705" t="s">
        <v>598</v>
      </c>
      <c r="C963" s="2" t="s">
        <v>2416</v>
      </c>
    </row>
    <row r="964" spans="2:6" x14ac:dyDescent="0.2">
      <c r="B964" s="705" t="s">
        <v>600</v>
      </c>
      <c r="C964" s="2" t="s">
        <v>2417</v>
      </c>
      <c r="D964" s="593"/>
      <c r="E964" s="588"/>
      <c r="F964" s="593"/>
    </row>
    <row r="965" spans="2:6" x14ac:dyDescent="0.2">
      <c r="C965" s="704" t="s">
        <v>2418</v>
      </c>
      <c r="D965" s="591">
        <f>SUM(D958:D964)</f>
        <v>1159120.43</v>
      </c>
      <c r="E965" s="591"/>
      <c r="F965" s="591">
        <f>SUM(F958:F964)</f>
        <v>1159120.43</v>
      </c>
    </row>
    <row r="967" spans="2:6" x14ac:dyDescent="0.2">
      <c r="C967" s="703" t="s">
        <v>2419</v>
      </c>
      <c r="D967" s="594">
        <f>+D956-D965</f>
        <v>1332210.99</v>
      </c>
      <c r="E967" s="591"/>
      <c r="F967" s="594">
        <f>+F956-F965</f>
        <v>1332210.99</v>
      </c>
    </row>
    <row r="970" spans="2:6" x14ac:dyDescent="0.2">
      <c r="D970" s="700"/>
      <c r="E970" s="585"/>
      <c r="F970" s="700"/>
    </row>
    <row r="971" spans="2:6" x14ac:dyDescent="0.2">
      <c r="D971" s="700"/>
      <c r="E971" s="585"/>
      <c r="F971" s="700"/>
    </row>
    <row r="972" spans="2:6" x14ac:dyDescent="0.2">
      <c r="D972" s="700"/>
      <c r="E972" s="585"/>
      <c r="F972" s="700"/>
    </row>
    <row r="977" spans="1:6" x14ac:dyDescent="0.2">
      <c r="A977" s="1285" t="s">
        <v>7476</v>
      </c>
      <c r="B977" s="1285"/>
      <c r="C977" s="1285"/>
      <c r="D977" s="1285"/>
      <c r="E977" s="1285"/>
      <c r="F977" s="1285"/>
    </row>
    <row r="978" spans="1:6" x14ac:dyDescent="0.2">
      <c r="A978" s="1285" t="s">
        <v>7478</v>
      </c>
      <c r="B978" s="1285"/>
      <c r="C978" s="1285"/>
      <c r="D978" s="1285"/>
      <c r="E978" s="1285"/>
      <c r="F978" s="1285"/>
    </row>
    <row r="979" spans="1:6" x14ac:dyDescent="0.2">
      <c r="A979" s="1285" t="s">
        <v>8951</v>
      </c>
      <c r="B979" s="1285"/>
      <c r="C979" s="1285"/>
      <c r="D979" s="1285"/>
      <c r="E979" s="1285"/>
      <c r="F979" s="1285"/>
    </row>
    <row r="980" spans="1:6" x14ac:dyDescent="0.2">
      <c r="A980" s="1285" t="s">
        <v>8950</v>
      </c>
      <c r="B980" s="1285"/>
      <c r="C980" s="1285"/>
      <c r="D980" s="1285"/>
      <c r="E980" s="1285"/>
      <c r="F980" s="1285"/>
    </row>
    <row r="981" spans="1:6" x14ac:dyDescent="0.2">
      <c r="D981" s="701"/>
      <c r="E981" s="588"/>
      <c r="F981" s="714"/>
    </row>
    <row r="982" spans="1:6" x14ac:dyDescent="0.2">
      <c r="D982" s="701"/>
      <c r="E982" s="588"/>
      <c r="F982" s="714"/>
    </row>
    <row r="983" spans="1:6" x14ac:dyDescent="0.2">
      <c r="C983" s="708"/>
      <c r="D983" s="713" t="s">
        <v>2392</v>
      </c>
      <c r="E983" s="590"/>
      <c r="F983" s="713" t="s">
        <v>2393</v>
      </c>
    </row>
    <row r="984" spans="1:6" x14ac:dyDescent="0.2">
      <c r="B984" s="712"/>
      <c r="C984" s="2"/>
      <c r="D984" s="701"/>
      <c r="E984" s="588"/>
    </row>
    <row r="985" spans="1:6" x14ac:dyDescent="0.2">
      <c r="C985" s="711" t="s">
        <v>2394</v>
      </c>
      <c r="D985" s="594">
        <v>6364737.3200000068</v>
      </c>
      <c r="E985" s="591"/>
      <c r="F985" s="594">
        <v>0</v>
      </c>
    </row>
    <row r="986" spans="1:6" x14ac:dyDescent="0.2">
      <c r="C986" s="711"/>
      <c r="D986" s="709"/>
      <c r="E986" s="591"/>
      <c r="F986" s="709"/>
    </row>
    <row r="987" spans="1:6" x14ac:dyDescent="0.2">
      <c r="B987" s="1286" t="s">
        <v>2395</v>
      </c>
      <c r="C987" s="1286"/>
      <c r="D987" s="588"/>
      <c r="E987" s="588"/>
      <c r="F987" s="588"/>
    </row>
    <row r="988" spans="1:6" x14ac:dyDescent="0.2">
      <c r="B988" s="592">
        <v>1</v>
      </c>
      <c r="C988" s="710" t="s">
        <v>107</v>
      </c>
      <c r="D988" s="588"/>
      <c r="E988" s="588"/>
      <c r="F988" s="588"/>
    </row>
    <row r="989" spans="1:6" x14ac:dyDescent="0.2">
      <c r="B989" s="592">
        <v>2</v>
      </c>
      <c r="C989" s="710" t="s">
        <v>109</v>
      </c>
      <c r="D989" s="588"/>
      <c r="E989" s="588"/>
      <c r="F989" s="588"/>
    </row>
    <row r="990" spans="1:6" x14ac:dyDescent="0.2">
      <c r="B990" s="592">
        <v>3</v>
      </c>
      <c r="C990" s="710" t="s">
        <v>2396</v>
      </c>
      <c r="D990" s="588"/>
      <c r="E990" s="588"/>
      <c r="F990" s="588"/>
    </row>
    <row r="991" spans="1:6" x14ac:dyDescent="0.2">
      <c r="B991" s="592">
        <v>4</v>
      </c>
      <c r="C991" s="710" t="s">
        <v>113</v>
      </c>
      <c r="D991" s="588"/>
      <c r="E991" s="588"/>
      <c r="F991" s="588"/>
    </row>
    <row r="992" spans="1:6" x14ac:dyDescent="0.2">
      <c r="B992" s="592">
        <v>5</v>
      </c>
      <c r="C992" s="710" t="s">
        <v>228</v>
      </c>
      <c r="D992" s="588">
        <v>307685.3</v>
      </c>
      <c r="E992" s="588"/>
      <c r="F992" s="588">
        <v>1600340.09</v>
      </c>
    </row>
    <row r="993" spans="2:6" x14ac:dyDescent="0.2">
      <c r="B993" s="592">
        <v>6</v>
      </c>
      <c r="C993" s="710" t="s">
        <v>231</v>
      </c>
      <c r="D993" s="588"/>
      <c r="E993" s="588"/>
      <c r="F993" s="588"/>
    </row>
    <row r="994" spans="2:6" x14ac:dyDescent="0.2">
      <c r="B994" s="592">
        <v>7</v>
      </c>
      <c r="C994" s="710" t="s">
        <v>2397</v>
      </c>
      <c r="D994" s="350"/>
      <c r="E994" s="350"/>
      <c r="F994" s="350"/>
    </row>
    <row r="995" spans="2:6" x14ac:dyDescent="0.2">
      <c r="B995" s="592">
        <v>8</v>
      </c>
      <c r="C995" s="710" t="s">
        <v>2398</v>
      </c>
      <c r="D995" s="588">
        <v>-284186.65999999997</v>
      </c>
      <c r="E995" s="588"/>
      <c r="F995" s="588">
        <f>78223521.41+D995</f>
        <v>77939334.75</v>
      </c>
    </row>
    <row r="996" spans="2:6" x14ac:dyDescent="0.2">
      <c r="B996" s="592">
        <v>9</v>
      </c>
      <c r="C996" s="710" t="s">
        <v>2399</v>
      </c>
      <c r="D996" s="588"/>
      <c r="E996" s="588"/>
      <c r="F996" s="588"/>
    </row>
    <row r="997" spans="2:6" x14ac:dyDescent="0.2">
      <c r="B997" s="592">
        <v>0</v>
      </c>
      <c r="C997" s="710" t="s">
        <v>500</v>
      </c>
      <c r="D997" s="593"/>
      <c r="E997" s="588"/>
      <c r="F997" s="593"/>
    </row>
    <row r="998" spans="2:6" x14ac:dyDescent="0.2">
      <c r="B998" s="585"/>
      <c r="C998" s="587" t="s">
        <v>2400</v>
      </c>
      <c r="D998" s="709">
        <f>SUM(D988:D997)</f>
        <v>23498.640000000014</v>
      </c>
      <c r="E998" s="591"/>
      <c r="F998" s="709">
        <f>SUM(F988:F997)</f>
        <v>79539674.840000004</v>
      </c>
    </row>
    <row r="999" spans="2:6" x14ac:dyDescent="0.2">
      <c r="B999" s="585"/>
      <c r="C999" s="585"/>
      <c r="D999" s="701"/>
      <c r="E999" s="588"/>
    </row>
    <row r="1000" spans="2:6" x14ac:dyDescent="0.2">
      <c r="B1000" s="1283" t="s">
        <v>2401</v>
      </c>
      <c r="C1000" s="1283"/>
      <c r="D1000" s="709"/>
      <c r="E1000" s="591"/>
      <c r="F1000" s="709"/>
    </row>
    <row r="1001" spans="2:6" x14ac:dyDescent="0.2">
      <c r="B1001" s="592">
        <v>1000</v>
      </c>
      <c r="C1001" s="710" t="s">
        <v>2402</v>
      </c>
      <c r="D1001" s="701"/>
      <c r="E1001" s="588"/>
    </row>
    <row r="1002" spans="2:6" x14ac:dyDescent="0.2">
      <c r="B1002" s="592">
        <v>2000</v>
      </c>
      <c r="C1002" s="710" t="s">
        <v>2403</v>
      </c>
      <c r="D1002" s="701"/>
      <c r="E1002" s="588"/>
    </row>
    <row r="1003" spans="2:6" x14ac:dyDescent="0.2">
      <c r="B1003" s="592">
        <v>3000</v>
      </c>
      <c r="C1003" s="710" t="s">
        <v>2404</v>
      </c>
      <c r="D1003" s="701"/>
      <c r="E1003" s="588"/>
    </row>
    <row r="1004" spans="2:6" x14ac:dyDescent="0.2">
      <c r="B1004" s="592">
        <v>4000</v>
      </c>
      <c r="C1004" s="710" t="s">
        <v>2399</v>
      </c>
      <c r="D1004" s="701"/>
      <c r="E1004" s="588"/>
    </row>
    <row r="1005" spans="2:6" x14ac:dyDescent="0.2">
      <c r="B1005" s="592">
        <v>5000</v>
      </c>
      <c r="C1005" s="710" t="s">
        <v>2405</v>
      </c>
      <c r="D1005" s="701"/>
      <c r="E1005" s="588"/>
    </row>
    <row r="1006" spans="2:6" x14ac:dyDescent="0.2">
      <c r="B1006" s="592">
        <v>6000</v>
      </c>
      <c r="C1006" s="710" t="s">
        <v>2406</v>
      </c>
      <c r="D1006" s="701">
        <v>1693527.38</v>
      </c>
      <c r="E1006" s="588"/>
      <c r="F1006" s="701">
        <v>74844966.25999999</v>
      </c>
    </row>
    <row r="1007" spans="2:6" x14ac:dyDescent="0.2">
      <c r="B1007" s="592">
        <v>7000</v>
      </c>
      <c r="C1007" s="710" t="s">
        <v>2407</v>
      </c>
      <c r="D1007" s="701"/>
      <c r="E1007" s="588"/>
    </row>
    <row r="1008" spans="2:6" x14ac:dyDescent="0.2">
      <c r="B1008" s="592">
        <v>8000</v>
      </c>
      <c r="C1008" s="710" t="s">
        <v>2398</v>
      </c>
      <c r="D1008" s="701"/>
      <c r="E1008" s="588"/>
    </row>
    <row r="1009" spans="2:6" x14ac:dyDescent="0.2">
      <c r="B1009" s="592">
        <v>9000</v>
      </c>
      <c r="C1009" s="710" t="s">
        <v>2408</v>
      </c>
      <c r="D1009" s="593"/>
      <c r="E1009" s="588"/>
      <c r="F1009" s="593"/>
    </row>
    <row r="1010" spans="2:6" x14ac:dyDescent="0.2">
      <c r="B1010" s="589"/>
      <c r="C1010" s="587" t="s">
        <v>2409</v>
      </c>
      <c r="D1010" s="709">
        <f>SUM(D1001:D1009)</f>
        <v>1693527.38</v>
      </c>
      <c r="E1010" s="591"/>
      <c r="F1010" s="709">
        <f>SUM(F1001:F1009)</f>
        <v>74844966.25999999</v>
      </c>
    </row>
    <row r="1011" spans="2:6" x14ac:dyDescent="0.2">
      <c r="B1011" s="585"/>
      <c r="C1011" s="585"/>
      <c r="D1011" s="701"/>
      <c r="E1011" s="588"/>
    </row>
    <row r="1012" spans="2:6" x14ac:dyDescent="0.2">
      <c r="B1012" s="589"/>
      <c r="C1012" s="696" t="s">
        <v>2410</v>
      </c>
      <c r="D1012" s="594">
        <f>+D985+D998-D1010</f>
        <v>4694708.5800000066</v>
      </c>
      <c r="E1012" s="591"/>
      <c r="F1012" s="594">
        <f>+F985+F998-F1010</f>
        <v>4694708.5800000131</v>
      </c>
    </row>
    <row r="1014" spans="2:6" x14ac:dyDescent="0.2">
      <c r="B1014" s="1284" t="s">
        <v>2411</v>
      </c>
      <c r="C1014" s="1284"/>
      <c r="D1014" s="1284"/>
      <c r="E1014" s="1284"/>
      <c r="F1014" s="1284"/>
    </row>
    <row r="1015" spans="2:6" x14ac:dyDescent="0.2">
      <c r="B1015" s="708"/>
      <c r="C1015" s="585"/>
    </row>
    <row r="1016" spans="2:6" x14ac:dyDescent="0.2">
      <c r="B1016" s="708"/>
      <c r="C1016" s="708" t="s">
        <v>2412</v>
      </c>
      <c r="D1016" s="586"/>
      <c r="F1016" s="591"/>
    </row>
    <row r="1017" spans="2:6" x14ac:dyDescent="0.2">
      <c r="B1017" s="705" t="s">
        <v>5</v>
      </c>
      <c r="C1017" s="2" t="s">
        <v>6</v>
      </c>
      <c r="D1017" s="701">
        <v>6130182.3499999996</v>
      </c>
      <c r="E1017" s="588"/>
      <c r="F1017" s="701">
        <v>6130182.3499999996</v>
      </c>
    </row>
    <row r="1018" spans="2:6" x14ac:dyDescent="0.2">
      <c r="B1018" s="705" t="s">
        <v>9</v>
      </c>
      <c r="C1018" s="700" t="s">
        <v>10</v>
      </c>
      <c r="D1018" s="715"/>
    </row>
    <row r="1019" spans="2:6" x14ac:dyDescent="0.2">
      <c r="B1019" s="705" t="s">
        <v>13</v>
      </c>
      <c r="C1019" s="700" t="s">
        <v>14</v>
      </c>
      <c r="D1019" s="701"/>
    </row>
    <row r="1020" spans="2:6" x14ac:dyDescent="0.2">
      <c r="B1020" s="705" t="s">
        <v>27</v>
      </c>
      <c r="C1020" s="2" t="s">
        <v>28</v>
      </c>
      <c r="D1020" s="593"/>
      <c r="E1020" s="588"/>
      <c r="F1020" s="593"/>
    </row>
    <row r="1021" spans="2:6" x14ac:dyDescent="0.2">
      <c r="C1021" s="704" t="s">
        <v>2413</v>
      </c>
      <c r="D1021" s="595">
        <f>SUM(D1017:D1020)</f>
        <v>6130182.3499999996</v>
      </c>
      <c r="E1021" s="595"/>
      <c r="F1021" s="595">
        <f>SUM(F1017:F1020)</f>
        <v>6130182.3499999996</v>
      </c>
    </row>
    <row r="1022" spans="2:6" x14ac:dyDescent="0.2">
      <c r="B1022" s="705"/>
      <c r="C1022" s="704" t="s">
        <v>2414</v>
      </c>
    </row>
    <row r="1023" spans="2:6" x14ac:dyDescent="0.2">
      <c r="B1023" s="705" t="s">
        <v>7</v>
      </c>
      <c r="C1023" s="2" t="s">
        <v>8</v>
      </c>
      <c r="D1023" s="702">
        <v>1435473.77</v>
      </c>
      <c r="F1023" s="702">
        <v>1435473.77</v>
      </c>
    </row>
    <row r="1024" spans="2:6" x14ac:dyDescent="0.2">
      <c r="B1024" s="705" t="s">
        <v>11</v>
      </c>
      <c r="C1024" s="2" t="s">
        <v>12</v>
      </c>
      <c r="F1024" s="702"/>
    </row>
    <row r="1025" spans="2:6" x14ac:dyDescent="0.2">
      <c r="B1025" s="705" t="s">
        <v>15</v>
      </c>
      <c r="C1025" s="2" t="s">
        <v>16</v>
      </c>
    </row>
    <row r="1026" spans="2:6" x14ac:dyDescent="0.2">
      <c r="B1026" s="705" t="s">
        <v>592</v>
      </c>
      <c r="C1026" s="2" t="s">
        <v>23</v>
      </c>
    </row>
    <row r="1027" spans="2:6" ht="25.5" x14ac:dyDescent="0.2">
      <c r="B1027" s="707" t="s">
        <v>595</v>
      </c>
      <c r="C1027" s="706" t="s">
        <v>2415</v>
      </c>
    </row>
    <row r="1028" spans="2:6" x14ac:dyDescent="0.2">
      <c r="B1028" s="705" t="s">
        <v>598</v>
      </c>
      <c r="C1028" s="2" t="s">
        <v>2416</v>
      </c>
    </row>
    <row r="1029" spans="2:6" x14ac:dyDescent="0.2">
      <c r="B1029" s="705" t="s">
        <v>600</v>
      </c>
      <c r="C1029" s="2" t="s">
        <v>2417</v>
      </c>
      <c r="D1029" s="593"/>
      <c r="E1029" s="588"/>
      <c r="F1029" s="593"/>
    </row>
    <row r="1030" spans="2:6" x14ac:dyDescent="0.2">
      <c r="C1030" s="704" t="s">
        <v>2418</v>
      </c>
      <c r="D1030" s="591">
        <f>SUM(D1023:D1029)</f>
        <v>1435473.77</v>
      </c>
      <c r="E1030" s="591"/>
      <c r="F1030" s="591">
        <f>SUM(F1023:F1029)</f>
        <v>1435473.77</v>
      </c>
    </row>
    <row r="1032" spans="2:6" x14ac:dyDescent="0.2">
      <c r="C1032" s="703" t="s">
        <v>2419</v>
      </c>
      <c r="D1032" s="594">
        <f>+D1021-D1030</f>
        <v>4694708.58</v>
      </c>
      <c r="E1032" s="591"/>
      <c r="F1032" s="594">
        <f>+F1021-F1030</f>
        <v>4694708.58</v>
      </c>
    </row>
    <row r="1035" spans="2:6" x14ac:dyDescent="0.2">
      <c r="D1035" s="700"/>
      <c r="E1035" s="585"/>
      <c r="F1035" s="700"/>
    </row>
    <row r="1036" spans="2:6" x14ac:dyDescent="0.2">
      <c r="D1036" s="700"/>
      <c r="E1036" s="585"/>
      <c r="F1036" s="700"/>
    </row>
    <row r="1037" spans="2:6" x14ac:dyDescent="0.2">
      <c r="D1037" s="700"/>
      <c r="E1037" s="585"/>
      <c r="F1037" s="700"/>
    </row>
    <row r="1042" spans="1:6" x14ac:dyDescent="0.2">
      <c r="A1042" s="1285" t="s">
        <v>7476</v>
      </c>
      <c r="B1042" s="1285"/>
      <c r="C1042" s="1285"/>
      <c r="D1042" s="1285"/>
      <c r="E1042" s="1285"/>
      <c r="F1042" s="1285"/>
    </row>
    <row r="1043" spans="1:6" x14ac:dyDescent="0.2">
      <c r="A1043" s="1285" t="s">
        <v>7478</v>
      </c>
      <c r="B1043" s="1285"/>
      <c r="C1043" s="1285"/>
      <c r="D1043" s="1285"/>
      <c r="E1043" s="1285"/>
      <c r="F1043" s="1285"/>
    </row>
    <row r="1044" spans="1:6" x14ac:dyDescent="0.2">
      <c r="A1044" s="1285" t="s">
        <v>8949</v>
      </c>
      <c r="B1044" s="1285"/>
      <c r="C1044" s="1285"/>
      <c r="D1044" s="1285"/>
      <c r="E1044" s="1285"/>
      <c r="F1044" s="1285"/>
    </row>
    <row r="1045" spans="1:6" x14ac:dyDescent="0.2">
      <c r="A1045" s="1285" t="s">
        <v>8930</v>
      </c>
      <c r="B1045" s="1285"/>
      <c r="C1045" s="1285"/>
      <c r="D1045" s="1285"/>
      <c r="E1045" s="1285"/>
      <c r="F1045" s="1285"/>
    </row>
    <row r="1046" spans="1:6" x14ac:dyDescent="0.2">
      <c r="D1046" s="701"/>
      <c r="E1046" s="588"/>
      <c r="F1046" s="714"/>
    </row>
    <row r="1047" spans="1:6" x14ac:dyDescent="0.2">
      <c r="D1047" s="701"/>
      <c r="E1047" s="588"/>
      <c r="F1047" s="714"/>
    </row>
    <row r="1048" spans="1:6" x14ac:dyDescent="0.2">
      <c r="C1048" s="708"/>
      <c r="D1048" s="713" t="s">
        <v>2392</v>
      </c>
      <c r="E1048" s="590"/>
      <c r="F1048" s="713" t="s">
        <v>2393</v>
      </c>
    </row>
    <row r="1049" spans="1:6" x14ac:dyDescent="0.2">
      <c r="B1049" s="712"/>
      <c r="C1049" s="2"/>
      <c r="D1049" s="701"/>
      <c r="E1049" s="588"/>
    </row>
    <row r="1050" spans="1:6" x14ac:dyDescent="0.2">
      <c r="C1050" s="711" t="s">
        <v>2394</v>
      </c>
      <c r="D1050" s="594">
        <v>2229107.9099999997</v>
      </c>
      <c r="E1050" s="591"/>
      <c r="F1050" s="594">
        <v>0</v>
      </c>
    </row>
    <row r="1051" spans="1:6" x14ac:dyDescent="0.2">
      <c r="C1051" s="711"/>
      <c r="D1051" s="709"/>
      <c r="E1051" s="591"/>
      <c r="F1051" s="709"/>
    </row>
    <row r="1052" spans="1:6" x14ac:dyDescent="0.2">
      <c r="B1052" s="1286" t="s">
        <v>2395</v>
      </c>
      <c r="C1052" s="1286"/>
      <c r="D1052" s="588"/>
      <c r="E1052" s="588"/>
      <c r="F1052" s="588"/>
    </row>
    <row r="1053" spans="1:6" x14ac:dyDescent="0.2">
      <c r="B1053" s="592">
        <v>1</v>
      </c>
      <c r="C1053" s="710" t="s">
        <v>107</v>
      </c>
      <c r="D1053" s="588"/>
      <c r="E1053" s="588"/>
      <c r="F1053" s="588"/>
    </row>
    <row r="1054" spans="1:6" x14ac:dyDescent="0.2">
      <c r="B1054" s="592">
        <v>2</v>
      </c>
      <c r="C1054" s="710" t="s">
        <v>109</v>
      </c>
      <c r="D1054" s="588"/>
      <c r="E1054" s="588"/>
      <c r="F1054" s="588"/>
    </row>
    <row r="1055" spans="1:6" x14ac:dyDescent="0.2">
      <c r="B1055" s="592">
        <v>3</v>
      </c>
      <c r="C1055" s="710" t="s">
        <v>2396</v>
      </c>
      <c r="D1055" s="588"/>
      <c r="E1055" s="588"/>
      <c r="F1055" s="588"/>
    </row>
    <row r="1056" spans="1:6" x14ac:dyDescent="0.2">
      <c r="B1056" s="592">
        <v>4</v>
      </c>
      <c r="C1056" s="710" t="s">
        <v>113</v>
      </c>
      <c r="D1056" s="588"/>
      <c r="E1056" s="588"/>
      <c r="F1056" s="588"/>
    </row>
    <row r="1057" spans="2:6" x14ac:dyDescent="0.2">
      <c r="B1057" s="592">
        <v>5</v>
      </c>
      <c r="C1057" s="710" t="s">
        <v>228</v>
      </c>
      <c r="D1057" s="588">
        <v>5670</v>
      </c>
      <c r="E1057" s="588"/>
      <c r="F1057" s="588">
        <v>197712.9</v>
      </c>
    </row>
    <row r="1058" spans="2:6" x14ac:dyDescent="0.2">
      <c r="B1058" s="592">
        <v>6</v>
      </c>
      <c r="C1058" s="710" t="s">
        <v>231</v>
      </c>
      <c r="D1058" s="588"/>
      <c r="E1058" s="588"/>
      <c r="F1058" s="588"/>
    </row>
    <row r="1059" spans="2:6" x14ac:dyDescent="0.2">
      <c r="B1059" s="592">
        <v>7</v>
      </c>
      <c r="C1059" s="710" t="s">
        <v>2397</v>
      </c>
      <c r="D1059" s="350"/>
      <c r="E1059" s="350"/>
      <c r="F1059" s="350"/>
    </row>
    <row r="1060" spans="2:6" x14ac:dyDescent="0.2">
      <c r="B1060" s="592">
        <v>8</v>
      </c>
      <c r="C1060" s="710" t="s">
        <v>2398</v>
      </c>
      <c r="D1060" s="588"/>
      <c r="E1060" s="588"/>
      <c r="F1060" s="588">
        <v>11962582.65</v>
      </c>
    </row>
    <row r="1061" spans="2:6" x14ac:dyDescent="0.2">
      <c r="B1061" s="592">
        <v>9</v>
      </c>
      <c r="C1061" s="710" t="s">
        <v>2399</v>
      </c>
      <c r="D1061" s="588"/>
      <c r="E1061" s="588"/>
      <c r="F1061" s="588"/>
    </row>
    <row r="1062" spans="2:6" x14ac:dyDescent="0.2">
      <c r="B1062" s="592">
        <v>0</v>
      </c>
      <c r="C1062" s="710" t="s">
        <v>500</v>
      </c>
      <c r="D1062" s="593"/>
      <c r="E1062" s="588"/>
      <c r="F1062" s="593"/>
    </row>
    <row r="1063" spans="2:6" x14ac:dyDescent="0.2">
      <c r="B1063" s="585"/>
      <c r="C1063" s="587" t="s">
        <v>2400</v>
      </c>
      <c r="D1063" s="709">
        <f>SUM(D1053:D1062)</f>
        <v>5670</v>
      </c>
      <c r="E1063" s="591"/>
      <c r="F1063" s="709">
        <f>SUM(F1053:F1062)</f>
        <v>12160295.550000001</v>
      </c>
    </row>
    <row r="1064" spans="2:6" x14ac:dyDescent="0.2">
      <c r="B1064" s="585"/>
      <c r="C1064" s="585"/>
      <c r="D1064" s="701"/>
      <c r="E1064" s="588"/>
    </row>
    <row r="1065" spans="2:6" x14ac:dyDescent="0.2">
      <c r="B1065" s="1283" t="s">
        <v>2401</v>
      </c>
      <c r="C1065" s="1283"/>
      <c r="D1065" s="709"/>
      <c r="E1065" s="591"/>
      <c r="F1065" s="709"/>
    </row>
    <row r="1066" spans="2:6" x14ac:dyDescent="0.2">
      <c r="B1066" s="592">
        <v>1000</v>
      </c>
      <c r="C1066" s="710" t="s">
        <v>2402</v>
      </c>
      <c r="D1066" s="701"/>
      <c r="E1066" s="588"/>
    </row>
    <row r="1067" spans="2:6" x14ac:dyDescent="0.2">
      <c r="B1067" s="592">
        <v>2000</v>
      </c>
      <c r="C1067" s="710" t="s">
        <v>2403</v>
      </c>
      <c r="D1067" s="701"/>
      <c r="E1067" s="588"/>
    </row>
    <row r="1068" spans="2:6" x14ac:dyDescent="0.2">
      <c r="B1068" s="592">
        <v>3000</v>
      </c>
      <c r="C1068" s="710" t="s">
        <v>2404</v>
      </c>
      <c r="D1068" s="701"/>
      <c r="E1068" s="588"/>
    </row>
    <row r="1069" spans="2:6" x14ac:dyDescent="0.2">
      <c r="B1069" s="592">
        <v>4000</v>
      </c>
      <c r="C1069" s="710" t="s">
        <v>2399</v>
      </c>
      <c r="D1069" s="701">
        <v>31705</v>
      </c>
      <c r="E1069" s="588"/>
      <c r="F1069" s="701">
        <v>192042</v>
      </c>
    </row>
    <row r="1070" spans="2:6" x14ac:dyDescent="0.2">
      <c r="B1070" s="592">
        <v>5000</v>
      </c>
      <c r="C1070" s="710" t="s">
        <v>2405</v>
      </c>
      <c r="D1070" s="701"/>
      <c r="E1070" s="588"/>
    </row>
    <row r="1071" spans="2:6" x14ac:dyDescent="0.2">
      <c r="B1071" s="592">
        <v>6000</v>
      </c>
      <c r="C1071" s="710" t="s">
        <v>2406</v>
      </c>
      <c r="D1071" s="701">
        <v>2050923.47</v>
      </c>
      <c r="E1071" s="588"/>
      <c r="F1071" s="701">
        <v>11816104.110000001</v>
      </c>
    </row>
    <row r="1072" spans="2:6" x14ac:dyDescent="0.2">
      <c r="B1072" s="592">
        <v>7000</v>
      </c>
      <c r="C1072" s="710" t="s">
        <v>2407</v>
      </c>
      <c r="D1072" s="701"/>
      <c r="E1072" s="588"/>
    </row>
    <row r="1073" spans="2:6" x14ac:dyDescent="0.2">
      <c r="B1073" s="592">
        <v>8000</v>
      </c>
      <c r="C1073" s="710" t="s">
        <v>2398</v>
      </c>
      <c r="D1073" s="701"/>
      <c r="E1073" s="588"/>
    </row>
    <row r="1074" spans="2:6" x14ac:dyDescent="0.2">
      <c r="B1074" s="592">
        <v>9000</v>
      </c>
      <c r="C1074" s="710" t="s">
        <v>2408</v>
      </c>
      <c r="D1074" s="593"/>
      <c r="E1074" s="588"/>
      <c r="F1074" s="593"/>
    </row>
    <row r="1075" spans="2:6" x14ac:dyDescent="0.2">
      <c r="B1075" s="589"/>
      <c r="C1075" s="587" t="s">
        <v>2409</v>
      </c>
      <c r="D1075" s="709">
        <f>SUM(D1066:D1074)</f>
        <v>2082628.47</v>
      </c>
      <c r="E1075" s="591"/>
      <c r="F1075" s="709">
        <f>SUM(F1066:F1074)</f>
        <v>12008146.110000001</v>
      </c>
    </row>
    <row r="1076" spans="2:6" x14ac:dyDescent="0.2">
      <c r="B1076" s="585"/>
      <c r="C1076" s="585"/>
      <c r="D1076" s="701"/>
      <c r="E1076" s="588"/>
    </row>
    <row r="1077" spans="2:6" x14ac:dyDescent="0.2">
      <c r="B1077" s="589"/>
      <c r="C1077" s="696" t="s">
        <v>2410</v>
      </c>
      <c r="D1077" s="594">
        <f>+D1050+D1063-D1075</f>
        <v>152149.43999999971</v>
      </c>
      <c r="E1077" s="591"/>
      <c r="F1077" s="594">
        <f>+F1050+F1063-F1075</f>
        <v>152149.43999999948</v>
      </c>
    </row>
    <row r="1079" spans="2:6" x14ac:dyDescent="0.2">
      <c r="B1079" s="1284" t="s">
        <v>2411</v>
      </c>
      <c r="C1079" s="1284"/>
      <c r="D1079" s="1284"/>
      <c r="E1079" s="1284"/>
      <c r="F1079" s="1284"/>
    </row>
    <row r="1080" spans="2:6" x14ac:dyDescent="0.2">
      <c r="B1080" s="708"/>
      <c r="C1080" s="585"/>
    </row>
    <row r="1081" spans="2:6" x14ac:dyDescent="0.2">
      <c r="B1081" s="708"/>
      <c r="C1081" s="708" t="s">
        <v>2412</v>
      </c>
      <c r="D1081" s="586"/>
      <c r="F1081" s="591"/>
    </row>
    <row r="1082" spans="2:6" x14ac:dyDescent="0.2">
      <c r="B1082" s="705" t="s">
        <v>5</v>
      </c>
      <c r="C1082" s="2" t="s">
        <v>6</v>
      </c>
      <c r="D1082" s="701">
        <v>166508.76</v>
      </c>
      <c r="E1082" s="588"/>
      <c r="F1082" s="701">
        <v>166508.76</v>
      </c>
    </row>
    <row r="1083" spans="2:6" x14ac:dyDescent="0.2">
      <c r="B1083" s="705" t="s">
        <v>9</v>
      </c>
      <c r="C1083" s="700" t="s">
        <v>10</v>
      </c>
      <c r="D1083" s="715"/>
    </row>
    <row r="1084" spans="2:6" x14ac:dyDescent="0.2">
      <c r="B1084" s="705" t="s">
        <v>13</v>
      </c>
      <c r="C1084" s="700" t="s">
        <v>14</v>
      </c>
      <c r="D1084" s="701"/>
    </row>
    <row r="1085" spans="2:6" x14ac:dyDescent="0.2">
      <c r="B1085" s="705" t="s">
        <v>27</v>
      </c>
      <c r="C1085" s="2" t="s">
        <v>28</v>
      </c>
      <c r="D1085" s="593"/>
      <c r="E1085" s="588"/>
      <c r="F1085" s="593"/>
    </row>
    <row r="1086" spans="2:6" x14ac:dyDescent="0.2">
      <c r="C1086" s="704" t="s">
        <v>2413</v>
      </c>
      <c r="D1086" s="595">
        <f>SUM(D1082:D1085)</f>
        <v>166508.76</v>
      </c>
      <c r="E1086" s="595"/>
      <c r="F1086" s="595">
        <f>SUM(F1082:F1085)</f>
        <v>166508.76</v>
      </c>
    </row>
    <row r="1087" spans="2:6" x14ac:dyDescent="0.2">
      <c r="B1087" s="705"/>
      <c r="C1087" s="704" t="s">
        <v>2414</v>
      </c>
    </row>
    <row r="1088" spans="2:6" x14ac:dyDescent="0.2">
      <c r="B1088" s="705" t="s">
        <v>7</v>
      </c>
      <c r="C1088" s="2" t="s">
        <v>8</v>
      </c>
      <c r="D1088" s="702">
        <v>14359.32</v>
      </c>
      <c r="F1088" s="702">
        <v>14359.32</v>
      </c>
    </row>
    <row r="1089" spans="2:6" x14ac:dyDescent="0.2">
      <c r="B1089" s="705" t="s">
        <v>11</v>
      </c>
      <c r="C1089" s="2" t="s">
        <v>12</v>
      </c>
      <c r="F1089" s="702"/>
    </row>
    <row r="1090" spans="2:6" x14ac:dyDescent="0.2">
      <c r="B1090" s="705" t="s">
        <v>15</v>
      </c>
      <c r="C1090" s="2" t="s">
        <v>16</v>
      </c>
    </row>
    <row r="1091" spans="2:6" x14ac:dyDescent="0.2">
      <c r="B1091" s="705" t="s">
        <v>592</v>
      </c>
      <c r="C1091" s="2" t="s">
        <v>23</v>
      </c>
    </row>
    <row r="1092" spans="2:6" ht="25.5" x14ac:dyDescent="0.2">
      <c r="B1092" s="707" t="s">
        <v>595</v>
      </c>
      <c r="C1092" s="706" t="s">
        <v>2415</v>
      </c>
    </row>
    <row r="1093" spans="2:6" x14ac:dyDescent="0.2">
      <c r="B1093" s="705" t="s">
        <v>598</v>
      </c>
      <c r="C1093" s="2" t="s">
        <v>2416</v>
      </c>
    </row>
    <row r="1094" spans="2:6" x14ac:dyDescent="0.2">
      <c r="B1094" s="705" t="s">
        <v>600</v>
      </c>
      <c r="C1094" s="2" t="s">
        <v>2417</v>
      </c>
      <c r="D1094" s="593"/>
      <c r="E1094" s="588"/>
      <c r="F1094" s="593"/>
    </row>
    <row r="1095" spans="2:6" x14ac:dyDescent="0.2">
      <c r="C1095" s="704" t="s">
        <v>2418</v>
      </c>
      <c r="D1095" s="591">
        <f>SUM(D1088:D1094)</f>
        <v>14359.32</v>
      </c>
      <c r="E1095" s="591"/>
      <c r="F1095" s="591">
        <f>SUM(F1088:F1094)</f>
        <v>14359.32</v>
      </c>
    </row>
    <row r="1097" spans="2:6" x14ac:dyDescent="0.2">
      <c r="C1097" s="703" t="s">
        <v>2419</v>
      </c>
      <c r="D1097" s="594">
        <f>+D1086-D1095</f>
        <v>152149.44</v>
      </c>
      <c r="E1097" s="591"/>
      <c r="F1097" s="594">
        <f>+F1086-F1095</f>
        <v>152149.44</v>
      </c>
    </row>
    <row r="1100" spans="2:6" x14ac:dyDescent="0.2">
      <c r="D1100" s="700"/>
      <c r="E1100" s="585"/>
      <c r="F1100" s="700"/>
    </row>
    <row r="1101" spans="2:6" x14ac:dyDescent="0.2">
      <c r="D1101" s="700"/>
      <c r="E1101" s="585"/>
      <c r="F1101" s="700"/>
    </row>
    <row r="1102" spans="2:6" x14ac:dyDescent="0.2">
      <c r="D1102" s="700"/>
      <c r="E1102" s="585"/>
      <c r="F1102" s="700"/>
    </row>
    <row r="1107" spans="1:6" x14ac:dyDescent="0.2">
      <c r="A1107" s="1285" t="s">
        <v>7476</v>
      </c>
      <c r="B1107" s="1285"/>
      <c r="C1107" s="1285"/>
      <c r="D1107" s="1285"/>
      <c r="E1107" s="1285"/>
      <c r="F1107" s="1285"/>
    </row>
    <row r="1108" spans="1:6" x14ac:dyDescent="0.2">
      <c r="A1108" s="1285" t="s">
        <v>7478</v>
      </c>
      <c r="B1108" s="1285"/>
      <c r="C1108" s="1285"/>
      <c r="D1108" s="1285"/>
      <c r="E1108" s="1285"/>
      <c r="F1108" s="1285"/>
    </row>
    <row r="1109" spans="1:6" x14ac:dyDescent="0.2">
      <c r="A1109" s="1285" t="s">
        <v>8948</v>
      </c>
      <c r="B1109" s="1285"/>
      <c r="C1109" s="1285"/>
      <c r="D1109" s="1285"/>
      <c r="E1109" s="1285"/>
      <c r="F1109" s="1285"/>
    </row>
    <row r="1110" spans="1:6" x14ac:dyDescent="0.2">
      <c r="A1110" s="1285" t="s">
        <v>8930</v>
      </c>
      <c r="B1110" s="1285"/>
      <c r="C1110" s="1285"/>
      <c r="D1110" s="1285"/>
      <c r="E1110" s="1285"/>
      <c r="F1110" s="1285"/>
    </row>
    <row r="1111" spans="1:6" x14ac:dyDescent="0.2">
      <c r="D1111" s="701"/>
      <c r="E1111" s="588"/>
      <c r="F1111" s="714"/>
    </row>
    <row r="1112" spans="1:6" x14ac:dyDescent="0.2">
      <c r="D1112" s="701"/>
      <c r="E1112" s="588"/>
      <c r="F1112" s="714"/>
    </row>
    <row r="1113" spans="1:6" x14ac:dyDescent="0.2">
      <c r="C1113" s="708"/>
      <c r="D1113" s="713" t="s">
        <v>2392</v>
      </c>
      <c r="E1113" s="590"/>
      <c r="F1113" s="713" t="s">
        <v>2393</v>
      </c>
    </row>
    <row r="1114" spans="1:6" x14ac:dyDescent="0.2">
      <c r="B1114" s="712"/>
      <c r="C1114" s="2"/>
      <c r="D1114" s="701"/>
      <c r="E1114" s="588"/>
    </row>
    <row r="1115" spans="1:6" x14ac:dyDescent="0.2">
      <c r="C1115" s="711" t="s">
        <v>2394</v>
      </c>
      <c r="D1115" s="594">
        <v>0</v>
      </c>
      <c r="E1115" s="591"/>
      <c r="F1115" s="594">
        <v>0</v>
      </c>
    </row>
    <row r="1116" spans="1:6" x14ac:dyDescent="0.2">
      <c r="C1116" s="711"/>
      <c r="D1116" s="709"/>
      <c r="E1116" s="591"/>
      <c r="F1116" s="709"/>
    </row>
    <row r="1117" spans="1:6" x14ac:dyDescent="0.2">
      <c r="B1117" s="1286" t="s">
        <v>2395</v>
      </c>
      <c r="C1117" s="1286"/>
      <c r="D1117" s="588"/>
      <c r="E1117" s="588"/>
      <c r="F1117" s="588"/>
    </row>
    <row r="1118" spans="1:6" x14ac:dyDescent="0.2">
      <c r="B1118" s="592">
        <v>1</v>
      </c>
      <c r="C1118" s="710" t="s">
        <v>107</v>
      </c>
      <c r="D1118" s="588"/>
      <c r="E1118" s="588"/>
      <c r="F1118" s="588"/>
    </row>
    <row r="1119" spans="1:6" x14ac:dyDescent="0.2">
      <c r="B1119" s="592">
        <v>2</v>
      </c>
      <c r="C1119" s="710" t="s">
        <v>109</v>
      </c>
      <c r="D1119" s="588"/>
      <c r="E1119" s="588"/>
      <c r="F1119" s="588"/>
    </row>
    <row r="1120" spans="1:6" x14ac:dyDescent="0.2">
      <c r="B1120" s="592">
        <v>3</v>
      </c>
      <c r="C1120" s="710" t="s">
        <v>2396</v>
      </c>
      <c r="D1120" s="588"/>
      <c r="E1120" s="588"/>
      <c r="F1120" s="588"/>
    </row>
    <row r="1121" spans="2:6" x14ac:dyDescent="0.2">
      <c r="B1121" s="592">
        <v>4</v>
      </c>
      <c r="C1121" s="710" t="s">
        <v>113</v>
      </c>
      <c r="D1121" s="588"/>
      <c r="E1121" s="588"/>
      <c r="F1121" s="588"/>
    </row>
    <row r="1122" spans="2:6" x14ac:dyDescent="0.2">
      <c r="B1122" s="592">
        <v>5</v>
      </c>
      <c r="C1122" s="710" t="s">
        <v>228</v>
      </c>
      <c r="D1122" s="588"/>
      <c r="E1122" s="588"/>
      <c r="F1122" s="588">
        <v>13765</v>
      </c>
    </row>
    <row r="1123" spans="2:6" x14ac:dyDescent="0.2">
      <c r="B1123" s="592">
        <v>6</v>
      </c>
      <c r="C1123" s="710" t="s">
        <v>231</v>
      </c>
      <c r="D1123" s="588"/>
      <c r="E1123" s="588"/>
      <c r="F1123" s="588"/>
    </row>
    <row r="1124" spans="2:6" x14ac:dyDescent="0.2">
      <c r="B1124" s="592">
        <v>7</v>
      </c>
      <c r="C1124" s="710" t="s">
        <v>2397</v>
      </c>
      <c r="D1124" s="350"/>
      <c r="E1124" s="350"/>
      <c r="F1124" s="350"/>
    </row>
    <row r="1125" spans="2:6" x14ac:dyDescent="0.2">
      <c r="B1125" s="592">
        <v>8</v>
      </c>
      <c r="C1125" s="710" t="s">
        <v>2398</v>
      </c>
      <c r="D1125" s="588"/>
      <c r="E1125" s="588"/>
      <c r="F1125" s="588">
        <v>2967000</v>
      </c>
    </row>
    <row r="1126" spans="2:6" x14ac:dyDescent="0.2">
      <c r="B1126" s="592">
        <v>9</v>
      </c>
      <c r="C1126" s="710" t="s">
        <v>2399</v>
      </c>
      <c r="D1126" s="588"/>
      <c r="E1126" s="588"/>
      <c r="F1126" s="588"/>
    </row>
    <row r="1127" spans="2:6" x14ac:dyDescent="0.2">
      <c r="B1127" s="592">
        <v>0</v>
      </c>
      <c r="C1127" s="710" t="s">
        <v>500</v>
      </c>
      <c r="D1127" s="593"/>
      <c r="E1127" s="588"/>
      <c r="F1127" s="593"/>
    </row>
    <row r="1128" spans="2:6" x14ac:dyDescent="0.2">
      <c r="B1128" s="585"/>
      <c r="C1128" s="587" t="s">
        <v>2400</v>
      </c>
      <c r="D1128" s="709">
        <f>SUM(D1118:D1127)</f>
        <v>0</v>
      </c>
      <c r="E1128" s="591"/>
      <c r="F1128" s="709">
        <f>SUM(F1118:F1127)</f>
        <v>2980765</v>
      </c>
    </row>
    <row r="1129" spans="2:6" x14ac:dyDescent="0.2">
      <c r="B1129" s="585"/>
      <c r="C1129" s="585"/>
      <c r="D1129" s="701"/>
      <c r="E1129" s="588"/>
    </row>
    <row r="1130" spans="2:6" x14ac:dyDescent="0.2">
      <c r="B1130" s="1283" t="s">
        <v>2401</v>
      </c>
      <c r="C1130" s="1283"/>
      <c r="D1130" s="709"/>
      <c r="E1130" s="591"/>
      <c r="F1130" s="709"/>
    </row>
    <row r="1131" spans="2:6" x14ac:dyDescent="0.2">
      <c r="B1131" s="592">
        <v>1000</v>
      </c>
      <c r="C1131" s="710" t="s">
        <v>2402</v>
      </c>
      <c r="D1131" s="701"/>
      <c r="E1131" s="588"/>
    </row>
    <row r="1132" spans="2:6" x14ac:dyDescent="0.2">
      <c r="B1132" s="592">
        <v>2000</v>
      </c>
      <c r="C1132" s="710" t="s">
        <v>2403</v>
      </c>
      <c r="D1132" s="701"/>
      <c r="E1132" s="588"/>
    </row>
    <row r="1133" spans="2:6" x14ac:dyDescent="0.2">
      <c r="B1133" s="592">
        <v>3000</v>
      </c>
      <c r="C1133" s="710" t="s">
        <v>2404</v>
      </c>
      <c r="D1133" s="701"/>
      <c r="E1133" s="588"/>
    </row>
    <row r="1134" spans="2:6" x14ac:dyDescent="0.2">
      <c r="B1134" s="592">
        <v>4000</v>
      </c>
      <c r="C1134" s="710" t="s">
        <v>2399</v>
      </c>
      <c r="D1134" s="701"/>
      <c r="E1134" s="588"/>
      <c r="F1134" s="701">
        <v>82366.31</v>
      </c>
    </row>
    <row r="1135" spans="2:6" x14ac:dyDescent="0.2">
      <c r="B1135" s="592">
        <v>5000</v>
      </c>
      <c r="C1135" s="710" t="s">
        <v>2405</v>
      </c>
      <c r="D1135" s="701"/>
      <c r="E1135" s="588"/>
    </row>
    <row r="1136" spans="2:6" x14ac:dyDescent="0.2">
      <c r="B1136" s="592">
        <v>6000</v>
      </c>
      <c r="C1136" s="710" t="s">
        <v>2406</v>
      </c>
      <c r="D1136" s="701"/>
      <c r="E1136" s="588"/>
      <c r="F1136" s="701">
        <v>2898398.69</v>
      </c>
    </row>
    <row r="1137" spans="2:6" x14ac:dyDescent="0.2">
      <c r="B1137" s="592">
        <v>7000</v>
      </c>
      <c r="C1137" s="710" t="s">
        <v>2407</v>
      </c>
      <c r="D1137" s="701"/>
      <c r="E1137" s="588"/>
    </row>
    <row r="1138" spans="2:6" x14ac:dyDescent="0.2">
      <c r="B1138" s="592">
        <v>8000</v>
      </c>
      <c r="C1138" s="710" t="s">
        <v>2398</v>
      </c>
      <c r="D1138" s="701"/>
      <c r="E1138" s="588"/>
    </row>
    <row r="1139" spans="2:6" x14ac:dyDescent="0.2">
      <c r="B1139" s="592">
        <v>9000</v>
      </c>
      <c r="C1139" s="710" t="s">
        <v>2408</v>
      </c>
      <c r="D1139" s="593"/>
      <c r="E1139" s="588"/>
      <c r="F1139" s="593"/>
    </row>
    <row r="1140" spans="2:6" x14ac:dyDescent="0.2">
      <c r="B1140" s="589"/>
      <c r="C1140" s="587" t="s">
        <v>2409</v>
      </c>
      <c r="D1140" s="709">
        <f>SUM(D1131:D1139)</f>
        <v>0</v>
      </c>
      <c r="E1140" s="591"/>
      <c r="F1140" s="709">
        <f>SUM(F1131:F1139)</f>
        <v>2980765</v>
      </c>
    </row>
    <row r="1141" spans="2:6" x14ac:dyDescent="0.2">
      <c r="B1141" s="585"/>
      <c r="C1141" s="585"/>
      <c r="D1141" s="701"/>
      <c r="E1141" s="588"/>
    </row>
    <row r="1142" spans="2:6" x14ac:dyDescent="0.2">
      <c r="B1142" s="589"/>
      <c r="C1142" s="696" t="s">
        <v>2410</v>
      </c>
      <c r="D1142" s="594">
        <f>+D1115+D1128-D1140</f>
        <v>0</v>
      </c>
      <c r="E1142" s="591"/>
      <c r="F1142" s="594">
        <f>+F1115+F1128-F1140</f>
        <v>0</v>
      </c>
    </row>
    <row r="1144" spans="2:6" x14ac:dyDescent="0.2">
      <c r="B1144" s="1284" t="s">
        <v>2411</v>
      </c>
      <c r="C1144" s="1284"/>
      <c r="D1144" s="1284"/>
      <c r="E1144" s="1284"/>
      <c r="F1144" s="1284"/>
    </row>
    <row r="1145" spans="2:6" x14ac:dyDescent="0.2">
      <c r="B1145" s="708"/>
      <c r="C1145" s="585"/>
    </row>
    <row r="1146" spans="2:6" x14ac:dyDescent="0.2">
      <c r="B1146" s="708"/>
      <c r="C1146" s="708" t="s">
        <v>2412</v>
      </c>
      <c r="D1146" s="586"/>
      <c r="F1146" s="591"/>
    </row>
    <row r="1147" spans="2:6" x14ac:dyDescent="0.2">
      <c r="B1147" s="705" t="s">
        <v>5</v>
      </c>
      <c r="C1147" s="2" t="s">
        <v>6</v>
      </c>
      <c r="D1147" s="701">
        <v>0</v>
      </c>
      <c r="E1147" s="588"/>
      <c r="F1147" s="701">
        <v>0</v>
      </c>
    </row>
    <row r="1148" spans="2:6" x14ac:dyDescent="0.2">
      <c r="B1148" s="705" t="s">
        <v>9</v>
      </c>
      <c r="C1148" s="700" t="s">
        <v>10</v>
      </c>
      <c r="D1148" s="715"/>
    </row>
    <row r="1149" spans="2:6" x14ac:dyDescent="0.2">
      <c r="B1149" s="705" t="s">
        <v>13</v>
      </c>
      <c r="C1149" s="700" t="s">
        <v>14</v>
      </c>
      <c r="D1149" s="701"/>
    </row>
    <row r="1150" spans="2:6" x14ac:dyDescent="0.2">
      <c r="B1150" s="705" t="s">
        <v>27</v>
      </c>
      <c r="C1150" s="2" t="s">
        <v>28</v>
      </c>
      <c r="D1150" s="593"/>
      <c r="E1150" s="588"/>
      <c r="F1150" s="593"/>
    </row>
    <row r="1151" spans="2:6" x14ac:dyDescent="0.2">
      <c r="C1151" s="704" t="s">
        <v>2413</v>
      </c>
      <c r="D1151" s="595">
        <f>SUM(D1147:D1150)</f>
        <v>0</v>
      </c>
      <c r="E1151" s="595"/>
      <c r="F1151" s="595">
        <f>SUM(F1147:F1150)</f>
        <v>0</v>
      </c>
    </row>
    <row r="1152" spans="2:6" x14ac:dyDescent="0.2">
      <c r="B1152" s="705"/>
      <c r="C1152" s="704" t="s">
        <v>2414</v>
      </c>
    </row>
    <row r="1153" spans="2:6" x14ac:dyDescent="0.2">
      <c r="B1153" s="705" t="s">
        <v>7</v>
      </c>
      <c r="C1153" s="2" t="s">
        <v>8</v>
      </c>
      <c r="F1153" s="702"/>
    </row>
    <row r="1154" spans="2:6" x14ac:dyDescent="0.2">
      <c r="B1154" s="705" t="s">
        <v>11</v>
      </c>
      <c r="C1154" s="2" t="s">
        <v>12</v>
      </c>
      <c r="F1154" s="702"/>
    </row>
    <row r="1155" spans="2:6" x14ac:dyDescent="0.2">
      <c r="B1155" s="705" t="s">
        <v>15</v>
      </c>
      <c r="C1155" s="2" t="s">
        <v>16</v>
      </c>
    </row>
    <row r="1156" spans="2:6" x14ac:dyDescent="0.2">
      <c r="B1156" s="705" t="s">
        <v>592</v>
      </c>
      <c r="C1156" s="2" t="s">
        <v>23</v>
      </c>
    </row>
    <row r="1157" spans="2:6" ht="25.5" x14ac:dyDescent="0.2">
      <c r="B1157" s="707" t="s">
        <v>595</v>
      </c>
      <c r="C1157" s="706" t="s">
        <v>2415</v>
      </c>
    </row>
    <row r="1158" spans="2:6" x14ac:dyDescent="0.2">
      <c r="B1158" s="705" t="s">
        <v>598</v>
      </c>
      <c r="C1158" s="2" t="s">
        <v>2416</v>
      </c>
    </row>
    <row r="1159" spans="2:6" x14ac:dyDescent="0.2">
      <c r="B1159" s="705" t="s">
        <v>600</v>
      </c>
      <c r="C1159" s="2" t="s">
        <v>2417</v>
      </c>
      <c r="D1159" s="593"/>
      <c r="E1159" s="588"/>
      <c r="F1159" s="593"/>
    </row>
    <row r="1160" spans="2:6" x14ac:dyDescent="0.2">
      <c r="C1160" s="704" t="s">
        <v>2418</v>
      </c>
      <c r="D1160" s="591">
        <f>SUM(D1153:D1159)</f>
        <v>0</v>
      </c>
      <c r="E1160" s="591"/>
      <c r="F1160" s="591">
        <f>SUM(F1153:F1159)</f>
        <v>0</v>
      </c>
    </row>
    <row r="1162" spans="2:6" x14ac:dyDescent="0.2">
      <c r="C1162" s="703" t="s">
        <v>2419</v>
      </c>
      <c r="D1162" s="594">
        <f>+D1151-D1160</f>
        <v>0</v>
      </c>
      <c r="E1162" s="591"/>
      <c r="F1162" s="594">
        <f>+F1151-F1160</f>
        <v>0</v>
      </c>
    </row>
    <row r="1165" spans="2:6" x14ac:dyDescent="0.2">
      <c r="D1165" s="700"/>
      <c r="E1165" s="585"/>
      <c r="F1165" s="700"/>
    </row>
    <row r="1166" spans="2:6" x14ac:dyDescent="0.2">
      <c r="D1166" s="700"/>
      <c r="E1166" s="585"/>
      <c r="F1166" s="700"/>
    </row>
    <row r="1167" spans="2:6" x14ac:dyDescent="0.2">
      <c r="D1167" s="700"/>
      <c r="E1167" s="585"/>
      <c r="F1167" s="700"/>
    </row>
    <row r="1172" spans="1:6" x14ac:dyDescent="0.2">
      <c r="A1172" s="1285" t="s">
        <v>7476</v>
      </c>
      <c r="B1172" s="1285"/>
      <c r="C1172" s="1285"/>
      <c r="D1172" s="1285"/>
      <c r="E1172" s="1285"/>
      <c r="F1172" s="1285"/>
    </row>
    <row r="1173" spans="1:6" x14ac:dyDescent="0.2">
      <c r="A1173" s="1285" t="s">
        <v>7478</v>
      </c>
      <c r="B1173" s="1285"/>
      <c r="C1173" s="1285"/>
      <c r="D1173" s="1285"/>
      <c r="E1173" s="1285"/>
      <c r="F1173" s="1285"/>
    </row>
    <row r="1174" spans="1:6" x14ac:dyDescent="0.2">
      <c r="A1174" s="1285" t="s">
        <v>8947</v>
      </c>
      <c r="B1174" s="1285"/>
      <c r="C1174" s="1285"/>
      <c r="D1174" s="1285"/>
      <c r="E1174" s="1285"/>
      <c r="F1174" s="1285"/>
    </row>
    <row r="1175" spans="1:6" x14ac:dyDescent="0.2">
      <c r="A1175" s="1285" t="s">
        <v>8930</v>
      </c>
      <c r="B1175" s="1285"/>
      <c r="C1175" s="1285"/>
      <c r="D1175" s="1285"/>
      <c r="E1175" s="1285"/>
      <c r="F1175" s="1285"/>
    </row>
    <row r="1176" spans="1:6" x14ac:dyDescent="0.2">
      <c r="D1176" s="701"/>
      <c r="E1176" s="588"/>
      <c r="F1176" s="714"/>
    </row>
    <row r="1177" spans="1:6" x14ac:dyDescent="0.2">
      <c r="D1177" s="701"/>
      <c r="E1177" s="588"/>
      <c r="F1177" s="714"/>
    </row>
    <row r="1178" spans="1:6" x14ac:dyDescent="0.2">
      <c r="C1178" s="708"/>
      <c r="D1178" s="713" t="s">
        <v>2392</v>
      </c>
      <c r="E1178" s="590"/>
      <c r="F1178" s="713" t="s">
        <v>2393</v>
      </c>
    </row>
    <row r="1179" spans="1:6" x14ac:dyDescent="0.2">
      <c r="B1179" s="712"/>
      <c r="C1179" s="2"/>
      <c r="D1179" s="701"/>
      <c r="E1179" s="588"/>
    </row>
    <row r="1180" spans="1:6" x14ac:dyDescent="0.2">
      <c r="C1180" s="711" t="s">
        <v>2394</v>
      </c>
      <c r="D1180" s="594">
        <v>838193.39000000025</v>
      </c>
      <c r="E1180" s="591"/>
      <c r="F1180" s="594">
        <v>0</v>
      </c>
    </row>
    <row r="1181" spans="1:6" x14ac:dyDescent="0.2">
      <c r="C1181" s="711"/>
      <c r="D1181" s="709"/>
      <c r="E1181" s="591"/>
      <c r="F1181" s="709"/>
    </row>
    <row r="1182" spans="1:6" x14ac:dyDescent="0.2">
      <c r="B1182" s="1286" t="s">
        <v>2395</v>
      </c>
      <c r="C1182" s="1286"/>
      <c r="D1182" s="588"/>
      <c r="E1182" s="588"/>
      <c r="F1182" s="588"/>
    </row>
    <row r="1183" spans="1:6" x14ac:dyDescent="0.2">
      <c r="B1183" s="592">
        <v>1</v>
      </c>
      <c r="C1183" s="710" t="s">
        <v>107</v>
      </c>
      <c r="D1183" s="588"/>
      <c r="E1183" s="588"/>
      <c r="F1183" s="588"/>
    </row>
    <row r="1184" spans="1:6" x14ac:dyDescent="0.2">
      <c r="B1184" s="592">
        <v>2</v>
      </c>
      <c r="C1184" s="710" t="s">
        <v>109</v>
      </c>
      <c r="D1184" s="588"/>
      <c r="E1184" s="588"/>
      <c r="F1184" s="588"/>
    </row>
    <row r="1185" spans="2:6" x14ac:dyDescent="0.2">
      <c r="B1185" s="592">
        <v>3</v>
      </c>
      <c r="C1185" s="710" t="s">
        <v>2396</v>
      </c>
      <c r="D1185" s="588"/>
      <c r="E1185" s="588"/>
      <c r="F1185" s="588"/>
    </row>
    <row r="1186" spans="2:6" x14ac:dyDescent="0.2">
      <c r="B1186" s="592">
        <v>4</v>
      </c>
      <c r="C1186" s="710" t="s">
        <v>113</v>
      </c>
      <c r="D1186" s="588"/>
      <c r="E1186" s="588"/>
      <c r="F1186" s="588"/>
    </row>
    <row r="1187" spans="2:6" x14ac:dyDescent="0.2">
      <c r="B1187" s="592">
        <v>5</v>
      </c>
      <c r="C1187" s="710" t="s">
        <v>228</v>
      </c>
      <c r="D1187" s="588">
        <v>1958.74</v>
      </c>
      <c r="E1187" s="588"/>
      <c r="F1187" s="588">
        <v>22889.730000000003</v>
      </c>
    </row>
    <row r="1188" spans="2:6" x14ac:dyDescent="0.2">
      <c r="B1188" s="592">
        <v>6</v>
      </c>
      <c r="C1188" s="710" t="s">
        <v>231</v>
      </c>
      <c r="D1188" s="588"/>
      <c r="E1188" s="588"/>
      <c r="F1188" s="588"/>
    </row>
    <row r="1189" spans="2:6" x14ac:dyDescent="0.2">
      <c r="B1189" s="592">
        <v>7</v>
      </c>
      <c r="C1189" s="710" t="s">
        <v>2397</v>
      </c>
      <c r="D1189" s="350"/>
      <c r="E1189" s="350"/>
      <c r="F1189" s="350"/>
    </row>
    <row r="1190" spans="2:6" x14ac:dyDescent="0.2">
      <c r="B1190" s="592">
        <v>8</v>
      </c>
      <c r="C1190" s="710" t="s">
        <v>2398</v>
      </c>
      <c r="D1190" s="588"/>
      <c r="E1190" s="588"/>
      <c r="F1190" s="588">
        <v>2880846.32</v>
      </c>
    </row>
    <row r="1191" spans="2:6" x14ac:dyDescent="0.2">
      <c r="B1191" s="592">
        <v>9</v>
      </c>
      <c r="C1191" s="710" t="s">
        <v>2399</v>
      </c>
      <c r="D1191" s="588"/>
      <c r="E1191" s="588"/>
      <c r="F1191" s="588"/>
    </row>
    <row r="1192" spans="2:6" x14ac:dyDescent="0.2">
      <c r="B1192" s="592">
        <v>0</v>
      </c>
      <c r="C1192" s="710" t="s">
        <v>500</v>
      </c>
      <c r="D1192" s="593"/>
      <c r="E1192" s="588"/>
      <c r="F1192" s="593"/>
    </row>
    <row r="1193" spans="2:6" x14ac:dyDescent="0.2">
      <c r="B1193" s="585"/>
      <c r="C1193" s="587" t="s">
        <v>2400</v>
      </c>
      <c r="D1193" s="709">
        <f>SUM(D1183:D1192)</f>
        <v>1958.74</v>
      </c>
      <c r="E1193" s="591"/>
      <c r="F1193" s="709">
        <f>SUM(F1183:F1192)</f>
        <v>2903736.05</v>
      </c>
    </row>
    <row r="1194" spans="2:6" x14ac:dyDescent="0.2">
      <c r="B1194" s="585"/>
      <c r="C1194" s="585"/>
      <c r="D1194" s="701"/>
      <c r="E1194" s="588"/>
    </row>
    <row r="1195" spans="2:6" x14ac:dyDescent="0.2">
      <c r="B1195" s="1283" t="s">
        <v>2401</v>
      </c>
      <c r="C1195" s="1283"/>
      <c r="D1195" s="709"/>
      <c r="E1195" s="591"/>
      <c r="F1195" s="709"/>
    </row>
    <row r="1196" spans="2:6" x14ac:dyDescent="0.2">
      <c r="B1196" s="592">
        <v>1000</v>
      </c>
      <c r="C1196" s="710" t="s">
        <v>2402</v>
      </c>
      <c r="D1196" s="701"/>
      <c r="E1196" s="588"/>
    </row>
    <row r="1197" spans="2:6" x14ac:dyDescent="0.2">
      <c r="B1197" s="592">
        <v>2000</v>
      </c>
      <c r="C1197" s="710" t="s">
        <v>2403</v>
      </c>
      <c r="D1197" s="701"/>
      <c r="E1197" s="588"/>
    </row>
    <row r="1198" spans="2:6" x14ac:dyDescent="0.2">
      <c r="B1198" s="592">
        <v>3000</v>
      </c>
      <c r="C1198" s="710" t="s">
        <v>2404</v>
      </c>
      <c r="D1198" s="701"/>
      <c r="E1198" s="588"/>
    </row>
    <row r="1199" spans="2:6" x14ac:dyDescent="0.2">
      <c r="B1199" s="592">
        <v>4000</v>
      </c>
      <c r="C1199" s="710" t="s">
        <v>2399</v>
      </c>
      <c r="D1199" s="701"/>
      <c r="E1199" s="588"/>
    </row>
    <row r="1200" spans="2:6" x14ac:dyDescent="0.2">
      <c r="B1200" s="592">
        <v>5000</v>
      </c>
      <c r="C1200" s="710" t="s">
        <v>2405</v>
      </c>
      <c r="D1200" s="701"/>
      <c r="E1200" s="588"/>
    </row>
    <row r="1201" spans="2:6" x14ac:dyDescent="0.2">
      <c r="B1201" s="592">
        <v>6000</v>
      </c>
      <c r="C1201" s="710" t="s">
        <v>2406</v>
      </c>
      <c r="D1201" s="701">
        <v>689498.06</v>
      </c>
      <c r="E1201" s="588"/>
      <c r="F1201" s="701">
        <v>2753081.98</v>
      </c>
    </row>
    <row r="1202" spans="2:6" x14ac:dyDescent="0.2">
      <c r="B1202" s="592">
        <v>7000</v>
      </c>
      <c r="C1202" s="710" t="s">
        <v>2407</v>
      </c>
      <c r="D1202" s="701"/>
      <c r="E1202" s="588"/>
    </row>
    <row r="1203" spans="2:6" x14ac:dyDescent="0.2">
      <c r="B1203" s="592">
        <v>8000</v>
      </c>
      <c r="C1203" s="710" t="s">
        <v>2398</v>
      </c>
      <c r="D1203" s="701"/>
      <c r="E1203" s="588"/>
    </row>
    <row r="1204" spans="2:6" x14ac:dyDescent="0.2">
      <c r="B1204" s="592">
        <v>9000</v>
      </c>
      <c r="C1204" s="710" t="s">
        <v>2408</v>
      </c>
      <c r="D1204" s="593"/>
      <c r="E1204" s="588"/>
      <c r="F1204" s="593"/>
    </row>
    <row r="1205" spans="2:6" x14ac:dyDescent="0.2">
      <c r="B1205" s="589"/>
      <c r="C1205" s="587" t="s">
        <v>2409</v>
      </c>
      <c r="D1205" s="709">
        <f>SUM(D1196:D1204)</f>
        <v>689498.06</v>
      </c>
      <c r="E1205" s="591"/>
      <c r="F1205" s="709">
        <f>SUM(F1196:F1204)</f>
        <v>2753081.98</v>
      </c>
    </row>
    <row r="1206" spans="2:6" x14ac:dyDescent="0.2">
      <c r="B1206" s="585"/>
      <c r="C1206" s="585"/>
      <c r="D1206" s="701"/>
      <c r="E1206" s="588"/>
    </row>
    <row r="1207" spans="2:6" x14ac:dyDescent="0.2">
      <c r="B1207" s="589"/>
      <c r="C1207" s="696" t="s">
        <v>2410</v>
      </c>
      <c r="D1207" s="594">
        <f>+D1180+D1193-D1205</f>
        <v>150654.07000000018</v>
      </c>
      <c r="E1207" s="591"/>
      <c r="F1207" s="594">
        <f>+F1180+F1193-F1205</f>
        <v>150654.06999999983</v>
      </c>
    </row>
    <row r="1209" spans="2:6" x14ac:dyDescent="0.2">
      <c r="B1209" s="1284" t="s">
        <v>2411</v>
      </c>
      <c r="C1209" s="1284"/>
      <c r="D1209" s="1284"/>
      <c r="E1209" s="1284"/>
      <c r="F1209" s="1284"/>
    </row>
    <row r="1210" spans="2:6" x14ac:dyDescent="0.2">
      <c r="B1210" s="708"/>
      <c r="C1210" s="585"/>
    </row>
    <row r="1211" spans="2:6" x14ac:dyDescent="0.2">
      <c r="B1211" s="708"/>
      <c r="C1211" s="708" t="s">
        <v>2412</v>
      </c>
      <c r="D1211" s="586"/>
      <c r="F1211" s="591"/>
    </row>
    <row r="1212" spans="2:6" x14ac:dyDescent="0.2">
      <c r="B1212" s="705" t="s">
        <v>5</v>
      </c>
      <c r="C1212" s="2" t="s">
        <v>6</v>
      </c>
      <c r="D1212" s="701">
        <v>274629.33</v>
      </c>
      <c r="E1212" s="588"/>
      <c r="F1212" s="701">
        <v>274629.33</v>
      </c>
    </row>
    <row r="1213" spans="2:6" x14ac:dyDescent="0.2">
      <c r="B1213" s="705" t="s">
        <v>9</v>
      </c>
      <c r="C1213" s="700" t="s">
        <v>10</v>
      </c>
      <c r="D1213" s="715"/>
    </row>
    <row r="1214" spans="2:6" x14ac:dyDescent="0.2">
      <c r="B1214" s="705" t="s">
        <v>13</v>
      </c>
      <c r="C1214" s="700" t="s">
        <v>14</v>
      </c>
      <c r="D1214" s="701"/>
    </row>
    <row r="1215" spans="2:6" x14ac:dyDescent="0.2">
      <c r="B1215" s="705" t="s">
        <v>27</v>
      </c>
      <c r="C1215" s="2" t="s">
        <v>28</v>
      </c>
      <c r="D1215" s="593"/>
      <c r="E1215" s="588"/>
      <c r="F1215" s="593"/>
    </row>
    <row r="1216" spans="2:6" x14ac:dyDescent="0.2">
      <c r="C1216" s="704" t="s">
        <v>2413</v>
      </c>
      <c r="D1216" s="595">
        <f>SUM(D1212:D1215)</f>
        <v>274629.33</v>
      </c>
      <c r="E1216" s="595"/>
      <c r="F1216" s="595">
        <f>SUM(F1212:F1215)</f>
        <v>274629.33</v>
      </c>
    </row>
    <row r="1217" spans="2:6" x14ac:dyDescent="0.2">
      <c r="B1217" s="705"/>
      <c r="C1217" s="704" t="s">
        <v>2414</v>
      </c>
    </row>
    <row r="1218" spans="2:6" x14ac:dyDescent="0.2">
      <c r="B1218" s="705" t="s">
        <v>7</v>
      </c>
      <c r="C1218" s="2" t="s">
        <v>8</v>
      </c>
      <c r="D1218" s="702">
        <v>123975.26000000001</v>
      </c>
      <c r="F1218" s="702">
        <v>123975.26000000001</v>
      </c>
    </row>
    <row r="1219" spans="2:6" x14ac:dyDescent="0.2">
      <c r="B1219" s="705" t="s">
        <v>11</v>
      </c>
      <c r="C1219" s="2" t="s">
        <v>12</v>
      </c>
      <c r="F1219" s="702"/>
    </row>
    <row r="1220" spans="2:6" x14ac:dyDescent="0.2">
      <c r="B1220" s="705" t="s">
        <v>15</v>
      </c>
      <c r="C1220" s="2" t="s">
        <v>16</v>
      </c>
    </row>
    <row r="1221" spans="2:6" x14ac:dyDescent="0.2">
      <c r="B1221" s="705" t="s">
        <v>592</v>
      </c>
      <c r="C1221" s="2" t="s">
        <v>23</v>
      </c>
    </row>
    <row r="1222" spans="2:6" ht="25.5" x14ac:dyDescent="0.2">
      <c r="B1222" s="707" t="s">
        <v>595</v>
      </c>
      <c r="C1222" s="706" t="s">
        <v>2415</v>
      </c>
    </row>
    <row r="1223" spans="2:6" x14ac:dyDescent="0.2">
      <c r="B1223" s="705" t="s">
        <v>598</v>
      </c>
      <c r="C1223" s="2" t="s">
        <v>2416</v>
      </c>
    </row>
    <row r="1224" spans="2:6" x14ac:dyDescent="0.2">
      <c r="B1224" s="705" t="s">
        <v>600</v>
      </c>
      <c r="C1224" s="2" t="s">
        <v>2417</v>
      </c>
      <c r="D1224" s="593"/>
      <c r="E1224" s="588"/>
      <c r="F1224" s="593"/>
    </row>
    <row r="1225" spans="2:6" x14ac:dyDescent="0.2">
      <c r="C1225" s="704" t="s">
        <v>2418</v>
      </c>
      <c r="D1225" s="591">
        <f>SUM(D1218:D1224)</f>
        <v>123975.26000000001</v>
      </c>
      <c r="E1225" s="591"/>
      <c r="F1225" s="591">
        <f>SUM(F1218:F1224)</f>
        <v>123975.26000000001</v>
      </c>
    </row>
    <row r="1227" spans="2:6" x14ac:dyDescent="0.2">
      <c r="C1227" s="703" t="s">
        <v>2419</v>
      </c>
      <c r="D1227" s="594">
        <f>+D1216-D1225</f>
        <v>150654.07</v>
      </c>
      <c r="E1227" s="591"/>
      <c r="F1227" s="594">
        <f>+F1216-F1225</f>
        <v>150654.07</v>
      </c>
    </row>
    <row r="1230" spans="2:6" x14ac:dyDescent="0.2">
      <c r="D1230" s="700"/>
      <c r="E1230" s="585"/>
      <c r="F1230" s="700"/>
    </row>
    <row r="1231" spans="2:6" x14ac:dyDescent="0.2">
      <c r="D1231" s="700"/>
      <c r="E1231" s="585"/>
      <c r="F1231" s="700"/>
    </row>
    <row r="1232" spans="2:6" x14ac:dyDescent="0.2">
      <c r="D1232" s="700"/>
      <c r="E1232" s="585"/>
      <c r="F1232" s="700"/>
    </row>
    <row r="1237" spans="1:6" x14ac:dyDescent="0.2">
      <c r="A1237" s="1285" t="s">
        <v>7476</v>
      </c>
      <c r="B1237" s="1285"/>
      <c r="C1237" s="1285"/>
      <c r="D1237" s="1285"/>
      <c r="E1237" s="1285"/>
      <c r="F1237" s="1285"/>
    </row>
    <row r="1238" spans="1:6" x14ac:dyDescent="0.2">
      <c r="A1238" s="1285" t="s">
        <v>7478</v>
      </c>
      <c r="B1238" s="1285"/>
      <c r="C1238" s="1285"/>
      <c r="D1238" s="1285"/>
      <c r="E1238" s="1285"/>
      <c r="F1238" s="1285"/>
    </row>
    <row r="1239" spans="1:6" x14ac:dyDescent="0.2">
      <c r="A1239" s="1285" t="s">
        <v>8067</v>
      </c>
      <c r="B1239" s="1285"/>
      <c r="C1239" s="1285"/>
      <c r="D1239" s="1285"/>
      <c r="E1239" s="1285"/>
      <c r="F1239" s="1285"/>
    </row>
    <row r="1240" spans="1:6" x14ac:dyDescent="0.2">
      <c r="A1240" s="1285" t="s">
        <v>8946</v>
      </c>
      <c r="B1240" s="1285"/>
      <c r="C1240" s="1285"/>
      <c r="D1240" s="1285"/>
      <c r="E1240" s="1285"/>
      <c r="F1240" s="1285"/>
    </row>
    <row r="1241" spans="1:6" x14ac:dyDescent="0.2">
      <c r="D1241" s="701"/>
      <c r="E1241" s="588"/>
      <c r="F1241" s="714"/>
    </row>
    <row r="1242" spans="1:6" x14ac:dyDescent="0.2">
      <c r="D1242" s="701"/>
      <c r="E1242" s="588"/>
      <c r="F1242" s="714"/>
    </row>
    <row r="1243" spans="1:6" x14ac:dyDescent="0.2">
      <c r="C1243" s="708"/>
      <c r="D1243" s="713" t="s">
        <v>2392</v>
      </c>
      <c r="E1243" s="590"/>
      <c r="F1243" s="713" t="s">
        <v>2393</v>
      </c>
    </row>
    <row r="1244" spans="1:6" x14ac:dyDescent="0.2">
      <c r="B1244" s="712"/>
      <c r="C1244" s="2"/>
      <c r="D1244" s="701"/>
      <c r="E1244" s="588"/>
    </row>
    <row r="1245" spans="1:6" x14ac:dyDescent="0.2">
      <c r="C1245" s="711" t="s">
        <v>2394</v>
      </c>
      <c r="D1245" s="594">
        <v>0</v>
      </c>
      <c r="E1245" s="591"/>
      <c r="F1245" s="594">
        <v>7926027.2100000046</v>
      </c>
    </row>
    <row r="1246" spans="1:6" x14ac:dyDescent="0.2">
      <c r="C1246" s="711"/>
      <c r="D1246" s="709"/>
      <c r="E1246" s="591"/>
      <c r="F1246" s="709"/>
    </row>
    <row r="1247" spans="1:6" x14ac:dyDescent="0.2">
      <c r="B1247" s="1286" t="s">
        <v>2395</v>
      </c>
      <c r="C1247" s="1286"/>
      <c r="D1247" s="588"/>
      <c r="E1247" s="588"/>
      <c r="F1247" s="588"/>
    </row>
    <row r="1248" spans="1:6" x14ac:dyDescent="0.2">
      <c r="B1248" s="592">
        <v>1</v>
      </c>
      <c r="C1248" s="710" t="s">
        <v>107</v>
      </c>
      <c r="D1248" s="588"/>
      <c r="E1248" s="588"/>
      <c r="F1248" s="588"/>
    </row>
    <row r="1249" spans="2:6" x14ac:dyDescent="0.2">
      <c r="B1249" s="592">
        <v>2</v>
      </c>
      <c r="C1249" s="710" t="s">
        <v>109</v>
      </c>
      <c r="D1249" s="588"/>
      <c r="E1249" s="588"/>
      <c r="F1249" s="588"/>
    </row>
    <row r="1250" spans="2:6" x14ac:dyDescent="0.2">
      <c r="B1250" s="592">
        <v>3</v>
      </c>
      <c r="C1250" s="710" t="s">
        <v>2396</v>
      </c>
      <c r="D1250" s="588"/>
      <c r="E1250" s="588"/>
      <c r="F1250" s="588"/>
    </row>
    <row r="1251" spans="2:6" x14ac:dyDescent="0.2">
      <c r="B1251" s="592">
        <v>4</v>
      </c>
      <c r="C1251" s="710" t="s">
        <v>113</v>
      </c>
      <c r="D1251" s="588"/>
      <c r="E1251" s="588"/>
      <c r="F1251" s="588"/>
    </row>
    <row r="1252" spans="2:6" x14ac:dyDescent="0.2">
      <c r="B1252" s="592">
        <v>5</v>
      </c>
      <c r="C1252" s="710" t="s">
        <v>228</v>
      </c>
      <c r="D1252" s="588"/>
      <c r="E1252" s="588"/>
      <c r="F1252" s="588">
        <v>54143.149999999994</v>
      </c>
    </row>
    <row r="1253" spans="2:6" x14ac:dyDescent="0.2">
      <c r="B1253" s="592">
        <v>6</v>
      </c>
      <c r="C1253" s="710" t="s">
        <v>231</v>
      </c>
      <c r="D1253" s="588"/>
      <c r="E1253" s="588"/>
      <c r="F1253" s="588"/>
    </row>
    <row r="1254" spans="2:6" x14ac:dyDescent="0.2">
      <c r="B1254" s="592">
        <v>7</v>
      </c>
      <c r="C1254" s="710" t="s">
        <v>2397</v>
      </c>
      <c r="D1254" s="350"/>
      <c r="E1254" s="350"/>
      <c r="F1254" s="350"/>
    </row>
    <row r="1255" spans="2:6" x14ac:dyDescent="0.2">
      <c r="B1255" s="592">
        <v>8</v>
      </c>
      <c r="C1255" s="710" t="s">
        <v>2398</v>
      </c>
      <c r="D1255" s="588"/>
      <c r="E1255" s="588"/>
      <c r="F1255" s="588"/>
    </row>
    <row r="1256" spans="2:6" x14ac:dyDescent="0.2">
      <c r="B1256" s="592">
        <v>9</v>
      </c>
      <c r="C1256" s="710" t="s">
        <v>2399</v>
      </c>
      <c r="D1256" s="588"/>
      <c r="E1256" s="588"/>
      <c r="F1256" s="588"/>
    </row>
    <row r="1257" spans="2:6" x14ac:dyDescent="0.2">
      <c r="B1257" s="592">
        <v>0</v>
      </c>
      <c r="C1257" s="710" t="s">
        <v>500</v>
      </c>
      <c r="D1257" s="593"/>
      <c r="E1257" s="588"/>
      <c r="F1257" s="593"/>
    </row>
    <row r="1258" spans="2:6" x14ac:dyDescent="0.2">
      <c r="B1258" s="585"/>
      <c r="C1258" s="587" t="s">
        <v>2400</v>
      </c>
      <c r="D1258" s="709">
        <f>SUM(D1248:D1257)</f>
        <v>0</v>
      </c>
      <c r="E1258" s="591"/>
      <c r="F1258" s="709">
        <f>SUM(F1248:F1257)</f>
        <v>54143.149999999994</v>
      </c>
    </row>
    <row r="1259" spans="2:6" x14ac:dyDescent="0.2">
      <c r="B1259" s="585"/>
      <c r="C1259" s="585"/>
      <c r="D1259" s="701"/>
      <c r="E1259" s="588"/>
    </row>
    <row r="1260" spans="2:6" x14ac:dyDescent="0.2">
      <c r="B1260" s="1283" t="s">
        <v>2401</v>
      </c>
      <c r="C1260" s="1283"/>
      <c r="D1260" s="709"/>
      <c r="E1260" s="591"/>
      <c r="F1260" s="709"/>
    </row>
    <row r="1261" spans="2:6" x14ac:dyDescent="0.2">
      <c r="B1261" s="592">
        <v>1000</v>
      </c>
      <c r="C1261" s="710" t="s">
        <v>2402</v>
      </c>
      <c r="D1261" s="701"/>
      <c r="E1261" s="588"/>
    </row>
    <row r="1262" spans="2:6" x14ac:dyDescent="0.2">
      <c r="B1262" s="592">
        <v>2000</v>
      </c>
      <c r="C1262" s="710" t="s">
        <v>2403</v>
      </c>
      <c r="D1262" s="701"/>
      <c r="E1262" s="588"/>
    </row>
    <row r="1263" spans="2:6" x14ac:dyDescent="0.2">
      <c r="B1263" s="592">
        <v>3000</v>
      </c>
      <c r="C1263" s="710" t="s">
        <v>2404</v>
      </c>
      <c r="D1263" s="701"/>
      <c r="E1263" s="588"/>
    </row>
    <row r="1264" spans="2:6" x14ac:dyDescent="0.2">
      <c r="B1264" s="592">
        <v>4000</v>
      </c>
      <c r="C1264" s="710" t="s">
        <v>2399</v>
      </c>
      <c r="D1264" s="701"/>
      <c r="E1264" s="588"/>
      <c r="F1264" s="701">
        <v>875749</v>
      </c>
    </row>
    <row r="1265" spans="2:6" x14ac:dyDescent="0.2">
      <c r="B1265" s="592">
        <v>5000</v>
      </c>
      <c r="C1265" s="710" t="s">
        <v>2405</v>
      </c>
      <c r="D1265" s="701"/>
      <c r="E1265" s="588"/>
    </row>
    <row r="1266" spans="2:6" x14ac:dyDescent="0.2">
      <c r="B1266" s="592">
        <v>6000</v>
      </c>
      <c r="C1266" s="710" t="s">
        <v>2406</v>
      </c>
      <c r="D1266" s="701"/>
      <c r="E1266" s="588"/>
      <c r="F1266" s="701">
        <v>7104421.3600000003</v>
      </c>
    </row>
    <row r="1267" spans="2:6" x14ac:dyDescent="0.2">
      <c r="B1267" s="592">
        <v>7000</v>
      </c>
      <c r="C1267" s="710" t="s">
        <v>2407</v>
      </c>
      <c r="D1267" s="701"/>
      <c r="E1267" s="588"/>
    </row>
    <row r="1268" spans="2:6" x14ac:dyDescent="0.2">
      <c r="B1268" s="592">
        <v>8000</v>
      </c>
      <c r="C1268" s="710" t="s">
        <v>2398</v>
      </c>
      <c r="D1268" s="701"/>
      <c r="E1268" s="588"/>
    </row>
    <row r="1269" spans="2:6" x14ac:dyDescent="0.2">
      <c r="B1269" s="592">
        <v>9000</v>
      </c>
      <c r="C1269" s="710" t="s">
        <v>2408</v>
      </c>
      <c r="D1269" s="593"/>
      <c r="E1269" s="588"/>
      <c r="F1269" s="593"/>
    </row>
    <row r="1270" spans="2:6" x14ac:dyDescent="0.2">
      <c r="B1270" s="589"/>
      <c r="C1270" s="587" t="s">
        <v>2409</v>
      </c>
      <c r="D1270" s="709">
        <f>SUM(D1261:D1269)</f>
        <v>0</v>
      </c>
      <c r="E1270" s="591"/>
      <c r="F1270" s="709">
        <f>SUM(F1261:F1269)</f>
        <v>7980170.3600000003</v>
      </c>
    </row>
    <row r="1271" spans="2:6" x14ac:dyDescent="0.2">
      <c r="B1271" s="585"/>
      <c r="C1271" s="585"/>
      <c r="D1271" s="701"/>
      <c r="E1271" s="588"/>
    </row>
    <row r="1272" spans="2:6" x14ac:dyDescent="0.2">
      <c r="B1272" s="589"/>
      <c r="C1272" s="696" t="s">
        <v>2410</v>
      </c>
      <c r="D1272" s="594">
        <f>+D1245+D1258-D1270</f>
        <v>0</v>
      </c>
      <c r="E1272" s="591"/>
      <c r="F1272" s="594">
        <f>+F1245+F1258-F1270</f>
        <v>0</v>
      </c>
    </row>
    <row r="1274" spans="2:6" x14ac:dyDescent="0.2">
      <c r="B1274" s="1284" t="s">
        <v>2411</v>
      </c>
      <c r="C1274" s="1284"/>
      <c r="D1274" s="1284"/>
      <c r="E1274" s="1284"/>
      <c r="F1274" s="1284"/>
    </row>
    <row r="1275" spans="2:6" x14ac:dyDescent="0.2">
      <c r="B1275" s="708"/>
      <c r="C1275" s="585"/>
    </row>
    <row r="1276" spans="2:6" x14ac:dyDescent="0.2">
      <c r="B1276" s="708"/>
      <c r="C1276" s="708" t="s">
        <v>2412</v>
      </c>
      <c r="D1276" s="586"/>
      <c r="F1276" s="591"/>
    </row>
    <row r="1277" spans="2:6" x14ac:dyDescent="0.2">
      <c r="B1277" s="705" t="s">
        <v>5</v>
      </c>
      <c r="C1277" s="2" t="s">
        <v>6</v>
      </c>
      <c r="D1277" s="701">
        <v>0</v>
      </c>
      <c r="E1277" s="588"/>
      <c r="F1277" s="701">
        <v>0</v>
      </c>
    </row>
    <row r="1278" spans="2:6" x14ac:dyDescent="0.2">
      <c r="B1278" s="705" t="s">
        <v>9</v>
      </c>
      <c r="C1278" s="700" t="s">
        <v>10</v>
      </c>
      <c r="D1278" s="715"/>
    </row>
    <row r="1279" spans="2:6" x14ac:dyDescent="0.2">
      <c r="B1279" s="705" t="s">
        <v>13</v>
      </c>
      <c r="C1279" s="700" t="s">
        <v>14</v>
      </c>
      <c r="D1279" s="701"/>
    </row>
    <row r="1280" spans="2:6" x14ac:dyDescent="0.2">
      <c r="B1280" s="705" t="s">
        <v>27</v>
      </c>
      <c r="C1280" s="2" t="s">
        <v>28</v>
      </c>
      <c r="D1280" s="593"/>
      <c r="E1280" s="588"/>
      <c r="F1280" s="593"/>
    </row>
    <row r="1281" spans="2:6" x14ac:dyDescent="0.2">
      <c r="C1281" s="704" t="s">
        <v>2413</v>
      </c>
      <c r="D1281" s="595">
        <f>SUM(D1277:D1280)</f>
        <v>0</v>
      </c>
      <c r="E1281" s="595"/>
      <c r="F1281" s="595">
        <f>SUM(F1277:F1280)</f>
        <v>0</v>
      </c>
    </row>
    <row r="1282" spans="2:6" x14ac:dyDescent="0.2">
      <c r="B1282" s="705"/>
      <c r="C1282" s="704" t="s">
        <v>2414</v>
      </c>
    </row>
    <row r="1283" spans="2:6" x14ac:dyDescent="0.2">
      <c r="B1283" s="705" t="s">
        <v>7</v>
      </c>
      <c r="C1283" s="2" t="s">
        <v>8</v>
      </c>
      <c r="F1283" s="702"/>
    </row>
    <row r="1284" spans="2:6" x14ac:dyDescent="0.2">
      <c r="B1284" s="705" t="s">
        <v>11</v>
      </c>
      <c r="C1284" s="2" t="s">
        <v>12</v>
      </c>
      <c r="F1284" s="702"/>
    </row>
    <row r="1285" spans="2:6" x14ac:dyDescent="0.2">
      <c r="B1285" s="705" t="s">
        <v>15</v>
      </c>
      <c r="C1285" s="2" t="s">
        <v>16</v>
      </c>
    </row>
    <row r="1286" spans="2:6" x14ac:dyDescent="0.2">
      <c r="B1286" s="705" t="s">
        <v>592</v>
      </c>
      <c r="C1286" s="2" t="s">
        <v>23</v>
      </c>
    </row>
    <row r="1287" spans="2:6" ht="25.5" x14ac:dyDescent="0.2">
      <c r="B1287" s="707" t="s">
        <v>595</v>
      </c>
      <c r="C1287" s="706" t="s">
        <v>2415</v>
      </c>
    </row>
    <row r="1288" spans="2:6" x14ac:dyDescent="0.2">
      <c r="B1288" s="705" t="s">
        <v>598</v>
      </c>
      <c r="C1288" s="2" t="s">
        <v>2416</v>
      </c>
    </row>
    <row r="1289" spans="2:6" x14ac:dyDescent="0.2">
      <c r="B1289" s="705" t="s">
        <v>600</v>
      </c>
      <c r="C1289" s="2" t="s">
        <v>2417</v>
      </c>
      <c r="D1289" s="593"/>
      <c r="E1289" s="588"/>
      <c r="F1289" s="593"/>
    </row>
    <row r="1290" spans="2:6" x14ac:dyDescent="0.2">
      <c r="C1290" s="704" t="s">
        <v>2418</v>
      </c>
      <c r="D1290" s="591">
        <f>SUM(D1283:D1289)</f>
        <v>0</v>
      </c>
      <c r="E1290" s="591"/>
      <c r="F1290" s="591">
        <f>SUM(F1283:F1289)</f>
        <v>0</v>
      </c>
    </row>
    <row r="1292" spans="2:6" x14ac:dyDescent="0.2">
      <c r="C1292" s="703" t="s">
        <v>2419</v>
      </c>
      <c r="D1292" s="594">
        <f>+D1281-D1290</f>
        <v>0</v>
      </c>
      <c r="E1292" s="591"/>
      <c r="F1292" s="594">
        <f>+F1281-F1290</f>
        <v>0</v>
      </c>
    </row>
    <row r="1295" spans="2:6" x14ac:dyDescent="0.2">
      <c r="D1295" s="700"/>
      <c r="E1295" s="585"/>
      <c r="F1295" s="700"/>
    </row>
    <row r="1296" spans="2:6" x14ac:dyDescent="0.2">
      <c r="D1296" s="700"/>
      <c r="E1296" s="585"/>
      <c r="F1296" s="700"/>
    </row>
    <row r="1297" spans="1:6" x14ac:dyDescent="0.2">
      <c r="D1297" s="700"/>
      <c r="E1297" s="585"/>
      <c r="F1297" s="700"/>
    </row>
    <row r="1302" spans="1:6" x14ac:dyDescent="0.2">
      <c r="A1302" s="1285" t="s">
        <v>7476</v>
      </c>
      <c r="B1302" s="1285"/>
      <c r="C1302" s="1285"/>
      <c r="D1302" s="1285"/>
      <c r="E1302" s="1285"/>
      <c r="F1302" s="1285"/>
    </row>
    <row r="1303" spans="1:6" x14ac:dyDescent="0.2">
      <c r="A1303" s="1285" t="s">
        <v>7478</v>
      </c>
      <c r="B1303" s="1285"/>
      <c r="C1303" s="1285"/>
      <c r="D1303" s="1285"/>
      <c r="E1303" s="1285"/>
      <c r="F1303" s="1285"/>
    </row>
    <row r="1304" spans="1:6" x14ac:dyDescent="0.2">
      <c r="A1304" s="1285" t="s">
        <v>8068</v>
      </c>
      <c r="B1304" s="1285"/>
      <c r="C1304" s="1285"/>
      <c r="D1304" s="1285"/>
      <c r="E1304" s="1285"/>
      <c r="F1304" s="1285"/>
    </row>
    <row r="1305" spans="1:6" x14ac:dyDescent="0.2">
      <c r="A1305" s="1285" t="s">
        <v>8946</v>
      </c>
      <c r="B1305" s="1285"/>
      <c r="C1305" s="1285"/>
      <c r="D1305" s="1285"/>
      <c r="E1305" s="1285"/>
      <c r="F1305" s="1285"/>
    </row>
    <row r="1306" spans="1:6" x14ac:dyDescent="0.2">
      <c r="D1306" s="701"/>
      <c r="E1306" s="588"/>
      <c r="F1306" s="714"/>
    </row>
    <row r="1307" spans="1:6" x14ac:dyDescent="0.2">
      <c r="D1307" s="701"/>
      <c r="E1307" s="588"/>
      <c r="F1307" s="714"/>
    </row>
    <row r="1308" spans="1:6" x14ac:dyDescent="0.2">
      <c r="C1308" s="708"/>
      <c r="D1308" s="713" t="s">
        <v>2392</v>
      </c>
      <c r="E1308" s="590"/>
      <c r="F1308" s="713" t="s">
        <v>2393</v>
      </c>
    </row>
    <row r="1309" spans="1:6" x14ac:dyDescent="0.2">
      <c r="B1309" s="712"/>
      <c r="C1309" s="2"/>
      <c r="D1309" s="701"/>
      <c r="E1309" s="588"/>
    </row>
    <row r="1310" spans="1:6" x14ac:dyDescent="0.2">
      <c r="C1310" s="711" t="s">
        <v>2394</v>
      </c>
      <c r="D1310" s="594">
        <v>0</v>
      </c>
      <c r="E1310" s="591"/>
      <c r="F1310" s="594">
        <v>6822912.1200000057</v>
      </c>
    </row>
    <row r="1311" spans="1:6" x14ac:dyDescent="0.2">
      <c r="C1311" s="711"/>
      <c r="D1311" s="709"/>
      <c r="E1311" s="591"/>
      <c r="F1311" s="709"/>
    </row>
    <row r="1312" spans="1:6" x14ac:dyDescent="0.2">
      <c r="B1312" s="1286" t="s">
        <v>2395</v>
      </c>
      <c r="C1312" s="1286"/>
      <c r="D1312" s="588"/>
      <c r="E1312" s="588"/>
      <c r="F1312" s="588"/>
    </row>
    <row r="1313" spans="2:6" x14ac:dyDescent="0.2">
      <c r="B1313" s="592">
        <v>1</v>
      </c>
      <c r="C1313" s="710" t="s">
        <v>107</v>
      </c>
      <c r="D1313" s="588"/>
      <c r="E1313" s="588"/>
      <c r="F1313" s="588"/>
    </row>
    <row r="1314" spans="2:6" x14ac:dyDescent="0.2">
      <c r="B1314" s="592">
        <v>2</v>
      </c>
      <c r="C1314" s="710" t="s">
        <v>109</v>
      </c>
      <c r="D1314" s="588"/>
      <c r="E1314" s="588"/>
      <c r="F1314" s="588"/>
    </row>
    <row r="1315" spans="2:6" x14ac:dyDescent="0.2">
      <c r="B1315" s="592">
        <v>3</v>
      </c>
      <c r="C1315" s="710" t="s">
        <v>2396</v>
      </c>
      <c r="D1315" s="588"/>
      <c r="E1315" s="588"/>
      <c r="F1315" s="588"/>
    </row>
    <row r="1316" spans="2:6" x14ac:dyDescent="0.2">
      <c r="B1316" s="592">
        <v>4</v>
      </c>
      <c r="C1316" s="710" t="s">
        <v>113</v>
      </c>
      <c r="D1316" s="588"/>
      <c r="E1316" s="588"/>
      <c r="F1316" s="588"/>
    </row>
    <row r="1317" spans="2:6" x14ac:dyDescent="0.2">
      <c r="B1317" s="592">
        <v>5</v>
      </c>
      <c r="C1317" s="710" t="s">
        <v>228</v>
      </c>
      <c r="D1317" s="588"/>
      <c r="E1317" s="588"/>
      <c r="F1317" s="588">
        <v>46160.56</v>
      </c>
    </row>
    <row r="1318" spans="2:6" x14ac:dyDescent="0.2">
      <c r="B1318" s="592">
        <v>6</v>
      </c>
      <c r="C1318" s="710" t="s">
        <v>231</v>
      </c>
      <c r="D1318" s="588"/>
      <c r="E1318" s="588"/>
      <c r="F1318" s="588"/>
    </row>
    <row r="1319" spans="2:6" x14ac:dyDescent="0.2">
      <c r="B1319" s="592">
        <v>7</v>
      </c>
      <c r="C1319" s="710" t="s">
        <v>2397</v>
      </c>
      <c r="D1319" s="350"/>
      <c r="E1319" s="350"/>
      <c r="F1319" s="350"/>
    </row>
    <row r="1320" spans="2:6" x14ac:dyDescent="0.2">
      <c r="B1320" s="592">
        <v>8</v>
      </c>
      <c r="C1320" s="710" t="s">
        <v>2398</v>
      </c>
      <c r="D1320" s="588"/>
      <c r="E1320" s="588"/>
      <c r="F1320" s="588"/>
    </row>
    <row r="1321" spans="2:6" x14ac:dyDescent="0.2">
      <c r="B1321" s="592">
        <v>9</v>
      </c>
      <c r="C1321" s="710" t="s">
        <v>2399</v>
      </c>
      <c r="D1321" s="588"/>
      <c r="E1321" s="588"/>
      <c r="F1321" s="588"/>
    </row>
    <row r="1322" spans="2:6" x14ac:dyDescent="0.2">
      <c r="B1322" s="592">
        <v>0</v>
      </c>
      <c r="C1322" s="710" t="s">
        <v>500</v>
      </c>
      <c r="D1322" s="593"/>
      <c r="E1322" s="588"/>
      <c r="F1322" s="593"/>
    </row>
    <row r="1323" spans="2:6" x14ac:dyDescent="0.2">
      <c r="B1323" s="585"/>
      <c r="C1323" s="587" t="s">
        <v>2400</v>
      </c>
      <c r="D1323" s="709">
        <f>SUM(D1313:D1322)</f>
        <v>0</v>
      </c>
      <c r="E1323" s="591"/>
      <c r="F1323" s="709">
        <f>SUM(F1313:F1322)</f>
        <v>46160.56</v>
      </c>
    </row>
    <row r="1324" spans="2:6" x14ac:dyDescent="0.2">
      <c r="B1324" s="585"/>
      <c r="C1324" s="585"/>
      <c r="D1324" s="701"/>
      <c r="E1324" s="588"/>
    </row>
    <row r="1325" spans="2:6" x14ac:dyDescent="0.2">
      <c r="B1325" s="1283" t="s">
        <v>2401</v>
      </c>
      <c r="C1325" s="1283"/>
      <c r="D1325" s="709"/>
      <c r="E1325" s="591"/>
      <c r="F1325" s="709"/>
    </row>
    <row r="1326" spans="2:6" x14ac:dyDescent="0.2">
      <c r="B1326" s="592">
        <v>1000</v>
      </c>
      <c r="C1326" s="710" t="s">
        <v>2402</v>
      </c>
      <c r="D1326" s="701"/>
      <c r="E1326" s="588"/>
    </row>
    <row r="1327" spans="2:6" x14ac:dyDescent="0.2">
      <c r="B1327" s="592">
        <v>2000</v>
      </c>
      <c r="C1327" s="710" t="s">
        <v>2403</v>
      </c>
      <c r="D1327" s="701"/>
      <c r="E1327" s="588"/>
    </row>
    <row r="1328" spans="2:6" x14ac:dyDescent="0.2">
      <c r="B1328" s="592">
        <v>3000</v>
      </c>
      <c r="C1328" s="710" t="s">
        <v>2404</v>
      </c>
      <c r="D1328" s="701"/>
      <c r="E1328" s="588"/>
    </row>
    <row r="1329" spans="2:6" x14ac:dyDescent="0.2">
      <c r="B1329" s="592">
        <v>4000</v>
      </c>
      <c r="C1329" s="710" t="s">
        <v>2399</v>
      </c>
      <c r="D1329" s="701"/>
      <c r="E1329" s="588"/>
      <c r="F1329" s="701">
        <v>833127</v>
      </c>
    </row>
    <row r="1330" spans="2:6" x14ac:dyDescent="0.2">
      <c r="B1330" s="592">
        <v>5000</v>
      </c>
      <c r="C1330" s="710" t="s">
        <v>2405</v>
      </c>
      <c r="D1330" s="701"/>
      <c r="E1330" s="588"/>
    </row>
    <row r="1331" spans="2:6" x14ac:dyDescent="0.2">
      <c r="B1331" s="592">
        <v>6000</v>
      </c>
      <c r="C1331" s="710" t="s">
        <v>2406</v>
      </c>
      <c r="D1331" s="701"/>
      <c r="E1331" s="588"/>
      <c r="F1331" s="701">
        <v>6035945.6799999997</v>
      </c>
    </row>
    <row r="1332" spans="2:6" x14ac:dyDescent="0.2">
      <c r="B1332" s="592">
        <v>7000</v>
      </c>
      <c r="C1332" s="710" t="s">
        <v>2407</v>
      </c>
      <c r="D1332" s="701"/>
      <c r="E1332" s="588"/>
    </row>
    <row r="1333" spans="2:6" x14ac:dyDescent="0.2">
      <c r="B1333" s="592">
        <v>8000</v>
      </c>
      <c r="C1333" s="710" t="s">
        <v>2398</v>
      </c>
      <c r="D1333" s="701"/>
      <c r="E1333" s="588"/>
    </row>
    <row r="1334" spans="2:6" x14ac:dyDescent="0.2">
      <c r="B1334" s="592">
        <v>9000</v>
      </c>
      <c r="C1334" s="710" t="s">
        <v>2408</v>
      </c>
      <c r="D1334" s="593"/>
      <c r="E1334" s="588"/>
      <c r="F1334" s="593"/>
    </row>
    <row r="1335" spans="2:6" x14ac:dyDescent="0.2">
      <c r="B1335" s="589"/>
      <c r="C1335" s="587" t="s">
        <v>2409</v>
      </c>
      <c r="D1335" s="709">
        <f>SUM(D1326:D1334)</f>
        <v>0</v>
      </c>
      <c r="E1335" s="591"/>
      <c r="F1335" s="709">
        <f>SUM(F1326:F1334)</f>
        <v>6869072.6799999997</v>
      </c>
    </row>
    <row r="1336" spans="2:6" x14ac:dyDescent="0.2">
      <c r="B1336" s="585"/>
      <c r="C1336" s="585"/>
      <c r="D1336" s="701"/>
      <c r="E1336" s="588"/>
    </row>
    <row r="1337" spans="2:6" x14ac:dyDescent="0.2">
      <c r="B1337" s="589"/>
      <c r="C1337" s="696" t="s">
        <v>2410</v>
      </c>
      <c r="D1337" s="594">
        <f>+D1310+D1323-D1335</f>
        <v>0</v>
      </c>
      <c r="E1337" s="591"/>
      <c r="F1337" s="594">
        <f>+F1310+F1323-F1335</f>
        <v>0</v>
      </c>
    </row>
    <row r="1339" spans="2:6" x14ac:dyDescent="0.2">
      <c r="B1339" s="1284" t="s">
        <v>2411</v>
      </c>
      <c r="C1339" s="1284"/>
      <c r="D1339" s="1284"/>
      <c r="E1339" s="1284"/>
      <c r="F1339" s="1284"/>
    </row>
    <row r="1340" spans="2:6" x14ac:dyDescent="0.2">
      <c r="B1340" s="708"/>
      <c r="C1340" s="585"/>
    </row>
    <row r="1341" spans="2:6" x14ac:dyDescent="0.2">
      <c r="B1341" s="708"/>
      <c r="C1341" s="708" t="s">
        <v>2412</v>
      </c>
      <c r="D1341" s="586"/>
      <c r="F1341" s="591"/>
    </row>
    <row r="1342" spans="2:6" x14ac:dyDescent="0.2">
      <c r="B1342" s="705" t="s">
        <v>5</v>
      </c>
      <c r="C1342" s="2" t="s">
        <v>6</v>
      </c>
      <c r="D1342" s="701">
        <v>0</v>
      </c>
      <c r="E1342" s="588"/>
      <c r="F1342" s="701">
        <v>0</v>
      </c>
    </row>
    <row r="1343" spans="2:6" x14ac:dyDescent="0.2">
      <c r="B1343" s="705" t="s">
        <v>9</v>
      </c>
      <c r="C1343" s="700" t="s">
        <v>10</v>
      </c>
      <c r="D1343" s="715"/>
    </row>
    <row r="1344" spans="2:6" x14ac:dyDescent="0.2">
      <c r="B1344" s="705" t="s">
        <v>13</v>
      </c>
      <c r="C1344" s="700" t="s">
        <v>14</v>
      </c>
      <c r="D1344" s="701"/>
    </row>
    <row r="1345" spans="2:6" x14ac:dyDescent="0.2">
      <c r="B1345" s="705" t="s">
        <v>27</v>
      </c>
      <c r="C1345" s="2" t="s">
        <v>28</v>
      </c>
      <c r="D1345" s="593"/>
      <c r="E1345" s="588"/>
      <c r="F1345" s="593"/>
    </row>
    <row r="1346" spans="2:6" x14ac:dyDescent="0.2">
      <c r="C1346" s="704" t="s">
        <v>2413</v>
      </c>
      <c r="D1346" s="595">
        <f>SUM(D1342:D1345)</f>
        <v>0</v>
      </c>
      <c r="E1346" s="595"/>
      <c r="F1346" s="595">
        <f>SUM(F1342:F1345)</f>
        <v>0</v>
      </c>
    </row>
    <row r="1347" spans="2:6" x14ac:dyDescent="0.2">
      <c r="B1347" s="705"/>
      <c r="C1347" s="704" t="s">
        <v>2414</v>
      </c>
    </row>
    <row r="1348" spans="2:6" x14ac:dyDescent="0.2">
      <c r="B1348" s="705" t="s">
        <v>7</v>
      </c>
      <c r="C1348" s="2" t="s">
        <v>8</v>
      </c>
      <c r="F1348" s="702"/>
    </row>
    <row r="1349" spans="2:6" x14ac:dyDescent="0.2">
      <c r="B1349" s="705" t="s">
        <v>11</v>
      </c>
      <c r="C1349" s="2" t="s">
        <v>12</v>
      </c>
      <c r="F1349" s="702"/>
    </row>
    <row r="1350" spans="2:6" x14ac:dyDescent="0.2">
      <c r="B1350" s="705" t="s">
        <v>15</v>
      </c>
      <c r="C1350" s="2" t="s">
        <v>16</v>
      </c>
    </row>
    <row r="1351" spans="2:6" x14ac:dyDescent="0.2">
      <c r="B1351" s="705" t="s">
        <v>592</v>
      </c>
      <c r="C1351" s="2" t="s">
        <v>23</v>
      </c>
    </row>
    <row r="1352" spans="2:6" ht="25.5" x14ac:dyDescent="0.2">
      <c r="B1352" s="707" t="s">
        <v>595</v>
      </c>
      <c r="C1352" s="706" t="s">
        <v>2415</v>
      </c>
    </row>
    <row r="1353" spans="2:6" x14ac:dyDescent="0.2">
      <c r="B1353" s="705" t="s">
        <v>598</v>
      </c>
      <c r="C1353" s="2" t="s">
        <v>2416</v>
      </c>
    </row>
    <row r="1354" spans="2:6" x14ac:dyDescent="0.2">
      <c r="B1354" s="705" t="s">
        <v>600</v>
      </c>
      <c r="C1354" s="2" t="s">
        <v>2417</v>
      </c>
      <c r="D1354" s="593"/>
      <c r="E1354" s="588"/>
      <c r="F1354" s="593"/>
    </row>
    <row r="1355" spans="2:6" x14ac:dyDescent="0.2">
      <c r="C1355" s="704" t="s">
        <v>2418</v>
      </c>
      <c r="D1355" s="591">
        <f>SUM(D1348:D1354)</f>
        <v>0</v>
      </c>
      <c r="E1355" s="591"/>
      <c r="F1355" s="591">
        <f>SUM(F1348:F1354)</f>
        <v>0</v>
      </c>
    </row>
    <row r="1357" spans="2:6" x14ac:dyDescent="0.2">
      <c r="C1357" s="703" t="s">
        <v>2419</v>
      </c>
      <c r="D1357" s="594">
        <f>+D1346-D1355</f>
        <v>0</v>
      </c>
      <c r="E1357" s="591"/>
      <c r="F1357" s="594">
        <f>+F1346-F1355</f>
        <v>0</v>
      </c>
    </row>
    <row r="1360" spans="2:6" x14ac:dyDescent="0.2">
      <c r="D1360" s="700"/>
      <c r="E1360" s="585"/>
      <c r="F1360" s="700"/>
    </row>
    <row r="1361" spans="1:6" x14ac:dyDescent="0.2">
      <c r="D1361" s="700"/>
      <c r="E1361" s="585"/>
      <c r="F1361" s="700"/>
    </row>
    <row r="1362" spans="1:6" x14ac:dyDescent="0.2">
      <c r="D1362" s="700"/>
      <c r="E1362" s="585"/>
      <c r="F1362" s="700"/>
    </row>
    <row r="1367" spans="1:6" x14ac:dyDescent="0.2">
      <c r="A1367" s="1285" t="s">
        <v>7476</v>
      </c>
      <c r="B1367" s="1285"/>
      <c r="C1367" s="1285"/>
      <c r="D1367" s="1285"/>
      <c r="E1367" s="1285"/>
      <c r="F1367" s="1285"/>
    </row>
    <row r="1368" spans="1:6" x14ac:dyDescent="0.2">
      <c r="A1368" s="1285" t="s">
        <v>7478</v>
      </c>
      <c r="B1368" s="1285"/>
      <c r="C1368" s="1285"/>
      <c r="D1368" s="1285"/>
      <c r="E1368" s="1285"/>
      <c r="F1368" s="1285"/>
    </row>
    <row r="1369" spans="1:6" x14ac:dyDescent="0.2">
      <c r="A1369" s="1285" t="s">
        <v>8945</v>
      </c>
      <c r="B1369" s="1285"/>
      <c r="C1369" s="1285"/>
      <c r="D1369" s="1285"/>
      <c r="E1369" s="1285"/>
      <c r="F1369" s="1285"/>
    </row>
    <row r="1370" spans="1:6" x14ac:dyDescent="0.2">
      <c r="A1370" s="1285" t="s">
        <v>8930</v>
      </c>
      <c r="B1370" s="1285"/>
      <c r="C1370" s="1285"/>
      <c r="D1370" s="1285"/>
      <c r="E1370" s="1285"/>
      <c r="F1370" s="1285"/>
    </row>
    <row r="1371" spans="1:6" x14ac:dyDescent="0.2">
      <c r="D1371" s="701"/>
      <c r="E1371" s="588"/>
      <c r="F1371" s="714"/>
    </row>
    <row r="1372" spans="1:6" x14ac:dyDescent="0.2">
      <c r="D1372" s="701"/>
      <c r="E1372" s="588"/>
      <c r="F1372" s="714"/>
    </row>
    <row r="1373" spans="1:6" x14ac:dyDescent="0.2">
      <c r="C1373" s="708"/>
      <c r="D1373" s="713" t="s">
        <v>2392</v>
      </c>
      <c r="E1373" s="590"/>
      <c r="F1373" s="713" t="s">
        <v>2393</v>
      </c>
    </row>
    <row r="1374" spans="1:6" x14ac:dyDescent="0.2">
      <c r="B1374" s="712"/>
      <c r="C1374" s="2"/>
      <c r="D1374" s="701"/>
      <c r="E1374" s="588"/>
    </row>
    <row r="1375" spans="1:6" x14ac:dyDescent="0.2">
      <c r="C1375" s="711" t="s">
        <v>2394</v>
      </c>
      <c r="D1375" s="594">
        <v>8534408.3200000022</v>
      </c>
      <c r="E1375" s="591"/>
      <c r="F1375" s="594">
        <v>0</v>
      </c>
    </row>
    <row r="1376" spans="1:6" x14ac:dyDescent="0.2">
      <c r="C1376" s="711"/>
      <c r="D1376" s="709"/>
      <c r="E1376" s="591"/>
      <c r="F1376" s="709"/>
    </row>
    <row r="1377" spans="2:6" ht="12.75" customHeight="1" x14ac:dyDescent="0.2">
      <c r="B1377" s="1286" t="s">
        <v>2395</v>
      </c>
      <c r="C1377" s="1286"/>
      <c r="D1377" s="588"/>
      <c r="E1377" s="588"/>
      <c r="F1377" s="588"/>
    </row>
    <row r="1378" spans="2:6" x14ac:dyDescent="0.2">
      <c r="B1378" s="592">
        <v>1</v>
      </c>
      <c r="C1378" s="710" t="s">
        <v>107</v>
      </c>
      <c r="D1378" s="588"/>
      <c r="E1378" s="588"/>
      <c r="F1378" s="588"/>
    </row>
    <row r="1379" spans="2:6" x14ac:dyDescent="0.2">
      <c r="B1379" s="592">
        <v>2</v>
      </c>
      <c r="C1379" s="710" t="s">
        <v>109</v>
      </c>
      <c r="D1379" s="588"/>
      <c r="E1379" s="588"/>
      <c r="F1379" s="588"/>
    </row>
    <row r="1380" spans="2:6" x14ac:dyDescent="0.2">
      <c r="B1380" s="592">
        <v>3</v>
      </c>
      <c r="C1380" s="710" t="s">
        <v>2396</v>
      </c>
      <c r="D1380" s="588"/>
      <c r="E1380" s="588"/>
      <c r="F1380" s="588"/>
    </row>
    <row r="1381" spans="2:6" x14ac:dyDescent="0.2">
      <c r="B1381" s="592">
        <v>4</v>
      </c>
      <c r="C1381" s="710" t="s">
        <v>113</v>
      </c>
      <c r="D1381" s="588"/>
      <c r="E1381" s="588"/>
      <c r="F1381" s="588"/>
    </row>
    <row r="1382" spans="2:6" x14ac:dyDescent="0.2">
      <c r="B1382" s="592">
        <v>5</v>
      </c>
      <c r="C1382" s="710" t="s">
        <v>228</v>
      </c>
      <c r="D1382" s="588">
        <v>230174.88</v>
      </c>
      <c r="E1382" s="588"/>
      <c r="F1382" s="588">
        <v>784194.28</v>
      </c>
    </row>
    <row r="1383" spans="2:6" x14ac:dyDescent="0.2">
      <c r="B1383" s="592">
        <v>6</v>
      </c>
      <c r="C1383" s="710" t="s">
        <v>231</v>
      </c>
      <c r="D1383" s="588"/>
      <c r="E1383" s="588"/>
      <c r="F1383" s="588"/>
    </row>
    <row r="1384" spans="2:6" x14ac:dyDescent="0.2">
      <c r="B1384" s="592">
        <v>7</v>
      </c>
      <c r="C1384" s="710" t="s">
        <v>2397</v>
      </c>
      <c r="D1384" s="350"/>
      <c r="E1384" s="350"/>
      <c r="F1384" s="350"/>
    </row>
    <row r="1385" spans="2:6" x14ac:dyDescent="0.2">
      <c r="B1385" s="592">
        <v>8</v>
      </c>
      <c r="C1385" s="710" t="s">
        <v>2398</v>
      </c>
      <c r="D1385" s="588"/>
      <c r="E1385" s="588"/>
      <c r="F1385" s="588">
        <v>55047365.700000003</v>
      </c>
    </row>
    <row r="1386" spans="2:6" x14ac:dyDescent="0.2">
      <c r="B1386" s="592">
        <v>9</v>
      </c>
      <c r="C1386" s="710" t="s">
        <v>2399</v>
      </c>
      <c r="D1386" s="588"/>
      <c r="E1386" s="588"/>
      <c r="F1386" s="588"/>
    </row>
    <row r="1387" spans="2:6" x14ac:dyDescent="0.2">
      <c r="B1387" s="592">
        <v>0</v>
      </c>
      <c r="C1387" s="710" t="s">
        <v>500</v>
      </c>
      <c r="D1387" s="593"/>
      <c r="E1387" s="588"/>
      <c r="F1387" s="593"/>
    </row>
    <row r="1388" spans="2:6" x14ac:dyDescent="0.2">
      <c r="B1388" s="585"/>
      <c r="C1388" s="587" t="s">
        <v>2400</v>
      </c>
      <c r="D1388" s="709">
        <f>SUM(D1378:D1387)</f>
        <v>230174.88</v>
      </c>
      <c r="E1388" s="591"/>
      <c r="F1388" s="709">
        <f>SUM(F1378:F1387)</f>
        <v>55831559.980000004</v>
      </c>
    </row>
    <row r="1389" spans="2:6" x14ac:dyDescent="0.2">
      <c r="B1389" s="585"/>
      <c r="C1389" s="585"/>
      <c r="D1389" s="701"/>
      <c r="E1389" s="588"/>
    </row>
    <row r="1390" spans="2:6" ht="12.75" customHeight="1" x14ac:dyDescent="0.2">
      <c r="B1390" s="1283" t="s">
        <v>2401</v>
      </c>
      <c r="C1390" s="1283"/>
      <c r="D1390" s="709"/>
      <c r="E1390" s="591"/>
      <c r="F1390" s="709"/>
    </row>
    <row r="1391" spans="2:6" x14ac:dyDescent="0.2">
      <c r="B1391" s="592">
        <v>1000</v>
      </c>
      <c r="C1391" s="710" t="s">
        <v>2402</v>
      </c>
      <c r="D1391" s="701"/>
      <c r="E1391" s="588"/>
    </row>
    <row r="1392" spans="2:6" x14ac:dyDescent="0.2">
      <c r="B1392" s="592">
        <v>2000</v>
      </c>
      <c r="C1392" s="710" t="s">
        <v>2403</v>
      </c>
      <c r="D1392" s="701"/>
      <c r="E1392" s="588"/>
    </row>
    <row r="1393" spans="2:6" x14ac:dyDescent="0.2">
      <c r="B1393" s="592">
        <v>3000</v>
      </c>
      <c r="C1393" s="710" t="s">
        <v>2404</v>
      </c>
      <c r="D1393" s="701"/>
      <c r="E1393" s="588"/>
    </row>
    <row r="1394" spans="2:6" x14ac:dyDescent="0.2">
      <c r="B1394" s="592">
        <v>4000</v>
      </c>
      <c r="C1394" s="710" t="s">
        <v>2399</v>
      </c>
      <c r="D1394" s="701"/>
      <c r="E1394" s="588"/>
    </row>
    <row r="1395" spans="2:6" x14ac:dyDescent="0.2">
      <c r="B1395" s="592">
        <v>5000</v>
      </c>
      <c r="C1395" s="710" t="s">
        <v>2405</v>
      </c>
      <c r="D1395" s="701"/>
      <c r="E1395" s="588"/>
    </row>
    <row r="1396" spans="2:6" x14ac:dyDescent="0.2">
      <c r="B1396" s="592">
        <v>6000</v>
      </c>
      <c r="C1396" s="710" t="s">
        <v>2406</v>
      </c>
      <c r="D1396" s="701">
        <v>1134170.8500000001</v>
      </c>
      <c r="E1396" s="588"/>
      <c r="F1396" s="701">
        <v>48201147.630000003</v>
      </c>
    </row>
    <row r="1397" spans="2:6" x14ac:dyDescent="0.2">
      <c r="B1397" s="592">
        <v>7000</v>
      </c>
      <c r="C1397" s="710" t="s">
        <v>2407</v>
      </c>
      <c r="D1397" s="701"/>
      <c r="E1397" s="588"/>
    </row>
    <row r="1398" spans="2:6" x14ac:dyDescent="0.2">
      <c r="B1398" s="592">
        <v>8000</v>
      </c>
      <c r="C1398" s="710" t="s">
        <v>2398</v>
      </c>
      <c r="D1398" s="701"/>
      <c r="E1398" s="588"/>
    </row>
    <row r="1399" spans="2:6" x14ac:dyDescent="0.2">
      <c r="B1399" s="592">
        <v>9000</v>
      </c>
      <c r="C1399" s="710" t="s">
        <v>2408</v>
      </c>
      <c r="D1399" s="593"/>
      <c r="E1399" s="588"/>
      <c r="F1399" s="593"/>
    </row>
    <row r="1400" spans="2:6" x14ac:dyDescent="0.2">
      <c r="B1400" s="589"/>
      <c r="C1400" s="587" t="s">
        <v>2409</v>
      </c>
      <c r="D1400" s="709">
        <f>SUM(D1391:D1399)</f>
        <v>1134170.8500000001</v>
      </c>
      <c r="E1400" s="591"/>
      <c r="F1400" s="709">
        <f>SUM(F1391:F1399)</f>
        <v>48201147.630000003</v>
      </c>
    </row>
    <row r="1401" spans="2:6" x14ac:dyDescent="0.2">
      <c r="B1401" s="585"/>
      <c r="C1401" s="585"/>
      <c r="D1401" s="701"/>
      <c r="E1401" s="588"/>
    </row>
    <row r="1402" spans="2:6" x14ac:dyDescent="0.2">
      <c r="B1402" s="589"/>
      <c r="C1402" s="696" t="s">
        <v>2410</v>
      </c>
      <c r="D1402" s="594">
        <f>+D1375+D1388-D1400</f>
        <v>7630412.3500000034</v>
      </c>
      <c r="E1402" s="591"/>
      <c r="F1402" s="594">
        <f>+F1375+F1388-F1400</f>
        <v>7630412.3500000015</v>
      </c>
    </row>
    <row r="1404" spans="2:6" x14ac:dyDescent="0.2">
      <c r="B1404" s="1284" t="s">
        <v>2411</v>
      </c>
      <c r="C1404" s="1284"/>
      <c r="D1404" s="1284"/>
      <c r="E1404" s="1284"/>
      <c r="F1404" s="1284"/>
    </row>
    <row r="1405" spans="2:6" x14ac:dyDescent="0.2">
      <c r="B1405" s="708"/>
      <c r="C1405" s="585"/>
    </row>
    <row r="1406" spans="2:6" x14ac:dyDescent="0.2">
      <c r="B1406" s="708"/>
      <c r="C1406" s="708" t="s">
        <v>2412</v>
      </c>
      <c r="D1406" s="586"/>
      <c r="F1406" s="591"/>
    </row>
    <row r="1407" spans="2:6" x14ac:dyDescent="0.2">
      <c r="B1407" s="705" t="s">
        <v>5</v>
      </c>
      <c r="C1407" s="2" t="s">
        <v>6</v>
      </c>
      <c r="D1407" s="701">
        <v>7688095.0599999996</v>
      </c>
      <c r="E1407" s="588"/>
      <c r="F1407" s="701">
        <v>7688095.0599999996</v>
      </c>
    </row>
    <row r="1408" spans="2:6" x14ac:dyDescent="0.2">
      <c r="B1408" s="705" t="s">
        <v>9</v>
      </c>
      <c r="C1408" s="700" t="s">
        <v>10</v>
      </c>
      <c r="D1408" s="715"/>
    </row>
    <row r="1409" spans="2:6" x14ac:dyDescent="0.2">
      <c r="B1409" s="705" t="s">
        <v>13</v>
      </c>
      <c r="C1409" s="700" t="s">
        <v>14</v>
      </c>
      <c r="D1409" s="701"/>
    </row>
    <row r="1410" spans="2:6" x14ac:dyDescent="0.2">
      <c r="B1410" s="705" t="s">
        <v>27</v>
      </c>
      <c r="C1410" s="2" t="s">
        <v>28</v>
      </c>
      <c r="D1410" s="593"/>
      <c r="E1410" s="588"/>
      <c r="F1410" s="593"/>
    </row>
    <row r="1411" spans="2:6" x14ac:dyDescent="0.2">
      <c r="C1411" s="704" t="s">
        <v>2413</v>
      </c>
      <c r="D1411" s="595">
        <f>SUM(D1407:D1410)</f>
        <v>7688095.0599999996</v>
      </c>
      <c r="E1411" s="595"/>
      <c r="F1411" s="595">
        <f>SUM(F1407:F1410)</f>
        <v>7688095.0599999996</v>
      </c>
    </row>
    <row r="1412" spans="2:6" x14ac:dyDescent="0.2">
      <c r="B1412" s="705"/>
      <c r="C1412" s="704" t="s">
        <v>2414</v>
      </c>
    </row>
    <row r="1413" spans="2:6" x14ac:dyDescent="0.2">
      <c r="B1413" s="705" t="s">
        <v>7</v>
      </c>
      <c r="C1413" s="2" t="s">
        <v>8</v>
      </c>
      <c r="D1413" s="702">
        <v>57682.71</v>
      </c>
      <c r="F1413" s="702">
        <v>57682.71</v>
      </c>
    </row>
    <row r="1414" spans="2:6" x14ac:dyDescent="0.2">
      <c r="B1414" s="705" t="s">
        <v>11</v>
      </c>
      <c r="C1414" s="2" t="s">
        <v>12</v>
      </c>
      <c r="F1414" s="702"/>
    </row>
    <row r="1415" spans="2:6" x14ac:dyDescent="0.2">
      <c r="B1415" s="705" t="s">
        <v>15</v>
      </c>
      <c r="C1415" s="2" t="s">
        <v>16</v>
      </c>
    </row>
    <row r="1416" spans="2:6" x14ac:dyDescent="0.2">
      <c r="B1416" s="705" t="s">
        <v>592</v>
      </c>
      <c r="C1416" s="2" t="s">
        <v>23</v>
      </c>
    </row>
    <row r="1417" spans="2:6" ht="25.5" x14ac:dyDescent="0.2">
      <c r="B1417" s="707" t="s">
        <v>595</v>
      </c>
      <c r="C1417" s="706" t="s">
        <v>2415</v>
      </c>
    </row>
    <row r="1418" spans="2:6" x14ac:dyDescent="0.2">
      <c r="B1418" s="705" t="s">
        <v>598</v>
      </c>
      <c r="C1418" s="2" t="s">
        <v>2416</v>
      </c>
    </row>
    <row r="1419" spans="2:6" x14ac:dyDescent="0.2">
      <c r="B1419" s="705" t="s">
        <v>600</v>
      </c>
      <c r="C1419" s="2" t="s">
        <v>2417</v>
      </c>
      <c r="D1419" s="593"/>
      <c r="E1419" s="588"/>
      <c r="F1419" s="593"/>
    </row>
    <row r="1420" spans="2:6" x14ac:dyDescent="0.2">
      <c r="C1420" s="704" t="s">
        <v>2418</v>
      </c>
      <c r="D1420" s="591">
        <f>SUM(D1413:D1419)</f>
        <v>57682.71</v>
      </c>
      <c r="E1420" s="591"/>
      <c r="F1420" s="591">
        <f>SUM(F1413:F1419)</f>
        <v>57682.71</v>
      </c>
    </row>
    <row r="1422" spans="2:6" x14ac:dyDescent="0.2">
      <c r="C1422" s="703" t="s">
        <v>2419</v>
      </c>
      <c r="D1422" s="594">
        <f>+D1411-D1420</f>
        <v>7630412.3499999996</v>
      </c>
      <c r="E1422" s="591"/>
      <c r="F1422" s="594">
        <f>+F1411-F1420</f>
        <v>7630412.3499999996</v>
      </c>
    </row>
    <row r="1425" spans="1:6" x14ac:dyDescent="0.2">
      <c r="D1425" s="700"/>
      <c r="E1425" s="585"/>
      <c r="F1425" s="700"/>
    </row>
    <row r="1426" spans="1:6" x14ac:dyDescent="0.2">
      <c r="D1426" s="700"/>
      <c r="E1426" s="585"/>
      <c r="F1426" s="700"/>
    </row>
    <row r="1427" spans="1:6" x14ac:dyDescent="0.2">
      <c r="D1427" s="700"/>
      <c r="E1427" s="585"/>
      <c r="F1427" s="700"/>
    </row>
    <row r="1432" spans="1:6" x14ac:dyDescent="0.2">
      <c r="A1432" s="1285" t="s">
        <v>7476</v>
      </c>
      <c r="B1432" s="1285"/>
      <c r="C1432" s="1285"/>
      <c r="D1432" s="1285"/>
      <c r="E1432" s="1285"/>
      <c r="F1432" s="1285"/>
    </row>
    <row r="1433" spans="1:6" x14ac:dyDescent="0.2">
      <c r="A1433" s="1285" t="s">
        <v>7478</v>
      </c>
      <c r="B1433" s="1285"/>
      <c r="C1433" s="1285"/>
      <c r="D1433" s="1285"/>
      <c r="E1433" s="1285"/>
      <c r="F1433" s="1285"/>
    </row>
    <row r="1434" spans="1:6" x14ac:dyDescent="0.2">
      <c r="A1434" s="1285" t="s">
        <v>8944</v>
      </c>
      <c r="B1434" s="1285"/>
      <c r="C1434" s="1285"/>
      <c r="D1434" s="1285"/>
      <c r="E1434" s="1285"/>
      <c r="F1434" s="1285"/>
    </row>
    <row r="1435" spans="1:6" x14ac:dyDescent="0.2">
      <c r="A1435" s="1285" t="s">
        <v>8930</v>
      </c>
      <c r="B1435" s="1285"/>
      <c r="C1435" s="1285"/>
      <c r="D1435" s="1285"/>
      <c r="E1435" s="1285"/>
      <c r="F1435" s="1285"/>
    </row>
    <row r="1436" spans="1:6" x14ac:dyDescent="0.2">
      <c r="D1436" s="701"/>
      <c r="E1436" s="588"/>
      <c r="F1436" s="714"/>
    </row>
    <row r="1437" spans="1:6" x14ac:dyDescent="0.2">
      <c r="D1437" s="701"/>
      <c r="E1437" s="588"/>
      <c r="F1437" s="714"/>
    </row>
    <row r="1438" spans="1:6" x14ac:dyDescent="0.2">
      <c r="C1438" s="708"/>
      <c r="D1438" s="713" t="s">
        <v>2392</v>
      </c>
      <c r="E1438" s="590"/>
      <c r="F1438" s="713" t="s">
        <v>2393</v>
      </c>
    </row>
    <row r="1439" spans="1:6" x14ac:dyDescent="0.2">
      <c r="B1439" s="712"/>
      <c r="C1439" s="2"/>
      <c r="D1439" s="701"/>
      <c r="E1439" s="588"/>
    </row>
    <row r="1440" spans="1:6" x14ac:dyDescent="0.2">
      <c r="C1440" s="711" t="s">
        <v>2394</v>
      </c>
      <c r="D1440" s="594">
        <v>845533.51999999955</v>
      </c>
      <c r="E1440" s="591"/>
      <c r="F1440" s="594">
        <v>0</v>
      </c>
    </row>
    <row r="1441" spans="2:6" x14ac:dyDescent="0.2">
      <c r="C1441" s="711"/>
      <c r="D1441" s="709"/>
      <c r="E1441" s="591"/>
      <c r="F1441" s="709"/>
    </row>
    <row r="1442" spans="2:6" x14ac:dyDescent="0.2">
      <c r="B1442" s="1286" t="s">
        <v>2395</v>
      </c>
      <c r="C1442" s="1286"/>
      <c r="D1442" s="588"/>
      <c r="E1442" s="588"/>
      <c r="F1442" s="588"/>
    </row>
    <row r="1443" spans="2:6" x14ac:dyDescent="0.2">
      <c r="B1443" s="592">
        <v>1</v>
      </c>
      <c r="C1443" s="710" t="s">
        <v>107</v>
      </c>
      <c r="D1443" s="588"/>
      <c r="E1443" s="588"/>
      <c r="F1443" s="588"/>
    </row>
    <row r="1444" spans="2:6" x14ac:dyDescent="0.2">
      <c r="B1444" s="592">
        <v>2</v>
      </c>
      <c r="C1444" s="710" t="s">
        <v>109</v>
      </c>
      <c r="D1444" s="588"/>
      <c r="E1444" s="588"/>
      <c r="F1444" s="588"/>
    </row>
    <row r="1445" spans="2:6" x14ac:dyDescent="0.2">
      <c r="B1445" s="592">
        <v>3</v>
      </c>
      <c r="C1445" s="710" t="s">
        <v>2396</v>
      </c>
      <c r="D1445" s="588"/>
      <c r="E1445" s="588"/>
      <c r="F1445" s="588"/>
    </row>
    <row r="1446" spans="2:6" x14ac:dyDescent="0.2">
      <c r="B1446" s="592">
        <v>4</v>
      </c>
      <c r="C1446" s="710" t="s">
        <v>113</v>
      </c>
      <c r="D1446" s="588"/>
      <c r="E1446" s="588"/>
      <c r="F1446" s="588"/>
    </row>
    <row r="1447" spans="2:6" x14ac:dyDescent="0.2">
      <c r="B1447" s="592">
        <v>5</v>
      </c>
      <c r="C1447" s="710" t="s">
        <v>228</v>
      </c>
      <c r="D1447" s="588">
        <v>1417.04</v>
      </c>
      <c r="E1447" s="588"/>
      <c r="F1447" s="588">
        <v>17066.95</v>
      </c>
    </row>
    <row r="1448" spans="2:6" x14ac:dyDescent="0.2">
      <c r="B1448" s="592">
        <v>6</v>
      </c>
      <c r="C1448" s="710" t="s">
        <v>231</v>
      </c>
      <c r="D1448" s="588"/>
      <c r="E1448" s="588"/>
      <c r="F1448" s="588"/>
    </row>
    <row r="1449" spans="2:6" x14ac:dyDescent="0.2">
      <c r="B1449" s="592">
        <v>7</v>
      </c>
      <c r="C1449" s="710" t="s">
        <v>2397</v>
      </c>
      <c r="D1449" s="350"/>
      <c r="E1449" s="350"/>
      <c r="F1449" s="350"/>
    </row>
    <row r="1450" spans="2:6" x14ac:dyDescent="0.2">
      <c r="B1450" s="592">
        <v>8</v>
      </c>
      <c r="C1450" s="710" t="s">
        <v>2398</v>
      </c>
      <c r="D1450" s="588"/>
      <c r="E1450" s="588"/>
      <c r="F1450" s="588">
        <v>3405833.17</v>
      </c>
    </row>
    <row r="1451" spans="2:6" x14ac:dyDescent="0.2">
      <c r="B1451" s="592">
        <v>9</v>
      </c>
      <c r="C1451" s="710" t="s">
        <v>2399</v>
      </c>
      <c r="D1451" s="588"/>
      <c r="E1451" s="588"/>
      <c r="F1451" s="588"/>
    </row>
    <row r="1452" spans="2:6" x14ac:dyDescent="0.2">
      <c r="B1452" s="592">
        <v>0</v>
      </c>
      <c r="C1452" s="710" t="s">
        <v>500</v>
      </c>
      <c r="D1452" s="593"/>
      <c r="E1452" s="588"/>
      <c r="F1452" s="593"/>
    </row>
    <row r="1453" spans="2:6" x14ac:dyDescent="0.2">
      <c r="B1453" s="585"/>
      <c r="C1453" s="587" t="s">
        <v>2400</v>
      </c>
      <c r="D1453" s="709">
        <f>SUM(D1443:D1452)</f>
        <v>1417.04</v>
      </c>
      <c r="E1453" s="591"/>
      <c r="F1453" s="709">
        <f>SUM(F1443:F1452)</f>
        <v>3422900.12</v>
      </c>
    </row>
    <row r="1454" spans="2:6" x14ac:dyDescent="0.2">
      <c r="B1454" s="585"/>
      <c r="C1454" s="585"/>
      <c r="D1454" s="701"/>
      <c r="E1454" s="588"/>
    </row>
    <row r="1455" spans="2:6" x14ac:dyDescent="0.2">
      <c r="B1455" s="1283" t="s">
        <v>2401</v>
      </c>
      <c r="C1455" s="1283"/>
      <c r="D1455" s="709"/>
      <c r="E1455" s="591"/>
      <c r="F1455" s="709"/>
    </row>
    <row r="1456" spans="2:6" x14ac:dyDescent="0.2">
      <c r="B1456" s="592">
        <v>1000</v>
      </c>
      <c r="C1456" s="710" t="s">
        <v>2402</v>
      </c>
      <c r="D1456" s="701"/>
      <c r="E1456" s="588"/>
    </row>
    <row r="1457" spans="2:6" x14ac:dyDescent="0.2">
      <c r="B1457" s="592">
        <v>2000</v>
      </c>
      <c r="C1457" s="710" t="s">
        <v>2403</v>
      </c>
      <c r="D1457" s="701"/>
      <c r="E1457" s="588"/>
    </row>
    <row r="1458" spans="2:6" x14ac:dyDescent="0.2">
      <c r="B1458" s="592">
        <v>3000</v>
      </c>
      <c r="C1458" s="710" t="s">
        <v>2404</v>
      </c>
      <c r="D1458" s="701"/>
      <c r="E1458" s="588"/>
    </row>
    <row r="1459" spans="2:6" x14ac:dyDescent="0.2">
      <c r="B1459" s="592">
        <v>4000</v>
      </c>
      <c r="C1459" s="710" t="s">
        <v>2399</v>
      </c>
      <c r="D1459" s="701"/>
      <c r="E1459" s="588"/>
    </row>
    <row r="1460" spans="2:6" x14ac:dyDescent="0.2">
      <c r="B1460" s="592">
        <v>5000</v>
      </c>
      <c r="C1460" s="710" t="s">
        <v>2405</v>
      </c>
      <c r="D1460" s="701"/>
      <c r="E1460" s="588"/>
    </row>
    <row r="1461" spans="2:6" x14ac:dyDescent="0.2">
      <c r="B1461" s="592">
        <v>6000</v>
      </c>
      <c r="C1461" s="710" t="s">
        <v>2406</v>
      </c>
      <c r="D1461" s="701">
        <v>663875.18999999994</v>
      </c>
      <c r="E1461" s="588"/>
      <c r="F1461" s="701">
        <v>3239824.75</v>
      </c>
    </row>
    <row r="1462" spans="2:6" x14ac:dyDescent="0.2">
      <c r="B1462" s="592">
        <v>7000</v>
      </c>
      <c r="C1462" s="710" t="s">
        <v>2407</v>
      </c>
      <c r="D1462" s="701"/>
      <c r="E1462" s="588"/>
    </row>
    <row r="1463" spans="2:6" x14ac:dyDescent="0.2">
      <c r="B1463" s="592">
        <v>8000</v>
      </c>
      <c r="C1463" s="710" t="s">
        <v>2398</v>
      </c>
      <c r="D1463" s="701"/>
      <c r="E1463" s="588"/>
    </row>
    <row r="1464" spans="2:6" x14ac:dyDescent="0.2">
      <c r="B1464" s="592">
        <v>9000</v>
      </c>
      <c r="C1464" s="710" t="s">
        <v>2408</v>
      </c>
      <c r="D1464" s="593"/>
      <c r="E1464" s="588"/>
      <c r="F1464" s="593"/>
    </row>
    <row r="1465" spans="2:6" x14ac:dyDescent="0.2">
      <c r="B1465" s="589"/>
      <c r="C1465" s="587" t="s">
        <v>2409</v>
      </c>
      <c r="D1465" s="709">
        <f>SUM(D1456:D1464)</f>
        <v>663875.18999999994</v>
      </c>
      <c r="E1465" s="591"/>
      <c r="F1465" s="709">
        <f>SUM(F1456:F1464)</f>
        <v>3239824.75</v>
      </c>
    </row>
    <row r="1466" spans="2:6" x14ac:dyDescent="0.2">
      <c r="B1466" s="585"/>
      <c r="C1466" s="585"/>
      <c r="D1466" s="701"/>
      <c r="E1466" s="588"/>
    </row>
    <row r="1467" spans="2:6" x14ac:dyDescent="0.2">
      <c r="B1467" s="589"/>
      <c r="C1467" s="696" t="s">
        <v>2410</v>
      </c>
      <c r="D1467" s="594">
        <f>+D1440+D1453-D1465</f>
        <v>183075.36999999965</v>
      </c>
      <c r="E1467" s="591"/>
      <c r="F1467" s="594">
        <f>+F1440+F1453-F1465</f>
        <v>183075.37000000011</v>
      </c>
    </row>
    <row r="1469" spans="2:6" x14ac:dyDescent="0.2">
      <c r="B1469" s="1284" t="s">
        <v>2411</v>
      </c>
      <c r="C1469" s="1284"/>
      <c r="D1469" s="1284"/>
      <c r="E1469" s="1284"/>
      <c r="F1469" s="1284"/>
    </row>
    <row r="1470" spans="2:6" x14ac:dyDescent="0.2">
      <c r="B1470" s="708"/>
      <c r="C1470" s="585"/>
    </row>
    <row r="1471" spans="2:6" x14ac:dyDescent="0.2">
      <c r="B1471" s="708"/>
      <c r="C1471" s="708" t="s">
        <v>2412</v>
      </c>
      <c r="D1471" s="586"/>
      <c r="F1471" s="591"/>
    </row>
    <row r="1472" spans="2:6" x14ac:dyDescent="0.2">
      <c r="B1472" s="705" t="s">
        <v>5</v>
      </c>
      <c r="C1472" s="2" t="s">
        <v>6</v>
      </c>
      <c r="D1472" s="701">
        <v>185138.48</v>
      </c>
      <c r="E1472" s="588"/>
      <c r="F1472" s="701">
        <v>185138.48</v>
      </c>
    </row>
    <row r="1473" spans="2:6" x14ac:dyDescent="0.2">
      <c r="B1473" s="705" t="s">
        <v>9</v>
      </c>
      <c r="C1473" s="700" t="s">
        <v>10</v>
      </c>
      <c r="D1473" s="715"/>
    </row>
    <row r="1474" spans="2:6" x14ac:dyDescent="0.2">
      <c r="B1474" s="705" t="s">
        <v>13</v>
      </c>
      <c r="C1474" s="700" t="s">
        <v>14</v>
      </c>
      <c r="D1474" s="701"/>
    </row>
    <row r="1475" spans="2:6" x14ac:dyDescent="0.2">
      <c r="B1475" s="705" t="s">
        <v>27</v>
      </c>
      <c r="C1475" s="2" t="s">
        <v>28</v>
      </c>
      <c r="D1475" s="593"/>
      <c r="E1475" s="588"/>
      <c r="F1475" s="593"/>
    </row>
    <row r="1476" spans="2:6" x14ac:dyDescent="0.2">
      <c r="C1476" s="704" t="s">
        <v>2413</v>
      </c>
      <c r="D1476" s="595">
        <f>SUM(D1472:D1475)</f>
        <v>185138.48</v>
      </c>
      <c r="E1476" s="595"/>
      <c r="F1476" s="595">
        <f>SUM(F1472:F1475)</f>
        <v>185138.48</v>
      </c>
    </row>
    <row r="1477" spans="2:6" x14ac:dyDescent="0.2">
      <c r="B1477" s="705"/>
      <c r="C1477" s="704" t="s">
        <v>2414</v>
      </c>
    </row>
    <row r="1478" spans="2:6" x14ac:dyDescent="0.2">
      <c r="B1478" s="705" t="s">
        <v>7</v>
      </c>
      <c r="C1478" s="2" t="s">
        <v>8</v>
      </c>
      <c r="D1478" s="702">
        <v>2063.11</v>
      </c>
      <c r="F1478" s="702">
        <v>2063.11</v>
      </c>
    </row>
    <row r="1479" spans="2:6" x14ac:dyDescent="0.2">
      <c r="B1479" s="705" t="s">
        <v>11</v>
      </c>
      <c r="C1479" s="2" t="s">
        <v>12</v>
      </c>
      <c r="F1479" s="702"/>
    </row>
    <row r="1480" spans="2:6" x14ac:dyDescent="0.2">
      <c r="B1480" s="705" t="s">
        <v>15</v>
      </c>
      <c r="C1480" s="2" t="s">
        <v>16</v>
      </c>
    </row>
    <row r="1481" spans="2:6" x14ac:dyDescent="0.2">
      <c r="B1481" s="705" t="s">
        <v>592</v>
      </c>
      <c r="C1481" s="2" t="s">
        <v>23</v>
      </c>
    </row>
    <row r="1482" spans="2:6" ht="25.5" x14ac:dyDescent="0.2">
      <c r="B1482" s="707" t="s">
        <v>595</v>
      </c>
      <c r="C1482" s="706" t="s">
        <v>2415</v>
      </c>
    </row>
    <row r="1483" spans="2:6" x14ac:dyDescent="0.2">
      <c r="B1483" s="705" t="s">
        <v>598</v>
      </c>
      <c r="C1483" s="2" t="s">
        <v>2416</v>
      </c>
    </row>
    <row r="1484" spans="2:6" x14ac:dyDescent="0.2">
      <c r="B1484" s="705" t="s">
        <v>600</v>
      </c>
      <c r="C1484" s="2" t="s">
        <v>2417</v>
      </c>
      <c r="D1484" s="593"/>
      <c r="E1484" s="588"/>
      <c r="F1484" s="593"/>
    </row>
    <row r="1485" spans="2:6" x14ac:dyDescent="0.2">
      <c r="C1485" s="704" t="s">
        <v>2418</v>
      </c>
      <c r="D1485" s="591">
        <f>SUM(D1478:D1484)</f>
        <v>2063.11</v>
      </c>
      <c r="E1485" s="591"/>
      <c r="F1485" s="591">
        <f>SUM(F1478:F1484)</f>
        <v>2063.11</v>
      </c>
    </row>
    <row r="1487" spans="2:6" x14ac:dyDescent="0.2">
      <c r="C1487" s="703" t="s">
        <v>2419</v>
      </c>
      <c r="D1487" s="594">
        <f>+D1476-D1485</f>
        <v>183075.37000000002</v>
      </c>
      <c r="E1487" s="591"/>
      <c r="F1487" s="594">
        <f>+F1476-F1485</f>
        <v>183075.37000000002</v>
      </c>
    </row>
    <row r="1490" spans="1:6" x14ac:dyDescent="0.2">
      <c r="D1490" s="700"/>
      <c r="E1490" s="585"/>
      <c r="F1490" s="700"/>
    </row>
    <row r="1491" spans="1:6" x14ac:dyDescent="0.2">
      <c r="D1491" s="700"/>
      <c r="E1491" s="585"/>
      <c r="F1491" s="700"/>
    </row>
    <row r="1492" spans="1:6" x14ac:dyDescent="0.2">
      <c r="D1492" s="700"/>
      <c r="E1492" s="585"/>
      <c r="F1492" s="700"/>
    </row>
    <row r="1497" spans="1:6" x14ac:dyDescent="0.2">
      <c r="A1497" s="1285" t="s">
        <v>7476</v>
      </c>
      <c r="B1497" s="1285"/>
      <c r="C1497" s="1285"/>
      <c r="D1497" s="1285"/>
      <c r="E1497" s="1285"/>
      <c r="F1497" s="1285"/>
    </row>
    <row r="1498" spans="1:6" x14ac:dyDescent="0.2">
      <c r="A1498" s="1285" t="s">
        <v>7478</v>
      </c>
      <c r="B1498" s="1285"/>
      <c r="C1498" s="1285"/>
      <c r="D1498" s="1285"/>
      <c r="E1498" s="1285"/>
      <c r="F1498" s="1285"/>
    </row>
    <row r="1499" spans="1:6" x14ac:dyDescent="0.2">
      <c r="A1499" s="1285" t="s">
        <v>8943</v>
      </c>
      <c r="B1499" s="1285"/>
      <c r="C1499" s="1285"/>
      <c r="D1499" s="1285"/>
      <c r="E1499" s="1285"/>
      <c r="F1499" s="1285"/>
    </row>
    <row r="1500" spans="1:6" x14ac:dyDescent="0.2">
      <c r="A1500" s="1285" t="s">
        <v>8930</v>
      </c>
      <c r="B1500" s="1285"/>
      <c r="C1500" s="1285"/>
      <c r="D1500" s="1285"/>
      <c r="E1500" s="1285"/>
      <c r="F1500" s="1285"/>
    </row>
    <row r="1501" spans="1:6" x14ac:dyDescent="0.2">
      <c r="D1501" s="701"/>
      <c r="E1501" s="588"/>
      <c r="F1501" s="714"/>
    </row>
    <row r="1502" spans="1:6" x14ac:dyDescent="0.2">
      <c r="D1502" s="701"/>
      <c r="E1502" s="588"/>
      <c r="F1502" s="714"/>
    </row>
    <row r="1503" spans="1:6" x14ac:dyDescent="0.2">
      <c r="C1503" s="708"/>
      <c r="D1503" s="713" t="s">
        <v>2392</v>
      </c>
      <c r="E1503" s="590"/>
      <c r="F1503" s="713" t="s">
        <v>2393</v>
      </c>
    </row>
    <row r="1504" spans="1:6" x14ac:dyDescent="0.2">
      <c r="B1504" s="712"/>
      <c r="C1504" s="2"/>
      <c r="D1504" s="701"/>
      <c r="E1504" s="588"/>
    </row>
    <row r="1505" spans="2:6" x14ac:dyDescent="0.2">
      <c r="C1505" s="711" t="s">
        <v>2394</v>
      </c>
      <c r="D1505" s="594">
        <v>554541.5399999998</v>
      </c>
      <c r="E1505" s="591"/>
      <c r="F1505" s="594">
        <v>0</v>
      </c>
    </row>
    <row r="1506" spans="2:6" x14ac:dyDescent="0.2">
      <c r="C1506" s="711"/>
      <c r="D1506" s="709"/>
      <c r="E1506" s="591"/>
      <c r="F1506" s="709"/>
    </row>
    <row r="1507" spans="2:6" x14ac:dyDescent="0.2">
      <c r="B1507" s="1286" t="s">
        <v>2395</v>
      </c>
      <c r="C1507" s="1286"/>
      <c r="D1507" s="588"/>
      <c r="E1507" s="588"/>
      <c r="F1507" s="588"/>
    </row>
    <row r="1508" spans="2:6" x14ac:dyDescent="0.2">
      <c r="B1508" s="592">
        <v>1</v>
      </c>
      <c r="C1508" s="710" t="s">
        <v>107</v>
      </c>
      <c r="D1508" s="588"/>
      <c r="E1508" s="588"/>
      <c r="F1508" s="588"/>
    </row>
    <row r="1509" spans="2:6" x14ac:dyDescent="0.2">
      <c r="B1509" s="592">
        <v>2</v>
      </c>
      <c r="C1509" s="710" t="s">
        <v>109</v>
      </c>
      <c r="D1509" s="588"/>
      <c r="E1509" s="588"/>
      <c r="F1509" s="588"/>
    </row>
    <row r="1510" spans="2:6" x14ac:dyDescent="0.2">
      <c r="B1510" s="592">
        <v>3</v>
      </c>
      <c r="C1510" s="710" t="s">
        <v>2396</v>
      </c>
      <c r="D1510" s="588"/>
      <c r="E1510" s="588"/>
      <c r="F1510" s="588"/>
    </row>
    <row r="1511" spans="2:6" x14ac:dyDescent="0.2">
      <c r="B1511" s="592">
        <v>4</v>
      </c>
      <c r="C1511" s="710" t="s">
        <v>113</v>
      </c>
      <c r="D1511" s="588"/>
      <c r="E1511" s="588"/>
      <c r="F1511" s="588"/>
    </row>
    <row r="1512" spans="2:6" x14ac:dyDescent="0.2">
      <c r="B1512" s="592">
        <v>5</v>
      </c>
      <c r="C1512" s="710" t="s">
        <v>228</v>
      </c>
      <c r="D1512" s="588">
        <v>879.99</v>
      </c>
      <c r="E1512" s="588"/>
      <c r="F1512" s="588">
        <v>10141</v>
      </c>
    </row>
    <row r="1513" spans="2:6" x14ac:dyDescent="0.2">
      <c r="B1513" s="592">
        <v>6</v>
      </c>
      <c r="C1513" s="710" t="s">
        <v>231</v>
      </c>
      <c r="D1513" s="588"/>
      <c r="E1513" s="588"/>
      <c r="F1513" s="588"/>
    </row>
    <row r="1514" spans="2:6" x14ac:dyDescent="0.2">
      <c r="B1514" s="592">
        <v>7</v>
      </c>
      <c r="C1514" s="710" t="s">
        <v>2397</v>
      </c>
      <c r="D1514" s="350"/>
      <c r="E1514" s="350"/>
      <c r="F1514" s="350"/>
    </row>
    <row r="1515" spans="2:6" x14ac:dyDescent="0.2">
      <c r="B1515" s="592">
        <v>8</v>
      </c>
      <c r="C1515" s="710" t="s">
        <v>2398</v>
      </c>
      <c r="D1515" s="588"/>
      <c r="E1515" s="588"/>
      <c r="F1515" s="588">
        <v>1790000</v>
      </c>
    </row>
    <row r="1516" spans="2:6" x14ac:dyDescent="0.2">
      <c r="B1516" s="592">
        <v>9</v>
      </c>
      <c r="C1516" s="710" t="s">
        <v>2399</v>
      </c>
      <c r="D1516" s="588"/>
      <c r="E1516" s="588"/>
      <c r="F1516" s="588"/>
    </row>
    <row r="1517" spans="2:6" x14ac:dyDescent="0.2">
      <c r="B1517" s="592">
        <v>0</v>
      </c>
      <c r="C1517" s="710" t="s">
        <v>500</v>
      </c>
      <c r="D1517" s="593"/>
      <c r="E1517" s="588"/>
      <c r="F1517" s="593"/>
    </row>
    <row r="1518" spans="2:6" x14ac:dyDescent="0.2">
      <c r="B1518" s="585"/>
      <c r="C1518" s="587" t="s">
        <v>2400</v>
      </c>
      <c r="D1518" s="709">
        <f>SUM(D1508:D1517)</f>
        <v>879.99</v>
      </c>
      <c r="E1518" s="591"/>
      <c r="F1518" s="709">
        <f>SUM(F1508:F1517)</f>
        <v>1800141</v>
      </c>
    </row>
    <row r="1519" spans="2:6" x14ac:dyDescent="0.2">
      <c r="B1519" s="585"/>
      <c r="C1519" s="585"/>
      <c r="D1519" s="701"/>
      <c r="E1519" s="588"/>
    </row>
    <row r="1520" spans="2:6" x14ac:dyDescent="0.2">
      <c r="B1520" s="1283" t="s">
        <v>2401</v>
      </c>
      <c r="C1520" s="1283"/>
      <c r="D1520" s="709"/>
      <c r="E1520" s="591"/>
      <c r="F1520" s="709"/>
    </row>
    <row r="1521" spans="2:6" x14ac:dyDescent="0.2">
      <c r="B1521" s="592">
        <v>1000</v>
      </c>
      <c r="C1521" s="710" t="s">
        <v>2402</v>
      </c>
      <c r="D1521" s="701"/>
      <c r="E1521" s="588"/>
    </row>
    <row r="1522" spans="2:6" x14ac:dyDescent="0.2">
      <c r="B1522" s="592">
        <v>2000</v>
      </c>
      <c r="C1522" s="710" t="s">
        <v>2403</v>
      </c>
      <c r="D1522" s="701"/>
      <c r="E1522" s="588"/>
    </row>
    <row r="1523" spans="2:6" x14ac:dyDescent="0.2">
      <c r="B1523" s="592">
        <v>3000</v>
      </c>
      <c r="C1523" s="710" t="s">
        <v>2404</v>
      </c>
      <c r="D1523" s="701"/>
      <c r="E1523" s="588"/>
    </row>
    <row r="1524" spans="2:6" x14ac:dyDescent="0.2">
      <c r="B1524" s="592">
        <v>4000</v>
      </c>
      <c r="C1524" s="710" t="s">
        <v>2399</v>
      </c>
      <c r="D1524" s="701">
        <v>10779.56</v>
      </c>
      <c r="E1524" s="588"/>
      <c r="F1524" s="701">
        <v>10779.56</v>
      </c>
    </row>
    <row r="1525" spans="2:6" x14ac:dyDescent="0.2">
      <c r="B1525" s="592">
        <v>5000</v>
      </c>
      <c r="C1525" s="710" t="s">
        <v>2405</v>
      </c>
      <c r="D1525" s="701"/>
      <c r="E1525" s="588"/>
    </row>
    <row r="1526" spans="2:6" x14ac:dyDescent="0.2">
      <c r="B1526" s="592">
        <v>6000</v>
      </c>
      <c r="C1526" s="710" t="s">
        <v>2406</v>
      </c>
      <c r="D1526" s="701">
        <v>544641.97</v>
      </c>
      <c r="E1526" s="588"/>
      <c r="F1526" s="701">
        <v>1789361.44</v>
      </c>
    </row>
    <row r="1527" spans="2:6" x14ac:dyDescent="0.2">
      <c r="B1527" s="592">
        <v>7000</v>
      </c>
      <c r="C1527" s="710" t="s">
        <v>2407</v>
      </c>
      <c r="D1527" s="701"/>
      <c r="E1527" s="588"/>
    </row>
    <row r="1528" spans="2:6" x14ac:dyDescent="0.2">
      <c r="B1528" s="592">
        <v>8000</v>
      </c>
      <c r="C1528" s="710" t="s">
        <v>2398</v>
      </c>
      <c r="D1528" s="701"/>
      <c r="E1528" s="588"/>
    </row>
    <row r="1529" spans="2:6" x14ac:dyDescent="0.2">
      <c r="B1529" s="592">
        <v>9000</v>
      </c>
      <c r="C1529" s="710" t="s">
        <v>2408</v>
      </c>
      <c r="D1529" s="593"/>
      <c r="E1529" s="588"/>
      <c r="F1529" s="593"/>
    </row>
    <row r="1530" spans="2:6" x14ac:dyDescent="0.2">
      <c r="B1530" s="589"/>
      <c r="C1530" s="587" t="s">
        <v>2409</v>
      </c>
      <c r="D1530" s="709">
        <f>SUM(D1521:D1529)</f>
        <v>555421.53</v>
      </c>
      <c r="E1530" s="591"/>
      <c r="F1530" s="709">
        <f>SUM(F1521:F1529)</f>
        <v>1800141</v>
      </c>
    </row>
    <row r="1531" spans="2:6" x14ac:dyDescent="0.2">
      <c r="B1531" s="585"/>
      <c r="C1531" s="585"/>
      <c r="D1531" s="701"/>
      <c r="E1531" s="588"/>
    </row>
    <row r="1532" spans="2:6" x14ac:dyDescent="0.2">
      <c r="B1532" s="589"/>
      <c r="C1532" s="696" t="s">
        <v>2410</v>
      </c>
      <c r="D1532" s="594">
        <f>+D1505+D1518-D1530</f>
        <v>0</v>
      </c>
      <c r="E1532" s="591"/>
      <c r="F1532" s="594">
        <f>+F1505+F1518-F1530</f>
        <v>0</v>
      </c>
    </row>
    <row r="1534" spans="2:6" x14ac:dyDescent="0.2">
      <c r="B1534" s="1284" t="s">
        <v>2411</v>
      </c>
      <c r="C1534" s="1284"/>
      <c r="D1534" s="1284"/>
      <c r="E1534" s="1284"/>
      <c r="F1534" s="1284"/>
    </row>
    <row r="1535" spans="2:6" x14ac:dyDescent="0.2">
      <c r="B1535" s="708"/>
      <c r="C1535" s="585"/>
    </row>
    <row r="1536" spans="2:6" x14ac:dyDescent="0.2">
      <c r="B1536" s="708"/>
      <c r="C1536" s="708" t="s">
        <v>2412</v>
      </c>
      <c r="D1536" s="586"/>
      <c r="F1536" s="591"/>
    </row>
    <row r="1537" spans="2:6" x14ac:dyDescent="0.2">
      <c r="B1537" s="705" t="s">
        <v>5</v>
      </c>
      <c r="C1537" s="2" t="s">
        <v>6</v>
      </c>
      <c r="D1537" s="701">
        <v>0</v>
      </c>
      <c r="E1537" s="588"/>
      <c r="F1537" s="701">
        <v>0</v>
      </c>
    </row>
    <row r="1538" spans="2:6" x14ac:dyDescent="0.2">
      <c r="B1538" s="705" t="s">
        <v>9</v>
      </c>
      <c r="C1538" s="700" t="s">
        <v>10</v>
      </c>
      <c r="D1538" s="715"/>
    </row>
    <row r="1539" spans="2:6" x14ac:dyDescent="0.2">
      <c r="B1539" s="705" t="s">
        <v>13</v>
      </c>
      <c r="C1539" s="700" t="s">
        <v>14</v>
      </c>
      <c r="D1539" s="701"/>
    </row>
    <row r="1540" spans="2:6" x14ac:dyDescent="0.2">
      <c r="B1540" s="705" t="s">
        <v>27</v>
      </c>
      <c r="C1540" s="2" t="s">
        <v>28</v>
      </c>
      <c r="D1540" s="593"/>
      <c r="E1540" s="588"/>
      <c r="F1540" s="593"/>
    </row>
    <row r="1541" spans="2:6" x14ac:dyDescent="0.2">
      <c r="C1541" s="704" t="s">
        <v>2413</v>
      </c>
      <c r="D1541" s="595">
        <f>SUM(D1537:D1540)</f>
        <v>0</v>
      </c>
      <c r="E1541" s="595"/>
      <c r="F1541" s="595">
        <f>SUM(F1537:F1540)</f>
        <v>0</v>
      </c>
    </row>
    <row r="1542" spans="2:6" x14ac:dyDescent="0.2">
      <c r="B1542" s="705"/>
      <c r="C1542" s="704" t="s">
        <v>2414</v>
      </c>
    </row>
    <row r="1543" spans="2:6" x14ac:dyDescent="0.2">
      <c r="B1543" s="705" t="s">
        <v>7</v>
      </c>
      <c r="C1543" s="2" t="s">
        <v>8</v>
      </c>
      <c r="F1543" s="702"/>
    </row>
    <row r="1544" spans="2:6" x14ac:dyDescent="0.2">
      <c r="B1544" s="705" t="s">
        <v>11</v>
      </c>
      <c r="C1544" s="2" t="s">
        <v>12</v>
      </c>
      <c r="F1544" s="702"/>
    </row>
    <row r="1545" spans="2:6" x14ac:dyDescent="0.2">
      <c r="B1545" s="705" t="s">
        <v>15</v>
      </c>
      <c r="C1545" s="2" t="s">
        <v>16</v>
      </c>
    </row>
    <row r="1546" spans="2:6" x14ac:dyDescent="0.2">
      <c r="B1546" s="705" t="s">
        <v>592</v>
      </c>
      <c r="C1546" s="2" t="s">
        <v>23</v>
      </c>
    </row>
    <row r="1547" spans="2:6" ht="25.5" x14ac:dyDescent="0.2">
      <c r="B1547" s="707" t="s">
        <v>595</v>
      </c>
      <c r="C1547" s="706" t="s">
        <v>2415</v>
      </c>
    </row>
    <row r="1548" spans="2:6" x14ac:dyDescent="0.2">
      <c r="B1548" s="705" t="s">
        <v>598</v>
      </c>
      <c r="C1548" s="2" t="s">
        <v>2416</v>
      </c>
    </row>
    <row r="1549" spans="2:6" x14ac:dyDescent="0.2">
      <c r="B1549" s="705" t="s">
        <v>600</v>
      </c>
      <c r="C1549" s="2" t="s">
        <v>2417</v>
      </c>
      <c r="D1549" s="593"/>
      <c r="E1549" s="588"/>
      <c r="F1549" s="593"/>
    </row>
    <row r="1550" spans="2:6" x14ac:dyDescent="0.2">
      <c r="C1550" s="704" t="s">
        <v>2418</v>
      </c>
      <c r="D1550" s="591">
        <f>SUM(D1543:D1549)</f>
        <v>0</v>
      </c>
      <c r="E1550" s="591"/>
      <c r="F1550" s="591">
        <f>SUM(F1543:F1549)</f>
        <v>0</v>
      </c>
    </row>
    <row r="1552" spans="2:6" x14ac:dyDescent="0.2">
      <c r="C1552" s="703" t="s">
        <v>2419</v>
      </c>
      <c r="D1552" s="594">
        <f>+D1541-D1550</f>
        <v>0</v>
      </c>
      <c r="E1552" s="591"/>
      <c r="F1552" s="594">
        <f>+F1541-F1550</f>
        <v>0</v>
      </c>
    </row>
    <row r="1555" spans="1:6" x14ac:dyDescent="0.2">
      <c r="D1555" s="700"/>
      <c r="E1555" s="585"/>
      <c r="F1555" s="700"/>
    </row>
    <row r="1556" spans="1:6" x14ac:dyDescent="0.2">
      <c r="D1556" s="700"/>
      <c r="E1556" s="585"/>
      <c r="F1556" s="700"/>
    </row>
    <row r="1557" spans="1:6" x14ac:dyDescent="0.2">
      <c r="D1557" s="700"/>
      <c r="E1557" s="585"/>
      <c r="F1557" s="700"/>
    </row>
    <row r="1562" spans="1:6" x14ac:dyDescent="0.2">
      <c r="A1562" s="1285" t="s">
        <v>7476</v>
      </c>
      <c r="B1562" s="1285"/>
      <c r="C1562" s="1285"/>
      <c r="D1562" s="1285"/>
      <c r="E1562" s="1285"/>
      <c r="F1562" s="1285"/>
    </row>
    <row r="1563" spans="1:6" x14ac:dyDescent="0.2">
      <c r="A1563" s="1285" t="s">
        <v>7478</v>
      </c>
      <c r="B1563" s="1285"/>
      <c r="C1563" s="1285"/>
      <c r="D1563" s="1285"/>
      <c r="E1563" s="1285"/>
      <c r="F1563" s="1285"/>
    </row>
    <row r="1564" spans="1:6" x14ac:dyDescent="0.2">
      <c r="A1564" s="1285" t="s">
        <v>8942</v>
      </c>
      <c r="B1564" s="1285"/>
      <c r="C1564" s="1285"/>
      <c r="D1564" s="1285"/>
      <c r="E1564" s="1285"/>
      <c r="F1564" s="1285"/>
    </row>
    <row r="1565" spans="1:6" x14ac:dyDescent="0.2">
      <c r="A1565" s="1285" t="s">
        <v>8930</v>
      </c>
      <c r="B1565" s="1285"/>
      <c r="C1565" s="1285"/>
      <c r="D1565" s="1285"/>
      <c r="E1565" s="1285"/>
      <c r="F1565" s="1285"/>
    </row>
    <row r="1566" spans="1:6" x14ac:dyDescent="0.2">
      <c r="D1566" s="701"/>
      <c r="E1566" s="588"/>
      <c r="F1566" s="714"/>
    </row>
    <row r="1567" spans="1:6" x14ac:dyDescent="0.2">
      <c r="D1567" s="701"/>
      <c r="E1567" s="588"/>
      <c r="F1567" s="714"/>
    </row>
    <row r="1568" spans="1:6" x14ac:dyDescent="0.2">
      <c r="C1568" s="708"/>
      <c r="D1568" s="713" t="s">
        <v>2392</v>
      </c>
      <c r="E1568" s="590"/>
      <c r="F1568" s="713" t="s">
        <v>2393</v>
      </c>
    </row>
    <row r="1569" spans="2:6" x14ac:dyDescent="0.2">
      <c r="B1569" s="712"/>
      <c r="C1569" s="2"/>
      <c r="D1569" s="701"/>
      <c r="E1569" s="588"/>
    </row>
    <row r="1570" spans="2:6" x14ac:dyDescent="0.2">
      <c r="C1570" s="711" t="s">
        <v>2394</v>
      </c>
      <c r="D1570" s="594">
        <v>2000108.89</v>
      </c>
      <c r="E1570" s="591"/>
      <c r="F1570" s="594">
        <v>0</v>
      </c>
    </row>
    <row r="1571" spans="2:6" x14ac:dyDescent="0.2">
      <c r="C1571" s="711"/>
      <c r="D1571" s="709"/>
      <c r="E1571" s="591"/>
      <c r="F1571" s="709"/>
    </row>
    <row r="1572" spans="2:6" x14ac:dyDescent="0.2">
      <c r="B1572" s="1286" t="s">
        <v>2395</v>
      </c>
      <c r="C1572" s="1286"/>
      <c r="D1572" s="588"/>
      <c r="E1572" s="588"/>
      <c r="F1572" s="588"/>
    </row>
    <row r="1573" spans="2:6" x14ac:dyDescent="0.2">
      <c r="B1573" s="592">
        <v>1</v>
      </c>
      <c r="C1573" s="710" t="s">
        <v>107</v>
      </c>
      <c r="D1573" s="588"/>
      <c r="E1573" s="588"/>
      <c r="F1573" s="588"/>
    </row>
    <row r="1574" spans="2:6" x14ac:dyDescent="0.2">
      <c r="B1574" s="592">
        <v>2</v>
      </c>
      <c r="C1574" s="710" t="s">
        <v>109</v>
      </c>
      <c r="D1574" s="588"/>
      <c r="E1574" s="588"/>
      <c r="F1574" s="588"/>
    </row>
    <row r="1575" spans="2:6" x14ac:dyDescent="0.2">
      <c r="B1575" s="592">
        <v>3</v>
      </c>
      <c r="C1575" s="710" t="s">
        <v>2396</v>
      </c>
      <c r="D1575" s="588"/>
      <c r="E1575" s="588"/>
      <c r="F1575" s="588"/>
    </row>
    <row r="1576" spans="2:6" x14ac:dyDescent="0.2">
      <c r="B1576" s="592">
        <v>4</v>
      </c>
      <c r="C1576" s="710" t="s">
        <v>113</v>
      </c>
      <c r="D1576" s="588"/>
      <c r="E1576" s="588"/>
      <c r="F1576" s="588"/>
    </row>
    <row r="1577" spans="2:6" x14ac:dyDescent="0.2">
      <c r="B1577" s="592">
        <v>5</v>
      </c>
      <c r="C1577" s="710" t="s">
        <v>228</v>
      </c>
      <c r="D1577" s="588"/>
      <c r="E1577" s="588"/>
      <c r="F1577" s="588">
        <v>108.89</v>
      </c>
    </row>
    <row r="1578" spans="2:6" x14ac:dyDescent="0.2">
      <c r="B1578" s="592">
        <v>6</v>
      </c>
      <c r="C1578" s="710" t="s">
        <v>231</v>
      </c>
      <c r="D1578" s="588"/>
      <c r="E1578" s="588"/>
      <c r="F1578" s="588"/>
    </row>
    <row r="1579" spans="2:6" x14ac:dyDescent="0.2">
      <c r="B1579" s="592">
        <v>7</v>
      </c>
      <c r="C1579" s="710" t="s">
        <v>2397</v>
      </c>
      <c r="D1579" s="350"/>
      <c r="E1579" s="350"/>
      <c r="F1579" s="350"/>
    </row>
    <row r="1580" spans="2:6" x14ac:dyDescent="0.2">
      <c r="B1580" s="592">
        <v>8</v>
      </c>
      <c r="C1580" s="710" t="s">
        <v>2398</v>
      </c>
      <c r="D1580" s="588"/>
      <c r="E1580" s="588"/>
      <c r="F1580" s="588">
        <v>2000000</v>
      </c>
    </row>
    <row r="1581" spans="2:6" x14ac:dyDescent="0.2">
      <c r="B1581" s="592">
        <v>9</v>
      </c>
      <c r="C1581" s="710" t="s">
        <v>2399</v>
      </c>
      <c r="D1581" s="588"/>
      <c r="E1581" s="588"/>
      <c r="F1581" s="588"/>
    </row>
    <row r="1582" spans="2:6" x14ac:dyDescent="0.2">
      <c r="B1582" s="592">
        <v>0</v>
      </c>
      <c r="C1582" s="710" t="s">
        <v>500</v>
      </c>
      <c r="D1582" s="593"/>
      <c r="E1582" s="588"/>
      <c r="F1582" s="593"/>
    </row>
    <row r="1583" spans="2:6" x14ac:dyDescent="0.2">
      <c r="B1583" s="585"/>
      <c r="C1583" s="587" t="s">
        <v>2400</v>
      </c>
      <c r="D1583" s="709">
        <f>SUM(D1573:D1582)</f>
        <v>0</v>
      </c>
      <c r="E1583" s="591"/>
      <c r="F1583" s="709">
        <f>SUM(F1573:F1582)</f>
        <v>2000108.89</v>
      </c>
    </row>
    <row r="1584" spans="2:6" x14ac:dyDescent="0.2">
      <c r="B1584" s="585"/>
      <c r="C1584" s="585"/>
      <c r="D1584" s="701"/>
      <c r="E1584" s="588"/>
    </row>
    <row r="1585" spans="2:6" x14ac:dyDescent="0.2">
      <c r="B1585" s="1283" t="s">
        <v>2401</v>
      </c>
      <c r="C1585" s="1283"/>
      <c r="D1585" s="709"/>
      <c r="E1585" s="591"/>
      <c r="F1585" s="709"/>
    </row>
    <row r="1586" spans="2:6" x14ac:dyDescent="0.2">
      <c r="B1586" s="592">
        <v>1000</v>
      </c>
      <c r="C1586" s="710" t="s">
        <v>2402</v>
      </c>
      <c r="D1586" s="701"/>
      <c r="E1586" s="588"/>
    </row>
    <row r="1587" spans="2:6" x14ac:dyDescent="0.2">
      <c r="B1587" s="592">
        <v>2000</v>
      </c>
      <c r="C1587" s="710" t="s">
        <v>2403</v>
      </c>
      <c r="D1587" s="701"/>
      <c r="E1587" s="588"/>
    </row>
    <row r="1588" spans="2:6" x14ac:dyDescent="0.2">
      <c r="B1588" s="592">
        <v>3000</v>
      </c>
      <c r="C1588" s="710" t="s">
        <v>2404</v>
      </c>
      <c r="D1588" s="701">
        <v>2000000.1400000001</v>
      </c>
      <c r="E1588" s="588"/>
      <c r="F1588" s="701">
        <v>2000000.1400000001</v>
      </c>
    </row>
    <row r="1589" spans="2:6" x14ac:dyDescent="0.2">
      <c r="B1589" s="592">
        <v>4000</v>
      </c>
      <c r="C1589" s="710" t="s">
        <v>2399</v>
      </c>
      <c r="D1589" s="701"/>
      <c r="E1589" s="588"/>
    </row>
    <row r="1590" spans="2:6" x14ac:dyDescent="0.2">
      <c r="B1590" s="592">
        <v>5000</v>
      </c>
      <c r="C1590" s="710" t="s">
        <v>2405</v>
      </c>
      <c r="D1590" s="701"/>
      <c r="E1590" s="588"/>
    </row>
    <row r="1591" spans="2:6" x14ac:dyDescent="0.2">
      <c r="B1591" s="592">
        <v>6000</v>
      </c>
      <c r="C1591" s="710" t="s">
        <v>2406</v>
      </c>
      <c r="D1591" s="701"/>
      <c r="E1591" s="588"/>
    </row>
    <row r="1592" spans="2:6" x14ac:dyDescent="0.2">
      <c r="B1592" s="592">
        <v>7000</v>
      </c>
      <c r="C1592" s="710" t="s">
        <v>2407</v>
      </c>
      <c r="D1592" s="701"/>
      <c r="E1592" s="588"/>
    </row>
    <row r="1593" spans="2:6" x14ac:dyDescent="0.2">
      <c r="B1593" s="592">
        <v>8000</v>
      </c>
      <c r="C1593" s="710" t="s">
        <v>2398</v>
      </c>
      <c r="D1593" s="701"/>
      <c r="E1593" s="588"/>
    </row>
    <row r="1594" spans="2:6" x14ac:dyDescent="0.2">
      <c r="B1594" s="592">
        <v>9000</v>
      </c>
      <c r="C1594" s="710" t="s">
        <v>2408</v>
      </c>
      <c r="D1594" s="593"/>
      <c r="E1594" s="588"/>
      <c r="F1594" s="593"/>
    </row>
    <row r="1595" spans="2:6" x14ac:dyDescent="0.2">
      <c r="B1595" s="589"/>
      <c r="C1595" s="587" t="s">
        <v>2409</v>
      </c>
      <c r="D1595" s="709">
        <f>SUM(D1586:D1594)</f>
        <v>2000000.1400000001</v>
      </c>
      <c r="E1595" s="591"/>
      <c r="F1595" s="709">
        <f>SUM(F1586:F1594)</f>
        <v>2000000.1400000001</v>
      </c>
    </row>
    <row r="1596" spans="2:6" x14ac:dyDescent="0.2">
      <c r="B1596" s="585"/>
      <c r="C1596" s="585"/>
      <c r="D1596" s="701"/>
      <c r="E1596" s="588"/>
    </row>
    <row r="1597" spans="2:6" x14ac:dyDescent="0.2">
      <c r="B1597" s="589"/>
      <c r="C1597" s="696" t="s">
        <v>2410</v>
      </c>
      <c r="D1597" s="594">
        <f>+D1570+D1583-D1595</f>
        <v>108.74999999976717</v>
      </c>
      <c r="E1597" s="591"/>
      <c r="F1597" s="594">
        <f>+F1570+F1583-F1595</f>
        <v>108.74999999976717</v>
      </c>
    </row>
    <row r="1599" spans="2:6" x14ac:dyDescent="0.2">
      <c r="B1599" s="1284" t="s">
        <v>2411</v>
      </c>
      <c r="C1599" s="1284"/>
      <c r="D1599" s="1284"/>
      <c r="E1599" s="1284"/>
      <c r="F1599" s="1284"/>
    </row>
    <row r="1600" spans="2:6" x14ac:dyDescent="0.2">
      <c r="B1600" s="708"/>
      <c r="C1600" s="585"/>
    </row>
    <row r="1601" spans="2:6" x14ac:dyDescent="0.2">
      <c r="B1601" s="708"/>
      <c r="C1601" s="708" t="s">
        <v>2412</v>
      </c>
      <c r="D1601" s="586"/>
      <c r="F1601" s="591"/>
    </row>
    <row r="1602" spans="2:6" x14ac:dyDescent="0.2">
      <c r="B1602" s="705" t="s">
        <v>5</v>
      </c>
      <c r="C1602" s="2" t="s">
        <v>6</v>
      </c>
      <c r="D1602" s="701">
        <v>81669.070000000007</v>
      </c>
      <c r="E1602" s="588"/>
      <c r="F1602" s="701">
        <v>81669.070000000007</v>
      </c>
    </row>
    <row r="1603" spans="2:6" x14ac:dyDescent="0.2">
      <c r="B1603" s="705" t="s">
        <v>9</v>
      </c>
      <c r="C1603" s="700" t="s">
        <v>10</v>
      </c>
      <c r="D1603" s="715"/>
    </row>
    <row r="1604" spans="2:6" x14ac:dyDescent="0.2">
      <c r="B1604" s="705" t="s">
        <v>13</v>
      </c>
      <c r="C1604" s="700" t="s">
        <v>14</v>
      </c>
      <c r="D1604" s="701"/>
    </row>
    <row r="1605" spans="2:6" x14ac:dyDescent="0.2">
      <c r="B1605" s="705" t="s">
        <v>27</v>
      </c>
      <c r="C1605" s="2" t="s">
        <v>28</v>
      </c>
      <c r="D1605" s="593"/>
      <c r="E1605" s="588"/>
      <c r="F1605" s="593"/>
    </row>
    <row r="1606" spans="2:6" x14ac:dyDescent="0.2">
      <c r="C1606" s="704" t="s">
        <v>2413</v>
      </c>
      <c r="D1606" s="595">
        <f>SUM(D1602:D1605)</f>
        <v>81669.070000000007</v>
      </c>
      <c r="E1606" s="595"/>
      <c r="F1606" s="595">
        <f>SUM(F1602:F1605)</f>
        <v>81669.070000000007</v>
      </c>
    </row>
    <row r="1607" spans="2:6" x14ac:dyDescent="0.2">
      <c r="B1607" s="705"/>
      <c r="C1607" s="704" t="s">
        <v>2414</v>
      </c>
    </row>
    <row r="1608" spans="2:6" x14ac:dyDescent="0.2">
      <c r="B1608" s="705" t="s">
        <v>7</v>
      </c>
      <c r="C1608" s="2" t="s">
        <v>8</v>
      </c>
      <c r="D1608" s="702">
        <v>81560.320000000007</v>
      </c>
      <c r="F1608" s="702">
        <v>81560.320000000007</v>
      </c>
    </row>
    <row r="1609" spans="2:6" x14ac:dyDescent="0.2">
      <c r="B1609" s="705" t="s">
        <v>11</v>
      </c>
      <c r="C1609" s="2" t="s">
        <v>12</v>
      </c>
      <c r="F1609" s="702"/>
    </row>
    <row r="1610" spans="2:6" x14ac:dyDescent="0.2">
      <c r="B1610" s="705" t="s">
        <v>15</v>
      </c>
      <c r="C1610" s="2" t="s">
        <v>16</v>
      </c>
    </row>
    <row r="1611" spans="2:6" x14ac:dyDescent="0.2">
      <c r="B1611" s="705" t="s">
        <v>592</v>
      </c>
      <c r="C1611" s="2" t="s">
        <v>23</v>
      </c>
    </row>
    <row r="1612" spans="2:6" ht="25.5" x14ac:dyDescent="0.2">
      <c r="B1612" s="707" t="s">
        <v>595</v>
      </c>
      <c r="C1612" s="706" t="s">
        <v>2415</v>
      </c>
    </row>
    <row r="1613" spans="2:6" x14ac:dyDescent="0.2">
      <c r="B1613" s="705" t="s">
        <v>598</v>
      </c>
      <c r="C1613" s="2" t="s">
        <v>2416</v>
      </c>
    </row>
    <row r="1614" spans="2:6" x14ac:dyDescent="0.2">
      <c r="B1614" s="705" t="s">
        <v>600</v>
      </c>
      <c r="C1614" s="2" t="s">
        <v>2417</v>
      </c>
      <c r="D1614" s="593"/>
      <c r="E1614" s="588"/>
      <c r="F1614" s="593"/>
    </row>
    <row r="1615" spans="2:6" x14ac:dyDescent="0.2">
      <c r="C1615" s="704" t="s">
        <v>2418</v>
      </c>
      <c r="D1615" s="591">
        <f>SUM(D1608:D1614)</f>
        <v>81560.320000000007</v>
      </c>
      <c r="E1615" s="591"/>
      <c r="F1615" s="591">
        <f>SUM(F1608:F1614)</f>
        <v>81560.320000000007</v>
      </c>
    </row>
    <row r="1617" spans="1:6" x14ac:dyDescent="0.2">
      <c r="C1617" s="703" t="s">
        <v>2419</v>
      </c>
      <c r="D1617" s="594">
        <f>+D1606-D1615</f>
        <v>108.75</v>
      </c>
      <c r="E1617" s="591"/>
      <c r="F1617" s="594">
        <f>+F1606-F1615</f>
        <v>108.75</v>
      </c>
    </row>
    <row r="1620" spans="1:6" x14ac:dyDescent="0.2">
      <c r="D1620" s="700"/>
      <c r="E1620" s="585"/>
      <c r="F1620" s="700"/>
    </row>
    <row r="1621" spans="1:6" x14ac:dyDescent="0.2">
      <c r="D1621" s="700"/>
      <c r="E1621" s="585"/>
      <c r="F1621" s="700"/>
    </row>
    <row r="1622" spans="1:6" x14ac:dyDescent="0.2">
      <c r="D1622" s="700"/>
      <c r="E1622" s="585"/>
      <c r="F1622" s="700"/>
    </row>
    <row r="1628" spans="1:6" x14ac:dyDescent="0.2">
      <c r="A1628" s="1285" t="s">
        <v>7476</v>
      </c>
      <c r="B1628" s="1285"/>
      <c r="C1628" s="1285"/>
      <c r="D1628" s="1285"/>
      <c r="E1628" s="1285"/>
      <c r="F1628" s="1285"/>
    </row>
    <row r="1629" spans="1:6" x14ac:dyDescent="0.2">
      <c r="A1629" s="1285" t="s">
        <v>7478</v>
      </c>
      <c r="B1629" s="1285"/>
      <c r="C1629" s="1285"/>
      <c r="D1629" s="1285"/>
      <c r="E1629" s="1285"/>
      <c r="F1629" s="1285"/>
    </row>
    <row r="1630" spans="1:6" x14ac:dyDescent="0.2">
      <c r="A1630" s="1285" t="s">
        <v>8069</v>
      </c>
      <c r="B1630" s="1285"/>
      <c r="C1630" s="1285"/>
      <c r="D1630" s="1285"/>
      <c r="E1630" s="1285"/>
      <c r="F1630" s="1285"/>
    </row>
    <row r="1631" spans="1:6" x14ac:dyDescent="0.2">
      <c r="A1631" s="1285" t="s">
        <v>8941</v>
      </c>
      <c r="B1631" s="1285"/>
      <c r="C1631" s="1285"/>
      <c r="D1631" s="1285"/>
      <c r="E1631" s="1285"/>
      <c r="F1631" s="1285"/>
    </row>
    <row r="1632" spans="1:6" x14ac:dyDescent="0.2">
      <c r="D1632" s="701"/>
      <c r="E1632" s="588"/>
      <c r="F1632" s="714"/>
    </row>
    <row r="1633" spans="2:6" x14ac:dyDescent="0.2">
      <c r="D1633" s="701"/>
      <c r="E1633" s="588"/>
      <c r="F1633" s="714"/>
    </row>
    <row r="1634" spans="2:6" x14ac:dyDescent="0.2">
      <c r="C1634" s="708"/>
      <c r="D1634" s="713" t="s">
        <v>2392</v>
      </c>
      <c r="E1634" s="590"/>
      <c r="F1634" s="713" t="s">
        <v>2393</v>
      </c>
    </row>
    <row r="1635" spans="2:6" x14ac:dyDescent="0.2">
      <c r="B1635" s="712"/>
      <c r="C1635" s="2"/>
      <c r="D1635" s="701"/>
      <c r="E1635" s="588"/>
    </row>
    <row r="1636" spans="2:6" x14ac:dyDescent="0.2">
      <c r="C1636" s="711" t="s">
        <v>2394</v>
      </c>
      <c r="D1636" s="594">
        <v>0</v>
      </c>
      <c r="E1636" s="591"/>
      <c r="F1636" s="594">
        <v>36468413.620000005</v>
      </c>
    </row>
    <row r="1637" spans="2:6" x14ac:dyDescent="0.2">
      <c r="C1637" s="711"/>
      <c r="D1637" s="709"/>
      <c r="E1637" s="591"/>
      <c r="F1637" s="709"/>
    </row>
    <row r="1638" spans="2:6" x14ac:dyDescent="0.2">
      <c r="B1638" s="1286" t="s">
        <v>2395</v>
      </c>
      <c r="C1638" s="1286"/>
      <c r="D1638" s="588"/>
      <c r="E1638" s="588"/>
      <c r="F1638" s="588"/>
    </row>
    <row r="1639" spans="2:6" x14ac:dyDescent="0.2">
      <c r="B1639" s="592">
        <v>1</v>
      </c>
      <c r="C1639" s="710" t="s">
        <v>107</v>
      </c>
      <c r="D1639" s="588"/>
      <c r="E1639" s="588"/>
      <c r="F1639" s="588"/>
    </row>
    <row r="1640" spans="2:6" x14ac:dyDescent="0.2">
      <c r="B1640" s="592">
        <v>2</v>
      </c>
      <c r="C1640" s="710" t="s">
        <v>109</v>
      </c>
      <c r="D1640" s="588"/>
      <c r="E1640" s="588"/>
      <c r="F1640" s="588"/>
    </row>
    <row r="1641" spans="2:6" x14ac:dyDescent="0.2">
      <c r="B1641" s="592">
        <v>3</v>
      </c>
      <c r="C1641" s="710" t="s">
        <v>2396</v>
      </c>
      <c r="D1641" s="588"/>
      <c r="E1641" s="588"/>
      <c r="F1641" s="588"/>
    </row>
    <row r="1642" spans="2:6" x14ac:dyDescent="0.2">
      <c r="B1642" s="592">
        <v>4</v>
      </c>
      <c r="C1642" s="710" t="s">
        <v>113</v>
      </c>
      <c r="D1642" s="588"/>
      <c r="E1642" s="588"/>
      <c r="F1642" s="588"/>
    </row>
    <row r="1643" spans="2:6" x14ac:dyDescent="0.2">
      <c r="B1643" s="592">
        <v>5</v>
      </c>
      <c r="C1643" s="710" t="s">
        <v>228</v>
      </c>
      <c r="D1643" s="588"/>
      <c r="E1643" s="588"/>
      <c r="F1643" s="588">
        <v>1189852.54</v>
      </c>
    </row>
    <row r="1644" spans="2:6" x14ac:dyDescent="0.2">
      <c r="B1644" s="592">
        <v>6</v>
      </c>
      <c r="C1644" s="710" t="s">
        <v>231</v>
      </c>
      <c r="D1644" s="588"/>
      <c r="E1644" s="588"/>
      <c r="F1644" s="588"/>
    </row>
    <row r="1645" spans="2:6" x14ac:dyDescent="0.2">
      <c r="B1645" s="592">
        <v>7</v>
      </c>
      <c r="C1645" s="710" t="s">
        <v>2397</v>
      </c>
      <c r="D1645" s="350"/>
      <c r="E1645" s="350"/>
      <c r="F1645" s="350"/>
    </row>
    <row r="1646" spans="2:6" x14ac:dyDescent="0.2">
      <c r="B1646" s="592">
        <v>8</v>
      </c>
      <c r="C1646" s="710" t="s">
        <v>2398</v>
      </c>
      <c r="D1646" s="588"/>
      <c r="E1646" s="588"/>
      <c r="F1646" s="588"/>
    </row>
    <row r="1647" spans="2:6" x14ac:dyDescent="0.2">
      <c r="B1647" s="592">
        <v>9</v>
      </c>
      <c r="C1647" s="710" t="s">
        <v>2399</v>
      </c>
      <c r="D1647" s="588"/>
      <c r="E1647" s="588"/>
      <c r="F1647" s="588"/>
    </row>
    <row r="1648" spans="2:6" x14ac:dyDescent="0.2">
      <c r="B1648" s="592">
        <v>0</v>
      </c>
      <c r="C1648" s="710" t="s">
        <v>500</v>
      </c>
      <c r="D1648" s="593"/>
      <c r="E1648" s="588"/>
      <c r="F1648" s="593"/>
    </row>
    <row r="1649" spans="2:6" x14ac:dyDescent="0.2">
      <c r="B1649" s="585"/>
      <c r="C1649" s="587" t="s">
        <v>2400</v>
      </c>
      <c r="D1649" s="709">
        <f>SUM(D1639:D1648)</f>
        <v>0</v>
      </c>
      <c r="E1649" s="591"/>
      <c r="F1649" s="709">
        <f>SUM(F1639:F1648)</f>
        <v>1189852.54</v>
      </c>
    </row>
    <row r="1650" spans="2:6" x14ac:dyDescent="0.2">
      <c r="B1650" s="585"/>
      <c r="C1650" s="585"/>
      <c r="D1650" s="701"/>
      <c r="E1650" s="588"/>
    </row>
    <row r="1651" spans="2:6" x14ac:dyDescent="0.2">
      <c r="B1651" s="1283" t="s">
        <v>2401</v>
      </c>
      <c r="C1651" s="1283"/>
      <c r="D1651" s="709"/>
      <c r="E1651" s="591"/>
      <c r="F1651" s="709"/>
    </row>
    <row r="1652" spans="2:6" x14ac:dyDescent="0.2">
      <c r="B1652" s="592">
        <v>1000</v>
      </c>
      <c r="C1652" s="710" t="s">
        <v>2402</v>
      </c>
      <c r="D1652" s="701"/>
      <c r="E1652" s="588"/>
    </row>
    <row r="1653" spans="2:6" x14ac:dyDescent="0.2">
      <c r="B1653" s="592">
        <v>2000</v>
      </c>
      <c r="C1653" s="710" t="s">
        <v>2403</v>
      </c>
      <c r="D1653" s="701"/>
      <c r="E1653" s="588"/>
    </row>
    <row r="1654" spans="2:6" x14ac:dyDescent="0.2">
      <c r="B1654" s="592">
        <v>3000</v>
      </c>
      <c r="C1654" s="710" t="s">
        <v>2404</v>
      </c>
      <c r="D1654" s="701"/>
      <c r="E1654" s="588"/>
    </row>
    <row r="1655" spans="2:6" x14ac:dyDescent="0.2">
      <c r="B1655" s="592">
        <v>4000</v>
      </c>
      <c r="C1655" s="710" t="s">
        <v>2399</v>
      </c>
      <c r="D1655" s="701"/>
      <c r="E1655" s="588"/>
      <c r="F1655" s="701">
        <v>27815364.460000001</v>
      </c>
    </row>
    <row r="1656" spans="2:6" x14ac:dyDescent="0.2">
      <c r="B1656" s="592">
        <v>5000</v>
      </c>
      <c r="C1656" s="710" t="s">
        <v>2405</v>
      </c>
      <c r="D1656" s="701"/>
      <c r="E1656" s="588"/>
    </row>
    <row r="1657" spans="2:6" x14ac:dyDescent="0.2">
      <c r="B1657" s="592">
        <v>6000</v>
      </c>
      <c r="C1657" s="710" t="s">
        <v>2406</v>
      </c>
      <c r="D1657" s="701"/>
      <c r="E1657" s="588"/>
      <c r="F1657" s="701">
        <v>9842901.6999999993</v>
      </c>
    </row>
    <row r="1658" spans="2:6" x14ac:dyDescent="0.2">
      <c r="B1658" s="592">
        <v>7000</v>
      </c>
      <c r="C1658" s="710" t="s">
        <v>2407</v>
      </c>
      <c r="D1658" s="701"/>
      <c r="E1658" s="588"/>
    </row>
    <row r="1659" spans="2:6" x14ac:dyDescent="0.2">
      <c r="B1659" s="592">
        <v>8000</v>
      </c>
      <c r="C1659" s="710" t="s">
        <v>2398</v>
      </c>
      <c r="D1659" s="701"/>
      <c r="E1659" s="588"/>
    </row>
    <row r="1660" spans="2:6" x14ac:dyDescent="0.2">
      <c r="B1660" s="592">
        <v>9000</v>
      </c>
      <c r="C1660" s="710" t="s">
        <v>2408</v>
      </c>
      <c r="D1660" s="593"/>
      <c r="E1660" s="588"/>
      <c r="F1660" s="593"/>
    </row>
    <row r="1661" spans="2:6" x14ac:dyDescent="0.2">
      <c r="B1661" s="589"/>
      <c r="C1661" s="587" t="s">
        <v>2409</v>
      </c>
      <c r="D1661" s="709">
        <f>SUM(D1652:D1660)</f>
        <v>0</v>
      </c>
      <c r="E1661" s="591"/>
      <c r="F1661" s="709">
        <f>SUM(F1652:F1660)</f>
        <v>37658266.159999996</v>
      </c>
    </row>
    <row r="1662" spans="2:6" x14ac:dyDescent="0.2">
      <c r="B1662" s="585"/>
      <c r="C1662" s="585"/>
      <c r="D1662" s="701"/>
      <c r="E1662" s="588"/>
    </row>
    <row r="1663" spans="2:6" x14ac:dyDescent="0.2">
      <c r="B1663" s="589"/>
      <c r="C1663" s="696" t="s">
        <v>2410</v>
      </c>
      <c r="D1663" s="594">
        <f>+D1636+D1649-D1661</f>
        <v>0</v>
      </c>
      <c r="E1663" s="591"/>
      <c r="F1663" s="594">
        <f>+F1636+F1649-F1661</f>
        <v>0</v>
      </c>
    </row>
    <row r="1665" spans="2:6" x14ac:dyDescent="0.2">
      <c r="B1665" s="1284" t="s">
        <v>2411</v>
      </c>
      <c r="C1665" s="1284"/>
      <c r="D1665" s="1284"/>
      <c r="E1665" s="1284"/>
      <c r="F1665" s="1284"/>
    </row>
    <row r="1666" spans="2:6" x14ac:dyDescent="0.2">
      <c r="B1666" s="708"/>
      <c r="C1666" s="585"/>
    </row>
    <row r="1667" spans="2:6" x14ac:dyDescent="0.2">
      <c r="B1667" s="708"/>
      <c r="C1667" s="708" t="s">
        <v>2412</v>
      </c>
      <c r="D1667" s="586"/>
      <c r="F1667" s="591"/>
    </row>
    <row r="1668" spans="2:6" x14ac:dyDescent="0.2">
      <c r="B1668" s="705" t="s">
        <v>5</v>
      </c>
      <c r="C1668" s="2" t="s">
        <v>6</v>
      </c>
      <c r="D1668" s="701"/>
      <c r="E1668" s="588"/>
    </row>
    <row r="1669" spans="2:6" x14ac:dyDescent="0.2">
      <c r="B1669" s="705" t="s">
        <v>9</v>
      </c>
      <c r="C1669" s="700" t="s">
        <v>10</v>
      </c>
      <c r="D1669" s="715"/>
    </row>
    <row r="1670" spans="2:6" x14ac:dyDescent="0.2">
      <c r="B1670" s="705" t="s">
        <v>13</v>
      </c>
      <c r="C1670" s="700" t="s">
        <v>14</v>
      </c>
      <c r="D1670" s="701"/>
    </row>
    <row r="1671" spans="2:6" x14ac:dyDescent="0.2">
      <c r="B1671" s="705" t="s">
        <v>27</v>
      </c>
      <c r="C1671" s="2" t="s">
        <v>28</v>
      </c>
      <c r="D1671" s="593"/>
      <c r="E1671" s="588"/>
      <c r="F1671" s="593"/>
    </row>
    <row r="1672" spans="2:6" x14ac:dyDescent="0.2">
      <c r="C1672" s="704" t="s">
        <v>2413</v>
      </c>
      <c r="D1672" s="595">
        <f>SUM(D1668:D1671)</f>
        <v>0</v>
      </c>
      <c r="E1672" s="595"/>
      <c r="F1672" s="595">
        <f>SUM(F1668:F1671)</f>
        <v>0</v>
      </c>
    </row>
    <row r="1673" spans="2:6" x14ac:dyDescent="0.2">
      <c r="B1673" s="705"/>
      <c r="C1673" s="704" t="s">
        <v>2414</v>
      </c>
    </row>
    <row r="1674" spans="2:6" x14ac:dyDescent="0.2">
      <c r="B1674" s="705" t="s">
        <v>7</v>
      </c>
      <c r="C1674" s="2" t="s">
        <v>8</v>
      </c>
      <c r="F1674" s="702"/>
    </row>
    <row r="1675" spans="2:6" x14ac:dyDescent="0.2">
      <c r="B1675" s="705" t="s">
        <v>11</v>
      </c>
      <c r="C1675" s="2" t="s">
        <v>12</v>
      </c>
      <c r="F1675" s="702"/>
    </row>
    <row r="1676" spans="2:6" x14ac:dyDescent="0.2">
      <c r="B1676" s="705" t="s">
        <v>15</v>
      </c>
      <c r="C1676" s="2" t="s">
        <v>16</v>
      </c>
    </row>
    <row r="1677" spans="2:6" x14ac:dyDescent="0.2">
      <c r="B1677" s="705" t="s">
        <v>592</v>
      </c>
      <c r="C1677" s="2" t="s">
        <v>23</v>
      </c>
    </row>
    <row r="1678" spans="2:6" ht="25.5" x14ac:dyDescent="0.2">
      <c r="B1678" s="707" t="s">
        <v>595</v>
      </c>
      <c r="C1678" s="706" t="s">
        <v>2415</v>
      </c>
    </row>
    <row r="1679" spans="2:6" x14ac:dyDescent="0.2">
      <c r="B1679" s="705" t="s">
        <v>598</v>
      </c>
      <c r="C1679" s="2" t="s">
        <v>2416</v>
      </c>
    </row>
    <row r="1680" spans="2:6" x14ac:dyDescent="0.2">
      <c r="B1680" s="705" t="s">
        <v>600</v>
      </c>
      <c r="C1680" s="2" t="s">
        <v>2417</v>
      </c>
      <c r="D1680" s="593"/>
      <c r="E1680" s="588"/>
      <c r="F1680" s="593"/>
    </row>
    <row r="1681" spans="1:6" x14ac:dyDescent="0.2">
      <c r="C1681" s="704" t="s">
        <v>2418</v>
      </c>
      <c r="D1681" s="591">
        <f>SUM(D1674:D1680)</f>
        <v>0</v>
      </c>
      <c r="E1681" s="591"/>
      <c r="F1681" s="591">
        <f>SUM(F1674:F1680)</f>
        <v>0</v>
      </c>
    </row>
    <row r="1683" spans="1:6" x14ac:dyDescent="0.2">
      <c r="C1683" s="703" t="s">
        <v>2419</v>
      </c>
      <c r="D1683" s="594">
        <f>+D1672-D1681</f>
        <v>0</v>
      </c>
      <c r="E1683" s="591"/>
      <c r="F1683" s="594">
        <f>+F1672-F1681</f>
        <v>0</v>
      </c>
    </row>
    <row r="1686" spans="1:6" x14ac:dyDescent="0.2">
      <c r="D1686" s="700"/>
      <c r="E1686" s="585"/>
      <c r="F1686" s="700"/>
    </row>
    <row r="1687" spans="1:6" x14ac:dyDescent="0.2">
      <c r="D1687" s="700"/>
      <c r="E1687" s="585"/>
      <c r="F1687" s="700"/>
    </row>
    <row r="1688" spans="1:6" x14ac:dyDescent="0.2">
      <c r="D1688" s="700"/>
      <c r="E1688" s="585"/>
      <c r="F1688" s="700"/>
    </row>
    <row r="1691" spans="1:6" hidden="1" x14ac:dyDescent="0.2"/>
    <row r="1692" spans="1:6" hidden="1" x14ac:dyDescent="0.2">
      <c r="A1692" s="1285" t="s">
        <v>7476</v>
      </c>
      <c r="B1692" s="1285"/>
      <c r="C1692" s="1285"/>
      <c r="D1692" s="1285"/>
      <c r="E1692" s="1285"/>
      <c r="F1692" s="1285"/>
    </row>
    <row r="1693" spans="1:6" hidden="1" x14ac:dyDescent="0.2">
      <c r="A1693" s="1285" t="s">
        <v>7478</v>
      </c>
      <c r="B1693" s="1285"/>
      <c r="C1693" s="1285"/>
      <c r="D1693" s="1285"/>
      <c r="E1693" s="1285"/>
      <c r="F1693" s="1285"/>
    </row>
    <row r="1694" spans="1:6" hidden="1" x14ac:dyDescent="0.2">
      <c r="A1694" s="1285" t="s">
        <v>8070</v>
      </c>
      <c r="B1694" s="1285"/>
      <c r="C1694" s="1285"/>
      <c r="D1694" s="1285"/>
      <c r="E1694" s="1285"/>
      <c r="F1694" s="1285"/>
    </row>
    <row r="1695" spans="1:6" hidden="1" x14ac:dyDescent="0.2">
      <c r="A1695" s="1285" t="s">
        <v>8940</v>
      </c>
      <c r="B1695" s="1285"/>
      <c r="C1695" s="1285"/>
      <c r="D1695" s="1285"/>
      <c r="E1695" s="1285"/>
      <c r="F1695" s="1285"/>
    </row>
    <row r="1696" spans="1:6" hidden="1" x14ac:dyDescent="0.2">
      <c r="D1696" s="701"/>
      <c r="E1696" s="588"/>
      <c r="F1696" s="714"/>
    </row>
    <row r="1697" spans="2:6" hidden="1" x14ac:dyDescent="0.2">
      <c r="D1697" s="701"/>
      <c r="E1697" s="588"/>
      <c r="F1697" s="714"/>
    </row>
    <row r="1698" spans="2:6" hidden="1" x14ac:dyDescent="0.2">
      <c r="C1698" s="708"/>
      <c r="D1698" s="713" t="s">
        <v>2392</v>
      </c>
      <c r="E1698" s="590"/>
      <c r="F1698" s="713" t="s">
        <v>2393</v>
      </c>
    </row>
    <row r="1699" spans="2:6" hidden="1" x14ac:dyDescent="0.2">
      <c r="B1699" s="712"/>
      <c r="C1699" s="2"/>
      <c r="D1699" s="701"/>
      <c r="E1699" s="588"/>
    </row>
    <row r="1700" spans="2:6" hidden="1" x14ac:dyDescent="0.2">
      <c r="C1700" s="711" t="s">
        <v>2394</v>
      </c>
      <c r="D1700" s="594">
        <v>0</v>
      </c>
      <c r="E1700" s="591"/>
      <c r="F1700" s="594">
        <v>0</v>
      </c>
    </row>
    <row r="1701" spans="2:6" hidden="1" x14ac:dyDescent="0.2">
      <c r="C1701" s="711"/>
      <c r="D1701" s="709"/>
      <c r="E1701" s="591"/>
      <c r="F1701" s="709"/>
    </row>
    <row r="1702" spans="2:6" hidden="1" x14ac:dyDescent="0.2">
      <c r="B1702" s="1286" t="s">
        <v>2395</v>
      </c>
      <c r="C1702" s="1286"/>
      <c r="D1702" s="588"/>
      <c r="E1702" s="588"/>
      <c r="F1702" s="588"/>
    </row>
    <row r="1703" spans="2:6" hidden="1" x14ac:dyDescent="0.2">
      <c r="B1703" s="592">
        <v>1</v>
      </c>
      <c r="C1703" s="710" t="s">
        <v>107</v>
      </c>
      <c r="D1703" s="588"/>
      <c r="E1703" s="588"/>
      <c r="F1703" s="588"/>
    </row>
    <row r="1704" spans="2:6" hidden="1" x14ac:dyDescent="0.2">
      <c r="B1704" s="592">
        <v>2</v>
      </c>
      <c r="C1704" s="710" t="s">
        <v>109</v>
      </c>
      <c r="D1704" s="588"/>
      <c r="E1704" s="588"/>
      <c r="F1704" s="588"/>
    </row>
    <row r="1705" spans="2:6" hidden="1" x14ac:dyDescent="0.2">
      <c r="B1705" s="592">
        <v>3</v>
      </c>
      <c r="C1705" s="710" t="s">
        <v>2396</v>
      </c>
      <c r="D1705" s="588"/>
      <c r="E1705" s="588"/>
      <c r="F1705" s="588"/>
    </row>
    <row r="1706" spans="2:6" hidden="1" x14ac:dyDescent="0.2">
      <c r="B1706" s="592">
        <v>4</v>
      </c>
      <c r="C1706" s="710" t="s">
        <v>113</v>
      </c>
      <c r="D1706" s="588"/>
      <c r="E1706" s="588"/>
      <c r="F1706" s="588"/>
    </row>
    <row r="1707" spans="2:6" hidden="1" x14ac:dyDescent="0.2">
      <c r="B1707" s="592">
        <v>5</v>
      </c>
      <c r="C1707" s="710" t="s">
        <v>228</v>
      </c>
      <c r="D1707" s="588"/>
      <c r="E1707" s="588"/>
      <c r="F1707" s="588"/>
    </row>
    <row r="1708" spans="2:6" hidden="1" x14ac:dyDescent="0.2">
      <c r="B1708" s="592">
        <v>6</v>
      </c>
      <c r="C1708" s="710" t="s">
        <v>231</v>
      </c>
      <c r="D1708" s="588"/>
      <c r="E1708" s="588"/>
      <c r="F1708" s="588"/>
    </row>
    <row r="1709" spans="2:6" hidden="1" x14ac:dyDescent="0.2">
      <c r="B1709" s="592">
        <v>7</v>
      </c>
      <c r="C1709" s="710" t="s">
        <v>2397</v>
      </c>
      <c r="D1709" s="350"/>
      <c r="E1709" s="350"/>
      <c r="F1709" s="350"/>
    </row>
    <row r="1710" spans="2:6" hidden="1" x14ac:dyDescent="0.2">
      <c r="B1710" s="592">
        <v>8</v>
      </c>
      <c r="C1710" s="710" t="s">
        <v>2398</v>
      </c>
      <c r="D1710" s="588"/>
      <c r="E1710" s="588"/>
      <c r="F1710" s="588"/>
    </row>
    <row r="1711" spans="2:6" hidden="1" x14ac:dyDescent="0.2">
      <c r="B1711" s="592">
        <v>9</v>
      </c>
      <c r="C1711" s="710" t="s">
        <v>2399</v>
      </c>
      <c r="D1711" s="588"/>
      <c r="E1711" s="588"/>
      <c r="F1711" s="588"/>
    </row>
    <row r="1712" spans="2:6" hidden="1" x14ac:dyDescent="0.2">
      <c r="B1712" s="592">
        <v>0</v>
      </c>
      <c r="C1712" s="710" t="s">
        <v>500</v>
      </c>
      <c r="D1712" s="593"/>
      <c r="E1712" s="588"/>
      <c r="F1712" s="593"/>
    </row>
    <row r="1713" spans="2:6" hidden="1" x14ac:dyDescent="0.2">
      <c r="B1713" s="585"/>
      <c r="C1713" s="587" t="s">
        <v>2400</v>
      </c>
      <c r="D1713" s="709">
        <f>SUM(D1703:D1712)</f>
        <v>0</v>
      </c>
      <c r="E1713" s="591"/>
      <c r="F1713" s="709">
        <f>SUM(F1703:F1712)</f>
        <v>0</v>
      </c>
    </row>
    <row r="1714" spans="2:6" hidden="1" x14ac:dyDescent="0.2">
      <c r="B1714" s="585"/>
      <c r="C1714" s="585"/>
      <c r="D1714" s="701"/>
      <c r="E1714" s="588"/>
    </row>
    <row r="1715" spans="2:6" hidden="1" x14ac:dyDescent="0.2">
      <c r="B1715" s="1283" t="s">
        <v>2401</v>
      </c>
      <c r="C1715" s="1283"/>
      <c r="D1715" s="709"/>
      <c r="E1715" s="591"/>
      <c r="F1715" s="709"/>
    </row>
    <row r="1716" spans="2:6" hidden="1" x14ac:dyDescent="0.2">
      <c r="B1716" s="592">
        <v>1000</v>
      </c>
      <c r="C1716" s="710" t="s">
        <v>2402</v>
      </c>
      <c r="D1716" s="701"/>
      <c r="E1716" s="588"/>
    </row>
    <row r="1717" spans="2:6" hidden="1" x14ac:dyDescent="0.2">
      <c r="B1717" s="592">
        <v>2000</v>
      </c>
      <c r="C1717" s="710" t="s">
        <v>2403</v>
      </c>
      <c r="D1717" s="701"/>
      <c r="E1717" s="588"/>
    </row>
    <row r="1718" spans="2:6" hidden="1" x14ac:dyDescent="0.2">
      <c r="B1718" s="592">
        <v>3000</v>
      </c>
      <c r="C1718" s="710" t="s">
        <v>2404</v>
      </c>
      <c r="D1718" s="701"/>
      <c r="E1718" s="588"/>
    </row>
    <row r="1719" spans="2:6" hidden="1" x14ac:dyDescent="0.2">
      <c r="B1719" s="592">
        <v>4000</v>
      </c>
      <c r="C1719" s="710" t="s">
        <v>2399</v>
      </c>
      <c r="D1719" s="701"/>
      <c r="E1719" s="588"/>
    </row>
    <row r="1720" spans="2:6" hidden="1" x14ac:dyDescent="0.2">
      <c r="B1720" s="592">
        <v>5000</v>
      </c>
      <c r="C1720" s="710" t="s">
        <v>2405</v>
      </c>
      <c r="D1720" s="701"/>
      <c r="E1720" s="588"/>
    </row>
    <row r="1721" spans="2:6" hidden="1" x14ac:dyDescent="0.2">
      <c r="B1721" s="592">
        <v>6000</v>
      </c>
      <c r="C1721" s="710" t="s">
        <v>2406</v>
      </c>
      <c r="D1721" s="701"/>
      <c r="E1721" s="588"/>
    </row>
    <row r="1722" spans="2:6" hidden="1" x14ac:dyDescent="0.2">
      <c r="B1722" s="592">
        <v>7000</v>
      </c>
      <c r="C1722" s="710" t="s">
        <v>2407</v>
      </c>
      <c r="D1722" s="701"/>
      <c r="E1722" s="588"/>
    </row>
    <row r="1723" spans="2:6" hidden="1" x14ac:dyDescent="0.2">
      <c r="B1723" s="592">
        <v>8000</v>
      </c>
      <c r="C1723" s="710" t="s">
        <v>2398</v>
      </c>
      <c r="D1723" s="701"/>
      <c r="E1723" s="588"/>
    </row>
    <row r="1724" spans="2:6" hidden="1" x14ac:dyDescent="0.2">
      <c r="B1724" s="592">
        <v>9000</v>
      </c>
      <c r="C1724" s="710" t="s">
        <v>2408</v>
      </c>
      <c r="D1724" s="593"/>
      <c r="E1724" s="588"/>
      <c r="F1724" s="593"/>
    </row>
    <row r="1725" spans="2:6" hidden="1" x14ac:dyDescent="0.2">
      <c r="B1725" s="589"/>
      <c r="C1725" s="587" t="s">
        <v>2409</v>
      </c>
      <c r="D1725" s="709">
        <f>SUM(D1716:D1724)</f>
        <v>0</v>
      </c>
      <c r="E1725" s="591"/>
      <c r="F1725" s="709">
        <f>SUM(F1716:F1724)</f>
        <v>0</v>
      </c>
    </row>
    <row r="1726" spans="2:6" hidden="1" x14ac:dyDescent="0.2">
      <c r="B1726" s="585"/>
      <c r="C1726" s="585"/>
      <c r="D1726" s="701"/>
      <c r="E1726" s="588"/>
    </row>
    <row r="1727" spans="2:6" hidden="1" x14ac:dyDescent="0.2">
      <c r="B1727" s="589"/>
      <c r="C1727" s="696" t="s">
        <v>2410</v>
      </c>
      <c r="D1727" s="594">
        <f>+D1700+D1713-D1725</f>
        <v>0</v>
      </c>
      <c r="E1727" s="591"/>
      <c r="F1727" s="594">
        <f>+F1700+F1713-F1725</f>
        <v>0</v>
      </c>
    </row>
    <row r="1728" spans="2:6" hidden="1" x14ac:dyDescent="0.2"/>
    <row r="1729" spans="2:6" hidden="1" x14ac:dyDescent="0.2">
      <c r="B1729" s="1284" t="s">
        <v>2411</v>
      </c>
      <c r="C1729" s="1284"/>
      <c r="D1729" s="1284"/>
      <c r="E1729" s="1284"/>
      <c r="F1729" s="1284"/>
    </row>
    <row r="1730" spans="2:6" hidden="1" x14ac:dyDescent="0.2">
      <c r="B1730" s="708"/>
      <c r="C1730" s="585"/>
    </row>
    <row r="1731" spans="2:6" hidden="1" x14ac:dyDescent="0.2">
      <c r="B1731" s="708"/>
      <c r="C1731" s="708" t="s">
        <v>2412</v>
      </c>
      <c r="D1731" s="586"/>
      <c r="F1731" s="591"/>
    </row>
    <row r="1732" spans="2:6" hidden="1" x14ac:dyDescent="0.2">
      <c r="B1732" s="705" t="s">
        <v>5</v>
      </c>
      <c r="C1732" s="2" t="s">
        <v>6</v>
      </c>
      <c r="D1732" s="701"/>
      <c r="E1732" s="588"/>
    </row>
    <row r="1733" spans="2:6" hidden="1" x14ac:dyDescent="0.2">
      <c r="B1733" s="705" t="s">
        <v>9</v>
      </c>
      <c r="C1733" s="700" t="s">
        <v>10</v>
      </c>
      <c r="D1733" s="715"/>
    </row>
    <row r="1734" spans="2:6" hidden="1" x14ac:dyDescent="0.2">
      <c r="B1734" s="705" t="s">
        <v>13</v>
      </c>
      <c r="C1734" s="700" t="s">
        <v>14</v>
      </c>
      <c r="D1734" s="701"/>
    </row>
    <row r="1735" spans="2:6" hidden="1" x14ac:dyDescent="0.2">
      <c r="B1735" s="705" t="s">
        <v>27</v>
      </c>
      <c r="C1735" s="2" t="s">
        <v>28</v>
      </c>
      <c r="D1735" s="593"/>
      <c r="E1735" s="588"/>
      <c r="F1735" s="593"/>
    </row>
    <row r="1736" spans="2:6" hidden="1" x14ac:dyDescent="0.2">
      <c r="C1736" s="704" t="s">
        <v>2413</v>
      </c>
      <c r="D1736" s="595">
        <f>SUM(D1732:D1735)</f>
        <v>0</v>
      </c>
      <c r="E1736" s="595"/>
      <c r="F1736" s="595">
        <f>SUM(F1732:F1735)</f>
        <v>0</v>
      </c>
    </row>
    <row r="1737" spans="2:6" hidden="1" x14ac:dyDescent="0.2">
      <c r="B1737" s="705"/>
      <c r="C1737" s="704" t="s">
        <v>2414</v>
      </c>
    </row>
    <row r="1738" spans="2:6" hidden="1" x14ac:dyDescent="0.2">
      <c r="B1738" s="705" t="s">
        <v>7</v>
      </c>
      <c r="C1738" s="2" t="s">
        <v>8</v>
      </c>
      <c r="F1738" s="702"/>
    </row>
    <row r="1739" spans="2:6" hidden="1" x14ac:dyDescent="0.2">
      <c r="B1739" s="705" t="s">
        <v>11</v>
      </c>
      <c r="C1739" s="2" t="s">
        <v>12</v>
      </c>
      <c r="F1739" s="702"/>
    </row>
    <row r="1740" spans="2:6" hidden="1" x14ac:dyDescent="0.2">
      <c r="B1740" s="705" t="s">
        <v>15</v>
      </c>
      <c r="C1740" s="2" t="s">
        <v>16</v>
      </c>
    </row>
    <row r="1741" spans="2:6" hidden="1" x14ac:dyDescent="0.2">
      <c r="B1741" s="705" t="s">
        <v>592</v>
      </c>
      <c r="C1741" s="2" t="s">
        <v>23</v>
      </c>
    </row>
    <row r="1742" spans="2:6" ht="25.5" hidden="1" x14ac:dyDescent="0.2">
      <c r="B1742" s="707" t="s">
        <v>595</v>
      </c>
      <c r="C1742" s="706" t="s">
        <v>2415</v>
      </c>
    </row>
    <row r="1743" spans="2:6" hidden="1" x14ac:dyDescent="0.2">
      <c r="B1743" s="705" t="s">
        <v>598</v>
      </c>
      <c r="C1743" s="2" t="s">
        <v>2416</v>
      </c>
    </row>
    <row r="1744" spans="2:6" hidden="1" x14ac:dyDescent="0.2">
      <c r="B1744" s="705" t="s">
        <v>600</v>
      </c>
      <c r="C1744" s="2" t="s">
        <v>2417</v>
      </c>
      <c r="D1744" s="593"/>
      <c r="E1744" s="588"/>
      <c r="F1744" s="593"/>
    </row>
    <row r="1745" spans="1:6" hidden="1" x14ac:dyDescent="0.2">
      <c r="C1745" s="704" t="s">
        <v>2418</v>
      </c>
      <c r="D1745" s="591">
        <f>SUM(D1738:D1744)</f>
        <v>0</v>
      </c>
      <c r="E1745" s="591"/>
      <c r="F1745" s="591">
        <f>SUM(F1738:F1744)</f>
        <v>0</v>
      </c>
    </row>
    <row r="1746" spans="1:6" hidden="1" x14ac:dyDescent="0.2"/>
    <row r="1747" spans="1:6" hidden="1" x14ac:dyDescent="0.2">
      <c r="C1747" s="703" t="s">
        <v>2419</v>
      </c>
      <c r="D1747" s="594">
        <f>+D1736-D1745</f>
        <v>0</v>
      </c>
      <c r="E1747" s="591"/>
      <c r="F1747" s="594">
        <f>+F1736-F1745</f>
        <v>0</v>
      </c>
    </row>
    <row r="1748" spans="1:6" hidden="1" x14ac:dyDescent="0.2"/>
    <row r="1749" spans="1:6" hidden="1" x14ac:dyDescent="0.2"/>
    <row r="1750" spans="1:6" hidden="1" x14ac:dyDescent="0.2">
      <c r="D1750" s="700"/>
      <c r="E1750" s="585"/>
      <c r="F1750" s="700"/>
    </row>
    <row r="1751" spans="1:6" hidden="1" x14ac:dyDescent="0.2">
      <c r="D1751" s="700"/>
      <c r="E1751" s="585"/>
      <c r="F1751" s="700"/>
    </row>
    <row r="1752" spans="1:6" hidden="1" x14ac:dyDescent="0.2">
      <c r="D1752" s="700"/>
      <c r="E1752" s="585"/>
      <c r="F1752" s="700"/>
    </row>
    <row r="1753" spans="1:6" hidden="1" x14ac:dyDescent="0.2"/>
    <row r="1754" spans="1:6" hidden="1" x14ac:dyDescent="0.2"/>
    <row r="1755" spans="1:6" hidden="1" x14ac:dyDescent="0.2"/>
    <row r="1757" spans="1:6" x14ac:dyDescent="0.2">
      <c r="A1757" s="1285" t="s">
        <v>7476</v>
      </c>
      <c r="B1757" s="1285"/>
      <c r="C1757" s="1285"/>
      <c r="D1757" s="1285"/>
      <c r="E1757" s="1285"/>
      <c r="F1757" s="1285"/>
    </row>
    <row r="1758" spans="1:6" x14ac:dyDescent="0.2">
      <c r="A1758" s="1285" t="s">
        <v>7478</v>
      </c>
      <c r="B1758" s="1285"/>
      <c r="C1758" s="1285"/>
      <c r="D1758" s="1285"/>
      <c r="E1758" s="1285"/>
      <c r="F1758" s="1285"/>
    </row>
    <row r="1759" spans="1:6" x14ac:dyDescent="0.2">
      <c r="A1759" s="1285" t="s">
        <v>8071</v>
      </c>
      <c r="B1759" s="1285"/>
      <c r="C1759" s="1285"/>
      <c r="D1759" s="1285"/>
      <c r="E1759" s="1285"/>
      <c r="F1759" s="1285"/>
    </row>
    <row r="1760" spans="1:6" x14ac:dyDescent="0.2">
      <c r="A1760" s="1285" t="s">
        <v>8939</v>
      </c>
      <c r="B1760" s="1285"/>
      <c r="C1760" s="1285"/>
      <c r="D1760" s="1285"/>
      <c r="E1760" s="1285"/>
      <c r="F1760" s="1285"/>
    </row>
    <row r="1761" spans="2:6" x14ac:dyDescent="0.2">
      <c r="D1761" s="701"/>
      <c r="E1761" s="588"/>
      <c r="F1761" s="714"/>
    </row>
    <row r="1762" spans="2:6" x14ac:dyDescent="0.2">
      <c r="D1762" s="701"/>
      <c r="E1762" s="588"/>
      <c r="F1762" s="714"/>
    </row>
    <row r="1763" spans="2:6" x14ac:dyDescent="0.2">
      <c r="C1763" s="708"/>
      <c r="D1763" s="713" t="s">
        <v>2392</v>
      </c>
      <c r="E1763" s="590"/>
      <c r="F1763" s="713" t="s">
        <v>2393</v>
      </c>
    </row>
    <row r="1764" spans="2:6" x14ac:dyDescent="0.2">
      <c r="B1764" s="712"/>
      <c r="C1764" s="2"/>
      <c r="D1764" s="701"/>
      <c r="E1764" s="588"/>
    </row>
    <row r="1765" spans="2:6" x14ac:dyDescent="0.2">
      <c r="C1765" s="711" t="s">
        <v>2394</v>
      </c>
      <c r="D1765" s="594">
        <v>0</v>
      </c>
      <c r="E1765" s="591"/>
      <c r="F1765" s="594">
        <v>6852762.8399999999</v>
      </c>
    </row>
    <row r="1766" spans="2:6" x14ac:dyDescent="0.2">
      <c r="C1766" s="711"/>
      <c r="D1766" s="709"/>
      <c r="E1766" s="591"/>
      <c r="F1766" s="709"/>
    </row>
    <row r="1767" spans="2:6" x14ac:dyDescent="0.2">
      <c r="B1767" s="1286" t="s">
        <v>2395</v>
      </c>
      <c r="C1767" s="1286"/>
      <c r="D1767" s="588"/>
      <c r="E1767" s="588"/>
      <c r="F1767" s="588"/>
    </row>
    <row r="1768" spans="2:6" x14ac:dyDescent="0.2">
      <c r="B1768" s="592">
        <v>1</v>
      </c>
      <c r="C1768" s="710" t="s">
        <v>107</v>
      </c>
      <c r="D1768" s="588"/>
      <c r="E1768" s="588"/>
      <c r="F1768" s="588"/>
    </row>
    <row r="1769" spans="2:6" x14ac:dyDescent="0.2">
      <c r="B1769" s="592">
        <v>2</v>
      </c>
      <c r="C1769" s="710" t="s">
        <v>109</v>
      </c>
      <c r="D1769" s="588"/>
      <c r="E1769" s="588"/>
      <c r="F1769" s="588"/>
    </row>
    <row r="1770" spans="2:6" x14ac:dyDescent="0.2">
      <c r="B1770" s="592">
        <v>3</v>
      </c>
      <c r="C1770" s="710" t="s">
        <v>2396</v>
      </c>
      <c r="D1770" s="588"/>
      <c r="E1770" s="588"/>
      <c r="F1770" s="588"/>
    </row>
    <row r="1771" spans="2:6" x14ac:dyDescent="0.2">
      <c r="B1771" s="592">
        <v>4</v>
      </c>
      <c r="C1771" s="710" t="s">
        <v>113</v>
      </c>
      <c r="D1771" s="588"/>
      <c r="E1771" s="588"/>
      <c r="F1771" s="588"/>
    </row>
    <row r="1772" spans="2:6" x14ac:dyDescent="0.2">
      <c r="B1772" s="592">
        <v>5</v>
      </c>
      <c r="C1772" s="710" t="s">
        <v>228</v>
      </c>
      <c r="D1772" s="588"/>
      <c r="E1772" s="588"/>
      <c r="F1772" s="588">
        <v>91148.57</v>
      </c>
    </row>
    <row r="1773" spans="2:6" x14ac:dyDescent="0.2">
      <c r="B1773" s="592">
        <v>6</v>
      </c>
      <c r="C1773" s="710" t="s">
        <v>231</v>
      </c>
      <c r="D1773" s="588"/>
      <c r="E1773" s="588"/>
      <c r="F1773" s="588"/>
    </row>
    <row r="1774" spans="2:6" x14ac:dyDescent="0.2">
      <c r="B1774" s="592">
        <v>7</v>
      </c>
      <c r="C1774" s="710" t="s">
        <v>2397</v>
      </c>
      <c r="D1774" s="350"/>
      <c r="E1774" s="350"/>
      <c r="F1774" s="350"/>
    </row>
    <row r="1775" spans="2:6" x14ac:dyDescent="0.2">
      <c r="B1775" s="592">
        <v>8</v>
      </c>
      <c r="C1775" s="710" t="s">
        <v>2398</v>
      </c>
      <c r="D1775" s="588"/>
      <c r="E1775" s="588"/>
      <c r="F1775" s="588">
        <v>660989.96</v>
      </c>
    </row>
    <row r="1776" spans="2:6" x14ac:dyDescent="0.2">
      <c r="B1776" s="592">
        <v>9</v>
      </c>
      <c r="C1776" s="710" t="s">
        <v>2399</v>
      </c>
      <c r="D1776" s="588"/>
      <c r="E1776" s="588"/>
      <c r="F1776" s="588"/>
    </row>
    <row r="1777" spans="2:6" x14ac:dyDescent="0.2">
      <c r="B1777" s="592">
        <v>0</v>
      </c>
      <c r="C1777" s="710" t="s">
        <v>500</v>
      </c>
      <c r="D1777" s="593"/>
      <c r="E1777" s="588"/>
      <c r="F1777" s="593"/>
    </row>
    <row r="1778" spans="2:6" x14ac:dyDescent="0.2">
      <c r="B1778" s="585"/>
      <c r="C1778" s="587" t="s">
        <v>2400</v>
      </c>
      <c r="D1778" s="709">
        <f>SUM(D1768:D1777)</f>
        <v>0</v>
      </c>
      <c r="E1778" s="591"/>
      <c r="F1778" s="709">
        <f>SUM(F1768:F1777)</f>
        <v>752138.53</v>
      </c>
    </row>
    <row r="1779" spans="2:6" x14ac:dyDescent="0.2">
      <c r="B1779" s="585"/>
      <c r="C1779" s="585"/>
      <c r="D1779" s="701"/>
      <c r="E1779" s="588"/>
    </row>
    <row r="1780" spans="2:6" x14ac:dyDescent="0.2">
      <c r="B1780" s="1283" t="s">
        <v>2401</v>
      </c>
      <c r="C1780" s="1283"/>
      <c r="D1780" s="709"/>
      <c r="E1780" s="591"/>
      <c r="F1780" s="709"/>
    </row>
    <row r="1781" spans="2:6" x14ac:dyDescent="0.2">
      <c r="B1781" s="592">
        <v>1000</v>
      </c>
      <c r="C1781" s="710" t="s">
        <v>2402</v>
      </c>
      <c r="D1781" s="701"/>
      <c r="E1781" s="588"/>
    </row>
    <row r="1782" spans="2:6" x14ac:dyDescent="0.2">
      <c r="B1782" s="592">
        <v>2000</v>
      </c>
      <c r="C1782" s="710" t="s">
        <v>2403</v>
      </c>
      <c r="D1782" s="701"/>
      <c r="E1782" s="588"/>
    </row>
    <row r="1783" spans="2:6" x14ac:dyDescent="0.2">
      <c r="B1783" s="592">
        <v>3000</v>
      </c>
      <c r="C1783" s="710" t="s">
        <v>2404</v>
      </c>
      <c r="D1783" s="701"/>
      <c r="E1783" s="588"/>
    </row>
    <row r="1784" spans="2:6" x14ac:dyDescent="0.2">
      <c r="B1784" s="592">
        <v>4000</v>
      </c>
      <c r="C1784" s="710" t="s">
        <v>2399</v>
      </c>
      <c r="D1784" s="701"/>
      <c r="E1784" s="588"/>
      <c r="F1784" s="701">
        <v>330453.78000000003</v>
      </c>
    </row>
    <row r="1785" spans="2:6" x14ac:dyDescent="0.2">
      <c r="B1785" s="592">
        <v>5000</v>
      </c>
      <c r="C1785" s="710" t="s">
        <v>2405</v>
      </c>
      <c r="D1785" s="701"/>
      <c r="E1785" s="588"/>
    </row>
    <row r="1786" spans="2:6" x14ac:dyDescent="0.2">
      <c r="B1786" s="592">
        <v>6000</v>
      </c>
      <c r="C1786" s="710" t="s">
        <v>2406</v>
      </c>
      <c r="D1786" s="701"/>
      <c r="E1786" s="588"/>
      <c r="F1786" s="701">
        <v>7274447.5899999999</v>
      </c>
    </row>
    <row r="1787" spans="2:6" x14ac:dyDescent="0.2">
      <c r="B1787" s="592">
        <v>7000</v>
      </c>
      <c r="C1787" s="710" t="s">
        <v>2407</v>
      </c>
      <c r="D1787" s="701"/>
      <c r="E1787" s="588"/>
    </row>
    <row r="1788" spans="2:6" x14ac:dyDescent="0.2">
      <c r="B1788" s="592">
        <v>8000</v>
      </c>
      <c r="C1788" s="710" t="s">
        <v>2398</v>
      </c>
      <c r="D1788" s="701"/>
      <c r="E1788" s="588"/>
    </row>
    <row r="1789" spans="2:6" x14ac:dyDescent="0.2">
      <c r="B1789" s="592">
        <v>9000</v>
      </c>
      <c r="C1789" s="710" t="s">
        <v>2408</v>
      </c>
      <c r="D1789" s="593"/>
      <c r="E1789" s="588"/>
      <c r="F1789" s="593"/>
    </row>
    <row r="1790" spans="2:6" x14ac:dyDescent="0.2">
      <c r="B1790" s="589"/>
      <c r="C1790" s="587" t="s">
        <v>2409</v>
      </c>
      <c r="D1790" s="709">
        <f>SUM(D1781:D1789)</f>
        <v>0</v>
      </c>
      <c r="E1790" s="591"/>
      <c r="F1790" s="709">
        <f>SUM(F1781:F1789)</f>
        <v>7604901.3700000001</v>
      </c>
    </row>
    <row r="1791" spans="2:6" x14ac:dyDescent="0.2">
      <c r="B1791" s="585"/>
      <c r="C1791" s="585"/>
      <c r="D1791" s="701"/>
      <c r="E1791" s="588"/>
    </row>
    <row r="1792" spans="2:6" x14ac:dyDescent="0.2">
      <c r="B1792" s="589"/>
      <c r="C1792" s="696" t="s">
        <v>2410</v>
      </c>
      <c r="D1792" s="594">
        <f>+D1765+D1778-D1790</f>
        <v>0</v>
      </c>
      <c r="E1792" s="591"/>
      <c r="F1792" s="594">
        <f>+F1765+F1778-F1790</f>
        <v>0</v>
      </c>
    </row>
    <row r="1794" spans="2:6" x14ac:dyDescent="0.2">
      <c r="B1794" s="1284" t="s">
        <v>2411</v>
      </c>
      <c r="C1794" s="1284"/>
      <c r="D1794" s="1284"/>
      <c r="E1794" s="1284"/>
      <c r="F1794" s="1284"/>
    </row>
    <row r="1795" spans="2:6" x14ac:dyDescent="0.2">
      <c r="B1795" s="708"/>
      <c r="C1795" s="585"/>
    </row>
    <row r="1796" spans="2:6" x14ac:dyDescent="0.2">
      <c r="B1796" s="708"/>
      <c r="C1796" s="708" t="s">
        <v>2412</v>
      </c>
      <c r="D1796" s="586"/>
      <c r="F1796" s="591"/>
    </row>
    <row r="1797" spans="2:6" x14ac:dyDescent="0.2">
      <c r="B1797" s="705" t="s">
        <v>5</v>
      </c>
      <c r="C1797" s="2" t="s">
        <v>6</v>
      </c>
      <c r="D1797" s="701">
        <v>0</v>
      </c>
      <c r="E1797" s="588"/>
      <c r="F1797" s="701">
        <v>0</v>
      </c>
    </row>
    <row r="1798" spans="2:6" x14ac:dyDescent="0.2">
      <c r="B1798" s="705" t="s">
        <v>9</v>
      </c>
      <c r="C1798" s="700" t="s">
        <v>10</v>
      </c>
      <c r="D1798" s="715"/>
    </row>
    <row r="1799" spans="2:6" x14ac:dyDescent="0.2">
      <c r="B1799" s="705" t="s">
        <v>13</v>
      </c>
      <c r="C1799" s="700" t="s">
        <v>14</v>
      </c>
      <c r="D1799" s="701"/>
    </row>
    <row r="1800" spans="2:6" x14ac:dyDescent="0.2">
      <c r="B1800" s="705" t="s">
        <v>27</v>
      </c>
      <c r="C1800" s="2" t="s">
        <v>28</v>
      </c>
      <c r="D1800" s="593"/>
      <c r="E1800" s="588"/>
      <c r="F1800" s="593"/>
    </row>
    <row r="1801" spans="2:6" x14ac:dyDescent="0.2">
      <c r="C1801" s="704" t="s">
        <v>2413</v>
      </c>
      <c r="D1801" s="595">
        <f>SUM(D1797:D1800)</f>
        <v>0</v>
      </c>
      <c r="E1801" s="595"/>
      <c r="F1801" s="595">
        <f>SUM(F1797:F1800)</f>
        <v>0</v>
      </c>
    </row>
    <row r="1802" spans="2:6" x14ac:dyDescent="0.2">
      <c r="B1802" s="705"/>
      <c r="C1802" s="704" t="s">
        <v>2414</v>
      </c>
    </row>
    <row r="1803" spans="2:6" x14ac:dyDescent="0.2">
      <c r="B1803" s="705" t="s">
        <v>7</v>
      </c>
      <c r="C1803" s="2" t="s">
        <v>8</v>
      </c>
      <c r="F1803" s="702"/>
    </row>
    <row r="1804" spans="2:6" x14ac:dyDescent="0.2">
      <c r="B1804" s="705" t="s">
        <v>11</v>
      </c>
      <c r="C1804" s="2" t="s">
        <v>12</v>
      </c>
      <c r="F1804" s="702"/>
    </row>
    <row r="1805" spans="2:6" x14ac:dyDescent="0.2">
      <c r="B1805" s="705" t="s">
        <v>15</v>
      </c>
      <c r="C1805" s="2" t="s">
        <v>16</v>
      </c>
    </row>
    <row r="1806" spans="2:6" x14ac:dyDescent="0.2">
      <c r="B1806" s="705" t="s">
        <v>592</v>
      </c>
      <c r="C1806" s="2" t="s">
        <v>23</v>
      </c>
    </row>
    <row r="1807" spans="2:6" ht="25.5" x14ac:dyDescent="0.2">
      <c r="B1807" s="707" t="s">
        <v>595</v>
      </c>
      <c r="C1807" s="706" t="s">
        <v>2415</v>
      </c>
    </row>
    <row r="1808" spans="2:6" x14ac:dyDescent="0.2">
      <c r="B1808" s="705" t="s">
        <v>598</v>
      </c>
      <c r="C1808" s="2" t="s">
        <v>2416</v>
      </c>
    </row>
    <row r="1809" spans="1:6" x14ac:dyDescent="0.2">
      <c r="B1809" s="705" t="s">
        <v>600</v>
      </c>
      <c r="C1809" s="2" t="s">
        <v>2417</v>
      </c>
      <c r="D1809" s="593"/>
      <c r="E1809" s="588"/>
      <c r="F1809" s="593"/>
    </row>
    <row r="1810" spans="1:6" x14ac:dyDescent="0.2">
      <c r="C1810" s="704" t="s">
        <v>2418</v>
      </c>
      <c r="D1810" s="591">
        <f>SUM(D1803:D1809)</f>
        <v>0</v>
      </c>
      <c r="E1810" s="591"/>
      <c r="F1810" s="591">
        <f>SUM(F1803:F1809)</f>
        <v>0</v>
      </c>
    </row>
    <row r="1812" spans="1:6" x14ac:dyDescent="0.2">
      <c r="C1812" s="703" t="s">
        <v>2419</v>
      </c>
      <c r="D1812" s="594">
        <f>+D1801-D1810</f>
        <v>0</v>
      </c>
      <c r="E1812" s="591"/>
      <c r="F1812" s="594">
        <f>+F1801-F1810</f>
        <v>0</v>
      </c>
    </row>
    <row r="1815" spans="1:6" x14ac:dyDescent="0.2">
      <c r="D1815" s="700"/>
      <c r="E1815" s="585"/>
      <c r="F1815" s="700"/>
    </row>
    <row r="1816" spans="1:6" x14ac:dyDescent="0.2">
      <c r="D1816" s="700"/>
      <c r="E1816" s="585"/>
      <c r="F1816" s="700"/>
    </row>
    <row r="1817" spans="1:6" x14ac:dyDescent="0.2">
      <c r="D1817" s="700"/>
      <c r="E1817" s="585"/>
      <c r="F1817" s="700"/>
    </row>
    <row r="1821" spans="1:6" x14ac:dyDescent="0.2">
      <c r="A1821" s="1285" t="s">
        <v>7476</v>
      </c>
      <c r="B1821" s="1285"/>
      <c r="C1821" s="1285"/>
      <c r="D1821" s="1285"/>
      <c r="E1821" s="1285"/>
      <c r="F1821" s="1285"/>
    </row>
    <row r="1822" spans="1:6" x14ac:dyDescent="0.2">
      <c r="A1822" s="1285" t="s">
        <v>7478</v>
      </c>
      <c r="B1822" s="1285"/>
      <c r="C1822" s="1285"/>
      <c r="D1822" s="1285"/>
      <c r="E1822" s="1285"/>
      <c r="F1822" s="1285"/>
    </row>
    <row r="1823" spans="1:6" x14ac:dyDescent="0.2">
      <c r="A1823" s="1285" t="s">
        <v>8072</v>
      </c>
      <c r="B1823" s="1285"/>
      <c r="C1823" s="1285"/>
      <c r="D1823" s="1285"/>
      <c r="E1823" s="1285"/>
      <c r="F1823" s="1285"/>
    </row>
    <row r="1824" spans="1:6" x14ac:dyDescent="0.2">
      <c r="A1824" s="1285" t="s">
        <v>8938</v>
      </c>
      <c r="B1824" s="1285"/>
      <c r="C1824" s="1285"/>
      <c r="D1824" s="1285"/>
      <c r="E1824" s="1285"/>
      <c r="F1824" s="1285"/>
    </row>
    <row r="1825" spans="2:6" x14ac:dyDescent="0.2">
      <c r="D1825" s="701"/>
      <c r="E1825" s="588"/>
      <c r="F1825" s="714"/>
    </row>
    <row r="1826" spans="2:6" x14ac:dyDescent="0.2">
      <c r="D1826" s="701"/>
      <c r="E1826" s="588"/>
      <c r="F1826" s="714"/>
    </row>
    <row r="1827" spans="2:6" x14ac:dyDescent="0.2">
      <c r="C1827" s="708"/>
      <c r="D1827" s="713" t="s">
        <v>2392</v>
      </c>
      <c r="E1827" s="590"/>
      <c r="F1827" s="713" t="s">
        <v>2393</v>
      </c>
    </row>
    <row r="1828" spans="2:6" x14ac:dyDescent="0.2">
      <c r="B1828" s="712"/>
      <c r="C1828" s="2"/>
      <c r="D1828" s="701"/>
      <c r="E1828" s="588"/>
    </row>
    <row r="1829" spans="2:6" x14ac:dyDescent="0.2">
      <c r="C1829" s="711" t="s">
        <v>2394</v>
      </c>
      <c r="D1829" s="594">
        <v>0</v>
      </c>
      <c r="E1829" s="591"/>
      <c r="F1829" s="594">
        <v>6286873.2699999977</v>
      </c>
    </row>
    <row r="1830" spans="2:6" x14ac:dyDescent="0.2">
      <c r="C1830" s="711"/>
      <c r="D1830" s="709"/>
      <c r="E1830" s="591"/>
      <c r="F1830" s="709"/>
    </row>
    <row r="1831" spans="2:6" x14ac:dyDescent="0.2">
      <c r="B1831" s="1286" t="s">
        <v>2395</v>
      </c>
      <c r="C1831" s="1286"/>
      <c r="D1831" s="588"/>
      <c r="E1831" s="588"/>
      <c r="F1831" s="588"/>
    </row>
    <row r="1832" spans="2:6" x14ac:dyDescent="0.2">
      <c r="B1832" s="592">
        <v>1</v>
      </c>
      <c r="C1832" s="710" t="s">
        <v>107</v>
      </c>
      <c r="D1832" s="588"/>
      <c r="E1832" s="588"/>
      <c r="F1832" s="588"/>
    </row>
    <row r="1833" spans="2:6" x14ac:dyDescent="0.2">
      <c r="B1833" s="592">
        <v>2</v>
      </c>
      <c r="C1833" s="710" t="s">
        <v>109</v>
      </c>
      <c r="D1833" s="588"/>
      <c r="E1833" s="588"/>
      <c r="F1833" s="588"/>
    </row>
    <row r="1834" spans="2:6" x14ac:dyDescent="0.2">
      <c r="B1834" s="592">
        <v>3</v>
      </c>
      <c r="C1834" s="710" t="s">
        <v>2396</v>
      </c>
      <c r="D1834" s="588"/>
      <c r="E1834" s="588"/>
      <c r="F1834" s="588"/>
    </row>
    <row r="1835" spans="2:6" x14ac:dyDescent="0.2">
      <c r="B1835" s="592">
        <v>4</v>
      </c>
      <c r="C1835" s="710" t="s">
        <v>113</v>
      </c>
      <c r="D1835" s="588"/>
      <c r="E1835" s="588"/>
      <c r="F1835" s="588"/>
    </row>
    <row r="1836" spans="2:6" x14ac:dyDescent="0.2">
      <c r="B1836" s="592">
        <v>5</v>
      </c>
      <c r="C1836" s="710" t="s">
        <v>228</v>
      </c>
      <c r="D1836" s="588">
        <v>0</v>
      </c>
      <c r="E1836" s="588"/>
      <c r="F1836" s="588">
        <v>164118.87999999998</v>
      </c>
    </row>
    <row r="1837" spans="2:6" x14ac:dyDescent="0.2">
      <c r="B1837" s="592">
        <v>6</v>
      </c>
      <c r="C1837" s="710" t="s">
        <v>231</v>
      </c>
      <c r="D1837" s="588"/>
      <c r="E1837" s="588"/>
      <c r="F1837" s="588"/>
    </row>
    <row r="1838" spans="2:6" x14ac:dyDescent="0.2">
      <c r="B1838" s="592">
        <v>7</v>
      </c>
      <c r="C1838" s="710" t="s">
        <v>2397</v>
      </c>
      <c r="D1838" s="350"/>
      <c r="E1838" s="350"/>
      <c r="F1838" s="350"/>
    </row>
    <row r="1839" spans="2:6" x14ac:dyDescent="0.2">
      <c r="B1839" s="592">
        <v>8</v>
      </c>
      <c r="C1839" s="710" t="s">
        <v>2398</v>
      </c>
      <c r="D1839" s="588"/>
      <c r="E1839" s="588"/>
      <c r="F1839" s="588"/>
    </row>
    <row r="1840" spans="2:6" x14ac:dyDescent="0.2">
      <c r="B1840" s="592">
        <v>9</v>
      </c>
      <c r="C1840" s="710" t="s">
        <v>2399</v>
      </c>
      <c r="D1840" s="588"/>
      <c r="E1840" s="588"/>
      <c r="F1840" s="588"/>
    </row>
    <row r="1841" spans="2:6" x14ac:dyDescent="0.2">
      <c r="B1841" s="592">
        <v>0</v>
      </c>
      <c r="C1841" s="710" t="s">
        <v>500</v>
      </c>
      <c r="D1841" s="593"/>
      <c r="E1841" s="588"/>
      <c r="F1841" s="593"/>
    </row>
    <row r="1842" spans="2:6" x14ac:dyDescent="0.2">
      <c r="B1842" s="585"/>
      <c r="C1842" s="587" t="s">
        <v>2400</v>
      </c>
      <c r="D1842" s="709">
        <f>SUM(D1832:D1841)</f>
        <v>0</v>
      </c>
      <c r="E1842" s="591"/>
      <c r="F1842" s="709">
        <f>SUM(F1832:F1841)</f>
        <v>164118.87999999998</v>
      </c>
    </row>
    <row r="1843" spans="2:6" x14ac:dyDescent="0.2">
      <c r="B1843" s="585"/>
      <c r="C1843" s="585"/>
      <c r="D1843" s="701"/>
      <c r="E1843" s="588"/>
    </row>
    <row r="1844" spans="2:6" x14ac:dyDescent="0.2">
      <c r="B1844" s="1283" t="s">
        <v>2401</v>
      </c>
      <c r="C1844" s="1283"/>
      <c r="D1844" s="709"/>
      <c r="E1844" s="591"/>
      <c r="F1844" s="709"/>
    </row>
    <row r="1845" spans="2:6" x14ac:dyDescent="0.2">
      <c r="B1845" s="592">
        <v>1000</v>
      </c>
      <c r="C1845" s="710" t="s">
        <v>2402</v>
      </c>
      <c r="D1845" s="701"/>
      <c r="E1845" s="588"/>
    </row>
    <row r="1846" spans="2:6" x14ac:dyDescent="0.2">
      <c r="B1846" s="592">
        <v>2000</v>
      </c>
      <c r="C1846" s="710" t="s">
        <v>2403</v>
      </c>
      <c r="D1846" s="701"/>
      <c r="E1846" s="588"/>
    </row>
    <row r="1847" spans="2:6" x14ac:dyDescent="0.2">
      <c r="B1847" s="592">
        <v>3000</v>
      </c>
      <c r="C1847" s="710" t="s">
        <v>2404</v>
      </c>
      <c r="D1847" s="701"/>
      <c r="E1847" s="588"/>
    </row>
    <row r="1848" spans="2:6" x14ac:dyDescent="0.2">
      <c r="B1848" s="592">
        <v>4000</v>
      </c>
      <c r="C1848" s="710" t="s">
        <v>2399</v>
      </c>
      <c r="D1848" s="701"/>
      <c r="E1848" s="588"/>
      <c r="F1848" s="701">
        <v>29049</v>
      </c>
    </row>
    <row r="1849" spans="2:6" x14ac:dyDescent="0.2">
      <c r="B1849" s="592">
        <v>5000</v>
      </c>
      <c r="C1849" s="710" t="s">
        <v>2405</v>
      </c>
      <c r="D1849" s="701"/>
      <c r="E1849" s="588"/>
    </row>
    <row r="1850" spans="2:6" x14ac:dyDescent="0.2">
      <c r="B1850" s="592">
        <v>6000</v>
      </c>
      <c r="C1850" s="710" t="s">
        <v>2406</v>
      </c>
      <c r="D1850" s="701"/>
      <c r="E1850" s="588"/>
      <c r="F1850" s="701">
        <v>6421943.1499999994</v>
      </c>
    </row>
    <row r="1851" spans="2:6" x14ac:dyDescent="0.2">
      <c r="B1851" s="592">
        <v>7000</v>
      </c>
      <c r="C1851" s="710" t="s">
        <v>2407</v>
      </c>
      <c r="D1851" s="701"/>
      <c r="E1851" s="588"/>
    </row>
    <row r="1852" spans="2:6" x14ac:dyDescent="0.2">
      <c r="B1852" s="592">
        <v>8000</v>
      </c>
      <c r="C1852" s="710" t="s">
        <v>2398</v>
      </c>
      <c r="D1852" s="701"/>
      <c r="E1852" s="588"/>
    </row>
    <row r="1853" spans="2:6" x14ac:dyDescent="0.2">
      <c r="B1853" s="592">
        <v>9000</v>
      </c>
      <c r="C1853" s="710" t="s">
        <v>2408</v>
      </c>
      <c r="D1853" s="593"/>
      <c r="E1853" s="588"/>
      <c r="F1853" s="593"/>
    </row>
    <row r="1854" spans="2:6" x14ac:dyDescent="0.2">
      <c r="B1854" s="589"/>
      <c r="C1854" s="587" t="s">
        <v>2409</v>
      </c>
      <c r="D1854" s="709">
        <f>SUM(D1845:D1853)</f>
        <v>0</v>
      </c>
      <c r="E1854" s="591"/>
      <c r="F1854" s="709">
        <f>SUM(F1845:F1853)</f>
        <v>6450992.1499999994</v>
      </c>
    </row>
    <row r="1855" spans="2:6" x14ac:dyDescent="0.2">
      <c r="B1855" s="585"/>
      <c r="C1855" s="585"/>
      <c r="D1855" s="701"/>
      <c r="E1855" s="588"/>
    </row>
    <row r="1856" spans="2:6" x14ac:dyDescent="0.2">
      <c r="B1856" s="589"/>
      <c r="C1856" s="696" t="s">
        <v>2410</v>
      </c>
      <c r="D1856" s="594">
        <f>+D1829+D1842-D1854</f>
        <v>0</v>
      </c>
      <c r="E1856" s="591"/>
      <c r="F1856" s="594">
        <f>+F1829+F1842-F1854</f>
        <v>0</v>
      </c>
    </row>
    <row r="1858" spans="2:6" x14ac:dyDescent="0.2">
      <c r="B1858" s="1284" t="s">
        <v>2411</v>
      </c>
      <c r="C1858" s="1284"/>
      <c r="D1858" s="1284"/>
      <c r="E1858" s="1284"/>
      <c r="F1858" s="1284"/>
    </row>
    <row r="1859" spans="2:6" x14ac:dyDescent="0.2">
      <c r="B1859" s="708"/>
      <c r="C1859" s="585"/>
    </row>
    <row r="1860" spans="2:6" x14ac:dyDescent="0.2">
      <c r="B1860" s="708"/>
      <c r="C1860" s="708" t="s">
        <v>2412</v>
      </c>
      <c r="D1860" s="586"/>
      <c r="F1860" s="591"/>
    </row>
    <row r="1861" spans="2:6" x14ac:dyDescent="0.2">
      <c r="B1861" s="705" t="s">
        <v>5</v>
      </c>
      <c r="C1861" s="2" t="s">
        <v>6</v>
      </c>
      <c r="D1861" s="701">
        <v>0</v>
      </c>
      <c r="E1861" s="588"/>
      <c r="F1861" s="701">
        <v>0</v>
      </c>
    </row>
    <row r="1862" spans="2:6" x14ac:dyDescent="0.2">
      <c r="B1862" s="705" t="s">
        <v>9</v>
      </c>
      <c r="C1862" s="700" t="s">
        <v>10</v>
      </c>
      <c r="D1862" s="715"/>
    </row>
    <row r="1863" spans="2:6" x14ac:dyDescent="0.2">
      <c r="B1863" s="705" t="s">
        <v>13</v>
      </c>
      <c r="C1863" s="700" t="s">
        <v>14</v>
      </c>
      <c r="D1863" s="701"/>
    </row>
    <row r="1864" spans="2:6" x14ac:dyDescent="0.2">
      <c r="B1864" s="705" t="s">
        <v>27</v>
      </c>
      <c r="C1864" s="2" t="s">
        <v>28</v>
      </c>
      <c r="D1864" s="593"/>
      <c r="E1864" s="588"/>
      <c r="F1864" s="593"/>
    </row>
    <row r="1865" spans="2:6" x14ac:dyDescent="0.2">
      <c r="C1865" s="704" t="s">
        <v>2413</v>
      </c>
      <c r="D1865" s="595">
        <f>SUM(D1861:D1864)</f>
        <v>0</v>
      </c>
      <c r="E1865" s="595"/>
      <c r="F1865" s="595">
        <f>SUM(F1861:F1864)</f>
        <v>0</v>
      </c>
    </row>
    <row r="1866" spans="2:6" x14ac:dyDescent="0.2">
      <c r="B1866" s="705"/>
      <c r="C1866" s="704" t="s">
        <v>2414</v>
      </c>
    </row>
    <row r="1867" spans="2:6" x14ac:dyDescent="0.2">
      <c r="B1867" s="705" t="s">
        <v>7</v>
      </c>
      <c r="C1867" s="2" t="s">
        <v>8</v>
      </c>
      <c r="F1867" s="702"/>
    </row>
    <row r="1868" spans="2:6" x14ac:dyDescent="0.2">
      <c r="B1868" s="705" t="s">
        <v>11</v>
      </c>
      <c r="C1868" s="2" t="s">
        <v>12</v>
      </c>
      <c r="F1868" s="702"/>
    </row>
    <row r="1869" spans="2:6" x14ac:dyDescent="0.2">
      <c r="B1869" s="705" t="s">
        <v>15</v>
      </c>
      <c r="C1869" s="2" t="s">
        <v>16</v>
      </c>
    </row>
    <row r="1870" spans="2:6" x14ac:dyDescent="0.2">
      <c r="B1870" s="705" t="s">
        <v>592</v>
      </c>
      <c r="C1870" s="2" t="s">
        <v>23</v>
      </c>
    </row>
    <row r="1871" spans="2:6" ht="25.5" x14ac:dyDescent="0.2">
      <c r="B1871" s="707" t="s">
        <v>595</v>
      </c>
      <c r="C1871" s="706" t="s">
        <v>2415</v>
      </c>
    </row>
    <row r="1872" spans="2:6" x14ac:dyDescent="0.2">
      <c r="B1872" s="705" t="s">
        <v>598</v>
      </c>
      <c r="C1872" s="2" t="s">
        <v>2416</v>
      </c>
    </row>
    <row r="1873" spans="1:6" x14ac:dyDescent="0.2">
      <c r="B1873" s="705" t="s">
        <v>600</v>
      </c>
      <c r="C1873" s="2" t="s">
        <v>2417</v>
      </c>
      <c r="D1873" s="593"/>
      <c r="E1873" s="588"/>
      <c r="F1873" s="593"/>
    </row>
    <row r="1874" spans="1:6" x14ac:dyDescent="0.2">
      <c r="C1874" s="704" t="s">
        <v>2418</v>
      </c>
      <c r="D1874" s="591">
        <f>SUM(D1867:D1873)</f>
        <v>0</v>
      </c>
      <c r="E1874" s="591"/>
      <c r="F1874" s="591">
        <f>SUM(F1867:F1873)</f>
        <v>0</v>
      </c>
    </row>
    <row r="1876" spans="1:6" x14ac:dyDescent="0.2">
      <c r="C1876" s="703" t="s">
        <v>2419</v>
      </c>
      <c r="D1876" s="594">
        <f>+D1865-D1874</f>
        <v>0</v>
      </c>
      <c r="E1876" s="591"/>
      <c r="F1876" s="594">
        <f>+F1865-F1874</f>
        <v>0</v>
      </c>
    </row>
    <row r="1879" spans="1:6" x14ac:dyDescent="0.2">
      <c r="D1879" s="700"/>
      <c r="E1879" s="585"/>
      <c r="F1879" s="700"/>
    </row>
    <row r="1880" spans="1:6" x14ac:dyDescent="0.2">
      <c r="D1880" s="700"/>
      <c r="E1880" s="585"/>
      <c r="F1880" s="700"/>
    </row>
    <row r="1881" spans="1:6" x14ac:dyDescent="0.2">
      <c r="D1881" s="700"/>
      <c r="E1881" s="585"/>
      <c r="F1881" s="700"/>
    </row>
    <row r="1887" spans="1:6" x14ac:dyDescent="0.2">
      <c r="A1887" s="1285" t="s">
        <v>7476</v>
      </c>
      <c r="B1887" s="1285"/>
      <c r="C1887" s="1285"/>
      <c r="D1887" s="1285"/>
      <c r="E1887" s="1285"/>
      <c r="F1887" s="1285"/>
    </row>
    <row r="1888" spans="1:6" x14ac:dyDescent="0.2">
      <c r="A1888" s="1285" t="s">
        <v>7478</v>
      </c>
      <c r="B1888" s="1285"/>
      <c r="C1888" s="1285"/>
      <c r="D1888" s="1285"/>
      <c r="E1888" s="1285"/>
      <c r="F1888" s="1285"/>
    </row>
    <row r="1889" spans="1:6" x14ac:dyDescent="0.2">
      <c r="A1889" s="1285" t="s">
        <v>8073</v>
      </c>
      <c r="B1889" s="1285"/>
      <c r="C1889" s="1285"/>
      <c r="D1889" s="1285"/>
      <c r="E1889" s="1285"/>
      <c r="F1889" s="1285"/>
    </row>
    <row r="1890" spans="1:6" x14ac:dyDescent="0.2">
      <c r="A1890" s="1285" t="s">
        <v>8937</v>
      </c>
      <c r="B1890" s="1285"/>
      <c r="C1890" s="1285"/>
      <c r="D1890" s="1285"/>
      <c r="E1890" s="1285"/>
      <c r="F1890" s="1285"/>
    </row>
    <row r="1891" spans="1:6" x14ac:dyDescent="0.2">
      <c r="D1891" s="701"/>
      <c r="E1891" s="588"/>
      <c r="F1891" s="714"/>
    </row>
    <row r="1892" spans="1:6" x14ac:dyDescent="0.2">
      <c r="D1892" s="701"/>
      <c r="E1892" s="588"/>
      <c r="F1892" s="714"/>
    </row>
    <row r="1893" spans="1:6" x14ac:dyDescent="0.2">
      <c r="C1893" s="708"/>
      <c r="D1893" s="713" t="s">
        <v>2392</v>
      </c>
      <c r="E1893" s="590"/>
      <c r="F1893" s="713" t="s">
        <v>2393</v>
      </c>
    </row>
    <row r="1894" spans="1:6" x14ac:dyDescent="0.2">
      <c r="B1894" s="712"/>
      <c r="C1894" s="2"/>
      <c r="D1894" s="701"/>
      <c r="E1894" s="588"/>
    </row>
    <row r="1895" spans="1:6" x14ac:dyDescent="0.2">
      <c r="C1895" s="711" t="s">
        <v>2394</v>
      </c>
      <c r="D1895" s="594">
        <v>0</v>
      </c>
      <c r="E1895" s="591"/>
      <c r="F1895" s="594">
        <v>14122522.769999996</v>
      </c>
    </row>
    <row r="1896" spans="1:6" x14ac:dyDescent="0.2">
      <c r="C1896" s="711"/>
      <c r="D1896" s="709"/>
      <c r="E1896" s="591"/>
      <c r="F1896" s="709"/>
    </row>
    <row r="1897" spans="1:6" x14ac:dyDescent="0.2">
      <c r="B1897" s="1286" t="s">
        <v>2395</v>
      </c>
      <c r="C1897" s="1286"/>
      <c r="D1897" s="588"/>
      <c r="E1897" s="588"/>
      <c r="F1897" s="588"/>
    </row>
    <row r="1898" spans="1:6" x14ac:dyDescent="0.2">
      <c r="B1898" s="592">
        <v>1</v>
      </c>
      <c r="C1898" s="710" t="s">
        <v>107</v>
      </c>
      <c r="D1898" s="588"/>
      <c r="E1898" s="588"/>
      <c r="F1898" s="588"/>
    </row>
    <row r="1899" spans="1:6" x14ac:dyDescent="0.2">
      <c r="B1899" s="592">
        <v>2</v>
      </c>
      <c r="C1899" s="710" t="s">
        <v>109</v>
      </c>
      <c r="D1899" s="588"/>
      <c r="E1899" s="588"/>
      <c r="F1899" s="588"/>
    </row>
    <row r="1900" spans="1:6" x14ac:dyDescent="0.2">
      <c r="B1900" s="592">
        <v>3</v>
      </c>
      <c r="C1900" s="710" t="s">
        <v>2396</v>
      </c>
      <c r="D1900" s="588"/>
      <c r="E1900" s="588"/>
      <c r="F1900" s="588"/>
    </row>
    <row r="1901" spans="1:6" x14ac:dyDescent="0.2">
      <c r="B1901" s="592">
        <v>4</v>
      </c>
      <c r="C1901" s="710" t="s">
        <v>113</v>
      </c>
      <c r="D1901" s="588"/>
      <c r="E1901" s="588"/>
      <c r="F1901" s="588"/>
    </row>
    <row r="1902" spans="1:6" x14ac:dyDescent="0.2">
      <c r="B1902" s="592">
        <v>5</v>
      </c>
      <c r="C1902" s="710" t="s">
        <v>228</v>
      </c>
      <c r="D1902" s="588"/>
      <c r="E1902" s="588"/>
      <c r="F1902" s="588">
        <v>270033.12000000005</v>
      </c>
    </row>
    <row r="1903" spans="1:6" x14ac:dyDescent="0.2">
      <c r="B1903" s="592">
        <v>6</v>
      </c>
      <c r="C1903" s="710" t="s">
        <v>231</v>
      </c>
      <c r="D1903" s="588"/>
      <c r="E1903" s="588"/>
      <c r="F1903" s="588"/>
    </row>
    <row r="1904" spans="1:6" x14ac:dyDescent="0.2">
      <c r="B1904" s="592">
        <v>7</v>
      </c>
      <c r="C1904" s="710" t="s">
        <v>2397</v>
      </c>
      <c r="D1904" s="350"/>
      <c r="E1904" s="350"/>
      <c r="F1904" s="350"/>
    </row>
    <row r="1905" spans="2:6" x14ac:dyDescent="0.2">
      <c r="B1905" s="592">
        <v>8</v>
      </c>
      <c r="C1905" s="710" t="s">
        <v>2398</v>
      </c>
      <c r="D1905" s="588"/>
      <c r="E1905" s="588"/>
      <c r="F1905" s="588"/>
    </row>
    <row r="1906" spans="2:6" x14ac:dyDescent="0.2">
      <c r="B1906" s="592">
        <v>9</v>
      </c>
      <c r="C1906" s="710" t="s">
        <v>2399</v>
      </c>
      <c r="D1906" s="588"/>
      <c r="E1906" s="588"/>
      <c r="F1906" s="588"/>
    </row>
    <row r="1907" spans="2:6" x14ac:dyDescent="0.2">
      <c r="B1907" s="592">
        <v>0</v>
      </c>
      <c r="C1907" s="710" t="s">
        <v>500</v>
      </c>
      <c r="D1907" s="593"/>
      <c r="E1907" s="588"/>
      <c r="F1907" s="593"/>
    </row>
    <row r="1908" spans="2:6" x14ac:dyDescent="0.2">
      <c r="B1908" s="585"/>
      <c r="C1908" s="587" t="s">
        <v>2400</v>
      </c>
      <c r="D1908" s="709">
        <f>SUM(D1898:D1907)</f>
        <v>0</v>
      </c>
      <c r="E1908" s="591"/>
      <c r="F1908" s="709">
        <f>SUM(F1898:F1907)</f>
        <v>270033.12000000005</v>
      </c>
    </row>
    <row r="1909" spans="2:6" x14ac:dyDescent="0.2">
      <c r="B1909" s="585"/>
      <c r="C1909" s="585"/>
      <c r="D1909" s="701"/>
      <c r="E1909" s="588"/>
    </row>
    <row r="1910" spans="2:6" x14ac:dyDescent="0.2">
      <c r="B1910" s="1283" t="s">
        <v>2401</v>
      </c>
      <c r="C1910" s="1283"/>
      <c r="D1910" s="709"/>
      <c r="E1910" s="591"/>
      <c r="F1910" s="709"/>
    </row>
    <row r="1911" spans="2:6" x14ac:dyDescent="0.2">
      <c r="B1911" s="592">
        <v>1000</v>
      </c>
      <c r="C1911" s="710" t="s">
        <v>2402</v>
      </c>
      <c r="D1911" s="701"/>
      <c r="E1911" s="588"/>
    </row>
    <row r="1912" spans="2:6" x14ac:dyDescent="0.2">
      <c r="B1912" s="592">
        <v>2000</v>
      </c>
      <c r="C1912" s="710" t="s">
        <v>2403</v>
      </c>
      <c r="D1912" s="701"/>
      <c r="E1912" s="588"/>
    </row>
    <row r="1913" spans="2:6" x14ac:dyDescent="0.2">
      <c r="B1913" s="592">
        <v>3000</v>
      </c>
      <c r="C1913" s="710" t="s">
        <v>2404</v>
      </c>
      <c r="D1913" s="701"/>
      <c r="E1913" s="588"/>
    </row>
    <row r="1914" spans="2:6" x14ac:dyDescent="0.2">
      <c r="B1914" s="592">
        <v>4000</v>
      </c>
      <c r="C1914" s="710" t="s">
        <v>2399</v>
      </c>
      <c r="D1914" s="701"/>
      <c r="E1914" s="588"/>
      <c r="F1914" s="701">
        <v>1752731.74</v>
      </c>
    </row>
    <row r="1915" spans="2:6" x14ac:dyDescent="0.2">
      <c r="B1915" s="592">
        <v>5000</v>
      </c>
      <c r="C1915" s="710" t="s">
        <v>2405</v>
      </c>
      <c r="D1915" s="701"/>
      <c r="E1915" s="588"/>
    </row>
    <row r="1916" spans="2:6" x14ac:dyDescent="0.2">
      <c r="B1916" s="592">
        <v>6000</v>
      </c>
      <c r="C1916" s="710" t="s">
        <v>2406</v>
      </c>
      <c r="D1916" s="701"/>
      <c r="E1916" s="588"/>
      <c r="F1916" s="701">
        <v>12639824.15</v>
      </c>
    </row>
    <row r="1917" spans="2:6" x14ac:dyDescent="0.2">
      <c r="B1917" s="592">
        <v>7000</v>
      </c>
      <c r="C1917" s="710" t="s">
        <v>2407</v>
      </c>
      <c r="D1917" s="701"/>
      <c r="E1917" s="588"/>
    </row>
    <row r="1918" spans="2:6" x14ac:dyDescent="0.2">
      <c r="B1918" s="592">
        <v>8000</v>
      </c>
      <c r="C1918" s="710" t="s">
        <v>2398</v>
      </c>
      <c r="D1918" s="701"/>
      <c r="E1918" s="588"/>
    </row>
    <row r="1919" spans="2:6" x14ac:dyDescent="0.2">
      <c r="B1919" s="592">
        <v>9000</v>
      </c>
      <c r="C1919" s="710" t="s">
        <v>2408</v>
      </c>
      <c r="D1919" s="593"/>
      <c r="E1919" s="588"/>
      <c r="F1919" s="593"/>
    </row>
    <row r="1920" spans="2:6" x14ac:dyDescent="0.2">
      <c r="B1920" s="589"/>
      <c r="C1920" s="587" t="s">
        <v>2409</v>
      </c>
      <c r="D1920" s="709">
        <f>SUM(D1911:D1919)</f>
        <v>0</v>
      </c>
      <c r="E1920" s="591"/>
      <c r="F1920" s="709">
        <f>SUM(F1911:F1919)</f>
        <v>14392555.890000001</v>
      </c>
    </row>
    <row r="1921" spans="2:6" x14ac:dyDescent="0.2">
      <c r="B1921" s="585"/>
      <c r="C1921" s="585"/>
      <c r="D1921" s="701"/>
      <c r="E1921" s="588"/>
    </row>
    <row r="1922" spans="2:6" x14ac:dyDescent="0.2">
      <c r="B1922" s="589"/>
      <c r="C1922" s="696" t="s">
        <v>2410</v>
      </c>
      <c r="D1922" s="594">
        <f>+D1895+D1908-D1920</f>
        <v>0</v>
      </c>
      <c r="E1922" s="591"/>
      <c r="F1922" s="594">
        <f>+F1895+F1908-F1920</f>
        <v>0</v>
      </c>
    </row>
    <row r="1924" spans="2:6" x14ac:dyDescent="0.2">
      <c r="B1924" s="1284" t="s">
        <v>2411</v>
      </c>
      <c r="C1924" s="1284"/>
      <c r="D1924" s="1284"/>
      <c r="E1924" s="1284"/>
      <c r="F1924" s="1284"/>
    </row>
    <row r="1925" spans="2:6" x14ac:dyDescent="0.2">
      <c r="B1925" s="708"/>
      <c r="C1925" s="585"/>
    </row>
    <row r="1926" spans="2:6" x14ac:dyDescent="0.2">
      <c r="B1926" s="708"/>
      <c r="C1926" s="708" t="s">
        <v>2412</v>
      </c>
      <c r="D1926" s="586"/>
      <c r="F1926" s="591"/>
    </row>
    <row r="1927" spans="2:6" x14ac:dyDescent="0.2">
      <c r="B1927" s="705" t="s">
        <v>5</v>
      </c>
      <c r="C1927" s="2" t="s">
        <v>6</v>
      </c>
      <c r="D1927" s="701">
        <v>0</v>
      </c>
      <c r="E1927" s="588"/>
      <c r="F1927" s="701">
        <v>0</v>
      </c>
    </row>
    <row r="1928" spans="2:6" x14ac:dyDescent="0.2">
      <c r="B1928" s="705" t="s">
        <v>9</v>
      </c>
      <c r="C1928" s="700" t="s">
        <v>10</v>
      </c>
      <c r="D1928" s="715"/>
    </row>
    <row r="1929" spans="2:6" x14ac:dyDescent="0.2">
      <c r="B1929" s="705" t="s">
        <v>13</v>
      </c>
      <c r="C1929" s="700" t="s">
        <v>14</v>
      </c>
      <c r="D1929" s="701"/>
    </row>
    <row r="1930" spans="2:6" x14ac:dyDescent="0.2">
      <c r="B1930" s="705" t="s">
        <v>27</v>
      </c>
      <c r="C1930" s="2" t="s">
        <v>28</v>
      </c>
      <c r="D1930" s="593"/>
      <c r="E1930" s="588"/>
      <c r="F1930" s="593"/>
    </row>
    <row r="1931" spans="2:6" x14ac:dyDescent="0.2">
      <c r="C1931" s="704" t="s">
        <v>2413</v>
      </c>
      <c r="D1931" s="595">
        <f>SUM(D1927:D1930)</f>
        <v>0</v>
      </c>
      <c r="E1931" s="595"/>
      <c r="F1931" s="595">
        <f>SUM(F1927:F1930)</f>
        <v>0</v>
      </c>
    </row>
    <row r="1932" spans="2:6" x14ac:dyDescent="0.2">
      <c r="B1932" s="705"/>
      <c r="C1932" s="704" t="s">
        <v>2414</v>
      </c>
    </row>
    <row r="1933" spans="2:6" x14ac:dyDescent="0.2">
      <c r="B1933" s="705" t="s">
        <v>7</v>
      </c>
      <c r="C1933" s="2" t="s">
        <v>8</v>
      </c>
      <c r="F1933" s="702"/>
    </row>
    <row r="1934" spans="2:6" x14ac:dyDescent="0.2">
      <c r="B1934" s="705" t="s">
        <v>11</v>
      </c>
      <c r="C1934" s="2" t="s">
        <v>12</v>
      </c>
      <c r="F1934" s="702"/>
    </row>
    <row r="1935" spans="2:6" x14ac:dyDescent="0.2">
      <c r="B1935" s="705" t="s">
        <v>15</v>
      </c>
      <c r="C1935" s="2" t="s">
        <v>16</v>
      </c>
    </row>
    <row r="1936" spans="2:6" x14ac:dyDescent="0.2">
      <c r="B1936" s="705" t="s">
        <v>592</v>
      </c>
      <c r="C1936" s="2" t="s">
        <v>23</v>
      </c>
    </row>
    <row r="1937" spans="1:6" ht="25.5" x14ac:dyDescent="0.2">
      <c r="B1937" s="707" t="s">
        <v>595</v>
      </c>
      <c r="C1937" s="706" t="s">
        <v>2415</v>
      </c>
    </row>
    <row r="1938" spans="1:6" x14ac:dyDescent="0.2">
      <c r="B1938" s="705" t="s">
        <v>598</v>
      </c>
      <c r="C1938" s="2" t="s">
        <v>2416</v>
      </c>
    </row>
    <row r="1939" spans="1:6" x14ac:dyDescent="0.2">
      <c r="B1939" s="705" t="s">
        <v>600</v>
      </c>
      <c r="C1939" s="2" t="s">
        <v>2417</v>
      </c>
      <c r="D1939" s="593"/>
      <c r="E1939" s="588"/>
      <c r="F1939" s="593"/>
    </row>
    <row r="1940" spans="1:6" x14ac:dyDescent="0.2">
      <c r="C1940" s="704" t="s">
        <v>2418</v>
      </c>
      <c r="D1940" s="591">
        <f>SUM(D1933:D1939)</f>
        <v>0</v>
      </c>
      <c r="E1940" s="591"/>
      <c r="F1940" s="591">
        <f>SUM(F1933:F1939)</f>
        <v>0</v>
      </c>
    </row>
    <row r="1942" spans="1:6" x14ac:dyDescent="0.2">
      <c r="C1942" s="703" t="s">
        <v>2419</v>
      </c>
      <c r="D1942" s="594">
        <f>+D1931-D1940</f>
        <v>0</v>
      </c>
      <c r="E1942" s="591"/>
      <c r="F1942" s="594">
        <f>+F1931-F1940</f>
        <v>0</v>
      </c>
    </row>
    <row r="1945" spans="1:6" x14ac:dyDescent="0.2">
      <c r="D1945" s="700"/>
      <c r="E1945" s="585"/>
      <c r="F1945" s="700"/>
    </row>
    <row r="1946" spans="1:6" x14ac:dyDescent="0.2">
      <c r="D1946" s="700"/>
      <c r="E1946" s="585"/>
      <c r="F1946" s="700"/>
    </row>
    <row r="1947" spans="1:6" x14ac:dyDescent="0.2">
      <c r="D1947" s="700"/>
      <c r="E1947" s="585"/>
      <c r="F1947" s="700"/>
    </row>
    <row r="1952" spans="1:6" x14ac:dyDescent="0.2">
      <c r="A1952" s="1285" t="s">
        <v>7476</v>
      </c>
      <c r="B1952" s="1285"/>
      <c r="C1952" s="1285"/>
      <c r="D1952" s="1285"/>
      <c r="E1952" s="1285"/>
      <c r="F1952" s="1285"/>
    </row>
    <row r="1953" spans="1:6" x14ac:dyDescent="0.2">
      <c r="A1953" s="1285" t="s">
        <v>7478</v>
      </c>
      <c r="B1953" s="1285"/>
      <c r="C1953" s="1285"/>
      <c r="D1953" s="1285"/>
      <c r="E1953" s="1285"/>
      <c r="F1953" s="1285"/>
    </row>
    <row r="1954" spans="1:6" x14ac:dyDescent="0.2">
      <c r="A1954" s="1285" t="s">
        <v>8074</v>
      </c>
      <c r="B1954" s="1285"/>
      <c r="C1954" s="1285"/>
      <c r="D1954" s="1285"/>
      <c r="E1954" s="1285"/>
      <c r="F1954" s="1285"/>
    </row>
    <row r="1955" spans="1:6" x14ac:dyDescent="0.2">
      <c r="A1955" s="1285" t="s">
        <v>8936</v>
      </c>
      <c r="B1955" s="1285"/>
      <c r="C1955" s="1285"/>
      <c r="D1955" s="1285"/>
      <c r="E1955" s="1285"/>
      <c r="F1955" s="1285"/>
    </row>
    <row r="1956" spans="1:6" x14ac:dyDescent="0.2">
      <c r="D1956" s="701"/>
      <c r="E1956" s="588"/>
      <c r="F1956" s="714"/>
    </row>
    <row r="1957" spans="1:6" x14ac:dyDescent="0.2">
      <c r="D1957" s="701"/>
      <c r="E1957" s="588"/>
      <c r="F1957" s="714"/>
    </row>
    <row r="1958" spans="1:6" x14ac:dyDescent="0.2">
      <c r="C1958" s="708"/>
      <c r="D1958" s="713" t="s">
        <v>2392</v>
      </c>
      <c r="E1958" s="590"/>
      <c r="F1958" s="713" t="s">
        <v>2393</v>
      </c>
    </row>
    <row r="1959" spans="1:6" x14ac:dyDescent="0.2">
      <c r="B1959" s="712"/>
      <c r="C1959" s="2"/>
      <c r="D1959" s="701"/>
      <c r="E1959" s="588"/>
    </row>
    <row r="1960" spans="1:6" x14ac:dyDescent="0.2">
      <c r="C1960" s="711" t="s">
        <v>2394</v>
      </c>
      <c r="D1960" s="594">
        <v>0</v>
      </c>
      <c r="E1960" s="591"/>
      <c r="F1960" s="594">
        <v>10220659.730000002</v>
      </c>
    </row>
    <row r="1961" spans="1:6" x14ac:dyDescent="0.2">
      <c r="C1961" s="711"/>
      <c r="D1961" s="709"/>
      <c r="E1961" s="591"/>
      <c r="F1961" s="709"/>
    </row>
    <row r="1962" spans="1:6" x14ac:dyDescent="0.2">
      <c r="B1962" s="1286" t="s">
        <v>2395</v>
      </c>
      <c r="C1962" s="1286"/>
      <c r="D1962" s="588"/>
      <c r="E1962" s="588"/>
      <c r="F1962" s="588"/>
    </row>
    <row r="1963" spans="1:6" x14ac:dyDescent="0.2">
      <c r="B1963" s="592">
        <v>1</v>
      </c>
      <c r="C1963" s="710" t="s">
        <v>107</v>
      </c>
      <c r="D1963" s="588"/>
      <c r="E1963" s="588"/>
      <c r="F1963" s="588"/>
    </row>
    <row r="1964" spans="1:6" x14ac:dyDescent="0.2">
      <c r="B1964" s="592">
        <v>2</v>
      </c>
      <c r="C1964" s="710" t="s">
        <v>109</v>
      </c>
      <c r="D1964" s="588"/>
      <c r="E1964" s="588"/>
      <c r="F1964" s="588"/>
    </row>
    <row r="1965" spans="1:6" x14ac:dyDescent="0.2">
      <c r="B1965" s="592">
        <v>3</v>
      </c>
      <c r="C1965" s="710" t="s">
        <v>2396</v>
      </c>
      <c r="D1965" s="588"/>
      <c r="E1965" s="588"/>
      <c r="F1965" s="588"/>
    </row>
    <row r="1966" spans="1:6" x14ac:dyDescent="0.2">
      <c r="B1966" s="592">
        <v>4</v>
      </c>
      <c r="C1966" s="710" t="s">
        <v>113</v>
      </c>
      <c r="D1966" s="588"/>
      <c r="E1966" s="588"/>
      <c r="F1966" s="588"/>
    </row>
    <row r="1967" spans="1:6" x14ac:dyDescent="0.2">
      <c r="B1967" s="592">
        <v>5</v>
      </c>
      <c r="C1967" s="710" t="s">
        <v>228</v>
      </c>
      <c r="D1967" s="588"/>
      <c r="E1967" s="588"/>
      <c r="F1967" s="588">
        <v>249497.21</v>
      </c>
    </row>
    <row r="1968" spans="1:6" x14ac:dyDescent="0.2">
      <c r="B1968" s="592">
        <v>6</v>
      </c>
      <c r="C1968" s="710" t="s">
        <v>231</v>
      </c>
      <c r="D1968" s="588"/>
      <c r="E1968" s="588"/>
      <c r="F1968" s="588"/>
    </row>
    <row r="1969" spans="2:6" x14ac:dyDescent="0.2">
      <c r="B1969" s="592">
        <v>7</v>
      </c>
      <c r="C1969" s="710" t="s">
        <v>2397</v>
      </c>
      <c r="D1969" s="350"/>
      <c r="E1969" s="350"/>
      <c r="F1969" s="350"/>
    </row>
    <row r="1970" spans="2:6" x14ac:dyDescent="0.2">
      <c r="B1970" s="592">
        <v>8</v>
      </c>
      <c r="C1970" s="710" t="s">
        <v>2398</v>
      </c>
      <c r="D1970" s="588"/>
      <c r="E1970" s="588"/>
      <c r="F1970" s="588"/>
    </row>
    <row r="1971" spans="2:6" x14ac:dyDescent="0.2">
      <c r="B1971" s="592">
        <v>9</v>
      </c>
      <c r="C1971" s="710" t="s">
        <v>2399</v>
      </c>
      <c r="D1971" s="588"/>
      <c r="E1971" s="588"/>
      <c r="F1971" s="588"/>
    </row>
    <row r="1972" spans="2:6" x14ac:dyDescent="0.2">
      <c r="B1972" s="592">
        <v>0</v>
      </c>
      <c r="C1972" s="710" t="s">
        <v>500</v>
      </c>
      <c r="D1972" s="593"/>
      <c r="E1972" s="588"/>
      <c r="F1972" s="593"/>
    </row>
    <row r="1973" spans="2:6" x14ac:dyDescent="0.2">
      <c r="B1973" s="585"/>
      <c r="C1973" s="587" t="s">
        <v>2400</v>
      </c>
      <c r="D1973" s="709">
        <f>SUM(D1963:D1972)</f>
        <v>0</v>
      </c>
      <c r="E1973" s="591"/>
      <c r="F1973" s="709">
        <f>SUM(F1963:F1972)</f>
        <v>249497.21</v>
      </c>
    </row>
    <row r="1974" spans="2:6" x14ac:dyDescent="0.2">
      <c r="B1974" s="585"/>
      <c r="C1974" s="585"/>
      <c r="D1974" s="701"/>
      <c r="E1974" s="588"/>
    </row>
    <row r="1975" spans="2:6" x14ac:dyDescent="0.2">
      <c r="B1975" s="1283" t="s">
        <v>2401</v>
      </c>
      <c r="C1975" s="1283"/>
      <c r="D1975" s="709"/>
      <c r="E1975" s="591"/>
      <c r="F1975" s="709"/>
    </row>
    <row r="1976" spans="2:6" x14ac:dyDescent="0.2">
      <c r="B1976" s="592">
        <v>1000</v>
      </c>
      <c r="C1976" s="710" t="s">
        <v>2402</v>
      </c>
      <c r="D1976" s="701"/>
      <c r="E1976" s="588"/>
    </row>
    <row r="1977" spans="2:6" x14ac:dyDescent="0.2">
      <c r="B1977" s="592">
        <v>2000</v>
      </c>
      <c r="C1977" s="710" t="s">
        <v>2403</v>
      </c>
      <c r="D1977" s="701"/>
      <c r="E1977" s="588"/>
    </row>
    <row r="1978" spans="2:6" x14ac:dyDescent="0.2">
      <c r="B1978" s="592">
        <v>3000</v>
      </c>
      <c r="C1978" s="710" t="s">
        <v>2404</v>
      </c>
      <c r="D1978" s="701"/>
      <c r="E1978" s="588"/>
    </row>
    <row r="1979" spans="2:6" x14ac:dyDescent="0.2">
      <c r="B1979" s="592">
        <v>4000</v>
      </c>
      <c r="C1979" s="710" t="s">
        <v>2399</v>
      </c>
      <c r="D1979" s="701"/>
      <c r="E1979" s="588"/>
      <c r="F1979" s="701">
        <v>251622</v>
      </c>
    </row>
    <row r="1980" spans="2:6" x14ac:dyDescent="0.2">
      <c r="B1980" s="592">
        <v>5000</v>
      </c>
      <c r="C1980" s="710" t="s">
        <v>2405</v>
      </c>
      <c r="D1980" s="701"/>
      <c r="E1980" s="588"/>
    </row>
    <row r="1981" spans="2:6" x14ac:dyDescent="0.2">
      <c r="B1981" s="592">
        <v>6000</v>
      </c>
      <c r="C1981" s="710" t="s">
        <v>2406</v>
      </c>
      <c r="D1981" s="701"/>
      <c r="E1981" s="588"/>
      <c r="F1981" s="701">
        <v>10218534.940000001</v>
      </c>
    </row>
    <row r="1982" spans="2:6" x14ac:dyDescent="0.2">
      <c r="B1982" s="592">
        <v>7000</v>
      </c>
      <c r="C1982" s="710" t="s">
        <v>2407</v>
      </c>
      <c r="D1982" s="701"/>
      <c r="E1982" s="588"/>
    </row>
    <row r="1983" spans="2:6" x14ac:dyDescent="0.2">
      <c r="B1983" s="592">
        <v>8000</v>
      </c>
      <c r="C1983" s="710" t="s">
        <v>2398</v>
      </c>
      <c r="D1983" s="701"/>
      <c r="E1983" s="588"/>
    </row>
    <row r="1984" spans="2:6" x14ac:dyDescent="0.2">
      <c r="B1984" s="592">
        <v>9000</v>
      </c>
      <c r="C1984" s="710" t="s">
        <v>2408</v>
      </c>
      <c r="D1984" s="593"/>
      <c r="E1984" s="588"/>
      <c r="F1984" s="593"/>
    </row>
    <row r="1985" spans="2:6" x14ac:dyDescent="0.2">
      <c r="B1985" s="589"/>
      <c r="C1985" s="587" t="s">
        <v>2409</v>
      </c>
      <c r="D1985" s="709">
        <f>SUM(D1976:D1984)</f>
        <v>0</v>
      </c>
      <c r="E1985" s="591"/>
      <c r="F1985" s="709">
        <f>SUM(F1976:F1984)</f>
        <v>10470156.940000001</v>
      </c>
    </row>
    <row r="1986" spans="2:6" x14ac:dyDescent="0.2">
      <c r="B1986" s="585"/>
      <c r="C1986" s="585"/>
      <c r="D1986" s="701"/>
      <c r="E1986" s="588"/>
    </row>
    <row r="1987" spans="2:6" x14ac:dyDescent="0.2">
      <c r="B1987" s="589"/>
      <c r="C1987" s="696" t="s">
        <v>2410</v>
      </c>
      <c r="D1987" s="594">
        <f>+D1960+D1973-D1985</f>
        <v>0</v>
      </c>
      <c r="E1987" s="591"/>
      <c r="F1987" s="594">
        <f>+F1960+F1973-F1985</f>
        <v>0</v>
      </c>
    </row>
    <row r="1989" spans="2:6" x14ac:dyDescent="0.2">
      <c r="B1989" s="1284" t="s">
        <v>2411</v>
      </c>
      <c r="C1989" s="1284"/>
      <c r="D1989" s="1284"/>
      <c r="E1989" s="1284"/>
      <c r="F1989" s="1284"/>
    </row>
    <row r="1990" spans="2:6" x14ac:dyDescent="0.2">
      <c r="B1990" s="708"/>
      <c r="C1990" s="585"/>
    </row>
    <row r="1991" spans="2:6" x14ac:dyDescent="0.2">
      <c r="B1991" s="708"/>
      <c r="C1991" s="708" t="s">
        <v>2412</v>
      </c>
      <c r="D1991" s="586"/>
      <c r="F1991" s="591"/>
    </row>
    <row r="1992" spans="2:6" x14ac:dyDescent="0.2">
      <c r="B1992" s="705" t="s">
        <v>5</v>
      </c>
      <c r="C1992" s="2" t="s">
        <v>6</v>
      </c>
      <c r="D1992" s="701">
        <v>0</v>
      </c>
      <c r="E1992" s="588"/>
      <c r="F1992" s="701">
        <v>0</v>
      </c>
    </row>
    <row r="1993" spans="2:6" x14ac:dyDescent="0.2">
      <c r="B1993" s="705" t="s">
        <v>9</v>
      </c>
      <c r="C1993" s="700" t="s">
        <v>10</v>
      </c>
      <c r="D1993" s="715"/>
    </row>
    <row r="1994" spans="2:6" x14ac:dyDescent="0.2">
      <c r="B1994" s="705" t="s">
        <v>13</v>
      </c>
      <c r="C1994" s="700" t="s">
        <v>14</v>
      </c>
      <c r="D1994" s="701"/>
    </row>
    <row r="1995" spans="2:6" x14ac:dyDescent="0.2">
      <c r="B1995" s="705" t="s">
        <v>27</v>
      </c>
      <c r="C1995" s="2" t="s">
        <v>28</v>
      </c>
      <c r="D1995" s="593"/>
      <c r="E1995" s="588"/>
      <c r="F1995" s="593"/>
    </row>
    <row r="1996" spans="2:6" x14ac:dyDescent="0.2">
      <c r="C1996" s="704" t="s">
        <v>2413</v>
      </c>
      <c r="D1996" s="595">
        <f>SUM(D1992:D1995)</f>
        <v>0</v>
      </c>
      <c r="E1996" s="595"/>
      <c r="F1996" s="595">
        <f>SUM(F1992:F1995)</f>
        <v>0</v>
      </c>
    </row>
    <row r="1997" spans="2:6" x14ac:dyDescent="0.2">
      <c r="B1997" s="705"/>
      <c r="C1997" s="704" t="s">
        <v>2414</v>
      </c>
    </row>
    <row r="1998" spans="2:6" x14ac:dyDescent="0.2">
      <c r="B1998" s="705" t="s">
        <v>7</v>
      </c>
      <c r="C1998" s="2" t="s">
        <v>8</v>
      </c>
      <c r="F1998" s="702"/>
    </row>
    <row r="1999" spans="2:6" x14ac:dyDescent="0.2">
      <c r="B1999" s="705" t="s">
        <v>11</v>
      </c>
      <c r="C1999" s="2" t="s">
        <v>12</v>
      </c>
      <c r="F1999" s="702"/>
    </row>
    <row r="2000" spans="2:6" x14ac:dyDescent="0.2">
      <c r="B2000" s="705" t="s">
        <v>15</v>
      </c>
      <c r="C2000" s="2" t="s">
        <v>16</v>
      </c>
    </row>
    <row r="2001" spans="2:6" x14ac:dyDescent="0.2">
      <c r="B2001" s="705" t="s">
        <v>592</v>
      </c>
      <c r="C2001" s="2" t="s">
        <v>23</v>
      </c>
    </row>
    <row r="2002" spans="2:6" ht="25.5" x14ac:dyDescent="0.2">
      <c r="B2002" s="707" t="s">
        <v>595</v>
      </c>
      <c r="C2002" s="706" t="s">
        <v>2415</v>
      </c>
    </row>
    <row r="2003" spans="2:6" x14ac:dyDescent="0.2">
      <c r="B2003" s="705" t="s">
        <v>598</v>
      </c>
      <c r="C2003" s="2" t="s">
        <v>2416</v>
      </c>
    </row>
    <row r="2004" spans="2:6" x14ac:dyDescent="0.2">
      <c r="B2004" s="705" t="s">
        <v>600</v>
      </c>
      <c r="C2004" s="2" t="s">
        <v>2417</v>
      </c>
      <c r="D2004" s="593"/>
      <c r="E2004" s="588"/>
      <c r="F2004" s="593"/>
    </row>
    <row r="2005" spans="2:6" x14ac:dyDescent="0.2">
      <c r="C2005" s="704" t="s">
        <v>2418</v>
      </c>
      <c r="D2005" s="591">
        <f>SUM(D1998:D2004)</f>
        <v>0</v>
      </c>
      <c r="E2005" s="591"/>
      <c r="F2005" s="591">
        <f>SUM(F1998:F2004)</f>
        <v>0</v>
      </c>
    </row>
    <row r="2007" spans="2:6" x14ac:dyDescent="0.2">
      <c r="C2007" s="703" t="s">
        <v>2419</v>
      </c>
      <c r="D2007" s="594">
        <f>+D1996-D2005</f>
        <v>0</v>
      </c>
      <c r="E2007" s="591"/>
      <c r="F2007" s="594">
        <f>+F1996-F2005</f>
        <v>0</v>
      </c>
    </row>
    <row r="2010" spans="2:6" x14ac:dyDescent="0.2">
      <c r="D2010" s="700"/>
      <c r="E2010" s="585"/>
      <c r="F2010" s="700"/>
    </row>
    <row r="2011" spans="2:6" x14ac:dyDescent="0.2">
      <c r="D2011" s="700"/>
      <c r="E2011" s="585"/>
      <c r="F2011" s="700"/>
    </row>
    <row r="2012" spans="2:6" x14ac:dyDescent="0.2">
      <c r="D2012" s="700"/>
      <c r="E2012" s="585"/>
      <c r="F2012" s="700"/>
    </row>
    <row r="2017" spans="1:6" x14ac:dyDescent="0.2">
      <c r="A2017" s="1285" t="s">
        <v>7476</v>
      </c>
      <c r="B2017" s="1285"/>
      <c r="C2017" s="1285"/>
      <c r="D2017" s="1285"/>
      <c r="E2017" s="1285"/>
      <c r="F2017" s="1285"/>
    </row>
    <row r="2018" spans="1:6" x14ac:dyDescent="0.2">
      <c r="A2018" s="1285" t="s">
        <v>7478</v>
      </c>
      <c r="B2018" s="1285"/>
      <c r="C2018" s="1285"/>
      <c r="D2018" s="1285"/>
      <c r="E2018" s="1285"/>
      <c r="F2018" s="1285"/>
    </row>
    <row r="2019" spans="1:6" x14ac:dyDescent="0.2">
      <c r="A2019" s="1285" t="s">
        <v>8935</v>
      </c>
      <c r="B2019" s="1285"/>
      <c r="C2019" s="1285"/>
      <c r="D2019" s="1285"/>
      <c r="E2019" s="1285"/>
      <c r="F2019" s="1285"/>
    </row>
    <row r="2020" spans="1:6" x14ac:dyDescent="0.2">
      <c r="A2020" s="1285" t="s">
        <v>8930</v>
      </c>
      <c r="B2020" s="1285"/>
      <c r="C2020" s="1285"/>
      <c r="D2020" s="1285"/>
      <c r="E2020" s="1285"/>
      <c r="F2020" s="1285"/>
    </row>
    <row r="2021" spans="1:6" x14ac:dyDescent="0.2">
      <c r="D2021" s="701"/>
      <c r="E2021" s="588"/>
      <c r="F2021" s="714"/>
    </row>
    <row r="2022" spans="1:6" x14ac:dyDescent="0.2">
      <c r="D2022" s="701"/>
      <c r="E2022" s="588"/>
      <c r="F2022" s="714"/>
    </row>
    <row r="2023" spans="1:6" x14ac:dyDescent="0.2">
      <c r="C2023" s="708"/>
      <c r="D2023" s="713" t="s">
        <v>2392</v>
      </c>
      <c r="E2023" s="590"/>
      <c r="F2023" s="713" t="s">
        <v>2393</v>
      </c>
    </row>
    <row r="2024" spans="1:6" x14ac:dyDescent="0.2">
      <c r="B2024" s="712"/>
      <c r="C2024" s="2"/>
      <c r="D2024" s="701"/>
      <c r="E2024" s="588"/>
    </row>
    <row r="2025" spans="1:6" x14ac:dyDescent="0.2">
      <c r="C2025" s="711" t="s">
        <v>2394</v>
      </c>
      <c r="D2025" s="594">
        <v>5324599.21</v>
      </c>
      <c r="E2025" s="591"/>
      <c r="F2025" s="594">
        <v>0</v>
      </c>
    </row>
    <row r="2026" spans="1:6" x14ac:dyDescent="0.2">
      <c r="C2026" s="711"/>
      <c r="D2026" s="709"/>
      <c r="E2026" s="591"/>
      <c r="F2026" s="709"/>
    </row>
    <row r="2027" spans="1:6" x14ac:dyDescent="0.2">
      <c r="B2027" s="1286" t="s">
        <v>2395</v>
      </c>
      <c r="C2027" s="1286"/>
      <c r="D2027" s="588"/>
      <c r="E2027" s="588"/>
      <c r="F2027" s="588"/>
    </row>
    <row r="2028" spans="1:6" x14ac:dyDescent="0.2">
      <c r="B2028" s="592">
        <v>1</v>
      </c>
      <c r="C2028" s="710" t="s">
        <v>107</v>
      </c>
      <c r="D2028" s="588"/>
      <c r="E2028" s="588"/>
      <c r="F2028" s="588"/>
    </row>
    <row r="2029" spans="1:6" x14ac:dyDescent="0.2">
      <c r="B2029" s="592">
        <v>2</v>
      </c>
      <c r="C2029" s="710" t="s">
        <v>109</v>
      </c>
      <c r="D2029" s="588"/>
      <c r="E2029" s="588"/>
      <c r="F2029" s="588"/>
    </row>
    <row r="2030" spans="1:6" x14ac:dyDescent="0.2">
      <c r="B2030" s="592">
        <v>3</v>
      </c>
      <c r="C2030" s="710" t="s">
        <v>2396</v>
      </c>
      <c r="D2030" s="588"/>
      <c r="E2030" s="588"/>
      <c r="F2030" s="588"/>
    </row>
    <row r="2031" spans="1:6" x14ac:dyDescent="0.2">
      <c r="B2031" s="592">
        <v>4</v>
      </c>
      <c r="C2031" s="710" t="s">
        <v>113</v>
      </c>
      <c r="D2031" s="588"/>
      <c r="E2031" s="588"/>
      <c r="F2031" s="588"/>
    </row>
    <row r="2032" spans="1:6" x14ac:dyDescent="0.2">
      <c r="B2032" s="592">
        <v>5</v>
      </c>
      <c r="C2032" s="710" t="s">
        <v>228</v>
      </c>
      <c r="D2032" s="588">
        <v>17262.36</v>
      </c>
      <c r="E2032" s="588"/>
      <c r="F2032" s="588">
        <v>47479.360000000001</v>
      </c>
    </row>
    <row r="2033" spans="2:6" x14ac:dyDescent="0.2">
      <c r="B2033" s="592">
        <v>6</v>
      </c>
      <c r="C2033" s="710" t="s">
        <v>231</v>
      </c>
      <c r="D2033" s="588"/>
      <c r="E2033" s="588"/>
      <c r="F2033" s="588"/>
    </row>
    <row r="2034" spans="2:6" x14ac:dyDescent="0.2">
      <c r="B2034" s="592">
        <v>7</v>
      </c>
      <c r="C2034" s="710" t="s">
        <v>2397</v>
      </c>
      <c r="D2034" s="350"/>
      <c r="E2034" s="350"/>
      <c r="F2034" s="350"/>
    </row>
    <row r="2035" spans="2:6" x14ac:dyDescent="0.2">
      <c r="B2035" s="592">
        <v>8</v>
      </c>
      <c r="C2035" s="710" t="s">
        <v>2398</v>
      </c>
      <c r="D2035" s="588"/>
      <c r="E2035" s="588"/>
      <c r="F2035" s="588">
        <v>7151384.4500000002</v>
      </c>
    </row>
    <row r="2036" spans="2:6" x14ac:dyDescent="0.2">
      <c r="B2036" s="592">
        <v>9</v>
      </c>
      <c r="C2036" s="710" t="s">
        <v>2399</v>
      </c>
      <c r="D2036" s="588"/>
      <c r="E2036" s="588"/>
      <c r="F2036" s="588"/>
    </row>
    <row r="2037" spans="2:6" x14ac:dyDescent="0.2">
      <c r="B2037" s="592">
        <v>0</v>
      </c>
      <c r="C2037" s="710" t="s">
        <v>500</v>
      </c>
      <c r="D2037" s="593"/>
      <c r="E2037" s="588"/>
      <c r="F2037" s="593"/>
    </row>
    <row r="2038" spans="2:6" x14ac:dyDescent="0.2">
      <c r="B2038" s="585"/>
      <c r="C2038" s="587" t="s">
        <v>2400</v>
      </c>
      <c r="D2038" s="709">
        <f>SUM(D2028:D2037)</f>
        <v>17262.36</v>
      </c>
      <c r="E2038" s="591"/>
      <c r="F2038" s="709">
        <f>SUM(F2028:F2037)</f>
        <v>7198863.8100000005</v>
      </c>
    </row>
    <row r="2039" spans="2:6" x14ac:dyDescent="0.2">
      <c r="B2039" s="585"/>
      <c r="C2039" s="585"/>
      <c r="D2039" s="701"/>
      <c r="E2039" s="588"/>
    </row>
    <row r="2040" spans="2:6" x14ac:dyDescent="0.2">
      <c r="B2040" s="1283" t="s">
        <v>2401</v>
      </c>
      <c r="C2040" s="1283"/>
      <c r="D2040" s="709"/>
      <c r="E2040" s="591"/>
      <c r="F2040" s="709"/>
    </row>
    <row r="2041" spans="2:6" x14ac:dyDescent="0.2">
      <c r="B2041" s="592">
        <v>1000</v>
      </c>
      <c r="C2041" s="710" t="s">
        <v>2402</v>
      </c>
      <c r="D2041" s="701"/>
      <c r="E2041" s="588"/>
    </row>
    <row r="2042" spans="2:6" x14ac:dyDescent="0.2">
      <c r="B2042" s="592">
        <v>2000</v>
      </c>
      <c r="C2042" s="710" t="s">
        <v>2403</v>
      </c>
      <c r="D2042" s="701"/>
      <c r="E2042" s="588"/>
    </row>
    <row r="2043" spans="2:6" x14ac:dyDescent="0.2">
      <c r="B2043" s="592">
        <v>3000</v>
      </c>
      <c r="C2043" s="710" t="s">
        <v>2404</v>
      </c>
      <c r="D2043" s="701"/>
      <c r="E2043" s="588"/>
    </row>
    <row r="2044" spans="2:6" x14ac:dyDescent="0.2">
      <c r="B2044" s="592">
        <v>4000</v>
      </c>
      <c r="C2044" s="710" t="s">
        <v>2399</v>
      </c>
      <c r="D2044" s="701"/>
      <c r="E2044" s="588"/>
    </row>
    <row r="2045" spans="2:6" x14ac:dyDescent="0.2">
      <c r="B2045" s="592">
        <v>5000</v>
      </c>
      <c r="C2045" s="710" t="s">
        <v>2405</v>
      </c>
      <c r="D2045" s="701"/>
      <c r="E2045" s="588"/>
    </row>
    <row r="2046" spans="2:6" x14ac:dyDescent="0.2">
      <c r="B2046" s="592">
        <v>6000</v>
      </c>
      <c r="C2046" s="710" t="s">
        <v>2406</v>
      </c>
      <c r="D2046" s="701">
        <v>2547155.4700000002</v>
      </c>
      <c r="E2046" s="588"/>
      <c r="F2046" s="701">
        <v>4404157.71</v>
      </c>
    </row>
    <row r="2047" spans="2:6" x14ac:dyDescent="0.2">
      <c r="B2047" s="592">
        <v>7000</v>
      </c>
      <c r="C2047" s="710" t="s">
        <v>2407</v>
      </c>
      <c r="D2047" s="701"/>
      <c r="E2047" s="588"/>
    </row>
    <row r="2048" spans="2:6" x14ac:dyDescent="0.2">
      <c r="B2048" s="592">
        <v>8000</v>
      </c>
      <c r="C2048" s="710" t="s">
        <v>2398</v>
      </c>
      <c r="D2048" s="701"/>
      <c r="E2048" s="588"/>
    </row>
    <row r="2049" spans="2:6" x14ac:dyDescent="0.2">
      <c r="B2049" s="592">
        <v>9000</v>
      </c>
      <c r="C2049" s="710" t="s">
        <v>2408</v>
      </c>
      <c r="D2049" s="593"/>
      <c r="E2049" s="588"/>
      <c r="F2049" s="593"/>
    </row>
    <row r="2050" spans="2:6" x14ac:dyDescent="0.2">
      <c r="B2050" s="589"/>
      <c r="C2050" s="587" t="s">
        <v>2409</v>
      </c>
      <c r="D2050" s="709">
        <f>SUM(D2041:D2049)</f>
        <v>2547155.4700000002</v>
      </c>
      <c r="E2050" s="591"/>
      <c r="F2050" s="709">
        <f>SUM(F2041:F2049)</f>
        <v>4404157.71</v>
      </c>
    </row>
    <row r="2051" spans="2:6" x14ac:dyDescent="0.2">
      <c r="B2051" s="585"/>
      <c r="C2051" s="585"/>
      <c r="D2051" s="701"/>
      <c r="E2051" s="588"/>
    </row>
    <row r="2052" spans="2:6" x14ac:dyDescent="0.2">
      <c r="B2052" s="589"/>
      <c r="C2052" s="696" t="s">
        <v>2410</v>
      </c>
      <c r="D2052" s="594">
        <f>+D2025+D2038-D2050</f>
        <v>2794706.1</v>
      </c>
      <c r="E2052" s="591"/>
      <c r="F2052" s="594">
        <f>+F2025+F2038-F2050</f>
        <v>2794706.1000000006</v>
      </c>
    </row>
    <row r="2054" spans="2:6" x14ac:dyDescent="0.2">
      <c r="B2054" s="1284" t="s">
        <v>2411</v>
      </c>
      <c r="C2054" s="1284"/>
      <c r="D2054" s="1284"/>
      <c r="E2054" s="1284"/>
      <c r="F2054" s="1284"/>
    </row>
    <row r="2055" spans="2:6" x14ac:dyDescent="0.2">
      <c r="B2055" s="708"/>
      <c r="C2055" s="585"/>
    </row>
    <row r="2056" spans="2:6" x14ac:dyDescent="0.2">
      <c r="B2056" s="708"/>
      <c r="C2056" s="708" t="s">
        <v>2412</v>
      </c>
      <c r="D2056" s="586"/>
      <c r="F2056" s="591"/>
    </row>
    <row r="2057" spans="2:6" x14ac:dyDescent="0.2">
      <c r="B2057" s="705" t="s">
        <v>5</v>
      </c>
      <c r="C2057" s="2" t="s">
        <v>6</v>
      </c>
      <c r="D2057" s="701">
        <v>2815073.04</v>
      </c>
      <c r="E2057" s="588"/>
      <c r="F2057" s="701">
        <v>2815073.04</v>
      </c>
    </row>
    <row r="2058" spans="2:6" x14ac:dyDescent="0.2">
      <c r="B2058" s="705" t="s">
        <v>9</v>
      </c>
      <c r="C2058" s="700" t="s">
        <v>10</v>
      </c>
      <c r="D2058" s="715"/>
    </row>
    <row r="2059" spans="2:6" x14ac:dyDescent="0.2">
      <c r="B2059" s="705" t="s">
        <v>13</v>
      </c>
      <c r="C2059" s="700" t="s">
        <v>14</v>
      </c>
      <c r="D2059" s="701"/>
    </row>
    <row r="2060" spans="2:6" x14ac:dyDescent="0.2">
      <c r="B2060" s="705" t="s">
        <v>27</v>
      </c>
      <c r="C2060" s="2" t="s">
        <v>28</v>
      </c>
      <c r="D2060" s="593"/>
      <c r="E2060" s="588"/>
      <c r="F2060" s="593"/>
    </row>
    <row r="2061" spans="2:6" x14ac:dyDescent="0.2">
      <c r="C2061" s="704" t="s">
        <v>2413</v>
      </c>
      <c r="D2061" s="595">
        <f>SUM(D2057:D2060)</f>
        <v>2815073.04</v>
      </c>
      <c r="E2061" s="595"/>
      <c r="F2061" s="595">
        <f>SUM(F2057:F2060)</f>
        <v>2815073.04</v>
      </c>
    </row>
    <row r="2062" spans="2:6" x14ac:dyDescent="0.2">
      <c r="B2062" s="705"/>
      <c r="C2062" s="704" t="s">
        <v>2414</v>
      </c>
    </row>
    <row r="2063" spans="2:6" x14ac:dyDescent="0.2">
      <c r="B2063" s="705" t="s">
        <v>7</v>
      </c>
      <c r="C2063" s="2" t="s">
        <v>8</v>
      </c>
      <c r="D2063" s="702">
        <v>20366.939999999999</v>
      </c>
      <c r="F2063" s="702">
        <v>20366.939999999999</v>
      </c>
    </row>
    <row r="2064" spans="2:6" x14ac:dyDescent="0.2">
      <c r="B2064" s="705" t="s">
        <v>11</v>
      </c>
      <c r="C2064" s="2" t="s">
        <v>12</v>
      </c>
      <c r="F2064" s="702"/>
    </row>
    <row r="2065" spans="2:6" x14ac:dyDescent="0.2">
      <c r="B2065" s="705" t="s">
        <v>15</v>
      </c>
      <c r="C2065" s="2" t="s">
        <v>16</v>
      </c>
    </row>
    <row r="2066" spans="2:6" x14ac:dyDescent="0.2">
      <c r="B2066" s="705" t="s">
        <v>592</v>
      </c>
      <c r="C2066" s="2" t="s">
        <v>23</v>
      </c>
    </row>
    <row r="2067" spans="2:6" ht="25.5" x14ac:dyDescent="0.2">
      <c r="B2067" s="707" t="s">
        <v>595</v>
      </c>
      <c r="C2067" s="706" t="s">
        <v>2415</v>
      </c>
    </row>
    <row r="2068" spans="2:6" x14ac:dyDescent="0.2">
      <c r="B2068" s="705" t="s">
        <v>598</v>
      </c>
      <c r="C2068" s="2" t="s">
        <v>2416</v>
      </c>
    </row>
    <row r="2069" spans="2:6" x14ac:dyDescent="0.2">
      <c r="B2069" s="705" t="s">
        <v>600</v>
      </c>
      <c r="C2069" s="2" t="s">
        <v>2417</v>
      </c>
      <c r="D2069" s="593"/>
      <c r="E2069" s="588"/>
      <c r="F2069" s="593"/>
    </row>
    <row r="2070" spans="2:6" x14ac:dyDescent="0.2">
      <c r="C2070" s="704" t="s">
        <v>2418</v>
      </c>
      <c r="D2070" s="591">
        <f>SUM(D2063:D2069)</f>
        <v>20366.939999999999</v>
      </c>
      <c r="E2070" s="591"/>
      <c r="F2070" s="591">
        <f>SUM(F2063:F2069)</f>
        <v>20366.939999999999</v>
      </c>
    </row>
    <row r="2072" spans="2:6" x14ac:dyDescent="0.2">
      <c r="C2072" s="703" t="s">
        <v>2419</v>
      </c>
      <c r="D2072" s="594">
        <f>+D2061-D2070</f>
        <v>2794706.1</v>
      </c>
      <c r="E2072" s="591"/>
      <c r="F2072" s="594">
        <f>+F2061-F2070</f>
        <v>2794706.1</v>
      </c>
    </row>
    <row r="2075" spans="2:6" x14ac:dyDescent="0.2">
      <c r="D2075" s="700"/>
      <c r="E2075" s="585"/>
      <c r="F2075" s="700"/>
    </row>
    <row r="2076" spans="2:6" x14ac:dyDescent="0.2">
      <c r="D2076" s="700"/>
      <c r="E2076" s="585"/>
      <c r="F2076" s="700"/>
    </row>
    <row r="2077" spans="2:6" x14ac:dyDescent="0.2">
      <c r="D2077" s="700"/>
      <c r="E2077" s="585"/>
      <c r="F2077" s="700"/>
    </row>
    <row r="2082" spans="1:6" x14ac:dyDescent="0.2">
      <c r="A2082" s="1285" t="s">
        <v>7476</v>
      </c>
      <c r="B2082" s="1285"/>
      <c r="C2082" s="1285"/>
      <c r="D2082" s="1285"/>
      <c r="E2082" s="1285"/>
      <c r="F2082" s="1285"/>
    </row>
    <row r="2083" spans="1:6" x14ac:dyDescent="0.2">
      <c r="A2083" s="1285" t="s">
        <v>7478</v>
      </c>
      <c r="B2083" s="1285"/>
      <c r="C2083" s="1285"/>
      <c r="D2083" s="1285"/>
      <c r="E2083" s="1285"/>
      <c r="F2083" s="1285"/>
    </row>
    <row r="2084" spans="1:6" x14ac:dyDescent="0.2">
      <c r="A2084" s="1285" t="s">
        <v>8934</v>
      </c>
      <c r="B2084" s="1285"/>
      <c r="C2084" s="1285"/>
      <c r="D2084" s="1285"/>
      <c r="E2084" s="1285"/>
      <c r="F2084" s="1285"/>
    </row>
    <row r="2085" spans="1:6" x14ac:dyDescent="0.2">
      <c r="A2085" s="1285" t="s">
        <v>8930</v>
      </c>
      <c r="B2085" s="1285"/>
      <c r="C2085" s="1285"/>
      <c r="D2085" s="1285"/>
      <c r="E2085" s="1285"/>
      <c r="F2085" s="1285"/>
    </row>
    <row r="2086" spans="1:6" x14ac:dyDescent="0.2">
      <c r="D2086" s="701"/>
      <c r="E2086" s="588"/>
      <c r="F2086" s="714"/>
    </row>
    <row r="2087" spans="1:6" x14ac:dyDescent="0.2">
      <c r="D2087" s="701"/>
      <c r="E2087" s="588"/>
      <c r="F2087" s="714"/>
    </row>
    <row r="2088" spans="1:6" x14ac:dyDescent="0.2">
      <c r="C2088" s="708"/>
      <c r="D2088" s="713" t="s">
        <v>2392</v>
      </c>
      <c r="E2088" s="590"/>
      <c r="F2088" s="713" t="s">
        <v>2393</v>
      </c>
    </row>
    <row r="2089" spans="1:6" x14ac:dyDescent="0.2">
      <c r="B2089" s="712"/>
      <c r="C2089" s="2"/>
      <c r="D2089" s="701"/>
      <c r="E2089" s="588"/>
    </row>
    <row r="2090" spans="1:6" x14ac:dyDescent="0.2">
      <c r="C2090" s="711" t="s">
        <v>2394</v>
      </c>
      <c r="D2090" s="594">
        <v>2493760.17</v>
      </c>
      <c r="E2090" s="591"/>
      <c r="F2090" s="594">
        <v>0</v>
      </c>
    </row>
    <row r="2091" spans="1:6" x14ac:dyDescent="0.2">
      <c r="C2091" s="711"/>
      <c r="D2091" s="709"/>
      <c r="E2091" s="591"/>
      <c r="F2091" s="709"/>
    </row>
    <row r="2092" spans="1:6" x14ac:dyDescent="0.2">
      <c r="B2092" s="1286" t="s">
        <v>2395</v>
      </c>
      <c r="C2092" s="1286"/>
      <c r="D2092" s="588"/>
      <c r="E2092" s="588"/>
      <c r="F2092" s="588"/>
    </row>
    <row r="2093" spans="1:6" x14ac:dyDescent="0.2">
      <c r="B2093" s="592">
        <v>1</v>
      </c>
      <c r="C2093" s="710" t="s">
        <v>107</v>
      </c>
      <c r="D2093" s="588"/>
      <c r="E2093" s="588"/>
      <c r="F2093" s="588"/>
    </row>
    <row r="2094" spans="1:6" x14ac:dyDescent="0.2">
      <c r="B2094" s="592">
        <v>2</v>
      </c>
      <c r="C2094" s="710" t="s">
        <v>109</v>
      </c>
      <c r="D2094" s="588"/>
      <c r="E2094" s="588"/>
      <c r="F2094" s="588"/>
    </row>
    <row r="2095" spans="1:6" x14ac:dyDescent="0.2">
      <c r="B2095" s="592">
        <v>3</v>
      </c>
      <c r="C2095" s="710" t="s">
        <v>2396</v>
      </c>
      <c r="D2095" s="588"/>
      <c r="E2095" s="588"/>
      <c r="F2095" s="588"/>
    </row>
    <row r="2096" spans="1:6" x14ac:dyDescent="0.2">
      <c r="B2096" s="592">
        <v>4</v>
      </c>
      <c r="C2096" s="710" t="s">
        <v>113</v>
      </c>
      <c r="D2096" s="588"/>
      <c r="E2096" s="588"/>
      <c r="F2096" s="588"/>
    </row>
    <row r="2097" spans="2:6" x14ac:dyDescent="0.2">
      <c r="B2097" s="592">
        <v>5</v>
      </c>
      <c r="C2097" s="710" t="s">
        <v>228</v>
      </c>
      <c r="D2097" s="588">
        <v>8624.1</v>
      </c>
      <c r="E2097" s="588"/>
      <c r="F2097" s="588">
        <v>19098.849999999999</v>
      </c>
    </row>
    <row r="2098" spans="2:6" x14ac:dyDescent="0.2">
      <c r="B2098" s="592">
        <v>6</v>
      </c>
      <c r="C2098" s="710" t="s">
        <v>231</v>
      </c>
      <c r="D2098" s="588"/>
      <c r="E2098" s="588"/>
      <c r="F2098" s="588"/>
    </row>
    <row r="2099" spans="2:6" x14ac:dyDescent="0.2">
      <c r="B2099" s="592">
        <v>7</v>
      </c>
      <c r="C2099" s="710" t="s">
        <v>2397</v>
      </c>
      <c r="D2099" s="350"/>
      <c r="E2099" s="350"/>
      <c r="F2099" s="350"/>
    </row>
    <row r="2100" spans="2:6" x14ac:dyDescent="0.2">
      <c r="B2100" s="592">
        <v>8</v>
      </c>
      <c r="C2100" s="710" t="s">
        <v>2398</v>
      </c>
      <c r="D2100" s="588"/>
      <c r="E2100" s="588"/>
      <c r="F2100" s="588">
        <v>3210000</v>
      </c>
    </row>
    <row r="2101" spans="2:6" x14ac:dyDescent="0.2">
      <c r="B2101" s="592">
        <v>9</v>
      </c>
      <c r="C2101" s="710" t="s">
        <v>2399</v>
      </c>
      <c r="D2101" s="588"/>
      <c r="E2101" s="588"/>
      <c r="F2101" s="588"/>
    </row>
    <row r="2102" spans="2:6" x14ac:dyDescent="0.2">
      <c r="B2102" s="592">
        <v>0</v>
      </c>
      <c r="C2102" s="710" t="s">
        <v>500</v>
      </c>
      <c r="D2102" s="593"/>
      <c r="E2102" s="588"/>
      <c r="F2102" s="593"/>
    </row>
    <row r="2103" spans="2:6" x14ac:dyDescent="0.2">
      <c r="B2103" s="585"/>
      <c r="C2103" s="587" t="s">
        <v>2400</v>
      </c>
      <c r="D2103" s="709">
        <f>SUM(D2093:D2102)</f>
        <v>8624.1</v>
      </c>
      <c r="E2103" s="591"/>
      <c r="F2103" s="709">
        <f>SUM(F2093:F2102)</f>
        <v>3229098.85</v>
      </c>
    </row>
    <row r="2104" spans="2:6" x14ac:dyDescent="0.2">
      <c r="B2104" s="585"/>
      <c r="C2104" s="585"/>
      <c r="D2104" s="701"/>
      <c r="E2104" s="588"/>
    </row>
    <row r="2105" spans="2:6" x14ac:dyDescent="0.2">
      <c r="B2105" s="1283" t="s">
        <v>2401</v>
      </c>
      <c r="C2105" s="1283"/>
      <c r="D2105" s="709"/>
      <c r="E2105" s="591"/>
      <c r="F2105" s="709"/>
    </row>
    <row r="2106" spans="2:6" x14ac:dyDescent="0.2">
      <c r="B2106" s="592">
        <v>1000</v>
      </c>
      <c r="C2106" s="710" t="s">
        <v>2402</v>
      </c>
      <c r="D2106" s="701"/>
      <c r="E2106" s="588"/>
    </row>
    <row r="2107" spans="2:6" x14ac:dyDescent="0.2">
      <c r="B2107" s="592">
        <v>2000</v>
      </c>
      <c r="C2107" s="710" t="s">
        <v>2403</v>
      </c>
      <c r="D2107" s="701"/>
      <c r="E2107" s="588"/>
    </row>
    <row r="2108" spans="2:6" x14ac:dyDescent="0.2">
      <c r="B2108" s="592">
        <v>3000</v>
      </c>
      <c r="C2108" s="710" t="s">
        <v>2404</v>
      </c>
      <c r="D2108" s="701"/>
      <c r="E2108" s="588"/>
    </row>
    <row r="2109" spans="2:6" x14ac:dyDescent="0.2">
      <c r="B2109" s="592">
        <v>4000</v>
      </c>
      <c r="C2109" s="710" t="s">
        <v>2399</v>
      </c>
      <c r="D2109" s="701"/>
      <c r="E2109" s="588"/>
    </row>
    <row r="2110" spans="2:6" x14ac:dyDescent="0.2">
      <c r="B2110" s="592">
        <v>5000</v>
      </c>
      <c r="C2110" s="710" t="s">
        <v>2405</v>
      </c>
      <c r="D2110" s="701"/>
      <c r="E2110" s="588"/>
    </row>
    <row r="2111" spans="2:6" x14ac:dyDescent="0.2">
      <c r="B2111" s="592">
        <v>6000</v>
      </c>
      <c r="C2111" s="710" t="s">
        <v>2406</v>
      </c>
      <c r="D2111" s="701">
        <v>2437753.7200000002</v>
      </c>
      <c r="E2111" s="588"/>
      <c r="F2111" s="701">
        <v>3164468.3</v>
      </c>
    </row>
    <row r="2112" spans="2:6" x14ac:dyDescent="0.2">
      <c r="B2112" s="592">
        <v>7000</v>
      </c>
      <c r="C2112" s="710" t="s">
        <v>2407</v>
      </c>
      <c r="D2112" s="701"/>
      <c r="E2112" s="588"/>
    </row>
    <row r="2113" spans="2:6" x14ac:dyDescent="0.2">
      <c r="B2113" s="592">
        <v>8000</v>
      </c>
      <c r="C2113" s="710" t="s">
        <v>2398</v>
      </c>
      <c r="D2113" s="701"/>
      <c r="E2113" s="588"/>
    </row>
    <row r="2114" spans="2:6" x14ac:dyDescent="0.2">
      <c r="B2114" s="592">
        <v>9000</v>
      </c>
      <c r="C2114" s="710" t="s">
        <v>2408</v>
      </c>
      <c r="D2114" s="593"/>
      <c r="E2114" s="588"/>
      <c r="F2114" s="593"/>
    </row>
    <row r="2115" spans="2:6" x14ac:dyDescent="0.2">
      <c r="B2115" s="589"/>
      <c r="C2115" s="587" t="s">
        <v>2409</v>
      </c>
      <c r="D2115" s="709">
        <f>SUM(D2106:D2114)</f>
        <v>2437753.7200000002</v>
      </c>
      <c r="E2115" s="591"/>
      <c r="F2115" s="709">
        <f>SUM(F2106:F2114)</f>
        <v>3164468.3</v>
      </c>
    </row>
    <row r="2116" spans="2:6" x14ac:dyDescent="0.2">
      <c r="B2116" s="585"/>
      <c r="C2116" s="585"/>
      <c r="D2116" s="701"/>
      <c r="E2116" s="588"/>
    </row>
    <row r="2117" spans="2:6" x14ac:dyDescent="0.2">
      <c r="B2117" s="589"/>
      <c r="C2117" s="696" t="s">
        <v>2410</v>
      </c>
      <c r="D2117" s="594">
        <f>+D2090+D2103-D2115</f>
        <v>64630.549999999814</v>
      </c>
      <c r="E2117" s="591"/>
      <c r="F2117" s="594">
        <f>+F2090+F2103-F2115</f>
        <v>64630.550000000279</v>
      </c>
    </row>
    <row r="2119" spans="2:6" x14ac:dyDescent="0.2">
      <c r="B2119" s="1284" t="s">
        <v>2411</v>
      </c>
      <c r="C2119" s="1284"/>
      <c r="D2119" s="1284"/>
      <c r="E2119" s="1284"/>
      <c r="F2119" s="1284"/>
    </row>
    <row r="2120" spans="2:6" x14ac:dyDescent="0.2">
      <c r="B2120" s="708"/>
      <c r="C2120" s="585"/>
    </row>
    <row r="2121" spans="2:6" x14ac:dyDescent="0.2">
      <c r="B2121" s="708"/>
      <c r="C2121" s="708" t="s">
        <v>2412</v>
      </c>
      <c r="D2121" s="586"/>
      <c r="F2121" s="591"/>
    </row>
    <row r="2122" spans="2:6" x14ac:dyDescent="0.2">
      <c r="B2122" s="705" t="s">
        <v>5</v>
      </c>
      <c r="C2122" s="2" t="s">
        <v>6</v>
      </c>
      <c r="D2122" s="701">
        <v>2363461.73</v>
      </c>
      <c r="E2122" s="588"/>
      <c r="F2122" s="701">
        <v>2363461.73</v>
      </c>
    </row>
    <row r="2123" spans="2:6" x14ac:dyDescent="0.2">
      <c r="B2123" s="705" t="s">
        <v>9</v>
      </c>
      <c r="C2123" s="700" t="s">
        <v>10</v>
      </c>
      <c r="D2123" s="715"/>
    </row>
    <row r="2124" spans="2:6" x14ac:dyDescent="0.2">
      <c r="B2124" s="705" t="s">
        <v>13</v>
      </c>
      <c r="C2124" s="700" t="s">
        <v>14</v>
      </c>
      <c r="D2124" s="701"/>
    </row>
    <row r="2125" spans="2:6" x14ac:dyDescent="0.2">
      <c r="B2125" s="705" t="s">
        <v>27</v>
      </c>
      <c r="C2125" s="2" t="s">
        <v>28</v>
      </c>
      <c r="D2125" s="593"/>
      <c r="E2125" s="588"/>
      <c r="F2125" s="593"/>
    </row>
    <row r="2126" spans="2:6" x14ac:dyDescent="0.2">
      <c r="C2126" s="704" t="s">
        <v>2413</v>
      </c>
      <c r="D2126" s="595">
        <f>SUM(D2122:D2125)</f>
        <v>2363461.73</v>
      </c>
      <c r="E2126" s="595"/>
      <c r="F2126" s="595">
        <f>SUM(F2122:F2125)</f>
        <v>2363461.73</v>
      </c>
    </row>
    <row r="2127" spans="2:6" x14ac:dyDescent="0.2">
      <c r="B2127" s="705"/>
      <c r="C2127" s="704" t="s">
        <v>2414</v>
      </c>
    </row>
    <row r="2128" spans="2:6" x14ac:dyDescent="0.2">
      <c r="B2128" s="705" t="s">
        <v>7</v>
      </c>
      <c r="C2128" s="2" t="s">
        <v>8</v>
      </c>
      <c r="D2128" s="702">
        <v>2298831.1800000002</v>
      </c>
      <c r="F2128" s="702">
        <v>2298831.1800000002</v>
      </c>
    </row>
    <row r="2129" spans="2:6" x14ac:dyDescent="0.2">
      <c r="B2129" s="705" t="s">
        <v>11</v>
      </c>
      <c r="C2129" s="2" t="s">
        <v>12</v>
      </c>
      <c r="F2129" s="702"/>
    </row>
    <row r="2130" spans="2:6" x14ac:dyDescent="0.2">
      <c r="B2130" s="705" t="s">
        <v>15</v>
      </c>
      <c r="C2130" s="2" t="s">
        <v>16</v>
      </c>
    </row>
    <row r="2131" spans="2:6" x14ac:dyDescent="0.2">
      <c r="B2131" s="705" t="s">
        <v>592</v>
      </c>
      <c r="C2131" s="2" t="s">
        <v>23</v>
      </c>
    </row>
    <row r="2132" spans="2:6" ht="25.5" x14ac:dyDescent="0.2">
      <c r="B2132" s="707" t="s">
        <v>595</v>
      </c>
      <c r="C2132" s="706" t="s">
        <v>2415</v>
      </c>
    </row>
    <row r="2133" spans="2:6" x14ac:dyDescent="0.2">
      <c r="B2133" s="705" t="s">
        <v>598</v>
      </c>
      <c r="C2133" s="2" t="s">
        <v>2416</v>
      </c>
    </row>
    <row r="2134" spans="2:6" x14ac:dyDescent="0.2">
      <c r="B2134" s="705" t="s">
        <v>600</v>
      </c>
      <c r="C2134" s="2" t="s">
        <v>2417</v>
      </c>
      <c r="D2134" s="593"/>
      <c r="E2134" s="588"/>
      <c r="F2134" s="593"/>
    </row>
    <row r="2135" spans="2:6" x14ac:dyDescent="0.2">
      <c r="C2135" s="704" t="s">
        <v>2418</v>
      </c>
      <c r="D2135" s="591">
        <f>SUM(D2128:D2134)</f>
        <v>2298831.1800000002</v>
      </c>
      <c r="E2135" s="591"/>
      <c r="F2135" s="591">
        <f>SUM(F2128:F2134)</f>
        <v>2298831.1800000002</v>
      </c>
    </row>
    <row r="2137" spans="2:6" x14ac:dyDescent="0.2">
      <c r="C2137" s="703" t="s">
        <v>2419</v>
      </c>
      <c r="D2137" s="594">
        <f>+D2126-D2135</f>
        <v>64630.549999999814</v>
      </c>
      <c r="E2137" s="591"/>
      <c r="F2137" s="594">
        <f>+F2126-F2135</f>
        <v>64630.549999999814</v>
      </c>
    </row>
    <row r="2140" spans="2:6" x14ac:dyDescent="0.2">
      <c r="D2140" s="700"/>
      <c r="E2140" s="585"/>
      <c r="F2140" s="700"/>
    </row>
    <row r="2141" spans="2:6" x14ac:dyDescent="0.2">
      <c r="D2141" s="700"/>
      <c r="E2141" s="585"/>
      <c r="F2141" s="700"/>
    </row>
    <row r="2142" spans="2:6" x14ac:dyDescent="0.2">
      <c r="D2142" s="700"/>
      <c r="E2142" s="585"/>
      <c r="F2142" s="700"/>
    </row>
    <row r="2147" spans="1:6" x14ac:dyDescent="0.2">
      <c r="A2147" s="1285" t="s">
        <v>7476</v>
      </c>
      <c r="B2147" s="1285"/>
      <c r="C2147" s="1285"/>
      <c r="D2147" s="1285"/>
      <c r="E2147" s="1285"/>
      <c r="F2147" s="1285"/>
    </row>
    <row r="2148" spans="1:6" x14ac:dyDescent="0.2">
      <c r="A2148" s="1285" t="s">
        <v>7478</v>
      </c>
      <c r="B2148" s="1285"/>
      <c r="C2148" s="1285"/>
      <c r="D2148" s="1285"/>
      <c r="E2148" s="1285"/>
      <c r="F2148" s="1285"/>
    </row>
    <row r="2149" spans="1:6" x14ac:dyDescent="0.2">
      <c r="A2149" s="1285" t="s">
        <v>8933</v>
      </c>
      <c r="B2149" s="1285"/>
      <c r="C2149" s="1285"/>
      <c r="D2149" s="1285"/>
      <c r="E2149" s="1285"/>
      <c r="F2149" s="1285"/>
    </row>
    <row r="2150" spans="1:6" x14ac:dyDescent="0.2">
      <c r="A2150" s="1285" t="s">
        <v>8930</v>
      </c>
      <c r="B2150" s="1285"/>
      <c r="C2150" s="1285"/>
      <c r="D2150" s="1285"/>
      <c r="E2150" s="1285"/>
      <c r="F2150" s="1285"/>
    </row>
    <row r="2151" spans="1:6" x14ac:dyDescent="0.2">
      <c r="D2151" s="701"/>
      <c r="E2151" s="588"/>
      <c r="F2151" s="714"/>
    </row>
    <row r="2152" spans="1:6" x14ac:dyDescent="0.2">
      <c r="D2152" s="701"/>
      <c r="E2152" s="588"/>
      <c r="F2152" s="714"/>
    </row>
    <row r="2153" spans="1:6" x14ac:dyDescent="0.2">
      <c r="C2153" s="708"/>
      <c r="D2153" s="713" t="s">
        <v>2392</v>
      </c>
      <c r="E2153" s="590"/>
      <c r="F2153" s="713" t="s">
        <v>2393</v>
      </c>
    </row>
    <row r="2154" spans="1:6" x14ac:dyDescent="0.2">
      <c r="B2154" s="712"/>
      <c r="C2154" s="2"/>
      <c r="D2154" s="701"/>
      <c r="E2154" s="588"/>
    </row>
    <row r="2155" spans="1:6" x14ac:dyDescent="0.2">
      <c r="C2155" s="711" t="s">
        <v>2394</v>
      </c>
      <c r="D2155" s="594">
        <v>351681.25</v>
      </c>
      <c r="E2155" s="591"/>
      <c r="F2155" s="594">
        <v>0</v>
      </c>
    </row>
    <row r="2156" spans="1:6" x14ac:dyDescent="0.2">
      <c r="C2156" s="711"/>
      <c r="D2156" s="709"/>
      <c r="E2156" s="591"/>
      <c r="F2156" s="709"/>
    </row>
    <row r="2157" spans="1:6" x14ac:dyDescent="0.2">
      <c r="B2157" s="1286" t="s">
        <v>2395</v>
      </c>
      <c r="C2157" s="1286"/>
      <c r="D2157" s="588"/>
      <c r="E2157" s="588"/>
      <c r="F2157" s="588"/>
    </row>
    <row r="2158" spans="1:6" s="1100" customFormat="1" x14ac:dyDescent="0.2">
      <c r="A2158" s="700"/>
      <c r="B2158" s="592">
        <v>1</v>
      </c>
      <c r="C2158" s="710" t="s">
        <v>107</v>
      </c>
      <c r="D2158" s="588"/>
      <c r="E2158" s="588"/>
      <c r="F2158" s="588"/>
    </row>
    <row r="2159" spans="1:6" s="1100" customFormat="1" x14ac:dyDescent="0.2">
      <c r="A2159" s="700"/>
      <c r="B2159" s="592">
        <v>2</v>
      </c>
      <c r="C2159" s="710" t="s">
        <v>109</v>
      </c>
      <c r="D2159" s="588"/>
      <c r="E2159" s="588"/>
      <c r="F2159" s="588"/>
    </row>
    <row r="2160" spans="1:6" s="1100" customFormat="1" x14ac:dyDescent="0.2">
      <c r="A2160" s="700"/>
      <c r="B2160" s="592">
        <v>3</v>
      </c>
      <c r="C2160" s="710" t="s">
        <v>2396</v>
      </c>
      <c r="D2160" s="588"/>
      <c r="E2160" s="588"/>
      <c r="F2160" s="588"/>
    </row>
    <row r="2161" spans="1:6" s="1100" customFormat="1" x14ac:dyDescent="0.2">
      <c r="A2161" s="700"/>
      <c r="B2161" s="592">
        <v>4</v>
      </c>
      <c r="C2161" s="710" t="s">
        <v>113</v>
      </c>
      <c r="D2161" s="588"/>
      <c r="E2161" s="588"/>
      <c r="F2161" s="588"/>
    </row>
    <row r="2162" spans="1:6" s="1100" customFormat="1" x14ac:dyDescent="0.2">
      <c r="A2162" s="700"/>
      <c r="B2162" s="592">
        <v>5</v>
      </c>
      <c r="C2162" s="710" t="s">
        <v>228</v>
      </c>
      <c r="D2162" s="588">
        <v>84.79</v>
      </c>
      <c r="E2162" s="588"/>
      <c r="F2162" s="588">
        <v>144.96</v>
      </c>
    </row>
    <row r="2163" spans="1:6" s="1100" customFormat="1" x14ac:dyDescent="0.2">
      <c r="A2163" s="700"/>
      <c r="B2163" s="592">
        <v>6</v>
      </c>
      <c r="C2163" s="710" t="s">
        <v>231</v>
      </c>
      <c r="D2163" s="588"/>
      <c r="E2163" s="588"/>
      <c r="F2163" s="588"/>
    </row>
    <row r="2164" spans="1:6" s="1100" customFormat="1" x14ac:dyDescent="0.2">
      <c r="A2164" s="700"/>
      <c r="B2164" s="592">
        <v>7</v>
      </c>
      <c r="C2164" s="710" t="s">
        <v>2397</v>
      </c>
      <c r="D2164" s="350"/>
      <c r="E2164" s="350"/>
      <c r="F2164" s="350"/>
    </row>
    <row r="2165" spans="1:6" s="1100" customFormat="1" x14ac:dyDescent="0.2">
      <c r="A2165" s="700"/>
      <c r="B2165" s="592">
        <v>8</v>
      </c>
      <c r="C2165" s="710" t="s">
        <v>2398</v>
      </c>
      <c r="D2165" s="588"/>
      <c r="E2165" s="588"/>
      <c r="F2165" s="588">
        <v>351621.08</v>
      </c>
    </row>
    <row r="2166" spans="1:6" s="1100" customFormat="1" x14ac:dyDescent="0.2">
      <c r="A2166" s="700"/>
      <c r="B2166" s="592">
        <v>9</v>
      </c>
      <c r="C2166" s="710" t="s">
        <v>2399</v>
      </c>
      <c r="D2166" s="588"/>
      <c r="E2166" s="588"/>
      <c r="F2166" s="588"/>
    </row>
    <row r="2167" spans="1:6" s="1100" customFormat="1" x14ac:dyDescent="0.2">
      <c r="A2167" s="700"/>
      <c r="B2167" s="592">
        <v>0</v>
      </c>
      <c r="C2167" s="710" t="s">
        <v>500</v>
      </c>
      <c r="D2167" s="593"/>
      <c r="E2167" s="588"/>
      <c r="F2167" s="593"/>
    </row>
    <row r="2168" spans="1:6" s="1100" customFormat="1" x14ac:dyDescent="0.2">
      <c r="A2168" s="700"/>
      <c r="B2168" s="585"/>
      <c r="C2168" s="587" t="s">
        <v>2400</v>
      </c>
      <c r="D2168" s="709">
        <f>SUM(D2158:D2167)</f>
        <v>84.79</v>
      </c>
      <c r="E2168" s="591"/>
      <c r="F2168" s="709">
        <f>SUM(F2158:F2167)</f>
        <v>351766.04000000004</v>
      </c>
    </row>
    <row r="2169" spans="1:6" s="1100" customFormat="1" x14ac:dyDescent="0.2">
      <c r="A2169" s="700"/>
      <c r="B2169" s="585"/>
      <c r="C2169" s="585"/>
      <c r="D2169" s="701"/>
      <c r="E2169" s="588"/>
      <c r="F2169" s="701"/>
    </row>
    <row r="2170" spans="1:6" s="1100" customFormat="1" x14ac:dyDescent="0.2">
      <c r="A2170" s="700"/>
      <c r="B2170" s="1283" t="s">
        <v>2401</v>
      </c>
      <c r="C2170" s="1283"/>
      <c r="D2170" s="709"/>
      <c r="E2170" s="591"/>
      <c r="F2170" s="709"/>
    </row>
    <row r="2171" spans="1:6" s="1100" customFormat="1" x14ac:dyDescent="0.2">
      <c r="A2171" s="700"/>
      <c r="B2171" s="592">
        <v>1000</v>
      </c>
      <c r="C2171" s="710" t="s">
        <v>2402</v>
      </c>
      <c r="D2171" s="701"/>
      <c r="E2171" s="588"/>
      <c r="F2171" s="701"/>
    </row>
    <row r="2172" spans="1:6" s="1100" customFormat="1" x14ac:dyDescent="0.2">
      <c r="A2172" s="700"/>
      <c r="B2172" s="592">
        <v>2000</v>
      </c>
      <c r="C2172" s="710" t="s">
        <v>2403</v>
      </c>
      <c r="D2172" s="701"/>
      <c r="E2172" s="588"/>
      <c r="F2172" s="701"/>
    </row>
    <row r="2173" spans="1:6" s="1100" customFormat="1" x14ac:dyDescent="0.2">
      <c r="A2173" s="700"/>
      <c r="B2173" s="592">
        <v>3000</v>
      </c>
      <c r="C2173" s="710" t="s">
        <v>2404</v>
      </c>
      <c r="D2173" s="701"/>
      <c r="E2173" s="588"/>
      <c r="F2173" s="701"/>
    </row>
    <row r="2174" spans="1:6" s="1100" customFormat="1" x14ac:dyDescent="0.2">
      <c r="A2174" s="700"/>
      <c r="B2174" s="592">
        <v>4000</v>
      </c>
      <c r="C2174" s="710" t="s">
        <v>2399</v>
      </c>
      <c r="D2174" s="701"/>
      <c r="E2174" s="588"/>
      <c r="F2174" s="701"/>
    </row>
    <row r="2175" spans="1:6" s="1100" customFormat="1" x14ac:dyDescent="0.2">
      <c r="A2175" s="700"/>
      <c r="B2175" s="592">
        <v>5000</v>
      </c>
      <c r="C2175" s="710" t="s">
        <v>2405</v>
      </c>
      <c r="D2175" s="701"/>
      <c r="E2175" s="588"/>
      <c r="F2175" s="701"/>
    </row>
    <row r="2176" spans="1:6" s="1100" customFormat="1" x14ac:dyDescent="0.2">
      <c r="A2176" s="700"/>
      <c r="B2176" s="592">
        <v>6000</v>
      </c>
      <c r="C2176" s="710" t="s">
        <v>2406</v>
      </c>
      <c r="D2176" s="701">
        <v>346756.69</v>
      </c>
      <c r="E2176" s="588"/>
      <c r="F2176" s="701">
        <v>346756.69</v>
      </c>
    </row>
    <row r="2177" spans="1:6" s="1100" customFormat="1" x14ac:dyDescent="0.2">
      <c r="A2177" s="700"/>
      <c r="B2177" s="592">
        <v>7000</v>
      </c>
      <c r="C2177" s="710" t="s">
        <v>2407</v>
      </c>
      <c r="D2177" s="701"/>
      <c r="E2177" s="588"/>
      <c r="F2177" s="701"/>
    </row>
    <row r="2178" spans="1:6" s="1100" customFormat="1" x14ac:dyDescent="0.2">
      <c r="A2178" s="700"/>
      <c r="B2178" s="592">
        <v>8000</v>
      </c>
      <c r="C2178" s="710" t="s">
        <v>2398</v>
      </c>
      <c r="D2178" s="701"/>
      <c r="E2178" s="588"/>
      <c r="F2178" s="701"/>
    </row>
    <row r="2179" spans="1:6" s="1100" customFormat="1" x14ac:dyDescent="0.2">
      <c r="A2179" s="700"/>
      <c r="B2179" s="592">
        <v>9000</v>
      </c>
      <c r="C2179" s="710" t="s">
        <v>2408</v>
      </c>
      <c r="D2179" s="593"/>
      <c r="E2179" s="588"/>
      <c r="F2179" s="593"/>
    </row>
    <row r="2180" spans="1:6" s="1100" customFormat="1" x14ac:dyDescent="0.2">
      <c r="A2180" s="700"/>
      <c r="B2180" s="589"/>
      <c r="C2180" s="587" t="s">
        <v>2409</v>
      </c>
      <c r="D2180" s="709">
        <f>SUM(D2171:D2179)</f>
        <v>346756.69</v>
      </c>
      <c r="E2180" s="591"/>
      <c r="F2180" s="709">
        <f>SUM(F2171:F2179)</f>
        <v>346756.69</v>
      </c>
    </row>
    <row r="2181" spans="1:6" s="1100" customFormat="1" x14ac:dyDescent="0.2">
      <c r="A2181" s="700"/>
      <c r="B2181" s="585"/>
      <c r="C2181" s="585"/>
      <c r="D2181" s="701"/>
      <c r="E2181" s="588"/>
      <c r="F2181" s="701"/>
    </row>
    <row r="2182" spans="1:6" s="1100" customFormat="1" x14ac:dyDescent="0.2">
      <c r="A2182" s="700"/>
      <c r="B2182" s="589"/>
      <c r="C2182" s="696" t="s">
        <v>2410</v>
      </c>
      <c r="D2182" s="594">
        <f>+D2155+D2168-D2180</f>
        <v>5009.3499999999767</v>
      </c>
      <c r="E2182" s="591"/>
      <c r="F2182" s="594">
        <f>+F2155+F2168-F2180</f>
        <v>5009.3500000000349</v>
      </c>
    </row>
    <row r="2184" spans="1:6" s="1100" customFormat="1" x14ac:dyDescent="0.2">
      <c r="A2184" s="700"/>
      <c r="B2184" s="1284" t="s">
        <v>2411</v>
      </c>
      <c r="C2184" s="1284"/>
      <c r="D2184" s="1284"/>
      <c r="E2184" s="1284"/>
      <c r="F2184" s="1284"/>
    </row>
    <row r="2185" spans="1:6" s="1100" customFormat="1" x14ac:dyDescent="0.2">
      <c r="A2185" s="700"/>
      <c r="B2185" s="708"/>
      <c r="C2185" s="585"/>
      <c r="D2185" s="702"/>
      <c r="E2185" s="586"/>
      <c r="F2185" s="701"/>
    </row>
    <row r="2186" spans="1:6" s="1100" customFormat="1" x14ac:dyDescent="0.2">
      <c r="A2186" s="700"/>
      <c r="B2186" s="708"/>
      <c r="C2186" s="708" t="s">
        <v>2412</v>
      </c>
      <c r="D2186" s="586"/>
      <c r="E2186" s="586"/>
      <c r="F2186" s="591"/>
    </row>
    <row r="2187" spans="1:6" s="1100" customFormat="1" x14ac:dyDescent="0.2">
      <c r="A2187" s="700"/>
      <c r="B2187" s="705" t="s">
        <v>5</v>
      </c>
      <c r="C2187" s="2" t="s">
        <v>6</v>
      </c>
      <c r="D2187" s="701">
        <v>351766.04</v>
      </c>
      <c r="E2187" s="588"/>
      <c r="F2187" s="701">
        <v>351766.04</v>
      </c>
    </row>
    <row r="2188" spans="1:6" s="1100" customFormat="1" x14ac:dyDescent="0.2">
      <c r="A2188" s="700"/>
      <c r="B2188" s="705" t="s">
        <v>9</v>
      </c>
      <c r="C2188" s="700" t="s">
        <v>10</v>
      </c>
      <c r="D2188" s="715"/>
      <c r="E2188" s="586"/>
      <c r="F2188" s="701"/>
    </row>
    <row r="2189" spans="1:6" s="1100" customFormat="1" x14ac:dyDescent="0.2">
      <c r="A2189" s="700"/>
      <c r="B2189" s="705" t="s">
        <v>13</v>
      </c>
      <c r="C2189" s="700" t="s">
        <v>14</v>
      </c>
      <c r="D2189" s="701"/>
      <c r="E2189" s="586"/>
      <c r="F2189" s="701"/>
    </row>
    <row r="2190" spans="1:6" s="1100" customFormat="1" x14ac:dyDescent="0.2">
      <c r="A2190" s="700"/>
      <c r="B2190" s="705" t="s">
        <v>27</v>
      </c>
      <c r="C2190" s="2" t="s">
        <v>28</v>
      </c>
      <c r="D2190" s="593"/>
      <c r="E2190" s="588"/>
      <c r="F2190" s="593"/>
    </row>
    <row r="2191" spans="1:6" s="1100" customFormat="1" x14ac:dyDescent="0.2">
      <c r="A2191" s="700"/>
      <c r="B2191" s="700"/>
      <c r="C2191" s="704" t="s">
        <v>2413</v>
      </c>
      <c r="D2191" s="595">
        <f>SUM(D2187:D2190)</f>
        <v>351766.04</v>
      </c>
      <c r="E2191" s="595"/>
      <c r="F2191" s="595">
        <f>SUM(F2187:F2190)</f>
        <v>351766.04</v>
      </c>
    </row>
    <row r="2192" spans="1:6" s="1100" customFormat="1" x14ac:dyDescent="0.2">
      <c r="A2192" s="700"/>
      <c r="B2192" s="705"/>
      <c r="C2192" s="704" t="s">
        <v>2414</v>
      </c>
      <c r="D2192" s="702"/>
      <c r="E2192" s="586"/>
      <c r="F2192" s="701"/>
    </row>
    <row r="2193" spans="1:6" s="1100" customFormat="1" x14ac:dyDescent="0.2">
      <c r="A2193" s="700"/>
      <c r="B2193" s="705" t="s">
        <v>7</v>
      </c>
      <c r="C2193" s="2" t="s">
        <v>8</v>
      </c>
      <c r="D2193" s="702">
        <v>346756.69</v>
      </c>
      <c r="E2193" s="586"/>
      <c r="F2193" s="702">
        <v>346756.69</v>
      </c>
    </row>
    <row r="2194" spans="1:6" s="1100" customFormat="1" x14ac:dyDescent="0.2">
      <c r="A2194" s="700"/>
      <c r="B2194" s="705" t="s">
        <v>11</v>
      </c>
      <c r="C2194" s="2" t="s">
        <v>12</v>
      </c>
      <c r="D2194" s="702"/>
      <c r="E2194" s="586"/>
      <c r="F2194" s="702"/>
    </row>
    <row r="2195" spans="1:6" s="1100" customFormat="1" x14ac:dyDescent="0.2">
      <c r="A2195" s="700"/>
      <c r="B2195" s="705" t="s">
        <v>15</v>
      </c>
      <c r="C2195" s="2" t="s">
        <v>16</v>
      </c>
      <c r="D2195" s="702"/>
      <c r="E2195" s="586"/>
      <c r="F2195" s="701"/>
    </row>
    <row r="2196" spans="1:6" s="1100" customFormat="1" x14ac:dyDescent="0.2">
      <c r="A2196" s="700"/>
      <c r="B2196" s="705" t="s">
        <v>592</v>
      </c>
      <c r="C2196" s="2" t="s">
        <v>23</v>
      </c>
      <c r="D2196" s="702"/>
      <c r="E2196" s="586"/>
      <c r="F2196" s="701"/>
    </row>
    <row r="2197" spans="1:6" s="1100" customFormat="1" ht="25.5" x14ac:dyDescent="0.2">
      <c r="A2197" s="700"/>
      <c r="B2197" s="707" t="s">
        <v>595</v>
      </c>
      <c r="C2197" s="706" t="s">
        <v>2415</v>
      </c>
      <c r="D2197" s="702"/>
      <c r="E2197" s="586"/>
      <c r="F2197" s="701"/>
    </row>
    <row r="2198" spans="1:6" s="1100" customFormat="1" x14ac:dyDescent="0.2">
      <c r="A2198" s="700"/>
      <c r="B2198" s="705" t="s">
        <v>598</v>
      </c>
      <c r="C2198" s="2" t="s">
        <v>2416</v>
      </c>
      <c r="D2198" s="702"/>
      <c r="E2198" s="586"/>
      <c r="F2198" s="701"/>
    </row>
    <row r="2199" spans="1:6" s="1100" customFormat="1" x14ac:dyDescent="0.2">
      <c r="A2199" s="700"/>
      <c r="B2199" s="705" t="s">
        <v>600</v>
      </c>
      <c r="C2199" s="2" t="s">
        <v>2417</v>
      </c>
      <c r="D2199" s="593"/>
      <c r="E2199" s="588"/>
      <c r="F2199" s="593"/>
    </row>
    <row r="2200" spans="1:6" s="1100" customFormat="1" x14ac:dyDescent="0.2">
      <c r="A2200" s="700"/>
      <c r="B2200" s="700"/>
      <c r="C2200" s="704" t="s">
        <v>2418</v>
      </c>
      <c r="D2200" s="591">
        <f>SUM(D2193:D2199)</f>
        <v>346756.69</v>
      </c>
      <c r="E2200" s="591"/>
      <c r="F2200" s="591">
        <f>SUM(F2193:F2199)</f>
        <v>346756.69</v>
      </c>
    </row>
    <row r="2202" spans="1:6" s="1100" customFormat="1" x14ac:dyDescent="0.2">
      <c r="A2202" s="700"/>
      <c r="B2202" s="700"/>
      <c r="C2202" s="703" t="s">
        <v>2419</v>
      </c>
      <c r="D2202" s="594">
        <f>+D2191-D2200</f>
        <v>5009.3499999999767</v>
      </c>
      <c r="E2202" s="591"/>
      <c r="F2202" s="594">
        <f>+F2191-F2200</f>
        <v>5009.3499999999767</v>
      </c>
    </row>
    <row r="2205" spans="1:6" s="1100" customFormat="1" x14ac:dyDescent="0.2">
      <c r="A2205" s="700"/>
      <c r="B2205" s="700"/>
      <c r="C2205" s="700"/>
      <c r="D2205" s="700"/>
      <c r="E2205" s="585"/>
      <c r="F2205" s="700"/>
    </row>
    <row r="2206" spans="1:6" s="1100" customFormat="1" x14ac:dyDescent="0.2">
      <c r="A2206" s="700"/>
      <c r="B2206" s="700"/>
      <c r="C2206" s="700"/>
      <c r="D2206" s="700"/>
      <c r="E2206" s="585"/>
      <c r="F2206" s="700"/>
    </row>
    <row r="2207" spans="1:6" s="1100" customFormat="1" x14ac:dyDescent="0.2">
      <c r="A2207" s="700"/>
      <c r="B2207" s="700"/>
      <c r="C2207" s="700"/>
      <c r="D2207" s="700"/>
      <c r="E2207" s="585"/>
      <c r="F2207" s="700"/>
    </row>
    <row r="2208" spans="1:6" s="1100" customFormat="1" ht="12.75" customHeight="1" x14ac:dyDescent="0.2">
      <c r="A2208" s="700"/>
      <c r="B2208" s="700"/>
      <c r="C2208" s="700"/>
      <c r="D2208" s="702"/>
      <c r="E2208" s="586"/>
      <c r="F2208" s="701"/>
    </row>
    <row r="2213" spans="1:6" s="1100" customFormat="1" x14ac:dyDescent="0.2">
      <c r="A2213" s="1285" t="s">
        <v>7476</v>
      </c>
      <c r="B2213" s="1285"/>
      <c r="C2213" s="1285"/>
      <c r="D2213" s="1285"/>
      <c r="E2213" s="1285"/>
      <c r="F2213" s="1285"/>
    </row>
    <row r="2214" spans="1:6" s="1100" customFormat="1" x14ac:dyDescent="0.2">
      <c r="A2214" s="1285" t="s">
        <v>7478</v>
      </c>
      <c r="B2214" s="1285"/>
      <c r="C2214" s="1285"/>
      <c r="D2214" s="1285"/>
      <c r="E2214" s="1285"/>
      <c r="F2214" s="1285"/>
    </row>
    <row r="2215" spans="1:6" s="1100" customFormat="1" x14ac:dyDescent="0.2">
      <c r="A2215" s="1285" t="s">
        <v>7477</v>
      </c>
      <c r="B2215" s="1285"/>
      <c r="C2215" s="1285"/>
      <c r="D2215" s="1285"/>
      <c r="E2215" s="1285"/>
      <c r="F2215" s="1285"/>
    </row>
    <row r="2216" spans="1:6" s="1100" customFormat="1" x14ac:dyDescent="0.2">
      <c r="A2216" s="1285" t="s">
        <v>8932</v>
      </c>
      <c r="B2216" s="1285"/>
      <c r="C2216" s="1285"/>
      <c r="D2216" s="1285"/>
      <c r="E2216" s="1285"/>
      <c r="F2216" s="1285"/>
    </row>
    <row r="2217" spans="1:6" s="1100" customFormat="1" x14ac:dyDescent="0.2">
      <c r="A2217" s="700"/>
      <c r="B2217" s="700"/>
      <c r="C2217" s="700"/>
      <c r="D2217" s="701"/>
      <c r="E2217" s="588"/>
      <c r="F2217" s="714"/>
    </row>
    <row r="2218" spans="1:6" s="1100" customFormat="1" x14ac:dyDescent="0.2">
      <c r="A2218" s="700"/>
      <c r="B2218" s="700"/>
      <c r="C2218" s="700"/>
      <c r="D2218" s="701"/>
      <c r="E2218" s="588"/>
      <c r="F2218" s="714"/>
    </row>
    <row r="2219" spans="1:6" s="1100" customFormat="1" x14ac:dyDescent="0.2">
      <c r="A2219" s="700"/>
      <c r="B2219" s="700"/>
      <c r="C2219" s="708"/>
      <c r="D2219" s="713" t="s">
        <v>2392</v>
      </c>
      <c r="E2219" s="590"/>
      <c r="F2219" s="713" t="s">
        <v>2393</v>
      </c>
    </row>
    <row r="2220" spans="1:6" s="1100" customFormat="1" x14ac:dyDescent="0.2">
      <c r="A2220" s="700"/>
      <c r="B2220" s="712"/>
      <c r="C2220" s="2"/>
      <c r="D2220" s="701"/>
      <c r="E2220" s="588"/>
      <c r="F2220" s="701"/>
    </row>
    <row r="2221" spans="1:6" s="1100" customFormat="1" x14ac:dyDescent="0.2">
      <c r="A2221" s="700"/>
      <c r="B2221" s="700"/>
      <c r="C2221" s="711" t="s">
        <v>2394</v>
      </c>
      <c r="D2221" s="594">
        <v>-1513322.8899999857</v>
      </c>
      <c r="E2221" s="591"/>
      <c r="F2221" s="594">
        <v>-27944684.43</v>
      </c>
    </row>
    <row r="2222" spans="1:6" x14ac:dyDescent="0.2">
      <c r="C2222" s="711"/>
      <c r="D2222" s="709"/>
      <c r="E2222" s="591"/>
      <c r="F2222" s="709"/>
    </row>
    <row r="2223" spans="1:6" x14ac:dyDescent="0.2">
      <c r="B2223" s="1286" t="s">
        <v>2395</v>
      </c>
      <c r="C2223" s="1286"/>
      <c r="D2223" s="588"/>
      <c r="E2223" s="588"/>
      <c r="F2223" s="588"/>
    </row>
    <row r="2224" spans="1:6" x14ac:dyDescent="0.2">
      <c r="B2224" s="592">
        <v>1</v>
      </c>
      <c r="C2224" s="710" t="s">
        <v>107</v>
      </c>
      <c r="D2224" s="588">
        <v>4792578.8299999982</v>
      </c>
      <c r="E2224" s="588"/>
      <c r="F2224" s="588">
        <v>84649950.230000004</v>
      </c>
    </row>
    <row r="2225" spans="2:6" x14ac:dyDescent="0.2">
      <c r="B2225" s="592">
        <v>2</v>
      </c>
      <c r="C2225" s="710" t="s">
        <v>109</v>
      </c>
      <c r="D2225" s="588"/>
      <c r="E2225" s="588"/>
      <c r="F2225" s="588"/>
    </row>
    <row r="2226" spans="2:6" x14ac:dyDescent="0.2">
      <c r="B2226" s="592">
        <v>3</v>
      </c>
      <c r="C2226" s="710" t="s">
        <v>2396</v>
      </c>
      <c r="D2226" s="588"/>
      <c r="E2226" s="588"/>
      <c r="F2226" s="588"/>
    </row>
    <row r="2227" spans="2:6" x14ac:dyDescent="0.2">
      <c r="B2227" s="592">
        <v>4</v>
      </c>
      <c r="C2227" s="710" t="s">
        <v>113</v>
      </c>
      <c r="D2227" s="588">
        <v>2721596.4699999988</v>
      </c>
      <c r="E2227" s="588"/>
      <c r="F2227" s="588">
        <v>40684787.939999998</v>
      </c>
    </row>
    <row r="2228" spans="2:6" x14ac:dyDescent="0.2">
      <c r="B2228" s="592">
        <v>5</v>
      </c>
      <c r="C2228" s="710" t="s">
        <v>228</v>
      </c>
      <c r="D2228" s="588">
        <v>381800.66999999993</v>
      </c>
      <c r="E2228" s="588"/>
      <c r="F2228" s="588">
        <v>4125123.04</v>
      </c>
    </row>
    <row r="2229" spans="2:6" x14ac:dyDescent="0.2">
      <c r="B2229" s="592">
        <v>6</v>
      </c>
      <c r="C2229" s="710" t="s">
        <v>231</v>
      </c>
      <c r="D2229" s="588">
        <v>910705.40000000037</v>
      </c>
      <c r="E2229" s="588"/>
      <c r="F2229" s="588">
        <v>10278752.630000001</v>
      </c>
    </row>
    <row r="2230" spans="2:6" x14ac:dyDescent="0.2">
      <c r="B2230" s="592">
        <v>7</v>
      </c>
      <c r="C2230" s="710" t="s">
        <v>2397</v>
      </c>
      <c r="D2230" s="350"/>
      <c r="E2230" s="350"/>
      <c r="F2230" s="350"/>
    </row>
    <row r="2231" spans="2:6" x14ac:dyDescent="0.2">
      <c r="B2231" s="592">
        <v>8</v>
      </c>
      <c r="C2231" s="710" t="s">
        <v>2398</v>
      </c>
      <c r="D2231" s="588">
        <v>37944212.25999999</v>
      </c>
      <c r="E2231" s="588"/>
      <c r="F2231" s="588">
        <v>496513744.37</v>
      </c>
    </row>
    <row r="2232" spans="2:6" x14ac:dyDescent="0.2">
      <c r="B2232" s="592">
        <v>9</v>
      </c>
      <c r="C2232" s="710" t="s">
        <v>2399</v>
      </c>
      <c r="D2232" s="588"/>
      <c r="E2232" s="588"/>
      <c r="F2232" s="588"/>
    </row>
    <row r="2233" spans="2:6" x14ac:dyDescent="0.2">
      <c r="B2233" s="592">
        <v>0</v>
      </c>
      <c r="C2233" s="710" t="s">
        <v>500</v>
      </c>
      <c r="D2233" s="593"/>
      <c r="E2233" s="588"/>
      <c r="F2233" s="593"/>
    </row>
    <row r="2234" spans="2:6" x14ac:dyDescent="0.2">
      <c r="B2234" s="585"/>
      <c r="C2234" s="587" t="s">
        <v>2400</v>
      </c>
      <c r="D2234" s="709">
        <f>SUM(D2224:D2233)</f>
        <v>46750893.629999988</v>
      </c>
      <c r="E2234" s="591"/>
      <c r="F2234" s="709">
        <f>SUM(F2224:F2233)</f>
        <v>636252358.21000004</v>
      </c>
    </row>
    <row r="2235" spans="2:6" x14ac:dyDescent="0.2">
      <c r="B2235" s="585"/>
      <c r="C2235" s="585"/>
      <c r="D2235" s="701"/>
      <c r="E2235" s="588"/>
    </row>
    <row r="2236" spans="2:6" x14ac:dyDescent="0.2">
      <c r="B2236" s="1283" t="s">
        <v>2401</v>
      </c>
      <c r="C2236" s="1283"/>
      <c r="D2236" s="709"/>
      <c r="E2236" s="591"/>
      <c r="F2236" s="709"/>
    </row>
    <row r="2237" spans="2:6" x14ac:dyDescent="0.2">
      <c r="B2237" s="592">
        <v>1000</v>
      </c>
      <c r="C2237" s="710" t="s">
        <v>2402</v>
      </c>
      <c r="D2237" s="701">
        <v>58853657.900000095</v>
      </c>
      <c r="E2237" s="588"/>
      <c r="F2237" s="701">
        <v>432946401.70000011</v>
      </c>
    </row>
    <row r="2238" spans="2:6" x14ac:dyDescent="0.2">
      <c r="B2238" s="592">
        <v>2000</v>
      </c>
      <c r="C2238" s="710" t="s">
        <v>2403</v>
      </c>
      <c r="D2238" s="701">
        <v>4958795.4800000004</v>
      </c>
      <c r="E2238" s="588"/>
      <c r="F2238" s="701">
        <v>36957496.310000002</v>
      </c>
    </row>
    <row r="2239" spans="2:6" x14ac:dyDescent="0.2">
      <c r="B2239" s="592">
        <v>3000</v>
      </c>
      <c r="C2239" s="710" t="s">
        <v>2404</v>
      </c>
      <c r="D2239" s="701">
        <v>23535370.040000021</v>
      </c>
      <c r="E2239" s="588"/>
      <c r="F2239" s="701">
        <v>139716731.81</v>
      </c>
    </row>
    <row r="2240" spans="2:6" x14ac:dyDescent="0.2">
      <c r="B2240" s="592">
        <v>4000</v>
      </c>
      <c r="C2240" s="710" t="s">
        <v>2399</v>
      </c>
      <c r="D2240" s="701">
        <v>-8269113.4699999951</v>
      </c>
      <c r="E2240" s="588"/>
      <c r="F2240" s="701">
        <v>30055482.010000002</v>
      </c>
    </row>
    <row r="2241" spans="2:6" x14ac:dyDescent="0.2">
      <c r="B2241" s="592">
        <v>5000</v>
      </c>
      <c r="C2241" s="710" t="s">
        <v>2405</v>
      </c>
      <c r="D2241" s="701">
        <v>-167943.97</v>
      </c>
      <c r="E2241" s="588"/>
      <c r="F2241" s="701">
        <v>644841.28</v>
      </c>
    </row>
    <row r="2242" spans="2:6" x14ac:dyDescent="0.2">
      <c r="B2242" s="592">
        <v>6000</v>
      </c>
      <c r="C2242" s="710" t="s">
        <v>2406</v>
      </c>
      <c r="D2242" s="701">
        <v>1020510</v>
      </c>
      <c r="E2242" s="588"/>
      <c r="F2242" s="701">
        <v>2680425.91</v>
      </c>
    </row>
    <row r="2243" spans="2:6" x14ac:dyDescent="0.2">
      <c r="B2243" s="592">
        <v>7000</v>
      </c>
      <c r="C2243" s="710" t="s">
        <v>2407</v>
      </c>
      <c r="D2243" s="701"/>
      <c r="E2243" s="588"/>
    </row>
    <row r="2244" spans="2:6" x14ac:dyDescent="0.2">
      <c r="B2244" s="592">
        <v>8000</v>
      </c>
      <c r="C2244" s="710" t="s">
        <v>2398</v>
      </c>
      <c r="D2244" s="701"/>
      <c r="E2244" s="588"/>
    </row>
    <row r="2245" spans="2:6" x14ac:dyDescent="0.2">
      <c r="B2245" s="592">
        <v>9000</v>
      </c>
      <c r="C2245" s="710" t="s">
        <v>2408</v>
      </c>
      <c r="D2245" s="593">
        <v>510985.46</v>
      </c>
      <c r="E2245" s="588"/>
      <c r="F2245" s="593">
        <v>510985.46</v>
      </c>
    </row>
    <row r="2246" spans="2:6" x14ac:dyDescent="0.2">
      <c r="B2246" s="589"/>
      <c r="C2246" s="587" t="s">
        <v>2409</v>
      </c>
      <c r="D2246" s="709">
        <f>SUM(D2237:D2245)</f>
        <v>80442261.440000117</v>
      </c>
      <c r="E2246" s="591"/>
      <c r="F2246" s="709">
        <f>SUM(F2237:F2245)</f>
        <v>643512364.48000014</v>
      </c>
    </row>
    <row r="2247" spans="2:6" x14ac:dyDescent="0.2">
      <c r="B2247" s="585"/>
      <c r="C2247" s="585"/>
      <c r="D2247" s="701"/>
      <c r="E2247" s="588"/>
    </row>
    <row r="2248" spans="2:6" x14ac:dyDescent="0.2">
      <c r="B2248" s="589"/>
      <c r="C2248" s="696" t="s">
        <v>2410</v>
      </c>
      <c r="D2248" s="594">
        <f>+D2221+D2234-D2246</f>
        <v>-35204690.700000115</v>
      </c>
      <c r="E2248" s="591"/>
      <c r="F2248" s="594">
        <f>+F2221+F2234-F2246</f>
        <v>-35204690.700000048</v>
      </c>
    </row>
    <row r="2250" spans="2:6" x14ac:dyDescent="0.2">
      <c r="B2250" s="1284" t="s">
        <v>2411</v>
      </c>
      <c r="C2250" s="1284"/>
      <c r="D2250" s="1284"/>
      <c r="E2250" s="1284"/>
      <c r="F2250" s="1284"/>
    </row>
    <row r="2251" spans="2:6" x14ac:dyDescent="0.2">
      <c r="B2251" s="708"/>
      <c r="C2251" s="585"/>
    </row>
    <row r="2252" spans="2:6" x14ac:dyDescent="0.2">
      <c r="B2252" s="708"/>
      <c r="C2252" s="708" t="s">
        <v>2412</v>
      </c>
      <c r="D2252" s="586"/>
      <c r="F2252" s="591"/>
    </row>
    <row r="2253" spans="2:6" x14ac:dyDescent="0.2">
      <c r="B2253" s="705" t="s">
        <v>5</v>
      </c>
      <c r="C2253" s="2" t="s">
        <v>6</v>
      </c>
      <c r="D2253" s="701">
        <v>1926297.5900000005</v>
      </c>
      <c r="E2253" s="588"/>
      <c r="F2253" s="701">
        <v>1926297.5900000005</v>
      </c>
    </row>
    <row r="2254" spans="2:6" x14ac:dyDescent="0.2">
      <c r="B2254" s="705" t="s">
        <v>9</v>
      </c>
      <c r="C2254" s="700" t="s">
        <v>10</v>
      </c>
      <c r="D2254" s="701">
        <v>2216179.3200000003</v>
      </c>
      <c r="E2254" s="588"/>
      <c r="F2254" s="701">
        <v>2216179.3200000003</v>
      </c>
    </row>
    <row r="2255" spans="2:6" x14ac:dyDescent="0.2">
      <c r="B2255" s="705" t="s">
        <v>13</v>
      </c>
      <c r="C2255" s="700" t="s">
        <v>14</v>
      </c>
      <c r="D2255" s="701">
        <v>6890.4</v>
      </c>
      <c r="E2255" s="588"/>
      <c r="F2255" s="701">
        <v>6890.4</v>
      </c>
    </row>
    <row r="2256" spans="2:6" x14ac:dyDescent="0.2">
      <c r="B2256" s="705" t="s">
        <v>27</v>
      </c>
      <c r="C2256" s="2" t="s">
        <v>28</v>
      </c>
      <c r="D2256" s="593">
        <f>1693884+81560.32</f>
        <v>1775444.32</v>
      </c>
      <c r="E2256" s="593"/>
      <c r="F2256" s="593">
        <f>1693884+81560.32</f>
        <v>1775444.32</v>
      </c>
    </row>
    <row r="2257" spans="2:6" x14ac:dyDescent="0.2">
      <c r="C2257" s="704" t="s">
        <v>2413</v>
      </c>
      <c r="D2257" s="595">
        <f>SUM(D2253:D2256)</f>
        <v>5924811.6300000008</v>
      </c>
      <c r="E2257" s="595"/>
      <c r="F2257" s="595">
        <f>SUM(F2253:F2256)</f>
        <v>5924811.6300000008</v>
      </c>
    </row>
    <row r="2258" spans="2:6" x14ac:dyDescent="0.2">
      <c r="B2258" s="705"/>
      <c r="C2258" s="704" t="s">
        <v>2414</v>
      </c>
    </row>
    <row r="2259" spans="2:6" x14ac:dyDescent="0.2">
      <c r="B2259" s="705" t="s">
        <v>7</v>
      </c>
      <c r="C2259" s="2" t="s">
        <v>8</v>
      </c>
      <c r="D2259" s="701">
        <f>37704089.98+3088593.35+336819</f>
        <v>41129502.329999998</v>
      </c>
      <c r="E2259" s="588"/>
      <c r="F2259" s="701">
        <v>41129502.329999998</v>
      </c>
    </row>
    <row r="2260" spans="2:6" x14ac:dyDescent="0.2">
      <c r="B2260" s="705" t="s">
        <v>11</v>
      </c>
      <c r="C2260" s="2" t="s">
        <v>12</v>
      </c>
      <c r="D2260" s="701"/>
      <c r="E2260" s="588"/>
    </row>
    <row r="2261" spans="2:6" x14ac:dyDescent="0.2">
      <c r="B2261" s="705" t="s">
        <v>15</v>
      </c>
      <c r="C2261" s="2" t="s">
        <v>16</v>
      </c>
      <c r="D2261" s="701"/>
      <c r="E2261" s="588"/>
    </row>
    <row r="2262" spans="2:6" x14ac:dyDescent="0.2">
      <c r="B2262" s="705" t="s">
        <v>592</v>
      </c>
      <c r="C2262" s="2" t="s">
        <v>23</v>
      </c>
      <c r="D2262" s="701"/>
      <c r="E2262" s="588"/>
    </row>
    <row r="2263" spans="2:6" ht="25.5" x14ac:dyDescent="0.2">
      <c r="B2263" s="707" t="s">
        <v>595</v>
      </c>
      <c r="C2263" s="706" t="s">
        <v>2415</v>
      </c>
    </row>
    <row r="2264" spans="2:6" x14ac:dyDescent="0.2">
      <c r="B2264" s="705" t="s">
        <v>598</v>
      </c>
      <c r="C2264" s="2" t="s">
        <v>2416</v>
      </c>
    </row>
    <row r="2265" spans="2:6" x14ac:dyDescent="0.2">
      <c r="B2265" s="705" t="s">
        <v>600</v>
      </c>
      <c r="C2265" s="2" t="s">
        <v>2417</v>
      </c>
      <c r="D2265" s="593"/>
      <c r="E2265" s="588"/>
      <c r="F2265" s="593"/>
    </row>
    <row r="2266" spans="2:6" x14ac:dyDescent="0.2">
      <c r="C2266" s="704" t="s">
        <v>2418</v>
      </c>
      <c r="D2266" s="591">
        <f>SUM(D2259:D2265)</f>
        <v>41129502.329999998</v>
      </c>
      <c r="E2266" s="591"/>
      <c r="F2266" s="591">
        <f>SUM(F2259:F2265)</f>
        <v>41129502.329999998</v>
      </c>
    </row>
    <row r="2268" spans="2:6" x14ac:dyDescent="0.2">
      <c r="C2268" s="703" t="s">
        <v>2419</v>
      </c>
      <c r="D2268" s="594">
        <f>+D2257-D2266</f>
        <v>-35204690.699999996</v>
      </c>
      <c r="E2268" s="591"/>
      <c r="F2268" s="594">
        <f>+F2257-F2266</f>
        <v>-35204690.699999996</v>
      </c>
    </row>
    <row r="2270" spans="2:6" x14ac:dyDescent="0.2">
      <c r="B2270" s="926" t="s">
        <v>8931</v>
      </c>
    </row>
    <row r="2271" spans="2:6" x14ac:dyDescent="0.2">
      <c r="D2271" s="700"/>
      <c r="E2271" s="585"/>
      <c r="F2271" s="700"/>
    </row>
    <row r="2272" spans="2:6" x14ac:dyDescent="0.2">
      <c r="D2272" s="700"/>
      <c r="E2272" s="585"/>
      <c r="F2272" s="700"/>
    </row>
    <row r="2273" spans="1:6" x14ac:dyDescent="0.2">
      <c r="D2273" s="700"/>
      <c r="E2273" s="585"/>
      <c r="F2273" s="700"/>
    </row>
    <row r="2278" spans="1:6" x14ac:dyDescent="0.2">
      <c r="A2278" s="1285" t="s">
        <v>7476</v>
      </c>
      <c r="B2278" s="1285"/>
      <c r="C2278" s="1285"/>
      <c r="D2278" s="1285"/>
      <c r="E2278" s="1285"/>
      <c r="F2278" s="1285"/>
    </row>
    <row r="2279" spans="1:6" x14ac:dyDescent="0.2">
      <c r="A2279" s="1285" t="s">
        <v>7475</v>
      </c>
      <c r="B2279" s="1285"/>
      <c r="C2279" s="1285"/>
      <c r="D2279" s="1285"/>
      <c r="E2279" s="1285"/>
      <c r="F2279" s="1285"/>
    </row>
    <row r="2280" spans="1:6" x14ac:dyDescent="0.2">
      <c r="A2280" s="1285" t="s">
        <v>7474</v>
      </c>
      <c r="B2280" s="1285"/>
      <c r="C2280" s="1285"/>
      <c r="D2280" s="1285"/>
      <c r="E2280" s="1285"/>
      <c r="F2280" s="1285"/>
    </row>
    <row r="2281" spans="1:6" x14ac:dyDescent="0.2">
      <c r="A2281" s="1285" t="s">
        <v>8930</v>
      </c>
      <c r="B2281" s="1285"/>
      <c r="C2281" s="1285"/>
      <c r="D2281" s="1285"/>
      <c r="E2281" s="1285"/>
      <c r="F2281" s="1285"/>
    </row>
    <row r="2282" spans="1:6" x14ac:dyDescent="0.2">
      <c r="D2282" s="701"/>
      <c r="E2282" s="588"/>
      <c r="F2282" s="714"/>
    </row>
    <row r="2283" spans="1:6" x14ac:dyDescent="0.2">
      <c r="D2283" s="701"/>
      <c r="E2283" s="588"/>
      <c r="F2283" s="714"/>
    </row>
    <row r="2284" spans="1:6" x14ac:dyDescent="0.2">
      <c r="C2284" s="708"/>
      <c r="D2284" s="713" t="s">
        <v>2392</v>
      </c>
      <c r="E2284" s="590"/>
      <c r="F2284" s="713" t="s">
        <v>2393</v>
      </c>
    </row>
    <row r="2285" spans="1:6" x14ac:dyDescent="0.2">
      <c r="B2285" s="712"/>
      <c r="C2285" s="2"/>
      <c r="D2285" s="701"/>
      <c r="E2285" s="588"/>
    </row>
    <row r="2286" spans="1:6" x14ac:dyDescent="0.2">
      <c r="C2286" s="711" t="s">
        <v>2394</v>
      </c>
      <c r="D2286" s="594">
        <f>+D10+D75+D140+D205+D270+D335+D400+D465+D530+D595+D660+D725+D1245+D1310+D1636+D1700+D1765+D1829+D1895+D1960+D2221+D790+D855+D920+D985+D1050+D1115+D1180+D1375+D1440+D1505+D2025+D2090+D1570+D2155</f>
        <v>68427317.000000045</v>
      </c>
      <c r="E2286" s="594"/>
      <c r="F2286" s="594">
        <f>+F10+F75+F140+F205+F270+F335+F400+F465+F530+F595+F660+F725+F1245+F1310+F1636+F1700+F1765+F1829+F1895+F1960+F2221+F790+F855+F920+F985+F1050+F1115+F1180+F1375+F1440+F1505+F2025+F2090+F1570+F2155</f>
        <v>118677583.48999998</v>
      </c>
    </row>
    <row r="2287" spans="1:6" x14ac:dyDescent="0.2">
      <c r="C2287" s="711"/>
      <c r="D2287" s="709"/>
      <c r="E2287" s="591"/>
      <c r="F2287" s="709"/>
    </row>
    <row r="2288" spans="1:6" x14ac:dyDescent="0.2">
      <c r="B2288" s="1286" t="s">
        <v>2395</v>
      </c>
      <c r="C2288" s="1286"/>
      <c r="D2288" s="588"/>
      <c r="E2288" s="588"/>
      <c r="F2288" s="588"/>
    </row>
    <row r="2289" spans="2:6" x14ac:dyDescent="0.2">
      <c r="B2289" s="592">
        <v>1</v>
      </c>
      <c r="C2289" s="710" t="s">
        <v>107</v>
      </c>
      <c r="D2289" s="588">
        <f t="shared" ref="D2289:D2298" si="0">+D13+D78+D143+D208+D273+D338+D403+D468+D533+D598+D663+D728+D1248+D1313+D1639+D1703+D1768+D1832+D1898+D1963+D2224+D793+D858+D923+D988+D1053+D1118+D1183+D1378+D1443+D1508+D2028+D2093+D1573+D2158</f>
        <v>4792578.8299999982</v>
      </c>
      <c r="E2289" s="588"/>
      <c r="F2289" s="588">
        <f t="shared" ref="F2289:F2298" si="1">+F13+F78+F143+F208+F273+F338+F403+F468+F533+F598+F663+F728+F1248+F1313+F1639+F1703+F1768+F1832+F1898+F1963+F2224+F793+F858+F923+F988+F1053+F1118+F1183+F1378+F1443+F1508+F2028+F2093+F1573+F2158</f>
        <v>84649950.230000004</v>
      </c>
    </row>
    <row r="2290" spans="2:6" x14ac:dyDescent="0.2">
      <c r="B2290" s="592">
        <v>2</v>
      </c>
      <c r="C2290" s="710" t="s">
        <v>109</v>
      </c>
      <c r="D2290" s="588">
        <f t="shared" si="0"/>
        <v>0</v>
      </c>
      <c r="E2290" s="588"/>
      <c r="F2290" s="588">
        <f t="shared" si="1"/>
        <v>0</v>
      </c>
    </row>
    <row r="2291" spans="2:6" x14ac:dyDescent="0.2">
      <c r="B2291" s="592">
        <v>3</v>
      </c>
      <c r="C2291" s="710" t="s">
        <v>2396</v>
      </c>
      <c r="D2291" s="588">
        <f t="shared" si="0"/>
        <v>0</v>
      </c>
      <c r="E2291" s="588"/>
      <c r="F2291" s="588">
        <f t="shared" si="1"/>
        <v>0</v>
      </c>
    </row>
    <row r="2292" spans="2:6" x14ac:dyDescent="0.2">
      <c r="B2292" s="592">
        <v>4</v>
      </c>
      <c r="C2292" s="710" t="s">
        <v>113</v>
      </c>
      <c r="D2292" s="588">
        <f t="shared" si="0"/>
        <v>2721596.4699999988</v>
      </c>
      <c r="E2292" s="588"/>
      <c r="F2292" s="588">
        <f t="shared" si="1"/>
        <v>40684787.939999998</v>
      </c>
    </row>
    <row r="2293" spans="2:6" x14ac:dyDescent="0.2">
      <c r="B2293" s="592">
        <v>5</v>
      </c>
      <c r="C2293" s="710" t="s">
        <v>228</v>
      </c>
      <c r="D2293" s="588">
        <f t="shared" si="0"/>
        <v>1024334.08</v>
      </c>
      <c r="E2293" s="588"/>
      <c r="F2293" s="588">
        <f t="shared" si="1"/>
        <v>10596505.639999999</v>
      </c>
    </row>
    <row r="2294" spans="2:6" x14ac:dyDescent="0.2">
      <c r="B2294" s="592">
        <v>6</v>
      </c>
      <c r="C2294" s="710" t="s">
        <v>231</v>
      </c>
      <c r="D2294" s="588">
        <f t="shared" si="0"/>
        <v>910705.40000000037</v>
      </c>
      <c r="E2294" s="588"/>
      <c r="F2294" s="588">
        <f t="shared" si="1"/>
        <v>10278752.630000001</v>
      </c>
    </row>
    <row r="2295" spans="2:6" x14ac:dyDescent="0.2">
      <c r="B2295" s="592">
        <v>7</v>
      </c>
      <c r="C2295" s="710" t="s">
        <v>2397</v>
      </c>
      <c r="D2295" s="588">
        <f t="shared" si="0"/>
        <v>0</v>
      </c>
      <c r="E2295" s="350"/>
      <c r="F2295" s="588">
        <f t="shared" si="1"/>
        <v>0</v>
      </c>
    </row>
    <row r="2296" spans="2:6" x14ac:dyDescent="0.2">
      <c r="B2296" s="592">
        <v>8</v>
      </c>
      <c r="C2296" s="710" t="s">
        <v>2398</v>
      </c>
      <c r="D2296" s="588">
        <f t="shared" si="0"/>
        <v>56925549.629999995</v>
      </c>
      <c r="E2296" s="588"/>
      <c r="F2296" s="588">
        <f t="shared" si="1"/>
        <v>932597435.62</v>
      </c>
    </row>
    <row r="2297" spans="2:6" x14ac:dyDescent="0.2">
      <c r="B2297" s="592">
        <v>9</v>
      </c>
      <c r="C2297" s="710" t="s">
        <v>2399</v>
      </c>
      <c r="D2297" s="588">
        <f t="shared" si="0"/>
        <v>0</v>
      </c>
      <c r="E2297" s="588"/>
      <c r="F2297" s="588">
        <f t="shared" si="1"/>
        <v>0</v>
      </c>
    </row>
    <row r="2298" spans="2:6" x14ac:dyDescent="0.2">
      <c r="B2298" s="592">
        <v>0</v>
      </c>
      <c r="C2298" s="710" t="s">
        <v>500</v>
      </c>
      <c r="D2298" s="593">
        <f t="shared" si="0"/>
        <v>0</v>
      </c>
      <c r="E2298" s="588"/>
      <c r="F2298" s="593">
        <f t="shared" si="1"/>
        <v>0</v>
      </c>
    </row>
    <row r="2299" spans="2:6" x14ac:dyDescent="0.2">
      <c r="B2299" s="585"/>
      <c r="C2299" s="587" t="s">
        <v>2400</v>
      </c>
      <c r="D2299" s="709">
        <f>SUM(D2289:D2298)</f>
        <v>66374764.409999996</v>
      </c>
      <c r="E2299" s="591"/>
      <c r="F2299" s="709">
        <f>SUM(F2289:F2298)</f>
        <v>1078807432.0599999</v>
      </c>
    </row>
    <row r="2300" spans="2:6" x14ac:dyDescent="0.2">
      <c r="B2300" s="585"/>
      <c r="C2300" s="585"/>
      <c r="D2300" s="701"/>
      <c r="E2300" s="588"/>
    </row>
    <row r="2301" spans="2:6" x14ac:dyDescent="0.2">
      <c r="B2301" s="1283" t="s">
        <v>2401</v>
      </c>
      <c r="C2301" s="1283"/>
      <c r="D2301" s="588"/>
      <c r="E2301" s="591"/>
      <c r="F2301" s="588"/>
    </row>
    <row r="2302" spans="2:6" x14ac:dyDescent="0.2">
      <c r="B2302" s="592">
        <v>1000</v>
      </c>
      <c r="C2302" s="710" t="s">
        <v>2402</v>
      </c>
      <c r="D2302" s="588">
        <f t="shared" ref="D2302:D2310" si="2">+D26+D91+D156+D221+D286+D351+D416+D481+D546+D611+D676+D741+D1261+D1326+D1652+D1716+D1781+D1845+D1911+D1976+D2237+D806+D871+D936+D1001+D1066+D1131+D1196+D1391+D1456+D1521+D2041+D2106+D1586+D2171</f>
        <v>60330194.900000095</v>
      </c>
      <c r="E2302" s="588"/>
      <c r="F2302" s="588">
        <f t="shared" ref="F2302:F2310" si="3">+F26+F91+F156+F221+F286+F351+F416+F481+F546+F611+F676+F741+F1261+F1326+F1652+F1716+F1781+F1845+F1911+F1976+F2237+F806+F871+F936+F1001+F1066+F1131+F1196+F1391+F1456+F1521+F2041+F2106+F1586+F2171</f>
        <v>437988935.54000008</v>
      </c>
    </row>
    <row r="2303" spans="2:6" x14ac:dyDescent="0.2">
      <c r="B2303" s="592">
        <v>2000</v>
      </c>
      <c r="C2303" s="710" t="s">
        <v>2403</v>
      </c>
      <c r="D2303" s="588">
        <f t="shared" si="2"/>
        <v>4111883.3700000006</v>
      </c>
      <c r="E2303" s="588"/>
      <c r="F2303" s="588">
        <f t="shared" si="3"/>
        <v>74443392.969999999</v>
      </c>
    </row>
    <row r="2304" spans="2:6" x14ac:dyDescent="0.2">
      <c r="B2304" s="592">
        <v>3000</v>
      </c>
      <c r="C2304" s="710" t="s">
        <v>2404</v>
      </c>
      <c r="D2304" s="588">
        <f t="shared" si="2"/>
        <v>49685391.180000022</v>
      </c>
      <c r="E2304" s="588"/>
      <c r="F2304" s="588">
        <f t="shared" si="3"/>
        <v>228937464.68000001</v>
      </c>
    </row>
    <row r="2305" spans="2:6" x14ac:dyDescent="0.2">
      <c r="B2305" s="592">
        <v>4000</v>
      </c>
      <c r="C2305" s="710" t="s">
        <v>2399</v>
      </c>
      <c r="D2305" s="588">
        <f t="shared" si="2"/>
        <v>12976525.539999988</v>
      </c>
      <c r="E2305" s="588"/>
      <c r="F2305" s="588">
        <f t="shared" si="3"/>
        <v>142809334.90999997</v>
      </c>
    </row>
    <row r="2306" spans="2:6" x14ac:dyDescent="0.2">
      <c r="B2306" s="592">
        <v>5000</v>
      </c>
      <c r="C2306" s="710" t="s">
        <v>2405</v>
      </c>
      <c r="D2306" s="588">
        <f t="shared" si="2"/>
        <v>-167943.97</v>
      </c>
      <c r="E2306" s="588"/>
      <c r="F2306" s="588">
        <f t="shared" si="3"/>
        <v>644841.28</v>
      </c>
    </row>
    <row r="2307" spans="2:6" x14ac:dyDescent="0.2">
      <c r="B2307" s="592">
        <v>6000</v>
      </c>
      <c r="C2307" s="710" t="s">
        <v>2406</v>
      </c>
      <c r="D2307" s="588">
        <f t="shared" si="2"/>
        <v>24510917.810000002</v>
      </c>
      <c r="E2307" s="588"/>
      <c r="F2307" s="588">
        <f t="shared" si="3"/>
        <v>320347883.26999998</v>
      </c>
    </row>
    <row r="2308" spans="2:6" x14ac:dyDescent="0.2">
      <c r="B2308" s="592">
        <v>7000</v>
      </c>
      <c r="C2308" s="710" t="s">
        <v>2407</v>
      </c>
      <c r="D2308" s="588">
        <f t="shared" si="2"/>
        <v>0</v>
      </c>
      <c r="E2308" s="588"/>
      <c r="F2308" s="588">
        <f t="shared" si="3"/>
        <v>0</v>
      </c>
    </row>
    <row r="2309" spans="2:6" x14ac:dyDescent="0.2">
      <c r="B2309" s="592">
        <v>8000</v>
      </c>
      <c r="C2309" s="710" t="s">
        <v>2398</v>
      </c>
      <c r="D2309" s="588">
        <f t="shared" si="2"/>
        <v>0</v>
      </c>
      <c r="E2309" s="588"/>
      <c r="F2309" s="588">
        <f t="shared" si="3"/>
        <v>0</v>
      </c>
    </row>
    <row r="2310" spans="2:6" x14ac:dyDescent="0.2">
      <c r="B2310" s="592">
        <v>9000</v>
      </c>
      <c r="C2310" s="710" t="s">
        <v>2408</v>
      </c>
      <c r="D2310" s="593">
        <f t="shared" si="2"/>
        <v>604251.41</v>
      </c>
      <c r="E2310" s="588"/>
      <c r="F2310" s="593">
        <f t="shared" si="3"/>
        <v>9562301.7300000004</v>
      </c>
    </row>
    <row r="2311" spans="2:6" x14ac:dyDescent="0.2">
      <c r="B2311" s="589"/>
      <c r="C2311" s="587" t="s">
        <v>2409</v>
      </c>
      <c r="D2311" s="709">
        <f>SUM(D2302:D2310)</f>
        <v>152051220.2400001</v>
      </c>
      <c r="E2311" s="591"/>
      <c r="F2311" s="709">
        <f>SUM(F2302:F2310)</f>
        <v>1214734154.3800001</v>
      </c>
    </row>
    <row r="2312" spans="2:6" x14ac:dyDescent="0.2">
      <c r="B2312" s="585"/>
      <c r="C2312" s="585"/>
      <c r="D2312" s="701"/>
      <c r="E2312" s="588"/>
    </row>
    <row r="2313" spans="2:6" x14ac:dyDescent="0.2">
      <c r="B2313" s="589"/>
      <c r="C2313" s="696" t="s">
        <v>2410</v>
      </c>
      <c r="D2313" s="594">
        <f>+D2286+D2299-D2311</f>
        <v>-17249138.830000073</v>
      </c>
      <c r="E2313" s="591"/>
      <c r="F2313" s="594">
        <f>+F2286+F2299-F2311</f>
        <v>-17249138.830000162</v>
      </c>
    </row>
    <row r="2315" spans="2:6" x14ac:dyDescent="0.2">
      <c r="B2315" s="1284" t="s">
        <v>2411</v>
      </c>
      <c r="C2315" s="1284"/>
      <c r="D2315" s="1284"/>
      <c r="E2315" s="1284"/>
      <c r="F2315" s="1284"/>
    </row>
    <row r="2316" spans="2:6" x14ac:dyDescent="0.2">
      <c r="B2316" s="708"/>
      <c r="C2316" s="585"/>
    </row>
    <row r="2317" spans="2:6" x14ac:dyDescent="0.2">
      <c r="B2317" s="708"/>
      <c r="C2317" s="708" t="s">
        <v>2412</v>
      </c>
      <c r="D2317" s="586"/>
      <c r="F2317" s="591"/>
    </row>
    <row r="2318" spans="2:6" x14ac:dyDescent="0.2">
      <c r="B2318" s="705" t="s">
        <v>5</v>
      </c>
      <c r="C2318" s="2" t="s">
        <v>6</v>
      </c>
      <c r="D2318" s="588">
        <f>+D42+D107+D172+D237+D302+D367+D432+D497+D562+D627+D692+D757+D1277+D1342+D1668+D1732+D1797+D1861+D1927+D1992+D2253+D822+D887+D952+D1017+D1082+D1147+D1212+D1407+D1472+D1537+D2122+D2057+D1602+D2187</f>
        <v>29971515.989999998</v>
      </c>
      <c r="E2318" s="588"/>
      <c r="F2318" s="588">
        <f>+F42+F107+F172+F237+F302+F367+F432+F497+F562+F627+F692+F757+F1277+F1342+F1668+F1732+F1797+F1861+F1927+F1992+F2253+F822+F887+F952+F1017+F1082+F1147+F1212+F1407+F1472+F1537+F2122+F2057+F1602+F2187</f>
        <v>29971515.989999998</v>
      </c>
    </row>
    <row r="2319" spans="2:6" x14ac:dyDescent="0.2">
      <c r="B2319" s="705" t="s">
        <v>9</v>
      </c>
      <c r="C2319" s="700" t="s">
        <v>10</v>
      </c>
      <c r="D2319" s="588">
        <f>+D43+D108+D173+D238+D303+D368+D433+D498+D563+D628+D693+D758+D1278+D1343+D1669+D1733+D1798+D1862+D1928+D1993+D2254+D823+D888+D953+D1018+D1083+D1148+D1213+D1408+D1473+D1538+D2123+D2058+D1603+D2188</f>
        <v>2216179.3200000003</v>
      </c>
      <c r="E2319" s="588"/>
      <c r="F2319" s="588">
        <f>+F43+F108+F173+F238+F303+F368+F433+F498+F563+F628+F693+F758+F1278+F1343+F1669+F1733+F1798+F1862+F1928+F1993+F2254+F823+F888+F953+F1018+F1083+F1148+F1213+F1408+F1473+F1538+F2123+F2058+F1603+F2188</f>
        <v>2216179.3200000003</v>
      </c>
    </row>
    <row r="2320" spans="2:6" x14ac:dyDescent="0.2">
      <c r="B2320" s="705" t="s">
        <v>13</v>
      </c>
      <c r="C2320" s="700" t="s">
        <v>14</v>
      </c>
      <c r="D2320" s="588">
        <f>+D44+D109+D174+D239+D304+D369+D434+D499+D564+D629+D694+D759+D1279+D1344+D1670+D1734+D1799+D1863+D1929+D1994+D2255+D824+D889+D954+D1019+D1084+D1149+D1214+D1409+D1474+D1539+D2124+D2059+D1604+D2189</f>
        <v>6890.4</v>
      </c>
      <c r="E2320" s="588"/>
      <c r="F2320" s="588">
        <f>+F44+F109+F174+F239+F304+F369+F434+F499+F564+F629+F694+F759+F1279+F1344+F1670+F1734+F1799+F1863+F1929+F1994+F2255+F824+F889+F954+F1019+F1084+F1149+F1214+F1409+F1474+F1539+F2124+F2059+F1604+F2189</f>
        <v>6890.4</v>
      </c>
    </row>
    <row r="2321" spans="2:6" x14ac:dyDescent="0.2">
      <c r="B2321" s="705" t="s">
        <v>27</v>
      </c>
      <c r="C2321" s="2" t="s">
        <v>28</v>
      </c>
      <c r="D2321" s="593">
        <f>+D45+D110+D175+D240+D305+D370+D435+D500+D565+D630+D695+D760+D1280+D1345+D1671+D1735+D1800+D1864+D1930+D1995+D2256+D825+D890+D955+D1020+D1085+D1150+D1215+D1410+D1475+D1540+D2125+D2060+D1605+D2190</f>
        <v>1775444.32</v>
      </c>
      <c r="E2321" s="588"/>
      <c r="F2321" s="593">
        <f>+F45+F110+F175+F240+F305+F370+F435+F500+F565+F630+F695+F760+F1280+F1345+F1671+F1735+F1800+F1864+F1930+F1995+F2256+F825+F890+F955+F1020+F1085+F1150+F1215+F1410+F1475+F1540+F2125+F2060+F1605+F2190</f>
        <v>1775444.32</v>
      </c>
    </row>
    <row r="2322" spans="2:6" x14ac:dyDescent="0.2">
      <c r="C2322" s="704" t="s">
        <v>2413</v>
      </c>
      <c r="D2322" s="595">
        <f>SUM(D2318:D2321)</f>
        <v>33970030.029999994</v>
      </c>
      <c r="E2322" s="595"/>
      <c r="F2322" s="595">
        <f>SUM(F2318:F2321)</f>
        <v>33970030.029999994</v>
      </c>
    </row>
    <row r="2323" spans="2:6" x14ac:dyDescent="0.2">
      <c r="B2323" s="705"/>
      <c r="C2323" s="704" t="s">
        <v>2414</v>
      </c>
    </row>
    <row r="2324" spans="2:6" x14ac:dyDescent="0.2">
      <c r="B2324" s="705" t="s">
        <v>7</v>
      </c>
      <c r="C2324" s="2" t="s">
        <v>8</v>
      </c>
      <c r="D2324" s="588">
        <f>+D48+D113+D178+D243+D308+D373+D438+D503+D568+D633+D698+D763+D1283+D1348+D1674+D1738+D1803+D1867+D1933+D1998+D2259+D828+D893+D958+D1023+D1088+D1153+D1218+D1413+D1478+D1543+D2128+D2063+D1608+D2193</f>
        <v>51219168.859999992</v>
      </c>
      <c r="E2324" s="588">
        <f>+E48+E113+E178+E243+E308+E373+E438+E503+E568+E633+E698+E763+E1283+E1348+E1674+E1738+E1803+E1867+E1933+E1998+E2259+E828+E893+E958+E1023+E1088+E1153+E1218+E1413+E1478+E1543+E2128+E2063+E1608+E2193</f>
        <v>0</v>
      </c>
      <c r="F2324" s="588">
        <f>+F48+F113+F178+F243+F308+F373+F438+F503+F568+F633+F698+F763+F1283+F1348+F1674+F1738+F1803+F1867+F1933+F1998+F2259+F828+F893+F958+F1023+F1088+F1153+F1218+F1413+F1478+F1543+F2128+F2063+F1608+F2193</f>
        <v>51219168.859999992</v>
      </c>
    </row>
    <row r="2325" spans="2:6" x14ac:dyDescent="0.2">
      <c r="B2325" s="705" t="s">
        <v>11</v>
      </c>
      <c r="C2325" s="2" t="s">
        <v>12</v>
      </c>
      <c r="D2325" s="588">
        <f t="shared" ref="D2325:D2330" si="4">+D49+D114+D179+D244+D309+D374+D439+D504+D569+D634+D699+D764+D1284+D1349+D1675+D1739+D1804+D1868+D1934+D1999+D2260+D829+D894+D959+D1024+D1089+D1154+D1219+D1414+D1479+D1544+D2129+D2064+D1609+D2194</f>
        <v>0</v>
      </c>
      <c r="E2325" s="588"/>
      <c r="F2325" s="588">
        <f t="shared" ref="F2325:F2330" si="5">+F49+F114+F179+F244+F309+F374+F439+F504+F569+F634+F699+F764+F1284+F1349+F1675+F1739+F1804+F1868+F1934+F1999+F2260+F829+F894+F959+F1024+F1089+F1154+F1219+F1414+F1479+F1544+F2129+F2064+F1609+F2194</f>
        <v>0</v>
      </c>
    </row>
    <row r="2326" spans="2:6" x14ac:dyDescent="0.2">
      <c r="B2326" s="705" t="s">
        <v>15</v>
      </c>
      <c r="C2326" s="2" t="s">
        <v>16</v>
      </c>
      <c r="D2326" s="588">
        <f t="shared" si="4"/>
        <v>0</v>
      </c>
      <c r="E2326" s="588"/>
      <c r="F2326" s="588">
        <f t="shared" si="5"/>
        <v>0</v>
      </c>
    </row>
    <row r="2327" spans="2:6" x14ac:dyDescent="0.2">
      <c r="B2327" s="705" t="s">
        <v>592</v>
      </c>
      <c r="C2327" s="2" t="s">
        <v>23</v>
      </c>
      <c r="D2327" s="588">
        <f t="shared" si="4"/>
        <v>0</v>
      </c>
      <c r="E2327" s="588"/>
      <c r="F2327" s="588">
        <f t="shared" si="5"/>
        <v>0</v>
      </c>
    </row>
    <row r="2328" spans="2:6" ht="25.5" x14ac:dyDescent="0.2">
      <c r="B2328" s="707" t="s">
        <v>595</v>
      </c>
      <c r="C2328" s="706" t="s">
        <v>2415</v>
      </c>
      <c r="D2328" s="588">
        <f t="shared" si="4"/>
        <v>0</v>
      </c>
      <c r="E2328" s="588"/>
      <c r="F2328" s="588">
        <f t="shared" si="5"/>
        <v>0</v>
      </c>
    </row>
    <row r="2329" spans="2:6" x14ac:dyDescent="0.2">
      <c r="B2329" s="705" t="s">
        <v>598</v>
      </c>
      <c r="C2329" s="2" t="s">
        <v>2416</v>
      </c>
      <c r="D2329" s="588">
        <f t="shared" si="4"/>
        <v>0</v>
      </c>
      <c r="E2329" s="588"/>
      <c r="F2329" s="588">
        <f t="shared" si="5"/>
        <v>0</v>
      </c>
    </row>
    <row r="2330" spans="2:6" x14ac:dyDescent="0.2">
      <c r="B2330" s="705" t="s">
        <v>600</v>
      </c>
      <c r="C2330" s="2" t="s">
        <v>2417</v>
      </c>
      <c r="D2330" s="593">
        <f t="shared" si="4"/>
        <v>0</v>
      </c>
      <c r="E2330" s="588"/>
      <c r="F2330" s="593">
        <f t="shared" si="5"/>
        <v>0</v>
      </c>
    </row>
    <row r="2331" spans="2:6" x14ac:dyDescent="0.2">
      <c r="C2331" s="704" t="s">
        <v>2418</v>
      </c>
      <c r="D2331" s="591">
        <f>SUM(D2324:D2330)</f>
        <v>51219168.859999992</v>
      </c>
      <c r="E2331" s="591"/>
      <c r="F2331" s="591">
        <f>SUM(F2324:F2330)</f>
        <v>51219168.859999992</v>
      </c>
    </row>
    <row r="2333" spans="2:6" x14ac:dyDescent="0.2">
      <c r="C2333" s="703" t="s">
        <v>2419</v>
      </c>
      <c r="D2333" s="594">
        <f>+D2322-D2331</f>
        <v>-17249138.829999998</v>
      </c>
      <c r="E2333" s="591"/>
      <c r="F2333" s="594">
        <f>+F2322-F2331</f>
        <v>-17249138.829999998</v>
      </c>
    </row>
    <row r="2336" spans="2:6" x14ac:dyDescent="0.2">
      <c r="D2336" s="700"/>
      <c r="E2336" s="585"/>
      <c r="F2336" s="700"/>
    </row>
    <row r="2337" spans="4:6" x14ac:dyDescent="0.2">
      <c r="D2337" s="700"/>
      <c r="E2337" s="585"/>
      <c r="F2337" s="700"/>
    </row>
    <row r="2338" spans="4:6" x14ac:dyDescent="0.2">
      <c r="D2338" s="700"/>
      <c r="E2338" s="585"/>
      <c r="F2338" s="700"/>
    </row>
    <row r="2339" spans="4:6" x14ac:dyDescent="0.2">
      <c r="D2339" s="700"/>
      <c r="E2339" s="700"/>
      <c r="F2339" s="700"/>
    </row>
  </sheetData>
  <mergeCells count="252">
    <mergeCell ref="A2279:F2279"/>
    <mergeCell ref="A2280:F2280"/>
    <mergeCell ref="A2281:F2281"/>
    <mergeCell ref="B2288:C2288"/>
    <mergeCell ref="B2301:C2301"/>
    <mergeCell ref="B2315:F2315"/>
    <mergeCell ref="A2216:F2216"/>
    <mergeCell ref="B2223:C2223"/>
    <mergeCell ref="B2236:C2236"/>
    <mergeCell ref="B2250:F2250"/>
    <mergeCell ref="A2278:F2278"/>
    <mergeCell ref="A2213:F2213"/>
    <mergeCell ref="A2214:F2214"/>
    <mergeCell ref="A2215:F2215"/>
    <mergeCell ref="B2092:C2092"/>
    <mergeCell ref="A2017:F2017"/>
    <mergeCell ref="A2018:F2018"/>
    <mergeCell ref="A2019:F2019"/>
    <mergeCell ref="A2020:F2020"/>
    <mergeCell ref="B2027:C2027"/>
    <mergeCell ref="B2040:C2040"/>
    <mergeCell ref="B2105:C2105"/>
    <mergeCell ref="B2119:F2119"/>
    <mergeCell ref="A2147:F2147"/>
    <mergeCell ref="A2148:F2148"/>
    <mergeCell ref="A2149:F2149"/>
    <mergeCell ref="A2150:F2150"/>
    <mergeCell ref="B2157:C2157"/>
    <mergeCell ref="B2170:C2170"/>
    <mergeCell ref="B2184:F2184"/>
    <mergeCell ref="A1953:F1953"/>
    <mergeCell ref="B2054:F2054"/>
    <mergeCell ref="A2082:F2082"/>
    <mergeCell ref="A2083:F2083"/>
    <mergeCell ref="A2084:F2084"/>
    <mergeCell ref="A2085:F2085"/>
    <mergeCell ref="A1954:F1954"/>
    <mergeCell ref="A1955:F1955"/>
    <mergeCell ref="B1962:C1962"/>
    <mergeCell ref="B1975:C1975"/>
    <mergeCell ref="B1989:F1989"/>
    <mergeCell ref="A1890:F1890"/>
    <mergeCell ref="B1897:C1897"/>
    <mergeCell ref="B1910:C1910"/>
    <mergeCell ref="B1924:F1924"/>
    <mergeCell ref="A1952:F1952"/>
    <mergeCell ref="B1780:C1780"/>
    <mergeCell ref="B1794:F1794"/>
    <mergeCell ref="A1821:F1821"/>
    <mergeCell ref="A1822:F1822"/>
    <mergeCell ref="A1823:F1823"/>
    <mergeCell ref="A1824:F1824"/>
    <mergeCell ref="B1831:C1831"/>
    <mergeCell ref="B1844:C1844"/>
    <mergeCell ref="B1858:F1858"/>
    <mergeCell ref="A1887:F1887"/>
    <mergeCell ref="A1888:F1888"/>
    <mergeCell ref="A1889:F1889"/>
    <mergeCell ref="A1759:F1759"/>
    <mergeCell ref="A1760:F1760"/>
    <mergeCell ref="B1767:C1767"/>
    <mergeCell ref="A1564:F1564"/>
    <mergeCell ref="A1565:F1565"/>
    <mergeCell ref="B1572:C1572"/>
    <mergeCell ref="B1585:C1585"/>
    <mergeCell ref="B1599:F1599"/>
    <mergeCell ref="A1628:F1628"/>
    <mergeCell ref="A1629:F1629"/>
    <mergeCell ref="A1630:F1630"/>
    <mergeCell ref="A1631:F1631"/>
    <mergeCell ref="B1638:C1638"/>
    <mergeCell ref="B1651:C1651"/>
    <mergeCell ref="B1665:F1665"/>
    <mergeCell ref="A1692:F1692"/>
    <mergeCell ref="A1693:F1693"/>
    <mergeCell ref="A1694:F1694"/>
    <mergeCell ref="A1695:F1695"/>
    <mergeCell ref="B1702:C1702"/>
    <mergeCell ref="B1715:C1715"/>
    <mergeCell ref="B1729:F1729"/>
    <mergeCell ref="A1757:F1757"/>
    <mergeCell ref="A1758:F1758"/>
    <mergeCell ref="B1534:F1534"/>
    <mergeCell ref="A1562:F1562"/>
    <mergeCell ref="A1563:F1563"/>
    <mergeCell ref="B1339:F1339"/>
    <mergeCell ref="A1367:F1367"/>
    <mergeCell ref="A1368:F1368"/>
    <mergeCell ref="A1369:F1369"/>
    <mergeCell ref="A1370:F1370"/>
    <mergeCell ref="B1377:C1377"/>
    <mergeCell ref="B1390:C1390"/>
    <mergeCell ref="B1404:F1404"/>
    <mergeCell ref="A1432:F1432"/>
    <mergeCell ref="A1433:F1433"/>
    <mergeCell ref="A1434:F1434"/>
    <mergeCell ref="A1435:F1435"/>
    <mergeCell ref="B1442:C1442"/>
    <mergeCell ref="B1455:C1455"/>
    <mergeCell ref="B1469:F1469"/>
    <mergeCell ref="A1497:F1497"/>
    <mergeCell ref="A1498:F1498"/>
    <mergeCell ref="A1499:F1499"/>
    <mergeCell ref="A1500:F1500"/>
    <mergeCell ref="B1507:C1507"/>
    <mergeCell ref="B1520:C1520"/>
    <mergeCell ref="A1305:F1305"/>
    <mergeCell ref="B1312:C1312"/>
    <mergeCell ref="B1325:C1325"/>
    <mergeCell ref="A1110:F1110"/>
    <mergeCell ref="B1117:C1117"/>
    <mergeCell ref="B1130:C1130"/>
    <mergeCell ref="B1144:F1144"/>
    <mergeCell ref="A1172:F1172"/>
    <mergeCell ref="A1173:F1173"/>
    <mergeCell ref="A1174:F1174"/>
    <mergeCell ref="A1175:F1175"/>
    <mergeCell ref="B1182:C1182"/>
    <mergeCell ref="B1195:C1195"/>
    <mergeCell ref="B1209:F1209"/>
    <mergeCell ref="A1237:F1237"/>
    <mergeCell ref="A1238:F1238"/>
    <mergeCell ref="A1239:F1239"/>
    <mergeCell ref="A1240:F1240"/>
    <mergeCell ref="B1247:C1247"/>
    <mergeCell ref="B1260:C1260"/>
    <mergeCell ref="B1274:F1274"/>
    <mergeCell ref="A1302:F1302"/>
    <mergeCell ref="A1303:F1303"/>
    <mergeCell ref="A1304:F1304"/>
    <mergeCell ref="A1107:F1107"/>
    <mergeCell ref="A1108:F1108"/>
    <mergeCell ref="A1109:F1109"/>
    <mergeCell ref="A912:F912"/>
    <mergeCell ref="A913:F913"/>
    <mergeCell ref="A914:F914"/>
    <mergeCell ref="A915:F915"/>
    <mergeCell ref="B922:C922"/>
    <mergeCell ref="B935:C935"/>
    <mergeCell ref="B949:F949"/>
    <mergeCell ref="A977:F977"/>
    <mergeCell ref="A978:F978"/>
    <mergeCell ref="A979:F979"/>
    <mergeCell ref="A980:F980"/>
    <mergeCell ref="B987:C987"/>
    <mergeCell ref="B1000:C1000"/>
    <mergeCell ref="B1014:F1014"/>
    <mergeCell ref="A1042:F1042"/>
    <mergeCell ref="A1043:F1043"/>
    <mergeCell ref="A1044:F1044"/>
    <mergeCell ref="A1045:F1045"/>
    <mergeCell ref="B1052:C1052"/>
    <mergeCell ref="B1065:C1065"/>
    <mergeCell ref="B1079:F1079"/>
    <mergeCell ref="B857:C857"/>
    <mergeCell ref="B870:C870"/>
    <mergeCell ref="B884:F884"/>
    <mergeCell ref="B662:C662"/>
    <mergeCell ref="B675:C675"/>
    <mergeCell ref="B689:F689"/>
    <mergeCell ref="A717:F717"/>
    <mergeCell ref="A718:F718"/>
    <mergeCell ref="A719:F719"/>
    <mergeCell ref="A720:F720"/>
    <mergeCell ref="B727:C727"/>
    <mergeCell ref="B740:C740"/>
    <mergeCell ref="B754:F754"/>
    <mergeCell ref="A782:F782"/>
    <mergeCell ref="A783:F783"/>
    <mergeCell ref="A784:F784"/>
    <mergeCell ref="A785:F785"/>
    <mergeCell ref="B792:C792"/>
    <mergeCell ref="B805:C805"/>
    <mergeCell ref="B819:F819"/>
    <mergeCell ref="A847:F847"/>
    <mergeCell ref="A848:F848"/>
    <mergeCell ref="A849:F849"/>
    <mergeCell ref="A850:F850"/>
    <mergeCell ref="A653:F653"/>
    <mergeCell ref="A654:F654"/>
    <mergeCell ref="A655:F655"/>
    <mergeCell ref="A458:F458"/>
    <mergeCell ref="A459:F459"/>
    <mergeCell ref="A460:F460"/>
    <mergeCell ref="B467:C467"/>
    <mergeCell ref="B480:C480"/>
    <mergeCell ref="B494:F494"/>
    <mergeCell ref="A522:F522"/>
    <mergeCell ref="A523:F523"/>
    <mergeCell ref="A524:F524"/>
    <mergeCell ref="A525:F525"/>
    <mergeCell ref="B532:C532"/>
    <mergeCell ref="B545:C545"/>
    <mergeCell ref="B559:F559"/>
    <mergeCell ref="A587:F587"/>
    <mergeCell ref="A588:F588"/>
    <mergeCell ref="A589:F589"/>
    <mergeCell ref="A590:F590"/>
    <mergeCell ref="B597:C597"/>
    <mergeCell ref="B610:C610"/>
    <mergeCell ref="B624:F624"/>
    <mergeCell ref="A652:F652"/>
    <mergeCell ref="B415:C415"/>
    <mergeCell ref="B429:F429"/>
    <mergeCell ref="A457:F457"/>
    <mergeCell ref="B220:C220"/>
    <mergeCell ref="B234:F234"/>
    <mergeCell ref="A262:F262"/>
    <mergeCell ref="A263:F263"/>
    <mergeCell ref="A264:F264"/>
    <mergeCell ref="A265:F265"/>
    <mergeCell ref="B272:C272"/>
    <mergeCell ref="B285:C285"/>
    <mergeCell ref="B299:F299"/>
    <mergeCell ref="A327:F327"/>
    <mergeCell ref="A328:F328"/>
    <mergeCell ref="A329:F329"/>
    <mergeCell ref="A330:F330"/>
    <mergeCell ref="B337:C337"/>
    <mergeCell ref="B350:C350"/>
    <mergeCell ref="B364:F364"/>
    <mergeCell ref="A392:F392"/>
    <mergeCell ref="A393:F393"/>
    <mergeCell ref="A394:F394"/>
    <mergeCell ref="A395:F395"/>
    <mergeCell ref="B402:C402"/>
    <mergeCell ref="A197:F197"/>
    <mergeCell ref="A198:F198"/>
    <mergeCell ref="A199:F199"/>
    <mergeCell ref="A200:F200"/>
    <mergeCell ref="B207:C207"/>
    <mergeCell ref="A134:F134"/>
    <mergeCell ref="A135:F135"/>
    <mergeCell ref="B142:C142"/>
    <mergeCell ref="B155:C155"/>
    <mergeCell ref="B169:F169"/>
    <mergeCell ref="B25:C25"/>
    <mergeCell ref="B39:F39"/>
    <mergeCell ref="A2:F2"/>
    <mergeCell ref="A3:F3"/>
    <mergeCell ref="A4:F4"/>
    <mergeCell ref="A5:F5"/>
    <mergeCell ref="B12:C12"/>
    <mergeCell ref="A132:F132"/>
    <mergeCell ref="A133:F133"/>
    <mergeCell ref="B104:F104"/>
    <mergeCell ref="A67:F67"/>
    <mergeCell ref="A68:F68"/>
    <mergeCell ref="A69:F69"/>
    <mergeCell ref="A70:F70"/>
    <mergeCell ref="B77:C77"/>
    <mergeCell ref="B90:C90"/>
  </mergeCells>
  <printOptions horizontalCentered="1"/>
  <pageMargins left="0.55118110236220474" right="0.55118110236220474" top="0.6692913385826772" bottom="0.74803149606299213" header="0.31496062992125984" footer="0.31496062992125984"/>
  <pageSetup scale="85" orientation="portrait" r:id="rId1"/>
  <headerFooter>
    <oddHeader>&amp;R&amp;"Arial,Normal"&amp;8A6</oddHeader>
    <oddFooter>&amp;C&amp;"Arial,Normal"&amp;9“Bajo protesta de decir verdad declaramos que los Estados Financieros y sus notas, son razonablemente correctos y son responsabilidad del emisor”</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6"/>
  <sheetViews>
    <sheetView view="pageBreakPreview" zoomScale="60" zoomScaleNormal="100" workbookViewId="0">
      <selection sqref="A1:E1"/>
    </sheetView>
  </sheetViews>
  <sheetFormatPr baseColWidth="10" defaultRowHeight="15" x14ac:dyDescent="0.25"/>
  <cols>
    <col min="1" max="1" width="22" customWidth="1"/>
    <col min="2" max="2" width="21.42578125" customWidth="1"/>
    <col min="3" max="3" width="18.7109375" customWidth="1"/>
    <col min="4" max="4" width="13.7109375" customWidth="1"/>
    <col min="5" max="5" width="21.7109375" bestFit="1" customWidth="1"/>
  </cols>
  <sheetData>
    <row r="1" spans="1:5" x14ac:dyDescent="0.25">
      <c r="A1" s="1288" t="s">
        <v>566</v>
      </c>
      <c r="B1" s="1288"/>
      <c r="C1" s="1288"/>
      <c r="D1" s="1288"/>
      <c r="E1" s="1288"/>
    </row>
    <row r="2" spans="1:5" x14ac:dyDescent="0.25">
      <c r="A2" s="1287" t="s">
        <v>677</v>
      </c>
      <c r="B2" s="1287"/>
      <c r="C2" s="1287"/>
      <c r="D2" s="1287"/>
      <c r="E2" s="1287"/>
    </row>
    <row r="3" spans="1:5" x14ac:dyDescent="0.25">
      <c r="A3" s="1287" t="s">
        <v>8966</v>
      </c>
      <c r="B3" s="1287"/>
      <c r="C3" s="1287"/>
      <c r="D3" s="1287"/>
      <c r="E3" s="1287"/>
    </row>
    <row r="4" spans="1:5" x14ac:dyDescent="0.25">
      <c r="A4" s="828"/>
      <c r="B4" s="828"/>
      <c r="C4" s="828"/>
      <c r="D4" s="828"/>
      <c r="E4" s="828"/>
    </row>
    <row r="5" spans="1:5" x14ac:dyDescent="0.25">
      <c r="A5" s="828"/>
      <c r="B5" s="828"/>
      <c r="C5" s="828"/>
      <c r="D5" s="828"/>
      <c r="E5" s="828"/>
    </row>
    <row r="6" spans="1:5" x14ac:dyDescent="0.25">
      <c r="A6" s="828"/>
      <c r="B6" s="828"/>
      <c r="C6" s="828"/>
      <c r="D6" s="828"/>
      <c r="E6" s="828"/>
    </row>
    <row r="7" spans="1:5" x14ac:dyDescent="0.25">
      <c r="A7" s="581"/>
      <c r="B7" s="581"/>
      <c r="C7" s="581"/>
      <c r="D7" s="581"/>
      <c r="E7" s="581"/>
    </row>
    <row r="8" spans="1:5" x14ac:dyDescent="0.25">
      <c r="A8" s="596" t="s">
        <v>441</v>
      </c>
      <c r="B8" s="596" t="s">
        <v>2420</v>
      </c>
      <c r="C8" s="596" t="s">
        <v>2421</v>
      </c>
      <c r="D8" s="596" t="s">
        <v>431</v>
      </c>
      <c r="E8" s="596" t="s">
        <v>2422</v>
      </c>
    </row>
    <row r="9" spans="1:5" x14ac:dyDescent="0.25">
      <c r="A9" s="597"/>
      <c r="B9" s="597"/>
      <c r="C9" s="598"/>
      <c r="D9" s="599"/>
      <c r="E9" s="599"/>
    </row>
    <row r="10" spans="1:5" x14ac:dyDescent="0.25">
      <c r="A10" s="600"/>
      <c r="B10" s="600"/>
      <c r="C10" s="598"/>
      <c r="D10" s="601"/>
      <c r="E10" s="601"/>
    </row>
    <row r="11" spans="1:5" x14ac:dyDescent="0.25">
      <c r="A11" s="600"/>
      <c r="B11" s="600"/>
      <c r="C11" s="598"/>
      <c r="D11" s="601"/>
      <c r="E11" s="601"/>
    </row>
    <row r="12" spans="1:5" x14ac:dyDescent="0.25">
      <c r="A12" s="601"/>
      <c r="B12" s="601"/>
      <c r="C12" s="598"/>
      <c r="D12" s="601"/>
      <c r="E12" s="601"/>
    </row>
    <row r="13" spans="1:5" x14ac:dyDescent="0.25">
      <c r="A13" s="602"/>
      <c r="B13" s="602"/>
      <c r="C13" s="603"/>
      <c r="D13" s="603"/>
      <c r="E13" s="603"/>
    </row>
    <row r="16" spans="1:5" x14ac:dyDescent="0.25">
      <c r="A16" s="1288"/>
      <c r="B16" s="1288"/>
      <c r="C16" s="1288"/>
      <c r="D16" s="1288"/>
      <c r="E16" s="1288"/>
    </row>
    <row r="17" spans="1:5" ht="15" customHeight="1" x14ac:dyDescent="0.25">
      <c r="A17" s="1287" t="s">
        <v>428</v>
      </c>
      <c r="B17" s="1287"/>
      <c r="C17" s="1287"/>
      <c r="D17" s="1287"/>
      <c r="E17" s="1287"/>
    </row>
    <row r="18" spans="1:5" x14ac:dyDescent="0.25">
      <c r="A18" s="1287" t="s">
        <v>8966</v>
      </c>
      <c r="B18" s="1287"/>
      <c r="C18" s="1287"/>
      <c r="D18" s="1287"/>
      <c r="E18" s="1287"/>
    </row>
    <row r="19" spans="1:5" x14ac:dyDescent="0.25">
      <c r="A19" s="581"/>
      <c r="B19" s="581"/>
      <c r="C19" s="581"/>
      <c r="D19" s="581"/>
      <c r="E19" s="581"/>
    </row>
    <row r="20" spans="1:5" x14ac:dyDescent="0.25">
      <c r="A20" s="596" t="s">
        <v>429</v>
      </c>
      <c r="B20" s="596" t="s">
        <v>389</v>
      </c>
      <c r="C20" s="596" t="s">
        <v>430</v>
      </c>
      <c r="D20" s="596" t="s">
        <v>431</v>
      </c>
      <c r="E20" s="596" t="s">
        <v>432</v>
      </c>
    </row>
    <row r="21" spans="1:5" x14ac:dyDescent="0.25">
      <c r="A21" s="648"/>
      <c r="B21" s="649"/>
      <c r="C21" s="650"/>
      <c r="D21" s="651"/>
      <c r="E21" s="652"/>
    </row>
    <row r="22" spans="1:5" x14ac:dyDescent="0.25">
      <c r="A22" s="647"/>
      <c r="B22" s="643"/>
      <c r="C22" s="645"/>
      <c r="D22" s="644"/>
      <c r="E22" s="646"/>
    </row>
    <row r="23" spans="1:5" x14ac:dyDescent="0.25">
      <c r="A23" s="647"/>
      <c r="B23" s="643"/>
      <c r="C23" s="645"/>
      <c r="D23" s="644"/>
      <c r="E23" s="646"/>
    </row>
    <row r="24" spans="1:5" x14ac:dyDescent="0.25">
      <c r="A24" s="647"/>
      <c r="B24" s="643"/>
      <c r="C24" s="645"/>
      <c r="D24" s="644"/>
      <c r="E24" s="646"/>
    </row>
    <row r="25" spans="1:5" x14ac:dyDescent="0.25">
      <c r="A25" s="647"/>
      <c r="B25" s="643"/>
      <c r="C25" s="645"/>
      <c r="D25" s="644"/>
      <c r="E25" s="646"/>
    </row>
    <row r="26" spans="1:5" x14ac:dyDescent="0.25">
      <c r="A26" s="647"/>
      <c r="B26" s="643"/>
      <c r="C26" s="645"/>
      <c r="D26" s="644"/>
      <c r="E26" s="646"/>
    </row>
    <row r="27" spans="1:5" x14ac:dyDescent="0.25">
      <c r="A27" s="647"/>
      <c r="B27" s="643"/>
      <c r="C27" s="645"/>
      <c r="D27" s="644"/>
      <c r="E27" s="646"/>
    </row>
    <row r="28" spans="1:5" x14ac:dyDescent="0.25">
      <c r="A28" s="647"/>
      <c r="B28" s="643"/>
      <c r="C28" s="645"/>
      <c r="D28" s="644"/>
      <c r="E28" s="646"/>
    </row>
    <row r="29" spans="1:5" x14ac:dyDescent="0.25">
      <c r="A29" s="647"/>
      <c r="B29" s="643"/>
      <c r="C29" s="645"/>
      <c r="D29" s="644"/>
      <c r="E29" s="646"/>
    </row>
    <row r="30" spans="1:5" x14ac:dyDescent="0.25">
      <c r="A30" s="647"/>
      <c r="B30" s="643"/>
      <c r="C30" s="645"/>
      <c r="D30" s="644"/>
      <c r="E30" s="646"/>
    </row>
    <row r="31" spans="1:5" x14ac:dyDescent="0.25">
      <c r="A31" s="647"/>
      <c r="B31" s="643"/>
      <c r="C31" s="645"/>
      <c r="D31" s="644"/>
      <c r="E31" s="646"/>
    </row>
    <row r="32" spans="1:5" x14ac:dyDescent="0.25">
      <c r="A32" s="653"/>
      <c r="B32" s="654"/>
      <c r="C32" s="655"/>
      <c r="D32" s="656"/>
      <c r="E32" s="657"/>
    </row>
    <row r="42" spans="1:5" s="90" customFormat="1" x14ac:dyDescent="0.25">
      <c r="A42" s="417"/>
      <c r="B42" s="417"/>
      <c r="C42" s="418"/>
      <c r="D42" s="418"/>
      <c r="E42" s="418"/>
    </row>
    <row r="43" spans="1:5" s="90" customFormat="1" x14ac:dyDescent="0.25"/>
    <row r="44" spans="1:5" s="90" customFormat="1" x14ac:dyDescent="0.25"/>
    <row r="45" spans="1:5" s="90" customFormat="1" x14ac:dyDescent="0.25"/>
    <row r="46" spans="1:5" s="90" customFormat="1" x14ac:dyDescent="0.25"/>
  </sheetData>
  <mergeCells count="6">
    <mergeCell ref="A18:E18"/>
    <mergeCell ref="A1:E1"/>
    <mergeCell ref="A2:E2"/>
    <mergeCell ref="A3:E3"/>
    <mergeCell ref="A16:E16"/>
    <mergeCell ref="A17:E17"/>
  </mergeCells>
  <printOptions horizontalCentered="1"/>
  <pageMargins left="0.19685039370078741" right="0.19685039370078741" top="0.74803149606299213" bottom="0.74803149606299213" header="0.31496062992125984" footer="0.31496062992125984"/>
  <pageSetup orientation="portrait" verticalDpi="300" r:id="rId1"/>
  <headerFooter>
    <oddHeader>&amp;L&amp;"Arial,Normal"&amp;8Estados e Información Contable
Notas de Desglose&amp;R&amp;"Arial,Normal"&amp;8 07.I.1</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7"/>
  <sheetViews>
    <sheetView view="pageBreakPreview" topLeftCell="A4" zoomScaleNormal="100" zoomScaleSheetLayoutView="100" workbookViewId="0">
      <selection sqref="A1:E1"/>
    </sheetView>
  </sheetViews>
  <sheetFormatPr baseColWidth="10" defaultRowHeight="15" x14ac:dyDescent="0.25"/>
  <cols>
    <col min="1" max="1" width="11.42578125" style="90"/>
    <col min="2" max="2" width="22.5703125" style="90" customWidth="1"/>
    <col min="3" max="3" width="24.7109375" style="90" customWidth="1"/>
    <col min="4" max="4" width="12" style="90" bestFit="1" customWidth="1"/>
    <col min="5" max="5" width="25.7109375" style="90" customWidth="1"/>
    <col min="6" max="16384" width="11.42578125" style="90"/>
  </cols>
  <sheetData>
    <row r="1" spans="1:6" x14ac:dyDescent="0.25">
      <c r="A1" s="1289" t="s">
        <v>566</v>
      </c>
      <c r="B1" s="1289"/>
      <c r="C1" s="1289"/>
      <c r="D1" s="1289"/>
      <c r="E1" s="1289"/>
    </row>
    <row r="2" spans="1:6" x14ac:dyDescent="0.25">
      <c r="A2" s="1290" t="s">
        <v>1168</v>
      </c>
      <c r="B2" s="1290"/>
      <c r="C2" s="1290"/>
      <c r="D2" s="1290"/>
      <c r="E2" s="1290"/>
    </row>
    <row r="3" spans="1:6" x14ac:dyDescent="0.25">
      <c r="A3" s="1290" t="s">
        <v>8600</v>
      </c>
      <c r="B3" s="1290"/>
      <c r="C3" s="1290"/>
      <c r="D3" s="1290"/>
      <c r="E3" s="1290"/>
    </row>
    <row r="4" spans="1:6" x14ac:dyDescent="0.25">
      <c r="A4" s="278"/>
      <c r="B4" s="278"/>
      <c r="C4" s="278"/>
      <c r="D4" s="278"/>
      <c r="E4" s="278"/>
    </row>
    <row r="5" spans="1:6" x14ac:dyDescent="0.25">
      <c r="A5" s="278"/>
      <c r="B5" s="278"/>
      <c r="C5" s="278"/>
      <c r="D5" s="278"/>
      <c r="E5" s="278"/>
    </row>
    <row r="6" spans="1:6" x14ac:dyDescent="0.25">
      <c r="A6" s="278"/>
      <c r="B6" s="278"/>
      <c r="C6" s="278"/>
      <c r="D6" s="278"/>
      <c r="E6" s="278"/>
    </row>
    <row r="7" spans="1:6" x14ac:dyDescent="0.25">
      <c r="A7" s="278"/>
      <c r="B7" s="278"/>
      <c r="C7" s="278"/>
      <c r="D7" s="278"/>
      <c r="E7" s="278"/>
    </row>
    <row r="8" spans="1:6" x14ac:dyDescent="0.25">
      <c r="A8" s="278"/>
      <c r="B8" s="278"/>
      <c r="C8" s="278"/>
      <c r="D8" s="278"/>
      <c r="E8" s="278"/>
    </row>
    <row r="9" spans="1:6" x14ac:dyDescent="0.25">
      <c r="A9" s="278"/>
      <c r="B9" s="278"/>
      <c r="C9" s="278"/>
      <c r="D9" s="278"/>
      <c r="E9" s="278"/>
    </row>
    <row r="10" spans="1:6" x14ac:dyDescent="0.25">
      <c r="A10" s="91" t="s">
        <v>436</v>
      </c>
      <c r="B10" s="91" t="s">
        <v>437</v>
      </c>
      <c r="C10" s="91" t="s">
        <v>201</v>
      </c>
      <c r="D10" s="91" t="s">
        <v>439</v>
      </c>
      <c r="E10" s="91" t="s">
        <v>432</v>
      </c>
      <c r="F10" s="366"/>
    </row>
    <row r="11" spans="1:6" x14ac:dyDescent="0.25">
      <c r="A11" s="367"/>
      <c r="B11" s="367"/>
      <c r="C11" s="367"/>
      <c r="D11" s="368"/>
      <c r="E11" s="369"/>
    </row>
    <row r="12" spans="1:6" x14ac:dyDescent="0.25">
      <c r="A12" s="367">
        <v>1123</v>
      </c>
      <c r="B12" s="367" t="s">
        <v>715</v>
      </c>
      <c r="C12" s="419" t="s">
        <v>716</v>
      </c>
      <c r="D12" s="368">
        <v>352002.79</v>
      </c>
      <c r="E12" s="369" t="s">
        <v>1169</v>
      </c>
    </row>
    <row r="13" spans="1:6" x14ac:dyDescent="0.25">
      <c r="A13" s="367"/>
      <c r="B13" s="367"/>
      <c r="C13" s="367"/>
      <c r="D13" s="368"/>
      <c r="E13" s="369"/>
    </row>
    <row r="14" spans="1:6" x14ac:dyDescent="0.25">
      <c r="A14" s="1291" t="s">
        <v>188</v>
      </c>
      <c r="B14" s="1292"/>
      <c r="C14" s="1293"/>
      <c r="D14" s="370">
        <f>SUM(D11:D13)</f>
        <v>352002.79</v>
      </c>
      <c r="E14" s="104"/>
    </row>
    <row r="15" spans="1:6" x14ac:dyDescent="0.25">
      <c r="A15" s="371"/>
      <c r="B15" s="371"/>
      <c r="C15" s="371"/>
      <c r="D15" s="372"/>
      <c r="E15" s="373"/>
    </row>
    <row r="16" spans="1:6" x14ac:dyDescent="0.25">
      <c r="A16" s="371"/>
      <c r="B16" s="371"/>
      <c r="C16" s="371"/>
      <c r="D16" s="372"/>
      <c r="E16" s="373"/>
    </row>
    <row r="17" spans="1:5" x14ac:dyDescent="0.25">
      <c r="A17" s="371"/>
      <c r="B17" s="371"/>
      <c r="C17" s="371"/>
      <c r="D17" s="372"/>
      <c r="E17" s="373"/>
    </row>
    <row r="18" spans="1:5" x14ac:dyDescent="0.25">
      <c r="A18" s="371"/>
      <c r="B18" s="371"/>
      <c r="C18" s="371"/>
      <c r="D18" s="372"/>
      <c r="E18" s="373"/>
    </row>
    <row r="19" spans="1:5" x14ac:dyDescent="0.25">
      <c r="A19" s="371"/>
      <c r="B19" s="371"/>
      <c r="C19" s="371"/>
      <c r="D19" s="372"/>
      <c r="E19" s="373"/>
    </row>
    <row r="20" spans="1:5" x14ac:dyDescent="0.25">
      <c r="A20" s="371"/>
      <c r="B20" s="371"/>
      <c r="C20" s="371"/>
      <c r="D20" s="372"/>
      <c r="E20" s="373"/>
    </row>
    <row r="21" spans="1:5" x14ac:dyDescent="0.25">
      <c r="A21" s="371"/>
      <c r="B21" s="371"/>
      <c r="C21" s="371"/>
      <c r="D21" s="372"/>
      <c r="E21" s="373"/>
    </row>
    <row r="22" spans="1:5" x14ac:dyDescent="0.25">
      <c r="A22" s="371"/>
      <c r="B22" s="371"/>
      <c r="C22" s="371"/>
      <c r="D22" s="372"/>
      <c r="E22" s="373"/>
    </row>
    <row r="23" spans="1:5" x14ac:dyDescent="0.25">
      <c r="A23" s="371"/>
      <c r="B23" s="371"/>
      <c r="C23" s="371"/>
      <c r="D23" s="372"/>
      <c r="E23" s="373"/>
    </row>
    <row r="24" spans="1:5" x14ac:dyDescent="0.25">
      <c r="A24" s="371"/>
      <c r="B24" s="371"/>
      <c r="C24" s="371"/>
      <c r="D24" s="372"/>
      <c r="E24" s="373"/>
    </row>
    <row r="25" spans="1:5" x14ac:dyDescent="0.25">
      <c r="A25" s="371"/>
      <c r="B25" s="371"/>
      <c r="C25" s="371"/>
      <c r="D25" s="372"/>
      <c r="E25" s="373"/>
    </row>
    <row r="26" spans="1:5" x14ac:dyDescent="0.25">
      <c r="A26" s="371"/>
      <c r="B26" s="371"/>
      <c r="C26" s="371"/>
      <c r="D26" s="372"/>
      <c r="E26" s="373"/>
    </row>
    <row r="27" spans="1:5" x14ac:dyDescent="0.25">
      <c r="A27" s="371"/>
      <c r="B27" s="371"/>
      <c r="C27" s="371"/>
      <c r="D27" s="372"/>
      <c r="E27" s="373"/>
    </row>
    <row r="28" spans="1:5" x14ac:dyDescent="0.25">
      <c r="A28" s="371"/>
      <c r="B28" s="371"/>
      <c r="C28" s="371"/>
      <c r="D28" s="372"/>
      <c r="E28" s="373"/>
    </row>
    <row r="29" spans="1:5" x14ac:dyDescent="0.25">
      <c r="A29" s="371"/>
      <c r="B29" s="371"/>
      <c r="C29" s="371"/>
      <c r="D29" s="372"/>
      <c r="E29" s="373"/>
    </row>
    <row r="30" spans="1:5" x14ac:dyDescent="0.25">
      <c r="A30" s="371"/>
      <c r="B30" s="371"/>
      <c r="C30" s="371"/>
      <c r="D30" s="372"/>
      <c r="E30" s="373"/>
    </row>
    <row r="31" spans="1:5" x14ac:dyDescent="0.25">
      <c r="A31" s="371"/>
      <c r="B31" s="371"/>
      <c r="C31" s="371"/>
      <c r="D31" s="372"/>
      <c r="E31" s="373"/>
    </row>
    <row r="32" spans="1:5" x14ac:dyDescent="0.25">
      <c r="A32" s="371"/>
      <c r="B32" s="371"/>
      <c r="C32" s="371"/>
      <c r="D32" s="372"/>
      <c r="E32" s="373"/>
    </row>
    <row r="33" spans="1:5" x14ac:dyDescent="0.25">
      <c r="A33" s="371"/>
      <c r="B33" s="371"/>
      <c r="C33" s="371"/>
      <c r="D33" s="372"/>
      <c r="E33" s="373"/>
    </row>
    <row r="34" spans="1:5" x14ac:dyDescent="0.25">
      <c r="A34" s="371"/>
      <c r="B34" s="371"/>
      <c r="C34" s="371"/>
      <c r="D34" s="372"/>
      <c r="E34" s="373"/>
    </row>
    <row r="35" spans="1:5" x14ac:dyDescent="0.25">
      <c r="A35" s="371"/>
      <c r="B35" s="371"/>
      <c r="C35" s="371"/>
      <c r="D35" s="372"/>
      <c r="E35" s="373"/>
    </row>
    <row r="36" spans="1:5" x14ac:dyDescent="0.25">
      <c r="A36" s="371"/>
      <c r="B36" s="371"/>
      <c r="C36" s="371"/>
      <c r="D36" s="372"/>
      <c r="E36" s="373"/>
    </row>
    <row r="37" spans="1:5" x14ac:dyDescent="0.25">
      <c r="A37" s="371"/>
      <c r="B37" s="371"/>
      <c r="C37" s="371"/>
      <c r="D37" s="372"/>
      <c r="E37" s="373"/>
    </row>
    <row r="38" spans="1:5" x14ac:dyDescent="0.25">
      <c r="A38" s="371"/>
      <c r="B38" s="371"/>
      <c r="C38" s="371"/>
      <c r="D38" s="372"/>
      <c r="E38" s="373"/>
    </row>
    <row r="39" spans="1:5" x14ac:dyDescent="0.25">
      <c r="A39" s="371"/>
      <c r="B39" s="371"/>
      <c r="C39" s="371"/>
      <c r="D39" s="372"/>
      <c r="E39" s="373"/>
    </row>
    <row r="40" spans="1:5" x14ac:dyDescent="0.25">
      <c r="A40" s="371"/>
      <c r="B40" s="371"/>
      <c r="C40" s="371"/>
      <c r="D40" s="372"/>
      <c r="E40" s="373"/>
    </row>
    <row r="41" spans="1:5" x14ac:dyDescent="0.25">
      <c r="A41" s="371"/>
      <c r="B41" s="371"/>
      <c r="C41" s="371"/>
      <c r="D41" s="372"/>
      <c r="E41" s="373"/>
    </row>
    <row r="42" spans="1:5" x14ac:dyDescent="0.25">
      <c r="A42" s="371"/>
      <c r="B42" s="371"/>
      <c r="C42" s="371"/>
      <c r="D42" s="372"/>
      <c r="E42" s="373"/>
    </row>
    <row r="43" spans="1:5" x14ac:dyDescent="0.25">
      <c r="A43" s="371"/>
      <c r="B43" s="371"/>
      <c r="C43" s="371"/>
      <c r="D43" s="372"/>
      <c r="E43" s="373"/>
    </row>
    <row r="44" spans="1:5" x14ac:dyDescent="0.25">
      <c r="A44" s="371"/>
      <c r="B44" s="371"/>
      <c r="C44" s="371"/>
      <c r="D44" s="372"/>
      <c r="E44" s="373"/>
    </row>
    <row r="45" spans="1:5" x14ac:dyDescent="0.25">
      <c r="A45" s="371"/>
      <c r="B45" s="371"/>
      <c r="C45" s="371"/>
      <c r="D45" s="372"/>
      <c r="E45" s="373"/>
    </row>
    <row r="46" spans="1:5" x14ac:dyDescent="0.25">
      <c r="A46" s="371"/>
      <c r="B46" s="371"/>
      <c r="C46" s="371"/>
      <c r="D46" s="372"/>
      <c r="E46" s="373"/>
    </row>
    <row r="47" spans="1:5" x14ac:dyDescent="0.25">
      <c r="A47" s="371"/>
      <c r="B47" s="371"/>
      <c r="C47" s="371"/>
      <c r="D47" s="372"/>
      <c r="E47" s="373"/>
    </row>
  </sheetData>
  <mergeCells count="4">
    <mergeCell ref="A1:E1"/>
    <mergeCell ref="A2:E2"/>
    <mergeCell ref="A3:E3"/>
    <mergeCell ref="A14:C14"/>
  </mergeCells>
  <printOptions horizontalCentered="1"/>
  <pageMargins left="0.15748031496062992" right="0.35433070866141736" top="0.51181102362204722" bottom="0.74803149606299213" header="0.31496062992125984" footer="0.31496062992125984"/>
  <pageSetup fitToHeight="0" orientation="portrait" verticalDpi="300" r:id="rId1"/>
  <headerFooter>
    <oddHeader>&amp;R&amp;"Arial,Normal"&amp;8 07.I.2</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G33"/>
  <sheetViews>
    <sheetView view="pageBreakPreview" zoomScale="60" zoomScaleNormal="100" workbookViewId="0"/>
  </sheetViews>
  <sheetFormatPr baseColWidth="10" defaultRowHeight="15" x14ac:dyDescent="0.25"/>
  <cols>
    <col min="2" max="2" width="17.28515625" customWidth="1"/>
    <col min="3" max="3" width="24.42578125" customWidth="1"/>
    <col min="4" max="4" width="25.5703125" bestFit="1" customWidth="1"/>
    <col min="5" max="5" width="11.42578125" style="166"/>
    <col min="6" max="6" width="20.85546875" customWidth="1"/>
    <col min="12" max="12" width="11.85546875" bestFit="1" customWidth="1"/>
  </cols>
  <sheetData>
    <row r="2" spans="1:7" x14ac:dyDescent="0.25">
      <c r="A2" s="1288" t="s">
        <v>732</v>
      </c>
      <c r="B2" s="1288"/>
      <c r="C2" s="1288"/>
      <c r="D2" s="1288"/>
      <c r="E2" s="1288"/>
      <c r="F2" s="1288"/>
    </row>
    <row r="3" spans="1:7" x14ac:dyDescent="0.25">
      <c r="A3" s="1287" t="s">
        <v>435</v>
      </c>
      <c r="B3" s="1287"/>
      <c r="C3" s="1287"/>
      <c r="D3" s="1287"/>
      <c r="E3" s="1287"/>
      <c r="F3" s="1287"/>
    </row>
    <row r="4" spans="1:7" x14ac:dyDescent="0.25">
      <c r="A4" s="1287" t="s">
        <v>8600</v>
      </c>
      <c r="B4" s="1287"/>
      <c r="C4" s="1287"/>
      <c r="D4" s="1287"/>
      <c r="E4" s="1287"/>
      <c r="F4" s="1287"/>
    </row>
    <row r="5" spans="1:7" x14ac:dyDescent="0.25">
      <c r="A5" s="828"/>
      <c r="B5" s="828"/>
      <c r="C5" s="828"/>
      <c r="D5" s="828"/>
      <c r="E5" s="762"/>
      <c r="F5" s="828"/>
    </row>
    <row r="6" spans="1:7" x14ac:dyDescent="0.25">
      <c r="A6" s="828"/>
      <c r="B6" s="828"/>
      <c r="C6" s="828"/>
      <c r="D6" s="828"/>
      <c r="E6" s="762"/>
      <c r="F6" s="828"/>
    </row>
    <row r="7" spans="1:7" x14ac:dyDescent="0.25">
      <c r="A7" s="828"/>
      <c r="B7" s="828"/>
      <c r="C7" s="828"/>
      <c r="D7" s="828"/>
      <c r="E7" s="762"/>
      <c r="F7" s="828"/>
    </row>
    <row r="8" spans="1:7" x14ac:dyDescent="0.25">
      <c r="A8" s="828"/>
      <c r="B8" s="828"/>
      <c r="C8" s="828"/>
      <c r="D8" s="828"/>
      <c r="E8" s="762"/>
      <c r="F8" s="828"/>
    </row>
    <row r="9" spans="1:7" x14ac:dyDescent="0.25">
      <c r="A9" s="828"/>
      <c r="B9" s="828"/>
      <c r="C9" s="828"/>
      <c r="D9" s="828"/>
      <c r="E9" s="762"/>
      <c r="F9" s="828"/>
    </row>
    <row r="10" spans="1:7" x14ac:dyDescent="0.25">
      <c r="A10" s="596" t="s">
        <v>436</v>
      </c>
      <c r="B10" s="596" t="s">
        <v>437</v>
      </c>
      <c r="C10" s="596" t="s">
        <v>438</v>
      </c>
      <c r="D10" s="596" t="s">
        <v>201</v>
      </c>
      <c r="E10" s="763" t="s">
        <v>439</v>
      </c>
      <c r="F10" s="596" t="s">
        <v>432</v>
      </c>
      <c r="G10" s="764"/>
    </row>
    <row r="11" spans="1:7" x14ac:dyDescent="0.25">
      <c r="A11" s="765">
        <v>11230</v>
      </c>
      <c r="B11" s="766" t="s">
        <v>2619</v>
      </c>
      <c r="C11" s="767" t="s">
        <v>710</v>
      </c>
      <c r="D11" s="765" t="s">
        <v>2622</v>
      </c>
      <c r="E11" s="768">
        <v>268868.52</v>
      </c>
      <c r="F11" s="769">
        <v>43465</v>
      </c>
    </row>
    <row r="12" spans="1:7" x14ac:dyDescent="0.25">
      <c r="A12" s="765">
        <v>11230</v>
      </c>
      <c r="B12" s="766" t="s">
        <v>2620</v>
      </c>
      <c r="C12" s="767" t="s">
        <v>711</v>
      </c>
      <c r="D12" s="765" t="s">
        <v>2622</v>
      </c>
      <c r="E12" s="768">
        <v>881686.27</v>
      </c>
      <c r="F12" s="769">
        <v>43465</v>
      </c>
    </row>
    <row r="13" spans="1:7" x14ac:dyDescent="0.25">
      <c r="A13" s="765">
        <v>11230</v>
      </c>
      <c r="B13" s="766" t="s">
        <v>2621</v>
      </c>
      <c r="C13" s="767" t="s">
        <v>712</v>
      </c>
      <c r="D13" s="765" t="s">
        <v>2622</v>
      </c>
      <c r="E13" s="768">
        <v>626009.80000000005</v>
      </c>
      <c r="F13" s="769">
        <v>43465</v>
      </c>
    </row>
    <row r="14" spans="1:7" x14ac:dyDescent="0.25">
      <c r="A14" s="765">
        <v>11230</v>
      </c>
      <c r="B14" s="766" t="s">
        <v>8967</v>
      </c>
      <c r="C14" s="767" t="s">
        <v>8968</v>
      </c>
      <c r="D14" s="765" t="s">
        <v>2622</v>
      </c>
      <c r="E14" s="768">
        <v>157.47</v>
      </c>
      <c r="F14" s="769">
        <v>43465</v>
      </c>
    </row>
    <row r="15" spans="1:7" x14ac:dyDescent="0.25">
      <c r="A15" s="765">
        <v>11230</v>
      </c>
      <c r="B15" s="766" t="s">
        <v>8075</v>
      </c>
      <c r="C15" s="767" t="s">
        <v>8076</v>
      </c>
      <c r="D15" s="765" t="s">
        <v>713</v>
      </c>
      <c r="E15" s="768">
        <v>4216.5</v>
      </c>
      <c r="F15" s="769">
        <v>43465</v>
      </c>
    </row>
    <row r="16" spans="1:7" x14ac:dyDescent="0.25">
      <c r="A16" s="765">
        <v>11230</v>
      </c>
      <c r="B16" s="766" t="s">
        <v>8077</v>
      </c>
      <c r="C16" s="767" t="s">
        <v>714</v>
      </c>
      <c r="D16" s="765" t="s">
        <v>713</v>
      </c>
      <c r="E16" s="768">
        <v>77863.990000000005</v>
      </c>
      <c r="F16" s="769">
        <v>43465</v>
      </c>
    </row>
    <row r="17" spans="1:6" ht="16.5" x14ac:dyDescent="0.25">
      <c r="A17" s="765">
        <v>11230</v>
      </c>
      <c r="B17" s="766" t="s">
        <v>2623</v>
      </c>
      <c r="C17" s="767" t="s">
        <v>2624</v>
      </c>
      <c r="D17" s="765" t="s">
        <v>713</v>
      </c>
      <c r="E17" s="768">
        <v>5373.98</v>
      </c>
      <c r="F17" s="769">
        <v>43465</v>
      </c>
    </row>
    <row r="18" spans="1:6" ht="16.5" x14ac:dyDescent="0.25">
      <c r="A18" s="765">
        <v>11230</v>
      </c>
      <c r="B18" s="766" t="s">
        <v>8969</v>
      </c>
      <c r="C18" s="767" t="s">
        <v>8970</v>
      </c>
      <c r="D18" s="765" t="s">
        <v>1207</v>
      </c>
      <c r="E18" s="768">
        <v>17665353</v>
      </c>
      <c r="F18" s="769">
        <v>43465</v>
      </c>
    </row>
    <row r="19" spans="1:6" x14ac:dyDescent="0.25">
      <c r="A19" s="765">
        <v>11230</v>
      </c>
      <c r="B19" s="766" t="s">
        <v>8078</v>
      </c>
      <c r="C19" s="767" t="s">
        <v>716</v>
      </c>
      <c r="D19" s="765" t="s">
        <v>8971</v>
      </c>
      <c r="E19" s="777">
        <v>352002.79</v>
      </c>
      <c r="F19" s="769">
        <v>43465</v>
      </c>
    </row>
    <row r="20" spans="1:6" ht="16.5" x14ac:dyDescent="0.25">
      <c r="A20" s="767"/>
      <c r="B20" s="770"/>
      <c r="C20" s="770"/>
      <c r="D20" s="771" t="s">
        <v>2373</v>
      </c>
      <c r="E20" s="772">
        <f>SUM(E11:E19)</f>
        <v>19881532.32</v>
      </c>
      <c r="F20" s="773"/>
    </row>
    <row r="21" spans="1:6" x14ac:dyDescent="0.25">
      <c r="A21" s="767"/>
      <c r="B21" s="770"/>
      <c r="C21" s="770"/>
      <c r="D21" s="771"/>
      <c r="E21" s="772"/>
      <c r="F21" s="773"/>
    </row>
    <row r="22" spans="1:6" x14ac:dyDescent="0.25">
      <c r="A22" s="774"/>
      <c r="B22" s="770"/>
      <c r="C22" s="770"/>
      <c r="D22" s="775"/>
      <c r="E22" s="776"/>
      <c r="F22" s="773"/>
    </row>
    <row r="23" spans="1:6" ht="16.5" x14ac:dyDescent="0.25">
      <c r="A23" s="765">
        <v>1132</v>
      </c>
      <c r="B23" s="765" t="s">
        <v>8079</v>
      </c>
      <c r="C23" s="767" t="s">
        <v>7465</v>
      </c>
      <c r="D23" s="765" t="s">
        <v>2374</v>
      </c>
      <c r="E23" s="777">
        <v>6890.4</v>
      </c>
      <c r="F23" s="769">
        <v>43465</v>
      </c>
    </row>
    <row r="24" spans="1:6" ht="16.5" x14ac:dyDescent="0.25">
      <c r="A24" s="774"/>
      <c r="B24" s="770"/>
      <c r="C24" s="770"/>
      <c r="D24" s="771" t="s">
        <v>2375</v>
      </c>
      <c r="E24" s="772">
        <f>SUM(E23:E23)</f>
        <v>6890.4</v>
      </c>
      <c r="F24" s="773"/>
    </row>
    <row r="25" spans="1:6" x14ac:dyDescent="0.25">
      <c r="A25" s="774"/>
      <c r="B25" s="770"/>
      <c r="C25" s="770"/>
      <c r="D25" s="771"/>
      <c r="E25" s="772"/>
      <c r="F25" s="773"/>
    </row>
    <row r="26" spans="1:6" x14ac:dyDescent="0.25">
      <c r="A26" s="774"/>
      <c r="B26" s="770"/>
      <c r="C26" s="770"/>
      <c r="D26" s="771"/>
      <c r="E26" s="772"/>
      <c r="F26" s="773"/>
    </row>
    <row r="27" spans="1:6" x14ac:dyDescent="0.25">
      <c r="A27" s="778"/>
      <c r="B27" s="779"/>
      <c r="C27" s="779"/>
      <c r="D27" s="780"/>
      <c r="E27" s="781"/>
      <c r="F27" s="780"/>
    </row>
    <row r="28" spans="1:6" x14ac:dyDescent="0.25">
      <c r="A28" s="45"/>
      <c r="B28" s="782"/>
      <c r="C28" s="782"/>
      <c r="D28" s="783"/>
      <c r="E28" s="784"/>
      <c r="F28" s="783"/>
    </row>
    <row r="29" spans="1:6" x14ac:dyDescent="0.25">
      <c r="A29" s="45"/>
      <c r="B29" s="782"/>
      <c r="C29" s="782"/>
      <c r="D29" s="783"/>
      <c r="E29" s="784"/>
      <c r="F29" s="783"/>
    </row>
    <row r="30" spans="1:6" x14ac:dyDescent="0.25">
      <c r="A30" s="45"/>
      <c r="B30" s="782"/>
      <c r="C30" s="782"/>
      <c r="D30" s="783"/>
      <c r="E30" s="784"/>
      <c r="F30" s="783"/>
    </row>
    <row r="31" spans="1:6" x14ac:dyDescent="0.25">
      <c r="A31" s="45"/>
      <c r="B31" s="782"/>
      <c r="C31" s="782"/>
      <c r="D31" s="783"/>
      <c r="E31" s="784"/>
      <c r="F31" s="783"/>
    </row>
    <row r="32" spans="1:6" ht="6.75" customHeight="1" x14ac:dyDescent="0.25">
      <c r="A32" s="45"/>
      <c r="B32" s="782"/>
      <c r="C32" s="782"/>
      <c r="D32" s="783"/>
      <c r="E32" s="784"/>
      <c r="F32" s="783"/>
    </row>
    <row r="33" spans="1:6" x14ac:dyDescent="0.25">
      <c r="A33" s="45"/>
      <c r="B33" s="782"/>
      <c r="C33" s="782"/>
      <c r="D33" s="783"/>
      <c r="E33" s="784"/>
      <c r="F33" s="783"/>
    </row>
  </sheetData>
  <mergeCells count="3">
    <mergeCell ref="A2:F2"/>
    <mergeCell ref="A3:F3"/>
    <mergeCell ref="A4:F4"/>
  </mergeCells>
  <printOptions horizontalCentered="1"/>
  <pageMargins left="0.70866141732283472" right="0.70866141732283472" top="0.31496062992125984" bottom="0.31496062992125984" header="0.31496062992125984" footer="0.31496062992125984"/>
  <pageSetup orientation="landscape" verticalDpi="300" r:id="rId1"/>
  <headerFooter>
    <oddHeader>&amp;R&amp;"Arial,Normal"&amp;8 07.I.3</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view="pageBreakPreview" zoomScale="60" zoomScaleNormal="100" workbookViewId="0">
      <selection sqref="A1:H1"/>
    </sheetView>
  </sheetViews>
  <sheetFormatPr baseColWidth="10" defaultRowHeight="15" x14ac:dyDescent="0.25"/>
  <cols>
    <col min="1" max="1" width="13.28515625" customWidth="1"/>
    <col min="3" max="3" width="14.42578125" customWidth="1"/>
    <col min="5" max="5" width="14.28515625" customWidth="1"/>
    <col min="7" max="7" width="13.85546875" customWidth="1"/>
  </cols>
  <sheetData>
    <row r="1" spans="1:8" x14ac:dyDescent="0.25">
      <c r="A1" s="1294" t="s">
        <v>566</v>
      </c>
      <c r="B1" s="1294"/>
      <c r="C1" s="1294"/>
      <c r="D1" s="1294"/>
      <c r="E1" s="1294"/>
      <c r="F1" s="1294"/>
      <c r="G1" s="1294"/>
      <c r="H1" s="1294"/>
    </row>
    <row r="2" spans="1:8" x14ac:dyDescent="0.25">
      <c r="A2" s="1294" t="s">
        <v>2423</v>
      </c>
      <c r="B2" s="1294"/>
      <c r="C2" s="1294"/>
      <c r="D2" s="1294"/>
      <c r="E2" s="1294"/>
      <c r="F2" s="1294"/>
      <c r="G2" s="1294"/>
      <c r="H2" s="1294"/>
    </row>
    <row r="3" spans="1:8" x14ac:dyDescent="0.25">
      <c r="A3" s="1294" t="s">
        <v>8966</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608"/>
      <c r="B6" s="609"/>
      <c r="C6" s="609"/>
      <c r="D6" s="609"/>
      <c r="E6" s="609"/>
      <c r="F6" s="609"/>
      <c r="G6" s="609"/>
      <c r="H6" s="610"/>
    </row>
    <row r="7" spans="1:8" x14ac:dyDescent="0.25">
      <c r="A7" s="608"/>
      <c r="B7" s="609"/>
      <c r="C7" s="609"/>
      <c r="D7" s="609"/>
      <c r="E7" s="609"/>
      <c r="F7" s="609"/>
      <c r="G7" s="609"/>
      <c r="H7" s="610"/>
    </row>
    <row r="8" spans="1:8" x14ac:dyDescent="0.25">
      <c r="A8" s="608"/>
      <c r="B8" s="609"/>
      <c r="C8" s="609"/>
      <c r="D8" s="609"/>
      <c r="E8" s="609"/>
      <c r="F8" s="609"/>
      <c r="G8" s="609"/>
      <c r="H8" s="610"/>
    </row>
    <row r="9" spans="1:8" x14ac:dyDescent="0.25">
      <c r="A9" s="608"/>
      <c r="B9" s="609"/>
      <c r="C9" s="609"/>
      <c r="D9" s="609"/>
      <c r="E9" s="609"/>
      <c r="F9" s="609"/>
      <c r="G9" s="609"/>
      <c r="H9" s="610"/>
    </row>
    <row r="10" spans="1:8" x14ac:dyDescent="0.25">
      <c r="A10" s="608"/>
      <c r="B10" s="609"/>
      <c r="C10" s="609"/>
      <c r="D10" s="609"/>
      <c r="E10" s="609"/>
      <c r="F10" s="609"/>
      <c r="G10" s="609"/>
      <c r="H10" s="610"/>
    </row>
    <row r="11" spans="1:8" x14ac:dyDescent="0.25">
      <c r="A11" s="608"/>
      <c r="B11" s="609"/>
      <c r="C11" s="609"/>
      <c r="D11" s="609"/>
      <c r="E11" s="609"/>
      <c r="F11" s="609"/>
      <c r="G11" s="609"/>
      <c r="H11" s="610"/>
    </row>
    <row r="12" spans="1:8" x14ac:dyDescent="0.25">
      <c r="A12" s="608"/>
      <c r="B12" s="609"/>
      <c r="C12" s="609"/>
      <c r="D12" s="609"/>
      <c r="E12" s="609"/>
      <c r="F12" s="609"/>
      <c r="G12" s="609"/>
      <c r="H12" s="610"/>
    </row>
    <row r="13" spans="1:8" x14ac:dyDescent="0.25">
      <c r="A13" s="608"/>
      <c r="B13" s="609"/>
      <c r="C13" s="609"/>
      <c r="D13" s="609"/>
      <c r="E13" s="609"/>
      <c r="F13" s="609"/>
      <c r="G13" s="609"/>
      <c r="H13" s="610"/>
    </row>
    <row r="14" spans="1:8" x14ac:dyDescent="0.25">
      <c r="A14" s="608"/>
      <c r="B14" s="609"/>
      <c r="C14" s="609"/>
      <c r="D14" s="609"/>
      <c r="E14" s="609"/>
      <c r="F14" s="609"/>
      <c r="G14" s="609"/>
      <c r="H14" s="610"/>
    </row>
    <row r="15" spans="1:8" x14ac:dyDescent="0.25">
      <c r="A15" s="608"/>
      <c r="B15" s="609"/>
      <c r="C15" s="609"/>
      <c r="D15" s="609"/>
      <c r="E15" s="609"/>
      <c r="F15" s="609"/>
      <c r="G15" s="609"/>
      <c r="H15" s="610"/>
    </row>
    <row r="16" spans="1:8" x14ac:dyDescent="0.25">
      <c r="A16" s="608"/>
      <c r="B16" s="609"/>
      <c r="C16" s="609"/>
      <c r="D16" s="609"/>
      <c r="E16" s="609"/>
      <c r="F16" s="609"/>
      <c r="G16" s="609"/>
      <c r="H16" s="610"/>
    </row>
    <row r="17" spans="1:8" x14ac:dyDescent="0.25">
      <c r="A17" s="608"/>
      <c r="B17" s="609"/>
      <c r="C17" s="609"/>
      <c r="D17" s="609"/>
      <c r="E17" s="609"/>
      <c r="F17" s="609"/>
      <c r="G17" s="609"/>
      <c r="H17" s="610"/>
    </row>
    <row r="18" spans="1:8" x14ac:dyDescent="0.25">
      <c r="A18" s="608"/>
      <c r="B18" s="609"/>
      <c r="C18" s="609"/>
      <c r="D18" s="609"/>
      <c r="E18" s="609"/>
      <c r="F18" s="609"/>
      <c r="G18" s="609"/>
      <c r="H18" s="610"/>
    </row>
    <row r="19" spans="1:8" x14ac:dyDescent="0.25">
      <c r="A19" s="608"/>
      <c r="B19" s="609"/>
      <c r="C19" s="609"/>
      <c r="D19" s="609"/>
      <c r="E19" s="609"/>
      <c r="F19" s="609"/>
      <c r="G19" s="609"/>
      <c r="H19" s="610"/>
    </row>
    <row r="20" spans="1:8" x14ac:dyDescent="0.25">
      <c r="A20" s="608"/>
      <c r="B20" s="609"/>
      <c r="C20" s="609"/>
      <c r="D20" s="609"/>
      <c r="E20" s="609"/>
      <c r="F20" s="609"/>
      <c r="G20" s="609"/>
      <c r="H20" s="610"/>
    </row>
    <row r="21" spans="1:8" x14ac:dyDescent="0.25">
      <c r="A21" s="608"/>
      <c r="B21" s="609"/>
      <c r="C21" s="609"/>
      <c r="D21" s="609"/>
      <c r="E21" s="609"/>
      <c r="F21" s="609"/>
      <c r="G21" s="609"/>
      <c r="H21" s="610"/>
    </row>
    <row r="22" spans="1:8" x14ac:dyDescent="0.25">
      <c r="A22" s="608"/>
      <c r="B22" s="609"/>
      <c r="C22" s="609"/>
      <c r="D22" s="609"/>
      <c r="E22" s="609"/>
      <c r="F22" s="609"/>
      <c r="G22" s="609"/>
      <c r="H22" s="610"/>
    </row>
    <row r="23" spans="1:8" x14ac:dyDescent="0.25">
      <c r="A23" s="608"/>
      <c r="B23" s="609"/>
      <c r="C23" s="609"/>
      <c r="D23" s="609"/>
      <c r="E23" s="609"/>
      <c r="F23" s="609"/>
      <c r="G23" s="609"/>
      <c r="H23" s="610"/>
    </row>
    <row r="24" spans="1:8" x14ac:dyDescent="0.25">
      <c r="A24" s="608"/>
      <c r="B24" s="609"/>
      <c r="C24" s="609"/>
      <c r="D24" s="609"/>
      <c r="E24" s="609"/>
      <c r="F24" s="609"/>
      <c r="G24" s="609"/>
      <c r="H24" s="610"/>
    </row>
    <row r="25" spans="1:8" x14ac:dyDescent="0.25">
      <c r="A25" s="608"/>
      <c r="B25" s="609"/>
      <c r="C25" s="609"/>
      <c r="D25" s="609"/>
      <c r="E25" s="609"/>
      <c r="F25" s="609"/>
      <c r="G25" s="609"/>
      <c r="H25" s="610"/>
    </row>
    <row r="26" spans="1:8" x14ac:dyDescent="0.25">
      <c r="A26" s="608"/>
      <c r="B26" s="609"/>
      <c r="C26" s="609"/>
      <c r="D26" s="609"/>
      <c r="E26" s="609"/>
      <c r="F26" s="609"/>
      <c r="G26" s="609"/>
      <c r="H26" s="610"/>
    </row>
    <row r="27" spans="1:8" x14ac:dyDescent="0.25">
      <c r="A27" s="608"/>
      <c r="B27" s="609"/>
      <c r="C27" s="609"/>
      <c r="D27" s="609"/>
      <c r="E27" s="609"/>
      <c r="F27" s="609"/>
      <c r="G27" s="609"/>
      <c r="H27" s="610"/>
    </row>
    <row r="28" spans="1:8" x14ac:dyDescent="0.25">
      <c r="A28" s="608"/>
      <c r="B28" s="609"/>
      <c r="C28" s="609"/>
      <c r="D28" s="609"/>
      <c r="E28" s="609"/>
      <c r="F28" s="609"/>
      <c r="G28" s="609"/>
      <c r="H28" s="610"/>
    </row>
    <row r="29" spans="1:8" x14ac:dyDescent="0.25">
      <c r="A29" s="608"/>
      <c r="B29" s="609"/>
      <c r="C29" s="609"/>
      <c r="D29" s="609"/>
      <c r="E29" s="609"/>
      <c r="F29" s="609"/>
      <c r="G29" s="609"/>
      <c r="H29" s="610"/>
    </row>
    <row r="30" spans="1:8" x14ac:dyDescent="0.25">
      <c r="A30" s="608"/>
      <c r="B30" s="609"/>
      <c r="C30" s="609"/>
      <c r="D30" s="609"/>
      <c r="E30" s="609"/>
      <c r="F30" s="609"/>
      <c r="G30" s="609"/>
      <c r="H30" s="610"/>
    </row>
    <row r="31" spans="1:8" x14ac:dyDescent="0.25">
      <c r="A31" s="608"/>
      <c r="B31" s="609"/>
      <c r="C31" s="609"/>
      <c r="D31" s="609"/>
      <c r="E31" s="609"/>
      <c r="F31" s="609"/>
      <c r="G31" s="609"/>
      <c r="H31" s="610"/>
    </row>
    <row r="32" spans="1:8" x14ac:dyDescent="0.25">
      <c r="A32" s="608"/>
      <c r="B32" s="609"/>
      <c r="C32" s="609"/>
      <c r="D32" s="609"/>
      <c r="E32" s="609"/>
      <c r="F32" s="609"/>
      <c r="G32" s="609"/>
      <c r="H32" s="610"/>
    </row>
    <row r="33" spans="1:8" x14ac:dyDescent="0.25">
      <c r="A33" s="608"/>
      <c r="B33" s="609"/>
      <c r="C33" s="609"/>
      <c r="D33" s="609"/>
      <c r="E33" s="609"/>
      <c r="F33" s="609"/>
      <c r="G33" s="609"/>
      <c r="H33" s="610"/>
    </row>
    <row r="34" spans="1:8" x14ac:dyDescent="0.25">
      <c r="A34" s="608"/>
      <c r="B34" s="609"/>
      <c r="C34" s="609"/>
      <c r="D34" s="609"/>
      <c r="E34" s="609"/>
      <c r="F34" s="609"/>
      <c r="G34" s="609"/>
      <c r="H34" s="610"/>
    </row>
    <row r="35" spans="1:8" x14ac:dyDescent="0.25">
      <c r="A35" s="608"/>
      <c r="B35" s="609"/>
      <c r="C35" s="609"/>
      <c r="D35" s="609"/>
      <c r="E35" s="609"/>
      <c r="F35" s="609"/>
      <c r="G35" s="609"/>
      <c r="H35" s="610"/>
    </row>
    <row r="36" spans="1:8" x14ac:dyDescent="0.25">
      <c r="A36" s="608"/>
      <c r="B36" s="609"/>
      <c r="C36" s="609"/>
      <c r="D36" s="609"/>
      <c r="E36" s="609"/>
      <c r="F36" s="609"/>
      <c r="G36" s="609"/>
      <c r="H36" s="610"/>
    </row>
    <row r="37" spans="1:8" x14ac:dyDescent="0.25">
      <c r="A37" s="608"/>
      <c r="B37" s="609"/>
      <c r="C37" s="609"/>
      <c r="D37" s="609"/>
      <c r="E37" s="609"/>
      <c r="F37" s="609"/>
      <c r="G37" s="609"/>
      <c r="H37" s="610"/>
    </row>
    <row r="38" spans="1:8" x14ac:dyDescent="0.25">
      <c r="A38" s="608"/>
      <c r="B38" s="609"/>
      <c r="C38" s="609"/>
      <c r="D38" s="609"/>
      <c r="E38" s="609"/>
      <c r="F38" s="609"/>
      <c r="G38" s="609"/>
      <c r="H38" s="610"/>
    </row>
    <row r="39" spans="1:8" ht="15.75" thickBot="1" x14ac:dyDescent="0.3">
      <c r="A39" s="611"/>
      <c r="B39" s="612"/>
      <c r="C39" s="612"/>
      <c r="D39" s="612"/>
      <c r="E39" s="612"/>
      <c r="F39" s="612"/>
      <c r="G39" s="612"/>
      <c r="H39" s="613"/>
    </row>
    <row r="41" spans="1:8" s="90" customFormat="1" x14ac:dyDescent="0.25">
      <c r="A41" s="371"/>
      <c r="B41" s="371"/>
      <c r="C41" s="371"/>
      <c r="D41" s="372"/>
      <c r="E41" s="373"/>
    </row>
    <row r="42" spans="1:8" s="90" customFormat="1" x14ac:dyDescent="0.25">
      <c r="A42" s="371"/>
      <c r="B42" s="371"/>
      <c r="C42" s="371"/>
      <c r="D42" s="372"/>
      <c r="E42" s="373"/>
    </row>
    <row r="43" spans="1:8" s="90" customFormat="1" x14ac:dyDescent="0.25">
      <c r="A43" s="371"/>
      <c r="B43" s="371"/>
      <c r="C43" s="371"/>
      <c r="D43" s="372"/>
      <c r="E43" s="373"/>
    </row>
    <row r="44" spans="1:8" s="90" customFormat="1" x14ac:dyDescent="0.25">
      <c r="A44" s="371"/>
      <c r="B44" s="371"/>
      <c r="C44" s="371"/>
      <c r="D44" s="372"/>
      <c r="E44" s="373"/>
    </row>
    <row r="45" spans="1:8" s="90" customFormat="1" x14ac:dyDescent="0.25"/>
  </sheetData>
  <mergeCells count="3">
    <mergeCell ref="A1:H1"/>
    <mergeCell ref="A2:H2"/>
    <mergeCell ref="A3:H3"/>
  </mergeCells>
  <printOptions horizontalCentered="1"/>
  <pageMargins left="0.19685039370078741" right="0.19685039370078741" top="0.74803149606299213" bottom="0.74803149606299213" header="0.31496062992125984" footer="0.31496062992125984"/>
  <pageSetup fitToHeight="0" orientation="portrait" r:id="rId1"/>
  <headerFooter>
    <oddHeader>&amp;L&amp;"Arial,Normal"&amp;8Estados e Información Contable
Notas de Desglose&amp;R&amp;"Arial,Normal"&amp;8 7.I.4</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view="pageBreakPreview" zoomScale="60" zoomScaleNormal="100" workbookViewId="0">
      <selection sqref="A1:H1"/>
    </sheetView>
  </sheetViews>
  <sheetFormatPr baseColWidth="10" defaultRowHeight="15" x14ac:dyDescent="0.25"/>
  <cols>
    <col min="1" max="1" width="13.28515625" customWidth="1"/>
    <col min="3" max="3" width="14.42578125" customWidth="1"/>
    <col min="5" max="5" width="14.28515625" customWidth="1"/>
    <col min="7" max="7" width="13.85546875" customWidth="1"/>
  </cols>
  <sheetData>
    <row r="1" spans="1:8" x14ac:dyDescent="0.25">
      <c r="A1" s="1294" t="s">
        <v>566</v>
      </c>
      <c r="B1" s="1294"/>
      <c r="C1" s="1294"/>
      <c r="D1" s="1294"/>
      <c r="E1" s="1294"/>
      <c r="F1" s="1294"/>
      <c r="G1" s="1294"/>
      <c r="H1" s="1294"/>
    </row>
    <row r="2" spans="1:8" x14ac:dyDescent="0.25">
      <c r="A2" s="1294" t="s">
        <v>415</v>
      </c>
      <c r="B2" s="1294"/>
      <c r="C2" s="1294"/>
      <c r="D2" s="1294"/>
      <c r="E2" s="1294"/>
      <c r="F2" s="1294"/>
      <c r="G2" s="1294"/>
      <c r="H2" s="1294"/>
    </row>
    <row r="3" spans="1:8" x14ac:dyDescent="0.25">
      <c r="A3" s="1294" t="s">
        <v>8966</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608"/>
      <c r="B6" s="609"/>
      <c r="C6" s="609"/>
      <c r="D6" s="609"/>
      <c r="E6" s="609"/>
      <c r="F6" s="609"/>
      <c r="G6" s="609"/>
      <c r="H6" s="610"/>
    </row>
    <row r="7" spans="1:8" x14ac:dyDescent="0.25">
      <c r="A7" s="608"/>
      <c r="B7" s="609"/>
      <c r="C7" s="609"/>
      <c r="D7" s="609"/>
      <c r="E7" s="609"/>
      <c r="F7" s="609"/>
      <c r="G7" s="609"/>
      <c r="H7" s="610"/>
    </row>
    <row r="8" spans="1:8" x14ac:dyDescent="0.25">
      <c r="A8" s="608"/>
      <c r="B8" s="609"/>
      <c r="C8" s="609"/>
      <c r="D8" s="609"/>
      <c r="E8" s="609"/>
      <c r="F8" s="609"/>
      <c r="G8" s="609"/>
      <c r="H8" s="610"/>
    </row>
    <row r="9" spans="1:8" x14ac:dyDescent="0.25">
      <c r="A9" s="608"/>
      <c r="B9" s="609"/>
      <c r="C9" s="609"/>
      <c r="D9" s="609"/>
      <c r="E9" s="609"/>
      <c r="F9" s="609"/>
      <c r="G9" s="609"/>
      <c r="H9" s="610"/>
    </row>
    <row r="10" spans="1:8" x14ac:dyDescent="0.25">
      <c r="A10" s="608"/>
      <c r="B10" s="609"/>
      <c r="C10" s="609"/>
      <c r="D10" s="609"/>
      <c r="E10" s="609"/>
      <c r="F10" s="609"/>
      <c r="G10" s="609"/>
      <c r="H10" s="610"/>
    </row>
    <row r="11" spans="1:8" x14ac:dyDescent="0.25">
      <c r="A11" s="608"/>
      <c r="B11" s="609"/>
      <c r="C11" s="609"/>
      <c r="D11" s="609"/>
      <c r="E11" s="609"/>
      <c r="F11" s="609"/>
      <c r="G11" s="609"/>
      <c r="H11" s="610"/>
    </row>
    <row r="12" spans="1:8" x14ac:dyDescent="0.25">
      <c r="A12" s="608"/>
      <c r="B12" s="609"/>
      <c r="C12" s="609"/>
      <c r="D12" s="609"/>
      <c r="E12" s="609"/>
      <c r="F12" s="609"/>
      <c r="G12" s="609"/>
      <c r="H12" s="610"/>
    </row>
    <row r="13" spans="1:8" x14ac:dyDescent="0.25">
      <c r="A13" s="608"/>
      <c r="B13" s="609"/>
      <c r="C13" s="609"/>
      <c r="D13" s="609"/>
      <c r="E13" s="609"/>
      <c r="F13" s="609"/>
      <c r="G13" s="609"/>
      <c r="H13" s="610"/>
    </row>
    <row r="14" spans="1:8" x14ac:dyDescent="0.25">
      <c r="A14" s="608"/>
      <c r="B14" s="609"/>
      <c r="C14" s="609"/>
      <c r="D14" s="609"/>
      <c r="E14" s="609"/>
      <c r="F14" s="609"/>
      <c r="G14" s="609"/>
      <c r="H14" s="610"/>
    </row>
    <row r="15" spans="1:8" x14ac:dyDescent="0.25">
      <c r="A15" s="608"/>
      <c r="B15" s="609"/>
      <c r="C15" s="609"/>
      <c r="D15" s="609"/>
      <c r="E15" s="609"/>
      <c r="F15" s="609"/>
      <c r="G15" s="609"/>
      <c r="H15" s="610"/>
    </row>
    <row r="16" spans="1:8" x14ac:dyDescent="0.25">
      <c r="A16" s="608"/>
      <c r="B16" s="609"/>
      <c r="C16" s="609"/>
      <c r="D16" s="609"/>
      <c r="E16" s="609"/>
      <c r="F16" s="609"/>
      <c r="G16" s="609"/>
      <c r="H16" s="610"/>
    </row>
    <row r="17" spans="1:8" x14ac:dyDescent="0.25">
      <c r="A17" s="608"/>
      <c r="B17" s="609"/>
      <c r="C17" s="609"/>
      <c r="D17" s="609"/>
      <c r="E17" s="609"/>
      <c r="F17" s="609"/>
      <c r="G17" s="609"/>
      <c r="H17" s="610"/>
    </row>
    <row r="18" spans="1:8" x14ac:dyDescent="0.25">
      <c r="A18" s="608"/>
      <c r="B18" s="609"/>
      <c r="C18" s="609"/>
      <c r="D18" s="609"/>
      <c r="E18" s="609"/>
      <c r="F18" s="609"/>
      <c r="G18" s="609"/>
      <c r="H18" s="610"/>
    </row>
    <row r="19" spans="1:8" x14ac:dyDescent="0.25">
      <c r="A19" s="608"/>
      <c r="B19" s="609"/>
      <c r="C19" s="609"/>
      <c r="D19" s="609"/>
      <c r="E19" s="609"/>
      <c r="F19" s="609"/>
      <c r="G19" s="609"/>
      <c r="H19" s="610"/>
    </row>
    <row r="20" spans="1:8" x14ac:dyDescent="0.25">
      <c r="A20" s="608"/>
      <c r="B20" s="609"/>
      <c r="C20" s="609"/>
      <c r="D20" s="609"/>
      <c r="E20" s="609"/>
      <c r="F20" s="609"/>
      <c r="G20" s="609"/>
      <c r="H20" s="610"/>
    </row>
    <row r="21" spans="1:8" x14ac:dyDescent="0.25">
      <c r="A21" s="608"/>
      <c r="B21" s="609"/>
      <c r="C21" s="609"/>
      <c r="D21" s="609"/>
      <c r="E21" s="609"/>
      <c r="F21" s="609"/>
      <c r="G21" s="609"/>
      <c r="H21" s="610"/>
    </row>
    <row r="22" spans="1:8" x14ac:dyDescent="0.25">
      <c r="A22" s="608"/>
      <c r="B22" s="609"/>
      <c r="C22" s="609"/>
      <c r="D22" s="609"/>
      <c r="E22" s="609"/>
      <c r="F22" s="609"/>
      <c r="G22" s="609"/>
      <c r="H22" s="610"/>
    </row>
    <row r="23" spans="1:8" x14ac:dyDescent="0.25">
      <c r="A23" s="608"/>
      <c r="B23" s="609"/>
      <c r="C23" s="609"/>
      <c r="D23" s="609"/>
      <c r="E23" s="609"/>
      <c r="F23" s="609"/>
      <c r="G23" s="609"/>
      <c r="H23" s="610"/>
    </row>
    <row r="24" spans="1:8" x14ac:dyDescent="0.25">
      <c r="A24" s="608"/>
      <c r="B24" s="609"/>
      <c r="C24" s="609"/>
      <c r="D24" s="609"/>
      <c r="E24" s="609"/>
      <c r="F24" s="609"/>
      <c r="G24" s="609"/>
      <c r="H24" s="610"/>
    </row>
    <row r="25" spans="1:8" x14ac:dyDescent="0.25">
      <c r="A25" s="608"/>
      <c r="B25" s="609"/>
      <c r="C25" s="609"/>
      <c r="D25" s="609"/>
      <c r="E25" s="609"/>
      <c r="F25" s="609"/>
      <c r="G25" s="609"/>
      <c r="H25" s="610"/>
    </row>
    <row r="26" spans="1:8" x14ac:dyDescent="0.25">
      <c r="A26" s="608"/>
      <c r="B26" s="609"/>
      <c r="C26" s="609"/>
      <c r="D26" s="609"/>
      <c r="E26" s="609"/>
      <c r="F26" s="609"/>
      <c r="G26" s="609"/>
      <c r="H26" s="610"/>
    </row>
    <row r="27" spans="1:8" x14ac:dyDescent="0.25">
      <c r="A27" s="608"/>
      <c r="B27" s="609"/>
      <c r="C27" s="609"/>
      <c r="D27" s="609"/>
      <c r="E27" s="609"/>
      <c r="F27" s="609"/>
      <c r="G27" s="609"/>
      <c r="H27" s="610"/>
    </row>
    <row r="28" spans="1:8" x14ac:dyDescent="0.25">
      <c r="A28" s="608"/>
      <c r="B28" s="609"/>
      <c r="C28" s="609"/>
      <c r="D28" s="609"/>
      <c r="E28" s="609"/>
      <c r="F28" s="609"/>
      <c r="G28" s="609"/>
      <c r="H28" s="610"/>
    </row>
    <row r="29" spans="1:8" x14ac:dyDescent="0.25">
      <c r="A29" s="608"/>
      <c r="B29" s="609"/>
      <c r="C29" s="609"/>
      <c r="D29" s="609"/>
      <c r="E29" s="609"/>
      <c r="F29" s="609"/>
      <c r="G29" s="609"/>
      <c r="H29" s="610"/>
    </row>
    <row r="30" spans="1:8" x14ac:dyDescent="0.25">
      <c r="A30" s="608"/>
      <c r="B30" s="609"/>
      <c r="C30" s="609"/>
      <c r="D30" s="609"/>
      <c r="E30" s="609"/>
      <c r="F30" s="609"/>
      <c r="G30" s="609"/>
      <c r="H30" s="610"/>
    </row>
    <row r="31" spans="1:8" x14ac:dyDescent="0.25">
      <c r="A31" s="608"/>
      <c r="B31" s="609"/>
      <c r="C31" s="609"/>
      <c r="D31" s="609"/>
      <c r="E31" s="609"/>
      <c r="F31" s="609"/>
      <c r="G31" s="609"/>
      <c r="H31" s="610"/>
    </row>
    <row r="32" spans="1:8" x14ac:dyDescent="0.25">
      <c r="A32" s="608"/>
      <c r="B32" s="609"/>
      <c r="C32" s="609"/>
      <c r="D32" s="609"/>
      <c r="E32" s="609"/>
      <c r="F32" s="609"/>
      <c r="G32" s="609"/>
      <c r="H32" s="610"/>
    </row>
    <row r="33" spans="1:8" x14ac:dyDescent="0.25">
      <c r="A33" s="608"/>
      <c r="B33" s="609"/>
      <c r="C33" s="609"/>
      <c r="D33" s="609"/>
      <c r="E33" s="609"/>
      <c r="F33" s="609"/>
      <c r="G33" s="609"/>
      <c r="H33" s="610"/>
    </row>
    <row r="34" spans="1:8" x14ac:dyDescent="0.25">
      <c r="A34" s="608"/>
      <c r="B34" s="609"/>
      <c r="C34" s="609"/>
      <c r="D34" s="609"/>
      <c r="E34" s="609"/>
      <c r="F34" s="609"/>
      <c r="G34" s="609"/>
      <c r="H34" s="610"/>
    </row>
    <row r="35" spans="1:8" x14ac:dyDescent="0.25">
      <c r="A35" s="608"/>
      <c r="B35" s="609"/>
      <c r="C35" s="609"/>
      <c r="D35" s="609"/>
      <c r="E35" s="609"/>
      <c r="F35" s="609"/>
      <c r="G35" s="609"/>
      <c r="H35" s="610"/>
    </row>
    <row r="36" spans="1:8" x14ac:dyDescent="0.25">
      <c r="A36" s="608"/>
      <c r="B36" s="609"/>
      <c r="C36" s="609"/>
      <c r="D36" s="609"/>
      <c r="E36" s="609"/>
      <c r="F36" s="609"/>
      <c r="G36" s="609"/>
      <c r="H36" s="610"/>
    </row>
    <row r="37" spans="1:8" x14ac:dyDescent="0.25">
      <c r="A37" s="608"/>
      <c r="B37" s="609"/>
      <c r="C37" s="609"/>
      <c r="D37" s="609"/>
      <c r="E37" s="609"/>
      <c r="F37" s="609"/>
      <c r="G37" s="609"/>
      <c r="H37" s="610"/>
    </row>
    <row r="38" spans="1:8" x14ac:dyDescent="0.25">
      <c r="A38" s="608"/>
      <c r="B38" s="609"/>
      <c r="C38" s="609"/>
      <c r="D38" s="609"/>
      <c r="E38" s="609"/>
      <c r="F38" s="609"/>
      <c r="G38" s="609"/>
      <c r="H38" s="610"/>
    </row>
    <row r="39" spans="1:8" ht="15.75" thickBot="1" x14ac:dyDescent="0.3">
      <c r="A39" s="611"/>
      <c r="B39" s="612"/>
      <c r="C39" s="612"/>
      <c r="D39" s="612"/>
      <c r="E39" s="612"/>
      <c r="F39" s="612"/>
      <c r="G39" s="612"/>
      <c r="H39" s="613"/>
    </row>
    <row r="41" spans="1:8" s="90" customFormat="1" x14ac:dyDescent="0.25">
      <c r="A41" s="371"/>
      <c r="B41" s="371"/>
      <c r="C41" s="371"/>
      <c r="D41" s="372"/>
      <c r="E41" s="373"/>
    </row>
    <row r="42" spans="1:8" s="90" customFormat="1" x14ac:dyDescent="0.25">
      <c r="A42" s="371"/>
      <c r="B42" s="371"/>
      <c r="C42" s="371"/>
      <c r="D42" s="372"/>
      <c r="E42" s="373"/>
    </row>
    <row r="43" spans="1:8" s="90" customFormat="1" x14ac:dyDescent="0.25">
      <c r="A43" s="371"/>
      <c r="B43" s="371"/>
      <c r="C43" s="371"/>
      <c r="D43" s="372"/>
      <c r="E43" s="373"/>
    </row>
    <row r="44" spans="1:8" s="90" customFormat="1" x14ac:dyDescent="0.25">
      <c r="A44" s="371"/>
      <c r="B44" s="371"/>
      <c r="C44" s="371"/>
      <c r="D44" s="372"/>
      <c r="E44" s="373"/>
    </row>
    <row r="45" spans="1:8" s="90" customFormat="1" x14ac:dyDescent="0.25"/>
  </sheetData>
  <mergeCells count="3">
    <mergeCell ref="A1:H1"/>
    <mergeCell ref="A2:H2"/>
    <mergeCell ref="A3:H3"/>
  </mergeCells>
  <printOptions horizontalCentered="1"/>
  <pageMargins left="0.19685039370078741" right="0.19685039370078741" top="0.74803149606299213" bottom="0.74803149606299213" header="0.31496062992125984" footer="0.31496062992125984"/>
  <pageSetup fitToHeight="0" orientation="portrait" r:id="rId1"/>
  <headerFooter>
    <oddHeader>&amp;L&amp;"Arial,Normal"&amp;8Estados e Información Contable
Notas de Desglose&amp;R&amp;"Arial,Normal"&amp;8 7.I.5</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4"/>
  <sheetViews>
    <sheetView view="pageBreakPreview" zoomScale="60" zoomScaleNormal="100" workbookViewId="0">
      <selection activeCell="A29" sqref="A29:XFD29"/>
    </sheetView>
  </sheetViews>
  <sheetFormatPr baseColWidth="10" defaultRowHeight="15" x14ac:dyDescent="0.25"/>
  <cols>
    <col min="1" max="1" width="13.28515625" customWidth="1"/>
    <col min="3" max="3" width="14.42578125" customWidth="1"/>
    <col min="5" max="5" width="14.28515625" customWidth="1"/>
    <col min="7" max="7" width="13.85546875" customWidth="1"/>
  </cols>
  <sheetData>
    <row r="1" spans="1:8" x14ac:dyDescent="0.25">
      <c r="A1" s="1294" t="s">
        <v>566</v>
      </c>
      <c r="B1" s="1294"/>
      <c r="C1" s="1294"/>
      <c r="D1" s="1294"/>
      <c r="E1" s="1294"/>
      <c r="F1" s="1294"/>
      <c r="G1" s="1294"/>
      <c r="H1" s="1294"/>
    </row>
    <row r="2" spans="1:8" x14ac:dyDescent="0.25">
      <c r="A2" s="1294" t="s">
        <v>34</v>
      </c>
      <c r="B2" s="1294"/>
      <c r="C2" s="1294"/>
      <c r="D2" s="1294"/>
      <c r="E2" s="1294"/>
      <c r="F2" s="1294"/>
      <c r="G2" s="1294"/>
      <c r="H2" s="1294"/>
    </row>
    <row r="3" spans="1:8" x14ac:dyDescent="0.25">
      <c r="A3" s="1294" t="s">
        <v>8966</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608"/>
      <c r="B6" s="609"/>
      <c r="C6" s="609"/>
      <c r="D6" s="609"/>
      <c r="E6" s="609"/>
      <c r="F6" s="609"/>
      <c r="G6" s="609"/>
      <c r="H6" s="610"/>
    </row>
    <row r="7" spans="1:8" x14ac:dyDescent="0.25">
      <c r="A7" s="608"/>
      <c r="B7" s="609"/>
      <c r="C7" s="609"/>
      <c r="D7" s="609"/>
      <c r="E7" s="609"/>
      <c r="F7" s="609"/>
      <c r="G7" s="609"/>
      <c r="H7" s="610"/>
    </row>
    <row r="8" spans="1:8" x14ac:dyDescent="0.25">
      <c r="A8" s="608"/>
      <c r="B8" s="609"/>
      <c r="C8" s="609"/>
      <c r="D8" s="609"/>
      <c r="E8" s="609"/>
      <c r="F8" s="609"/>
      <c r="G8" s="609"/>
      <c r="H8" s="610"/>
    </row>
    <row r="9" spans="1:8" x14ac:dyDescent="0.25">
      <c r="A9" s="608"/>
      <c r="B9" s="609"/>
      <c r="C9" s="609"/>
      <c r="D9" s="609"/>
      <c r="E9" s="609"/>
      <c r="F9" s="609"/>
      <c r="G9" s="609"/>
      <c r="H9" s="610"/>
    </row>
    <row r="10" spans="1:8" x14ac:dyDescent="0.25">
      <c r="A10" s="608"/>
      <c r="B10" s="609"/>
      <c r="C10" s="609"/>
      <c r="D10" s="609"/>
      <c r="E10" s="609"/>
      <c r="F10" s="609"/>
      <c r="G10" s="609"/>
      <c r="H10" s="610"/>
    </row>
    <row r="11" spans="1:8" x14ac:dyDescent="0.25">
      <c r="A11" s="608"/>
      <c r="B11" s="609"/>
      <c r="C11" s="609"/>
      <c r="D11" s="609"/>
      <c r="E11" s="609"/>
      <c r="F11" s="609"/>
      <c r="G11" s="609"/>
      <c r="H11" s="610"/>
    </row>
    <row r="12" spans="1:8" x14ac:dyDescent="0.25">
      <c r="A12" s="608"/>
      <c r="B12" s="609"/>
      <c r="C12" s="609"/>
      <c r="D12" s="609"/>
      <c r="E12" s="609"/>
      <c r="F12" s="609"/>
      <c r="G12" s="609"/>
      <c r="H12" s="610"/>
    </row>
    <row r="13" spans="1:8" x14ac:dyDescent="0.25">
      <c r="A13" s="608"/>
      <c r="B13" s="609"/>
      <c r="C13" s="609"/>
      <c r="D13" s="609"/>
      <c r="E13" s="609"/>
      <c r="F13" s="609"/>
      <c r="G13" s="609"/>
      <c r="H13" s="610"/>
    </row>
    <row r="14" spans="1:8" x14ac:dyDescent="0.25">
      <c r="A14" s="608"/>
      <c r="B14" s="609"/>
      <c r="C14" s="609"/>
      <c r="D14" s="609"/>
      <c r="E14" s="609"/>
      <c r="F14" s="609"/>
      <c r="G14" s="609"/>
      <c r="H14" s="610"/>
    </row>
    <row r="15" spans="1:8" x14ac:dyDescent="0.25">
      <c r="A15" s="608"/>
      <c r="B15" s="609"/>
      <c r="C15" s="609"/>
      <c r="D15" s="609"/>
      <c r="E15" s="609"/>
      <c r="F15" s="609"/>
      <c r="G15" s="609"/>
      <c r="H15" s="610"/>
    </row>
    <row r="16" spans="1:8" x14ac:dyDescent="0.25">
      <c r="A16" s="608"/>
      <c r="B16" s="609"/>
      <c r="C16" s="609"/>
      <c r="D16" s="609"/>
      <c r="E16" s="609"/>
      <c r="F16" s="609"/>
      <c r="G16" s="609"/>
      <c r="H16" s="610"/>
    </row>
    <row r="17" spans="1:8" x14ac:dyDescent="0.25">
      <c r="A17" s="608"/>
      <c r="B17" s="609"/>
      <c r="C17" s="609"/>
      <c r="D17" s="609"/>
      <c r="E17" s="609"/>
      <c r="F17" s="609"/>
      <c r="G17" s="609"/>
      <c r="H17" s="610"/>
    </row>
    <row r="18" spans="1:8" x14ac:dyDescent="0.25">
      <c r="A18" s="608"/>
      <c r="B18" s="609"/>
      <c r="C18" s="609"/>
      <c r="D18" s="609"/>
      <c r="E18" s="609"/>
      <c r="F18" s="609"/>
      <c r="G18" s="609"/>
      <c r="H18" s="610"/>
    </row>
    <row r="19" spans="1:8" x14ac:dyDescent="0.25">
      <c r="A19" s="608"/>
      <c r="B19" s="609"/>
      <c r="C19" s="609"/>
      <c r="D19" s="609"/>
      <c r="E19" s="609"/>
      <c r="F19" s="609"/>
      <c r="G19" s="609"/>
      <c r="H19" s="610"/>
    </row>
    <row r="20" spans="1:8" x14ac:dyDescent="0.25">
      <c r="A20" s="608"/>
      <c r="B20" s="609"/>
      <c r="C20" s="609"/>
      <c r="D20" s="609"/>
      <c r="E20" s="609"/>
      <c r="F20" s="609"/>
      <c r="G20" s="609"/>
      <c r="H20" s="610"/>
    </row>
    <row r="21" spans="1:8" x14ac:dyDescent="0.25">
      <c r="A21" s="608"/>
      <c r="B21" s="609"/>
      <c r="C21" s="609"/>
      <c r="D21" s="609"/>
      <c r="E21" s="609"/>
      <c r="F21" s="609"/>
      <c r="G21" s="609"/>
      <c r="H21" s="610"/>
    </row>
    <row r="22" spans="1:8" x14ac:dyDescent="0.25">
      <c r="A22" s="608"/>
      <c r="B22" s="609"/>
      <c r="C22" s="609"/>
      <c r="D22" s="609"/>
      <c r="E22" s="609"/>
      <c r="F22" s="609"/>
      <c r="G22" s="609"/>
      <c r="H22" s="610"/>
    </row>
    <row r="23" spans="1:8" x14ac:dyDescent="0.25">
      <c r="A23" s="608"/>
      <c r="B23" s="609"/>
      <c r="C23" s="609"/>
      <c r="D23" s="609"/>
      <c r="E23" s="609"/>
      <c r="F23" s="609"/>
      <c r="G23" s="609"/>
      <c r="H23" s="610"/>
    </row>
    <row r="24" spans="1:8" x14ac:dyDescent="0.25">
      <c r="A24" s="608"/>
      <c r="B24" s="609"/>
      <c r="C24" s="609"/>
      <c r="D24" s="609"/>
      <c r="E24" s="609"/>
      <c r="F24" s="609"/>
      <c r="G24" s="609"/>
      <c r="H24" s="610"/>
    </row>
    <row r="25" spans="1:8" x14ac:dyDescent="0.25">
      <c r="A25" s="608"/>
      <c r="B25" s="609"/>
      <c r="C25" s="609"/>
      <c r="D25" s="609"/>
      <c r="E25" s="609"/>
      <c r="F25" s="609"/>
      <c r="G25" s="609"/>
      <c r="H25" s="610"/>
    </row>
    <row r="26" spans="1:8" x14ac:dyDescent="0.25">
      <c r="A26" s="608"/>
      <c r="B26" s="609"/>
      <c r="C26" s="609"/>
      <c r="D26" s="609"/>
      <c r="E26" s="609"/>
      <c r="F26" s="609"/>
      <c r="G26" s="609"/>
      <c r="H26" s="610"/>
    </row>
    <row r="27" spans="1:8" x14ac:dyDescent="0.25">
      <c r="A27" s="608"/>
      <c r="B27" s="609"/>
      <c r="C27" s="609"/>
      <c r="D27" s="609"/>
      <c r="E27" s="609"/>
      <c r="F27" s="609"/>
      <c r="G27" s="609"/>
      <c r="H27" s="610"/>
    </row>
    <row r="28" spans="1:8" x14ac:dyDescent="0.25">
      <c r="A28" s="608"/>
      <c r="B28" s="609"/>
      <c r="C28" s="609"/>
      <c r="D28" s="609"/>
      <c r="E28" s="609"/>
      <c r="F28" s="609"/>
      <c r="G28" s="609"/>
      <c r="H28" s="610"/>
    </row>
    <row r="29" spans="1:8" x14ac:dyDescent="0.25">
      <c r="A29" s="608"/>
      <c r="B29" s="609"/>
      <c r="C29" s="609"/>
      <c r="D29" s="609"/>
      <c r="E29" s="609"/>
      <c r="F29" s="609"/>
      <c r="G29" s="609"/>
      <c r="H29" s="610"/>
    </row>
    <row r="30" spans="1:8" x14ac:dyDescent="0.25">
      <c r="A30" s="608"/>
      <c r="B30" s="609"/>
      <c r="C30" s="609"/>
      <c r="D30" s="609"/>
      <c r="E30" s="609"/>
      <c r="F30" s="609"/>
      <c r="G30" s="609"/>
      <c r="H30" s="610"/>
    </row>
    <row r="31" spans="1:8" x14ac:dyDescent="0.25">
      <c r="A31" s="608"/>
      <c r="B31" s="609"/>
      <c r="C31" s="609"/>
      <c r="D31" s="609"/>
      <c r="E31" s="609"/>
      <c r="F31" s="609"/>
      <c r="G31" s="609"/>
      <c r="H31" s="610"/>
    </row>
    <row r="32" spans="1:8" x14ac:dyDescent="0.25">
      <c r="A32" s="608"/>
      <c r="B32" s="609"/>
      <c r="C32" s="609"/>
      <c r="D32" s="609"/>
      <c r="E32" s="609"/>
      <c r="F32" s="609"/>
      <c r="G32" s="609"/>
      <c r="H32" s="610"/>
    </row>
    <row r="33" spans="1:8" x14ac:dyDescent="0.25">
      <c r="A33" s="608"/>
      <c r="B33" s="609"/>
      <c r="C33" s="609"/>
      <c r="D33" s="609"/>
      <c r="E33" s="609"/>
      <c r="F33" s="609"/>
      <c r="G33" s="609"/>
      <c r="H33" s="610"/>
    </row>
    <row r="34" spans="1:8" x14ac:dyDescent="0.25">
      <c r="A34" s="608"/>
      <c r="B34" s="609"/>
      <c r="C34" s="609"/>
      <c r="D34" s="609"/>
      <c r="E34" s="609"/>
      <c r="F34" s="609"/>
      <c r="G34" s="609"/>
      <c r="H34" s="610"/>
    </row>
    <row r="35" spans="1:8" x14ac:dyDescent="0.25">
      <c r="A35" s="608"/>
      <c r="B35" s="609"/>
      <c r="C35" s="609"/>
      <c r="D35" s="609"/>
      <c r="E35" s="609"/>
      <c r="F35" s="609"/>
      <c r="G35" s="609"/>
      <c r="H35" s="610"/>
    </row>
    <row r="36" spans="1:8" x14ac:dyDescent="0.25">
      <c r="A36" s="608"/>
      <c r="B36" s="609"/>
      <c r="C36" s="609"/>
      <c r="D36" s="609"/>
      <c r="E36" s="609"/>
      <c r="F36" s="609"/>
      <c r="G36" s="609"/>
      <c r="H36" s="610"/>
    </row>
    <row r="37" spans="1:8" x14ac:dyDescent="0.25">
      <c r="A37" s="608"/>
      <c r="B37" s="609"/>
      <c r="C37" s="609"/>
      <c r="D37" s="609"/>
      <c r="E37" s="609"/>
      <c r="F37" s="609"/>
      <c r="G37" s="609"/>
      <c r="H37" s="610"/>
    </row>
    <row r="38" spans="1:8" ht="15.75" thickBot="1" x14ac:dyDescent="0.3">
      <c r="A38" s="611"/>
      <c r="B38" s="612"/>
      <c r="C38" s="612"/>
      <c r="D38" s="612"/>
      <c r="E38" s="612"/>
      <c r="F38" s="612"/>
      <c r="G38" s="612"/>
      <c r="H38" s="613"/>
    </row>
    <row r="40" spans="1:8" s="90" customFormat="1" x14ac:dyDescent="0.25">
      <c r="A40" s="371"/>
      <c r="B40" s="371"/>
      <c r="C40" s="371"/>
      <c r="D40" s="372"/>
      <c r="E40" s="373"/>
    </row>
    <row r="41" spans="1:8" s="90" customFormat="1" x14ac:dyDescent="0.25">
      <c r="A41" s="371"/>
      <c r="B41" s="371"/>
      <c r="C41" s="371"/>
      <c r="D41" s="372"/>
      <c r="E41" s="373"/>
    </row>
    <row r="42" spans="1:8" s="90" customFormat="1" x14ac:dyDescent="0.25">
      <c r="A42" s="371"/>
      <c r="B42" s="371"/>
      <c r="C42" s="371"/>
      <c r="D42" s="372"/>
      <c r="E42" s="373"/>
    </row>
    <row r="43" spans="1:8" s="90" customFormat="1" x14ac:dyDescent="0.25">
      <c r="A43" s="371"/>
      <c r="B43" s="371"/>
      <c r="C43" s="371"/>
      <c r="D43" s="372"/>
      <c r="E43" s="373"/>
    </row>
    <row r="44" spans="1:8" s="90" customFormat="1" x14ac:dyDescent="0.25"/>
  </sheetData>
  <mergeCells count="3">
    <mergeCell ref="A1:H1"/>
    <mergeCell ref="A2:H2"/>
    <mergeCell ref="A3:H3"/>
  </mergeCells>
  <printOptions horizontalCentered="1"/>
  <pageMargins left="0.19685039370078741" right="0.19685039370078741" top="0.74803149606299213" bottom="0.74803149606299213" header="0.31496062992125984" footer="0.31496062992125984"/>
  <pageSetup fitToHeight="0" orientation="portrait" r:id="rId1"/>
  <headerFooter>
    <oddHeader xml:space="preserve">&amp;L&amp;"Arial,Normal"&amp;8Estados e Información Contable
Notas de Desglose&amp;R&amp;"Arial,Normal"&amp;8 7.I.6
</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2"/>
  <sheetViews>
    <sheetView view="pageBreakPreview" zoomScale="60" zoomScaleNormal="100" workbookViewId="0">
      <selection activeCell="A26" sqref="A26:XFD26"/>
    </sheetView>
  </sheetViews>
  <sheetFormatPr baseColWidth="10" defaultRowHeight="15" x14ac:dyDescent="0.25"/>
  <cols>
    <col min="1" max="1" width="16.28515625" style="90" bestFit="1" customWidth="1"/>
    <col min="2" max="2" width="34.5703125" style="90" customWidth="1"/>
    <col min="3" max="3" width="23.7109375" style="90" bestFit="1" customWidth="1"/>
    <col min="4" max="4" width="24.28515625" style="90" bestFit="1" customWidth="1"/>
    <col min="5" max="5" width="24" style="90" bestFit="1" customWidth="1"/>
    <col min="6" max="6" width="22.140625" style="90" customWidth="1"/>
    <col min="7" max="7" width="11.42578125" style="90"/>
    <col min="8" max="8" width="14.140625" style="90" bestFit="1" customWidth="1"/>
    <col min="9" max="16384" width="11.42578125" style="90"/>
  </cols>
  <sheetData>
    <row r="1" spans="1:8" x14ac:dyDescent="0.25">
      <c r="A1" s="1289" t="s">
        <v>566</v>
      </c>
      <c r="B1" s="1289"/>
      <c r="C1" s="1289"/>
      <c r="D1" s="1289"/>
      <c r="E1" s="1289"/>
      <c r="F1" s="1289"/>
    </row>
    <row r="2" spans="1:8" x14ac:dyDescent="0.25">
      <c r="A2" s="1295" t="s">
        <v>440</v>
      </c>
      <c r="B2" s="1295"/>
      <c r="C2" s="1295"/>
      <c r="D2" s="1295"/>
      <c r="E2" s="1295"/>
      <c r="F2" s="1295"/>
    </row>
    <row r="3" spans="1:8" x14ac:dyDescent="0.25">
      <c r="A3" s="1295" t="s">
        <v>8659</v>
      </c>
      <c r="B3" s="1295"/>
      <c r="C3" s="1295"/>
      <c r="D3" s="1295"/>
      <c r="E3" s="1295"/>
      <c r="F3" s="1295"/>
    </row>
    <row r="4" spans="1:8" x14ac:dyDescent="0.25">
      <c r="A4" s="829"/>
      <c r="B4" s="829"/>
      <c r="C4" s="829"/>
      <c r="D4" s="829"/>
      <c r="E4" s="829"/>
      <c r="F4" s="829"/>
    </row>
    <row r="5" spans="1:8" x14ac:dyDescent="0.25">
      <c r="A5" s="829"/>
      <c r="B5" s="829"/>
      <c r="C5" s="829"/>
      <c r="D5" s="829"/>
      <c r="E5" s="829"/>
      <c r="F5" s="829"/>
    </row>
    <row r="6" spans="1:8" x14ac:dyDescent="0.25">
      <c r="A6" s="829"/>
      <c r="B6" s="829"/>
      <c r="C6" s="829"/>
      <c r="D6" s="829"/>
      <c r="E6" s="829"/>
      <c r="F6" s="829"/>
    </row>
    <row r="7" spans="1:8" x14ac:dyDescent="0.25">
      <c r="A7" s="829"/>
      <c r="B7" s="829"/>
      <c r="C7" s="829"/>
      <c r="D7" s="829"/>
      <c r="E7" s="829"/>
      <c r="F7" s="829"/>
    </row>
    <row r="8" spans="1:8" x14ac:dyDescent="0.25">
      <c r="A8" s="91" t="s">
        <v>441</v>
      </c>
      <c r="B8" s="91" t="s">
        <v>201</v>
      </c>
      <c r="C8" s="91" t="s">
        <v>442</v>
      </c>
      <c r="D8" s="91" t="s">
        <v>443</v>
      </c>
      <c r="E8" s="91" t="s">
        <v>444</v>
      </c>
      <c r="F8" s="91" t="s">
        <v>445</v>
      </c>
    </row>
    <row r="9" spans="1:8" x14ac:dyDescent="0.25">
      <c r="A9" s="92"/>
      <c r="B9" s="93"/>
      <c r="C9" s="94"/>
      <c r="D9" s="95"/>
      <c r="E9" s="95"/>
      <c r="F9" s="95"/>
    </row>
    <row r="10" spans="1:8" x14ac:dyDescent="0.25">
      <c r="A10" s="269" t="s">
        <v>612</v>
      </c>
      <c r="B10" s="111" t="s">
        <v>2625</v>
      </c>
      <c r="C10" s="112">
        <v>0.03</v>
      </c>
      <c r="D10" s="785">
        <v>6302814.4800000004</v>
      </c>
      <c r="E10" s="113">
        <v>-18908443.32</v>
      </c>
      <c r="F10" s="114" t="s">
        <v>718</v>
      </c>
      <c r="H10" s="786"/>
    </row>
    <row r="11" spans="1:8" x14ac:dyDescent="0.25">
      <c r="A11" s="269" t="s">
        <v>617</v>
      </c>
      <c r="B11" s="111" t="s">
        <v>507</v>
      </c>
      <c r="C11" s="112">
        <v>0.1</v>
      </c>
      <c r="D11" s="785">
        <v>5511820.2400000002</v>
      </c>
      <c r="E11" s="113">
        <v>-19251155.140000001</v>
      </c>
      <c r="F11" s="114" t="s">
        <v>718</v>
      </c>
      <c r="H11" s="786"/>
    </row>
    <row r="12" spans="1:8" ht="24" x14ac:dyDescent="0.25">
      <c r="A12" s="269" t="s">
        <v>619</v>
      </c>
      <c r="B12" s="111" t="s">
        <v>620</v>
      </c>
      <c r="C12" s="112">
        <v>0.33</v>
      </c>
      <c r="D12" s="785">
        <v>147830.16</v>
      </c>
      <c r="E12" s="113">
        <v>-514256.37</v>
      </c>
      <c r="F12" s="114" t="s">
        <v>718</v>
      </c>
      <c r="H12" s="786"/>
    </row>
    <row r="13" spans="1:8" ht="24" x14ac:dyDescent="0.25">
      <c r="A13" s="269" t="s">
        <v>7473</v>
      </c>
      <c r="B13" s="111" t="s">
        <v>8080</v>
      </c>
      <c r="C13" s="112">
        <v>0.2</v>
      </c>
      <c r="D13" s="785">
        <v>10437.6</v>
      </c>
      <c r="E13" s="113">
        <v>-18041.48</v>
      </c>
      <c r="F13" s="114" t="s">
        <v>718</v>
      </c>
      <c r="H13" s="786"/>
    </row>
    <row r="14" spans="1:8" x14ac:dyDescent="0.25">
      <c r="A14" s="269" t="s">
        <v>621</v>
      </c>
      <c r="B14" s="111" t="s">
        <v>510</v>
      </c>
      <c r="C14" s="112">
        <v>0.2</v>
      </c>
      <c r="D14" s="785">
        <v>8764070.3599999994</v>
      </c>
      <c r="E14" s="113">
        <v>-67613715.060000002</v>
      </c>
      <c r="F14" s="114" t="s">
        <v>718</v>
      </c>
      <c r="H14" s="786"/>
    </row>
    <row r="15" spans="1:8" ht="24" x14ac:dyDescent="0.25">
      <c r="A15" s="269" t="s">
        <v>622</v>
      </c>
      <c r="B15" s="111" t="s">
        <v>623</v>
      </c>
      <c r="C15" s="112">
        <v>0.1</v>
      </c>
      <c r="D15" s="785">
        <v>1316153.6399999999</v>
      </c>
      <c r="E15" s="113">
        <v>-7443558.2199999997</v>
      </c>
      <c r="F15" s="114" t="s">
        <v>718</v>
      </c>
      <c r="H15" s="786"/>
    </row>
    <row r="16" spans="1:8" x14ac:dyDescent="0.25">
      <c r="A16" s="96"/>
      <c r="B16" s="98"/>
      <c r="C16" s="99"/>
      <c r="D16" s="100"/>
      <c r="E16" s="100"/>
      <c r="F16" s="100"/>
    </row>
    <row r="17" spans="1:6" x14ac:dyDescent="0.25">
      <c r="A17" s="96"/>
      <c r="B17" s="98"/>
      <c r="C17" s="787" t="s">
        <v>188</v>
      </c>
      <c r="D17" s="788">
        <f>SUM(D10:D16)</f>
        <v>22053126.48</v>
      </c>
      <c r="E17" s="788">
        <f>SUM(E10:E16)</f>
        <v>-113749169.59</v>
      </c>
      <c r="F17" s="100"/>
    </row>
    <row r="18" spans="1:6" x14ac:dyDescent="0.25">
      <c r="A18" s="96"/>
      <c r="B18" s="97"/>
      <c r="C18" s="99"/>
      <c r="D18" s="97"/>
      <c r="E18" s="97"/>
      <c r="F18" s="97"/>
    </row>
    <row r="19" spans="1:6" x14ac:dyDescent="0.25">
      <c r="A19" s="96"/>
      <c r="B19" s="100"/>
      <c r="C19" s="99"/>
      <c r="D19" s="100"/>
      <c r="E19" s="100"/>
      <c r="F19" s="100"/>
    </row>
    <row r="20" spans="1:6" x14ac:dyDescent="0.25">
      <c r="A20" s="101"/>
      <c r="B20" s="102"/>
      <c r="C20" s="103"/>
      <c r="D20" s="104"/>
      <c r="E20" s="104"/>
      <c r="F20" s="104"/>
    </row>
    <row r="21" spans="1:6" x14ac:dyDescent="0.25">
      <c r="A21" s="1296" t="s">
        <v>446</v>
      </c>
      <c r="B21" s="1297"/>
      <c r="C21" s="105"/>
      <c r="D21" s="105"/>
      <c r="E21" s="105"/>
      <c r="F21" s="106"/>
    </row>
    <row r="22" spans="1:6" x14ac:dyDescent="0.25">
      <c r="A22" s="107"/>
      <c r="B22" s="108" t="s">
        <v>717</v>
      </c>
      <c r="C22" s="108"/>
      <c r="D22" s="108"/>
      <c r="E22" s="108"/>
      <c r="F22" s="109"/>
    </row>
    <row r="23" spans="1:6" x14ac:dyDescent="0.25">
      <c r="A23" s="105"/>
      <c r="B23" s="105"/>
      <c r="C23" s="105"/>
      <c r="D23" s="105"/>
      <c r="E23" s="105"/>
      <c r="F23" s="105"/>
    </row>
    <row r="24" spans="1:6" x14ac:dyDescent="0.25">
      <c r="A24" s="105"/>
      <c r="B24" s="105"/>
      <c r="C24" s="105"/>
      <c r="D24" s="105"/>
      <c r="E24" s="105"/>
      <c r="F24" s="105"/>
    </row>
    <row r="25" spans="1:6" x14ac:dyDescent="0.25">
      <c r="A25" s="105"/>
      <c r="B25" s="105"/>
      <c r="C25" s="105"/>
      <c r="D25" s="105"/>
      <c r="E25" s="105"/>
      <c r="F25" s="105"/>
    </row>
    <row r="26" spans="1:6" x14ac:dyDescent="0.25">
      <c r="A26" s="105"/>
      <c r="B26" s="105"/>
      <c r="C26" s="105"/>
      <c r="D26" s="105"/>
      <c r="E26" s="105"/>
      <c r="F26" s="105"/>
    </row>
    <row r="27" spans="1:6" x14ac:dyDescent="0.25">
      <c r="A27" s="105"/>
      <c r="B27" s="105"/>
      <c r="C27" s="105"/>
      <c r="D27" s="105"/>
      <c r="E27" s="105"/>
      <c r="F27" s="105"/>
    </row>
    <row r="28" spans="1:6" x14ac:dyDescent="0.25">
      <c r="A28" s="105"/>
      <c r="B28" s="105"/>
      <c r="C28" s="105"/>
      <c r="D28" s="105"/>
      <c r="E28" s="105"/>
      <c r="F28" s="105"/>
    </row>
    <row r="29" spans="1:6" x14ac:dyDescent="0.25">
      <c r="A29" s="105"/>
      <c r="B29" s="105"/>
      <c r="C29" s="105"/>
      <c r="D29" s="105"/>
      <c r="E29" s="105"/>
      <c r="F29" s="105"/>
    </row>
    <row r="30" spans="1:6" x14ac:dyDescent="0.25">
      <c r="A30" s="105"/>
      <c r="B30" s="105"/>
      <c r="C30" s="105"/>
      <c r="D30" s="105"/>
      <c r="E30" s="105"/>
      <c r="F30" s="105"/>
    </row>
    <row r="31" spans="1:6" x14ac:dyDescent="0.25">
      <c r="A31" s="105"/>
      <c r="B31" s="105"/>
      <c r="C31" s="105"/>
      <c r="D31" s="105"/>
      <c r="E31" s="105"/>
      <c r="F31" s="105"/>
    </row>
    <row r="32" spans="1:6" x14ac:dyDescent="0.25">
      <c r="A32" s="105"/>
      <c r="B32" s="105"/>
      <c r="C32" s="105"/>
      <c r="D32" s="105"/>
      <c r="E32" s="105"/>
      <c r="F32" s="105"/>
    </row>
  </sheetData>
  <mergeCells count="4">
    <mergeCell ref="A1:F1"/>
    <mergeCell ref="A2:F2"/>
    <mergeCell ref="A3:F3"/>
    <mergeCell ref="A21:B21"/>
  </mergeCells>
  <printOptions horizontalCentered="1"/>
  <pageMargins left="0.39370078740157483" right="0.35433070866141736" top="0.47244094488188981" bottom="0.39370078740157483" header="0.31496062992125984" footer="0.31496062992125984"/>
  <pageSetup scale="90" fitToHeight="0" orientation="landscape" verticalDpi="300" r:id="rId1"/>
  <headerFooter>
    <oddHeader>&amp;R&amp;"Arial,Normal"&amp;8 07.I.8</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37"/>
  <sheetViews>
    <sheetView view="pageBreakPreview" zoomScale="60" zoomScaleNormal="100" workbookViewId="0">
      <selection sqref="A1:F1"/>
    </sheetView>
  </sheetViews>
  <sheetFormatPr baseColWidth="10" defaultRowHeight="15" x14ac:dyDescent="0.25"/>
  <cols>
    <col min="1" max="1" width="18.42578125" customWidth="1"/>
    <col min="2" max="2" width="34.28515625" customWidth="1"/>
    <col min="3" max="3" width="15.85546875" customWidth="1"/>
    <col min="4" max="4" width="19.85546875" customWidth="1"/>
    <col min="5" max="5" width="24.7109375" customWidth="1"/>
    <col min="6" max="6" width="24.5703125" customWidth="1"/>
  </cols>
  <sheetData>
    <row r="1" spans="1:6" x14ac:dyDescent="0.25">
      <c r="A1" s="1288" t="s">
        <v>566</v>
      </c>
      <c r="B1" s="1288"/>
      <c r="C1" s="1288"/>
      <c r="D1" s="1288"/>
      <c r="E1" s="1288"/>
      <c r="F1" s="1288"/>
    </row>
    <row r="2" spans="1:6" x14ac:dyDescent="0.25">
      <c r="A2" s="1287" t="s">
        <v>447</v>
      </c>
      <c r="B2" s="1287"/>
      <c r="C2" s="1287"/>
      <c r="D2" s="1287"/>
      <c r="E2" s="1287"/>
      <c r="F2" s="1287"/>
    </row>
    <row r="3" spans="1:6" x14ac:dyDescent="0.25">
      <c r="A3" s="1287" t="s">
        <v>8659</v>
      </c>
      <c r="B3" s="1287"/>
      <c r="C3" s="1287"/>
      <c r="D3" s="1287"/>
      <c r="E3" s="1287"/>
      <c r="F3" s="1287"/>
    </row>
    <row r="4" spans="1:6" x14ac:dyDescent="0.25">
      <c r="A4" s="828"/>
      <c r="B4" s="828"/>
      <c r="C4" s="828"/>
      <c r="D4" s="828"/>
      <c r="E4" s="828"/>
      <c r="F4" s="828"/>
    </row>
    <row r="5" spans="1:6" x14ac:dyDescent="0.25">
      <c r="A5" s="828"/>
      <c r="B5" s="828"/>
      <c r="C5" s="828"/>
      <c r="D5" s="828"/>
      <c r="E5" s="828"/>
      <c r="F5" s="828"/>
    </row>
    <row r="6" spans="1:6" x14ac:dyDescent="0.25">
      <c r="A6" s="828"/>
      <c r="B6" s="828"/>
      <c r="C6" s="828"/>
      <c r="D6" s="828"/>
      <c r="E6" s="828"/>
      <c r="F6" s="828"/>
    </row>
    <row r="7" spans="1:6" x14ac:dyDescent="0.25">
      <c r="A7" s="828"/>
      <c r="B7" s="828"/>
      <c r="C7" s="828"/>
      <c r="D7" s="828"/>
      <c r="E7" s="828"/>
      <c r="F7" s="828"/>
    </row>
    <row r="8" spans="1:6" x14ac:dyDescent="0.25">
      <c r="A8" s="828"/>
      <c r="B8" s="828"/>
      <c r="C8" s="828"/>
      <c r="D8" s="828"/>
      <c r="E8" s="828"/>
      <c r="F8" s="828"/>
    </row>
    <row r="9" spans="1:6" x14ac:dyDescent="0.25">
      <c r="A9" s="828"/>
      <c r="B9" s="828"/>
      <c r="C9" s="828"/>
      <c r="D9" s="828"/>
      <c r="E9" s="828"/>
      <c r="F9" s="828"/>
    </row>
    <row r="10" spans="1:6" x14ac:dyDescent="0.25">
      <c r="A10" s="116" t="s">
        <v>441</v>
      </c>
      <c r="B10" s="116" t="s">
        <v>201</v>
      </c>
      <c r="C10" s="116" t="s">
        <v>448</v>
      </c>
      <c r="D10" s="116" t="s">
        <v>449</v>
      </c>
      <c r="E10" s="116" t="s">
        <v>450</v>
      </c>
      <c r="F10" s="116" t="s">
        <v>451</v>
      </c>
    </row>
    <row r="11" spans="1:6" x14ac:dyDescent="0.25">
      <c r="A11" s="117"/>
      <c r="B11" s="118"/>
      <c r="C11" s="118"/>
      <c r="D11" s="119"/>
      <c r="E11" s="120"/>
      <c r="F11" s="120"/>
    </row>
    <row r="12" spans="1:6" x14ac:dyDescent="0.25">
      <c r="A12" s="269"/>
      <c r="B12" s="111"/>
      <c r="C12" s="785"/>
      <c r="D12" s="789"/>
      <c r="E12" s="785"/>
      <c r="F12" s="785"/>
    </row>
    <row r="13" spans="1:6" x14ac:dyDescent="0.25">
      <c r="A13" s="110"/>
      <c r="B13" s="790"/>
      <c r="C13" s="790"/>
      <c r="D13" s="115"/>
      <c r="E13" s="791"/>
      <c r="F13" s="791"/>
    </row>
    <row r="14" spans="1:6" x14ac:dyDescent="0.25">
      <c r="A14" s="110"/>
      <c r="B14" s="790"/>
      <c r="C14" s="790"/>
      <c r="D14" s="115"/>
      <c r="E14" s="791"/>
      <c r="F14" s="791"/>
    </row>
    <row r="15" spans="1:6" x14ac:dyDescent="0.25">
      <c r="A15" s="110"/>
      <c r="B15" s="790"/>
      <c r="C15" s="790"/>
      <c r="D15" s="115"/>
      <c r="E15" s="791"/>
      <c r="F15" s="791"/>
    </row>
    <row r="16" spans="1:6" x14ac:dyDescent="0.25">
      <c r="A16" s="110"/>
      <c r="B16" s="790"/>
      <c r="C16" s="790"/>
      <c r="D16" s="115"/>
      <c r="E16" s="791"/>
      <c r="F16" s="791"/>
    </row>
    <row r="17" spans="1:6" x14ac:dyDescent="0.25">
      <c r="A17" s="110"/>
      <c r="B17" s="790"/>
      <c r="C17" s="790"/>
      <c r="D17" s="115"/>
      <c r="E17" s="791"/>
      <c r="F17" s="791"/>
    </row>
    <row r="18" spans="1:6" x14ac:dyDescent="0.25">
      <c r="A18" s="110"/>
      <c r="B18" s="790"/>
      <c r="C18" s="790"/>
      <c r="D18" s="115"/>
      <c r="E18" s="791"/>
      <c r="F18" s="791"/>
    </row>
    <row r="19" spans="1:6" x14ac:dyDescent="0.25">
      <c r="A19" s="110"/>
      <c r="B19" s="790"/>
      <c r="C19" s="790"/>
      <c r="D19" s="115"/>
      <c r="E19" s="791"/>
      <c r="F19" s="791"/>
    </row>
    <row r="20" spans="1:6" x14ac:dyDescent="0.25">
      <c r="A20" s="110"/>
      <c r="B20" s="790"/>
      <c r="C20" s="790"/>
      <c r="D20" s="115"/>
      <c r="E20" s="791"/>
      <c r="F20" s="791"/>
    </row>
    <row r="21" spans="1:6" x14ac:dyDescent="0.25">
      <c r="A21" s="110"/>
      <c r="B21" s="790"/>
      <c r="C21" s="790"/>
      <c r="D21" s="115"/>
      <c r="E21" s="791"/>
      <c r="F21" s="791"/>
    </row>
    <row r="22" spans="1:6" x14ac:dyDescent="0.25">
      <c r="A22" s="110"/>
      <c r="B22" s="790"/>
      <c r="C22" s="790"/>
      <c r="D22" s="115"/>
      <c r="E22" s="791"/>
      <c r="F22" s="791"/>
    </row>
    <row r="23" spans="1:6" x14ac:dyDescent="0.25">
      <c r="A23" s="269"/>
      <c r="B23" s="111"/>
      <c r="C23" s="132"/>
      <c r="D23" s="270"/>
      <c r="E23" s="113"/>
      <c r="F23" s="113"/>
    </row>
    <row r="24" spans="1:6" x14ac:dyDescent="0.25">
      <c r="A24" s="110"/>
      <c r="B24" s="121"/>
      <c r="C24" s="121"/>
      <c r="D24" s="115"/>
      <c r="E24" s="122"/>
      <c r="F24" s="122"/>
    </row>
    <row r="25" spans="1:6" x14ac:dyDescent="0.25">
      <c r="A25" s="110"/>
      <c r="B25" s="792"/>
      <c r="C25" s="113"/>
      <c r="D25" s="115"/>
      <c r="E25" s="113"/>
      <c r="F25" s="113"/>
    </row>
    <row r="26" spans="1:6" x14ac:dyDescent="0.25">
      <c r="A26" s="110"/>
      <c r="B26" s="122"/>
      <c r="C26" s="122"/>
      <c r="D26" s="115"/>
      <c r="E26" s="122"/>
      <c r="F26" s="122"/>
    </row>
    <row r="27" spans="1:6" x14ac:dyDescent="0.25">
      <c r="A27" s="123"/>
      <c r="B27" s="124"/>
      <c r="C27" s="124"/>
      <c r="D27" s="125"/>
      <c r="E27" s="126"/>
      <c r="F27" s="126"/>
    </row>
    <row r="28" spans="1:6" x14ac:dyDescent="0.25">
      <c r="A28" s="1298" t="s">
        <v>452</v>
      </c>
      <c r="B28" s="1299"/>
      <c r="C28" s="127"/>
      <c r="D28" s="127"/>
      <c r="E28" s="127"/>
      <c r="F28" s="128"/>
    </row>
    <row r="29" spans="1:6" x14ac:dyDescent="0.25">
      <c r="A29" s="129"/>
      <c r="B29" s="130" t="s">
        <v>717</v>
      </c>
      <c r="C29" s="130"/>
      <c r="D29" s="130"/>
      <c r="E29" s="130"/>
      <c r="F29" s="131"/>
    </row>
    <row r="30" spans="1:6" x14ac:dyDescent="0.25">
      <c r="A30" s="45"/>
      <c r="B30" s="45"/>
      <c r="C30" s="45"/>
      <c r="D30" s="45"/>
      <c r="E30" s="45"/>
      <c r="F30" s="45"/>
    </row>
    <row r="31" spans="1:6" x14ac:dyDescent="0.25">
      <c r="A31" s="45"/>
      <c r="B31" s="45"/>
      <c r="C31" s="45"/>
      <c r="D31" s="45"/>
      <c r="E31" s="45"/>
      <c r="F31" s="45"/>
    </row>
    <row r="32" spans="1:6" s="90" customFormat="1" x14ac:dyDescent="0.25">
      <c r="A32" s="105"/>
      <c r="B32" s="105"/>
      <c r="C32" s="105"/>
      <c r="D32" s="105"/>
      <c r="E32" s="105"/>
      <c r="F32" s="105"/>
    </row>
    <row r="33" s="90" customFormat="1" x14ac:dyDescent="0.25"/>
    <row r="34" s="90" customFormat="1" x14ac:dyDescent="0.25"/>
    <row r="35" s="90" customFormat="1" x14ac:dyDescent="0.25"/>
    <row r="36" s="90" customFormat="1" x14ac:dyDescent="0.25"/>
    <row r="37" s="90" customFormat="1" x14ac:dyDescent="0.25"/>
  </sheetData>
  <mergeCells count="4">
    <mergeCell ref="A1:F1"/>
    <mergeCell ref="A2:F2"/>
    <mergeCell ref="A3:F3"/>
    <mergeCell ref="A28:B28"/>
  </mergeCells>
  <printOptions horizontalCentered="1"/>
  <pageMargins left="0.39370078740157483" right="0.39370078740157483" top="0.74803149606299213" bottom="0.39370078740157483" header="0.31496062992125984" footer="0.31496062992125984"/>
  <pageSetup scale="94" fitToHeight="0" orientation="landscape" verticalDpi="300" r:id="rId1"/>
  <headerFooter>
    <oddHeader>&amp;R&amp;"Arial,Normal"&amp;8 07.I.9</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4"/>
  <sheetViews>
    <sheetView view="pageBreakPreview" zoomScale="60" zoomScaleNormal="100" workbookViewId="0">
      <selection sqref="A1:H1"/>
    </sheetView>
  </sheetViews>
  <sheetFormatPr baseColWidth="10" defaultRowHeight="15" x14ac:dyDescent="0.25"/>
  <cols>
    <col min="1" max="1" width="13.28515625" customWidth="1"/>
    <col min="3" max="3" width="14.42578125" customWidth="1"/>
    <col min="5" max="5" width="14.28515625" customWidth="1"/>
    <col min="7" max="7" width="13.85546875" customWidth="1"/>
  </cols>
  <sheetData>
    <row r="1" spans="1:8" x14ac:dyDescent="0.25">
      <c r="A1" s="1294" t="s">
        <v>566</v>
      </c>
      <c r="B1" s="1294"/>
      <c r="C1" s="1294"/>
      <c r="D1" s="1294"/>
      <c r="E1" s="1294"/>
      <c r="F1" s="1294"/>
      <c r="G1" s="1294"/>
      <c r="H1" s="1294"/>
    </row>
    <row r="2" spans="1:8" x14ac:dyDescent="0.25">
      <c r="A2" s="1294" t="s">
        <v>393</v>
      </c>
      <c r="B2" s="1294"/>
      <c r="C2" s="1294"/>
      <c r="D2" s="1294"/>
      <c r="E2" s="1294"/>
      <c r="F2" s="1294"/>
      <c r="G2" s="1294"/>
      <c r="H2" s="1294"/>
    </row>
    <row r="3" spans="1:8" x14ac:dyDescent="0.25">
      <c r="A3" s="1294" t="s">
        <v>8966</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608"/>
      <c r="B6" s="609"/>
      <c r="C6" s="609"/>
      <c r="D6" s="609"/>
      <c r="E6" s="609"/>
      <c r="F6" s="609"/>
      <c r="G6" s="609"/>
      <c r="H6" s="610"/>
    </row>
    <row r="7" spans="1:8" x14ac:dyDescent="0.25">
      <c r="A7" s="608"/>
      <c r="B7" s="609"/>
      <c r="C7" s="609"/>
      <c r="D7" s="609"/>
      <c r="E7" s="609"/>
      <c r="F7" s="609"/>
      <c r="G7" s="609"/>
      <c r="H7" s="610"/>
    </row>
    <row r="8" spans="1:8" x14ac:dyDescent="0.25">
      <c r="A8" s="608"/>
      <c r="B8" s="609"/>
      <c r="C8" s="609"/>
      <c r="D8" s="609"/>
      <c r="E8" s="609"/>
      <c r="F8" s="609"/>
      <c r="G8" s="609"/>
      <c r="H8" s="610"/>
    </row>
    <row r="9" spans="1:8" x14ac:dyDescent="0.25">
      <c r="A9" s="608"/>
      <c r="B9" s="609"/>
      <c r="C9" s="609"/>
      <c r="D9" s="609"/>
      <c r="E9" s="609"/>
      <c r="F9" s="609"/>
      <c r="G9" s="609"/>
      <c r="H9" s="610"/>
    </row>
    <row r="10" spans="1:8" x14ac:dyDescent="0.25">
      <c r="A10" s="608"/>
      <c r="B10" s="609"/>
      <c r="C10" s="609"/>
      <c r="D10" s="609"/>
      <c r="E10" s="609"/>
      <c r="F10" s="609"/>
      <c r="G10" s="609"/>
      <c r="H10" s="610"/>
    </row>
    <row r="11" spans="1:8" x14ac:dyDescent="0.25">
      <c r="A11" s="608"/>
      <c r="B11" s="609"/>
      <c r="C11" s="609"/>
      <c r="D11" s="609"/>
      <c r="E11" s="609"/>
      <c r="F11" s="609"/>
      <c r="G11" s="609"/>
      <c r="H11" s="610"/>
    </row>
    <row r="12" spans="1:8" x14ac:dyDescent="0.25">
      <c r="A12" s="608"/>
      <c r="B12" s="609"/>
      <c r="C12" s="609"/>
      <c r="D12" s="609"/>
      <c r="E12" s="609"/>
      <c r="F12" s="609"/>
      <c r="G12" s="609"/>
      <c r="H12" s="610"/>
    </row>
    <row r="13" spans="1:8" x14ac:dyDescent="0.25">
      <c r="A13" s="608"/>
      <c r="B13" s="609"/>
      <c r="C13" s="609"/>
      <c r="D13" s="609"/>
      <c r="E13" s="609"/>
      <c r="F13" s="609"/>
      <c r="G13" s="609"/>
      <c r="H13" s="610"/>
    </row>
    <row r="14" spans="1:8" x14ac:dyDescent="0.25">
      <c r="A14" s="608"/>
      <c r="B14" s="609"/>
      <c r="C14" s="609"/>
      <c r="D14" s="609"/>
      <c r="E14" s="609"/>
      <c r="F14" s="609"/>
      <c r="G14" s="609"/>
      <c r="H14" s="610"/>
    </row>
    <row r="15" spans="1:8" x14ac:dyDescent="0.25">
      <c r="A15" s="608"/>
      <c r="B15" s="609"/>
      <c r="C15" s="609"/>
      <c r="D15" s="609"/>
      <c r="E15" s="609"/>
      <c r="F15" s="609"/>
      <c r="G15" s="609"/>
      <c r="H15" s="610"/>
    </row>
    <row r="16" spans="1:8" x14ac:dyDescent="0.25">
      <c r="A16" s="608"/>
      <c r="B16" s="609"/>
      <c r="C16" s="609"/>
      <c r="D16" s="609"/>
      <c r="E16" s="609"/>
      <c r="F16" s="609"/>
      <c r="G16" s="609"/>
      <c r="H16" s="610"/>
    </row>
    <row r="17" spans="1:8" x14ac:dyDescent="0.25">
      <c r="A17" s="608"/>
      <c r="B17" s="609"/>
      <c r="C17" s="609"/>
      <c r="D17" s="609"/>
      <c r="E17" s="609"/>
      <c r="F17" s="609"/>
      <c r="G17" s="609"/>
      <c r="H17" s="610"/>
    </row>
    <row r="18" spans="1:8" x14ac:dyDescent="0.25">
      <c r="A18" s="608"/>
      <c r="B18" s="609"/>
      <c r="C18" s="609"/>
      <c r="D18" s="609"/>
      <c r="E18" s="609"/>
      <c r="F18" s="609"/>
      <c r="G18" s="609"/>
      <c r="H18" s="610"/>
    </row>
    <row r="19" spans="1:8" x14ac:dyDescent="0.25">
      <c r="A19" s="608"/>
      <c r="B19" s="609"/>
      <c r="C19" s="609"/>
      <c r="D19" s="609"/>
      <c r="E19" s="609"/>
      <c r="F19" s="609"/>
      <c r="G19" s="609"/>
      <c r="H19" s="610"/>
    </row>
    <row r="20" spans="1:8" x14ac:dyDescent="0.25">
      <c r="A20" s="608"/>
      <c r="B20" s="609"/>
      <c r="C20" s="609"/>
      <c r="D20" s="609"/>
      <c r="E20" s="609"/>
      <c r="F20" s="609"/>
      <c r="G20" s="609"/>
      <c r="H20" s="610"/>
    </row>
    <row r="21" spans="1:8" x14ac:dyDescent="0.25">
      <c r="A21" s="608"/>
      <c r="B21" s="609"/>
      <c r="C21" s="609"/>
      <c r="D21" s="609"/>
      <c r="E21" s="609"/>
      <c r="F21" s="609"/>
      <c r="G21" s="609"/>
      <c r="H21" s="610"/>
    </row>
    <row r="22" spans="1:8" x14ac:dyDescent="0.25">
      <c r="A22" s="608"/>
      <c r="B22" s="609"/>
      <c r="C22" s="609"/>
      <c r="D22" s="609"/>
      <c r="E22" s="609"/>
      <c r="F22" s="609"/>
      <c r="G22" s="609"/>
      <c r="H22" s="610"/>
    </row>
    <row r="23" spans="1:8" x14ac:dyDescent="0.25">
      <c r="A23" s="608"/>
      <c r="B23" s="609"/>
      <c r="C23" s="609"/>
      <c r="D23" s="609"/>
      <c r="E23" s="609"/>
      <c r="F23" s="609"/>
      <c r="G23" s="609"/>
      <c r="H23" s="610"/>
    </row>
    <row r="24" spans="1:8" x14ac:dyDescent="0.25">
      <c r="A24" s="608"/>
      <c r="B24" s="609"/>
      <c r="C24" s="609"/>
      <c r="D24" s="609"/>
      <c r="E24" s="609"/>
      <c r="F24" s="609"/>
      <c r="G24" s="609"/>
      <c r="H24" s="610"/>
    </row>
    <row r="25" spans="1:8" x14ac:dyDescent="0.25">
      <c r="A25" s="608"/>
      <c r="B25" s="609"/>
      <c r="C25" s="609"/>
      <c r="D25" s="609"/>
      <c r="E25" s="609"/>
      <c r="F25" s="609"/>
      <c r="G25" s="609"/>
      <c r="H25" s="610"/>
    </row>
    <row r="26" spans="1:8" x14ac:dyDescent="0.25">
      <c r="A26" s="608"/>
      <c r="B26" s="609"/>
      <c r="C26" s="609"/>
      <c r="D26" s="609"/>
      <c r="E26" s="609"/>
      <c r="F26" s="609"/>
      <c r="G26" s="609"/>
      <c r="H26" s="610"/>
    </row>
    <row r="27" spans="1:8" x14ac:dyDescent="0.25">
      <c r="A27" s="608"/>
      <c r="B27" s="609"/>
      <c r="C27" s="609"/>
      <c r="D27" s="609"/>
      <c r="E27" s="609"/>
      <c r="F27" s="609"/>
      <c r="G27" s="609"/>
      <c r="H27" s="610"/>
    </row>
    <row r="28" spans="1:8" x14ac:dyDescent="0.25">
      <c r="A28" s="608"/>
      <c r="B28" s="609"/>
      <c r="C28" s="609"/>
      <c r="D28" s="609"/>
      <c r="E28" s="609"/>
      <c r="F28" s="609"/>
      <c r="G28" s="609"/>
      <c r="H28" s="610"/>
    </row>
    <row r="29" spans="1:8" x14ac:dyDescent="0.25">
      <c r="A29" s="608"/>
      <c r="B29" s="609"/>
      <c r="C29" s="609"/>
      <c r="D29" s="609"/>
      <c r="E29" s="609"/>
      <c r="F29" s="609"/>
      <c r="G29" s="609"/>
      <c r="H29" s="610"/>
    </row>
    <row r="30" spans="1:8" x14ac:dyDescent="0.25">
      <c r="A30" s="608"/>
      <c r="B30" s="609"/>
      <c r="C30" s="609"/>
      <c r="D30" s="609"/>
      <c r="E30" s="609"/>
      <c r="F30" s="609"/>
      <c r="G30" s="609"/>
      <c r="H30" s="610"/>
    </row>
    <row r="31" spans="1:8" x14ac:dyDescent="0.25">
      <c r="A31" s="608"/>
      <c r="B31" s="609"/>
      <c r="C31" s="609"/>
      <c r="D31" s="609"/>
      <c r="E31" s="609"/>
      <c r="F31" s="609"/>
      <c r="G31" s="609"/>
      <c r="H31" s="610"/>
    </row>
    <row r="32" spans="1:8" x14ac:dyDescent="0.25">
      <c r="A32" s="608"/>
      <c r="B32" s="609"/>
      <c r="C32" s="609"/>
      <c r="D32" s="609"/>
      <c r="E32" s="609"/>
      <c r="F32" s="609"/>
      <c r="G32" s="609"/>
      <c r="H32" s="610"/>
    </row>
    <row r="33" spans="1:8" x14ac:dyDescent="0.25">
      <c r="A33" s="608"/>
      <c r="B33" s="609"/>
      <c r="C33" s="609"/>
      <c r="D33" s="609"/>
      <c r="E33" s="609"/>
      <c r="F33" s="609"/>
      <c r="G33" s="609"/>
      <c r="H33" s="610"/>
    </row>
    <row r="34" spans="1:8" x14ac:dyDescent="0.25">
      <c r="A34" s="608"/>
      <c r="B34" s="609"/>
      <c r="C34" s="609"/>
      <c r="D34" s="609"/>
      <c r="E34" s="609"/>
      <c r="F34" s="609"/>
      <c r="G34" s="609"/>
      <c r="H34" s="610"/>
    </row>
    <row r="35" spans="1:8" x14ac:dyDescent="0.25">
      <c r="A35" s="608"/>
      <c r="B35" s="609"/>
      <c r="C35" s="609"/>
      <c r="D35" s="609"/>
      <c r="E35" s="609"/>
      <c r="F35" s="609"/>
      <c r="G35" s="609"/>
      <c r="H35" s="610"/>
    </row>
    <row r="36" spans="1:8" x14ac:dyDescent="0.25">
      <c r="A36" s="608"/>
      <c r="B36" s="609"/>
      <c r="C36" s="609"/>
      <c r="D36" s="609"/>
      <c r="E36" s="609"/>
      <c r="F36" s="609"/>
      <c r="G36" s="609"/>
      <c r="H36" s="610"/>
    </row>
    <row r="37" spans="1:8" x14ac:dyDescent="0.25">
      <c r="A37" s="608"/>
      <c r="B37" s="609"/>
      <c r="C37" s="609"/>
      <c r="D37" s="609"/>
      <c r="E37" s="609"/>
      <c r="F37" s="609"/>
      <c r="G37" s="609"/>
      <c r="H37" s="610"/>
    </row>
    <row r="38" spans="1:8" x14ac:dyDescent="0.25">
      <c r="A38" s="608"/>
      <c r="B38" s="609"/>
      <c r="C38" s="609"/>
      <c r="D38" s="609"/>
      <c r="E38" s="609"/>
      <c r="F38" s="609"/>
      <c r="G38" s="609"/>
      <c r="H38" s="610"/>
    </row>
    <row r="39" spans="1:8" ht="15.75" thickBot="1" x14ac:dyDescent="0.3">
      <c r="A39" s="611"/>
      <c r="B39" s="612"/>
      <c r="C39" s="612"/>
      <c r="D39" s="612"/>
      <c r="E39" s="612"/>
      <c r="F39" s="612"/>
      <c r="G39" s="612"/>
      <c r="H39" s="613"/>
    </row>
    <row r="41" spans="1:8" s="90" customFormat="1" x14ac:dyDescent="0.25">
      <c r="A41" s="371"/>
      <c r="B41" s="371"/>
      <c r="C41" s="371"/>
      <c r="D41" s="372"/>
      <c r="E41" s="373"/>
    </row>
    <row r="42" spans="1:8" s="90" customFormat="1" x14ac:dyDescent="0.25">
      <c r="A42" s="371"/>
      <c r="B42" s="371"/>
      <c r="C42" s="371"/>
      <c r="D42" s="372"/>
      <c r="E42" s="373"/>
    </row>
    <row r="43" spans="1:8" s="90" customFormat="1" x14ac:dyDescent="0.25">
      <c r="A43" s="371"/>
      <c r="B43" s="371"/>
      <c r="C43" s="371"/>
      <c r="D43" s="372"/>
      <c r="E43" s="373"/>
    </row>
    <row r="44" spans="1:8" s="90" customFormat="1" x14ac:dyDescent="0.25"/>
  </sheetData>
  <mergeCells count="3">
    <mergeCell ref="A1:H1"/>
    <mergeCell ref="A2:H2"/>
    <mergeCell ref="A3:H3"/>
  </mergeCells>
  <printOptions horizontalCentered="1"/>
  <pageMargins left="0.19685039370078741" right="0.19685039370078741" top="0.74803149606299213" bottom="0.74803149606299213" header="0.31496062992125984" footer="0.31496062992125984"/>
  <pageSetup fitToHeight="0" orientation="portrait" r:id="rId1"/>
  <headerFooter>
    <oddHeader>&amp;L&amp;"Arial,Normal"&amp;8Estados e Información Contable
Notas de Desglose&amp;R&amp;"Arial,Normal"&amp;8 7.I.10</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3"/>
  <sheetViews>
    <sheetView view="pageBreakPreview" zoomScale="60" zoomScaleNormal="100" workbookViewId="0">
      <selection sqref="A1:E1"/>
    </sheetView>
  </sheetViews>
  <sheetFormatPr baseColWidth="10" defaultColWidth="11.42578125" defaultRowHeight="12.75" x14ac:dyDescent="0.2"/>
  <cols>
    <col min="1" max="1" width="10.5703125" style="306" customWidth="1"/>
    <col min="2" max="2" width="81.140625" style="306" customWidth="1"/>
    <col min="3" max="3" width="20.5703125" style="313" bestFit="1" customWidth="1"/>
    <col min="4" max="4" width="1.7109375" style="297" customWidth="1"/>
    <col min="5" max="5" width="20.5703125" style="313" bestFit="1" customWidth="1"/>
    <col min="6" max="6" width="0" style="306" hidden="1" customWidth="1"/>
    <col min="7" max="7" width="3.28515625" style="307" bestFit="1" customWidth="1"/>
    <col min="8" max="8" width="8" style="306" bestFit="1" customWidth="1"/>
    <col min="9" max="9" width="14" style="306" customWidth="1"/>
    <col min="10" max="10" width="8" style="306" bestFit="1" customWidth="1"/>
    <col min="11" max="11" width="0" style="306" hidden="1" customWidth="1"/>
    <col min="12" max="12" width="14.85546875" style="306" bestFit="1" customWidth="1"/>
    <col min="13" max="16384" width="11.42578125" style="306"/>
  </cols>
  <sheetData>
    <row r="1" spans="1:7" ht="15" x14ac:dyDescent="0.25">
      <c r="A1" s="1134" t="s">
        <v>566</v>
      </c>
      <c r="B1" s="1134"/>
      <c r="C1" s="1134"/>
      <c r="D1" s="1134"/>
      <c r="E1" s="1134"/>
      <c r="G1" s="1132" t="s">
        <v>304</v>
      </c>
    </row>
    <row r="2" spans="1:7" ht="15" x14ac:dyDescent="0.25">
      <c r="A2" s="1134" t="s">
        <v>104</v>
      </c>
      <c r="B2" s="1134"/>
      <c r="C2" s="1134"/>
      <c r="D2" s="1134"/>
      <c r="E2" s="1134"/>
      <c r="G2" s="1132"/>
    </row>
    <row r="3" spans="1:7" ht="16.5" customHeight="1" x14ac:dyDescent="0.25">
      <c r="A3" s="1134" t="s">
        <v>8604</v>
      </c>
      <c r="B3" s="1134"/>
      <c r="C3" s="1134"/>
      <c r="D3" s="1134"/>
      <c r="E3" s="1134"/>
      <c r="G3" s="1132"/>
    </row>
    <row r="4" spans="1:7" ht="8.25" customHeight="1" x14ac:dyDescent="0.25">
      <c r="A4" s="314"/>
      <c r="B4" s="314"/>
      <c r="C4" s="315"/>
      <c r="D4" s="316"/>
      <c r="E4" s="285"/>
      <c r="G4" s="1132"/>
    </row>
    <row r="5" spans="1:7" ht="7.5" customHeight="1" x14ac:dyDescent="0.2">
      <c r="E5" s="317"/>
      <c r="G5" s="1132"/>
    </row>
    <row r="6" spans="1:7" ht="7.5" customHeight="1" x14ac:dyDescent="0.2">
      <c r="E6" s="317"/>
      <c r="G6" s="616"/>
    </row>
    <row r="7" spans="1:7" ht="11.25" customHeight="1" x14ac:dyDescent="0.2">
      <c r="B7" s="281"/>
      <c r="C7" s="632">
        <v>2018</v>
      </c>
      <c r="D7" s="633"/>
      <c r="E7" s="632">
        <v>2017</v>
      </c>
      <c r="G7" s="285"/>
    </row>
    <row r="8" spans="1:7" s="281" customFormat="1" x14ac:dyDescent="0.2">
      <c r="B8" s="281" t="s">
        <v>105</v>
      </c>
      <c r="C8" s="318"/>
      <c r="D8" s="319"/>
      <c r="E8" s="318"/>
      <c r="G8" s="288"/>
    </row>
    <row r="9" spans="1:7" s="281" customFormat="1" x14ac:dyDescent="0.2">
      <c r="A9" s="310">
        <v>4.0999999999999996</v>
      </c>
      <c r="B9" s="281" t="s">
        <v>632</v>
      </c>
      <c r="C9" s="318">
        <f>C10+C11+C12+C13+C14+C15+C16+C17</f>
        <v>137531587.80000001</v>
      </c>
      <c r="D9" s="318"/>
      <c r="E9" s="318">
        <f>E10+E11+E12+E13+E14+E15+E16+E17</f>
        <v>145352456.38</v>
      </c>
      <c r="G9" s="295"/>
    </row>
    <row r="10" spans="1:7" x14ac:dyDescent="0.2">
      <c r="A10" s="310" t="s">
        <v>106</v>
      </c>
      <c r="B10" s="622" t="s">
        <v>107</v>
      </c>
      <c r="C10" s="313">
        <v>71475269.980000004</v>
      </c>
      <c r="D10" s="318"/>
      <c r="E10" s="313">
        <v>75011525.560000002</v>
      </c>
      <c r="G10" s="291"/>
    </row>
    <row r="11" spans="1:7" s="295" customFormat="1" hidden="1" x14ac:dyDescent="0.2">
      <c r="A11" s="310" t="s">
        <v>108</v>
      </c>
      <c r="B11" s="622" t="s">
        <v>109</v>
      </c>
      <c r="C11" s="313">
        <v>0</v>
      </c>
      <c r="D11" s="297"/>
      <c r="E11" s="313">
        <v>0</v>
      </c>
      <c r="G11" s="280"/>
    </row>
    <row r="12" spans="1:7" s="295" customFormat="1" hidden="1" x14ac:dyDescent="0.2">
      <c r="A12" s="310" t="s">
        <v>110</v>
      </c>
      <c r="B12" s="622" t="s">
        <v>111</v>
      </c>
      <c r="C12" s="313">
        <v>0</v>
      </c>
      <c r="D12" s="297"/>
      <c r="E12" s="313">
        <v>0</v>
      </c>
      <c r="G12" s="280"/>
    </row>
    <row r="13" spans="1:7" s="295" customFormat="1" x14ac:dyDescent="0.2">
      <c r="A13" s="310" t="s">
        <v>112</v>
      </c>
      <c r="B13" s="622" t="s">
        <v>113</v>
      </c>
      <c r="C13" s="313">
        <v>40684787.939999998</v>
      </c>
      <c r="D13" s="297"/>
      <c r="E13" s="313">
        <v>48265490.939999998</v>
      </c>
      <c r="G13" s="280"/>
    </row>
    <row r="14" spans="1:7" s="295" customFormat="1" x14ac:dyDescent="0.2">
      <c r="A14" s="310" t="s">
        <v>114</v>
      </c>
      <c r="B14" s="622" t="s">
        <v>197</v>
      </c>
      <c r="C14" s="313">
        <v>1918097</v>
      </c>
      <c r="D14" s="297"/>
      <c r="E14" s="313">
        <v>2217992.69</v>
      </c>
      <c r="G14" s="280"/>
    </row>
    <row r="15" spans="1:7" s="295" customFormat="1" x14ac:dyDescent="0.2">
      <c r="A15" s="320" t="s">
        <v>115</v>
      </c>
      <c r="B15" s="622" t="s">
        <v>116</v>
      </c>
      <c r="C15" s="313">
        <v>10278752.630000001</v>
      </c>
      <c r="D15" s="297"/>
      <c r="E15" s="313">
        <v>8341612.0499999998</v>
      </c>
      <c r="G15" s="280"/>
    </row>
    <row r="16" spans="1:7" s="295" customFormat="1" hidden="1" x14ac:dyDescent="0.2">
      <c r="A16" s="310" t="s">
        <v>117</v>
      </c>
      <c r="B16" s="321" t="s">
        <v>633</v>
      </c>
      <c r="C16" s="313"/>
      <c r="D16" s="297"/>
      <c r="E16" s="313"/>
      <c r="G16" s="280"/>
    </row>
    <row r="17" spans="1:10" s="295" customFormat="1" ht="25.5" x14ac:dyDescent="0.2">
      <c r="A17" s="322" t="s">
        <v>118</v>
      </c>
      <c r="B17" s="321" t="s">
        <v>119</v>
      </c>
      <c r="C17" s="623">
        <v>13174680.25</v>
      </c>
      <c r="D17" s="297"/>
      <c r="E17" s="623">
        <v>11515835.140000001</v>
      </c>
      <c r="G17" s="280"/>
    </row>
    <row r="18" spans="1:10" s="295" customFormat="1" ht="7.5" customHeight="1" x14ac:dyDescent="0.2">
      <c r="A18" s="309"/>
      <c r="B18" s="281"/>
      <c r="C18" s="313"/>
      <c r="D18" s="297"/>
      <c r="E18" s="313"/>
      <c r="G18" s="280"/>
    </row>
    <row r="19" spans="1:10" s="295" customFormat="1" x14ac:dyDescent="0.2">
      <c r="A19" s="320">
        <v>4.2</v>
      </c>
      <c r="B19" s="323" t="s">
        <v>634</v>
      </c>
      <c r="C19" s="318">
        <f>SUM(C20:C22)</f>
        <v>932597435.62</v>
      </c>
      <c r="D19" s="318"/>
      <c r="E19" s="318">
        <f>SUM(E20:E22)</f>
        <v>955370671.37</v>
      </c>
      <c r="G19" s="280"/>
    </row>
    <row r="20" spans="1:10" s="305" customFormat="1" x14ac:dyDescent="0.2">
      <c r="A20" s="305" t="s">
        <v>120</v>
      </c>
      <c r="B20" s="622" t="s">
        <v>121</v>
      </c>
      <c r="C20" s="313">
        <v>932597435.62</v>
      </c>
      <c r="D20" s="297"/>
      <c r="E20" s="313">
        <v>955370671.37</v>
      </c>
      <c r="G20" s="280"/>
    </row>
    <row r="21" spans="1:10" s="305" customFormat="1" ht="7.5" customHeight="1" x14ac:dyDescent="0.2">
      <c r="B21" s="281"/>
      <c r="C21" s="313"/>
      <c r="D21" s="297"/>
      <c r="E21" s="313"/>
      <c r="G21" s="280"/>
    </row>
    <row r="22" spans="1:10" s="295" customFormat="1" hidden="1" x14ac:dyDescent="0.2">
      <c r="A22" s="310" t="s">
        <v>122</v>
      </c>
      <c r="B22" s="624" t="s">
        <v>123</v>
      </c>
      <c r="C22" s="318">
        <v>0</v>
      </c>
      <c r="D22" s="319"/>
      <c r="E22" s="318">
        <v>0</v>
      </c>
      <c r="G22" s="280"/>
    </row>
    <row r="23" spans="1:10" s="295" customFormat="1" ht="7.5" hidden="1" customHeight="1" x14ac:dyDescent="0.2">
      <c r="A23" s="309"/>
      <c r="C23" s="313"/>
      <c r="D23" s="297"/>
      <c r="E23" s="313"/>
      <c r="G23" s="280"/>
    </row>
    <row r="24" spans="1:10" s="295" customFormat="1" x14ac:dyDescent="0.2">
      <c r="A24" s="320">
        <v>4.3</v>
      </c>
      <c r="B24" s="281" t="s">
        <v>635</v>
      </c>
      <c r="C24" s="318">
        <f>SUM(C25:C30)</f>
        <v>8678408.6400000006</v>
      </c>
      <c r="D24" s="318"/>
      <c r="E24" s="318">
        <f>SUM(E25:E30)</f>
        <v>9417849.0999999996</v>
      </c>
      <c r="G24" s="280"/>
    </row>
    <row r="25" spans="1:10" s="295" customFormat="1" x14ac:dyDescent="0.2">
      <c r="A25" s="320" t="s">
        <v>124</v>
      </c>
      <c r="B25" s="624" t="s">
        <v>125</v>
      </c>
      <c r="C25" s="313">
        <v>8678408.6400000006</v>
      </c>
      <c r="D25" s="313"/>
      <c r="E25" s="313">
        <v>9417849.0999999996</v>
      </c>
      <c r="G25" s="291"/>
    </row>
    <row r="26" spans="1:10" s="295" customFormat="1" hidden="1" x14ac:dyDescent="0.2">
      <c r="A26" s="320" t="s">
        <v>126</v>
      </c>
      <c r="B26" s="305" t="s">
        <v>127</v>
      </c>
      <c r="C26" s="313">
        <v>0</v>
      </c>
      <c r="D26" s="297"/>
      <c r="E26" s="313">
        <v>0</v>
      </c>
      <c r="G26" s="280"/>
    </row>
    <row r="27" spans="1:10" s="295" customFormat="1" hidden="1" x14ac:dyDescent="0.2">
      <c r="A27" s="320" t="s">
        <v>128</v>
      </c>
      <c r="B27" s="324" t="s">
        <v>636</v>
      </c>
      <c r="C27" s="313">
        <v>0</v>
      </c>
      <c r="D27" s="297"/>
      <c r="E27" s="313">
        <v>0</v>
      </c>
      <c r="G27" s="280"/>
    </row>
    <row r="28" spans="1:10" s="295" customFormat="1" hidden="1" x14ac:dyDescent="0.2">
      <c r="A28" s="320" t="s">
        <v>129</v>
      </c>
      <c r="B28" s="324" t="s">
        <v>130</v>
      </c>
      <c r="C28" s="313">
        <v>0</v>
      </c>
      <c r="D28" s="297"/>
      <c r="E28" s="313">
        <v>0</v>
      </c>
      <c r="G28" s="291"/>
    </row>
    <row r="29" spans="1:10" s="295" customFormat="1" hidden="1" x14ac:dyDescent="0.2">
      <c r="A29" s="320" t="s">
        <v>131</v>
      </c>
      <c r="B29" s="281" t="s">
        <v>132</v>
      </c>
      <c r="C29" s="313">
        <v>0</v>
      </c>
      <c r="D29" s="297"/>
      <c r="E29" s="313">
        <v>0</v>
      </c>
      <c r="G29" s="280"/>
    </row>
    <row r="30" spans="1:10" s="295" customFormat="1" ht="6.75" customHeight="1" x14ac:dyDescent="0.2">
      <c r="A30" s="309"/>
      <c r="B30" s="281"/>
      <c r="C30" s="313"/>
      <c r="D30" s="297"/>
      <c r="E30" s="313"/>
      <c r="G30" s="280"/>
    </row>
    <row r="31" spans="1:10" s="305" customFormat="1" x14ac:dyDescent="0.2">
      <c r="A31" s="281"/>
      <c r="B31" s="311" t="s">
        <v>2456</v>
      </c>
      <c r="C31" s="325">
        <f>+C9+C19+C24</f>
        <v>1078807432.0600002</v>
      </c>
      <c r="D31" s="325"/>
      <c r="E31" s="325">
        <f>+E9+E19+E24</f>
        <v>1110140976.8499999</v>
      </c>
      <c r="G31" s="280"/>
      <c r="H31" s="326"/>
      <c r="I31" s="326"/>
      <c r="J31" s="326"/>
    </row>
    <row r="32" spans="1:10" ht="5.25" customHeight="1" x14ac:dyDescent="0.2">
      <c r="G32" s="280"/>
    </row>
    <row r="33" spans="1:9" s="305" customFormat="1" x14ac:dyDescent="0.2">
      <c r="A33" s="310">
        <v>5</v>
      </c>
      <c r="B33" s="281" t="s">
        <v>133</v>
      </c>
      <c r="C33" s="318"/>
      <c r="D33" s="319"/>
      <c r="E33" s="318"/>
      <c r="G33" s="280"/>
    </row>
    <row r="34" spans="1:9" s="305" customFormat="1" x14ac:dyDescent="0.2">
      <c r="A34" s="310">
        <v>5.0999999999999996</v>
      </c>
      <c r="B34" s="281" t="s">
        <v>637</v>
      </c>
      <c r="C34" s="318">
        <f>C35+C36+C37</f>
        <v>723704440.19000006</v>
      </c>
      <c r="D34" s="318"/>
      <c r="E34" s="318">
        <f>E35+E36+E37</f>
        <v>713371876.88999999</v>
      </c>
      <c r="G34" s="291"/>
    </row>
    <row r="35" spans="1:9" s="295" customFormat="1" x14ac:dyDescent="0.2">
      <c r="A35" s="310" t="s">
        <v>134</v>
      </c>
      <c r="B35" s="622" t="s">
        <v>135</v>
      </c>
      <c r="C35" s="313">
        <v>437988935.54000002</v>
      </c>
      <c r="D35" s="313"/>
      <c r="E35" s="313">
        <v>413277421.25</v>
      </c>
      <c r="I35" s="287"/>
    </row>
    <row r="36" spans="1:9" s="295" customFormat="1" ht="13.5" customHeight="1" x14ac:dyDescent="0.2">
      <c r="A36" s="310" t="s">
        <v>136</v>
      </c>
      <c r="B36" s="622" t="s">
        <v>137</v>
      </c>
      <c r="C36" s="313">
        <v>74443392.969999999</v>
      </c>
      <c r="D36" s="297"/>
      <c r="E36" s="313">
        <v>85504438.680000007</v>
      </c>
      <c r="G36" s="291"/>
    </row>
    <row r="37" spans="1:9" s="295" customFormat="1" x14ac:dyDescent="0.2">
      <c r="A37" s="310" t="s">
        <v>138</v>
      </c>
      <c r="B37" s="622" t="s">
        <v>139</v>
      </c>
      <c r="C37" s="313">
        <v>211272111.68000001</v>
      </c>
      <c r="D37" s="297"/>
      <c r="E37" s="313">
        <v>214590016.96000001</v>
      </c>
      <c r="G37" s="291"/>
    </row>
    <row r="38" spans="1:9" s="305" customFormat="1" x14ac:dyDescent="0.2">
      <c r="A38" s="310">
        <v>5.2</v>
      </c>
      <c r="B38" s="281" t="s">
        <v>471</v>
      </c>
      <c r="C38" s="318">
        <f>SUM(C39:C46)</f>
        <v>142809334.91</v>
      </c>
      <c r="D38" s="318"/>
      <c r="E38" s="318">
        <f>SUM(E39:E46)</f>
        <v>122942917.86000001</v>
      </c>
      <c r="G38" s="280"/>
    </row>
    <row r="39" spans="1:9" s="305" customFormat="1" x14ac:dyDescent="0.2">
      <c r="A39" s="310" t="s">
        <v>141</v>
      </c>
      <c r="B39" s="622" t="s">
        <v>638</v>
      </c>
      <c r="C39" s="313">
        <v>49343758.049999997</v>
      </c>
      <c r="D39" s="297"/>
      <c r="E39" s="313">
        <v>48200992.560000002</v>
      </c>
      <c r="G39" s="280"/>
    </row>
    <row r="40" spans="1:9" s="305" customFormat="1" x14ac:dyDescent="0.2">
      <c r="A40" s="310" t="s">
        <v>143</v>
      </c>
      <c r="B40" s="624" t="s">
        <v>639</v>
      </c>
      <c r="C40" s="313">
        <v>36679281.100000001</v>
      </c>
      <c r="D40" s="297"/>
      <c r="E40" s="313">
        <v>26731076.609999999</v>
      </c>
      <c r="G40" s="280"/>
    </row>
    <row r="41" spans="1:9" s="295" customFormat="1" x14ac:dyDescent="0.2">
      <c r="A41" s="310" t="s">
        <v>146</v>
      </c>
      <c r="B41" s="622" t="s">
        <v>147</v>
      </c>
      <c r="C41" s="313">
        <v>8132075.3600000003</v>
      </c>
      <c r="D41" s="297"/>
      <c r="E41" s="313">
        <v>12683920.060000001</v>
      </c>
    </row>
    <row r="42" spans="1:9" s="295" customFormat="1" x14ac:dyDescent="0.2">
      <c r="A42" s="310" t="s">
        <v>148</v>
      </c>
      <c r="B42" s="622" t="s">
        <v>149</v>
      </c>
      <c r="C42" s="313">
        <v>48654220.399999999</v>
      </c>
      <c r="D42" s="297"/>
      <c r="E42" s="313">
        <v>35326928.630000003</v>
      </c>
      <c r="G42" s="291"/>
    </row>
    <row r="43" spans="1:9" s="295" customFormat="1" hidden="1" x14ac:dyDescent="0.2">
      <c r="A43" s="310" t="s">
        <v>150</v>
      </c>
      <c r="B43" s="281" t="s">
        <v>151</v>
      </c>
      <c r="C43" s="313">
        <v>0</v>
      </c>
      <c r="D43" s="297"/>
      <c r="E43" s="313">
        <v>0</v>
      </c>
      <c r="G43" s="280"/>
    </row>
    <row r="44" spans="1:9" s="295" customFormat="1" ht="12.75" hidden="1" customHeight="1" x14ac:dyDescent="0.2">
      <c r="A44" s="310" t="s">
        <v>152</v>
      </c>
      <c r="B44" s="281" t="s">
        <v>153</v>
      </c>
      <c r="C44" s="318">
        <v>0</v>
      </c>
      <c r="D44" s="297"/>
      <c r="E44" s="318">
        <v>0</v>
      </c>
      <c r="G44" s="280"/>
    </row>
    <row r="45" spans="1:9" s="295" customFormat="1" ht="12.75" hidden="1" customHeight="1" x14ac:dyDescent="0.2">
      <c r="A45" s="310" t="s">
        <v>154</v>
      </c>
      <c r="B45" s="281" t="s">
        <v>155</v>
      </c>
      <c r="C45" s="318">
        <v>0</v>
      </c>
      <c r="D45" s="297"/>
      <c r="E45" s="318">
        <v>0</v>
      </c>
      <c r="G45" s="291"/>
    </row>
    <row r="46" spans="1:9" s="295" customFormat="1" ht="12.75" hidden="1" customHeight="1" x14ac:dyDescent="0.2">
      <c r="A46" s="310" t="s">
        <v>156</v>
      </c>
      <c r="B46" s="281" t="s">
        <v>157</v>
      </c>
      <c r="C46" s="318">
        <v>0</v>
      </c>
      <c r="D46" s="297"/>
      <c r="E46" s="318">
        <v>0</v>
      </c>
      <c r="G46" s="291"/>
    </row>
    <row r="47" spans="1:9" s="295" customFormat="1" ht="9" hidden="1" customHeight="1" x14ac:dyDescent="0.2">
      <c r="A47" s="309"/>
      <c r="B47" s="306"/>
      <c r="C47" s="313"/>
      <c r="D47" s="297"/>
      <c r="E47" s="313"/>
      <c r="G47" s="280"/>
    </row>
    <row r="48" spans="1:9" s="295" customFormat="1" hidden="1" x14ac:dyDescent="0.2">
      <c r="A48" s="310">
        <v>5.3</v>
      </c>
      <c r="B48" s="281" t="s">
        <v>468</v>
      </c>
      <c r="C48" s="318">
        <f>SUM(C49:C51)</f>
        <v>0</v>
      </c>
      <c r="D48" s="319"/>
      <c r="E48" s="318">
        <f>SUM(E49:E51)</f>
        <v>0</v>
      </c>
      <c r="G48" s="280"/>
    </row>
    <row r="49" spans="1:9" s="295" customFormat="1" hidden="1" x14ac:dyDescent="0.2">
      <c r="A49" s="310" t="s">
        <v>158</v>
      </c>
      <c r="B49" s="281" t="s">
        <v>159</v>
      </c>
      <c r="C49" s="313">
        <v>0</v>
      </c>
      <c r="D49" s="297"/>
      <c r="E49" s="313">
        <v>0</v>
      </c>
    </row>
    <row r="50" spans="1:9" s="295" customFormat="1" hidden="1" x14ac:dyDescent="0.2">
      <c r="A50" s="310" t="s">
        <v>160</v>
      </c>
      <c r="B50" s="281" t="s">
        <v>59</v>
      </c>
      <c r="C50" s="313">
        <v>0</v>
      </c>
      <c r="D50" s="297"/>
      <c r="E50" s="313">
        <v>0</v>
      </c>
    </row>
    <row r="51" spans="1:9" s="295" customFormat="1" hidden="1" x14ac:dyDescent="0.2">
      <c r="A51" s="310" t="s">
        <v>161</v>
      </c>
      <c r="B51" s="281" t="s">
        <v>162</v>
      </c>
      <c r="C51" s="313">
        <v>0</v>
      </c>
      <c r="D51" s="297"/>
      <c r="E51" s="313">
        <v>0</v>
      </c>
      <c r="G51" s="291"/>
    </row>
    <row r="52" spans="1:9" s="295" customFormat="1" hidden="1" x14ac:dyDescent="0.2">
      <c r="A52" s="309"/>
      <c r="B52" s="306"/>
      <c r="C52" s="313"/>
      <c r="D52" s="297"/>
      <c r="E52" s="313"/>
    </row>
    <row r="53" spans="1:9" s="295" customFormat="1" ht="7.5" hidden="1" customHeight="1" x14ac:dyDescent="0.2">
      <c r="A53" s="309"/>
      <c r="B53" s="306"/>
      <c r="C53" s="313"/>
      <c r="D53" s="297"/>
      <c r="E53" s="313"/>
    </row>
    <row r="54" spans="1:9" s="305" customFormat="1" x14ac:dyDescent="0.2">
      <c r="A54" s="310">
        <v>5.4</v>
      </c>
      <c r="B54" s="281" t="s">
        <v>640</v>
      </c>
      <c r="C54" s="318">
        <f>SUM(C55:C59)</f>
        <v>1473708.34</v>
      </c>
      <c r="D54" s="318"/>
      <c r="E54" s="318">
        <f>SUM(E55:E59)</f>
        <v>1786328.06</v>
      </c>
      <c r="G54" s="287"/>
    </row>
    <row r="55" spans="1:9" s="305" customFormat="1" x14ac:dyDescent="0.2">
      <c r="A55" s="310" t="s">
        <v>163</v>
      </c>
      <c r="B55" s="622" t="s">
        <v>164</v>
      </c>
      <c r="C55" s="313">
        <v>1277544.06</v>
      </c>
      <c r="D55" s="297"/>
      <c r="E55" s="313">
        <v>1602607.3</v>
      </c>
      <c r="G55" s="280"/>
    </row>
    <row r="56" spans="1:9" s="305" customFormat="1" hidden="1" x14ac:dyDescent="0.2">
      <c r="A56" s="310" t="s">
        <v>165</v>
      </c>
      <c r="B56" s="622" t="s">
        <v>166</v>
      </c>
      <c r="C56" s="318"/>
      <c r="D56" s="319"/>
      <c r="E56" s="318"/>
      <c r="G56" s="280"/>
    </row>
    <row r="57" spans="1:9" s="305" customFormat="1" x14ac:dyDescent="0.2">
      <c r="A57" s="310" t="s">
        <v>167</v>
      </c>
      <c r="B57" s="622" t="s">
        <v>168</v>
      </c>
      <c r="C57" s="313">
        <v>196164.28</v>
      </c>
      <c r="D57" s="319"/>
      <c r="E57" s="313">
        <v>183720.76</v>
      </c>
      <c r="G57" s="280"/>
    </row>
    <row r="58" spans="1:9" s="305" customFormat="1" hidden="1" x14ac:dyDescent="0.2">
      <c r="A58" s="310" t="s">
        <v>169</v>
      </c>
      <c r="B58" s="281" t="s">
        <v>170</v>
      </c>
      <c r="C58" s="318">
        <v>0</v>
      </c>
      <c r="D58" s="319"/>
      <c r="E58" s="318">
        <v>0</v>
      </c>
      <c r="G58" s="280"/>
    </row>
    <row r="59" spans="1:9" s="305" customFormat="1" hidden="1" x14ac:dyDescent="0.2">
      <c r="A59" s="310" t="s">
        <v>171</v>
      </c>
      <c r="B59" s="281" t="s">
        <v>172</v>
      </c>
      <c r="C59" s="318">
        <v>0</v>
      </c>
      <c r="D59" s="319"/>
      <c r="E59" s="318">
        <v>0</v>
      </c>
      <c r="G59" s="280"/>
    </row>
    <row r="60" spans="1:9" s="305" customFormat="1" hidden="1" x14ac:dyDescent="0.2">
      <c r="A60" s="310"/>
      <c r="B60" s="281"/>
      <c r="C60" s="318"/>
      <c r="D60" s="319"/>
      <c r="E60" s="318"/>
      <c r="G60" s="280"/>
    </row>
    <row r="61" spans="1:9" s="295" customFormat="1" x14ac:dyDescent="0.2">
      <c r="A61" s="309"/>
      <c r="B61" s="306"/>
      <c r="C61" s="313"/>
      <c r="D61" s="297"/>
      <c r="E61" s="313"/>
      <c r="G61" s="280"/>
    </row>
    <row r="62" spans="1:9" s="295" customFormat="1" ht="12.75" customHeight="1" x14ac:dyDescent="0.2">
      <c r="A62" s="310">
        <v>5.5</v>
      </c>
      <c r="B62" s="281" t="s">
        <v>641</v>
      </c>
      <c r="C62" s="318">
        <f>SUM(C63:C68)</f>
        <v>22053126.48</v>
      </c>
      <c r="D62" s="319"/>
      <c r="E62" s="318">
        <f>SUM(E63:E68)</f>
        <v>21644867.239999998</v>
      </c>
    </row>
    <row r="63" spans="1:9" s="295" customFormat="1" ht="12.75" customHeight="1" x14ac:dyDescent="0.2">
      <c r="A63" s="320" t="s">
        <v>173</v>
      </c>
      <c r="B63" s="323" t="s">
        <v>642</v>
      </c>
      <c r="C63" s="304">
        <v>22053126.48</v>
      </c>
      <c r="D63" s="280"/>
      <c r="E63" s="304">
        <v>21644867.239999998</v>
      </c>
      <c r="I63" s="692"/>
    </row>
    <row r="64" spans="1:9" s="295" customFormat="1" ht="12.75" hidden="1" customHeight="1" x14ac:dyDescent="0.2">
      <c r="A64" s="320" t="s">
        <v>174</v>
      </c>
      <c r="B64" s="323" t="s">
        <v>175</v>
      </c>
      <c r="C64" s="313">
        <v>0</v>
      </c>
      <c r="D64" s="297"/>
      <c r="E64" s="313">
        <v>0</v>
      </c>
      <c r="G64" s="300"/>
    </row>
    <row r="65" spans="1:12" s="295" customFormat="1" ht="12.75" hidden="1" customHeight="1" x14ac:dyDescent="0.2">
      <c r="A65" s="320" t="s">
        <v>176</v>
      </c>
      <c r="B65" s="323" t="s">
        <v>177</v>
      </c>
      <c r="C65" s="313">
        <v>0</v>
      </c>
      <c r="D65" s="297"/>
      <c r="E65" s="313">
        <v>0</v>
      </c>
      <c r="G65" s="300"/>
    </row>
    <row r="66" spans="1:12" s="295" customFormat="1" ht="12.75" hidden="1" customHeight="1" x14ac:dyDescent="0.2">
      <c r="A66" s="320" t="s">
        <v>178</v>
      </c>
      <c r="B66" s="323" t="s">
        <v>643</v>
      </c>
      <c r="C66" s="313">
        <v>0</v>
      </c>
      <c r="D66" s="297"/>
      <c r="E66" s="313">
        <v>0</v>
      </c>
      <c r="G66" s="300"/>
    </row>
    <row r="67" spans="1:12" s="295" customFormat="1" ht="12.75" hidden="1" customHeight="1" x14ac:dyDescent="0.2">
      <c r="A67" s="320" t="s">
        <v>179</v>
      </c>
      <c r="B67" s="323" t="s">
        <v>180</v>
      </c>
      <c r="C67" s="313">
        <v>0</v>
      </c>
      <c r="D67" s="297"/>
      <c r="E67" s="313">
        <v>0</v>
      </c>
      <c r="G67" s="300"/>
    </row>
    <row r="68" spans="1:12" s="295" customFormat="1" ht="12.75" hidden="1" customHeight="1" x14ac:dyDescent="0.2">
      <c r="A68" s="320" t="s">
        <v>181</v>
      </c>
      <c r="B68" s="281" t="s">
        <v>182</v>
      </c>
      <c r="C68" s="313">
        <v>0</v>
      </c>
      <c r="D68" s="297"/>
      <c r="E68" s="313">
        <v>0</v>
      </c>
      <c r="G68" s="300"/>
    </row>
    <row r="69" spans="1:12" s="295" customFormat="1" ht="7.5" hidden="1" customHeight="1" x14ac:dyDescent="0.2">
      <c r="A69" s="309"/>
      <c r="B69" s="306"/>
      <c r="C69" s="313"/>
      <c r="D69" s="297"/>
      <c r="E69" s="313"/>
      <c r="G69" s="287"/>
    </row>
    <row r="70" spans="1:12" s="295" customFormat="1" ht="7.5" customHeight="1" x14ac:dyDescent="0.2">
      <c r="A70" s="309"/>
      <c r="B70" s="306"/>
      <c r="C70" s="313"/>
      <c r="D70" s="297"/>
      <c r="E70" s="313"/>
      <c r="G70" s="287"/>
    </row>
    <row r="71" spans="1:12" s="295" customFormat="1" ht="12.75" customHeight="1" x14ac:dyDescent="0.2">
      <c r="A71" s="310">
        <v>5.6</v>
      </c>
      <c r="B71" s="281" t="s">
        <v>644</v>
      </c>
      <c r="C71" s="318">
        <f>SUM(C72)</f>
        <v>317561207.56</v>
      </c>
      <c r="D71" s="319"/>
      <c r="E71" s="318">
        <f>SUM(E72)</f>
        <v>70578982.959999993</v>
      </c>
      <c r="G71" s="287"/>
    </row>
    <row r="72" spans="1:12" s="295" customFormat="1" ht="12.75" customHeight="1" x14ac:dyDescent="0.2">
      <c r="A72" s="310" t="s">
        <v>184</v>
      </c>
      <c r="B72" s="281" t="s">
        <v>185</v>
      </c>
      <c r="C72" s="313">
        <v>317561207.56</v>
      </c>
      <c r="D72" s="297"/>
      <c r="E72" s="313">
        <v>70578982.959999993</v>
      </c>
      <c r="G72" s="287"/>
    </row>
    <row r="73" spans="1:12" s="295" customFormat="1" ht="8.25" customHeight="1" x14ac:dyDescent="0.2">
      <c r="A73" s="309"/>
      <c r="B73" s="306"/>
      <c r="C73" s="313"/>
      <c r="D73" s="297"/>
      <c r="E73" s="313"/>
      <c r="G73" s="287"/>
    </row>
    <row r="74" spans="1:12" s="305" customFormat="1" x14ac:dyDescent="0.2">
      <c r="A74" s="281"/>
      <c r="B74" s="311" t="s">
        <v>645</v>
      </c>
      <c r="C74" s="289">
        <f>+C62+C54+C38+C34+C71+C48</f>
        <v>1207601817.48</v>
      </c>
      <c r="D74" s="289"/>
      <c r="E74" s="325">
        <f>+E62+E54+E38+E34+E71+E48</f>
        <v>930324973.00999999</v>
      </c>
      <c r="G74" s="287"/>
      <c r="H74" s="326"/>
      <c r="I74" s="326"/>
    </row>
    <row r="75" spans="1:12" ht="9" customHeight="1" x14ac:dyDescent="0.2">
      <c r="C75" s="304"/>
      <c r="E75" s="297"/>
      <c r="G75" s="287"/>
      <c r="I75" s="497"/>
    </row>
    <row r="76" spans="1:12" s="305" customFormat="1" ht="13.5" thickBot="1" x14ac:dyDescent="0.25">
      <c r="A76" s="281"/>
      <c r="B76" s="311" t="s">
        <v>2457</v>
      </c>
      <c r="C76" s="831">
        <f>+C31-C74</f>
        <v>-128794385.41999984</v>
      </c>
      <c r="D76" s="327"/>
      <c r="E76" s="327">
        <f>+E31-E74</f>
        <v>179816003.83999991</v>
      </c>
      <c r="G76" s="280"/>
      <c r="L76" s="326"/>
    </row>
    <row r="77" spans="1:12" s="305" customFormat="1" ht="8.25" customHeight="1" x14ac:dyDescent="0.2">
      <c r="A77" s="281"/>
      <c r="B77" s="311"/>
      <c r="C77" s="319"/>
      <c r="D77" s="319"/>
      <c r="E77" s="319"/>
      <c r="G77" s="280"/>
      <c r="L77" s="326"/>
    </row>
    <row r="78" spans="1:12" s="305" customFormat="1" ht="8.25" customHeight="1" x14ac:dyDescent="0.2">
      <c r="A78" s="281"/>
      <c r="B78" s="311"/>
      <c r="C78" s="319"/>
      <c r="D78" s="319"/>
      <c r="E78" s="319"/>
      <c r="G78" s="280"/>
      <c r="L78" s="326"/>
    </row>
    <row r="79" spans="1:12" s="295" customFormat="1" x14ac:dyDescent="0.2">
      <c r="A79" s="309"/>
      <c r="B79" s="306"/>
      <c r="C79" s="313"/>
      <c r="D79" s="297"/>
      <c r="E79" s="313"/>
      <c r="G79" s="287"/>
    </row>
    <row r="80" spans="1:12" s="295" customFormat="1" x14ac:dyDescent="0.2">
      <c r="A80" s="309"/>
      <c r="B80" s="306"/>
      <c r="C80" s="313"/>
      <c r="D80" s="297"/>
      <c r="E80" s="313"/>
      <c r="G80" s="287"/>
    </row>
    <row r="81" spans="1:7" s="295" customFormat="1" x14ac:dyDescent="0.2">
      <c r="A81" s="309"/>
      <c r="B81" s="306"/>
      <c r="C81" s="313"/>
      <c r="D81" s="297"/>
      <c r="E81" s="313"/>
      <c r="G81" s="287"/>
    </row>
    <row r="82" spans="1:7" s="295" customFormat="1" x14ac:dyDescent="0.2">
      <c r="A82" s="309"/>
      <c r="B82" s="306"/>
      <c r="C82" s="313"/>
      <c r="D82" s="297"/>
      <c r="E82" s="313"/>
      <c r="G82" s="280"/>
    </row>
    <row r="83" spans="1:7" s="295" customFormat="1" x14ac:dyDescent="0.2">
      <c r="A83" s="309"/>
      <c r="B83" s="306"/>
      <c r="C83" s="313"/>
      <c r="D83" s="297"/>
      <c r="E83" s="313"/>
      <c r="G83" s="287"/>
    </row>
    <row r="84" spans="1:7" x14ac:dyDescent="0.2">
      <c r="G84" s="287"/>
    </row>
    <row r="85" spans="1:7" x14ac:dyDescent="0.2">
      <c r="G85" s="287"/>
    </row>
    <row r="86" spans="1:7" x14ac:dyDescent="0.2">
      <c r="G86" s="287"/>
    </row>
    <row r="87" spans="1:7" x14ac:dyDescent="0.2">
      <c r="G87" s="287"/>
    </row>
    <row r="88" spans="1:7" x14ac:dyDescent="0.2">
      <c r="G88" s="287"/>
    </row>
    <row r="89" spans="1:7" x14ac:dyDescent="0.2">
      <c r="G89" s="287"/>
    </row>
    <row r="90" spans="1:7" x14ac:dyDescent="0.2">
      <c r="G90" s="287"/>
    </row>
    <row r="91" spans="1:7" x14ac:dyDescent="0.2">
      <c r="G91" s="287"/>
    </row>
    <row r="92" spans="1:7" x14ac:dyDescent="0.2">
      <c r="G92" s="280"/>
    </row>
    <row r="93" spans="1:7" x14ac:dyDescent="0.2">
      <c r="G93" s="280"/>
    </row>
    <row r="94" spans="1:7" x14ac:dyDescent="0.2">
      <c r="G94" s="287"/>
    </row>
    <row r="95" spans="1:7" x14ac:dyDescent="0.2">
      <c r="G95" s="287"/>
    </row>
    <row r="96" spans="1:7" x14ac:dyDescent="0.2">
      <c r="G96" s="291"/>
    </row>
    <row r="97" spans="7:7" x14ac:dyDescent="0.2">
      <c r="G97" s="291"/>
    </row>
    <row r="98" spans="7:7" x14ac:dyDescent="0.2">
      <c r="G98" s="291"/>
    </row>
    <row r="99" spans="7:7" x14ac:dyDescent="0.2">
      <c r="G99" s="287"/>
    </row>
    <row r="100" spans="7:7" x14ac:dyDescent="0.2">
      <c r="G100" s="280"/>
    </row>
    <row r="101" spans="7:7" x14ac:dyDescent="0.2">
      <c r="G101" s="280"/>
    </row>
    <row r="102" spans="7:7" x14ac:dyDescent="0.2">
      <c r="G102" s="287"/>
    </row>
    <row r="104" spans="7:7" x14ac:dyDescent="0.2">
      <c r="G104" s="280"/>
    </row>
    <row r="105" spans="7:7" x14ac:dyDescent="0.2">
      <c r="G105" s="306"/>
    </row>
    <row r="106" spans="7:7" x14ac:dyDescent="0.2">
      <c r="G106" s="291"/>
    </row>
    <row r="107" spans="7:7" x14ac:dyDescent="0.2">
      <c r="G107" s="280"/>
    </row>
    <row r="108" spans="7:7" x14ac:dyDescent="0.2">
      <c r="G108" s="280"/>
    </row>
    <row r="109" spans="7:7" x14ac:dyDescent="0.2">
      <c r="G109" s="280"/>
    </row>
    <row r="110" spans="7:7" x14ac:dyDescent="0.2">
      <c r="G110" s="280"/>
    </row>
    <row r="111" spans="7:7" x14ac:dyDescent="0.2">
      <c r="G111" s="280"/>
    </row>
    <row r="112" spans="7:7" x14ac:dyDescent="0.2">
      <c r="G112" s="280"/>
    </row>
    <row r="113" spans="7:7" x14ac:dyDescent="0.2">
      <c r="G113" s="280"/>
    </row>
    <row r="114" spans="7:7" x14ac:dyDescent="0.2">
      <c r="G114" s="312"/>
    </row>
    <row r="115" spans="7:7" x14ac:dyDescent="0.2">
      <c r="G115" s="312"/>
    </row>
    <row r="116" spans="7:7" x14ac:dyDescent="0.2">
      <c r="G116" s="818"/>
    </row>
    <row r="117" spans="7:7" x14ac:dyDescent="0.2">
      <c r="G117" s="818"/>
    </row>
    <row r="127" spans="7:7" x14ac:dyDescent="0.2">
      <c r="G127" s="306"/>
    </row>
    <row r="128" spans="7:7" x14ac:dyDescent="0.2">
      <c r="G128" s="306"/>
    </row>
    <row r="129" spans="7:7" x14ac:dyDescent="0.2">
      <c r="G129" s="306"/>
    </row>
    <row r="139" spans="7:7" x14ac:dyDescent="0.2">
      <c r="G139" s="306"/>
    </row>
    <row r="149" spans="7:7" x14ac:dyDescent="0.2">
      <c r="G149" s="306"/>
    </row>
    <row r="150" spans="7:7" x14ac:dyDescent="0.2">
      <c r="G150" s="306"/>
    </row>
    <row r="151" spans="7:7" x14ac:dyDescent="0.2">
      <c r="G151" s="306"/>
    </row>
    <row r="153" spans="7:7" x14ac:dyDescent="0.2">
      <c r="G153" s="306"/>
    </row>
  </sheetData>
  <mergeCells count="4">
    <mergeCell ref="A1:E1"/>
    <mergeCell ref="G1:G5"/>
    <mergeCell ref="A2:E2"/>
    <mergeCell ref="A3:E3"/>
  </mergeCells>
  <printOptions horizontalCentered="1"/>
  <pageMargins left="0.31496062992125984" right="0.31496062992125984" top="0.39370078740157483" bottom="0.51181102362204722" header="0.31496062992125984" footer="0.23622047244094491"/>
  <pageSetup scale="88" fitToHeight="0" orientation="landscape" r:id="rId1"/>
  <headerFooter>
    <oddFooter>&amp;C&amp;"Arial,Normal"&amp;9“Bajo protesta de decir verdad declaramos que los Estados Financieros y sus notas, son razonablemente correctos y son responsabilidad del emisor”</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47"/>
  <sheetViews>
    <sheetView view="pageBreakPreview" zoomScale="60" zoomScaleNormal="100" workbookViewId="0">
      <selection sqref="A1:E1"/>
    </sheetView>
  </sheetViews>
  <sheetFormatPr baseColWidth="10" defaultRowHeight="15" x14ac:dyDescent="0.25"/>
  <cols>
    <col min="1" max="1" width="11.42578125" style="90"/>
    <col min="2" max="2" width="20.42578125" style="90" bestFit="1" customWidth="1"/>
    <col min="3" max="3" width="32.140625" style="90" bestFit="1" customWidth="1"/>
    <col min="4" max="4" width="12" style="90" bestFit="1" customWidth="1"/>
    <col min="5" max="5" width="25.7109375" style="90" customWidth="1"/>
    <col min="6" max="16384" width="11.42578125" style="90"/>
  </cols>
  <sheetData>
    <row r="1" spans="1:6" x14ac:dyDescent="0.25">
      <c r="A1" s="1289" t="s">
        <v>566</v>
      </c>
      <c r="B1" s="1289"/>
      <c r="C1" s="1289"/>
      <c r="D1" s="1289"/>
      <c r="E1" s="1289"/>
    </row>
    <row r="2" spans="1:6" x14ac:dyDescent="0.25">
      <c r="A2" s="1295" t="s">
        <v>394</v>
      </c>
      <c r="B2" s="1295"/>
      <c r="C2" s="1295"/>
      <c r="D2" s="1295"/>
      <c r="E2" s="1295"/>
    </row>
    <row r="3" spans="1:6" x14ac:dyDescent="0.25">
      <c r="A3" s="1295" t="s">
        <v>8966</v>
      </c>
      <c r="B3" s="1295"/>
      <c r="C3" s="1295"/>
      <c r="D3" s="1295"/>
      <c r="E3" s="1295"/>
    </row>
    <row r="4" spans="1:6" x14ac:dyDescent="0.25">
      <c r="A4" s="278"/>
      <c r="B4" s="278"/>
      <c r="C4" s="278"/>
      <c r="D4" s="278"/>
      <c r="E4" s="278"/>
    </row>
    <row r="5" spans="1:6" x14ac:dyDescent="0.25">
      <c r="A5" s="278"/>
      <c r="B5" s="278"/>
      <c r="C5" s="278"/>
      <c r="D5" s="278"/>
      <c r="E5" s="278"/>
    </row>
    <row r="6" spans="1:6" x14ac:dyDescent="0.25">
      <c r="A6" s="278"/>
      <c r="B6" s="278"/>
      <c r="C6" s="278"/>
      <c r="D6" s="278"/>
      <c r="E6" s="278"/>
    </row>
    <row r="7" spans="1:6" x14ac:dyDescent="0.25">
      <c r="A7" s="278"/>
      <c r="B7" s="278"/>
      <c r="C7" s="278"/>
      <c r="D7" s="278"/>
      <c r="E7" s="278"/>
    </row>
    <row r="8" spans="1:6" x14ac:dyDescent="0.25">
      <c r="A8" s="278"/>
      <c r="B8" s="278"/>
      <c r="C8" s="278"/>
      <c r="D8" s="278"/>
      <c r="E8" s="278"/>
    </row>
    <row r="9" spans="1:6" x14ac:dyDescent="0.25">
      <c r="A9" s="91" t="s">
        <v>436</v>
      </c>
      <c r="B9" s="91" t="s">
        <v>437</v>
      </c>
      <c r="C9" s="91" t="s">
        <v>201</v>
      </c>
      <c r="D9" s="91" t="s">
        <v>439</v>
      </c>
      <c r="E9" s="91" t="s">
        <v>432</v>
      </c>
      <c r="F9" s="366"/>
    </row>
    <row r="10" spans="1:6" x14ac:dyDescent="0.25">
      <c r="A10" s="367"/>
      <c r="B10" s="367"/>
      <c r="C10" s="367"/>
      <c r="D10" s="368"/>
      <c r="E10" s="369"/>
    </row>
    <row r="11" spans="1:6" x14ac:dyDescent="0.25">
      <c r="A11" s="367">
        <v>1191</v>
      </c>
      <c r="B11" s="367" t="s">
        <v>7489</v>
      </c>
      <c r="C11" s="420" t="s">
        <v>1179</v>
      </c>
      <c r="D11" s="421">
        <v>30000</v>
      </c>
      <c r="E11" s="369" t="s">
        <v>8972</v>
      </c>
    </row>
    <row r="12" spans="1:6" x14ac:dyDescent="0.25">
      <c r="A12" s="367">
        <v>1191</v>
      </c>
      <c r="B12" s="367" t="s">
        <v>7490</v>
      </c>
      <c r="C12" s="420" t="s">
        <v>1180</v>
      </c>
      <c r="D12" s="421">
        <v>10000</v>
      </c>
      <c r="E12" s="369" t="s">
        <v>8972</v>
      </c>
    </row>
    <row r="13" spans="1:6" x14ac:dyDescent="0.25">
      <c r="A13" s="367">
        <v>1191</v>
      </c>
      <c r="B13" s="367" t="s">
        <v>7491</v>
      </c>
      <c r="C13" s="420" t="s">
        <v>1181</v>
      </c>
      <c r="D13" s="421">
        <v>10000</v>
      </c>
      <c r="E13" s="369" t="s">
        <v>8972</v>
      </c>
    </row>
    <row r="14" spans="1:6" x14ac:dyDescent="0.25">
      <c r="A14" s="367">
        <v>1191</v>
      </c>
      <c r="B14" s="367" t="s">
        <v>7492</v>
      </c>
      <c r="C14" s="420" t="s">
        <v>1182</v>
      </c>
      <c r="D14" s="421">
        <v>20000</v>
      </c>
      <c r="E14" s="369" t="s">
        <v>8972</v>
      </c>
    </row>
    <row r="15" spans="1:6" x14ac:dyDescent="0.25">
      <c r="A15" s="367">
        <v>1191</v>
      </c>
      <c r="B15" s="367" t="s">
        <v>7493</v>
      </c>
      <c r="C15" s="420" t="s">
        <v>1183</v>
      </c>
      <c r="D15" s="421">
        <v>10000</v>
      </c>
      <c r="E15" s="369" t="s">
        <v>8972</v>
      </c>
    </row>
    <row r="16" spans="1:6" x14ac:dyDescent="0.25">
      <c r="A16" s="367">
        <v>1191</v>
      </c>
      <c r="B16" s="367" t="s">
        <v>7494</v>
      </c>
      <c r="C16" s="420" t="s">
        <v>1184</v>
      </c>
      <c r="D16" s="421">
        <v>10000</v>
      </c>
      <c r="E16" s="369" t="s">
        <v>8972</v>
      </c>
    </row>
    <row r="17" spans="1:5" x14ac:dyDescent="0.25">
      <c r="A17" s="367">
        <v>1191</v>
      </c>
      <c r="B17" s="367" t="s">
        <v>7495</v>
      </c>
      <c r="C17" s="420" t="s">
        <v>1185</v>
      </c>
      <c r="D17" s="421">
        <v>10000</v>
      </c>
      <c r="E17" s="369" t="s">
        <v>8972</v>
      </c>
    </row>
    <row r="18" spans="1:5" x14ac:dyDescent="0.25">
      <c r="A18" s="367">
        <v>1191</v>
      </c>
      <c r="B18" s="367" t="s">
        <v>7496</v>
      </c>
      <c r="C18" s="420" t="s">
        <v>1184</v>
      </c>
      <c r="D18" s="421">
        <v>10000</v>
      </c>
      <c r="E18" s="369" t="s">
        <v>8972</v>
      </c>
    </row>
    <row r="19" spans="1:5" x14ac:dyDescent="0.25">
      <c r="A19" s="367">
        <v>1191</v>
      </c>
      <c r="B19" s="367" t="s">
        <v>7497</v>
      </c>
      <c r="C19" s="420" t="s">
        <v>1186</v>
      </c>
      <c r="D19" s="421">
        <v>5000</v>
      </c>
      <c r="E19" s="369" t="s">
        <v>8972</v>
      </c>
    </row>
    <row r="20" spans="1:5" x14ac:dyDescent="0.25">
      <c r="A20" s="367">
        <v>1191</v>
      </c>
      <c r="B20" s="367" t="s">
        <v>7498</v>
      </c>
      <c r="C20" s="420" t="s">
        <v>1187</v>
      </c>
      <c r="D20" s="421">
        <v>10000</v>
      </c>
      <c r="E20" s="369" t="s">
        <v>8972</v>
      </c>
    </row>
    <row r="21" spans="1:5" x14ac:dyDescent="0.25">
      <c r="A21" s="367">
        <v>1191</v>
      </c>
      <c r="B21" s="367" t="s">
        <v>7499</v>
      </c>
      <c r="C21" s="420" t="s">
        <v>1188</v>
      </c>
      <c r="D21" s="421">
        <v>10000</v>
      </c>
      <c r="E21" s="369" t="s">
        <v>8972</v>
      </c>
    </row>
    <row r="22" spans="1:5" x14ac:dyDescent="0.25">
      <c r="A22" s="367">
        <v>1191</v>
      </c>
      <c r="B22" s="367" t="s">
        <v>7500</v>
      </c>
      <c r="C22" s="420" t="s">
        <v>1189</v>
      </c>
      <c r="D22" s="421">
        <v>10000</v>
      </c>
      <c r="E22" s="369" t="s">
        <v>8972</v>
      </c>
    </row>
    <row r="23" spans="1:5" x14ac:dyDescent="0.25">
      <c r="A23" s="367">
        <v>1191</v>
      </c>
      <c r="B23" s="367" t="s">
        <v>7501</v>
      </c>
      <c r="C23" s="420" t="s">
        <v>1190</v>
      </c>
      <c r="D23" s="421">
        <v>10000</v>
      </c>
      <c r="E23" s="369" t="s">
        <v>8972</v>
      </c>
    </row>
    <row r="24" spans="1:5" x14ac:dyDescent="0.25">
      <c r="A24" s="367">
        <v>1191</v>
      </c>
      <c r="B24" s="367" t="s">
        <v>7502</v>
      </c>
      <c r="C24" s="420" t="s">
        <v>1191</v>
      </c>
      <c r="D24" s="421">
        <v>10000</v>
      </c>
      <c r="E24" s="369" t="s">
        <v>8972</v>
      </c>
    </row>
    <row r="25" spans="1:5" x14ac:dyDescent="0.25">
      <c r="A25" s="367">
        <v>1191</v>
      </c>
      <c r="B25" s="367" t="s">
        <v>7503</v>
      </c>
      <c r="C25" s="420" t="s">
        <v>1192</v>
      </c>
      <c r="D25" s="421">
        <v>10000</v>
      </c>
      <c r="E25" s="369" t="s">
        <v>8972</v>
      </c>
    </row>
    <row r="26" spans="1:5" x14ac:dyDescent="0.25">
      <c r="A26" s="367">
        <v>1191</v>
      </c>
      <c r="B26" s="367" t="s">
        <v>7504</v>
      </c>
      <c r="C26" s="420" t="s">
        <v>1193</v>
      </c>
      <c r="D26" s="421">
        <v>10000</v>
      </c>
      <c r="E26" s="369" t="s">
        <v>8972</v>
      </c>
    </row>
    <row r="27" spans="1:5" x14ac:dyDescent="0.25">
      <c r="A27" s="367">
        <v>1191</v>
      </c>
      <c r="B27" s="367" t="s">
        <v>1195</v>
      </c>
      <c r="C27" s="420" t="s">
        <v>1194</v>
      </c>
      <c r="D27" s="421">
        <v>1508884</v>
      </c>
      <c r="E27" s="369" t="s">
        <v>8972</v>
      </c>
    </row>
    <row r="28" spans="1:5" x14ac:dyDescent="0.25">
      <c r="A28" s="367"/>
      <c r="B28" s="367"/>
      <c r="C28" s="367"/>
      <c r="D28" s="368"/>
      <c r="E28" s="369"/>
    </row>
    <row r="29" spans="1:5" x14ac:dyDescent="0.25">
      <c r="A29" s="367"/>
      <c r="B29" s="367"/>
      <c r="C29" s="367"/>
      <c r="D29" s="368"/>
      <c r="E29" s="369"/>
    </row>
    <row r="30" spans="1:5" x14ac:dyDescent="0.25">
      <c r="A30" s="367"/>
      <c r="B30" s="367"/>
      <c r="C30" s="419"/>
      <c r="D30" s="368"/>
      <c r="E30" s="369"/>
    </row>
    <row r="31" spans="1:5" x14ac:dyDescent="0.25">
      <c r="A31" s="367"/>
      <c r="B31" s="367"/>
      <c r="C31" s="367"/>
      <c r="D31" s="368"/>
      <c r="E31" s="369"/>
    </row>
    <row r="32" spans="1:5" x14ac:dyDescent="0.25">
      <c r="A32" s="1291" t="s">
        <v>188</v>
      </c>
      <c r="B32" s="1292"/>
      <c r="C32" s="1293"/>
      <c r="D32" s="370">
        <f>SUM(D10:D31)</f>
        <v>1693884</v>
      </c>
      <c r="E32" s="104"/>
    </row>
    <row r="33" spans="1:5" x14ac:dyDescent="0.25">
      <c r="A33" s="371"/>
      <c r="B33" s="371"/>
      <c r="C33" s="371"/>
      <c r="D33" s="372"/>
      <c r="E33" s="373"/>
    </row>
    <row r="34" spans="1:5" x14ac:dyDescent="0.25">
      <c r="A34" s="371"/>
      <c r="B34" s="371"/>
      <c r="C34" s="371"/>
      <c r="D34" s="372"/>
      <c r="E34" s="373"/>
    </row>
    <row r="35" spans="1:5" x14ac:dyDescent="0.25">
      <c r="A35" s="371"/>
      <c r="B35" s="371"/>
      <c r="C35" s="371"/>
      <c r="D35" s="372"/>
      <c r="E35" s="373"/>
    </row>
    <row r="36" spans="1:5" x14ac:dyDescent="0.25">
      <c r="A36" s="371"/>
      <c r="B36" s="371"/>
      <c r="C36" s="371"/>
      <c r="D36" s="372"/>
      <c r="E36" s="373"/>
    </row>
    <row r="37" spans="1:5" x14ac:dyDescent="0.25">
      <c r="A37" s="371"/>
      <c r="B37" s="371"/>
      <c r="C37" s="371"/>
      <c r="D37" s="372"/>
      <c r="E37" s="373"/>
    </row>
    <row r="38" spans="1:5" x14ac:dyDescent="0.25">
      <c r="A38" s="371"/>
      <c r="B38" s="371"/>
      <c r="C38" s="371"/>
      <c r="D38" s="372"/>
      <c r="E38" s="373"/>
    </row>
    <row r="39" spans="1:5" x14ac:dyDescent="0.25">
      <c r="A39" s="371"/>
      <c r="B39" s="371"/>
      <c r="C39" s="371"/>
      <c r="D39" s="372"/>
      <c r="E39" s="373"/>
    </row>
    <row r="40" spans="1:5" x14ac:dyDescent="0.25">
      <c r="A40" s="371"/>
      <c r="B40" s="371"/>
      <c r="C40" s="371"/>
      <c r="D40" s="372"/>
      <c r="E40" s="373"/>
    </row>
    <row r="41" spans="1:5" x14ac:dyDescent="0.25">
      <c r="A41" s="371"/>
      <c r="B41" s="371"/>
      <c r="C41" s="371"/>
      <c r="D41" s="372"/>
      <c r="E41" s="373"/>
    </row>
    <row r="42" spans="1:5" x14ac:dyDescent="0.25">
      <c r="A42" s="371"/>
      <c r="B42" s="371"/>
      <c r="C42" s="371"/>
      <c r="D42" s="372"/>
      <c r="E42" s="373"/>
    </row>
    <row r="43" spans="1:5" x14ac:dyDescent="0.25">
      <c r="A43" s="371"/>
      <c r="B43" s="371"/>
      <c r="C43" s="371"/>
      <c r="D43" s="372"/>
      <c r="E43" s="373"/>
    </row>
    <row r="44" spans="1:5" x14ac:dyDescent="0.25">
      <c r="A44" s="371"/>
      <c r="B44" s="371"/>
      <c r="C44" s="371"/>
      <c r="D44" s="372"/>
      <c r="E44" s="373"/>
    </row>
    <row r="45" spans="1:5" x14ac:dyDescent="0.25">
      <c r="A45" s="371"/>
      <c r="B45" s="371"/>
      <c r="C45" s="371"/>
      <c r="D45" s="372"/>
      <c r="E45" s="373"/>
    </row>
    <row r="46" spans="1:5" x14ac:dyDescent="0.25">
      <c r="A46" s="371"/>
      <c r="B46" s="371"/>
      <c r="C46" s="371"/>
      <c r="D46" s="372"/>
      <c r="E46" s="373"/>
    </row>
    <row r="47" spans="1:5" x14ac:dyDescent="0.25">
      <c r="A47" s="371"/>
      <c r="B47" s="371"/>
      <c r="C47" s="371"/>
      <c r="D47" s="372"/>
      <c r="E47" s="373"/>
    </row>
  </sheetData>
  <mergeCells count="4">
    <mergeCell ref="A1:E1"/>
    <mergeCell ref="A2:E2"/>
    <mergeCell ref="A3:E3"/>
    <mergeCell ref="A32:C32"/>
  </mergeCells>
  <printOptions horizontalCentered="1"/>
  <pageMargins left="0.15748031496062992" right="0.35433070866141736" top="0.51181102362204722" bottom="0.74803149606299213" header="0.31496062992125984" footer="0.31496062992125984"/>
  <pageSetup scale="99" fitToHeight="0" orientation="portrait" verticalDpi="300" r:id="rId1"/>
  <headerFooter>
    <oddHeader>&amp;R&amp;"Arial,Normal"&amp;8 07.I.11</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855"/>
  <sheetViews>
    <sheetView view="pageBreakPreview" topLeftCell="A1778" zoomScale="60" zoomScaleNormal="100" workbookViewId="0">
      <selection sqref="A1:K1"/>
    </sheetView>
  </sheetViews>
  <sheetFormatPr baseColWidth="10" defaultRowHeight="14.25" x14ac:dyDescent="0.2"/>
  <cols>
    <col min="1" max="1" width="14.42578125" style="200" customWidth="1"/>
    <col min="2" max="2" width="8" style="164" customWidth="1"/>
    <col min="3" max="3" width="7.5703125" style="163" customWidth="1"/>
    <col min="4" max="4" width="8.5703125" style="163" customWidth="1"/>
    <col min="5" max="5" width="41.28515625" style="35" customWidth="1"/>
    <col min="6" max="6" width="38.7109375" style="35" customWidth="1"/>
    <col min="7" max="7" width="15.140625" style="35" customWidth="1"/>
    <col min="8" max="8" width="7.5703125" style="163" customWidth="1"/>
    <col min="9" max="9" width="8.42578125" style="35" hidden="1" customWidth="1"/>
    <col min="10" max="10" width="18.140625" style="35" hidden="1" customWidth="1"/>
    <col min="11" max="11" width="12" style="35" bestFit="1" customWidth="1"/>
    <col min="12" max="12" width="15" style="35" customWidth="1"/>
    <col min="13" max="13" width="12" style="35" bestFit="1" customWidth="1"/>
    <col min="14" max="16384" width="11.42578125" style="35"/>
  </cols>
  <sheetData>
    <row r="1" spans="1:11" ht="15" x14ac:dyDescent="0.25">
      <c r="A1" s="1306" t="s">
        <v>719</v>
      </c>
      <c r="B1" s="1306"/>
      <c r="C1" s="1306"/>
      <c r="D1" s="1306"/>
      <c r="E1" s="1306"/>
      <c r="F1" s="1306"/>
      <c r="G1" s="1306"/>
      <c r="H1" s="1306"/>
      <c r="I1" s="1306"/>
      <c r="J1" s="1306"/>
      <c r="K1" s="1306"/>
    </row>
    <row r="2" spans="1:11" ht="15" x14ac:dyDescent="0.25">
      <c r="A2" s="1306" t="s">
        <v>7580</v>
      </c>
      <c r="B2" s="1306"/>
      <c r="C2" s="1306"/>
      <c r="D2" s="1306"/>
      <c r="E2" s="1306"/>
      <c r="F2" s="1306"/>
      <c r="G2" s="1306"/>
      <c r="H2" s="1306"/>
      <c r="I2" s="1306"/>
      <c r="J2" s="1306"/>
      <c r="K2" s="1306"/>
    </row>
    <row r="3" spans="1:11" ht="15" x14ac:dyDescent="0.25">
      <c r="A3" s="1306" t="s">
        <v>8600</v>
      </c>
      <c r="B3" s="1306"/>
      <c r="C3" s="1306"/>
      <c r="D3" s="1306"/>
      <c r="E3" s="1306"/>
      <c r="F3" s="1306"/>
      <c r="G3" s="1306"/>
      <c r="H3" s="1306"/>
      <c r="I3" s="1306"/>
      <c r="J3" s="1306"/>
      <c r="K3" s="1306"/>
    </row>
    <row r="4" spans="1:11" ht="15" thickBot="1" x14ac:dyDescent="0.25">
      <c r="A4" s="793"/>
      <c r="B4" s="134"/>
      <c r="C4" s="133"/>
      <c r="D4" s="133"/>
      <c r="E4" s="34"/>
      <c r="F4" s="34"/>
      <c r="G4" s="34"/>
      <c r="H4" s="133"/>
      <c r="I4" s="1307"/>
      <c r="J4" s="1307"/>
      <c r="K4" s="1307"/>
    </row>
    <row r="5" spans="1:11" s="135" customFormat="1" ht="15" customHeight="1" x14ac:dyDescent="0.15">
      <c r="A5" s="1308" t="s">
        <v>720</v>
      </c>
      <c r="B5" s="1310" t="s">
        <v>721</v>
      </c>
      <c r="C5" s="1311"/>
      <c r="D5" s="1312" t="s">
        <v>722</v>
      </c>
      <c r="E5" s="1312" t="s">
        <v>723</v>
      </c>
      <c r="F5" s="1300" t="s">
        <v>187</v>
      </c>
      <c r="G5" s="1302" t="s">
        <v>724</v>
      </c>
      <c r="H5" s="1300" t="s">
        <v>725</v>
      </c>
      <c r="I5" s="1300" t="s">
        <v>726</v>
      </c>
      <c r="J5" s="1302" t="s">
        <v>727</v>
      </c>
      <c r="K5" s="1304" t="s">
        <v>709</v>
      </c>
    </row>
    <row r="6" spans="1:11" s="135" customFormat="1" ht="26.25" customHeight="1" x14ac:dyDescent="0.15">
      <c r="A6" s="1309"/>
      <c r="B6" s="136" t="s">
        <v>728</v>
      </c>
      <c r="C6" s="137" t="s">
        <v>729</v>
      </c>
      <c r="D6" s="1313"/>
      <c r="E6" s="1313"/>
      <c r="F6" s="1301"/>
      <c r="G6" s="1303"/>
      <c r="H6" s="1301"/>
      <c r="I6" s="1301"/>
      <c r="J6" s="1303"/>
      <c r="K6" s="1305"/>
    </row>
    <row r="7" spans="1:11" s="147" customFormat="1" ht="11.25" customHeight="1" x14ac:dyDescent="0.2">
      <c r="A7" s="795" t="s">
        <v>8973</v>
      </c>
      <c r="B7" s="138">
        <v>43434</v>
      </c>
      <c r="C7" s="139" t="s">
        <v>8974</v>
      </c>
      <c r="D7" s="140" t="s">
        <v>8975</v>
      </c>
      <c r="E7" s="141" t="s">
        <v>8081</v>
      </c>
      <c r="F7" s="142" t="s">
        <v>8976</v>
      </c>
      <c r="G7" s="143">
        <v>0.68</v>
      </c>
      <c r="H7" s="144" t="s">
        <v>730</v>
      </c>
      <c r="I7" s="145"/>
      <c r="J7" s="145"/>
      <c r="K7" s="146">
        <v>0.68</v>
      </c>
    </row>
    <row r="8" spans="1:11" s="147" customFormat="1" ht="11.25" customHeight="1" x14ac:dyDescent="0.2">
      <c r="A8" s="795" t="s">
        <v>8083</v>
      </c>
      <c r="B8" s="138" t="s">
        <v>8977</v>
      </c>
      <c r="C8" s="139" t="s">
        <v>1116</v>
      </c>
      <c r="D8" s="140" t="s">
        <v>8084</v>
      </c>
      <c r="E8" s="141" t="s">
        <v>8085</v>
      </c>
      <c r="F8" s="142" t="s">
        <v>8085</v>
      </c>
      <c r="G8" s="143">
        <v>1166</v>
      </c>
      <c r="H8" s="144" t="s">
        <v>730</v>
      </c>
      <c r="I8" s="145"/>
      <c r="J8" s="145"/>
      <c r="K8" s="146">
        <v>1166</v>
      </c>
    </row>
    <row r="9" spans="1:11" s="147" customFormat="1" ht="11.25" customHeight="1" x14ac:dyDescent="0.2">
      <c r="A9" s="795" t="s">
        <v>8978</v>
      </c>
      <c r="B9" s="138">
        <v>43224</v>
      </c>
      <c r="C9" s="139" t="s">
        <v>8196</v>
      </c>
      <c r="D9" s="140" t="s">
        <v>8979</v>
      </c>
      <c r="E9" s="141" t="s">
        <v>8980</v>
      </c>
      <c r="F9" s="142" t="s">
        <v>8981</v>
      </c>
      <c r="G9" s="143">
        <v>1303</v>
      </c>
      <c r="H9" s="144" t="s">
        <v>730</v>
      </c>
      <c r="I9" s="145"/>
      <c r="J9" s="145"/>
      <c r="K9" s="146">
        <v>1303</v>
      </c>
    </row>
    <row r="10" spans="1:11" s="147" customFormat="1" ht="11.25" customHeight="1" x14ac:dyDescent="0.2">
      <c r="A10" s="795" t="s">
        <v>8982</v>
      </c>
      <c r="B10" s="138">
        <v>43231</v>
      </c>
      <c r="C10" s="139" t="s">
        <v>8213</v>
      </c>
      <c r="D10" s="140" t="s">
        <v>8983</v>
      </c>
      <c r="E10" s="141" t="s">
        <v>8984</v>
      </c>
      <c r="F10" s="142" t="s">
        <v>8985</v>
      </c>
      <c r="G10" s="143">
        <v>201</v>
      </c>
      <c r="H10" s="144" t="s">
        <v>730</v>
      </c>
      <c r="I10" s="145"/>
      <c r="J10" s="145"/>
      <c r="K10" s="146">
        <v>201</v>
      </c>
    </row>
    <row r="11" spans="1:11" s="147" customFormat="1" ht="11.25" customHeight="1" x14ac:dyDescent="0.2">
      <c r="A11" s="795" t="s">
        <v>8986</v>
      </c>
      <c r="B11" s="138" t="s">
        <v>8987</v>
      </c>
      <c r="C11" s="139" t="s">
        <v>8988</v>
      </c>
      <c r="D11" s="140" t="s">
        <v>8989</v>
      </c>
      <c r="E11" s="141" t="s">
        <v>8990</v>
      </c>
      <c r="F11" s="142" t="s">
        <v>8991</v>
      </c>
      <c r="G11" s="143">
        <v>1680.17</v>
      </c>
      <c r="H11" s="144" t="s">
        <v>730</v>
      </c>
      <c r="I11" s="145"/>
      <c r="J11" s="145"/>
      <c r="K11" s="146">
        <v>1680.17</v>
      </c>
    </row>
    <row r="12" spans="1:11" s="147" customFormat="1" ht="11.25" customHeight="1" x14ac:dyDescent="0.2">
      <c r="A12" s="795" t="s">
        <v>8992</v>
      </c>
      <c r="B12" s="138" t="s">
        <v>8993</v>
      </c>
      <c r="C12" s="139" t="s">
        <v>8994</v>
      </c>
      <c r="D12" s="140" t="s">
        <v>8995</v>
      </c>
      <c r="E12" s="141" t="s">
        <v>8996</v>
      </c>
      <c r="F12" s="142" t="s">
        <v>8997</v>
      </c>
      <c r="G12" s="143">
        <v>1000</v>
      </c>
      <c r="H12" s="144" t="s">
        <v>730</v>
      </c>
      <c r="I12" s="145"/>
      <c r="J12" s="145"/>
      <c r="K12" s="146">
        <v>1000</v>
      </c>
    </row>
    <row r="13" spans="1:11" s="147" customFormat="1" ht="11.25" customHeight="1" x14ac:dyDescent="0.2">
      <c r="A13" s="795" t="s">
        <v>8992</v>
      </c>
      <c r="B13" s="138">
        <v>43357</v>
      </c>
      <c r="C13" s="139" t="s">
        <v>8108</v>
      </c>
      <c r="D13" s="140" t="s">
        <v>8998</v>
      </c>
      <c r="E13" s="141" t="s">
        <v>8996</v>
      </c>
      <c r="F13" s="142" t="s">
        <v>8997</v>
      </c>
      <c r="G13" s="143">
        <v>1000</v>
      </c>
      <c r="H13" s="144" t="s">
        <v>730</v>
      </c>
      <c r="I13" s="145"/>
      <c r="J13" s="145"/>
      <c r="K13" s="146">
        <v>1000</v>
      </c>
    </row>
    <row r="14" spans="1:11" s="147" customFormat="1" ht="11.25" customHeight="1" x14ac:dyDescent="0.2">
      <c r="A14" s="795" t="s">
        <v>8992</v>
      </c>
      <c r="B14" s="138">
        <v>43363</v>
      </c>
      <c r="C14" s="139" t="s">
        <v>8999</v>
      </c>
      <c r="D14" s="140" t="s">
        <v>9000</v>
      </c>
      <c r="E14" s="141" t="s">
        <v>8996</v>
      </c>
      <c r="F14" s="142" t="s">
        <v>8997</v>
      </c>
      <c r="G14" s="143">
        <v>250</v>
      </c>
      <c r="H14" s="144" t="s">
        <v>730</v>
      </c>
      <c r="I14" s="145"/>
      <c r="J14" s="145"/>
      <c r="K14" s="146">
        <v>250</v>
      </c>
    </row>
    <row r="15" spans="1:11" s="147" customFormat="1" ht="11.25" customHeight="1" x14ac:dyDescent="0.2">
      <c r="A15" s="795" t="s">
        <v>9001</v>
      </c>
      <c r="B15" s="138">
        <v>43363</v>
      </c>
      <c r="C15" s="139" t="s">
        <v>9002</v>
      </c>
      <c r="D15" s="140" t="s">
        <v>9003</v>
      </c>
      <c r="E15" s="141" t="s">
        <v>9004</v>
      </c>
      <c r="F15" s="142" t="s">
        <v>8997</v>
      </c>
      <c r="G15" s="143">
        <v>250</v>
      </c>
      <c r="H15" s="144" t="s">
        <v>730</v>
      </c>
      <c r="I15" s="145"/>
      <c r="J15" s="145"/>
      <c r="K15" s="146">
        <v>250</v>
      </c>
    </row>
    <row r="16" spans="1:11" s="147" customFormat="1" ht="11.25" customHeight="1" x14ac:dyDescent="0.2">
      <c r="A16" s="795" t="s">
        <v>9005</v>
      </c>
      <c r="B16" s="138">
        <v>43389</v>
      </c>
      <c r="C16" s="139" t="s">
        <v>9006</v>
      </c>
      <c r="D16" s="140" t="s">
        <v>9007</v>
      </c>
      <c r="E16" s="141" t="s">
        <v>9008</v>
      </c>
      <c r="F16" s="142" t="s">
        <v>9009</v>
      </c>
      <c r="G16" s="143">
        <v>99</v>
      </c>
      <c r="H16" s="144" t="s">
        <v>730</v>
      </c>
      <c r="I16" s="145"/>
      <c r="J16" s="145"/>
      <c r="K16" s="146">
        <v>99</v>
      </c>
    </row>
    <row r="17" spans="1:11" s="147" customFormat="1" ht="11.25" customHeight="1" x14ac:dyDescent="0.2">
      <c r="A17" s="795" t="s">
        <v>9005</v>
      </c>
      <c r="B17" s="138">
        <v>43389</v>
      </c>
      <c r="C17" s="139" t="s">
        <v>9006</v>
      </c>
      <c r="D17" s="140" t="s">
        <v>9010</v>
      </c>
      <c r="E17" s="141" t="s">
        <v>9008</v>
      </c>
      <c r="F17" s="142" t="s">
        <v>9009</v>
      </c>
      <c r="G17" s="143">
        <v>413</v>
      </c>
      <c r="H17" s="144" t="s">
        <v>730</v>
      </c>
      <c r="I17" s="145"/>
      <c r="J17" s="145"/>
      <c r="K17" s="146">
        <v>413</v>
      </c>
    </row>
    <row r="18" spans="1:11" s="147" customFormat="1" ht="11.25" customHeight="1" x14ac:dyDescent="0.2">
      <c r="A18" s="795" t="s">
        <v>9005</v>
      </c>
      <c r="B18" s="138">
        <v>43389</v>
      </c>
      <c r="C18" s="139" t="s">
        <v>9006</v>
      </c>
      <c r="D18" s="140" t="s">
        <v>9011</v>
      </c>
      <c r="E18" s="141" t="s">
        <v>9008</v>
      </c>
      <c r="F18" s="142" t="s">
        <v>9009</v>
      </c>
      <c r="G18" s="143">
        <v>733.97</v>
      </c>
      <c r="H18" s="144" t="s">
        <v>730</v>
      </c>
      <c r="I18" s="145"/>
      <c r="J18" s="145"/>
      <c r="K18" s="146">
        <v>733.97</v>
      </c>
    </row>
    <row r="19" spans="1:11" s="147" customFormat="1" ht="11.25" customHeight="1" x14ac:dyDescent="0.2">
      <c r="A19" s="795" t="s">
        <v>9005</v>
      </c>
      <c r="B19" s="138">
        <v>43389</v>
      </c>
      <c r="C19" s="139" t="s">
        <v>9006</v>
      </c>
      <c r="D19" s="140" t="s">
        <v>9012</v>
      </c>
      <c r="E19" s="141" t="s">
        <v>9008</v>
      </c>
      <c r="F19" s="142" t="s">
        <v>9009</v>
      </c>
      <c r="G19" s="143">
        <v>1305.31</v>
      </c>
      <c r="H19" s="144" t="s">
        <v>730</v>
      </c>
      <c r="I19" s="145"/>
      <c r="J19" s="145"/>
      <c r="K19" s="146">
        <v>1305.31</v>
      </c>
    </row>
    <row r="20" spans="1:11" s="147" customFormat="1" ht="11.25" customHeight="1" x14ac:dyDescent="0.2">
      <c r="A20" s="795" t="s">
        <v>9005</v>
      </c>
      <c r="B20" s="138">
        <v>43389</v>
      </c>
      <c r="C20" s="139" t="s">
        <v>9006</v>
      </c>
      <c r="D20" s="140" t="s">
        <v>9013</v>
      </c>
      <c r="E20" s="141" t="s">
        <v>9008</v>
      </c>
      <c r="F20" s="142" t="s">
        <v>9009</v>
      </c>
      <c r="G20" s="143">
        <v>1654.5</v>
      </c>
      <c r="H20" s="144" t="s">
        <v>730</v>
      </c>
      <c r="I20" s="145"/>
      <c r="J20" s="145"/>
      <c r="K20" s="146">
        <v>1654.5</v>
      </c>
    </row>
    <row r="21" spans="1:11" s="147" customFormat="1" ht="11.25" customHeight="1" x14ac:dyDescent="0.2">
      <c r="A21" s="795" t="s">
        <v>9005</v>
      </c>
      <c r="B21" s="138">
        <v>43389</v>
      </c>
      <c r="C21" s="139" t="s">
        <v>9006</v>
      </c>
      <c r="D21" s="140" t="s">
        <v>9014</v>
      </c>
      <c r="E21" s="141" t="s">
        <v>9008</v>
      </c>
      <c r="F21" s="142" t="s">
        <v>9009</v>
      </c>
      <c r="G21" s="143">
        <v>2091.88</v>
      </c>
      <c r="H21" s="144" t="s">
        <v>730</v>
      </c>
      <c r="I21" s="145"/>
      <c r="J21" s="145"/>
      <c r="K21" s="146">
        <v>2091.88</v>
      </c>
    </row>
    <row r="22" spans="1:11" s="147" customFormat="1" ht="11.25" customHeight="1" x14ac:dyDescent="0.2">
      <c r="A22" s="795" t="s">
        <v>9005</v>
      </c>
      <c r="B22" s="138">
        <v>43389</v>
      </c>
      <c r="C22" s="139" t="s">
        <v>9006</v>
      </c>
      <c r="D22" s="140" t="s">
        <v>9015</v>
      </c>
      <c r="E22" s="141" t="s">
        <v>9008</v>
      </c>
      <c r="F22" s="142" t="s">
        <v>9009</v>
      </c>
      <c r="G22" s="143">
        <v>3223.9</v>
      </c>
      <c r="H22" s="144" t="s">
        <v>730</v>
      </c>
      <c r="I22" s="145"/>
      <c r="J22" s="145"/>
      <c r="K22" s="146">
        <v>3223.9</v>
      </c>
    </row>
    <row r="23" spans="1:11" s="147" customFormat="1" ht="11.25" customHeight="1" x14ac:dyDescent="0.2">
      <c r="A23" s="795" t="s">
        <v>9005</v>
      </c>
      <c r="B23" s="138">
        <v>43389</v>
      </c>
      <c r="C23" s="139" t="s">
        <v>9006</v>
      </c>
      <c r="D23" s="140" t="s">
        <v>9016</v>
      </c>
      <c r="E23" s="141" t="s">
        <v>9008</v>
      </c>
      <c r="F23" s="142" t="s">
        <v>9009</v>
      </c>
      <c r="G23" s="143">
        <v>3380.35</v>
      </c>
      <c r="H23" s="144" t="s">
        <v>730</v>
      </c>
      <c r="I23" s="145"/>
      <c r="J23" s="145"/>
      <c r="K23" s="146">
        <v>3380.35</v>
      </c>
    </row>
    <row r="24" spans="1:11" s="147" customFormat="1" ht="11.25" customHeight="1" x14ac:dyDescent="0.2">
      <c r="A24" s="795" t="s">
        <v>9005</v>
      </c>
      <c r="B24" s="138">
        <v>43389</v>
      </c>
      <c r="C24" s="139" t="s">
        <v>9006</v>
      </c>
      <c r="D24" s="140" t="s">
        <v>9017</v>
      </c>
      <c r="E24" s="141" t="s">
        <v>9008</v>
      </c>
      <c r="F24" s="142" t="s">
        <v>9009</v>
      </c>
      <c r="G24" s="143">
        <v>3393.8</v>
      </c>
      <c r="H24" s="144" t="s">
        <v>730</v>
      </c>
      <c r="I24" s="145"/>
      <c r="J24" s="145"/>
      <c r="K24" s="146">
        <v>3393.8</v>
      </c>
    </row>
    <row r="25" spans="1:11" s="147" customFormat="1" ht="11.25" customHeight="1" x14ac:dyDescent="0.2">
      <c r="A25" s="795" t="s">
        <v>9005</v>
      </c>
      <c r="B25" s="138">
        <v>43389</v>
      </c>
      <c r="C25" s="139" t="s">
        <v>9006</v>
      </c>
      <c r="D25" s="140" t="s">
        <v>9018</v>
      </c>
      <c r="E25" s="141" t="s">
        <v>9008</v>
      </c>
      <c r="F25" s="142" t="s">
        <v>9009</v>
      </c>
      <c r="G25" s="143">
        <v>5478.7</v>
      </c>
      <c r="H25" s="144" t="s">
        <v>730</v>
      </c>
      <c r="I25" s="145"/>
      <c r="J25" s="145"/>
      <c r="K25" s="146">
        <v>5478.7</v>
      </c>
    </row>
    <row r="26" spans="1:11" s="147" customFormat="1" ht="11.25" customHeight="1" x14ac:dyDescent="0.2">
      <c r="A26" s="795" t="s">
        <v>9005</v>
      </c>
      <c r="B26" s="138">
        <v>43389</v>
      </c>
      <c r="C26" s="139" t="s">
        <v>9006</v>
      </c>
      <c r="D26" s="140" t="s">
        <v>9019</v>
      </c>
      <c r="E26" s="141" t="s">
        <v>9008</v>
      </c>
      <c r="F26" s="142" t="s">
        <v>9009</v>
      </c>
      <c r="G26" s="143">
        <v>9556.7999999999993</v>
      </c>
      <c r="H26" s="144" t="s">
        <v>730</v>
      </c>
      <c r="I26" s="145"/>
      <c r="J26" s="145"/>
      <c r="K26" s="146">
        <v>9556.7999999999993</v>
      </c>
    </row>
    <row r="27" spans="1:11" s="147" customFormat="1" ht="11.25" customHeight="1" x14ac:dyDescent="0.2">
      <c r="A27" s="795" t="s">
        <v>9005</v>
      </c>
      <c r="B27" s="138">
        <v>43389</v>
      </c>
      <c r="C27" s="139" t="s">
        <v>9006</v>
      </c>
      <c r="D27" s="140" t="s">
        <v>9020</v>
      </c>
      <c r="E27" s="141" t="s">
        <v>9008</v>
      </c>
      <c r="F27" s="142" t="s">
        <v>9009</v>
      </c>
      <c r="G27" s="143">
        <v>10981.22</v>
      </c>
      <c r="H27" s="144" t="s">
        <v>730</v>
      </c>
      <c r="I27" s="145"/>
      <c r="J27" s="145"/>
      <c r="K27" s="146">
        <v>10981.22</v>
      </c>
    </row>
    <row r="28" spans="1:11" s="147" customFormat="1" ht="11.25" customHeight="1" x14ac:dyDescent="0.2">
      <c r="A28" s="795" t="s">
        <v>9005</v>
      </c>
      <c r="B28" s="138">
        <v>43389</v>
      </c>
      <c r="C28" s="139" t="s">
        <v>9006</v>
      </c>
      <c r="D28" s="140" t="s">
        <v>9021</v>
      </c>
      <c r="E28" s="141" t="s">
        <v>9008</v>
      </c>
      <c r="F28" s="142" t="s">
        <v>9022</v>
      </c>
      <c r="G28" s="143">
        <v>15977.87</v>
      </c>
      <c r="H28" s="144" t="s">
        <v>730</v>
      </c>
      <c r="I28" s="145"/>
      <c r="J28" s="145"/>
      <c r="K28" s="146">
        <v>15977.87</v>
      </c>
    </row>
    <row r="29" spans="1:11" s="147" customFormat="1" ht="11.25" customHeight="1" x14ac:dyDescent="0.2">
      <c r="A29" s="795" t="s">
        <v>9005</v>
      </c>
      <c r="B29" s="138">
        <v>43389</v>
      </c>
      <c r="C29" s="139" t="s">
        <v>9006</v>
      </c>
      <c r="D29" s="140" t="s">
        <v>9023</v>
      </c>
      <c r="E29" s="141" t="s">
        <v>9008</v>
      </c>
      <c r="F29" s="142" t="s">
        <v>9009</v>
      </c>
      <c r="G29" s="143">
        <v>17310.91</v>
      </c>
      <c r="H29" s="144" t="s">
        <v>730</v>
      </c>
      <c r="I29" s="145"/>
      <c r="J29" s="145"/>
      <c r="K29" s="146">
        <v>17310.91</v>
      </c>
    </row>
    <row r="30" spans="1:11" s="147" customFormat="1" ht="11.25" customHeight="1" x14ac:dyDescent="0.2">
      <c r="A30" s="795" t="s">
        <v>9005</v>
      </c>
      <c r="B30" s="138">
        <v>43389</v>
      </c>
      <c r="C30" s="139" t="s">
        <v>9006</v>
      </c>
      <c r="D30" s="140" t="s">
        <v>9024</v>
      </c>
      <c r="E30" s="141" t="s">
        <v>9008</v>
      </c>
      <c r="F30" s="142" t="s">
        <v>9009</v>
      </c>
      <c r="G30" s="143">
        <v>26827.200000000001</v>
      </c>
      <c r="H30" s="144" t="s">
        <v>730</v>
      </c>
      <c r="I30" s="145"/>
      <c r="J30" s="145"/>
      <c r="K30" s="146">
        <v>26827.200000000001</v>
      </c>
    </row>
    <row r="31" spans="1:11" s="147" customFormat="1" ht="11.25" customHeight="1" x14ac:dyDescent="0.2">
      <c r="A31" s="795" t="s">
        <v>9005</v>
      </c>
      <c r="B31" s="138">
        <v>43389</v>
      </c>
      <c r="C31" s="139" t="s">
        <v>9006</v>
      </c>
      <c r="D31" s="140" t="s">
        <v>9025</v>
      </c>
      <c r="E31" s="141" t="s">
        <v>9008</v>
      </c>
      <c r="F31" s="142" t="s">
        <v>9009</v>
      </c>
      <c r="G31" s="143">
        <v>27321.08</v>
      </c>
      <c r="H31" s="144" t="s">
        <v>730</v>
      </c>
      <c r="I31" s="145"/>
      <c r="J31" s="145"/>
      <c r="K31" s="146">
        <v>27321.08</v>
      </c>
    </row>
    <row r="32" spans="1:11" s="147" customFormat="1" ht="11.25" customHeight="1" x14ac:dyDescent="0.2">
      <c r="A32" s="795" t="s">
        <v>9005</v>
      </c>
      <c r="B32" s="138">
        <v>43389</v>
      </c>
      <c r="C32" s="139" t="s">
        <v>9006</v>
      </c>
      <c r="D32" s="140" t="s">
        <v>9026</v>
      </c>
      <c r="E32" s="141" t="s">
        <v>9008</v>
      </c>
      <c r="F32" s="142" t="s">
        <v>9009</v>
      </c>
      <c r="G32" s="143">
        <v>29818.52</v>
      </c>
      <c r="H32" s="144" t="s">
        <v>730</v>
      </c>
      <c r="I32" s="145"/>
      <c r="J32" s="145"/>
      <c r="K32" s="146">
        <v>29818.52</v>
      </c>
    </row>
    <row r="33" spans="1:11" s="147" customFormat="1" ht="11.25" customHeight="1" x14ac:dyDescent="0.2">
      <c r="A33" s="795" t="s">
        <v>9005</v>
      </c>
      <c r="B33" s="138">
        <v>43389</v>
      </c>
      <c r="C33" s="139" t="s">
        <v>9006</v>
      </c>
      <c r="D33" s="140" t="s">
        <v>9027</v>
      </c>
      <c r="E33" s="141" t="s">
        <v>9008</v>
      </c>
      <c r="F33" s="142" t="s">
        <v>9009</v>
      </c>
      <c r="G33" s="143">
        <v>43220.18</v>
      </c>
      <c r="H33" s="144" t="s">
        <v>730</v>
      </c>
      <c r="I33" s="145"/>
      <c r="J33" s="145"/>
      <c r="K33" s="146">
        <v>43220.18</v>
      </c>
    </row>
    <row r="34" spans="1:11" s="147" customFormat="1" ht="11.25" customHeight="1" x14ac:dyDescent="0.2">
      <c r="A34" s="795" t="s">
        <v>9005</v>
      </c>
      <c r="B34" s="138">
        <v>43389</v>
      </c>
      <c r="C34" s="139" t="s">
        <v>9006</v>
      </c>
      <c r="D34" s="140" t="s">
        <v>9028</v>
      </c>
      <c r="E34" s="141" t="s">
        <v>9008</v>
      </c>
      <c r="F34" s="142" t="s">
        <v>9009</v>
      </c>
      <c r="G34" s="143">
        <v>73357.990000000005</v>
      </c>
      <c r="H34" s="144" t="s">
        <v>730</v>
      </c>
      <c r="I34" s="145"/>
      <c r="J34" s="145"/>
      <c r="K34" s="146">
        <v>73357.990000000005</v>
      </c>
    </row>
    <row r="35" spans="1:11" s="147" customFormat="1" ht="11.25" customHeight="1" x14ac:dyDescent="0.2">
      <c r="A35" s="795" t="s">
        <v>9005</v>
      </c>
      <c r="B35" s="138">
        <v>43389</v>
      </c>
      <c r="C35" s="139" t="s">
        <v>9006</v>
      </c>
      <c r="D35" s="140" t="s">
        <v>9029</v>
      </c>
      <c r="E35" s="141" t="s">
        <v>9008</v>
      </c>
      <c r="F35" s="142" t="s">
        <v>9009</v>
      </c>
      <c r="G35" s="143">
        <v>89224.49</v>
      </c>
      <c r="H35" s="144" t="s">
        <v>730</v>
      </c>
      <c r="I35" s="145"/>
      <c r="J35" s="145"/>
      <c r="K35" s="146">
        <v>89224.49</v>
      </c>
    </row>
    <row r="36" spans="1:11" s="147" customFormat="1" ht="11.25" customHeight="1" x14ac:dyDescent="0.2">
      <c r="A36" s="795" t="s">
        <v>9030</v>
      </c>
      <c r="B36" s="138">
        <v>43390</v>
      </c>
      <c r="C36" s="139" t="s">
        <v>9031</v>
      </c>
      <c r="D36" s="140" t="s">
        <v>9032</v>
      </c>
      <c r="E36" s="141" t="s">
        <v>8187</v>
      </c>
      <c r="F36" s="142" t="s">
        <v>9033</v>
      </c>
      <c r="G36" s="143">
        <v>2268</v>
      </c>
      <c r="H36" s="144" t="s">
        <v>730</v>
      </c>
      <c r="I36" s="145"/>
      <c r="J36" s="145"/>
      <c r="K36" s="146">
        <v>2268</v>
      </c>
    </row>
    <row r="37" spans="1:11" s="147" customFormat="1" ht="11.25" customHeight="1" x14ac:dyDescent="0.2">
      <c r="A37" s="795" t="s">
        <v>9030</v>
      </c>
      <c r="B37" s="138">
        <v>43390</v>
      </c>
      <c r="C37" s="139" t="s">
        <v>9031</v>
      </c>
      <c r="D37" s="140" t="s">
        <v>9034</v>
      </c>
      <c r="E37" s="141" t="s">
        <v>8187</v>
      </c>
      <c r="F37" s="142" t="s">
        <v>9033</v>
      </c>
      <c r="G37" s="143">
        <v>3340.8</v>
      </c>
      <c r="H37" s="144" t="s">
        <v>730</v>
      </c>
      <c r="I37" s="145"/>
      <c r="J37" s="145"/>
      <c r="K37" s="146">
        <v>3340.8</v>
      </c>
    </row>
    <row r="38" spans="1:11" s="147" customFormat="1" ht="11.25" customHeight="1" x14ac:dyDescent="0.2">
      <c r="A38" s="795" t="s">
        <v>9035</v>
      </c>
      <c r="B38" s="138">
        <v>43398</v>
      </c>
      <c r="C38" s="139" t="s">
        <v>9036</v>
      </c>
      <c r="D38" s="140" t="s">
        <v>9037</v>
      </c>
      <c r="E38" s="141" t="s">
        <v>8123</v>
      </c>
      <c r="F38" s="142" t="s">
        <v>8976</v>
      </c>
      <c r="G38" s="143">
        <v>27.31</v>
      </c>
      <c r="H38" s="144" t="s">
        <v>730</v>
      </c>
      <c r="I38" s="145"/>
      <c r="J38" s="145"/>
      <c r="K38" s="146">
        <v>27.31</v>
      </c>
    </row>
    <row r="39" spans="1:11" s="147" customFormat="1" ht="11.25" customHeight="1" x14ac:dyDescent="0.2">
      <c r="A39" s="795" t="s">
        <v>9035</v>
      </c>
      <c r="B39" s="138">
        <v>43398</v>
      </c>
      <c r="C39" s="139" t="s">
        <v>9036</v>
      </c>
      <c r="D39" s="140" t="s">
        <v>9038</v>
      </c>
      <c r="E39" s="141" t="s">
        <v>8123</v>
      </c>
      <c r="F39" s="142" t="s">
        <v>8082</v>
      </c>
      <c r="G39" s="143">
        <v>40.25</v>
      </c>
      <c r="H39" s="144" t="s">
        <v>730</v>
      </c>
      <c r="I39" s="145"/>
      <c r="J39" s="145"/>
      <c r="K39" s="146">
        <v>40.25</v>
      </c>
    </row>
    <row r="40" spans="1:11" s="147" customFormat="1" ht="11.25" customHeight="1" x14ac:dyDescent="0.2">
      <c r="A40" s="795" t="s">
        <v>9035</v>
      </c>
      <c r="B40" s="138">
        <v>43398</v>
      </c>
      <c r="C40" s="139" t="s">
        <v>9036</v>
      </c>
      <c r="D40" s="140" t="s">
        <v>9038</v>
      </c>
      <c r="E40" s="141" t="s">
        <v>8123</v>
      </c>
      <c r="F40" s="142" t="s">
        <v>8082</v>
      </c>
      <c r="G40" s="143">
        <v>40.25</v>
      </c>
      <c r="H40" s="144" t="s">
        <v>730</v>
      </c>
      <c r="I40" s="145"/>
      <c r="J40" s="145"/>
      <c r="K40" s="146">
        <v>40.25</v>
      </c>
    </row>
    <row r="41" spans="1:11" s="147" customFormat="1" ht="11.25" customHeight="1" x14ac:dyDescent="0.2">
      <c r="A41" s="795" t="s">
        <v>9035</v>
      </c>
      <c r="B41" s="138">
        <v>43398</v>
      </c>
      <c r="C41" s="139" t="s">
        <v>9039</v>
      </c>
      <c r="D41" s="140" t="s">
        <v>9040</v>
      </c>
      <c r="E41" s="141" t="s">
        <v>8123</v>
      </c>
      <c r="F41" s="142" t="s">
        <v>8082</v>
      </c>
      <c r="G41" s="143">
        <v>44.08</v>
      </c>
      <c r="H41" s="144" t="s">
        <v>730</v>
      </c>
      <c r="I41" s="145"/>
      <c r="J41" s="145"/>
      <c r="K41" s="146">
        <v>44.08</v>
      </c>
    </row>
    <row r="42" spans="1:11" s="147" customFormat="1" ht="11.25" customHeight="1" x14ac:dyDescent="0.2">
      <c r="A42" s="795" t="s">
        <v>9035</v>
      </c>
      <c r="B42" s="138">
        <v>43398</v>
      </c>
      <c r="C42" s="139" t="s">
        <v>9039</v>
      </c>
      <c r="D42" s="140" t="s">
        <v>9040</v>
      </c>
      <c r="E42" s="141" t="s">
        <v>8123</v>
      </c>
      <c r="F42" s="142" t="s">
        <v>8082</v>
      </c>
      <c r="G42" s="143">
        <v>47.21</v>
      </c>
      <c r="H42" s="144" t="s">
        <v>730</v>
      </c>
      <c r="I42" s="145"/>
      <c r="J42" s="145"/>
      <c r="K42" s="146">
        <v>47.21</v>
      </c>
    </row>
    <row r="43" spans="1:11" s="147" customFormat="1" ht="11.25" customHeight="1" x14ac:dyDescent="0.2">
      <c r="A43" s="795" t="s">
        <v>9035</v>
      </c>
      <c r="B43" s="138">
        <v>43398</v>
      </c>
      <c r="C43" s="139" t="s">
        <v>9036</v>
      </c>
      <c r="D43" s="140" t="s">
        <v>9038</v>
      </c>
      <c r="E43" s="141" t="s">
        <v>8123</v>
      </c>
      <c r="F43" s="142" t="s">
        <v>8082</v>
      </c>
      <c r="G43" s="143">
        <v>51.18</v>
      </c>
      <c r="H43" s="144" t="s">
        <v>730</v>
      </c>
      <c r="I43" s="145"/>
      <c r="J43" s="145"/>
      <c r="K43" s="146">
        <v>51.18</v>
      </c>
    </row>
    <row r="44" spans="1:11" s="147" customFormat="1" ht="11.25" customHeight="1" x14ac:dyDescent="0.2">
      <c r="A44" s="795" t="s">
        <v>9035</v>
      </c>
      <c r="B44" s="138">
        <v>43398</v>
      </c>
      <c r="C44" s="139" t="s">
        <v>9041</v>
      </c>
      <c r="D44" s="140" t="s">
        <v>9042</v>
      </c>
      <c r="E44" s="141" t="s">
        <v>8123</v>
      </c>
      <c r="F44" s="142" t="s">
        <v>8976</v>
      </c>
      <c r="G44" s="143">
        <v>53.45</v>
      </c>
      <c r="H44" s="144" t="s">
        <v>730</v>
      </c>
      <c r="I44" s="145"/>
      <c r="J44" s="145"/>
      <c r="K44" s="146">
        <v>53.45</v>
      </c>
    </row>
    <row r="45" spans="1:11" s="147" customFormat="1" ht="11.25" customHeight="1" x14ac:dyDescent="0.2">
      <c r="A45" s="795" t="s">
        <v>9035</v>
      </c>
      <c r="B45" s="138">
        <v>43398</v>
      </c>
      <c r="C45" s="139" t="s">
        <v>9036</v>
      </c>
      <c r="D45" s="140" t="s">
        <v>9037</v>
      </c>
      <c r="E45" s="141" t="s">
        <v>8123</v>
      </c>
      <c r="F45" s="142" t="s">
        <v>8976</v>
      </c>
      <c r="G45" s="143">
        <v>57.7</v>
      </c>
      <c r="H45" s="144" t="s">
        <v>730</v>
      </c>
      <c r="I45" s="145"/>
      <c r="J45" s="145"/>
      <c r="K45" s="146">
        <v>57.7</v>
      </c>
    </row>
    <row r="46" spans="1:11" s="147" customFormat="1" ht="11.25" customHeight="1" x14ac:dyDescent="0.2">
      <c r="A46" s="795" t="s">
        <v>9035</v>
      </c>
      <c r="B46" s="138">
        <v>43398</v>
      </c>
      <c r="C46" s="139" t="s">
        <v>9036</v>
      </c>
      <c r="D46" s="140" t="s">
        <v>9043</v>
      </c>
      <c r="E46" s="141" t="s">
        <v>8123</v>
      </c>
      <c r="F46" s="142" t="s">
        <v>8082</v>
      </c>
      <c r="G46" s="143">
        <v>73.02</v>
      </c>
      <c r="H46" s="144" t="s">
        <v>730</v>
      </c>
      <c r="I46" s="145"/>
      <c r="J46" s="145"/>
      <c r="K46" s="146">
        <v>73.02</v>
      </c>
    </row>
    <row r="47" spans="1:11" s="147" customFormat="1" ht="11.25" customHeight="1" x14ac:dyDescent="0.2">
      <c r="A47" s="795" t="s">
        <v>9035</v>
      </c>
      <c r="B47" s="138">
        <v>43398</v>
      </c>
      <c r="C47" s="139" t="s">
        <v>9036</v>
      </c>
      <c r="D47" s="140" t="s">
        <v>9038</v>
      </c>
      <c r="E47" s="141" t="s">
        <v>8123</v>
      </c>
      <c r="F47" s="142" t="s">
        <v>8082</v>
      </c>
      <c r="G47" s="143">
        <v>81.72</v>
      </c>
      <c r="H47" s="144" t="s">
        <v>730</v>
      </c>
      <c r="I47" s="145"/>
      <c r="J47" s="145"/>
      <c r="K47" s="146">
        <v>81.72</v>
      </c>
    </row>
    <row r="48" spans="1:11" s="147" customFormat="1" ht="11.25" customHeight="1" x14ac:dyDescent="0.2">
      <c r="A48" s="795" t="s">
        <v>9035</v>
      </c>
      <c r="B48" s="138">
        <v>43398</v>
      </c>
      <c r="C48" s="139" t="s">
        <v>9036</v>
      </c>
      <c r="D48" s="140" t="s">
        <v>9037</v>
      </c>
      <c r="E48" s="141" t="s">
        <v>8123</v>
      </c>
      <c r="F48" s="142" t="s">
        <v>8976</v>
      </c>
      <c r="G48" s="143">
        <v>82.43</v>
      </c>
      <c r="H48" s="144" t="s">
        <v>730</v>
      </c>
      <c r="I48" s="145"/>
      <c r="J48" s="145"/>
      <c r="K48" s="146">
        <v>82.43</v>
      </c>
    </row>
    <row r="49" spans="1:11" s="147" customFormat="1" ht="11.25" customHeight="1" x14ac:dyDescent="0.2">
      <c r="A49" s="795" t="s">
        <v>9035</v>
      </c>
      <c r="B49" s="138">
        <v>43398</v>
      </c>
      <c r="C49" s="139" t="s">
        <v>9041</v>
      </c>
      <c r="D49" s="140" t="s">
        <v>9042</v>
      </c>
      <c r="E49" s="141" t="s">
        <v>8123</v>
      </c>
      <c r="F49" s="142" t="s">
        <v>8976</v>
      </c>
      <c r="G49" s="143">
        <v>88.16</v>
      </c>
      <c r="H49" s="144" t="s">
        <v>730</v>
      </c>
      <c r="I49" s="145"/>
      <c r="J49" s="145"/>
      <c r="K49" s="146">
        <v>88.16</v>
      </c>
    </row>
    <row r="50" spans="1:11" s="147" customFormat="1" ht="11.25" customHeight="1" x14ac:dyDescent="0.2">
      <c r="A50" s="795" t="s">
        <v>9035</v>
      </c>
      <c r="B50" s="138">
        <v>43398</v>
      </c>
      <c r="C50" s="139" t="s">
        <v>9036</v>
      </c>
      <c r="D50" s="140" t="s">
        <v>9043</v>
      </c>
      <c r="E50" s="141" t="s">
        <v>8123</v>
      </c>
      <c r="F50" s="142" t="s">
        <v>8082</v>
      </c>
      <c r="G50" s="143">
        <v>91.29</v>
      </c>
      <c r="H50" s="144" t="s">
        <v>730</v>
      </c>
      <c r="I50" s="145"/>
      <c r="J50" s="145"/>
      <c r="K50" s="146">
        <v>91.29</v>
      </c>
    </row>
    <row r="51" spans="1:11" s="147" customFormat="1" ht="11.25" customHeight="1" x14ac:dyDescent="0.2">
      <c r="A51" s="795" t="s">
        <v>9035</v>
      </c>
      <c r="B51" s="138">
        <v>43398</v>
      </c>
      <c r="C51" s="139" t="s">
        <v>9036</v>
      </c>
      <c r="D51" s="140" t="s">
        <v>9037</v>
      </c>
      <c r="E51" s="141" t="s">
        <v>8123</v>
      </c>
      <c r="F51" s="142" t="s">
        <v>8976</v>
      </c>
      <c r="G51" s="143">
        <v>102.34</v>
      </c>
      <c r="H51" s="144" t="s">
        <v>730</v>
      </c>
      <c r="I51" s="145"/>
      <c r="J51" s="145"/>
      <c r="K51" s="146">
        <v>102.34</v>
      </c>
    </row>
    <row r="52" spans="1:11" s="147" customFormat="1" ht="11.25" customHeight="1" x14ac:dyDescent="0.2">
      <c r="A52" s="795" t="s">
        <v>9035</v>
      </c>
      <c r="B52" s="138">
        <v>43398</v>
      </c>
      <c r="C52" s="139" t="s">
        <v>9036</v>
      </c>
      <c r="D52" s="140" t="s">
        <v>9038</v>
      </c>
      <c r="E52" s="141" t="s">
        <v>8123</v>
      </c>
      <c r="F52" s="142" t="s">
        <v>8082</v>
      </c>
      <c r="G52" s="143">
        <v>111.13</v>
      </c>
      <c r="H52" s="144" t="s">
        <v>730</v>
      </c>
      <c r="I52" s="145"/>
      <c r="J52" s="145"/>
      <c r="K52" s="146">
        <v>111.13</v>
      </c>
    </row>
    <row r="53" spans="1:11" s="147" customFormat="1" ht="11.25" customHeight="1" x14ac:dyDescent="0.2">
      <c r="A53" s="795" t="s">
        <v>9035</v>
      </c>
      <c r="B53" s="138">
        <v>43398</v>
      </c>
      <c r="C53" s="139" t="s">
        <v>9039</v>
      </c>
      <c r="D53" s="140" t="s">
        <v>9044</v>
      </c>
      <c r="E53" s="141" t="s">
        <v>8123</v>
      </c>
      <c r="F53" s="142" t="s">
        <v>8976</v>
      </c>
      <c r="G53" s="143">
        <v>111.13</v>
      </c>
      <c r="H53" s="144" t="s">
        <v>730</v>
      </c>
      <c r="I53" s="145"/>
      <c r="J53" s="145"/>
      <c r="K53" s="146">
        <v>111.13</v>
      </c>
    </row>
    <row r="54" spans="1:11" s="147" customFormat="1" ht="11.25" customHeight="1" x14ac:dyDescent="0.2">
      <c r="A54" s="795" t="s">
        <v>9035</v>
      </c>
      <c r="B54" s="138">
        <v>43398</v>
      </c>
      <c r="C54" s="139" t="s">
        <v>9036</v>
      </c>
      <c r="D54" s="140" t="s">
        <v>9038</v>
      </c>
      <c r="E54" s="141" t="s">
        <v>8123</v>
      </c>
      <c r="F54" s="142" t="s">
        <v>8082</v>
      </c>
      <c r="G54" s="143">
        <v>120.13</v>
      </c>
      <c r="H54" s="144" t="s">
        <v>730</v>
      </c>
      <c r="I54" s="145"/>
      <c r="J54" s="145"/>
      <c r="K54" s="146">
        <v>120.13</v>
      </c>
    </row>
    <row r="55" spans="1:11" s="147" customFormat="1" ht="11.25" customHeight="1" x14ac:dyDescent="0.2">
      <c r="A55" s="795" t="s">
        <v>9035</v>
      </c>
      <c r="B55" s="138">
        <v>43398</v>
      </c>
      <c r="C55" s="139" t="s">
        <v>9039</v>
      </c>
      <c r="D55" s="140" t="s">
        <v>9040</v>
      </c>
      <c r="E55" s="141" t="s">
        <v>8123</v>
      </c>
      <c r="F55" s="142" t="s">
        <v>8082</v>
      </c>
      <c r="G55" s="143">
        <v>129.27000000000001</v>
      </c>
      <c r="H55" s="144" t="s">
        <v>730</v>
      </c>
      <c r="I55" s="145"/>
      <c r="J55" s="145"/>
      <c r="K55" s="146">
        <v>129.27000000000001</v>
      </c>
    </row>
    <row r="56" spans="1:11" s="147" customFormat="1" ht="11.25" customHeight="1" x14ac:dyDescent="0.2">
      <c r="A56" s="795" t="s">
        <v>9035</v>
      </c>
      <c r="B56" s="138">
        <v>43398</v>
      </c>
      <c r="C56" s="139" t="s">
        <v>9036</v>
      </c>
      <c r="D56" s="140" t="s">
        <v>9037</v>
      </c>
      <c r="E56" s="141" t="s">
        <v>8123</v>
      </c>
      <c r="F56" s="142" t="s">
        <v>8976</v>
      </c>
      <c r="G56" s="143">
        <v>145.36000000000001</v>
      </c>
      <c r="H56" s="144" t="s">
        <v>730</v>
      </c>
      <c r="I56" s="145"/>
      <c r="J56" s="145"/>
      <c r="K56" s="146">
        <v>145.36000000000001</v>
      </c>
    </row>
    <row r="57" spans="1:11" s="147" customFormat="1" ht="11.25" customHeight="1" x14ac:dyDescent="0.2">
      <c r="A57" s="795" t="s">
        <v>9035</v>
      </c>
      <c r="B57" s="138">
        <v>43398</v>
      </c>
      <c r="C57" s="139" t="s">
        <v>9036</v>
      </c>
      <c r="D57" s="140" t="s">
        <v>9037</v>
      </c>
      <c r="E57" s="141" t="s">
        <v>8123</v>
      </c>
      <c r="F57" s="142" t="s">
        <v>8976</v>
      </c>
      <c r="G57" s="143">
        <v>148.36000000000001</v>
      </c>
      <c r="H57" s="144" t="s">
        <v>730</v>
      </c>
      <c r="I57" s="145"/>
      <c r="J57" s="145"/>
      <c r="K57" s="146">
        <v>148.36000000000001</v>
      </c>
    </row>
    <row r="58" spans="1:11" s="147" customFormat="1" ht="11.25" customHeight="1" x14ac:dyDescent="0.2">
      <c r="A58" s="795" t="s">
        <v>9035</v>
      </c>
      <c r="B58" s="138">
        <v>43398</v>
      </c>
      <c r="C58" s="139" t="s">
        <v>9041</v>
      </c>
      <c r="D58" s="140" t="s">
        <v>9042</v>
      </c>
      <c r="E58" s="141" t="s">
        <v>8123</v>
      </c>
      <c r="F58" s="142" t="s">
        <v>8976</v>
      </c>
      <c r="G58" s="143">
        <v>170.89</v>
      </c>
      <c r="H58" s="144" t="s">
        <v>730</v>
      </c>
      <c r="I58" s="145"/>
      <c r="J58" s="145"/>
      <c r="K58" s="146">
        <v>170.89</v>
      </c>
    </row>
    <row r="59" spans="1:11" s="147" customFormat="1" ht="11.25" customHeight="1" x14ac:dyDescent="0.2">
      <c r="A59" s="795" t="s">
        <v>9035</v>
      </c>
      <c r="B59" s="138">
        <v>43398</v>
      </c>
      <c r="C59" s="139" t="s">
        <v>9041</v>
      </c>
      <c r="D59" s="140" t="s">
        <v>9042</v>
      </c>
      <c r="E59" s="141" t="s">
        <v>8123</v>
      </c>
      <c r="F59" s="142" t="s">
        <v>8976</v>
      </c>
      <c r="G59" s="143">
        <v>180.4</v>
      </c>
      <c r="H59" s="144" t="s">
        <v>730</v>
      </c>
      <c r="I59" s="145"/>
      <c r="J59" s="145"/>
      <c r="K59" s="146">
        <v>180.4</v>
      </c>
    </row>
    <row r="60" spans="1:11" s="147" customFormat="1" ht="11.25" customHeight="1" x14ac:dyDescent="0.2">
      <c r="A60" s="795" t="s">
        <v>9035</v>
      </c>
      <c r="B60" s="138">
        <v>43398</v>
      </c>
      <c r="C60" s="139" t="s">
        <v>9041</v>
      </c>
      <c r="D60" s="140" t="s">
        <v>9042</v>
      </c>
      <c r="E60" s="141" t="s">
        <v>8123</v>
      </c>
      <c r="F60" s="142" t="s">
        <v>8976</v>
      </c>
      <c r="G60" s="143">
        <v>180.4</v>
      </c>
      <c r="H60" s="144" t="s">
        <v>730</v>
      </c>
      <c r="I60" s="145"/>
      <c r="J60" s="145"/>
      <c r="K60" s="146">
        <v>180.4</v>
      </c>
    </row>
    <row r="61" spans="1:11" s="147" customFormat="1" ht="11.25" customHeight="1" x14ac:dyDescent="0.2">
      <c r="A61" s="795" t="s">
        <v>9035</v>
      </c>
      <c r="B61" s="138">
        <v>43398</v>
      </c>
      <c r="C61" s="139" t="s">
        <v>9041</v>
      </c>
      <c r="D61" s="140" t="s">
        <v>9042</v>
      </c>
      <c r="E61" s="141" t="s">
        <v>8123</v>
      </c>
      <c r="F61" s="142" t="s">
        <v>8976</v>
      </c>
      <c r="G61" s="143">
        <v>193.21</v>
      </c>
      <c r="H61" s="144" t="s">
        <v>730</v>
      </c>
      <c r="I61" s="145"/>
      <c r="J61" s="145"/>
      <c r="K61" s="146">
        <v>193.21</v>
      </c>
    </row>
    <row r="62" spans="1:11" s="147" customFormat="1" ht="11.25" customHeight="1" x14ac:dyDescent="0.2">
      <c r="A62" s="795" t="s">
        <v>9035</v>
      </c>
      <c r="B62" s="138">
        <v>43398</v>
      </c>
      <c r="C62" s="139" t="s">
        <v>9036</v>
      </c>
      <c r="D62" s="140" t="s">
        <v>9043</v>
      </c>
      <c r="E62" s="141" t="s">
        <v>8123</v>
      </c>
      <c r="F62" s="142" t="s">
        <v>8082</v>
      </c>
      <c r="G62" s="143">
        <v>205.44</v>
      </c>
      <c r="H62" s="144" t="s">
        <v>730</v>
      </c>
      <c r="I62" s="145"/>
      <c r="J62" s="145"/>
      <c r="K62" s="146">
        <v>205.44</v>
      </c>
    </row>
    <row r="63" spans="1:11" s="147" customFormat="1" ht="11.25" customHeight="1" x14ac:dyDescent="0.2">
      <c r="A63" s="795" t="s">
        <v>9035</v>
      </c>
      <c r="B63" s="138">
        <v>43398</v>
      </c>
      <c r="C63" s="139" t="s">
        <v>9036</v>
      </c>
      <c r="D63" s="140" t="s">
        <v>9037</v>
      </c>
      <c r="E63" s="141" t="s">
        <v>8123</v>
      </c>
      <c r="F63" s="142" t="s">
        <v>8976</v>
      </c>
      <c r="G63" s="143">
        <v>212.42</v>
      </c>
      <c r="H63" s="144" t="s">
        <v>730</v>
      </c>
      <c r="I63" s="145"/>
      <c r="J63" s="145"/>
      <c r="K63" s="146">
        <v>212.42</v>
      </c>
    </row>
    <row r="64" spans="1:11" s="147" customFormat="1" ht="11.25" customHeight="1" x14ac:dyDescent="0.2">
      <c r="A64" s="795" t="s">
        <v>9035</v>
      </c>
      <c r="B64" s="138">
        <v>43398</v>
      </c>
      <c r="C64" s="139" t="s">
        <v>9036</v>
      </c>
      <c r="D64" s="140" t="s">
        <v>9043</v>
      </c>
      <c r="E64" s="141" t="s">
        <v>8123</v>
      </c>
      <c r="F64" s="142" t="s">
        <v>8082</v>
      </c>
      <c r="G64" s="143">
        <v>222.72</v>
      </c>
      <c r="H64" s="144" t="s">
        <v>730</v>
      </c>
      <c r="I64" s="145"/>
      <c r="J64" s="145"/>
      <c r="K64" s="146">
        <v>222.72</v>
      </c>
    </row>
    <row r="65" spans="1:11" s="147" customFormat="1" ht="11.25" customHeight="1" x14ac:dyDescent="0.2">
      <c r="A65" s="795" t="s">
        <v>9035</v>
      </c>
      <c r="B65" s="138">
        <v>43398</v>
      </c>
      <c r="C65" s="139" t="s">
        <v>9039</v>
      </c>
      <c r="D65" s="140" t="s">
        <v>9040</v>
      </c>
      <c r="E65" s="141" t="s">
        <v>8123</v>
      </c>
      <c r="F65" s="142" t="s">
        <v>8082</v>
      </c>
      <c r="G65" s="143">
        <v>255.84</v>
      </c>
      <c r="H65" s="144" t="s">
        <v>730</v>
      </c>
      <c r="I65" s="145"/>
      <c r="J65" s="145"/>
      <c r="K65" s="146">
        <v>255.84</v>
      </c>
    </row>
    <row r="66" spans="1:11" s="147" customFormat="1" ht="11.25" customHeight="1" x14ac:dyDescent="0.2">
      <c r="A66" s="795" t="s">
        <v>9035</v>
      </c>
      <c r="B66" s="138">
        <v>43398</v>
      </c>
      <c r="C66" s="139" t="s">
        <v>9036</v>
      </c>
      <c r="D66" s="140" t="s">
        <v>9038</v>
      </c>
      <c r="E66" s="141" t="s">
        <v>8123</v>
      </c>
      <c r="F66" s="142" t="s">
        <v>8082</v>
      </c>
      <c r="G66" s="143">
        <v>282.92</v>
      </c>
      <c r="H66" s="144" t="s">
        <v>730</v>
      </c>
      <c r="I66" s="145"/>
      <c r="J66" s="145"/>
      <c r="K66" s="146">
        <v>282.92</v>
      </c>
    </row>
    <row r="67" spans="1:11" s="147" customFormat="1" ht="11.25" customHeight="1" x14ac:dyDescent="0.2">
      <c r="A67" s="795" t="s">
        <v>9035</v>
      </c>
      <c r="B67" s="138">
        <v>43398</v>
      </c>
      <c r="C67" s="139" t="s">
        <v>9039</v>
      </c>
      <c r="D67" s="140" t="s">
        <v>9040</v>
      </c>
      <c r="E67" s="141" t="s">
        <v>8123</v>
      </c>
      <c r="F67" s="142" t="s">
        <v>8082</v>
      </c>
      <c r="G67" s="143">
        <v>288.49</v>
      </c>
      <c r="H67" s="144" t="s">
        <v>730</v>
      </c>
      <c r="I67" s="145"/>
      <c r="J67" s="145"/>
      <c r="K67" s="146">
        <v>288.49</v>
      </c>
    </row>
    <row r="68" spans="1:11" s="147" customFormat="1" ht="11.25" customHeight="1" x14ac:dyDescent="0.2">
      <c r="A68" s="795" t="s">
        <v>9035</v>
      </c>
      <c r="B68" s="138">
        <v>43398</v>
      </c>
      <c r="C68" s="139" t="s">
        <v>9036</v>
      </c>
      <c r="D68" s="140" t="s">
        <v>9043</v>
      </c>
      <c r="E68" s="141" t="s">
        <v>8123</v>
      </c>
      <c r="F68" s="142" t="s">
        <v>8082</v>
      </c>
      <c r="G68" s="143">
        <v>341.78</v>
      </c>
      <c r="H68" s="144" t="s">
        <v>730</v>
      </c>
      <c r="I68" s="145"/>
      <c r="J68" s="145"/>
      <c r="K68" s="146">
        <v>341.78</v>
      </c>
    </row>
    <row r="69" spans="1:11" s="147" customFormat="1" ht="11.25" customHeight="1" x14ac:dyDescent="0.2">
      <c r="A69" s="795" t="s">
        <v>9035</v>
      </c>
      <c r="B69" s="138">
        <v>43398</v>
      </c>
      <c r="C69" s="139" t="s">
        <v>9036</v>
      </c>
      <c r="D69" s="140" t="s">
        <v>9037</v>
      </c>
      <c r="E69" s="141" t="s">
        <v>8123</v>
      </c>
      <c r="F69" s="142" t="s">
        <v>8976</v>
      </c>
      <c r="G69" s="143">
        <v>369.88</v>
      </c>
      <c r="H69" s="144" t="s">
        <v>730</v>
      </c>
      <c r="I69" s="145"/>
      <c r="J69" s="145"/>
      <c r="K69" s="146">
        <v>369.88</v>
      </c>
    </row>
    <row r="70" spans="1:11" s="147" customFormat="1" ht="11.25" customHeight="1" x14ac:dyDescent="0.2">
      <c r="A70" s="795" t="s">
        <v>9035</v>
      </c>
      <c r="B70" s="138">
        <v>43398</v>
      </c>
      <c r="C70" s="139" t="s">
        <v>9039</v>
      </c>
      <c r="D70" s="140" t="s">
        <v>9040</v>
      </c>
      <c r="E70" s="141" t="s">
        <v>8123</v>
      </c>
      <c r="F70" s="142" t="s">
        <v>8082</v>
      </c>
      <c r="G70" s="143">
        <v>406.12</v>
      </c>
      <c r="H70" s="144" t="s">
        <v>730</v>
      </c>
      <c r="I70" s="145"/>
      <c r="J70" s="145"/>
      <c r="K70" s="146">
        <v>406.12</v>
      </c>
    </row>
    <row r="71" spans="1:11" s="147" customFormat="1" ht="11.25" customHeight="1" x14ac:dyDescent="0.2">
      <c r="A71" s="795" t="s">
        <v>9035</v>
      </c>
      <c r="B71" s="138">
        <v>43398</v>
      </c>
      <c r="C71" s="139" t="s">
        <v>9036</v>
      </c>
      <c r="D71" s="140" t="s">
        <v>9043</v>
      </c>
      <c r="E71" s="141" t="s">
        <v>8123</v>
      </c>
      <c r="F71" s="142" t="s">
        <v>8082</v>
      </c>
      <c r="G71" s="143">
        <v>451.01</v>
      </c>
      <c r="H71" s="144" t="s">
        <v>730</v>
      </c>
      <c r="I71" s="145"/>
      <c r="J71" s="145"/>
      <c r="K71" s="146">
        <v>451.01</v>
      </c>
    </row>
    <row r="72" spans="1:11" s="147" customFormat="1" ht="11.25" customHeight="1" x14ac:dyDescent="0.2">
      <c r="A72" s="795" t="s">
        <v>9035</v>
      </c>
      <c r="B72" s="138">
        <v>43398</v>
      </c>
      <c r="C72" s="139" t="s">
        <v>9036</v>
      </c>
      <c r="D72" s="140" t="s">
        <v>9043</v>
      </c>
      <c r="E72" s="141" t="s">
        <v>8123</v>
      </c>
      <c r="F72" s="142" t="s">
        <v>8082</v>
      </c>
      <c r="G72" s="143">
        <v>459.26</v>
      </c>
      <c r="H72" s="144" t="s">
        <v>730</v>
      </c>
      <c r="I72" s="145"/>
      <c r="J72" s="145"/>
      <c r="K72" s="146">
        <v>459.26</v>
      </c>
    </row>
    <row r="73" spans="1:11" s="147" customFormat="1" ht="11.25" customHeight="1" x14ac:dyDescent="0.2">
      <c r="A73" s="795" t="s">
        <v>9035</v>
      </c>
      <c r="B73" s="138">
        <v>43398</v>
      </c>
      <c r="C73" s="139" t="s">
        <v>9036</v>
      </c>
      <c r="D73" s="140" t="s">
        <v>9038</v>
      </c>
      <c r="E73" s="141" t="s">
        <v>8123</v>
      </c>
      <c r="F73" s="142" t="s">
        <v>8082</v>
      </c>
      <c r="G73" s="143">
        <v>513.38</v>
      </c>
      <c r="H73" s="144" t="s">
        <v>730</v>
      </c>
      <c r="I73" s="145"/>
      <c r="J73" s="145"/>
      <c r="K73" s="146">
        <v>513.38</v>
      </c>
    </row>
    <row r="74" spans="1:11" s="147" customFormat="1" ht="11.25" customHeight="1" x14ac:dyDescent="0.2">
      <c r="A74" s="795" t="s">
        <v>9035</v>
      </c>
      <c r="B74" s="138">
        <v>43398</v>
      </c>
      <c r="C74" s="139" t="s">
        <v>9036</v>
      </c>
      <c r="D74" s="140" t="s">
        <v>9037</v>
      </c>
      <c r="E74" s="141" t="s">
        <v>8123</v>
      </c>
      <c r="F74" s="142" t="s">
        <v>8976</v>
      </c>
      <c r="G74" s="143">
        <v>517.85</v>
      </c>
      <c r="H74" s="144" t="s">
        <v>730</v>
      </c>
      <c r="I74" s="145"/>
      <c r="J74" s="145"/>
      <c r="K74" s="146">
        <v>517.85</v>
      </c>
    </row>
    <row r="75" spans="1:11" s="147" customFormat="1" ht="11.25" customHeight="1" x14ac:dyDescent="0.2">
      <c r="A75" s="795" t="s">
        <v>9035</v>
      </c>
      <c r="B75" s="138">
        <v>43398</v>
      </c>
      <c r="C75" s="139" t="s">
        <v>9036</v>
      </c>
      <c r="D75" s="140" t="s">
        <v>9043</v>
      </c>
      <c r="E75" s="141" t="s">
        <v>8123</v>
      </c>
      <c r="F75" s="142" t="s">
        <v>8082</v>
      </c>
      <c r="G75" s="143">
        <v>530.70000000000005</v>
      </c>
      <c r="H75" s="144" t="s">
        <v>730</v>
      </c>
      <c r="I75" s="145"/>
      <c r="J75" s="145"/>
      <c r="K75" s="146">
        <v>530.70000000000005</v>
      </c>
    </row>
    <row r="76" spans="1:11" s="147" customFormat="1" ht="11.25" customHeight="1" x14ac:dyDescent="0.2">
      <c r="A76" s="795" t="s">
        <v>9035</v>
      </c>
      <c r="B76" s="138">
        <v>43398</v>
      </c>
      <c r="C76" s="139" t="s">
        <v>9036</v>
      </c>
      <c r="D76" s="140" t="s">
        <v>9043</v>
      </c>
      <c r="E76" s="141" t="s">
        <v>8123</v>
      </c>
      <c r="F76" s="142" t="s">
        <v>8082</v>
      </c>
      <c r="G76" s="143">
        <v>543.52</v>
      </c>
      <c r="H76" s="144" t="s">
        <v>730</v>
      </c>
      <c r="I76" s="145"/>
      <c r="J76" s="145"/>
      <c r="K76" s="146">
        <v>543.52</v>
      </c>
    </row>
    <row r="77" spans="1:11" s="147" customFormat="1" ht="11.25" customHeight="1" x14ac:dyDescent="0.2">
      <c r="A77" s="795" t="s">
        <v>9035</v>
      </c>
      <c r="B77" s="138">
        <v>43398</v>
      </c>
      <c r="C77" s="139" t="s">
        <v>9036</v>
      </c>
      <c r="D77" s="140" t="s">
        <v>9043</v>
      </c>
      <c r="E77" s="141" t="s">
        <v>8123</v>
      </c>
      <c r="F77" s="142" t="s">
        <v>8082</v>
      </c>
      <c r="G77" s="143">
        <v>589.51</v>
      </c>
      <c r="H77" s="144" t="s">
        <v>730</v>
      </c>
      <c r="I77" s="145"/>
      <c r="J77" s="145"/>
      <c r="K77" s="146">
        <v>589.51</v>
      </c>
    </row>
    <row r="78" spans="1:11" s="147" customFormat="1" ht="11.25" customHeight="1" x14ac:dyDescent="0.2">
      <c r="A78" s="795" t="s">
        <v>9035</v>
      </c>
      <c r="B78" s="138">
        <v>43398</v>
      </c>
      <c r="C78" s="139" t="s">
        <v>9041</v>
      </c>
      <c r="D78" s="140" t="s">
        <v>9042</v>
      </c>
      <c r="E78" s="141" t="s">
        <v>8123</v>
      </c>
      <c r="F78" s="142" t="s">
        <v>8976</v>
      </c>
      <c r="G78" s="143">
        <v>612.34</v>
      </c>
      <c r="H78" s="144" t="s">
        <v>730</v>
      </c>
      <c r="I78" s="145"/>
      <c r="J78" s="145"/>
      <c r="K78" s="146">
        <v>612.34</v>
      </c>
    </row>
    <row r="79" spans="1:11" s="147" customFormat="1" ht="11.25" customHeight="1" x14ac:dyDescent="0.2">
      <c r="A79" s="795" t="s">
        <v>9035</v>
      </c>
      <c r="B79" s="138">
        <v>43398</v>
      </c>
      <c r="C79" s="139" t="s">
        <v>9041</v>
      </c>
      <c r="D79" s="140" t="s">
        <v>9042</v>
      </c>
      <c r="E79" s="141" t="s">
        <v>8123</v>
      </c>
      <c r="F79" s="142" t="s">
        <v>8976</v>
      </c>
      <c r="G79" s="143">
        <v>633.36</v>
      </c>
      <c r="H79" s="144" t="s">
        <v>730</v>
      </c>
      <c r="I79" s="145"/>
      <c r="J79" s="145"/>
      <c r="K79" s="146">
        <v>633.36</v>
      </c>
    </row>
    <row r="80" spans="1:11" s="147" customFormat="1" ht="11.25" customHeight="1" x14ac:dyDescent="0.2">
      <c r="A80" s="795" t="s">
        <v>9035</v>
      </c>
      <c r="B80" s="138">
        <v>43398</v>
      </c>
      <c r="C80" s="139" t="s">
        <v>9039</v>
      </c>
      <c r="D80" s="140" t="s">
        <v>9040</v>
      </c>
      <c r="E80" s="141" t="s">
        <v>8123</v>
      </c>
      <c r="F80" s="142" t="s">
        <v>8082</v>
      </c>
      <c r="G80" s="143">
        <v>639.94000000000005</v>
      </c>
      <c r="H80" s="144" t="s">
        <v>730</v>
      </c>
      <c r="I80" s="145"/>
      <c r="J80" s="145"/>
      <c r="K80" s="146">
        <v>639.94000000000005</v>
      </c>
    </row>
    <row r="81" spans="1:11" s="147" customFormat="1" ht="11.25" customHeight="1" x14ac:dyDescent="0.2">
      <c r="A81" s="795" t="s">
        <v>9035</v>
      </c>
      <c r="B81" s="138">
        <v>43398</v>
      </c>
      <c r="C81" s="139" t="s">
        <v>9039</v>
      </c>
      <c r="D81" s="140" t="s">
        <v>9040</v>
      </c>
      <c r="E81" s="141" t="s">
        <v>8123</v>
      </c>
      <c r="F81" s="142" t="s">
        <v>8082</v>
      </c>
      <c r="G81" s="143">
        <v>640.20000000000005</v>
      </c>
      <c r="H81" s="144" t="s">
        <v>730</v>
      </c>
      <c r="I81" s="145"/>
      <c r="J81" s="145"/>
      <c r="K81" s="146">
        <v>640.20000000000005</v>
      </c>
    </row>
    <row r="82" spans="1:11" s="147" customFormat="1" ht="11.25" customHeight="1" x14ac:dyDescent="0.2">
      <c r="A82" s="795" t="s">
        <v>9035</v>
      </c>
      <c r="B82" s="138">
        <v>43398</v>
      </c>
      <c r="C82" s="139" t="s">
        <v>9039</v>
      </c>
      <c r="D82" s="140" t="s">
        <v>9044</v>
      </c>
      <c r="E82" s="141" t="s">
        <v>8123</v>
      </c>
      <c r="F82" s="142" t="s">
        <v>8976</v>
      </c>
      <c r="G82" s="143">
        <v>757.11</v>
      </c>
      <c r="H82" s="144" t="s">
        <v>730</v>
      </c>
      <c r="I82" s="145"/>
      <c r="J82" s="145"/>
      <c r="K82" s="146">
        <v>757.11</v>
      </c>
    </row>
    <row r="83" spans="1:11" s="147" customFormat="1" ht="11.25" customHeight="1" x14ac:dyDescent="0.2">
      <c r="A83" s="795" t="s">
        <v>9035</v>
      </c>
      <c r="B83" s="138">
        <v>43398</v>
      </c>
      <c r="C83" s="139" t="s">
        <v>9041</v>
      </c>
      <c r="D83" s="140" t="s">
        <v>9042</v>
      </c>
      <c r="E83" s="141" t="s">
        <v>8123</v>
      </c>
      <c r="F83" s="142" t="s">
        <v>8976</v>
      </c>
      <c r="G83" s="143">
        <v>1228.79</v>
      </c>
      <c r="H83" s="144" t="s">
        <v>730</v>
      </c>
      <c r="I83" s="145"/>
      <c r="J83" s="145"/>
      <c r="K83" s="146">
        <v>1228.79</v>
      </c>
    </row>
    <row r="84" spans="1:11" s="147" customFormat="1" ht="11.25" customHeight="1" x14ac:dyDescent="0.2">
      <c r="A84" s="795" t="s">
        <v>9035</v>
      </c>
      <c r="B84" s="138">
        <v>43398</v>
      </c>
      <c r="C84" s="139" t="s">
        <v>9041</v>
      </c>
      <c r="D84" s="140" t="s">
        <v>9042</v>
      </c>
      <c r="E84" s="141" t="s">
        <v>8123</v>
      </c>
      <c r="F84" s="142" t="s">
        <v>8976</v>
      </c>
      <c r="G84" s="143">
        <v>1907.27</v>
      </c>
      <c r="H84" s="144" t="s">
        <v>730</v>
      </c>
      <c r="I84" s="145"/>
      <c r="J84" s="145"/>
      <c r="K84" s="146">
        <v>1907.27</v>
      </c>
    </row>
    <row r="85" spans="1:11" s="147" customFormat="1" ht="11.25" customHeight="1" x14ac:dyDescent="0.2">
      <c r="A85" s="795" t="s">
        <v>9035</v>
      </c>
      <c r="B85" s="138">
        <v>43398</v>
      </c>
      <c r="C85" s="139" t="s">
        <v>9039</v>
      </c>
      <c r="D85" s="140" t="s">
        <v>9040</v>
      </c>
      <c r="E85" s="141" t="s">
        <v>8123</v>
      </c>
      <c r="F85" s="142" t="s">
        <v>8082</v>
      </c>
      <c r="G85" s="143">
        <v>1907.27</v>
      </c>
      <c r="H85" s="144" t="s">
        <v>730</v>
      </c>
      <c r="I85" s="145"/>
      <c r="J85" s="145"/>
      <c r="K85" s="146">
        <v>1907.27</v>
      </c>
    </row>
    <row r="86" spans="1:11" s="147" customFormat="1" ht="11.25" customHeight="1" x14ac:dyDescent="0.2">
      <c r="A86" s="795" t="s">
        <v>9035</v>
      </c>
      <c r="B86" s="138">
        <v>43398</v>
      </c>
      <c r="C86" s="139" t="s">
        <v>9039</v>
      </c>
      <c r="D86" s="140" t="s">
        <v>9040</v>
      </c>
      <c r="E86" s="141" t="s">
        <v>8123</v>
      </c>
      <c r="F86" s="142" t="s">
        <v>8082</v>
      </c>
      <c r="G86" s="143">
        <v>2457.58</v>
      </c>
      <c r="H86" s="144" t="s">
        <v>730</v>
      </c>
      <c r="I86" s="145"/>
      <c r="J86" s="145"/>
      <c r="K86" s="146">
        <v>2457.58</v>
      </c>
    </row>
    <row r="87" spans="1:11" s="147" customFormat="1" ht="11.25" customHeight="1" x14ac:dyDescent="0.2">
      <c r="A87" s="795" t="s">
        <v>9045</v>
      </c>
      <c r="B87" s="138">
        <v>43398</v>
      </c>
      <c r="C87" s="139" t="s">
        <v>7970</v>
      </c>
      <c r="D87" s="140" t="s">
        <v>9046</v>
      </c>
      <c r="E87" s="141" t="s">
        <v>8136</v>
      </c>
      <c r="F87" s="142" t="s">
        <v>9047</v>
      </c>
      <c r="G87" s="143">
        <v>26.22</v>
      </c>
      <c r="H87" s="144" t="s">
        <v>730</v>
      </c>
      <c r="I87" s="145"/>
      <c r="J87" s="145"/>
      <c r="K87" s="146">
        <v>26.22</v>
      </c>
    </row>
    <row r="88" spans="1:11" s="147" customFormat="1" ht="11.25" customHeight="1" x14ac:dyDescent="0.2">
      <c r="A88" s="795" t="s">
        <v>9045</v>
      </c>
      <c r="B88" s="138">
        <v>43398</v>
      </c>
      <c r="C88" s="139" t="s">
        <v>7970</v>
      </c>
      <c r="D88" s="140" t="s">
        <v>9046</v>
      </c>
      <c r="E88" s="141" t="s">
        <v>8136</v>
      </c>
      <c r="F88" s="142" t="s">
        <v>9047</v>
      </c>
      <c r="G88" s="143">
        <v>27.02</v>
      </c>
      <c r="H88" s="144" t="s">
        <v>730</v>
      </c>
      <c r="I88" s="145"/>
      <c r="J88" s="145"/>
      <c r="K88" s="146">
        <v>27.02</v>
      </c>
    </row>
    <row r="89" spans="1:11" s="147" customFormat="1" ht="11.25" customHeight="1" x14ac:dyDescent="0.2">
      <c r="A89" s="795" t="s">
        <v>9045</v>
      </c>
      <c r="B89" s="138">
        <v>43398</v>
      </c>
      <c r="C89" s="139" t="s">
        <v>7970</v>
      </c>
      <c r="D89" s="140" t="s">
        <v>9046</v>
      </c>
      <c r="E89" s="141" t="s">
        <v>8136</v>
      </c>
      <c r="F89" s="142" t="s">
        <v>9047</v>
      </c>
      <c r="G89" s="143">
        <v>53.36</v>
      </c>
      <c r="H89" s="144" t="s">
        <v>730</v>
      </c>
      <c r="I89" s="145"/>
      <c r="J89" s="145"/>
      <c r="K89" s="146">
        <v>53.36</v>
      </c>
    </row>
    <row r="90" spans="1:11" s="147" customFormat="1" ht="11.25" customHeight="1" x14ac:dyDescent="0.2">
      <c r="A90" s="795" t="s">
        <v>9045</v>
      </c>
      <c r="B90" s="138">
        <v>43398</v>
      </c>
      <c r="C90" s="139" t="s">
        <v>7970</v>
      </c>
      <c r="D90" s="140" t="s">
        <v>9046</v>
      </c>
      <c r="E90" s="141" t="s">
        <v>8136</v>
      </c>
      <c r="F90" s="142" t="s">
        <v>9047</v>
      </c>
      <c r="G90" s="143">
        <v>55.15</v>
      </c>
      <c r="H90" s="144" t="s">
        <v>730</v>
      </c>
      <c r="I90" s="145"/>
      <c r="J90" s="145"/>
      <c r="K90" s="146">
        <v>55.15</v>
      </c>
    </row>
    <row r="91" spans="1:11" s="147" customFormat="1" ht="11.25" customHeight="1" x14ac:dyDescent="0.2">
      <c r="A91" s="795" t="s">
        <v>9045</v>
      </c>
      <c r="B91" s="138">
        <v>43398</v>
      </c>
      <c r="C91" s="139" t="s">
        <v>7970</v>
      </c>
      <c r="D91" s="140" t="s">
        <v>9046</v>
      </c>
      <c r="E91" s="141" t="s">
        <v>8136</v>
      </c>
      <c r="F91" s="142" t="s">
        <v>9047</v>
      </c>
      <c r="G91" s="143">
        <v>79.66</v>
      </c>
      <c r="H91" s="144" t="s">
        <v>730</v>
      </c>
      <c r="I91" s="145"/>
      <c r="J91" s="145"/>
      <c r="K91" s="146">
        <v>79.66</v>
      </c>
    </row>
    <row r="92" spans="1:11" s="147" customFormat="1" ht="11.25" customHeight="1" x14ac:dyDescent="0.2">
      <c r="A92" s="795" t="s">
        <v>9045</v>
      </c>
      <c r="B92" s="138">
        <v>43398</v>
      </c>
      <c r="C92" s="139" t="s">
        <v>7970</v>
      </c>
      <c r="D92" s="140" t="s">
        <v>9046</v>
      </c>
      <c r="E92" s="141" t="s">
        <v>8136</v>
      </c>
      <c r="F92" s="142" t="s">
        <v>9047</v>
      </c>
      <c r="G92" s="143">
        <v>212.47</v>
      </c>
      <c r="H92" s="144" t="s">
        <v>730</v>
      </c>
      <c r="I92" s="145"/>
      <c r="J92" s="145"/>
      <c r="K92" s="146">
        <v>212.47</v>
      </c>
    </row>
    <row r="93" spans="1:11" s="147" customFormat="1" ht="11.25" customHeight="1" x14ac:dyDescent="0.2">
      <c r="A93" s="795" t="s">
        <v>9048</v>
      </c>
      <c r="B93" s="138">
        <v>43398</v>
      </c>
      <c r="C93" s="139" t="s">
        <v>9049</v>
      </c>
      <c r="D93" s="140" t="s">
        <v>9050</v>
      </c>
      <c r="E93" s="141" t="s">
        <v>8138</v>
      </c>
      <c r="F93" s="142" t="s">
        <v>9051</v>
      </c>
      <c r="G93" s="143">
        <v>124.97</v>
      </c>
      <c r="H93" s="144" t="s">
        <v>730</v>
      </c>
      <c r="I93" s="145"/>
      <c r="J93" s="145"/>
      <c r="K93" s="146">
        <v>124.97</v>
      </c>
    </row>
    <row r="94" spans="1:11" s="147" customFormat="1" ht="11.25" customHeight="1" x14ac:dyDescent="0.2">
      <c r="A94" s="795" t="s">
        <v>9048</v>
      </c>
      <c r="B94" s="138">
        <v>43398</v>
      </c>
      <c r="C94" s="139" t="s">
        <v>9049</v>
      </c>
      <c r="D94" s="140" t="s">
        <v>9052</v>
      </c>
      <c r="E94" s="141" t="s">
        <v>8138</v>
      </c>
      <c r="F94" s="142" t="s">
        <v>9053</v>
      </c>
      <c r="G94" s="143">
        <v>925.61</v>
      </c>
      <c r="H94" s="144" t="s">
        <v>730</v>
      </c>
      <c r="I94" s="145"/>
      <c r="J94" s="145"/>
      <c r="K94" s="146">
        <v>925.61</v>
      </c>
    </row>
    <row r="95" spans="1:11" s="147" customFormat="1" ht="11.25" customHeight="1" x14ac:dyDescent="0.2">
      <c r="A95" s="795" t="s">
        <v>9048</v>
      </c>
      <c r="B95" s="138">
        <v>43398</v>
      </c>
      <c r="C95" s="139" t="s">
        <v>9049</v>
      </c>
      <c r="D95" s="140" t="s">
        <v>9054</v>
      </c>
      <c r="E95" s="141" t="s">
        <v>8138</v>
      </c>
      <c r="F95" s="142" t="s">
        <v>8094</v>
      </c>
      <c r="G95" s="143">
        <v>956.26</v>
      </c>
      <c r="H95" s="144" t="s">
        <v>730</v>
      </c>
      <c r="I95" s="145"/>
      <c r="J95" s="145"/>
      <c r="K95" s="146">
        <v>956.26</v>
      </c>
    </row>
    <row r="96" spans="1:11" s="147" customFormat="1" ht="11.25" customHeight="1" x14ac:dyDescent="0.2">
      <c r="A96" s="795" t="s">
        <v>9055</v>
      </c>
      <c r="B96" s="138">
        <v>43398</v>
      </c>
      <c r="C96" s="139" t="s">
        <v>9056</v>
      </c>
      <c r="D96" s="140" t="s">
        <v>9057</v>
      </c>
      <c r="E96" s="141" t="s">
        <v>8162</v>
      </c>
      <c r="F96" s="142" t="s">
        <v>9058</v>
      </c>
      <c r="G96" s="143">
        <v>1100</v>
      </c>
      <c r="H96" s="144" t="s">
        <v>730</v>
      </c>
      <c r="I96" s="145"/>
      <c r="J96" s="145"/>
      <c r="K96" s="146">
        <v>1100</v>
      </c>
    </row>
    <row r="97" spans="1:11" s="147" customFormat="1" ht="11.25" customHeight="1" x14ac:dyDescent="0.2">
      <c r="A97" s="795" t="s">
        <v>9059</v>
      </c>
      <c r="B97" s="138">
        <v>43404</v>
      </c>
      <c r="C97" s="139" t="s">
        <v>8181</v>
      </c>
      <c r="D97" s="140" t="s">
        <v>9060</v>
      </c>
      <c r="E97" s="141" t="s">
        <v>8141</v>
      </c>
      <c r="F97" s="142" t="s">
        <v>8140</v>
      </c>
      <c r="G97" s="143">
        <v>55</v>
      </c>
      <c r="H97" s="144" t="s">
        <v>730</v>
      </c>
      <c r="I97" s="145"/>
      <c r="J97" s="145"/>
      <c r="K97" s="146">
        <v>55</v>
      </c>
    </row>
    <row r="98" spans="1:11" s="147" customFormat="1" ht="11.25" customHeight="1" x14ac:dyDescent="0.2">
      <c r="A98" s="795" t="s">
        <v>9059</v>
      </c>
      <c r="B98" s="138">
        <v>43404</v>
      </c>
      <c r="C98" s="139" t="s">
        <v>8181</v>
      </c>
      <c r="D98" s="140" t="s">
        <v>9061</v>
      </c>
      <c r="E98" s="141" t="s">
        <v>8141</v>
      </c>
      <c r="F98" s="142" t="s">
        <v>9051</v>
      </c>
      <c r="G98" s="143">
        <v>200</v>
      </c>
      <c r="H98" s="144" t="s">
        <v>730</v>
      </c>
      <c r="I98" s="145"/>
      <c r="J98" s="145"/>
      <c r="K98" s="146">
        <v>200</v>
      </c>
    </row>
    <row r="99" spans="1:11" s="147" customFormat="1" ht="11.25" customHeight="1" x14ac:dyDescent="0.2">
      <c r="A99" s="795" t="s">
        <v>9059</v>
      </c>
      <c r="B99" s="138">
        <v>43404</v>
      </c>
      <c r="C99" s="139" t="s">
        <v>8181</v>
      </c>
      <c r="D99" s="140" t="s">
        <v>9062</v>
      </c>
      <c r="E99" s="141" t="s">
        <v>8141</v>
      </c>
      <c r="F99" s="142" t="s">
        <v>8142</v>
      </c>
      <c r="G99" s="143">
        <v>275</v>
      </c>
      <c r="H99" s="144" t="s">
        <v>730</v>
      </c>
      <c r="I99" s="145"/>
      <c r="J99" s="145"/>
      <c r="K99" s="146">
        <v>275</v>
      </c>
    </row>
    <row r="100" spans="1:11" s="147" customFormat="1" ht="11.25" customHeight="1" x14ac:dyDescent="0.2">
      <c r="A100" s="795" t="s">
        <v>9059</v>
      </c>
      <c r="B100" s="138">
        <v>43404</v>
      </c>
      <c r="C100" s="139" t="s">
        <v>8181</v>
      </c>
      <c r="D100" s="140" t="s">
        <v>9060</v>
      </c>
      <c r="E100" s="141" t="s">
        <v>8141</v>
      </c>
      <c r="F100" s="142" t="s">
        <v>8140</v>
      </c>
      <c r="G100" s="143">
        <v>525</v>
      </c>
      <c r="H100" s="144" t="s">
        <v>730</v>
      </c>
      <c r="I100" s="145"/>
      <c r="J100" s="145"/>
      <c r="K100" s="146">
        <v>525</v>
      </c>
    </row>
    <row r="101" spans="1:11" s="147" customFormat="1" ht="11.25" customHeight="1" x14ac:dyDescent="0.2">
      <c r="A101" s="795" t="s">
        <v>9059</v>
      </c>
      <c r="B101" s="138">
        <v>43404</v>
      </c>
      <c r="C101" s="139" t="s">
        <v>8181</v>
      </c>
      <c r="D101" s="140" t="s">
        <v>9061</v>
      </c>
      <c r="E101" s="141" t="s">
        <v>8141</v>
      </c>
      <c r="F101" s="142" t="s">
        <v>9051</v>
      </c>
      <c r="G101" s="143">
        <v>2000</v>
      </c>
      <c r="H101" s="144" t="s">
        <v>730</v>
      </c>
      <c r="I101" s="145"/>
      <c r="J101" s="145"/>
      <c r="K101" s="146">
        <v>2000</v>
      </c>
    </row>
    <row r="102" spans="1:11" s="147" customFormat="1" ht="11.25" customHeight="1" x14ac:dyDescent="0.2">
      <c r="A102" s="795" t="s">
        <v>9063</v>
      </c>
      <c r="B102" s="138">
        <v>43404</v>
      </c>
      <c r="C102" s="139" t="s">
        <v>8180</v>
      </c>
      <c r="D102" s="140" t="s">
        <v>9064</v>
      </c>
      <c r="E102" s="141" t="s">
        <v>8172</v>
      </c>
      <c r="F102" s="142" t="s">
        <v>9065</v>
      </c>
      <c r="G102" s="143">
        <v>243.6</v>
      </c>
      <c r="H102" s="144" t="s">
        <v>730</v>
      </c>
      <c r="I102" s="145"/>
      <c r="J102" s="145"/>
      <c r="K102" s="146">
        <v>243.6</v>
      </c>
    </row>
    <row r="103" spans="1:11" s="147" customFormat="1" ht="11.25" customHeight="1" x14ac:dyDescent="0.2">
      <c r="A103" s="795" t="s">
        <v>9063</v>
      </c>
      <c r="B103" s="138">
        <v>43404</v>
      </c>
      <c r="C103" s="139" t="s">
        <v>8180</v>
      </c>
      <c r="D103" s="140" t="s">
        <v>9064</v>
      </c>
      <c r="E103" s="141" t="s">
        <v>8172</v>
      </c>
      <c r="F103" s="142" t="s">
        <v>9065</v>
      </c>
      <c r="G103" s="143">
        <v>1305</v>
      </c>
      <c r="H103" s="144" t="s">
        <v>730</v>
      </c>
      <c r="I103" s="145"/>
      <c r="J103" s="145"/>
      <c r="K103" s="146">
        <v>1305</v>
      </c>
    </row>
    <row r="104" spans="1:11" s="147" customFormat="1" ht="11.25" customHeight="1" x14ac:dyDescent="0.2">
      <c r="A104" s="795" t="s">
        <v>9063</v>
      </c>
      <c r="B104" s="138">
        <v>43404</v>
      </c>
      <c r="C104" s="139" t="s">
        <v>8180</v>
      </c>
      <c r="D104" s="140" t="s">
        <v>9066</v>
      </c>
      <c r="E104" s="141" t="s">
        <v>8172</v>
      </c>
      <c r="F104" s="142" t="s">
        <v>9065</v>
      </c>
      <c r="G104" s="143">
        <v>1624</v>
      </c>
      <c r="H104" s="144" t="s">
        <v>730</v>
      </c>
      <c r="I104" s="145"/>
      <c r="J104" s="145"/>
      <c r="K104" s="146">
        <v>1624</v>
      </c>
    </row>
    <row r="105" spans="1:11" s="147" customFormat="1" ht="11.25" customHeight="1" x14ac:dyDescent="0.2">
      <c r="A105" s="795" t="s">
        <v>9063</v>
      </c>
      <c r="B105" s="138">
        <v>43404</v>
      </c>
      <c r="C105" s="139" t="s">
        <v>8180</v>
      </c>
      <c r="D105" s="140" t="s">
        <v>9067</v>
      </c>
      <c r="E105" s="141" t="s">
        <v>8172</v>
      </c>
      <c r="F105" s="142" t="s">
        <v>9068</v>
      </c>
      <c r="G105" s="143">
        <v>1995.2</v>
      </c>
      <c r="H105" s="144" t="s">
        <v>730</v>
      </c>
      <c r="I105" s="145"/>
      <c r="J105" s="145"/>
      <c r="K105" s="146">
        <v>1995.2</v>
      </c>
    </row>
    <row r="106" spans="1:11" s="147" customFormat="1" ht="11.25" customHeight="1" x14ac:dyDescent="0.2">
      <c r="A106" s="795" t="s">
        <v>9063</v>
      </c>
      <c r="B106" s="138">
        <v>43404</v>
      </c>
      <c r="C106" s="139" t="s">
        <v>8180</v>
      </c>
      <c r="D106" s="140" t="s">
        <v>9064</v>
      </c>
      <c r="E106" s="141" t="s">
        <v>8172</v>
      </c>
      <c r="F106" s="142" t="s">
        <v>9065</v>
      </c>
      <c r="G106" s="143">
        <v>2505.6</v>
      </c>
      <c r="H106" s="144" t="s">
        <v>730</v>
      </c>
      <c r="I106" s="145"/>
      <c r="J106" s="145"/>
      <c r="K106" s="146">
        <v>2505.6</v>
      </c>
    </row>
    <row r="107" spans="1:11" s="147" customFormat="1" ht="11.25" customHeight="1" x14ac:dyDescent="0.2">
      <c r="A107" s="795" t="s">
        <v>9063</v>
      </c>
      <c r="B107" s="138">
        <v>43404</v>
      </c>
      <c r="C107" s="139" t="s">
        <v>8180</v>
      </c>
      <c r="D107" s="140" t="s">
        <v>9066</v>
      </c>
      <c r="E107" s="141" t="s">
        <v>8172</v>
      </c>
      <c r="F107" s="142" t="s">
        <v>9065</v>
      </c>
      <c r="G107" s="143">
        <v>4176</v>
      </c>
      <c r="H107" s="144" t="s">
        <v>730</v>
      </c>
      <c r="I107" s="145"/>
      <c r="J107" s="145"/>
      <c r="K107" s="146">
        <v>4176</v>
      </c>
    </row>
    <row r="108" spans="1:11" s="147" customFormat="1" ht="11.25" customHeight="1" x14ac:dyDescent="0.2">
      <c r="A108" s="795" t="s">
        <v>9063</v>
      </c>
      <c r="B108" s="138">
        <v>43404</v>
      </c>
      <c r="C108" s="139" t="s">
        <v>8180</v>
      </c>
      <c r="D108" s="140" t="s">
        <v>9069</v>
      </c>
      <c r="E108" s="141" t="s">
        <v>8172</v>
      </c>
      <c r="F108" s="142" t="s">
        <v>9065</v>
      </c>
      <c r="G108" s="143">
        <v>5220</v>
      </c>
      <c r="H108" s="144" t="s">
        <v>730</v>
      </c>
      <c r="I108" s="145"/>
      <c r="J108" s="145"/>
      <c r="K108" s="146">
        <v>5220</v>
      </c>
    </row>
    <row r="109" spans="1:11" s="147" customFormat="1" ht="11.25" customHeight="1" x14ac:dyDescent="0.2">
      <c r="A109" s="795" t="s">
        <v>9059</v>
      </c>
      <c r="B109" s="138">
        <v>43406</v>
      </c>
      <c r="C109" s="139" t="s">
        <v>9070</v>
      </c>
      <c r="D109" s="140" t="s">
        <v>9071</v>
      </c>
      <c r="E109" s="141" t="s">
        <v>8141</v>
      </c>
      <c r="F109" s="142" t="s">
        <v>9051</v>
      </c>
      <c r="G109" s="143">
        <v>30</v>
      </c>
      <c r="H109" s="144" t="s">
        <v>730</v>
      </c>
      <c r="I109" s="145"/>
      <c r="J109" s="145"/>
      <c r="K109" s="146">
        <v>30</v>
      </c>
    </row>
    <row r="110" spans="1:11" s="147" customFormat="1" ht="11.25" customHeight="1" x14ac:dyDescent="0.2">
      <c r="A110" s="795" t="s">
        <v>9059</v>
      </c>
      <c r="B110" s="138">
        <v>43406</v>
      </c>
      <c r="C110" s="139" t="s">
        <v>9070</v>
      </c>
      <c r="D110" s="140" t="s">
        <v>9072</v>
      </c>
      <c r="E110" s="141" t="s">
        <v>8141</v>
      </c>
      <c r="F110" s="142" t="s">
        <v>9051</v>
      </c>
      <c r="G110" s="143">
        <v>200</v>
      </c>
      <c r="H110" s="144" t="s">
        <v>730</v>
      </c>
      <c r="I110" s="145"/>
      <c r="J110" s="145"/>
      <c r="K110" s="146">
        <v>200</v>
      </c>
    </row>
    <row r="111" spans="1:11" s="147" customFormat="1" ht="11.25" customHeight="1" x14ac:dyDescent="0.2">
      <c r="A111" s="795" t="s">
        <v>9059</v>
      </c>
      <c r="B111" s="138">
        <v>43406</v>
      </c>
      <c r="C111" s="139" t="s">
        <v>9070</v>
      </c>
      <c r="D111" s="140" t="s">
        <v>9072</v>
      </c>
      <c r="E111" s="141" t="s">
        <v>8141</v>
      </c>
      <c r="F111" s="142" t="s">
        <v>9051</v>
      </c>
      <c r="G111" s="143">
        <v>500</v>
      </c>
      <c r="H111" s="144" t="s">
        <v>730</v>
      </c>
      <c r="I111" s="145"/>
      <c r="J111" s="145"/>
      <c r="K111" s="146">
        <v>500</v>
      </c>
    </row>
    <row r="112" spans="1:11" s="147" customFormat="1" ht="11.25" customHeight="1" x14ac:dyDescent="0.2">
      <c r="A112" s="795" t="s">
        <v>9059</v>
      </c>
      <c r="B112" s="138">
        <v>43406</v>
      </c>
      <c r="C112" s="139" t="s">
        <v>9070</v>
      </c>
      <c r="D112" s="140" t="s">
        <v>9071</v>
      </c>
      <c r="E112" s="141" t="s">
        <v>8141</v>
      </c>
      <c r="F112" s="142" t="s">
        <v>9051</v>
      </c>
      <c r="G112" s="143">
        <v>500</v>
      </c>
      <c r="H112" s="144" t="s">
        <v>730</v>
      </c>
      <c r="I112" s="145"/>
      <c r="J112" s="145"/>
      <c r="K112" s="146">
        <v>500</v>
      </c>
    </row>
    <row r="113" spans="1:11" s="147" customFormat="1" ht="11.25" customHeight="1" x14ac:dyDescent="0.2">
      <c r="A113" s="795" t="s">
        <v>9073</v>
      </c>
      <c r="B113" s="138">
        <v>43411</v>
      </c>
      <c r="C113" s="139" t="s">
        <v>9074</v>
      </c>
      <c r="D113" s="140" t="s">
        <v>9075</v>
      </c>
      <c r="E113" s="141" t="s">
        <v>8093</v>
      </c>
      <c r="F113" s="142" t="s">
        <v>9068</v>
      </c>
      <c r="G113" s="143">
        <v>232</v>
      </c>
      <c r="H113" s="144" t="s">
        <v>730</v>
      </c>
      <c r="I113" s="145"/>
      <c r="J113" s="145"/>
      <c r="K113" s="146">
        <v>232</v>
      </c>
    </row>
    <row r="114" spans="1:11" s="147" customFormat="1" ht="11.25" customHeight="1" x14ac:dyDescent="0.2">
      <c r="A114" s="795" t="s">
        <v>9073</v>
      </c>
      <c r="B114" s="138">
        <v>43411</v>
      </c>
      <c r="C114" s="139" t="s">
        <v>9074</v>
      </c>
      <c r="D114" s="140" t="s">
        <v>9075</v>
      </c>
      <c r="E114" s="141" t="s">
        <v>8093</v>
      </c>
      <c r="F114" s="142" t="s">
        <v>9068</v>
      </c>
      <c r="G114" s="143">
        <v>696</v>
      </c>
      <c r="H114" s="144" t="s">
        <v>730</v>
      </c>
      <c r="I114" s="145"/>
      <c r="J114" s="145"/>
      <c r="K114" s="146">
        <v>696</v>
      </c>
    </row>
    <row r="115" spans="1:11" s="147" customFormat="1" ht="11.25" customHeight="1" x14ac:dyDescent="0.2">
      <c r="A115" s="795" t="s">
        <v>9073</v>
      </c>
      <c r="B115" s="138">
        <v>43411</v>
      </c>
      <c r="C115" s="139" t="s">
        <v>9074</v>
      </c>
      <c r="D115" s="140" t="s">
        <v>9075</v>
      </c>
      <c r="E115" s="141" t="s">
        <v>8093</v>
      </c>
      <c r="F115" s="142" t="s">
        <v>9068</v>
      </c>
      <c r="G115" s="143">
        <v>870</v>
      </c>
      <c r="H115" s="144" t="s">
        <v>730</v>
      </c>
      <c r="I115" s="145"/>
      <c r="J115" s="145"/>
      <c r="K115" s="146">
        <v>870</v>
      </c>
    </row>
    <row r="116" spans="1:11" s="147" customFormat="1" ht="11.25" customHeight="1" x14ac:dyDescent="0.2">
      <c r="A116" s="795" t="s">
        <v>9073</v>
      </c>
      <c r="B116" s="138">
        <v>43411</v>
      </c>
      <c r="C116" s="139" t="s">
        <v>9074</v>
      </c>
      <c r="D116" s="140" t="s">
        <v>9076</v>
      </c>
      <c r="E116" s="141" t="s">
        <v>8093</v>
      </c>
      <c r="F116" s="142" t="s">
        <v>9077</v>
      </c>
      <c r="G116" s="143">
        <v>928</v>
      </c>
      <c r="H116" s="144" t="s">
        <v>730</v>
      </c>
      <c r="I116" s="145"/>
      <c r="J116" s="145"/>
      <c r="K116" s="146">
        <v>928</v>
      </c>
    </row>
    <row r="117" spans="1:11" s="147" customFormat="1" ht="11.25" customHeight="1" x14ac:dyDescent="0.2">
      <c r="A117" s="795" t="s">
        <v>9073</v>
      </c>
      <c r="B117" s="138">
        <v>43411</v>
      </c>
      <c r="C117" s="139" t="s">
        <v>9074</v>
      </c>
      <c r="D117" s="140" t="s">
        <v>9078</v>
      </c>
      <c r="E117" s="141" t="s">
        <v>8093</v>
      </c>
      <c r="F117" s="142" t="s">
        <v>9079</v>
      </c>
      <c r="G117" s="143">
        <v>1015</v>
      </c>
      <c r="H117" s="144" t="s">
        <v>730</v>
      </c>
      <c r="I117" s="145"/>
      <c r="J117" s="145"/>
      <c r="K117" s="146">
        <v>1015</v>
      </c>
    </row>
    <row r="118" spans="1:11" s="147" customFormat="1" ht="11.25" customHeight="1" x14ac:dyDescent="0.2">
      <c r="A118" s="795" t="s">
        <v>9073</v>
      </c>
      <c r="B118" s="138">
        <v>43411</v>
      </c>
      <c r="C118" s="139" t="s">
        <v>9074</v>
      </c>
      <c r="D118" s="140" t="s">
        <v>9080</v>
      </c>
      <c r="E118" s="141" t="s">
        <v>8093</v>
      </c>
      <c r="F118" s="142" t="s">
        <v>9081</v>
      </c>
      <c r="G118" s="143">
        <v>1044</v>
      </c>
      <c r="H118" s="144" t="s">
        <v>730</v>
      </c>
      <c r="I118" s="145"/>
      <c r="J118" s="145"/>
      <c r="K118" s="146">
        <v>1044</v>
      </c>
    </row>
    <row r="119" spans="1:11" s="147" customFormat="1" ht="11.25" customHeight="1" x14ac:dyDescent="0.2">
      <c r="A119" s="795" t="s">
        <v>9073</v>
      </c>
      <c r="B119" s="138">
        <v>43411</v>
      </c>
      <c r="C119" s="139" t="s">
        <v>9074</v>
      </c>
      <c r="D119" s="140" t="s">
        <v>9082</v>
      </c>
      <c r="E119" s="141" t="s">
        <v>8093</v>
      </c>
      <c r="F119" s="142" t="s">
        <v>9051</v>
      </c>
      <c r="G119" s="143">
        <v>1044</v>
      </c>
      <c r="H119" s="144" t="s">
        <v>730</v>
      </c>
      <c r="I119" s="145"/>
      <c r="J119" s="145"/>
      <c r="K119" s="146">
        <v>1044</v>
      </c>
    </row>
    <row r="120" spans="1:11" s="147" customFormat="1" ht="11.25" customHeight="1" x14ac:dyDescent="0.2">
      <c r="A120" s="795" t="s">
        <v>9073</v>
      </c>
      <c r="B120" s="138">
        <v>43411</v>
      </c>
      <c r="C120" s="139" t="s">
        <v>9074</v>
      </c>
      <c r="D120" s="140" t="s">
        <v>9083</v>
      </c>
      <c r="E120" s="141" t="s">
        <v>8093</v>
      </c>
      <c r="F120" s="142" t="s">
        <v>9077</v>
      </c>
      <c r="G120" s="143">
        <v>1276</v>
      </c>
      <c r="H120" s="144" t="s">
        <v>730</v>
      </c>
      <c r="I120" s="145"/>
      <c r="J120" s="145"/>
      <c r="K120" s="146">
        <v>1276</v>
      </c>
    </row>
    <row r="121" spans="1:11" s="147" customFormat="1" ht="11.25" customHeight="1" x14ac:dyDescent="0.2">
      <c r="A121" s="795" t="s">
        <v>9073</v>
      </c>
      <c r="B121" s="138">
        <v>43411</v>
      </c>
      <c r="C121" s="139" t="s">
        <v>9074</v>
      </c>
      <c r="D121" s="140" t="s">
        <v>9078</v>
      </c>
      <c r="E121" s="141" t="s">
        <v>8093</v>
      </c>
      <c r="F121" s="142" t="s">
        <v>9079</v>
      </c>
      <c r="G121" s="143">
        <v>1740</v>
      </c>
      <c r="H121" s="144" t="s">
        <v>730</v>
      </c>
      <c r="I121" s="145"/>
      <c r="J121" s="145"/>
      <c r="K121" s="146">
        <v>1740</v>
      </c>
    </row>
    <row r="122" spans="1:11" s="147" customFormat="1" ht="11.25" customHeight="1" x14ac:dyDescent="0.2">
      <c r="A122" s="795" t="s">
        <v>9073</v>
      </c>
      <c r="B122" s="138">
        <v>43411</v>
      </c>
      <c r="C122" s="139" t="s">
        <v>9074</v>
      </c>
      <c r="D122" s="140" t="s">
        <v>9080</v>
      </c>
      <c r="E122" s="141" t="s">
        <v>8093</v>
      </c>
      <c r="F122" s="142" t="s">
        <v>9081</v>
      </c>
      <c r="G122" s="143">
        <v>2030</v>
      </c>
      <c r="H122" s="144" t="s">
        <v>730</v>
      </c>
      <c r="I122" s="145"/>
      <c r="J122" s="145"/>
      <c r="K122" s="146">
        <v>2030</v>
      </c>
    </row>
    <row r="123" spans="1:11" s="147" customFormat="1" ht="11.25" customHeight="1" x14ac:dyDescent="0.2">
      <c r="A123" s="795" t="s">
        <v>9073</v>
      </c>
      <c r="B123" s="138">
        <v>43411</v>
      </c>
      <c r="C123" s="139" t="s">
        <v>9074</v>
      </c>
      <c r="D123" s="140" t="s">
        <v>9075</v>
      </c>
      <c r="E123" s="141" t="s">
        <v>8093</v>
      </c>
      <c r="F123" s="142" t="s">
        <v>9068</v>
      </c>
      <c r="G123" s="143">
        <v>2088</v>
      </c>
      <c r="H123" s="144" t="s">
        <v>730</v>
      </c>
      <c r="I123" s="145"/>
      <c r="J123" s="145"/>
      <c r="K123" s="146">
        <v>2088</v>
      </c>
    </row>
    <row r="124" spans="1:11" s="147" customFormat="1" ht="11.25" customHeight="1" x14ac:dyDescent="0.2">
      <c r="A124" s="795" t="s">
        <v>9073</v>
      </c>
      <c r="B124" s="138">
        <v>43411</v>
      </c>
      <c r="C124" s="139" t="s">
        <v>9074</v>
      </c>
      <c r="D124" s="140" t="s">
        <v>9075</v>
      </c>
      <c r="E124" s="141" t="s">
        <v>8093</v>
      </c>
      <c r="F124" s="142" t="s">
        <v>9068</v>
      </c>
      <c r="G124" s="143">
        <v>2784</v>
      </c>
      <c r="H124" s="144" t="s">
        <v>730</v>
      </c>
      <c r="I124" s="145"/>
      <c r="J124" s="145"/>
      <c r="K124" s="146">
        <v>2784</v>
      </c>
    </row>
    <row r="125" spans="1:11" s="147" customFormat="1" ht="11.25" customHeight="1" x14ac:dyDescent="0.2">
      <c r="A125" s="795" t="s">
        <v>9084</v>
      </c>
      <c r="B125" s="138">
        <v>43411</v>
      </c>
      <c r="C125" s="139" t="s">
        <v>9085</v>
      </c>
      <c r="D125" s="140" t="s">
        <v>9086</v>
      </c>
      <c r="E125" s="141" t="s">
        <v>9087</v>
      </c>
      <c r="F125" s="142" t="s">
        <v>9058</v>
      </c>
      <c r="G125" s="143">
        <v>72.13</v>
      </c>
      <c r="H125" s="144" t="s">
        <v>730</v>
      </c>
      <c r="I125" s="145"/>
      <c r="J125" s="145"/>
      <c r="K125" s="146">
        <v>72.13</v>
      </c>
    </row>
    <row r="126" spans="1:11" s="147" customFormat="1" ht="11.25" customHeight="1" x14ac:dyDescent="0.2">
      <c r="A126" s="795" t="s">
        <v>9084</v>
      </c>
      <c r="B126" s="138">
        <v>43411</v>
      </c>
      <c r="C126" s="139" t="s">
        <v>9085</v>
      </c>
      <c r="D126" s="140" t="s">
        <v>9086</v>
      </c>
      <c r="E126" s="141" t="s">
        <v>9087</v>
      </c>
      <c r="F126" s="142" t="s">
        <v>9058</v>
      </c>
      <c r="G126" s="143">
        <v>72.38</v>
      </c>
      <c r="H126" s="144" t="s">
        <v>730</v>
      </c>
      <c r="I126" s="145"/>
      <c r="J126" s="145"/>
      <c r="K126" s="146">
        <v>72.38</v>
      </c>
    </row>
    <row r="127" spans="1:11" s="147" customFormat="1" ht="11.25" customHeight="1" x14ac:dyDescent="0.2">
      <c r="A127" s="795" t="s">
        <v>9084</v>
      </c>
      <c r="B127" s="138">
        <v>43411</v>
      </c>
      <c r="C127" s="139" t="s">
        <v>9085</v>
      </c>
      <c r="D127" s="140" t="s">
        <v>9086</v>
      </c>
      <c r="E127" s="141" t="s">
        <v>9087</v>
      </c>
      <c r="F127" s="142" t="s">
        <v>9058</v>
      </c>
      <c r="G127" s="143">
        <v>82.87</v>
      </c>
      <c r="H127" s="144" t="s">
        <v>730</v>
      </c>
      <c r="I127" s="145"/>
      <c r="J127" s="145"/>
      <c r="K127" s="146">
        <v>82.87</v>
      </c>
    </row>
    <row r="128" spans="1:11" s="147" customFormat="1" ht="11.25" customHeight="1" x14ac:dyDescent="0.2">
      <c r="A128" s="795" t="s">
        <v>9084</v>
      </c>
      <c r="B128" s="138">
        <v>43411</v>
      </c>
      <c r="C128" s="139" t="s">
        <v>9085</v>
      </c>
      <c r="D128" s="140" t="s">
        <v>9088</v>
      </c>
      <c r="E128" s="141" t="s">
        <v>9087</v>
      </c>
      <c r="F128" s="142" t="s">
        <v>9058</v>
      </c>
      <c r="G128" s="143">
        <v>109.04</v>
      </c>
      <c r="H128" s="144" t="s">
        <v>730</v>
      </c>
      <c r="I128" s="145"/>
      <c r="J128" s="145"/>
      <c r="K128" s="146">
        <v>109.04</v>
      </c>
    </row>
    <row r="129" spans="1:11" s="147" customFormat="1" ht="11.25" customHeight="1" x14ac:dyDescent="0.2">
      <c r="A129" s="795" t="s">
        <v>9084</v>
      </c>
      <c r="B129" s="138">
        <v>43411</v>
      </c>
      <c r="C129" s="139" t="s">
        <v>9085</v>
      </c>
      <c r="D129" s="140" t="s">
        <v>9089</v>
      </c>
      <c r="E129" s="141" t="s">
        <v>9087</v>
      </c>
      <c r="F129" s="142" t="s">
        <v>9058</v>
      </c>
      <c r="G129" s="143">
        <v>144.77000000000001</v>
      </c>
      <c r="H129" s="144" t="s">
        <v>730</v>
      </c>
      <c r="I129" s="145"/>
      <c r="J129" s="145"/>
      <c r="K129" s="146">
        <v>144.77000000000001</v>
      </c>
    </row>
    <row r="130" spans="1:11" s="147" customFormat="1" ht="11.25" customHeight="1" x14ac:dyDescent="0.2">
      <c r="A130" s="795" t="s">
        <v>9084</v>
      </c>
      <c r="B130" s="138">
        <v>43411</v>
      </c>
      <c r="C130" s="139" t="s">
        <v>9085</v>
      </c>
      <c r="D130" s="140" t="s">
        <v>9089</v>
      </c>
      <c r="E130" s="141" t="s">
        <v>9087</v>
      </c>
      <c r="F130" s="142" t="s">
        <v>9058</v>
      </c>
      <c r="G130" s="143">
        <v>177.62</v>
      </c>
      <c r="H130" s="144" t="s">
        <v>730</v>
      </c>
      <c r="I130" s="145"/>
      <c r="J130" s="145"/>
      <c r="K130" s="146">
        <v>177.62</v>
      </c>
    </row>
    <row r="131" spans="1:11" s="147" customFormat="1" ht="11.25" customHeight="1" x14ac:dyDescent="0.2">
      <c r="A131" s="795" t="s">
        <v>9084</v>
      </c>
      <c r="B131" s="138">
        <v>43411</v>
      </c>
      <c r="C131" s="139" t="s">
        <v>9085</v>
      </c>
      <c r="D131" s="140" t="s">
        <v>9086</v>
      </c>
      <c r="E131" s="141" t="s">
        <v>9087</v>
      </c>
      <c r="F131" s="142" t="s">
        <v>9058</v>
      </c>
      <c r="G131" s="143">
        <v>250.44</v>
      </c>
      <c r="H131" s="144" t="s">
        <v>730</v>
      </c>
      <c r="I131" s="145"/>
      <c r="J131" s="145"/>
      <c r="K131" s="146">
        <v>250.44</v>
      </c>
    </row>
    <row r="132" spans="1:11" s="147" customFormat="1" ht="11.25" customHeight="1" x14ac:dyDescent="0.2">
      <c r="A132" s="795" t="s">
        <v>9084</v>
      </c>
      <c r="B132" s="138">
        <v>43411</v>
      </c>
      <c r="C132" s="139" t="s">
        <v>9085</v>
      </c>
      <c r="D132" s="140" t="s">
        <v>9089</v>
      </c>
      <c r="E132" s="141" t="s">
        <v>9087</v>
      </c>
      <c r="F132" s="142" t="s">
        <v>9058</v>
      </c>
      <c r="G132" s="143">
        <v>250.44</v>
      </c>
      <c r="H132" s="144" t="s">
        <v>730</v>
      </c>
      <c r="I132" s="145"/>
      <c r="J132" s="145"/>
      <c r="K132" s="146">
        <v>250.44</v>
      </c>
    </row>
    <row r="133" spans="1:11" s="147" customFormat="1" ht="11.25" customHeight="1" x14ac:dyDescent="0.2">
      <c r="A133" s="795" t="s">
        <v>9084</v>
      </c>
      <c r="B133" s="138">
        <v>43411</v>
      </c>
      <c r="C133" s="139" t="s">
        <v>9085</v>
      </c>
      <c r="D133" s="140" t="s">
        <v>9086</v>
      </c>
      <c r="E133" s="141" t="s">
        <v>9087</v>
      </c>
      <c r="F133" s="142" t="s">
        <v>9058</v>
      </c>
      <c r="G133" s="143">
        <v>296.02999999999997</v>
      </c>
      <c r="H133" s="144" t="s">
        <v>730</v>
      </c>
      <c r="I133" s="145"/>
      <c r="J133" s="145"/>
      <c r="K133" s="146">
        <v>296.02999999999997</v>
      </c>
    </row>
    <row r="134" spans="1:11" s="147" customFormat="1" ht="11.25" customHeight="1" x14ac:dyDescent="0.2">
      <c r="A134" s="795" t="s">
        <v>9084</v>
      </c>
      <c r="B134" s="138">
        <v>43411</v>
      </c>
      <c r="C134" s="139" t="s">
        <v>9085</v>
      </c>
      <c r="D134" s="140" t="s">
        <v>9089</v>
      </c>
      <c r="E134" s="141" t="s">
        <v>9087</v>
      </c>
      <c r="F134" s="142" t="s">
        <v>9058</v>
      </c>
      <c r="G134" s="143">
        <v>296.02999999999997</v>
      </c>
      <c r="H134" s="144" t="s">
        <v>730</v>
      </c>
      <c r="I134" s="145"/>
      <c r="J134" s="145"/>
      <c r="K134" s="146">
        <v>296.02999999999997</v>
      </c>
    </row>
    <row r="135" spans="1:11" s="147" customFormat="1" ht="11.25" customHeight="1" x14ac:dyDescent="0.2">
      <c r="A135" s="795" t="s">
        <v>9084</v>
      </c>
      <c r="B135" s="138">
        <v>43411</v>
      </c>
      <c r="C135" s="139" t="s">
        <v>9085</v>
      </c>
      <c r="D135" s="140" t="s">
        <v>9086</v>
      </c>
      <c r="E135" s="141" t="s">
        <v>9087</v>
      </c>
      <c r="F135" s="142" t="s">
        <v>9058</v>
      </c>
      <c r="G135" s="143">
        <v>311.81</v>
      </c>
      <c r="H135" s="144" t="s">
        <v>730</v>
      </c>
      <c r="I135" s="145"/>
      <c r="J135" s="145"/>
      <c r="K135" s="146">
        <v>311.81</v>
      </c>
    </row>
    <row r="136" spans="1:11" s="147" customFormat="1" ht="11.25" customHeight="1" x14ac:dyDescent="0.2">
      <c r="A136" s="795" t="s">
        <v>9084</v>
      </c>
      <c r="B136" s="138">
        <v>43411</v>
      </c>
      <c r="C136" s="139" t="s">
        <v>9085</v>
      </c>
      <c r="D136" s="140" t="s">
        <v>9088</v>
      </c>
      <c r="E136" s="141" t="s">
        <v>9087</v>
      </c>
      <c r="F136" s="142" t="s">
        <v>9058</v>
      </c>
      <c r="G136" s="143">
        <v>355.24</v>
      </c>
      <c r="H136" s="144" t="s">
        <v>730</v>
      </c>
      <c r="I136" s="145"/>
      <c r="J136" s="145"/>
      <c r="K136" s="146">
        <v>355.24</v>
      </c>
    </row>
    <row r="137" spans="1:11" s="147" customFormat="1" ht="11.25" customHeight="1" x14ac:dyDescent="0.2">
      <c r="A137" s="795" t="s">
        <v>9084</v>
      </c>
      <c r="B137" s="138">
        <v>43411</v>
      </c>
      <c r="C137" s="139" t="s">
        <v>9085</v>
      </c>
      <c r="D137" s="140" t="s">
        <v>9086</v>
      </c>
      <c r="E137" s="141" t="s">
        <v>9087</v>
      </c>
      <c r="F137" s="142" t="s">
        <v>9058</v>
      </c>
      <c r="G137" s="143">
        <v>394.63</v>
      </c>
      <c r="H137" s="144" t="s">
        <v>730</v>
      </c>
      <c r="I137" s="145"/>
      <c r="J137" s="145"/>
      <c r="K137" s="146">
        <v>394.63</v>
      </c>
    </row>
    <row r="138" spans="1:11" s="147" customFormat="1" ht="11.25" customHeight="1" x14ac:dyDescent="0.2">
      <c r="A138" s="795" t="s">
        <v>9084</v>
      </c>
      <c r="B138" s="138">
        <v>43411</v>
      </c>
      <c r="C138" s="139" t="s">
        <v>9085</v>
      </c>
      <c r="D138" s="140" t="s">
        <v>9086</v>
      </c>
      <c r="E138" s="141" t="s">
        <v>9087</v>
      </c>
      <c r="F138" s="142" t="s">
        <v>9058</v>
      </c>
      <c r="G138" s="143">
        <v>470.96</v>
      </c>
      <c r="H138" s="144" t="s">
        <v>730</v>
      </c>
      <c r="I138" s="145"/>
      <c r="J138" s="145"/>
      <c r="K138" s="146">
        <v>470.96</v>
      </c>
    </row>
    <row r="139" spans="1:11" s="147" customFormat="1" ht="11.25" customHeight="1" x14ac:dyDescent="0.2">
      <c r="A139" s="795" t="s">
        <v>9084</v>
      </c>
      <c r="B139" s="138">
        <v>43411</v>
      </c>
      <c r="C139" s="139" t="s">
        <v>9085</v>
      </c>
      <c r="D139" s="140" t="s">
        <v>9088</v>
      </c>
      <c r="E139" s="141" t="s">
        <v>9087</v>
      </c>
      <c r="F139" s="142" t="s">
        <v>9058</v>
      </c>
      <c r="G139" s="143">
        <v>470.96</v>
      </c>
      <c r="H139" s="144" t="s">
        <v>730</v>
      </c>
      <c r="I139" s="145"/>
      <c r="J139" s="145"/>
      <c r="K139" s="146">
        <v>470.96</v>
      </c>
    </row>
    <row r="140" spans="1:11" s="147" customFormat="1" ht="11.25" customHeight="1" x14ac:dyDescent="0.2">
      <c r="A140" s="795" t="s">
        <v>9084</v>
      </c>
      <c r="B140" s="138">
        <v>43411</v>
      </c>
      <c r="C140" s="139" t="s">
        <v>9085</v>
      </c>
      <c r="D140" s="140" t="s">
        <v>9089</v>
      </c>
      <c r="E140" s="141" t="s">
        <v>9087</v>
      </c>
      <c r="F140" s="142" t="s">
        <v>9058</v>
      </c>
      <c r="G140" s="143">
        <v>470.96</v>
      </c>
      <c r="H140" s="144" t="s">
        <v>730</v>
      </c>
      <c r="I140" s="145"/>
      <c r="J140" s="145"/>
      <c r="K140" s="146">
        <v>470.96</v>
      </c>
    </row>
    <row r="141" spans="1:11" s="147" customFormat="1" ht="11.25" customHeight="1" x14ac:dyDescent="0.2">
      <c r="A141" s="795" t="s">
        <v>9084</v>
      </c>
      <c r="B141" s="138">
        <v>43411</v>
      </c>
      <c r="C141" s="139" t="s">
        <v>9085</v>
      </c>
      <c r="D141" s="140" t="s">
        <v>9089</v>
      </c>
      <c r="E141" s="141" t="s">
        <v>9087</v>
      </c>
      <c r="F141" s="142" t="s">
        <v>9058</v>
      </c>
      <c r="G141" s="143">
        <v>592.76</v>
      </c>
      <c r="H141" s="144" t="s">
        <v>730</v>
      </c>
      <c r="I141" s="145"/>
      <c r="J141" s="145"/>
      <c r="K141" s="146">
        <v>592.76</v>
      </c>
    </row>
    <row r="142" spans="1:11" s="147" customFormat="1" ht="11.25" customHeight="1" x14ac:dyDescent="0.2">
      <c r="A142" s="795" t="s">
        <v>9084</v>
      </c>
      <c r="B142" s="138">
        <v>43411</v>
      </c>
      <c r="C142" s="139" t="s">
        <v>9085</v>
      </c>
      <c r="D142" s="140" t="s">
        <v>9088</v>
      </c>
      <c r="E142" s="141" t="s">
        <v>9087</v>
      </c>
      <c r="F142" s="142" t="s">
        <v>9058</v>
      </c>
      <c r="G142" s="143">
        <v>730.57</v>
      </c>
      <c r="H142" s="144" t="s">
        <v>730</v>
      </c>
      <c r="I142" s="145"/>
      <c r="J142" s="145"/>
      <c r="K142" s="146">
        <v>730.57</v>
      </c>
    </row>
    <row r="143" spans="1:11" s="147" customFormat="1" ht="11.25" customHeight="1" x14ac:dyDescent="0.2">
      <c r="A143" s="795" t="s">
        <v>9084</v>
      </c>
      <c r="B143" s="138">
        <v>43411</v>
      </c>
      <c r="C143" s="139" t="s">
        <v>9085</v>
      </c>
      <c r="D143" s="140" t="s">
        <v>9088</v>
      </c>
      <c r="E143" s="141" t="s">
        <v>9087</v>
      </c>
      <c r="F143" s="142" t="s">
        <v>9058</v>
      </c>
      <c r="G143" s="143">
        <v>793.67</v>
      </c>
      <c r="H143" s="144" t="s">
        <v>730</v>
      </c>
      <c r="I143" s="145"/>
      <c r="J143" s="145"/>
      <c r="K143" s="146">
        <v>793.67</v>
      </c>
    </row>
    <row r="144" spans="1:11" s="147" customFormat="1" ht="11.25" customHeight="1" x14ac:dyDescent="0.2">
      <c r="A144" s="795" t="s">
        <v>9084</v>
      </c>
      <c r="B144" s="138">
        <v>43411</v>
      </c>
      <c r="C144" s="139" t="s">
        <v>9085</v>
      </c>
      <c r="D144" s="140" t="s">
        <v>9089</v>
      </c>
      <c r="E144" s="141" t="s">
        <v>9087</v>
      </c>
      <c r="F144" s="142" t="s">
        <v>9058</v>
      </c>
      <c r="G144" s="143">
        <v>793.67</v>
      </c>
      <c r="H144" s="144" t="s">
        <v>730</v>
      </c>
      <c r="I144" s="145"/>
      <c r="J144" s="145"/>
      <c r="K144" s="146">
        <v>793.67</v>
      </c>
    </row>
    <row r="145" spans="1:11" s="147" customFormat="1" ht="11.25" customHeight="1" x14ac:dyDescent="0.2">
      <c r="A145" s="795" t="s">
        <v>9084</v>
      </c>
      <c r="B145" s="138">
        <v>43411</v>
      </c>
      <c r="C145" s="139" t="s">
        <v>9085</v>
      </c>
      <c r="D145" s="140" t="s">
        <v>9086</v>
      </c>
      <c r="E145" s="141" t="s">
        <v>9087</v>
      </c>
      <c r="F145" s="142" t="s">
        <v>9058</v>
      </c>
      <c r="G145" s="143">
        <v>794.63</v>
      </c>
      <c r="H145" s="144" t="s">
        <v>730</v>
      </c>
      <c r="I145" s="145"/>
      <c r="J145" s="145"/>
      <c r="K145" s="146">
        <v>794.63</v>
      </c>
    </row>
    <row r="146" spans="1:11" s="147" customFormat="1" ht="11.25" customHeight="1" x14ac:dyDescent="0.2">
      <c r="A146" s="795" t="s">
        <v>9084</v>
      </c>
      <c r="B146" s="138">
        <v>43411</v>
      </c>
      <c r="C146" s="139" t="s">
        <v>9085</v>
      </c>
      <c r="D146" s="140" t="s">
        <v>9089</v>
      </c>
      <c r="E146" s="141" t="s">
        <v>9087</v>
      </c>
      <c r="F146" s="142" t="s">
        <v>9058</v>
      </c>
      <c r="G146" s="143">
        <v>794.63</v>
      </c>
      <c r="H146" s="144" t="s">
        <v>730</v>
      </c>
      <c r="I146" s="145"/>
      <c r="J146" s="145"/>
      <c r="K146" s="146">
        <v>794.63</v>
      </c>
    </row>
    <row r="147" spans="1:11" s="147" customFormat="1" ht="11.25" customHeight="1" x14ac:dyDescent="0.2">
      <c r="A147" s="795" t="s">
        <v>9084</v>
      </c>
      <c r="B147" s="138">
        <v>43411</v>
      </c>
      <c r="C147" s="139" t="s">
        <v>9085</v>
      </c>
      <c r="D147" s="140" t="s">
        <v>9086</v>
      </c>
      <c r="E147" s="141" t="s">
        <v>9087</v>
      </c>
      <c r="F147" s="142" t="s">
        <v>9058</v>
      </c>
      <c r="G147" s="143">
        <v>807</v>
      </c>
      <c r="H147" s="144" t="s">
        <v>730</v>
      </c>
      <c r="I147" s="145"/>
      <c r="J147" s="145"/>
      <c r="K147" s="146">
        <v>807</v>
      </c>
    </row>
    <row r="148" spans="1:11" s="147" customFormat="1" ht="11.25" customHeight="1" x14ac:dyDescent="0.2">
      <c r="A148" s="795" t="s">
        <v>9084</v>
      </c>
      <c r="B148" s="138">
        <v>43411</v>
      </c>
      <c r="C148" s="139" t="s">
        <v>9085</v>
      </c>
      <c r="D148" s="140" t="s">
        <v>9089</v>
      </c>
      <c r="E148" s="141" t="s">
        <v>9087</v>
      </c>
      <c r="F148" s="142" t="s">
        <v>9058</v>
      </c>
      <c r="G148" s="143">
        <v>807</v>
      </c>
      <c r="H148" s="144" t="s">
        <v>730</v>
      </c>
      <c r="I148" s="145"/>
      <c r="J148" s="145"/>
      <c r="K148" s="146">
        <v>807</v>
      </c>
    </row>
    <row r="149" spans="1:11" s="147" customFormat="1" ht="11.25" customHeight="1" x14ac:dyDescent="0.2">
      <c r="A149" s="795" t="s">
        <v>9084</v>
      </c>
      <c r="B149" s="138">
        <v>43411</v>
      </c>
      <c r="C149" s="139" t="s">
        <v>9085</v>
      </c>
      <c r="D149" s="140" t="s">
        <v>9089</v>
      </c>
      <c r="E149" s="141" t="s">
        <v>9087</v>
      </c>
      <c r="F149" s="142" t="s">
        <v>9058</v>
      </c>
      <c r="G149" s="143">
        <v>998.11</v>
      </c>
      <c r="H149" s="144" t="s">
        <v>730</v>
      </c>
      <c r="I149" s="145"/>
      <c r="J149" s="145"/>
      <c r="K149" s="146">
        <v>998.11</v>
      </c>
    </row>
    <row r="150" spans="1:11" s="147" customFormat="1" ht="11.25" customHeight="1" x14ac:dyDescent="0.2">
      <c r="A150" s="795" t="s">
        <v>9084</v>
      </c>
      <c r="B150" s="138">
        <v>43411</v>
      </c>
      <c r="C150" s="139" t="s">
        <v>9085</v>
      </c>
      <c r="D150" s="140" t="s">
        <v>9088</v>
      </c>
      <c r="E150" s="141" t="s">
        <v>9087</v>
      </c>
      <c r="F150" s="142" t="s">
        <v>9058</v>
      </c>
      <c r="G150" s="143">
        <v>1020.8</v>
      </c>
      <c r="H150" s="144" t="s">
        <v>730</v>
      </c>
      <c r="I150" s="145"/>
      <c r="J150" s="145"/>
      <c r="K150" s="146">
        <v>1020.8</v>
      </c>
    </row>
    <row r="151" spans="1:11" s="147" customFormat="1" ht="11.25" customHeight="1" x14ac:dyDescent="0.2">
      <c r="A151" s="795" t="s">
        <v>9073</v>
      </c>
      <c r="B151" s="138">
        <v>43413</v>
      </c>
      <c r="C151" s="139" t="s">
        <v>9090</v>
      </c>
      <c r="D151" s="140" t="s">
        <v>9091</v>
      </c>
      <c r="E151" s="141" t="s">
        <v>8093</v>
      </c>
      <c r="F151" s="142" t="s">
        <v>9051</v>
      </c>
      <c r="G151" s="143">
        <v>174</v>
      </c>
      <c r="H151" s="144" t="s">
        <v>730</v>
      </c>
      <c r="I151" s="145"/>
      <c r="J151" s="145"/>
      <c r="K151" s="146">
        <v>174</v>
      </c>
    </row>
    <row r="152" spans="1:11" s="147" customFormat="1" ht="11.25" customHeight="1" x14ac:dyDescent="0.2">
      <c r="A152" s="795" t="s">
        <v>9073</v>
      </c>
      <c r="B152" s="138">
        <v>43413</v>
      </c>
      <c r="C152" s="139" t="s">
        <v>9090</v>
      </c>
      <c r="D152" s="140" t="s">
        <v>9092</v>
      </c>
      <c r="E152" s="141" t="s">
        <v>8093</v>
      </c>
      <c r="F152" s="142" t="s">
        <v>9051</v>
      </c>
      <c r="G152" s="143">
        <v>261</v>
      </c>
      <c r="H152" s="144" t="s">
        <v>730</v>
      </c>
      <c r="I152" s="145"/>
      <c r="J152" s="145"/>
      <c r="K152" s="146">
        <v>261</v>
      </c>
    </row>
    <row r="153" spans="1:11" s="147" customFormat="1" ht="11.25" customHeight="1" x14ac:dyDescent="0.2">
      <c r="A153" s="795" t="s">
        <v>9073</v>
      </c>
      <c r="B153" s="138">
        <v>43413</v>
      </c>
      <c r="C153" s="139" t="s">
        <v>9093</v>
      </c>
      <c r="D153" s="140" t="s">
        <v>9094</v>
      </c>
      <c r="E153" s="141" t="s">
        <v>8093</v>
      </c>
      <c r="F153" s="142" t="s">
        <v>9065</v>
      </c>
      <c r="G153" s="143">
        <v>3480</v>
      </c>
      <c r="H153" s="144" t="s">
        <v>730</v>
      </c>
      <c r="I153" s="145"/>
      <c r="J153" s="145"/>
      <c r="K153" s="146">
        <v>3480</v>
      </c>
    </row>
    <row r="154" spans="1:11" s="147" customFormat="1" ht="11.25" customHeight="1" x14ac:dyDescent="0.2">
      <c r="A154" s="795" t="s">
        <v>9073</v>
      </c>
      <c r="B154" s="138">
        <v>43413</v>
      </c>
      <c r="C154" s="139" t="s">
        <v>9093</v>
      </c>
      <c r="D154" s="140" t="s">
        <v>9094</v>
      </c>
      <c r="E154" s="141" t="s">
        <v>8093</v>
      </c>
      <c r="F154" s="142" t="s">
        <v>9065</v>
      </c>
      <c r="G154" s="143">
        <v>4350</v>
      </c>
      <c r="H154" s="144" t="s">
        <v>730</v>
      </c>
      <c r="I154" s="145"/>
      <c r="J154" s="145"/>
      <c r="K154" s="146">
        <v>4350</v>
      </c>
    </row>
    <row r="155" spans="1:11" s="147" customFormat="1" ht="11.25" customHeight="1" x14ac:dyDescent="0.2">
      <c r="A155" s="795" t="s">
        <v>8973</v>
      </c>
      <c r="B155" s="138">
        <v>43419</v>
      </c>
      <c r="C155" s="139" t="s">
        <v>8204</v>
      </c>
      <c r="D155" s="140" t="s">
        <v>9095</v>
      </c>
      <c r="E155" s="141" t="s">
        <v>8081</v>
      </c>
      <c r="F155" s="142" t="s">
        <v>8976</v>
      </c>
      <c r="G155" s="143">
        <v>2.74</v>
      </c>
      <c r="H155" s="144" t="s">
        <v>730</v>
      </c>
      <c r="I155" s="145"/>
      <c r="J155" s="145"/>
      <c r="K155" s="146">
        <v>2.74</v>
      </c>
    </row>
    <row r="156" spans="1:11" s="147" customFormat="1" ht="11.25" customHeight="1" x14ac:dyDescent="0.2">
      <c r="A156" s="795" t="s">
        <v>8973</v>
      </c>
      <c r="B156" s="138">
        <v>43419</v>
      </c>
      <c r="C156" s="139" t="s">
        <v>8204</v>
      </c>
      <c r="D156" s="140" t="s">
        <v>9095</v>
      </c>
      <c r="E156" s="141" t="s">
        <v>8081</v>
      </c>
      <c r="F156" s="142" t="s">
        <v>8976</v>
      </c>
      <c r="G156" s="143">
        <v>8.6300000000000008</v>
      </c>
      <c r="H156" s="144" t="s">
        <v>730</v>
      </c>
      <c r="I156" s="145"/>
      <c r="J156" s="145"/>
      <c r="K156" s="146">
        <v>8.6300000000000008</v>
      </c>
    </row>
    <row r="157" spans="1:11" s="147" customFormat="1" ht="11.25" customHeight="1" x14ac:dyDescent="0.2">
      <c r="A157" s="795" t="s">
        <v>8973</v>
      </c>
      <c r="B157" s="138">
        <v>43419</v>
      </c>
      <c r="C157" s="139" t="s">
        <v>8204</v>
      </c>
      <c r="D157" s="140" t="s">
        <v>9095</v>
      </c>
      <c r="E157" s="141" t="s">
        <v>8081</v>
      </c>
      <c r="F157" s="142" t="s">
        <v>8976</v>
      </c>
      <c r="G157" s="143">
        <v>9.0500000000000007</v>
      </c>
      <c r="H157" s="144" t="s">
        <v>730</v>
      </c>
      <c r="I157" s="145"/>
      <c r="J157" s="145"/>
      <c r="K157" s="146">
        <v>9.0500000000000007</v>
      </c>
    </row>
    <row r="158" spans="1:11" s="147" customFormat="1" ht="11.25" customHeight="1" x14ac:dyDescent="0.2">
      <c r="A158" s="795" t="s">
        <v>8973</v>
      </c>
      <c r="B158" s="138">
        <v>43419</v>
      </c>
      <c r="C158" s="139" t="s">
        <v>8204</v>
      </c>
      <c r="D158" s="140" t="s">
        <v>9095</v>
      </c>
      <c r="E158" s="141" t="s">
        <v>8081</v>
      </c>
      <c r="F158" s="142" t="s">
        <v>8976</v>
      </c>
      <c r="G158" s="143">
        <v>18.649999999999999</v>
      </c>
      <c r="H158" s="144" t="s">
        <v>730</v>
      </c>
      <c r="I158" s="145"/>
      <c r="J158" s="145"/>
      <c r="K158" s="146">
        <v>18.649999999999999</v>
      </c>
    </row>
    <row r="159" spans="1:11" s="147" customFormat="1" ht="11.25" customHeight="1" x14ac:dyDescent="0.2">
      <c r="A159" s="795" t="s">
        <v>8973</v>
      </c>
      <c r="B159" s="138">
        <v>43419</v>
      </c>
      <c r="C159" s="139" t="s">
        <v>8204</v>
      </c>
      <c r="D159" s="140" t="s">
        <v>9095</v>
      </c>
      <c r="E159" s="141" t="s">
        <v>8081</v>
      </c>
      <c r="F159" s="142" t="s">
        <v>8976</v>
      </c>
      <c r="G159" s="143">
        <v>31.97</v>
      </c>
      <c r="H159" s="144" t="s">
        <v>730</v>
      </c>
      <c r="I159" s="145"/>
      <c r="J159" s="145"/>
      <c r="K159" s="146">
        <v>31.97</v>
      </c>
    </row>
    <row r="160" spans="1:11" s="147" customFormat="1" ht="11.25" customHeight="1" x14ac:dyDescent="0.2">
      <c r="A160" s="795" t="s">
        <v>8973</v>
      </c>
      <c r="B160" s="138">
        <v>43419</v>
      </c>
      <c r="C160" s="139" t="s">
        <v>8204</v>
      </c>
      <c r="D160" s="140" t="s">
        <v>9095</v>
      </c>
      <c r="E160" s="141" t="s">
        <v>8081</v>
      </c>
      <c r="F160" s="142" t="s">
        <v>8976</v>
      </c>
      <c r="G160" s="143">
        <v>45.1</v>
      </c>
      <c r="H160" s="144" t="s">
        <v>730</v>
      </c>
      <c r="I160" s="145"/>
      <c r="J160" s="145"/>
      <c r="K160" s="146">
        <v>45.1</v>
      </c>
    </row>
    <row r="161" spans="1:11" s="147" customFormat="1" ht="11.25" customHeight="1" x14ac:dyDescent="0.2">
      <c r="A161" s="795" t="s">
        <v>8973</v>
      </c>
      <c r="B161" s="138">
        <v>43419</v>
      </c>
      <c r="C161" s="139" t="s">
        <v>8204</v>
      </c>
      <c r="D161" s="140" t="s">
        <v>9095</v>
      </c>
      <c r="E161" s="141" t="s">
        <v>8081</v>
      </c>
      <c r="F161" s="142" t="s">
        <v>8976</v>
      </c>
      <c r="G161" s="143">
        <v>48.72</v>
      </c>
      <c r="H161" s="144" t="s">
        <v>730</v>
      </c>
      <c r="I161" s="145"/>
      <c r="J161" s="145"/>
      <c r="K161" s="146">
        <v>48.72</v>
      </c>
    </row>
    <row r="162" spans="1:11" s="147" customFormat="1" ht="11.25" customHeight="1" x14ac:dyDescent="0.2">
      <c r="A162" s="795" t="s">
        <v>8973</v>
      </c>
      <c r="B162" s="138">
        <v>43419</v>
      </c>
      <c r="C162" s="139" t="s">
        <v>8204</v>
      </c>
      <c r="D162" s="140" t="s">
        <v>9095</v>
      </c>
      <c r="E162" s="141" t="s">
        <v>8081</v>
      </c>
      <c r="F162" s="142" t="s">
        <v>8976</v>
      </c>
      <c r="G162" s="143">
        <v>59.86</v>
      </c>
      <c r="H162" s="144" t="s">
        <v>730</v>
      </c>
      <c r="I162" s="145"/>
      <c r="J162" s="145"/>
      <c r="K162" s="146">
        <v>59.86</v>
      </c>
    </row>
    <row r="163" spans="1:11" s="147" customFormat="1" ht="11.25" customHeight="1" x14ac:dyDescent="0.2">
      <c r="A163" s="795" t="s">
        <v>8973</v>
      </c>
      <c r="B163" s="138">
        <v>43419</v>
      </c>
      <c r="C163" s="139" t="s">
        <v>8204</v>
      </c>
      <c r="D163" s="140" t="s">
        <v>9095</v>
      </c>
      <c r="E163" s="141" t="s">
        <v>8081</v>
      </c>
      <c r="F163" s="142" t="s">
        <v>8976</v>
      </c>
      <c r="G163" s="143">
        <v>101.29</v>
      </c>
      <c r="H163" s="144" t="s">
        <v>730</v>
      </c>
      <c r="I163" s="145"/>
      <c r="J163" s="145"/>
      <c r="K163" s="146">
        <v>101.29</v>
      </c>
    </row>
    <row r="164" spans="1:11" s="147" customFormat="1" ht="11.25" customHeight="1" x14ac:dyDescent="0.2">
      <c r="A164" s="795" t="s">
        <v>8973</v>
      </c>
      <c r="B164" s="138">
        <v>43419</v>
      </c>
      <c r="C164" s="139" t="s">
        <v>8204</v>
      </c>
      <c r="D164" s="140" t="s">
        <v>9095</v>
      </c>
      <c r="E164" s="141" t="s">
        <v>8081</v>
      </c>
      <c r="F164" s="142" t="s">
        <v>8976</v>
      </c>
      <c r="G164" s="143">
        <v>121.73</v>
      </c>
      <c r="H164" s="144" t="s">
        <v>730</v>
      </c>
      <c r="I164" s="145"/>
      <c r="J164" s="145"/>
      <c r="K164" s="146">
        <v>121.73</v>
      </c>
    </row>
    <row r="165" spans="1:11" s="147" customFormat="1" ht="11.25" customHeight="1" x14ac:dyDescent="0.2">
      <c r="A165" s="795" t="s">
        <v>9035</v>
      </c>
      <c r="B165" s="138">
        <v>43419</v>
      </c>
      <c r="C165" s="139" t="s">
        <v>8151</v>
      </c>
      <c r="D165" s="140" t="s">
        <v>9096</v>
      </c>
      <c r="E165" s="141" t="s">
        <v>8123</v>
      </c>
      <c r="F165" s="142" t="s">
        <v>9097</v>
      </c>
      <c r="G165" s="143">
        <v>924.23</v>
      </c>
      <c r="H165" s="144" t="s">
        <v>730</v>
      </c>
      <c r="I165" s="145"/>
      <c r="J165" s="145"/>
      <c r="K165" s="146">
        <v>924.23</v>
      </c>
    </row>
    <row r="166" spans="1:11" s="147" customFormat="1" ht="11.25" customHeight="1" x14ac:dyDescent="0.2">
      <c r="A166" s="795" t="s">
        <v>9035</v>
      </c>
      <c r="B166" s="138">
        <v>43419</v>
      </c>
      <c r="C166" s="139" t="s">
        <v>8151</v>
      </c>
      <c r="D166" s="140" t="s">
        <v>9096</v>
      </c>
      <c r="E166" s="141" t="s">
        <v>8123</v>
      </c>
      <c r="F166" s="142" t="s">
        <v>9097</v>
      </c>
      <c r="G166" s="143">
        <v>1279.19</v>
      </c>
      <c r="H166" s="144" t="s">
        <v>730</v>
      </c>
      <c r="I166" s="145"/>
      <c r="J166" s="145"/>
      <c r="K166" s="146">
        <v>1279.19</v>
      </c>
    </row>
    <row r="167" spans="1:11" s="147" customFormat="1" ht="11.25" customHeight="1" x14ac:dyDescent="0.2">
      <c r="A167" s="795" t="s">
        <v>9098</v>
      </c>
      <c r="B167" s="138">
        <v>43419</v>
      </c>
      <c r="C167" s="139" t="s">
        <v>8205</v>
      </c>
      <c r="D167" s="140" t="s">
        <v>9099</v>
      </c>
      <c r="E167" s="141" t="s">
        <v>8093</v>
      </c>
      <c r="F167" s="142" t="s">
        <v>9100</v>
      </c>
      <c r="G167" s="143">
        <v>174</v>
      </c>
      <c r="H167" s="144" t="s">
        <v>730</v>
      </c>
      <c r="I167" s="145"/>
      <c r="J167" s="145"/>
      <c r="K167" s="146">
        <v>174</v>
      </c>
    </row>
    <row r="168" spans="1:11" s="147" customFormat="1" ht="11.25" customHeight="1" x14ac:dyDescent="0.2">
      <c r="A168" s="795" t="s">
        <v>9098</v>
      </c>
      <c r="B168" s="138">
        <v>43419</v>
      </c>
      <c r="C168" s="139" t="s">
        <v>8205</v>
      </c>
      <c r="D168" s="140" t="s">
        <v>9099</v>
      </c>
      <c r="E168" s="141" t="s">
        <v>8093</v>
      </c>
      <c r="F168" s="142" t="s">
        <v>9100</v>
      </c>
      <c r="G168" s="143">
        <v>1392</v>
      </c>
      <c r="H168" s="144" t="s">
        <v>730</v>
      </c>
      <c r="I168" s="145"/>
      <c r="J168" s="145"/>
      <c r="K168" s="146">
        <v>1392</v>
      </c>
    </row>
    <row r="169" spans="1:11" s="147" customFormat="1" ht="11.25" customHeight="1" x14ac:dyDescent="0.2">
      <c r="A169" s="795" t="s">
        <v>9098</v>
      </c>
      <c r="B169" s="138">
        <v>43419</v>
      </c>
      <c r="C169" s="139" t="s">
        <v>8205</v>
      </c>
      <c r="D169" s="140" t="s">
        <v>9101</v>
      </c>
      <c r="E169" s="141" t="s">
        <v>8093</v>
      </c>
      <c r="F169" s="142" t="s">
        <v>9102</v>
      </c>
      <c r="G169" s="143">
        <v>2784</v>
      </c>
      <c r="H169" s="144" t="s">
        <v>730</v>
      </c>
      <c r="I169" s="145"/>
      <c r="J169" s="145"/>
      <c r="K169" s="146">
        <v>2784</v>
      </c>
    </row>
    <row r="170" spans="1:11" s="147" customFormat="1" ht="11.25" customHeight="1" x14ac:dyDescent="0.2">
      <c r="A170" s="795" t="s">
        <v>9098</v>
      </c>
      <c r="B170" s="138">
        <v>43419</v>
      </c>
      <c r="C170" s="139" t="s">
        <v>8205</v>
      </c>
      <c r="D170" s="140" t="s">
        <v>9101</v>
      </c>
      <c r="E170" s="141" t="s">
        <v>8093</v>
      </c>
      <c r="F170" s="142" t="s">
        <v>9102</v>
      </c>
      <c r="G170" s="143">
        <v>3480</v>
      </c>
      <c r="H170" s="144" t="s">
        <v>730</v>
      </c>
      <c r="I170" s="145"/>
      <c r="J170" s="145"/>
      <c r="K170" s="146">
        <v>3480</v>
      </c>
    </row>
    <row r="171" spans="1:11" s="147" customFormat="1" ht="11.25" customHeight="1" x14ac:dyDescent="0.2">
      <c r="A171" s="795" t="s">
        <v>9098</v>
      </c>
      <c r="B171" s="138">
        <v>43419</v>
      </c>
      <c r="C171" s="139" t="s">
        <v>8205</v>
      </c>
      <c r="D171" s="140" t="s">
        <v>9101</v>
      </c>
      <c r="E171" s="141" t="s">
        <v>8093</v>
      </c>
      <c r="F171" s="142" t="s">
        <v>9102</v>
      </c>
      <c r="G171" s="143">
        <v>5800</v>
      </c>
      <c r="H171" s="144" t="s">
        <v>730</v>
      </c>
      <c r="I171" s="145"/>
      <c r="J171" s="145"/>
      <c r="K171" s="146">
        <v>5800</v>
      </c>
    </row>
    <row r="172" spans="1:11" s="147" customFormat="1" ht="11.25" customHeight="1" x14ac:dyDescent="0.2">
      <c r="A172" s="795" t="s">
        <v>9098</v>
      </c>
      <c r="B172" s="138">
        <v>43419</v>
      </c>
      <c r="C172" s="139" t="s">
        <v>8205</v>
      </c>
      <c r="D172" s="140" t="s">
        <v>9101</v>
      </c>
      <c r="E172" s="141" t="s">
        <v>8093</v>
      </c>
      <c r="F172" s="142" t="s">
        <v>9102</v>
      </c>
      <c r="G172" s="143">
        <v>9187.2000000000007</v>
      </c>
      <c r="H172" s="144" t="s">
        <v>730</v>
      </c>
      <c r="I172" s="145"/>
      <c r="J172" s="145"/>
      <c r="K172" s="146">
        <v>9187.2000000000007</v>
      </c>
    </row>
    <row r="173" spans="1:11" s="147" customFormat="1" ht="11.25" customHeight="1" x14ac:dyDescent="0.2">
      <c r="A173" s="795" t="s">
        <v>9103</v>
      </c>
      <c r="B173" s="138">
        <v>43424</v>
      </c>
      <c r="C173" s="139" t="s">
        <v>8192</v>
      </c>
      <c r="D173" s="140" t="s">
        <v>9104</v>
      </c>
      <c r="E173" s="141" t="s">
        <v>9105</v>
      </c>
      <c r="F173" s="142" t="s">
        <v>9106</v>
      </c>
      <c r="G173" s="143">
        <v>11462.6</v>
      </c>
      <c r="H173" s="144" t="s">
        <v>730</v>
      </c>
      <c r="I173" s="145"/>
      <c r="J173" s="145"/>
      <c r="K173" s="146">
        <v>11462.6</v>
      </c>
    </row>
    <row r="174" spans="1:11" s="147" customFormat="1" ht="11.25" customHeight="1" x14ac:dyDescent="0.2">
      <c r="A174" s="795" t="s">
        <v>9103</v>
      </c>
      <c r="B174" s="138">
        <v>43424</v>
      </c>
      <c r="C174" s="139" t="s">
        <v>9107</v>
      </c>
      <c r="D174" s="140" t="s">
        <v>9108</v>
      </c>
      <c r="E174" s="141" t="s">
        <v>9105</v>
      </c>
      <c r="F174" s="142" t="s">
        <v>9106</v>
      </c>
      <c r="G174" s="143">
        <v>12086.17</v>
      </c>
      <c r="H174" s="144" t="s">
        <v>730</v>
      </c>
      <c r="I174" s="145"/>
      <c r="J174" s="145"/>
      <c r="K174" s="146">
        <v>12086.17</v>
      </c>
    </row>
    <row r="175" spans="1:11" s="147" customFormat="1" ht="11.25" customHeight="1" x14ac:dyDescent="0.2">
      <c r="A175" s="795" t="s">
        <v>9103</v>
      </c>
      <c r="B175" s="138">
        <v>43424</v>
      </c>
      <c r="C175" s="139" t="s">
        <v>9109</v>
      </c>
      <c r="D175" s="140" t="s">
        <v>9110</v>
      </c>
      <c r="E175" s="141" t="s">
        <v>9105</v>
      </c>
      <c r="F175" s="142" t="s">
        <v>9106</v>
      </c>
      <c r="G175" s="143">
        <v>22459.57</v>
      </c>
      <c r="H175" s="144" t="s">
        <v>730</v>
      </c>
      <c r="I175" s="145"/>
      <c r="J175" s="145"/>
      <c r="K175" s="146">
        <v>22459.57</v>
      </c>
    </row>
    <row r="176" spans="1:11" s="147" customFormat="1" ht="11.25" customHeight="1" x14ac:dyDescent="0.2">
      <c r="A176" s="795" t="s">
        <v>9111</v>
      </c>
      <c r="B176" s="138">
        <v>43424</v>
      </c>
      <c r="C176" s="139" t="s">
        <v>9112</v>
      </c>
      <c r="D176" s="140" t="s">
        <v>9113</v>
      </c>
      <c r="E176" s="141" t="s">
        <v>2627</v>
      </c>
      <c r="F176" s="142" t="s">
        <v>9114</v>
      </c>
      <c r="G176" s="143">
        <v>82122.73</v>
      </c>
      <c r="H176" s="144" t="s">
        <v>730</v>
      </c>
      <c r="I176" s="145"/>
      <c r="J176" s="145"/>
      <c r="K176" s="146">
        <v>82122.73</v>
      </c>
    </row>
    <row r="177" spans="1:11" s="147" customFormat="1" ht="11.25" customHeight="1" x14ac:dyDescent="0.2">
      <c r="A177" s="795" t="s">
        <v>9115</v>
      </c>
      <c r="B177" s="138">
        <v>43424</v>
      </c>
      <c r="C177" s="139" t="s">
        <v>8106</v>
      </c>
      <c r="D177" s="140" t="s">
        <v>9116</v>
      </c>
      <c r="E177" s="141" t="s">
        <v>2627</v>
      </c>
      <c r="F177" s="142" t="s">
        <v>9117</v>
      </c>
      <c r="G177" s="143">
        <v>159737</v>
      </c>
      <c r="H177" s="144" t="s">
        <v>730</v>
      </c>
      <c r="I177" s="145"/>
      <c r="J177" s="145"/>
      <c r="K177" s="146">
        <v>159737</v>
      </c>
    </row>
    <row r="178" spans="1:11" s="147" customFormat="1" ht="11.25" customHeight="1" x14ac:dyDescent="0.2">
      <c r="A178" s="795" t="s">
        <v>9111</v>
      </c>
      <c r="B178" s="138">
        <v>43424</v>
      </c>
      <c r="C178" s="139" t="s">
        <v>9118</v>
      </c>
      <c r="D178" s="140" t="s">
        <v>9119</v>
      </c>
      <c r="E178" s="141" t="s">
        <v>2627</v>
      </c>
      <c r="F178" s="142" t="s">
        <v>9114</v>
      </c>
      <c r="G178" s="143">
        <v>218549</v>
      </c>
      <c r="H178" s="144" t="s">
        <v>730</v>
      </c>
      <c r="I178" s="145"/>
      <c r="J178" s="145"/>
      <c r="K178" s="146">
        <v>218549</v>
      </c>
    </row>
    <row r="179" spans="1:11" s="147" customFormat="1" ht="11.25" customHeight="1" x14ac:dyDescent="0.2">
      <c r="A179" s="795" t="s">
        <v>9073</v>
      </c>
      <c r="B179" s="138">
        <v>43425</v>
      </c>
      <c r="C179" s="139" t="s">
        <v>9120</v>
      </c>
      <c r="D179" s="140" t="s">
        <v>9121</v>
      </c>
      <c r="E179" s="141" t="s">
        <v>8093</v>
      </c>
      <c r="F179" s="142" t="s">
        <v>9122</v>
      </c>
      <c r="G179" s="143">
        <v>174</v>
      </c>
      <c r="H179" s="144" t="s">
        <v>730</v>
      </c>
      <c r="I179" s="145"/>
      <c r="J179" s="145"/>
      <c r="K179" s="146">
        <v>174</v>
      </c>
    </row>
    <row r="180" spans="1:11" s="147" customFormat="1" ht="11.25" customHeight="1" x14ac:dyDescent="0.2">
      <c r="A180" s="795" t="s">
        <v>9073</v>
      </c>
      <c r="B180" s="138">
        <v>43425</v>
      </c>
      <c r="C180" s="139" t="s">
        <v>9120</v>
      </c>
      <c r="D180" s="140" t="s">
        <v>9123</v>
      </c>
      <c r="E180" s="141" t="s">
        <v>8093</v>
      </c>
      <c r="F180" s="142" t="s">
        <v>9124</v>
      </c>
      <c r="G180" s="143">
        <v>174</v>
      </c>
      <c r="H180" s="144" t="s">
        <v>730</v>
      </c>
      <c r="I180" s="145"/>
      <c r="J180" s="145"/>
      <c r="K180" s="146">
        <v>174</v>
      </c>
    </row>
    <row r="181" spans="1:11" s="147" customFormat="1" ht="11.25" customHeight="1" x14ac:dyDescent="0.2">
      <c r="A181" s="795" t="s">
        <v>9073</v>
      </c>
      <c r="B181" s="138">
        <v>43425</v>
      </c>
      <c r="C181" s="139" t="s">
        <v>9120</v>
      </c>
      <c r="D181" s="140" t="s">
        <v>9125</v>
      </c>
      <c r="E181" s="141" t="s">
        <v>8093</v>
      </c>
      <c r="F181" s="142" t="s">
        <v>9126</v>
      </c>
      <c r="G181" s="143">
        <v>261</v>
      </c>
      <c r="H181" s="144" t="s">
        <v>730</v>
      </c>
      <c r="I181" s="145"/>
      <c r="J181" s="145"/>
      <c r="K181" s="146">
        <v>261</v>
      </c>
    </row>
    <row r="182" spans="1:11" s="147" customFormat="1" ht="11.25" customHeight="1" x14ac:dyDescent="0.2">
      <c r="A182" s="795" t="s">
        <v>9073</v>
      </c>
      <c r="B182" s="138">
        <v>43425</v>
      </c>
      <c r="C182" s="139" t="s">
        <v>9120</v>
      </c>
      <c r="D182" s="140" t="s">
        <v>9125</v>
      </c>
      <c r="E182" s="141" t="s">
        <v>8093</v>
      </c>
      <c r="F182" s="142" t="s">
        <v>9126</v>
      </c>
      <c r="G182" s="143">
        <v>348</v>
      </c>
      <c r="H182" s="144" t="s">
        <v>730</v>
      </c>
      <c r="I182" s="145"/>
      <c r="J182" s="145"/>
      <c r="K182" s="146">
        <v>348</v>
      </c>
    </row>
    <row r="183" spans="1:11" s="147" customFormat="1" ht="11.25" customHeight="1" x14ac:dyDescent="0.2">
      <c r="A183" s="795" t="s">
        <v>9073</v>
      </c>
      <c r="B183" s="138">
        <v>43425</v>
      </c>
      <c r="C183" s="139" t="s">
        <v>9120</v>
      </c>
      <c r="D183" s="140" t="s">
        <v>9127</v>
      </c>
      <c r="E183" s="141" t="s">
        <v>8093</v>
      </c>
      <c r="F183" s="142" t="s">
        <v>8171</v>
      </c>
      <c r="G183" s="143">
        <v>696</v>
      </c>
      <c r="H183" s="144" t="s">
        <v>730</v>
      </c>
      <c r="I183" s="145"/>
      <c r="J183" s="145"/>
      <c r="K183" s="146">
        <v>696</v>
      </c>
    </row>
    <row r="184" spans="1:11" s="147" customFormat="1" ht="11.25" customHeight="1" x14ac:dyDescent="0.2">
      <c r="A184" s="795" t="s">
        <v>9073</v>
      </c>
      <c r="B184" s="138">
        <v>43425</v>
      </c>
      <c r="C184" s="139" t="s">
        <v>9120</v>
      </c>
      <c r="D184" s="140" t="s">
        <v>9125</v>
      </c>
      <c r="E184" s="141" t="s">
        <v>8093</v>
      </c>
      <c r="F184" s="142" t="s">
        <v>9126</v>
      </c>
      <c r="G184" s="143">
        <v>696</v>
      </c>
      <c r="H184" s="144" t="s">
        <v>730</v>
      </c>
      <c r="I184" s="145"/>
      <c r="J184" s="145"/>
      <c r="K184" s="146">
        <v>696</v>
      </c>
    </row>
    <row r="185" spans="1:11" s="147" customFormat="1" ht="11.25" customHeight="1" x14ac:dyDescent="0.2">
      <c r="A185" s="795" t="s">
        <v>9073</v>
      </c>
      <c r="B185" s="138">
        <v>43425</v>
      </c>
      <c r="C185" s="139" t="s">
        <v>9120</v>
      </c>
      <c r="D185" s="140" t="s">
        <v>9123</v>
      </c>
      <c r="E185" s="141" t="s">
        <v>8093</v>
      </c>
      <c r="F185" s="142" t="s">
        <v>9124</v>
      </c>
      <c r="G185" s="143">
        <v>1044</v>
      </c>
      <c r="H185" s="144" t="s">
        <v>730</v>
      </c>
      <c r="I185" s="145"/>
      <c r="J185" s="145"/>
      <c r="K185" s="146">
        <v>1044</v>
      </c>
    </row>
    <row r="186" spans="1:11" s="147" customFormat="1" ht="11.25" customHeight="1" x14ac:dyDescent="0.2">
      <c r="A186" s="795" t="s">
        <v>9073</v>
      </c>
      <c r="B186" s="138">
        <v>43425</v>
      </c>
      <c r="C186" s="139" t="s">
        <v>9120</v>
      </c>
      <c r="D186" s="140" t="s">
        <v>9121</v>
      </c>
      <c r="E186" s="141" t="s">
        <v>8093</v>
      </c>
      <c r="F186" s="142" t="s">
        <v>9122</v>
      </c>
      <c r="G186" s="143">
        <v>1392</v>
      </c>
      <c r="H186" s="144" t="s">
        <v>730</v>
      </c>
      <c r="I186" s="145"/>
      <c r="J186" s="145"/>
      <c r="K186" s="146">
        <v>1392</v>
      </c>
    </row>
    <row r="187" spans="1:11" s="147" customFormat="1" ht="11.25" customHeight="1" x14ac:dyDescent="0.2">
      <c r="A187" s="795" t="s">
        <v>9073</v>
      </c>
      <c r="B187" s="138">
        <v>43425</v>
      </c>
      <c r="C187" s="139" t="s">
        <v>9120</v>
      </c>
      <c r="D187" s="140" t="s">
        <v>9125</v>
      </c>
      <c r="E187" s="141" t="s">
        <v>8093</v>
      </c>
      <c r="F187" s="142" t="s">
        <v>9126</v>
      </c>
      <c r="G187" s="143">
        <v>2088</v>
      </c>
      <c r="H187" s="144" t="s">
        <v>730</v>
      </c>
      <c r="I187" s="145"/>
      <c r="J187" s="145"/>
      <c r="K187" s="146">
        <v>2088</v>
      </c>
    </row>
    <row r="188" spans="1:11" s="147" customFormat="1" ht="11.25" customHeight="1" x14ac:dyDescent="0.2">
      <c r="A188" s="795" t="s">
        <v>9073</v>
      </c>
      <c r="B188" s="138">
        <v>43425</v>
      </c>
      <c r="C188" s="139" t="s">
        <v>9120</v>
      </c>
      <c r="D188" s="140" t="s">
        <v>9125</v>
      </c>
      <c r="E188" s="141" t="s">
        <v>8093</v>
      </c>
      <c r="F188" s="142" t="s">
        <v>9126</v>
      </c>
      <c r="G188" s="143">
        <v>3729.33</v>
      </c>
      <c r="H188" s="144" t="s">
        <v>730</v>
      </c>
      <c r="I188" s="145"/>
      <c r="J188" s="145"/>
      <c r="K188" s="146">
        <v>3729.33</v>
      </c>
    </row>
    <row r="189" spans="1:11" s="147" customFormat="1" ht="11.25" customHeight="1" x14ac:dyDescent="0.2">
      <c r="A189" s="795" t="s">
        <v>9128</v>
      </c>
      <c r="B189" s="138">
        <v>43425</v>
      </c>
      <c r="C189" s="139" t="s">
        <v>9129</v>
      </c>
      <c r="D189" s="140" t="s">
        <v>9130</v>
      </c>
      <c r="E189" s="141" t="s">
        <v>8093</v>
      </c>
      <c r="F189" s="142" t="s">
        <v>9131</v>
      </c>
      <c r="G189" s="143">
        <v>174</v>
      </c>
      <c r="H189" s="144" t="s">
        <v>730</v>
      </c>
      <c r="I189" s="145"/>
      <c r="J189" s="145"/>
      <c r="K189" s="146">
        <v>174</v>
      </c>
    </row>
    <row r="190" spans="1:11" s="147" customFormat="1" ht="11.25" customHeight="1" x14ac:dyDescent="0.2">
      <c r="A190" s="795" t="s">
        <v>9128</v>
      </c>
      <c r="B190" s="138">
        <v>43425</v>
      </c>
      <c r="C190" s="139" t="s">
        <v>9129</v>
      </c>
      <c r="D190" s="140" t="s">
        <v>9132</v>
      </c>
      <c r="E190" s="141" t="s">
        <v>8093</v>
      </c>
      <c r="F190" s="142" t="s">
        <v>9131</v>
      </c>
      <c r="G190" s="143">
        <v>174</v>
      </c>
      <c r="H190" s="144" t="s">
        <v>730</v>
      </c>
      <c r="I190" s="145"/>
      <c r="J190" s="145"/>
      <c r="K190" s="146">
        <v>174</v>
      </c>
    </row>
    <row r="191" spans="1:11" s="147" customFormat="1" ht="11.25" customHeight="1" x14ac:dyDescent="0.2">
      <c r="A191" s="795" t="s">
        <v>9128</v>
      </c>
      <c r="B191" s="138">
        <v>43425</v>
      </c>
      <c r="C191" s="139" t="s">
        <v>9129</v>
      </c>
      <c r="D191" s="140" t="s">
        <v>9133</v>
      </c>
      <c r="E191" s="141" t="s">
        <v>8093</v>
      </c>
      <c r="F191" s="142" t="s">
        <v>9131</v>
      </c>
      <c r="G191" s="143">
        <v>174</v>
      </c>
      <c r="H191" s="144" t="s">
        <v>730</v>
      </c>
      <c r="I191" s="145"/>
      <c r="J191" s="145"/>
      <c r="K191" s="146">
        <v>174</v>
      </c>
    </row>
    <row r="192" spans="1:11" s="147" customFormat="1" ht="11.25" customHeight="1" x14ac:dyDescent="0.2">
      <c r="A192" s="795" t="s">
        <v>9128</v>
      </c>
      <c r="B192" s="138">
        <v>43425</v>
      </c>
      <c r="C192" s="139" t="s">
        <v>9129</v>
      </c>
      <c r="D192" s="140" t="s">
        <v>9134</v>
      </c>
      <c r="E192" s="141" t="s">
        <v>8093</v>
      </c>
      <c r="F192" s="142" t="s">
        <v>9131</v>
      </c>
      <c r="G192" s="143">
        <v>174</v>
      </c>
      <c r="H192" s="144" t="s">
        <v>730</v>
      </c>
      <c r="I192" s="145"/>
      <c r="J192" s="145"/>
      <c r="K192" s="146">
        <v>174</v>
      </c>
    </row>
    <row r="193" spans="1:11" s="147" customFormat="1" ht="11.25" customHeight="1" x14ac:dyDescent="0.2">
      <c r="A193" s="795" t="s">
        <v>9128</v>
      </c>
      <c r="B193" s="138">
        <v>43425</v>
      </c>
      <c r="C193" s="139" t="s">
        <v>9129</v>
      </c>
      <c r="D193" s="140" t="s">
        <v>9135</v>
      </c>
      <c r="E193" s="141" t="s">
        <v>8093</v>
      </c>
      <c r="F193" s="142" t="s">
        <v>9131</v>
      </c>
      <c r="G193" s="143">
        <v>174</v>
      </c>
      <c r="H193" s="144" t="s">
        <v>730</v>
      </c>
      <c r="I193" s="145"/>
      <c r="J193" s="145"/>
      <c r="K193" s="146">
        <v>174</v>
      </c>
    </row>
    <row r="194" spans="1:11" s="147" customFormat="1" ht="11.25" customHeight="1" x14ac:dyDescent="0.2">
      <c r="A194" s="795" t="s">
        <v>9128</v>
      </c>
      <c r="B194" s="138">
        <v>43425</v>
      </c>
      <c r="C194" s="139" t="s">
        <v>9129</v>
      </c>
      <c r="D194" s="140" t="s">
        <v>9136</v>
      </c>
      <c r="E194" s="141" t="s">
        <v>8093</v>
      </c>
      <c r="F194" s="142" t="s">
        <v>8171</v>
      </c>
      <c r="G194" s="143">
        <v>185.6</v>
      </c>
      <c r="H194" s="144" t="s">
        <v>730</v>
      </c>
      <c r="I194" s="145"/>
      <c r="J194" s="145"/>
      <c r="K194" s="146">
        <v>185.6</v>
      </c>
    </row>
    <row r="195" spans="1:11" s="147" customFormat="1" ht="11.25" customHeight="1" x14ac:dyDescent="0.2">
      <c r="A195" s="795" t="s">
        <v>9128</v>
      </c>
      <c r="B195" s="138">
        <v>43425</v>
      </c>
      <c r="C195" s="139" t="s">
        <v>9129</v>
      </c>
      <c r="D195" s="140" t="s">
        <v>9136</v>
      </c>
      <c r="E195" s="141" t="s">
        <v>8093</v>
      </c>
      <c r="F195" s="142" t="s">
        <v>8171</v>
      </c>
      <c r="G195" s="143">
        <v>348</v>
      </c>
      <c r="H195" s="144" t="s">
        <v>730</v>
      </c>
      <c r="I195" s="145"/>
      <c r="J195" s="145"/>
      <c r="K195" s="146">
        <v>348</v>
      </c>
    </row>
    <row r="196" spans="1:11" s="147" customFormat="1" ht="11.25" customHeight="1" x14ac:dyDescent="0.2">
      <c r="A196" s="795" t="s">
        <v>9128</v>
      </c>
      <c r="B196" s="138">
        <v>43425</v>
      </c>
      <c r="C196" s="139" t="s">
        <v>9129</v>
      </c>
      <c r="D196" s="140" t="s">
        <v>9133</v>
      </c>
      <c r="E196" s="141" t="s">
        <v>8093</v>
      </c>
      <c r="F196" s="142" t="s">
        <v>9131</v>
      </c>
      <c r="G196" s="143">
        <v>696</v>
      </c>
      <c r="H196" s="144" t="s">
        <v>730</v>
      </c>
      <c r="I196" s="145"/>
      <c r="J196" s="145"/>
      <c r="K196" s="146">
        <v>696</v>
      </c>
    </row>
    <row r="197" spans="1:11" s="147" customFormat="1" ht="11.25" customHeight="1" x14ac:dyDescent="0.2">
      <c r="A197" s="795" t="s">
        <v>9128</v>
      </c>
      <c r="B197" s="138">
        <v>43425</v>
      </c>
      <c r="C197" s="139" t="s">
        <v>9129</v>
      </c>
      <c r="D197" s="140" t="s">
        <v>9132</v>
      </c>
      <c r="E197" s="141" t="s">
        <v>8093</v>
      </c>
      <c r="F197" s="142" t="s">
        <v>9131</v>
      </c>
      <c r="G197" s="143">
        <v>918.72</v>
      </c>
      <c r="H197" s="144" t="s">
        <v>730</v>
      </c>
      <c r="I197" s="145"/>
      <c r="J197" s="145"/>
      <c r="K197" s="146">
        <v>918.72</v>
      </c>
    </row>
    <row r="198" spans="1:11" s="147" customFormat="1" ht="11.25" customHeight="1" x14ac:dyDescent="0.2">
      <c r="A198" s="795" t="s">
        <v>9128</v>
      </c>
      <c r="B198" s="138">
        <v>43425</v>
      </c>
      <c r="C198" s="139" t="s">
        <v>9129</v>
      </c>
      <c r="D198" s="140" t="s">
        <v>9135</v>
      </c>
      <c r="E198" s="141" t="s">
        <v>8093</v>
      </c>
      <c r="F198" s="142" t="s">
        <v>9131</v>
      </c>
      <c r="G198" s="143">
        <v>1044</v>
      </c>
      <c r="H198" s="144" t="s">
        <v>730</v>
      </c>
      <c r="I198" s="145"/>
      <c r="J198" s="145"/>
      <c r="K198" s="146">
        <v>1044</v>
      </c>
    </row>
    <row r="199" spans="1:11" s="147" customFormat="1" ht="11.25" customHeight="1" x14ac:dyDescent="0.2">
      <c r="A199" s="795" t="s">
        <v>9128</v>
      </c>
      <c r="B199" s="138">
        <v>43425</v>
      </c>
      <c r="C199" s="139" t="s">
        <v>9129</v>
      </c>
      <c r="D199" s="140" t="s">
        <v>9134</v>
      </c>
      <c r="E199" s="141" t="s">
        <v>8093</v>
      </c>
      <c r="F199" s="142" t="s">
        <v>9131</v>
      </c>
      <c r="G199" s="143">
        <v>2310.7199999999998</v>
      </c>
      <c r="H199" s="144" t="s">
        <v>730</v>
      </c>
      <c r="I199" s="145"/>
      <c r="J199" s="145"/>
      <c r="K199" s="146">
        <v>2310.7199999999998</v>
      </c>
    </row>
    <row r="200" spans="1:11" s="147" customFormat="1" ht="11.25" customHeight="1" x14ac:dyDescent="0.2">
      <c r="A200" s="795" t="s">
        <v>9128</v>
      </c>
      <c r="B200" s="138">
        <v>43425</v>
      </c>
      <c r="C200" s="139" t="s">
        <v>9129</v>
      </c>
      <c r="D200" s="140" t="s">
        <v>9130</v>
      </c>
      <c r="E200" s="141" t="s">
        <v>8093</v>
      </c>
      <c r="F200" s="142" t="s">
        <v>9131</v>
      </c>
      <c r="G200" s="143">
        <v>2491.6799999999998</v>
      </c>
      <c r="H200" s="144" t="s">
        <v>730</v>
      </c>
      <c r="I200" s="145"/>
      <c r="J200" s="145"/>
      <c r="K200" s="146">
        <v>2491.6799999999998</v>
      </c>
    </row>
    <row r="201" spans="1:11" s="147" customFormat="1" ht="11.25" customHeight="1" x14ac:dyDescent="0.2">
      <c r="A201" s="795" t="s">
        <v>9128</v>
      </c>
      <c r="B201" s="138">
        <v>43425</v>
      </c>
      <c r="C201" s="139" t="s">
        <v>9129</v>
      </c>
      <c r="D201" s="140" t="s">
        <v>9132</v>
      </c>
      <c r="E201" s="141" t="s">
        <v>8093</v>
      </c>
      <c r="F201" s="142" t="s">
        <v>9131</v>
      </c>
      <c r="G201" s="143">
        <v>5011.2</v>
      </c>
      <c r="H201" s="144" t="s">
        <v>730</v>
      </c>
      <c r="I201" s="145"/>
      <c r="J201" s="145"/>
      <c r="K201" s="146">
        <v>5011.2</v>
      </c>
    </row>
    <row r="202" spans="1:11" s="147" customFormat="1" ht="11.25" customHeight="1" x14ac:dyDescent="0.2">
      <c r="A202" s="795" t="s">
        <v>9055</v>
      </c>
      <c r="B202" s="138">
        <v>43426</v>
      </c>
      <c r="C202" s="139" t="s">
        <v>9137</v>
      </c>
      <c r="D202" s="140" t="s">
        <v>9138</v>
      </c>
      <c r="E202" s="141" t="s">
        <v>8162</v>
      </c>
      <c r="F202" s="142" t="s">
        <v>9139</v>
      </c>
      <c r="G202" s="143">
        <v>371.2</v>
      </c>
      <c r="H202" s="144" t="s">
        <v>730</v>
      </c>
      <c r="I202" s="145"/>
      <c r="J202" s="145"/>
      <c r="K202" s="146">
        <v>371.2</v>
      </c>
    </row>
    <row r="203" spans="1:11" s="147" customFormat="1" ht="11.25" customHeight="1" x14ac:dyDescent="0.2">
      <c r="A203" s="795" t="s">
        <v>9055</v>
      </c>
      <c r="B203" s="138">
        <v>43426</v>
      </c>
      <c r="C203" s="139" t="s">
        <v>9137</v>
      </c>
      <c r="D203" s="140" t="s">
        <v>9138</v>
      </c>
      <c r="E203" s="141" t="s">
        <v>8162</v>
      </c>
      <c r="F203" s="142" t="s">
        <v>9139</v>
      </c>
      <c r="G203" s="143">
        <v>1624</v>
      </c>
      <c r="H203" s="144" t="s">
        <v>730</v>
      </c>
      <c r="I203" s="145"/>
      <c r="J203" s="145"/>
      <c r="K203" s="146">
        <v>1624</v>
      </c>
    </row>
    <row r="204" spans="1:11" s="147" customFormat="1" ht="11.25" customHeight="1" x14ac:dyDescent="0.2">
      <c r="A204" s="795" t="s">
        <v>9140</v>
      </c>
      <c r="B204" s="138">
        <v>43426</v>
      </c>
      <c r="C204" s="139" t="s">
        <v>9141</v>
      </c>
      <c r="D204" s="140" t="s">
        <v>9142</v>
      </c>
      <c r="E204" s="141" t="s">
        <v>8163</v>
      </c>
      <c r="F204" s="142" t="s">
        <v>9143</v>
      </c>
      <c r="G204" s="143">
        <v>174</v>
      </c>
      <c r="H204" s="144" t="s">
        <v>730</v>
      </c>
      <c r="I204" s="145"/>
      <c r="J204" s="145"/>
      <c r="K204" s="146">
        <v>174</v>
      </c>
    </row>
    <row r="205" spans="1:11" s="147" customFormat="1" ht="11.25" customHeight="1" x14ac:dyDescent="0.2">
      <c r="A205" s="795" t="s">
        <v>9140</v>
      </c>
      <c r="B205" s="138">
        <v>43426</v>
      </c>
      <c r="C205" s="139" t="s">
        <v>9144</v>
      </c>
      <c r="D205" s="140" t="s">
        <v>9145</v>
      </c>
      <c r="E205" s="141" t="s">
        <v>8163</v>
      </c>
      <c r="F205" s="142" t="s">
        <v>9143</v>
      </c>
      <c r="G205" s="143">
        <v>232</v>
      </c>
      <c r="H205" s="144" t="s">
        <v>730</v>
      </c>
      <c r="I205" s="145"/>
      <c r="J205" s="145"/>
      <c r="K205" s="146">
        <v>232</v>
      </c>
    </row>
    <row r="206" spans="1:11" s="147" customFormat="1" ht="11.25" customHeight="1" x14ac:dyDescent="0.2">
      <c r="A206" s="795" t="s">
        <v>9140</v>
      </c>
      <c r="B206" s="138">
        <v>43426</v>
      </c>
      <c r="C206" s="139" t="s">
        <v>9141</v>
      </c>
      <c r="D206" s="140" t="s">
        <v>9146</v>
      </c>
      <c r="E206" s="141" t="s">
        <v>8163</v>
      </c>
      <c r="F206" s="142" t="s">
        <v>9143</v>
      </c>
      <c r="G206" s="143">
        <v>232</v>
      </c>
      <c r="H206" s="144" t="s">
        <v>730</v>
      </c>
      <c r="I206" s="145"/>
      <c r="J206" s="145"/>
      <c r="K206" s="146">
        <v>232</v>
      </c>
    </row>
    <row r="207" spans="1:11" s="147" customFormat="1" ht="11.25" customHeight="1" x14ac:dyDescent="0.2">
      <c r="A207" s="795" t="s">
        <v>9140</v>
      </c>
      <c r="B207" s="138">
        <v>43426</v>
      </c>
      <c r="C207" s="139" t="s">
        <v>9141</v>
      </c>
      <c r="D207" s="140" t="s">
        <v>9147</v>
      </c>
      <c r="E207" s="141" t="s">
        <v>8163</v>
      </c>
      <c r="F207" s="142" t="s">
        <v>9143</v>
      </c>
      <c r="G207" s="143">
        <v>324.8</v>
      </c>
      <c r="H207" s="144" t="s">
        <v>730</v>
      </c>
      <c r="I207" s="145"/>
      <c r="J207" s="145"/>
      <c r="K207" s="146">
        <v>324.8</v>
      </c>
    </row>
    <row r="208" spans="1:11" s="147" customFormat="1" ht="11.25" customHeight="1" x14ac:dyDescent="0.2">
      <c r="A208" s="795" t="s">
        <v>9140</v>
      </c>
      <c r="B208" s="138">
        <v>43426</v>
      </c>
      <c r="C208" s="139" t="s">
        <v>9144</v>
      </c>
      <c r="D208" s="140" t="s">
        <v>9148</v>
      </c>
      <c r="E208" s="141" t="s">
        <v>8163</v>
      </c>
      <c r="F208" s="142" t="s">
        <v>9149</v>
      </c>
      <c r="G208" s="143">
        <v>417.6</v>
      </c>
      <c r="H208" s="144" t="s">
        <v>730</v>
      </c>
      <c r="I208" s="145"/>
      <c r="J208" s="145"/>
      <c r="K208" s="146">
        <v>417.6</v>
      </c>
    </row>
    <row r="209" spans="1:11" s="147" customFormat="1" ht="11.25" customHeight="1" x14ac:dyDescent="0.2">
      <c r="A209" s="795" t="s">
        <v>9140</v>
      </c>
      <c r="B209" s="138">
        <v>43426</v>
      </c>
      <c r="C209" s="139" t="s">
        <v>9141</v>
      </c>
      <c r="D209" s="140" t="s">
        <v>9150</v>
      </c>
      <c r="E209" s="141" t="s">
        <v>8163</v>
      </c>
      <c r="F209" s="142" t="s">
        <v>9143</v>
      </c>
      <c r="G209" s="143">
        <v>487.2</v>
      </c>
      <c r="H209" s="144" t="s">
        <v>730</v>
      </c>
      <c r="I209" s="145"/>
      <c r="J209" s="145"/>
      <c r="K209" s="146">
        <v>487.2</v>
      </c>
    </row>
    <row r="210" spans="1:11" s="147" customFormat="1" ht="11.25" customHeight="1" x14ac:dyDescent="0.2">
      <c r="A210" s="795" t="s">
        <v>9140</v>
      </c>
      <c r="B210" s="138">
        <v>43426</v>
      </c>
      <c r="C210" s="139" t="s">
        <v>9144</v>
      </c>
      <c r="D210" s="140" t="s">
        <v>9151</v>
      </c>
      <c r="E210" s="141" t="s">
        <v>8163</v>
      </c>
      <c r="F210" s="142" t="s">
        <v>9143</v>
      </c>
      <c r="G210" s="143">
        <v>498.8</v>
      </c>
      <c r="H210" s="144" t="s">
        <v>730</v>
      </c>
      <c r="I210" s="145"/>
      <c r="J210" s="145"/>
      <c r="K210" s="146">
        <v>498.8</v>
      </c>
    </row>
    <row r="211" spans="1:11" s="147" customFormat="1" ht="11.25" customHeight="1" x14ac:dyDescent="0.2">
      <c r="A211" s="795" t="s">
        <v>9140</v>
      </c>
      <c r="B211" s="138">
        <v>43426</v>
      </c>
      <c r="C211" s="139" t="s">
        <v>9141</v>
      </c>
      <c r="D211" s="140" t="s">
        <v>9152</v>
      </c>
      <c r="E211" s="141" t="s">
        <v>8163</v>
      </c>
      <c r="F211" s="142" t="s">
        <v>9143</v>
      </c>
      <c r="G211" s="143">
        <v>510.4</v>
      </c>
      <c r="H211" s="144" t="s">
        <v>730</v>
      </c>
      <c r="I211" s="145"/>
      <c r="J211" s="145"/>
      <c r="K211" s="146">
        <v>510.4</v>
      </c>
    </row>
    <row r="212" spans="1:11" s="147" customFormat="1" ht="11.25" customHeight="1" x14ac:dyDescent="0.2">
      <c r="A212" s="795" t="s">
        <v>9140</v>
      </c>
      <c r="B212" s="138">
        <v>43426</v>
      </c>
      <c r="C212" s="139" t="s">
        <v>9141</v>
      </c>
      <c r="D212" s="140" t="s">
        <v>9153</v>
      </c>
      <c r="E212" s="141" t="s">
        <v>8163</v>
      </c>
      <c r="F212" s="142" t="s">
        <v>9143</v>
      </c>
      <c r="G212" s="143">
        <v>649.6</v>
      </c>
      <c r="H212" s="144" t="s">
        <v>730</v>
      </c>
      <c r="I212" s="145"/>
      <c r="J212" s="145"/>
      <c r="K212" s="146">
        <v>649.6</v>
      </c>
    </row>
    <row r="213" spans="1:11" s="147" customFormat="1" ht="11.25" customHeight="1" x14ac:dyDescent="0.2">
      <c r="A213" s="795" t="s">
        <v>9140</v>
      </c>
      <c r="B213" s="138">
        <v>43426</v>
      </c>
      <c r="C213" s="139" t="s">
        <v>9144</v>
      </c>
      <c r="D213" s="140" t="s">
        <v>9154</v>
      </c>
      <c r="E213" s="141" t="s">
        <v>8163</v>
      </c>
      <c r="F213" s="142" t="s">
        <v>9143</v>
      </c>
      <c r="G213" s="143">
        <v>835.2</v>
      </c>
      <c r="H213" s="144" t="s">
        <v>730</v>
      </c>
      <c r="I213" s="145"/>
      <c r="J213" s="145"/>
      <c r="K213" s="146">
        <v>835.2</v>
      </c>
    </row>
    <row r="214" spans="1:11" s="147" customFormat="1" ht="11.25" customHeight="1" x14ac:dyDescent="0.2">
      <c r="A214" s="795" t="s">
        <v>9140</v>
      </c>
      <c r="B214" s="138">
        <v>43426</v>
      </c>
      <c r="C214" s="139" t="s">
        <v>9144</v>
      </c>
      <c r="D214" s="140" t="s">
        <v>9155</v>
      </c>
      <c r="E214" s="141" t="s">
        <v>8163</v>
      </c>
      <c r="F214" s="142" t="s">
        <v>9143</v>
      </c>
      <c r="G214" s="143">
        <v>974.4</v>
      </c>
      <c r="H214" s="144" t="s">
        <v>730</v>
      </c>
      <c r="I214" s="145"/>
      <c r="J214" s="145"/>
      <c r="K214" s="146">
        <v>974.4</v>
      </c>
    </row>
    <row r="215" spans="1:11" s="147" customFormat="1" ht="11.25" customHeight="1" x14ac:dyDescent="0.2">
      <c r="A215" s="795" t="s">
        <v>9140</v>
      </c>
      <c r="B215" s="138">
        <v>43426</v>
      </c>
      <c r="C215" s="139" t="s">
        <v>9141</v>
      </c>
      <c r="D215" s="140" t="s">
        <v>9156</v>
      </c>
      <c r="E215" s="141" t="s">
        <v>8163</v>
      </c>
      <c r="F215" s="142" t="s">
        <v>9143</v>
      </c>
      <c r="G215" s="143">
        <v>974.4</v>
      </c>
      <c r="H215" s="144" t="s">
        <v>730</v>
      </c>
      <c r="I215" s="145"/>
      <c r="J215" s="145"/>
      <c r="K215" s="146">
        <v>974.4</v>
      </c>
    </row>
    <row r="216" spans="1:11" s="147" customFormat="1" ht="11.25" customHeight="1" x14ac:dyDescent="0.2">
      <c r="A216" s="795" t="s">
        <v>9140</v>
      </c>
      <c r="B216" s="138">
        <v>43426</v>
      </c>
      <c r="C216" s="139" t="s">
        <v>9144</v>
      </c>
      <c r="D216" s="140" t="s">
        <v>9157</v>
      </c>
      <c r="E216" s="141" t="s">
        <v>8163</v>
      </c>
      <c r="F216" s="142" t="s">
        <v>9143</v>
      </c>
      <c r="G216" s="143">
        <v>997.6</v>
      </c>
      <c r="H216" s="144" t="s">
        <v>730</v>
      </c>
      <c r="I216" s="145"/>
      <c r="J216" s="145"/>
      <c r="K216" s="146">
        <v>997.6</v>
      </c>
    </row>
    <row r="217" spans="1:11" s="147" customFormat="1" ht="11.25" customHeight="1" x14ac:dyDescent="0.2">
      <c r="A217" s="795" t="s">
        <v>9140</v>
      </c>
      <c r="B217" s="138">
        <v>43426</v>
      </c>
      <c r="C217" s="139" t="s">
        <v>9144</v>
      </c>
      <c r="D217" s="140" t="s">
        <v>9158</v>
      </c>
      <c r="E217" s="141" t="s">
        <v>8163</v>
      </c>
      <c r="F217" s="142" t="s">
        <v>9143</v>
      </c>
      <c r="G217" s="143">
        <v>1113.5999999999999</v>
      </c>
      <c r="H217" s="144" t="s">
        <v>730</v>
      </c>
      <c r="I217" s="145"/>
      <c r="J217" s="145"/>
      <c r="K217" s="146">
        <v>1113.5999999999999</v>
      </c>
    </row>
    <row r="218" spans="1:11" s="147" customFormat="1" ht="11.25" customHeight="1" x14ac:dyDescent="0.2">
      <c r="A218" s="795" t="s">
        <v>9140</v>
      </c>
      <c r="B218" s="138">
        <v>43426</v>
      </c>
      <c r="C218" s="139" t="s">
        <v>9141</v>
      </c>
      <c r="D218" s="140" t="s">
        <v>9159</v>
      </c>
      <c r="E218" s="141" t="s">
        <v>8163</v>
      </c>
      <c r="F218" s="142" t="s">
        <v>9143</v>
      </c>
      <c r="G218" s="143">
        <v>1206.4000000000001</v>
      </c>
      <c r="H218" s="144" t="s">
        <v>730</v>
      </c>
      <c r="I218" s="145"/>
      <c r="J218" s="145"/>
      <c r="K218" s="146">
        <v>1206.4000000000001</v>
      </c>
    </row>
    <row r="219" spans="1:11" s="147" customFormat="1" ht="11.25" customHeight="1" x14ac:dyDescent="0.2">
      <c r="A219" s="795" t="s">
        <v>9128</v>
      </c>
      <c r="B219" s="138">
        <v>43426</v>
      </c>
      <c r="C219" s="139" t="s">
        <v>9160</v>
      </c>
      <c r="D219" s="140" t="s">
        <v>9161</v>
      </c>
      <c r="E219" s="141" t="s">
        <v>8093</v>
      </c>
      <c r="F219" s="142" t="s">
        <v>9100</v>
      </c>
      <c r="G219" s="143">
        <v>174</v>
      </c>
      <c r="H219" s="144" t="s">
        <v>730</v>
      </c>
      <c r="I219" s="145"/>
      <c r="J219" s="145"/>
      <c r="K219" s="146">
        <v>174</v>
      </c>
    </row>
    <row r="220" spans="1:11" s="147" customFormat="1" ht="11.25" customHeight="1" x14ac:dyDescent="0.2">
      <c r="A220" s="795" t="s">
        <v>9128</v>
      </c>
      <c r="B220" s="138">
        <v>43426</v>
      </c>
      <c r="C220" s="139" t="s">
        <v>9160</v>
      </c>
      <c r="D220" s="140" t="s">
        <v>9162</v>
      </c>
      <c r="E220" s="141" t="s">
        <v>8093</v>
      </c>
      <c r="F220" s="142" t="s">
        <v>9100</v>
      </c>
      <c r="G220" s="143">
        <v>174</v>
      </c>
      <c r="H220" s="144" t="s">
        <v>730</v>
      </c>
      <c r="I220" s="145"/>
      <c r="J220" s="145"/>
      <c r="K220" s="146">
        <v>174</v>
      </c>
    </row>
    <row r="221" spans="1:11" s="147" customFormat="1" ht="11.25" customHeight="1" x14ac:dyDescent="0.2">
      <c r="A221" s="795" t="s">
        <v>9128</v>
      </c>
      <c r="B221" s="138">
        <v>43426</v>
      </c>
      <c r="C221" s="139" t="s">
        <v>9160</v>
      </c>
      <c r="D221" s="140" t="s">
        <v>9163</v>
      </c>
      <c r="E221" s="141" t="s">
        <v>8093</v>
      </c>
      <c r="F221" s="142" t="s">
        <v>9100</v>
      </c>
      <c r="G221" s="143">
        <v>174</v>
      </c>
      <c r="H221" s="144" t="s">
        <v>730</v>
      </c>
      <c r="I221" s="145"/>
      <c r="J221" s="145"/>
      <c r="K221" s="146">
        <v>174</v>
      </c>
    </row>
    <row r="222" spans="1:11" s="147" customFormat="1" ht="11.25" customHeight="1" x14ac:dyDescent="0.2">
      <c r="A222" s="795" t="s">
        <v>9128</v>
      </c>
      <c r="B222" s="138">
        <v>43426</v>
      </c>
      <c r="C222" s="139" t="s">
        <v>9160</v>
      </c>
      <c r="D222" s="140" t="s">
        <v>9164</v>
      </c>
      <c r="E222" s="141" t="s">
        <v>8093</v>
      </c>
      <c r="F222" s="142" t="s">
        <v>9100</v>
      </c>
      <c r="G222" s="143">
        <v>174</v>
      </c>
      <c r="H222" s="144" t="s">
        <v>730</v>
      </c>
      <c r="I222" s="145"/>
      <c r="J222" s="145"/>
      <c r="K222" s="146">
        <v>174</v>
      </c>
    </row>
    <row r="223" spans="1:11" s="147" customFormat="1" ht="11.25" customHeight="1" x14ac:dyDescent="0.2">
      <c r="A223" s="795" t="s">
        <v>9128</v>
      </c>
      <c r="B223" s="138">
        <v>43426</v>
      </c>
      <c r="C223" s="139" t="s">
        <v>9160</v>
      </c>
      <c r="D223" s="140" t="s">
        <v>9165</v>
      </c>
      <c r="E223" s="141" t="s">
        <v>8093</v>
      </c>
      <c r="F223" s="142" t="s">
        <v>8171</v>
      </c>
      <c r="G223" s="143">
        <v>174</v>
      </c>
      <c r="H223" s="144" t="s">
        <v>730</v>
      </c>
      <c r="I223" s="145"/>
      <c r="J223" s="145"/>
      <c r="K223" s="146">
        <v>174</v>
      </c>
    </row>
    <row r="224" spans="1:11" s="147" customFormat="1" ht="11.25" customHeight="1" x14ac:dyDescent="0.2">
      <c r="A224" s="795" t="s">
        <v>9128</v>
      </c>
      <c r="B224" s="138">
        <v>43426</v>
      </c>
      <c r="C224" s="139" t="s">
        <v>9160</v>
      </c>
      <c r="D224" s="140" t="s">
        <v>9163</v>
      </c>
      <c r="E224" s="141" t="s">
        <v>8093</v>
      </c>
      <c r="F224" s="142" t="s">
        <v>9100</v>
      </c>
      <c r="G224" s="143">
        <v>696</v>
      </c>
      <c r="H224" s="144" t="s">
        <v>730</v>
      </c>
      <c r="I224" s="145"/>
      <c r="J224" s="145"/>
      <c r="K224" s="146">
        <v>696</v>
      </c>
    </row>
    <row r="225" spans="1:11" s="147" customFormat="1" ht="11.25" customHeight="1" x14ac:dyDescent="0.2">
      <c r="A225" s="795" t="s">
        <v>9128</v>
      </c>
      <c r="B225" s="138">
        <v>43426</v>
      </c>
      <c r="C225" s="139" t="s">
        <v>9160</v>
      </c>
      <c r="D225" s="140" t="s">
        <v>9165</v>
      </c>
      <c r="E225" s="141" t="s">
        <v>8093</v>
      </c>
      <c r="F225" s="142" t="s">
        <v>8171</v>
      </c>
      <c r="G225" s="143">
        <v>1044</v>
      </c>
      <c r="H225" s="144" t="s">
        <v>730</v>
      </c>
      <c r="I225" s="145"/>
      <c r="J225" s="145"/>
      <c r="K225" s="146">
        <v>1044</v>
      </c>
    </row>
    <row r="226" spans="1:11" s="147" customFormat="1" ht="11.25" customHeight="1" x14ac:dyDescent="0.2">
      <c r="A226" s="795" t="s">
        <v>9128</v>
      </c>
      <c r="B226" s="138">
        <v>43426</v>
      </c>
      <c r="C226" s="139" t="s">
        <v>9160</v>
      </c>
      <c r="D226" s="140" t="s">
        <v>9162</v>
      </c>
      <c r="E226" s="141" t="s">
        <v>8093</v>
      </c>
      <c r="F226" s="142" t="s">
        <v>9100</v>
      </c>
      <c r="G226" s="143">
        <v>1392</v>
      </c>
      <c r="H226" s="144" t="s">
        <v>730</v>
      </c>
      <c r="I226" s="145"/>
      <c r="J226" s="145"/>
      <c r="K226" s="146">
        <v>1392</v>
      </c>
    </row>
    <row r="227" spans="1:11" s="147" customFormat="1" ht="11.25" customHeight="1" x14ac:dyDescent="0.2">
      <c r="A227" s="795" t="s">
        <v>9128</v>
      </c>
      <c r="B227" s="138">
        <v>43426</v>
      </c>
      <c r="C227" s="139" t="s">
        <v>9160</v>
      </c>
      <c r="D227" s="140" t="s">
        <v>9164</v>
      </c>
      <c r="E227" s="141" t="s">
        <v>8093</v>
      </c>
      <c r="F227" s="142" t="s">
        <v>9100</v>
      </c>
      <c r="G227" s="143">
        <v>1392</v>
      </c>
      <c r="H227" s="144" t="s">
        <v>730</v>
      </c>
      <c r="I227" s="145"/>
      <c r="J227" s="145"/>
      <c r="K227" s="146">
        <v>1392</v>
      </c>
    </row>
    <row r="228" spans="1:11" s="147" customFormat="1" ht="11.25" customHeight="1" x14ac:dyDescent="0.2">
      <c r="A228" s="795" t="s">
        <v>9128</v>
      </c>
      <c r="B228" s="138">
        <v>43426</v>
      </c>
      <c r="C228" s="139" t="s">
        <v>9160</v>
      </c>
      <c r="D228" s="140" t="s">
        <v>9161</v>
      </c>
      <c r="E228" s="141" t="s">
        <v>8093</v>
      </c>
      <c r="F228" s="142" t="s">
        <v>9100</v>
      </c>
      <c r="G228" s="143">
        <v>2784</v>
      </c>
      <c r="H228" s="144" t="s">
        <v>730</v>
      </c>
      <c r="I228" s="145"/>
      <c r="J228" s="145"/>
      <c r="K228" s="146">
        <v>2784</v>
      </c>
    </row>
    <row r="229" spans="1:11" s="147" customFormat="1" ht="11.25" customHeight="1" x14ac:dyDescent="0.2">
      <c r="A229" s="795" t="s">
        <v>9128</v>
      </c>
      <c r="B229" s="138">
        <v>43426</v>
      </c>
      <c r="C229" s="139" t="s">
        <v>9160</v>
      </c>
      <c r="D229" s="140" t="s">
        <v>9166</v>
      </c>
      <c r="E229" s="141" t="s">
        <v>8093</v>
      </c>
      <c r="F229" s="142" t="s">
        <v>9102</v>
      </c>
      <c r="G229" s="143">
        <v>3132</v>
      </c>
      <c r="H229" s="144" t="s">
        <v>730</v>
      </c>
      <c r="I229" s="145"/>
      <c r="J229" s="145"/>
      <c r="K229" s="146">
        <v>3132</v>
      </c>
    </row>
    <row r="230" spans="1:11" s="147" customFormat="1" ht="11.25" customHeight="1" x14ac:dyDescent="0.2">
      <c r="A230" s="795" t="s">
        <v>9103</v>
      </c>
      <c r="B230" s="138">
        <v>43431</v>
      </c>
      <c r="C230" s="139" t="s">
        <v>9167</v>
      </c>
      <c r="D230" s="140" t="s">
        <v>9168</v>
      </c>
      <c r="E230" s="141" t="s">
        <v>9105</v>
      </c>
      <c r="F230" s="142" t="s">
        <v>9106</v>
      </c>
      <c r="G230" s="143">
        <v>688.09</v>
      </c>
      <c r="H230" s="144" t="s">
        <v>730</v>
      </c>
      <c r="I230" s="145"/>
      <c r="J230" s="145"/>
      <c r="K230" s="146">
        <v>688.09</v>
      </c>
    </row>
    <row r="231" spans="1:11" s="147" customFormat="1" ht="11.25" customHeight="1" x14ac:dyDescent="0.2">
      <c r="A231" s="795" t="s">
        <v>9103</v>
      </c>
      <c r="B231" s="138">
        <v>43431</v>
      </c>
      <c r="C231" s="139" t="s">
        <v>9167</v>
      </c>
      <c r="D231" s="140" t="s">
        <v>9169</v>
      </c>
      <c r="E231" s="141" t="s">
        <v>9105</v>
      </c>
      <c r="F231" s="142" t="s">
        <v>9106</v>
      </c>
      <c r="G231" s="143">
        <v>5755</v>
      </c>
      <c r="H231" s="144" t="s">
        <v>730</v>
      </c>
      <c r="I231" s="145"/>
      <c r="J231" s="145"/>
      <c r="K231" s="146">
        <v>5755</v>
      </c>
    </row>
    <row r="232" spans="1:11" s="147" customFormat="1" ht="11.25" customHeight="1" x14ac:dyDescent="0.2">
      <c r="A232" s="795" t="s">
        <v>9103</v>
      </c>
      <c r="B232" s="138">
        <v>43431</v>
      </c>
      <c r="C232" s="139" t="s">
        <v>9167</v>
      </c>
      <c r="D232" s="140" t="s">
        <v>9170</v>
      </c>
      <c r="E232" s="141" t="s">
        <v>9105</v>
      </c>
      <c r="F232" s="142" t="s">
        <v>9106</v>
      </c>
      <c r="G232" s="143">
        <v>7298.35</v>
      </c>
      <c r="H232" s="144" t="s">
        <v>730</v>
      </c>
      <c r="I232" s="145"/>
      <c r="J232" s="145"/>
      <c r="K232" s="146">
        <v>7298.35</v>
      </c>
    </row>
    <row r="233" spans="1:11" s="147" customFormat="1" ht="11.25" customHeight="1" x14ac:dyDescent="0.2">
      <c r="A233" s="795" t="s">
        <v>9035</v>
      </c>
      <c r="B233" s="138">
        <v>43431</v>
      </c>
      <c r="C233" s="139" t="s">
        <v>9171</v>
      </c>
      <c r="D233" s="140" t="s">
        <v>9172</v>
      </c>
      <c r="E233" s="141" t="s">
        <v>8123</v>
      </c>
      <c r="F233" s="142" t="s">
        <v>8116</v>
      </c>
      <c r="G233" s="143">
        <v>16.54</v>
      </c>
      <c r="H233" s="144" t="s">
        <v>730</v>
      </c>
      <c r="I233" s="145"/>
      <c r="J233" s="145"/>
      <c r="K233" s="146">
        <v>16.54</v>
      </c>
    </row>
    <row r="234" spans="1:11" s="147" customFormat="1" ht="11.25" customHeight="1" x14ac:dyDescent="0.2">
      <c r="A234" s="795" t="s">
        <v>9035</v>
      </c>
      <c r="B234" s="138">
        <v>43431</v>
      </c>
      <c r="C234" s="139" t="s">
        <v>9173</v>
      </c>
      <c r="D234" s="140" t="s">
        <v>9174</v>
      </c>
      <c r="E234" s="141" t="s">
        <v>8123</v>
      </c>
      <c r="F234" s="142" t="s">
        <v>8116</v>
      </c>
      <c r="G234" s="143">
        <v>18.79</v>
      </c>
      <c r="H234" s="144" t="s">
        <v>730</v>
      </c>
      <c r="I234" s="145"/>
      <c r="J234" s="145"/>
      <c r="K234" s="146">
        <v>18.79</v>
      </c>
    </row>
    <row r="235" spans="1:11" s="147" customFormat="1" ht="11.25" customHeight="1" x14ac:dyDescent="0.2">
      <c r="A235" s="795" t="s">
        <v>9035</v>
      </c>
      <c r="B235" s="138">
        <v>43431</v>
      </c>
      <c r="C235" s="139" t="s">
        <v>9173</v>
      </c>
      <c r="D235" s="140" t="s">
        <v>9174</v>
      </c>
      <c r="E235" s="141" t="s">
        <v>8123</v>
      </c>
      <c r="F235" s="142" t="s">
        <v>8116</v>
      </c>
      <c r="G235" s="143">
        <v>22.03</v>
      </c>
      <c r="H235" s="144" t="s">
        <v>730</v>
      </c>
      <c r="I235" s="145"/>
      <c r="J235" s="145"/>
      <c r="K235" s="146">
        <v>22.03</v>
      </c>
    </row>
    <row r="236" spans="1:11" s="147" customFormat="1" ht="11.25" customHeight="1" x14ac:dyDescent="0.2">
      <c r="A236" s="795" t="s">
        <v>9035</v>
      </c>
      <c r="B236" s="138">
        <v>43431</v>
      </c>
      <c r="C236" s="139" t="s">
        <v>9173</v>
      </c>
      <c r="D236" s="140" t="s">
        <v>9174</v>
      </c>
      <c r="E236" s="141" t="s">
        <v>8123</v>
      </c>
      <c r="F236" s="142" t="s">
        <v>8116</v>
      </c>
      <c r="G236" s="143">
        <v>22.27</v>
      </c>
      <c r="H236" s="144" t="s">
        <v>730</v>
      </c>
      <c r="I236" s="145"/>
      <c r="J236" s="145"/>
      <c r="K236" s="146">
        <v>22.27</v>
      </c>
    </row>
    <row r="237" spans="1:11" s="147" customFormat="1" ht="11.25" customHeight="1" x14ac:dyDescent="0.2">
      <c r="A237" s="795" t="s">
        <v>9035</v>
      </c>
      <c r="B237" s="138">
        <v>43431</v>
      </c>
      <c r="C237" s="139" t="s">
        <v>9173</v>
      </c>
      <c r="D237" s="140" t="s">
        <v>9174</v>
      </c>
      <c r="E237" s="141" t="s">
        <v>8123</v>
      </c>
      <c r="F237" s="142" t="s">
        <v>8116</v>
      </c>
      <c r="G237" s="143">
        <v>24.29</v>
      </c>
      <c r="H237" s="144" t="s">
        <v>730</v>
      </c>
      <c r="I237" s="145"/>
      <c r="J237" s="145"/>
      <c r="K237" s="146">
        <v>24.29</v>
      </c>
    </row>
    <row r="238" spans="1:11" s="147" customFormat="1" ht="11.25" customHeight="1" x14ac:dyDescent="0.2">
      <c r="A238" s="795" t="s">
        <v>9035</v>
      </c>
      <c r="B238" s="138">
        <v>43431</v>
      </c>
      <c r="C238" s="139" t="s">
        <v>9173</v>
      </c>
      <c r="D238" s="140" t="s">
        <v>9175</v>
      </c>
      <c r="E238" s="141" t="s">
        <v>8123</v>
      </c>
      <c r="F238" s="142" t="s">
        <v>8976</v>
      </c>
      <c r="G238" s="143">
        <v>24.29</v>
      </c>
      <c r="H238" s="144" t="s">
        <v>730</v>
      </c>
      <c r="I238" s="145"/>
      <c r="J238" s="145"/>
      <c r="K238" s="146">
        <v>24.29</v>
      </c>
    </row>
    <row r="239" spans="1:11" s="147" customFormat="1" ht="11.25" customHeight="1" x14ac:dyDescent="0.2">
      <c r="A239" s="795" t="s">
        <v>9035</v>
      </c>
      <c r="B239" s="138">
        <v>43431</v>
      </c>
      <c r="C239" s="139" t="s">
        <v>9171</v>
      </c>
      <c r="D239" s="140" t="s">
        <v>9176</v>
      </c>
      <c r="E239" s="141" t="s">
        <v>8123</v>
      </c>
      <c r="F239" s="142" t="s">
        <v>8116</v>
      </c>
      <c r="G239" s="143">
        <v>24.29</v>
      </c>
      <c r="H239" s="144" t="s">
        <v>730</v>
      </c>
      <c r="I239" s="145"/>
      <c r="J239" s="145"/>
      <c r="K239" s="146">
        <v>24.29</v>
      </c>
    </row>
    <row r="240" spans="1:11" s="147" customFormat="1" ht="11.25" customHeight="1" x14ac:dyDescent="0.2">
      <c r="A240" s="795" t="s">
        <v>9035</v>
      </c>
      <c r="B240" s="138">
        <v>43431</v>
      </c>
      <c r="C240" s="139" t="s">
        <v>9173</v>
      </c>
      <c r="D240" s="140" t="s">
        <v>9177</v>
      </c>
      <c r="E240" s="141" t="s">
        <v>8123</v>
      </c>
      <c r="F240" s="142" t="s">
        <v>8082</v>
      </c>
      <c r="G240" s="143">
        <v>24.36</v>
      </c>
      <c r="H240" s="144" t="s">
        <v>730</v>
      </c>
      <c r="I240" s="145"/>
      <c r="J240" s="145"/>
      <c r="K240" s="146">
        <v>24.36</v>
      </c>
    </row>
    <row r="241" spans="1:11" s="147" customFormat="1" ht="11.25" customHeight="1" x14ac:dyDescent="0.2">
      <c r="A241" s="795" t="s">
        <v>9035</v>
      </c>
      <c r="B241" s="138">
        <v>43431</v>
      </c>
      <c r="C241" s="139" t="s">
        <v>9173</v>
      </c>
      <c r="D241" s="140" t="s">
        <v>9174</v>
      </c>
      <c r="E241" s="141" t="s">
        <v>8123</v>
      </c>
      <c r="F241" s="142" t="s">
        <v>8116</v>
      </c>
      <c r="G241" s="143">
        <v>26.59</v>
      </c>
      <c r="H241" s="144" t="s">
        <v>730</v>
      </c>
      <c r="I241" s="145"/>
      <c r="J241" s="145"/>
      <c r="K241" s="146">
        <v>26.59</v>
      </c>
    </row>
    <row r="242" spans="1:11" s="147" customFormat="1" ht="11.25" customHeight="1" x14ac:dyDescent="0.2">
      <c r="A242" s="795" t="s">
        <v>9035</v>
      </c>
      <c r="B242" s="138">
        <v>43431</v>
      </c>
      <c r="C242" s="139" t="s">
        <v>9173</v>
      </c>
      <c r="D242" s="140" t="s">
        <v>9175</v>
      </c>
      <c r="E242" s="141" t="s">
        <v>8123</v>
      </c>
      <c r="F242" s="142" t="s">
        <v>8976</v>
      </c>
      <c r="G242" s="143">
        <v>26.59</v>
      </c>
      <c r="H242" s="144" t="s">
        <v>730</v>
      </c>
      <c r="I242" s="145"/>
      <c r="J242" s="145"/>
      <c r="K242" s="146">
        <v>26.59</v>
      </c>
    </row>
    <row r="243" spans="1:11" s="147" customFormat="1" ht="11.25" customHeight="1" x14ac:dyDescent="0.2">
      <c r="A243" s="795" t="s">
        <v>9035</v>
      </c>
      <c r="B243" s="138">
        <v>43431</v>
      </c>
      <c r="C243" s="139" t="s">
        <v>9173</v>
      </c>
      <c r="D243" s="140" t="s">
        <v>9177</v>
      </c>
      <c r="E243" s="141" t="s">
        <v>8123</v>
      </c>
      <c r="F243" s="142" t="s">
        <v>8082</v>
      </c>
      <c r="G243" s="143">
        <v>29</v>
      </c>
      <c r="H243" s="144" t="s">
        <v>730</v>
      </c>
      <c r="I243" s="145"/>
      <c r="J243" s="145"/>
      <c r="K243" s="146">
        <v>29</v>
      </c>
    </row>
    <row r="244" spans="1:11" s="147" customFormat="1" ht="11.25" customHeight="1" x14ac:dyDescent="0.2">
      <c r="A244" s="795" t="s">
        <v>9035</v>
      </c>
      <c r="B244" s="138">
        <v>43431</v>
      </c>
      <c r="C244" s="139" t="s">
        <v>9173</v>
      </c>
      <c r="D244" s="140" t="s">
        <v>9177</v>
      </c>
      <c r="E244" s="141" t="s">
        <v>8123</v>
      </c>
      <c r="F244" s="142" t="s">
        <v>8082</v>
      </c>
      <c r="G244" s="143">
        <v>29</v>
      </c>
      <c r="H244" s="144" t="s">
        <v>730</v>
      </c>
      <c r="I244" s="145"/>
      <c r="J244" s="145"/>
      <c r="K244" s="146">
        <v>29</v>
      </c>
    </row>
    <row r="245" spans="1:11" s="147" customFormat="1" ht="11.25" customHeight="1" x14ac:dyDescent="0.2">
      <c r="A245" s="795" t="s">
        <v>9035</v>
      </c>
      <c r="B245" s="138">
        <v>43431</v>
      </c>
      <c r="C245" s="139" t="s">
        <v>9173</v>
      </c>
      <c r="D245" s="140" t="s">
        <v>9178</v>
      </c>
      <c r="E245" s="141" t="s">
        <v>8123</v>
      </c>
      <c r="F245" s="142" t="s">
        <v>8082</v>
      </c>
      <c r="G245" s="143">
        <v>34.24</v>
      </c>
      <c r="H245" s="144" t="s">
        <v>730</v>
      </c>
      <c r="I245" s="145"/>
      <c r="J245" s="145"/>
      <c r="K245" s="146">
        <v>34.24</v>
      </c>
    </row>
    <row r="246" spans="1:11" s="147" customFormat="1" ht="11.25" customHeight="1" x14ac:dyDescent="0.2">
      <c r="A246" s="795" t="s">
        <v>9035</v>
      </c>
      <c r="B246" s="138">
        <v>43431</v>
      </c>
      <c r="C246" s="139" t="s">
        <v>9173</v>
      </c>
      <c r="D246" s="140" t="s">
        <v>9174</v>
      </c>
      <c r="E246" s="141" t="s">
        <v>8123</v>
      </c>
      <c r="F246" s="142" t="s">
        <v>8116</v>
      </c>
      <c r="G246" s="143">
        <v>34.54</v>
      </c>
      <c r="H246" s="144" t="s">
        <v>730</v>
      </c>
      <c r="I246" s="145"/>
      <c r="J246" s="145"/>
      <c r="K246" s="146">
        <v>34.54</v>
      </c>
    </row>
    <row r="247" spans="1:11" s="147" customFormat="1" ht="11.25" customHeight="1" x14ac:dyDescent="0.2">
      <c r="A247" s="795" t="s">
        <v>9035</v>
      </c>
      <c r="B247" s="138">
        <v>43431</v>
      </c>
      <c r="C247" s="139" t="s">
        <v>9173</v>
      </c>
      <c r="D247" s="140" t="s">
        <v>9179</v>
      </c>
      <c r="E247" s="141" t="s">
        <v>8123</v>
      </c>
      <c r="F247" s="142" t="s">
        <v>8118</v>
      </c>
      <c r="G247" s="143">
        <v>34.799999999999997</v>
      </c>
      <c r="H247" s="144" t="s">
        <v>730</v>
      </c>
      <c r="I247" s="145"/>
      <c r="J247" s="145"/>
      <c r="K247" s="146">
        <v>34.799999999999997</v>
      </c>
    </row>
    <row r="248" spans="1:11" s="147" customFormat="1" ht="11.25" customHeight="1" x14ac:dyDescent="0.2">
      <c r="A248" s="795" t="s">
        <v>9035</v>
      </c>
      <c r="B248" s="138">
        <v>43431</v>
      </c>
      <c r="C248" s="139" t="s">
        <v>9173</v>
      </c>
      <c r="D248" s="140" t="s">
        <v>9174</v>
      </c>
      <c r="E248" s="141" t="s">
        <v>8123</v>
      </c>
      <c r="F248" s="142" t="s">
        <v>8116</v>
      </c>
      <c r="G248" s="143">
        <v>35.380000000000003</v>
      </c>
      <c r="H248" s="144" t="s">
        <v>730</v>
      </c>
      <c r="I248" s="145"/>
      <c r="J248" s="145"/>
      <c r="K248" s="146">
        <v>35.380000000000003</v>
      </c>
    </row>
    <row r="249" spans="1:11" s="147" customFormat="1" ht="11.25" customHeight="1" x14ac:dyDescent="0.2">
      <c r="A249" s="795" t="s">
        <v>9035</v>
      </c>
      <c r="B249" s="138">
        <v>43431</v>
      </c>
      <c r="C249" s="139" t="s">
        <v>9171</v>
      </c>
      <c r="D249" s="140" t="s">
        <v>9176</v>
      </c>
      <c r="E249" s="141" t="s">
        <v>8123</v>
      </c>
      <c r="F249" s="142" t="s">
        <v>8116</v>
      </c>
      <c r="G249" s="143">
        <v>35.450000000000003</v>
      </c>
      <c r="H249" s="144" t="s">
        <v>730</v>
      </c>
      <c r="I249" s="145"/>
      <c r="J249" s="145"/>
      <c r="K249" s="146">
        <v>35.450000000000003</v>
      </c>
    </row>
    <row r="250" spans="1:11" s="147" customFormat="1" ht="11.25" customHeight="1" x14ac:dyDescent="0.2">
      <c r="A250" s="795" t="s">
        <v>9035</v>
      </c>
      <c r="B250" s="138">
        <v>43431</v>
      </c>
      <c r="C250" s="139" t="s">
        <v>9173</v>
      </c>
      <c r="D250" s="140" t="s">
        <v>9180</v>
      </c>
      <c r="E250" s="141" t="s">
        <v>8123</v>
      </c>
      <c r="F250" s="142" t="s">
        <v>8118</v>
      </c>
      <c r="G250" s="143">
        <v>35.729999999999997</v>
      </c>
      <c r="H250" s="144" t="s">
        <v>730</v>
      </c>
      <c r="I250" s="145"/>
      <c r="J250" s="145"/>
      <c r="K250" s="146">
        <v>35.729999999999997</v>
      </c>
    </row>
    <row r="251" spans="1:11" s="147" customFormat="1" ht="11.25" customHeight="1" x14ac:dyDescent="0.2">
      <c r="A251" s="795" t="s">
        <v>9035</v>
      </c>
      <c r="B251" s="138">
        <v>43431</v>
      </c>
      <c r="C251" s="139" t="s">
        <v>9173</v>
      </c>
      <c r="D251" s="140" t="s">
        <v>9175</v>
      </c>
      <c r="E251" s="141" t="s">
        <v>8123</v>
      </c>
      <c r="F251" s="142" t="s">
        <v>8976</v>
      </c>
      <c r="G251" s="143">
        <v>37.58</v>
      </c>
      <c r="H251" s="144" t="s">
        <v>730</v>
      </c>
      <c r="I251" s="145"/>
      <c r="J251" s="145"/>
      <c r="K251" s="146">
        <v>37.58</v>
      </c>
    </row>
    <row r="252" spans="1:11" s="147" customFormat="1" ht="11.25" customHeight="1" x14ac:dyDescent="0.2">
      <c r="A252" s="795" t="s">
        <v>9035</v>
      </c>
      <c r="B252" s="138">
        <v>43431</v>
      </c>
      <c r="C252" s="139" t="s">
        <v>9173</v>
      </c>
      <c r="D252" s="140" t="s">
        <v>9181</v>
      </c>
      <c r="E252" s="141" t="s">
        <v>8123</v>
      </c>
      <c r="F252" s="142" t="s">
        <v>8116</v>
      </c>
      <c r="G252" s="143">
        <v>37.83</v>
      </c>
      <c r="H252" s="144" t="s">
        <v>730</v>
      </c>
      <c r="I252" s="145"/>
      <c r="J252" s="145"/>
      <c r="K252" s="146">
        <v>37.83</v>
      </c>
    </row>
    <row r="253" spans="1:11" s="147" customFormat="1" ht="11.25" customHeight="1" x14ac:dyDescent="0.2">
      <c r="A253" s="795" t="s">
        <v>9035</v>
      </c>
      <c r="B253" s="138">
        <v>43431</v>
      </c>
      <c r="C253" s="139" t="s">
        <v>9171</v>
      </c>
      <c r="D253" s="140" t="s">
        <v>9172</v>
      </c>
      <c r="E253" s="141" t="s">
        <v>8123</v>
      </c>
      <c r="F253" s="142" t="s">
        <v>8116</v>
      </c>
      <c r="G253" s="143">
        <v>37.9</v>
      </c>
      <c r="H253" s="144" t="s">
        <v>730</v>
      </c>
      <c r="I253" s="145"/>
      <c r="J253" s="145"/>
      <c r="K253" s="146">
        <v>37.9</v>
      </c>
    </row>
    <row r="254" spans="1:11" s="147" customFormat="1" ht="11.25" customHeight="1" x14ac:dyDescent="0.2">
      <c r="A254" s="795" t="s">
        <v>9035</v>
      </c>
      <c r="B254" s="138">
        <v>43431</v>
      </c>
      <c r="C254" s="139" t="s">
        <v>9173</v>
      </c>
      <c r="D254" s="140" t="s">
        <v>9179</v>
      </c>
      <c r="E254" s="141" t="s">
        <v>8123</v>
      </c>
      <c r="F254" s="142" t="s">
        <v>8118</v>
      </c>
      <c r="G254" s="143">
        <v>39.119999999999997</v>
      </c>
      <c r="H254" s="144" t="s">
        <v>730</v>
      </c>
      <c r="I254" s="145"/>
      <c r="J254" s="145"/>
      <c r="K254" s="146">
        <v>39.119999999999997</v>
      </c>
    </row>
    <row r="255" spans="1:11" s="147" customFormat="1" ht="11.25" customHeight="1" x14ac:dyDescent="0.2">
      <c r="A255" s="795" t="s">
        <v>9035</v>
      </c>
      <c r="B255" s="138">
        <v>43431</v>
      </c>
      <c r="C255" s="139" t="s">
        <v>9173</v>
      </c>
      <c r="D255" s="140" t="s">
        <v>9178</v>
      </c>
      <c r="E255" s="141" t="s">
        <v>8123</v>
      </c>
      <c r="F255" s="142" t="s">
        <v>8082</v>
      </c>
      <c r="G255" s="143">
        <v>40.229999999999997</v>
      </c>
      <c r="H255" s="144" t="s">
        <v>730</v>
      </c>
      <c r="I255" s="145"/>
      <c r="J255" s="145"/>
      <c r="K255" s="146">
        <v>40.229999999999997</v>
      </c>
    </row>
    <row r="256" spans="1:11" s="147" customFormat="1" ht="11.25" customHeight="1" x14ac:dyDescent="0.2">
      <c r="A256" s="795" t="s">
        <v>9035</v>
      </c>
      <c r="B256" s="138">
        <v>43431</v>
      </c>
      <c r="C256" s="139" t="s">
        <v>9173</v>
      </c>
      <c r="D256" s="140" t="s">
        <v>9178</v>
      </c>
      <c r="E256" s="141" t="s">
        <v>8123</v>
      </c>
      <c r="F256" s="142" t="s">
        <v>8082</v>
      </c>
      <c r="G256" s="143">
        <v>40.229999999999997</v>
      </c>
      <c r="H256" s="144" t="s">
        <v>730</v>
      </c>
      <c r="I256" s="145"/>
      <c r="J256" s="145"/>
      <c r="K256" s="146">
        <v>40.229999999999997</v>
      </c>
    </row>
    <row r="257" spans="1:11" s="147" customFormat="1" ht="11.25" customHeight="1" x14ac:dyDescent="0.2">
      <c r="A257" s="795" t="s">
        <v>9035</v>
      </c>
      <c r="B257" s="138">
        <v>43431</v>
      </c>
      <c r="C257" s="139" t="s">
        <v>9173</v>
      </c>
      <c r="D257" s="140" t="s">
        <v>9181</v>
      </c>
      <c r="E257" s="141" t="s">
        <v>8123</v>
      </c>
      <c r="F257" s="142" t="s">
        <v>8116</v>
      </c>
      <c r="G257" s="143">
        <v>40.26</v>
      </c>
      <c r="H257" s="144" t="s">
        <v>730</v>
      </c>
      <c r="I257" s="145"/>
      <c r="J257" s="145"/>
      <c r="K257" s="146">
        <v>40.26</v>
      </c>
    </row>
    <row r="258" spans="1:11" s="147" customFormat="1" ht="11.25" customHeight="1" x14ac:dyDescent="0.2">
      <c r="A258" s="795" t="s">
        <v>9035</v>
      </c>
      <c r="B258" s="138">
        <v>43431</v>
      </c>
      <c r="C258" s="139" t="s">
        <v>9173</v>
      </c>
      <c r="D258" s="140" t="s">
        <v>9182</v>
      </c>
      <c r="E258" s="141" t="s">
        <v>8123</v>
      </c>
      <c r="F258" s="142" t="s">
        <v>8116</v>
      </c>
      <c r="G258" s="143">
        <v>42.18</v>
      </c>
      <c r="H258" s="144" t="s">
        <v>730</v>
      </c>
      <c r="I258" s="145"/>
      <c r="J258" s="145"/>
      <c r="K258" s="146">
        <v>42.18</v>
      </c>
    </row>
    <row r="259" spans="1:11" s="147" customFormat="1" ht="11.25" customHeight="1" x14ac:dyDescent="0.2">
      <c r="A259" s="795" t="s">
        <v>9035</v>
      </c>
      <c r="B259" s="138">
        <v>43431</v>
      </c>
      <c r="C259" s="139" t="s">
        <v>9171</v>
      </c>
      <c r="D259" s="140" t="s">
        <v>9172</v>
      </c>
      <c r="E259" s="141" t="s">
        <v>8123</v>
      </c>
      <c r="F259" s="142" t="s">
        <v>8116</v>
      </c>
      <c r="G259" s="143">
        <v>42.28</v>
      </c>
      <c r="H259" s="144" t="s">
        <v>730</v>
      </c>
      <c r="I259" s="145"/>
      <c r="J259" s="145"/>
      <c r="K259" s="146">
        <v>42.28</v>
      </c>
    </row>
    <row r="260" spans="1:11" s="147" customFormat="1" ht="11.25" customHeight="1" x14ac:dyDescent="0.2">
      <c r="A260" s="795" t="s">
        <v>9035</v>
      </c>
      <c r="B260" s="138">
        <v>43431</v>
      </c>
      <c r="C260" s="139" t="s">
        <v>9173</v>
      </c>
      <c r="D260" s="140" t="s">
        <v>9181</v>
      </c>
      <c r="E260" s="141" t="s">
        <v>8123</v>
      </c>
      <c r="F260" s="142" t="s">
        <v>8116</v>
      </c>
      <c r="G260" s="143">
        <v>44.06</v>
      </c>
      <c r="H260" s="144" t="s">
        <v>730</v>
      </c>
      <c r="I260" s="145"/>
      <c r="J260" s="145"/>
      <c r="K260" s="146">
        <v>44.06</v>
      </c>
    </row>
    <row r="261" spans="1:11" s="147" customFormat="1" ht="11.25" customHeight="1" x14ac:dyDescent="0.2">
      <c r="A261" s="795" t="s">
        <v>9035</v>
      </c>
      <c r="B261" s="138">
        <v>43431</v>
      </c>
      <c r="C261" s="139" t="s">
        <v>9173</v>
      </c>
      <c r="D261" s="140" t="s">
        <v>9175</v>
      </c>
      <c r="E261" s="141" t="s">
        <v>8123</v>
      </c>
      <c r="F261" s="142" t="s">
        <v>8976</v>
      </c>
      <c r="G261" s="143">
        <v>44.06</v>
      </c>
      <c r="H261" s="144" t="s">
        <v>730</v>
      </c>
      <c r="I261" s="145"/>
      <c r="J261" s="145"/>
      <c r="K261" s="146">
        <v>44.06</v>
      </c>
    </row>
    <row r="262" spans="1:11" s="147" customFormat="1" ht="11.25" customHeight="1" x14ac:dyDescent="0.2">
      <c r="A262" s="795" t="s">
        <v>9035</v>
      </c>
      <c r="B262" s="138">
        <v>43431</v>
      </c>
      <c r="C262" s="139" t="s">
        <v>9171</v>
      </c>
      <c r="D262" s="140" t="s">
        <v>9176</v>
      </c>
      <c r="E262" s="141" t="s">
        <v>8123</v>
      </c>
      <c r="F262" s="142" t="s">
        <v>8116</v>
      </c>
      <c r="G262" s="143">
        <v>44.06</v>
      </c>
      <c r="H262" s="144" t="s">
        <v>730</v>
      </c>
      <c r="I262" s="145"/>
      <c r="J262" s="145"/>
      <c r="K262" s="146">
        <v>44.06</v>
      </c>
    </row>
    <row r="263" spans="1:11" s="147" customFormat="1" ht="11.25" customHeight="1" x14ac:dyDescent="0.2">
      <c r="A263" s="795" t="s">
        <v>9035</v>
      </c>
      <c r="B263" s="138">
        <v>43431</v>
      </c>
      <c r="C263" s="139" t="s">
        <v>9173</v>
      </c>
      <c r="D263" s="140" t="s">
        <v>9182</v>
      </c>
      <c r="E263" s="141" t="s">
        <v>8123</v>
      </c>
      <c r="F263" s="142" t="s">
        <v>8116</v>
      </c>
      <c r="G263" s="143">
        <v>44.54</v>
      </c>
      <c r="H263" s="144" t="s">
        <v>730</v>
      </c>
      <c r="I263" s="145"/>
      <c r="J263" s="145"/>
      <c r="K263" s="146">
        <v>44.54</v>
      </c>
    </row>
    <row r="264" spans="1:11" s="147" customFormat="1" ht="11.25" customHeight="1" x14ac:dyDescent="0.2">
      <c r="A264" s="795" t="s">
        <v>9035</v>
      </c>
      <c r="B264" s="138">
        <v>43431</v>
      </c>
      <c r="C264" s="139" t="s">
        <v>9173</v>
      </c>
      <c r="D264" s="140" t="s">
        <v>9182</v>
      </c>
      <c r="E264" s="141" t="s">
        <v>8123</v>
      </c>
      <c r="F264" s="142" t="s">
        <v>8116</v>
      </c>
      <c r="G264" s="143">
        <v>47.88</v>
      </c>
      <c r="H264" s="144" t="s">
        <v>730</v>
      </c>
      <c r="I264" s="145"/>
      <c r="J264" s="145"/>
      <c r="K264" s="146">
        <v>47.88</v>
      </c>
    </row>
    <row r="265" spans="1:11" s="147" customFormat="1" ht="11.25" customHeight="1" x14ac:dyDescent="0.2">
      <c r="A265" s="795" t="s">
        <v>9035</v>
      </c>
      <c r="B265" s="138">
        <v>43431</v>
      </c>
      <c r="C265" s="139" t="s">
        <v>9171</v>
      </c>
      <c r="D265" s="140" t="s">
        <v>9183</v>
      </c>
      <c r="E265" s="141" t="s">
        <v>8123</v>
      </c>
      <c r="F265" s="142" t="s">
        <v>8118</v>
      </c>
      <c r="G265" s="143">
        <v>54.61</v>
      </c>
      <c r="H265" s="144" t="s">
        <v>730</v>
      </c>
      <c r="I265" s="145"/>
      <c r="J265" s="145"/>
      <c r="K265" s="146">
        <v>54.61</v>
      </c>
    </row>
    <row r="266" spans="1:11" s="147" customFormat="1" ht="11.25" customHeight="1" x14ac:dyDescent="0.2">
      <c r="A266" s="795" t="s">
        <v>9035</v>
      </c>
      <c r="B266" s="138">
        <v>43431</v>
      </c>
      <c r="C266" s="139" t="s">
        <v>9171</v>
      </c>
      <c r="D266" s="140" t="s">
        <v>9184</v>
      </c>
      <c r="E266" s="141" t="s">
        <v>8123</v>
      </c>
      <c r="F266" s="142" t="s">
        <v>8082</v>
      </c>
      <c r="G266" s="143">
        <v>58.42</v>
      </c>
      <c r="H266" s="144" t="s">
        <v>730</v>
      </c>
      <c r="I266" s="145"/>
      <c r="J266" s="145"/>
      <c r="K266" s="146">
        <v>58.42</v>
      </c>
    </row>
    <row r="267" spans="1:11" s="147" customFormat="1" ht="11.25" customHeight="1" x14ac:dyDescent="0.2">
      <c r="A267" s="795" t="s">
        <v>9035</v>
      </c>
      <c r="B267" s="138">
        <v>43431</v>
      </c>
      <c r="C267" s="139" t="s">
        <v>9173</v>
      </c>
      <c r="D267" s="140" t="s">
        <v>9175</v>
      </c>
      <c r="E267" s="141" t="s">
        <v>8123</v>
      </c>
      <c r="F267" s="142" t="s">
        <v>8976</v>
      </c>
      <c r="G267" s="143">
        <v>58.87</v>
      </c>
      <c r="H267" s="144" t="s">
        <v>730</v>
      </c>
      <c r="I267" s="145"/>
      <c r="J267" s="145"/>
      <c r="K267" s="146">
        <v>58.87</v>
      </c>
    </row>
    <row r="268" spans="1:11" s="147" customFormat="1" ht="11.25" customHeight="1" x14ac:dyDescent="0.2">
      <c r="A268" s="795" t="s">
        <v>9035</v>
      </c>
      <c r="B268" s="138">
        <v>43431</v>
      </c>
      <c r="C268" s="139" t="s">
        <v>9173</v>
      </c>
      <c r="D268" s="140" t="s">
        <v>9178</v>
      </c>
      <c r="E268" s="141" t="s">
        <v>8123</v>
      </c>
      <c r="F268" s="142" t="s">
        <v>8082</v>
      </c>
      <c r="G268" s="143">
        <v>59.11</v>
      </c>
      <c r="H268" s="144" t="s">
        <v>730</v>
      </c>
      <c r="I268" s="145"/>
      <c r="J268" s="145"/>
      <c r="K268" s="146">
        <v>59.11</v>
      </c>
    </row>
    <row r="269" spans="1:11" s="147" customFormat="1" ht="11.25" customHeight="1" x14ac:dyDescent="0.2">
      <c r="A269" s="795" t="s">
        <v>9035</v>
      </c>
      <c r="B269" s="138">
        <v>43431</v>
      </c>
      <c r="C269" s="139" t="s">
        <v>9173</v>
      </c>
      <c r="D269" s="140" t="s">
        <v>9182</v>
      </c>
      <c r="E269" s="141" t="s">
        <v>8123</v>
      </c>
      <c r="F269" s="142" t="s">
        <v>8116</v>
      </c>
      <c r="G269" s="143">
        <v>61.49</v>
      </c>
      <c r="H269" s="144" t="s">
        <v>730</v>
      </c>
      <c r="I269" s="145"/>
      <c r="J269" s="145"/>
      <c r="K269" s="146">
        <v>61.49</v>
      </c>
    </row>
    <row r="270" spans="1:11" s="147" customFormat="1" ht="11.25" customHeight="1" x14ac:dyDescent="0.2">
      <c r="A270" s="795" t="s">
        <v>9035</v>
      </c>
      <c r="B270" s="138">
        <v>43431</v>
      </c>
      <c r="C270" s="139" t="s">
        <v>9173</v>
      </c>
      <c r="D270" s="140" t="s">
        <v>9178</v>
      </c>
      <c r="E270" s="141" t="s">
        <v>8123</v>
      </c>
      <c r="F270" s="142" t="s">
        <v>8082</v>
      </c>
      <c r="G270" s="143">
        <v>61.64</v>
      </c>
      <c r="H270" s="144" t="s">
        <v>730</v>
      </c>
      <c r="I270" s="145"/>
      <c r="J270" s="145"/>
      <c r="K270" s="146">
        <v>61.64</v>
      </c>
    </row>
    <row r="271" spans="1:11" s="147" customFormat="1" ht="11.25" customHeight="1" x14ac:dyDescent="0.2">
      <c r="A271" s="795" t="s">
        <v>9035</v>
      </c>
      <c r="B271" s="138">
        <v>43431</v>
      </c>
      <c r="C271" s="139" t="s">
        <v>9173</v>
      </c>
      <c r="D271" s="140" t="s">
        <v>9177</v>
      </c>
      <c r="E271" s="141" t="s">
        <v>8123</v>
      </c>
      <c r="F271" s="142" t="s">
        <v>8082</v>
      </c>
      <c r="G271" s="143">
        <v>62.38</v>
      </c>
      <c r="H271" s="144" t="s">
        <v>730</v>
      </c>
      <c r="I271" s="145"/>
      <c r="J271" s="145"/>
      <c r="K271" s="146">
        <v>62.38</v>
      </c>
    </row>
    <row r="272" spans="1:11" s="147" customFormat="1" ht="11.25" customHeight="1" x14ac:dyDescent="0.2">
      <c r="A272" s="795" t="s">
        <v>9035</v>
      </c>
      <c r="B272" s="138">
        <v>43431</v>
      </c>
      <c r="C272" s="139" t="s">
        <v>9171</v>
      </c>
      <c r="D272" s="140" t="s">
        <v>9185</v>
      </c>
      <c r="E272" s="141" t="s">
        <v>8123</v>
      </c>
      <c r="F272" s="142" t="s">
        <v>8116</v>
      </c>
      <c r="G272" s="143">
        <v>64.64</v>
      </c>
      <c r="H272" s="144" t="s">
        <v>730</v>
      </c>
      <c r="I272" s="145"/>
      <c r="J272" s="145"/>
      <c r="K272" s="146">
        <v>64.64</v>
      </c>
    </row>
    <row r="273" spans="1:11" s="147" customFormat="1" ht="11.25" customHeight="1" x14ac:dyDescent="0.2">
      <c r="A273" s="795" t="s">
        <v>9035</v>
      </c>
      <c r="B273" s="138">
        <v>43431</v>
      </c>
      <c r="C273" s="139" t="s">
        <v>9173</v>
      </c>
      <c r="D273" s="140" t="s">
        <v>9179</v>
      </c>
      <c r="E273" s="141" t="s">
        <v>8123</v>
      </c>
      <c r="F273" s="142" t="s">
        <v>8118</v>
      </c>
      <c r="G273" s="143">
        <v>68.489999999999995</v>
      </c>
      <c r="H273" s="144" t="s">
        <v>730</v>
      </c>
      <c r="I273" s="145"/>
      <c r="J273" s="145"/>
      <c r="K273" s="146">
        <v>68.489999999999995</v>
      </c>
    </row>
    <row r="274" spans="1:11" s="147" customFormat="1" ht="11.25" customHeight="1" x14ac:dyDescent="0.2">
      <c r="A274" s="795" t="s">
        <v>9035</v>
      </c>
      <c r="B274" s="138">
        <v>43431</v>
      </c>
      <c r="C274" s="139" t="s">
        <v>9173</v>
      </c>
      <c r="D274" s="140" t="s">
        <v>9177</v>
      </c>
      <c r="E274" s="141" t="s">
        <v>8123</v>
      </c>
      <c r="F274" s="142" t="s">
        <v>8082</v>
      </c>
      <c r="G274" s="143">
        <v>70.44</v>
      </c>
      <c r="H274" s="144" t="s">
        <v>730</v>
      </c>
      <c r="I274" s="145"/>
      <c r="J274" s="145"/>
      <c r="K274" s="146">
        <v>70.44</v>
      </c>
    </row>
    <row r="275" spans="1:11" s="147" customFormat="1" ht="11.25" customHeight="1" x14ac:dyDescent="0.2">
      <c r="A275" s="795" t="s">
        <v>9035</v>
      </c>
      <c r="B275" s="138">
        <v>43431</v>
      </c>
      <c r="C275" s="139" t="s">
        <v>9173</v>
      </c>
      <c r="D275" s="140" t="s">
        <v>9181</v>
      </c>
      <c r="E275" s="141" t="s">
        <v>8123</v>
      </c>
      <c r="F275" s="142" t="s">
        <v>8116</v>
      </c>
      <c r="G275" s="143">
        <v>70.760000000000005</v>
      </c>
      <c r="H275" s="144" t="s">
        <v>730</v>
      </c>
      <c r="I275" s="145"/>
      <c r="J275" s="145"/>
      <c r="K275" s="146">
        <v>70.760000000000005</v>
      </c>
    </row>
    <row r="276" spans="1:11" s="147" customFormat="1" ht="11.25" customHeight="1" x14ac:dyDescent="0.2">
      <c r="A276" s="795" t="s">
        <v>9035</v>
      </c>
      <c r="B276" s="138">
        <v>43431</v>
      </c>
      <c r="C276" s="139" t="s">
        <v>9173</v>
      </c>
      <c r="D276" s="140" t="s">
        <v>9182</v>
      </c>
      <c r="E276" s="141" t="s">
        <v>8123</v>
      </c>
      <c r="F276" s="142" t="s">
        <v>8116</v>
      </c>
      <c r="G276" s="143">
        <v>71.930000000000007</v>
      </c>
      <c r="H276" s="144" t="s">
        <v>730</v>
      </c>
      <c r="I276" s="145"/>
      <c r="J276" s="145"/>
      <c r="K276" s="146">
        <v>71.930000000000007</v>
      </c>
    </row>
    <row r="277" spans="1:11" s="147" customFormat="1" ht="11.25" customHeight="1" x14ac:dyDescent="0.2">
      <c r="A277" s="795" t="s">
        <v>9035</v>
      </c>
      <c r="B277" s="138">
        <v>43431</v>
      </c>
      <c r="C277" s="139" t="s">
        <v>9173</v>
      </c>
      <c r="D277" s="140" t="s">
        <v>9181</v>
      </c>
      <c r="E277" s="141" t="s">
        <v>8123</v>
      </c>
      <c r="F277" s="142" t="s">
        <v>8116</v>
      </c>
      <c r="G277" s="143">
        <v>71.94</v>
      </c>
      <c r="H277" s="144" t="s">
        <v>730</v>
      </c>
      <c r="I277" s="145"/>
      <c r="J277" s="145"/>
      <c r="K277" s="146">
        <v>71.94</v>
      </c>
    </row>
    <row r="278" spans="1:11" s="147" customFormat="1" ht="11.25" customHeight="1" x14ac:dyDescent="0.2">
      <c r="A278" s="795" t="s">
        <v>9035</v>
      </c>
      <c r="B278" s="138">
        <v>43431</v>
      </c>
      <c r="C278" s="139" t="s">
        <v>9171</v>
      </c>
      <c r="D278" s="140" t="s">
        <v>9186</v>
      </c>
      <c r="E278" s="141" t="s">
        <v>8123</v>
      </c>
      <c r="F278" s="142" t="s">
        <v>8082</v>
      </c>
      <c r="G278" s="143">
        <v>74.44</v>
      </c>
      <c r="H278" s="144" t="s">
        <v>730</v>
      </c>
      <c r="I278" s="145"/>
      <c r="J278" s="145"/>
      <c r="K278" s="146">
        <v>74.44</v>
      </c>
    </row>
    <row r="279" spans="1:11" s="147" customFormat="1" ht="11.25" customHeight="1" x14ac:dyDescent="0.2">
      <c r="A279" s="795" t="s">
        <v>9035</v>
      </c>
      <c r="B279" s="138">
        <v>43431</v>
      </c>
      <c r="C279" s="139" t="s">
        <v>9171</v>
      </c>
      <c r="D279" s="140" t="s">
        <v>9176</v>
      </c>
      <c r="E279" s="141" t="s">
        <v>8123</v>
      </c>
      <c r="F279" s="142" t="s">
        <v>8116</v>
      </c>
      <c r="G279" s="143">
        <v>75.17</v>
      </c>
      <c r="H279" s="144" t="s">
        <v>730</v>
      </c>
      <c r="I279" s="145"/>
      <c r="J279" s="145"/>
      <c r="K279" s="146">
        <v>75.17</v>
      </c>
    </row>
    <row r="280" spans="1:11" s="147" customFormat="1" ht="11.25" customHeight="1" x14ac:dyDescent="0.2">
      <c r="A280" s="795" t="s">
        <v>9035</v>
      </c>
      <c r="B280" s="138">
        <v>43431</v>
      </c>
      <c r="C280" s="139" t="s">
        <v>9173</v>
      </c>
      <c r="D280" s="140" t="s">
        <v>9175</v>
      </c>
      <c r="E280" s="141" t="s">
        <v>8123</v>
      </c>
      <c r="F280" s="142" t="s">
        <v>8976</v>
      </c>
      <c r="G280" s="143">
        <v>81.22</v>
      </c>
      <c r="H280" s="144" t="s">
        <v>730</v>
      </c>
      <c r="I280" s="145"/>
      <c r="J280" s="145"/>
      <c r="K280" s="146">
        <v>81.22</v>
      </c>
    </row>
    <row r="281" spans="1:11" s="147" customFormat="1" ht="11.25" customHeight="1" x14ac:dyDescent="0.2">
      <c r="A281" s="795" t="s">
        <v>9035</v>
      </c>
      <c r="B281" s="138">
        <v>43431</v>
      </c>
      <c r="C281" s="139" t="s">
        <v>9171</v>
      </c>
      <c r="D281" s="140" t="s">
        <v>9176</v>
      </c>
      <c r="E281" s="141" t="s">
        <v>8123</v>
      </c>
      <c r="F281" s="142" t="s">
        <v>8116</v>
      </c>
      <c r="G281" s="143">
        <v>81.99</v>
      </c>
      <c r="H281" s="144" t="s">
        <v>730</v>
      </c>
      <c r="I281" s="145"/>
      <c r="J281" s="145"/>
      <c r="K281" s="146">
        <v>81.99</v>
      </c>
    </row>
    <row r="282" spans="1:11" s="147" customFormat="1" ht="11.25" customHeight="1" x14ac:dyDescent="0.2">
      <c r="A282" s="795" t="s">
        <v>9035</v>
      </c>
      <c r="B282" s="138">
        <v>43431</v>
      </c>
      <c r="C282" s="139" t="s">
        <v>9171</v>
      </c>
      <c r="D282" s="140" t="s">
        <v>9184</v>
      </c>
      <c r="E282" s="141" t="s">
        <v>8123</v>
      </c>
      <c r="F282" s="142" t="s">
        <v>8082</v>
      </c>
      <c r="G282" s="143">
        <v>88.11</v>
      </c>
      <c r="H282" s="144" t="s">
        <v>730</v>
      </c>
      <c r="I282" s="145"/>
      <c r="J282" s="145"/>
      <c r="K282" s="146">
        <v>88.11</v>
      </c>
    </row>
    <row r="283" spans="1:11" s="147" customFormat="1" ht="11.25" customHeight="1" x14ac:dyDescent="0.2">
      <c r="A283" s="795" t="s">
        <v>9035</v>
      </c>
      <c r="B283" s="138">
        <v>43431</v>
      </c>
      <c r="C283" s="139" t="s">
        <v>9171</v>
      </c>
      <c r="D283" s="140" t="s">
        <v>9183</v>
      </c>
      <c r="E283" s="141" t="s">
        <v>8123</v>
      </c>
      <c r="F283" s="142" t="s">
        <v>8118</v>
      </c>
      <c r="G283" s="143">
        <v>88.62</v>
      </c>
      <c r="H283" s="144" t="s">
        <v>730</v>
      </c>
      <c r="I283" s="145"/>
      <c r="J283" s="145"/>
      <c r="K283" s="146">
        <v>88.62</v>
      </c>
    </row>
    <row r="284" spans="1:11" s="147" customFormat="1" ht="11.25" customHeight="1" x14ac:dyDescent="0.2">
      <c r="A284" s="795" t="s">
        <v>9035</v>
      </c>
      <c r="B284" s="138">
        <v>43431</v>
      </c>
      <c r="C284" s="139" t="s">
        <v>9173</v>
      </c>
      <c r="D284" s="140" t="s">
        <v>9182</v>
      </c>
      <c r="E284" s="141" t="s">
        <v>8123</v>
      </c>
      <c r="F284" s="142" t="s">
        <v>8116</v>
      </c>
      <c r="G284" s="143">
        <v>88.62</v>
      </c>
      <c r="H284" s="144" t="s">
        <v>730</v>
      </c>
      <c r="I284" s="145"/>
      <c r="J284" s="145"/>
      <c r="K284" s="146">
        <v>88.62</v>
      </c>
    </row>
    <row r="285" spans="1:11" s="147" customFormat="1" ht="11.25" customHeight="1" x14ac:dyDescent="0.2">
      <c r="A285" s="795" t="s">
        <v>9035</v>
      </c>
      <c r="B285" s="138">
        <v>43431</v>
      </c>
      <c r="C285" s="139" t="s">
        <v>9171</v>
      </c>
      <c r="D285" s="140" t="s">
        <v>9176</v>
      </c>
      <c r="E285" s="141" t="s">
        <v>8123</v>
      </c>
      <c r="F285" s="142" t="s">
        <v>8116</v>
      </c>
      <c r="G285" s="143">
        <v>89.09</v>
      </c>
      <c r="H285" s="144" t="s">
        <v>730</v>
      </c>
      <c r="I285" s="145"/>
      <c r="J285" s="145"/>
      <c r="K285" s="146">
        <v>89.09</v>
      </c>
    </row>
    <row r="286" spans="1:11" s="147" customFormat="1" ht="11.25" customHeight="1" x14ac:dyDescent="0.2">
      <c r="A286" s="795" t="s">
        <v>9035</v>
      </c>
      <c r="B286" s="138">
        <v>43431</v>
      </c>
      <c r="C286" s="139" t="s">
        <v>9171</v>
      </c>
      <c r="D286" s="140" t="s">
        <v>9172</v>
      </c>
      <c r="E286" s="141" t="s">
        <v>8123</v>
      </c>
      <c r="F286" s="142" t="s">
        <v>8116</v>
      </c>
      <c r="G286" s="143">
        <v>90.2</v>
      </c>
      <c r="H286" s="144" t="s">
        <v>730</v>
      </c>
      <c r="I286" s="145"/>
      <c r="J286" s="145"/>
      <c r="K286" s="146">
        <v>90.2</v>
      </c>
    </row>
    <row r="287" spans="1:11" s="147" customFormat="1" ht="11.25" customHeight="1" x14ac:dyDescent="0.2">
      <c r="A287" s="795" t="s">
        <v>9035</v>
      </c>
      <c r="B287" s="138">
        <v>43431</v>
      </c>
      <c r="C287" s="139" t="s">
        <v>9171</v>
      </c>
      <c r="D287" s="140" t="s">
        <v>9172</v>
      </c>
      <c r="E287" s="141" t="s">
        <v>8123</v>
      </c>
      <c r="F287" s="142" t="s">
        <v>8116</v>
      </c>
      <c r="G287" s="143">
        <v>90.2</v>
      </c>
      <c r="H287" s="144" t="s">
        <v>730</v>
      </c>
      <c r="I287" s="145"/>
      <c r="J287" s="145"/>
      <c r="K287" s="146">
        <v>90.2</v>
      </c>
    </row>
    <row r="288" spans="1:11" s="147" customFormat="1" ht="11.25" customHeight="1" x14ac:dyDescent="0.2">
      <c r="A288" s="795" t="s">
        <v>9035</v>
      </c>
      <c r="B288" s="138">
        <v>43431</v>
      </c>
      <c r="C288" s="139" t="s">
        <v>9171</v>
      </c>
      <c r="D288" s="140" t="s">
        <v>9187</v>
      </c>
      <c r="E288" s="141" t="s">
        <v>8123</v>
      </c>
      <c r="F288" s="142" t="s">
        <v>8118</v>
      </c>
      <c r="G288" s="143">
        <v>90.2</v>
      </c>
      <c r="H288" s="144" t="s">
        <v>730</v>
      </c>
      <c r="I288" s="145"/>
      <c r="J288" s="145"/>
      <c r="K288" s="146">
        <v>90.2</v>
      </c>
    </row>
    <row r="289" spans="1:11" s="147" customFormat="1" ht="11.25" customHeight="1" x14ac:dyDescent="0.2">
      <c r="A289" s="795" t="s">
        <v>9035</v>
      </c>
      <c r="B289" s="138">
        <v>43431</v>
      </c>
      <c r="C289" s="139" t="s">
        <v>9171</v>
      </c>
      <c r="D289" s="140" t="s">
        <v>9187</v>
      </c>
      <c r="E289" s="141" t="s">
        <v>8123</v>
      </c>
      <c r="F289" s="142" t="s">
        <v>8118</v>
      </c>
      <c r="G289" s="143">
        <v>90.2</v>
      </c>
      <c r="H289" s="144" t="s">
        <v>730</v>
      </c>
      <c r="I289" s="145"/>
      <c r="J289" s="145"/>
      <c r="K289" s="146">
        <v>90.2</v>
      </c>
    </row>
    <row r="290" spans="1:11" s="147" customFormat="1" ht="11.25" customHeight="1" x14ac:dyDescent="0.2">
      <c r="A290" s="795" t="s">
        <v>9035</v>
      </c>
      <c r="B290" s="138">
        <v>43431</v>
      </c>
      <c r="C290" s="139" t="s">
        <v>9171</v>
      </c>
      <c r="D290" s="140" t="s">
        <v>9183</v>
      </c>
      <c r="E290" s="141" t="s">
        <v>8123</v>
      </c>
      <c r="F290" s="142" t="s">
        <v>8118</v>
      </c>
      <c r="G290" s="143">
        <v>91.29</v>
      </c>
      <c r="H290" s="144" t="s">
        <v>730</v>
      </c>
      <c r="I290" s="145"/>
      <c r="J290" s="145"/>
      <c r="K290" s="146">
        <v>91.29</v>
      </c>
    </row>
    <row r="291" spans="1:11" s="147" customFormat="1" ht="11.25" customHeight="1" x14ac:dyDescent="0.2">
      <c r="A291" s="795" t="s">
        <v>9035</v>
      </c>
      <c r="B291" s="138">
        <v>43431</v>
      </c>
      <c r="C291" s="139" t="s">
        <v>9171</v>
      </c>
      <c r="D291" s="140" t="s">
        <v>9184</v>
      </c>
      <c r="E291" s="141" t="s">
        <v>8123</v>
      </c>
      <c r="F291" s="142" t="s">
        <v>8082</v>
      </c>
      <c r="G291" s="143">
        <v>95.32</v>
      </c>
      <c r="H291" s="144" t="s">
        <v>730</v>
      </c>
      <c r="I291" s="145"/>
      <c r="J291" s="145"/>
      <c r="K291" s="146">
        <v>95.32</v>
      </c>
    </row>
    <row r="292" spans="1:11" s="147" customFormat="1" ht="11.25" customHeight="1" x14ac:dyDescent="0.2">
      <c r="A292" s="795" t="s">
        <v>9035</v>
      </c>
      <c r="B292" s="138">
        <v>43431</v>
      </c>
      <c r="C292" s="139" t="s">
        <v>9171</v>
      </c>
      <c r="D292" s="140" t="s">
        <v>9185</v>
      </c>
      <c r="E292" s="141" t="s">
        <v>8123</v>
      </c>
      <c r="F292" s="142" t="s">
        <v>8116</v>
      </c>
      <c r="G292" s="143">
        <v>97.63</v>
      </c>
      <c r="H292" s="144" t="s">
        <v>730</v>
      </c>
      <c r="I292" s="145"/>
      <c r="J292" s="145"/>
      <c r="K292" s="146">
        <v>97.63</v>
      </c>
    </row>
    <row r="293" spans="1:11" s="147" customFormat="1" ht="11.25" customHeight="1" x14ac:dyDescent="0.2">
      <c r="A293" s="795" t="s">
        <v>9035</v>
      </c>
      <c r="B293" s="138">
        <v>43431</v>
      </c>
      <c r="C293" s="139" t="s">
        <v>9173</v>
      </c>
      <c r="D293" s="140" t="s">
        <v>9174</v>
      </c>
      <c r="E293" s="141" t="s">
        <v>8123</v>
      </c>
      <c r="F293" s="142" t="s">
        <v>8116</v>
      </c>
      <c r="G293" s="143">
        <v>104.14</v>
      </c>
      <c r="H293" s="144" t="s">
        <v>730</v>
      </c>
      <c r="I293" s="145"/>
      <c r="J293" s="145"/>
      <c r="K293" s="146">
        <v>104.14</v>
      </c>
    </row>
    <row r="294" spans="1:11" s="147" customFormat="1" ht="11.25" customHeight="1" x14ac:dyDescent="0.2">
      <c r="A294" s="795" t="s">
        <v>9035</v>
      </c>
      <c r="B294" s="138">
        <v>43431</v>
      </c>
      <c r="C294" s="139" t="s">
        <v>9171</v>
      </c>
      <c r="D294" s="140" t="s">
        <v>9187</v>
      </c>
      <c r="E294" s="141" t="s">
        <v>8123</v>
      </c>
      <c r="F294" s="142" t="s">
        <v>8118</v>
      </c>
      <c r="G294" s="143">
        <v>106.91</v>
      </c>
      <c r="H294" s="144" t="s">
        <v>730</v>
      </c>
      <c r="I294" s="145"/>
      <c r="J294" s="145"/>
      <c r="K294" s="146">
        <v>106.91</v>
      </c>
    </row>
    <row r="295" spans="1:11" s="147" customFormat="1" ht="11.25" customHeight="1" x14ac:dyDescent="0.2">
      <c r="A295" s="795" t="s">
        <v>9035</v>
      </c>
      <c r="B295" s="138">
        <v>43431</v>
      </c>
      <c r="C295" s="139" t="s">
        <v>9171</v>
      </c>
      <c r="D295" s="140" t="s">
        <v>9184</v>
      </c>
      <c r="E295" s="141" t="s">
        <v>8123</v>
      </c>
      <c r="F295" s="142" t="s">
        <v>8082</v>
      </c>
      <c r="G295" s="143">
        <v>107.29</v>
      </c>
      <c r="H295" s="144" t="s">
        <v>730</v>
      </c>
      <c r="I295" s="145"/>
      <c r="J295" s="145"/>
      <c r="K295" s="146">
        <v>107.29</v>
      </c>
    </row>
    <row r="296" spans="1:11" s="147" customFormat="1" ht="11.25" customHeight="1" x14ac:dyDescent="0.2">
      <c r="A296" s="795" t="s">
        <v>9035</v>
      </c>
      <c r="B296" s="138">
        <v>43431</v>
      </c>
      <c r="C296" s="139" t="s">
        <v>9173</v>
      </c>
      <c r="D296" s="140" t="s">
        <v>9180</v>
      </c>
      <c r="E296" s="141" t="s">
        <v>8123</v>
      </c>
      <c r="F296" s="142" t="s">
        <v>8118</v>
      </c>
      <c r="G296" s="143">
        <v>108.97</v>
      </c>
      <c r="H296" s="144" t="s">
        <v>730</v>
      </c>
      <c r="I296" s="145"/>
      <c r="J296" s="145"/>
      <c r="K296" s="146">
        <v>108.97</v>
      </c>
    </row>
    <row r="297" spans="1:11" s="147" customFormat="1" ht="11.25" customHeight="1" x14ac:dyDescent="0.2">
      <c r="A297" s="795" t="s">
        <v>9035</v>
      </c>
      <c r="B297" s="138">
        <v>43431</v>
      </c>
      <c r="C297" s="139" t="s">
        <v>9171</v>
      </c>
      <c r="D297" s="140" t="s">
        <v>9184</v>
      </c>
      <c r="E297" s="141" t="s">
        <v>8123</v>
      </c>
      <c r="F297" s="142" t="s">
        <v>8082</v>
      </c>
      <c r="G297" s="143">
        <v>110.27</v>
      </c>
      <c r="H297" s="144" t="s">
        <v>730</v>
      </c>
      <c r="I297" s="145"/>
      <c r="J297" s="145"/>
      <c r="K297" s="146">
        <v>110.27</v>
      </c>
    </row>
    <row r="298" spans="1:11" s="147" customFormat="1" ht="11.25" customHeight="1" x14ac:dyDescent="0.2">
      <c r="A298" s="795" t="s">
        <v>9035</v>
      </c>
      <c r="B298" s="138">
        <v>43431</v>
      </c>
      <c r="C298" s="139" t="s">
        <v>9173</v>
      </c>
      <c r="D298" s="140" t="s">
        <v>9179</v>
      </c>
      <c r="E298" s="141" t="s">
        <v>8123</v>
      </c>
      <c r="F298" s="142" t="s">
        <v>8118</v>
      </c>
      <c r="G298" s="143">
        <v>111.77</v>
      </c>
      <c r="H298" s="144" t="s">
        <v>730</v>
      </c>
      <c r="I298" s="145"/>
      <c r="J298" s="145"/>
      <c r="K298" s="146">
        <v>111.77</v>
      </c>
    </row>
    <row r="299" spans="1:11" s="147" customFormat="1" ht="11.25" customHeight="1" x14ac:dyDescent="0.2">
      <c r="A299" s="795" t="s">
        <v>9035</v>
      </c>
      <c r="B299" s="138">
        <v>43431</v>
      </c>
      <c r="C299" s="139" t="s">
        <v>9171</v>
      </c>
      <c r="D299" s="140" t="s">
        <v>9172</v>
      </c>
      <c r="E299" s="141" t="s">
        <v>8123</v>
      </c>
      <c r="F299" s="142" t="s">
        <v>8116</v>
      </c>
      <c r="G299" s="143">
        <v>113.12</v>
      </c>
      <c r="H299" s="144" t="s">
        <v>730</v>
      </c>
      <c r="I299" s="145"/>
      <c r="J299" s="145"/>
      <c r="K299" s="146">
        <v>113.12</v>
      </c>
    </row>
    <row r="300" spans="1:11" s="147" customFormat="1" ht="11.25" customHeight="1" x14ac:dyDescent="0.2">
      <c r="A300" s="795" t="s">
        <v>9035</v>
      </c>
      <c r="B300" s="138">
        <v>43431</v>
      </c>
      <c r="C300" s="139" t="s">
        <v>9173</v>
      </c>
      <c r="D300" s="140" t="s">
        <v>9182</v>
      </c>
      <c r="E300" s="141" t="s">
        <v>8123</v>
      </c>
      <c r="F300" s="142" t="s">
        <v>8116</v>
      </c>
      <c r="G300" s="143">
        <v>115.4</v>
      </c>
      <c r="H300" s="144" t="s">
        <v>730</v>
      </c>
      <c r="I300" s="145"/>
      <c r="J300" s="145"/>
      <c r="K300" s="146">
        <v>115.4</v>
      </c>
    </row>
    <row r="301" spans="1:11" s="147" customFormat="1" ht="11.25" customHeight="1" x14ac:dyDescent="0.2">
      <c r="A301" s="795" t="s">
        <v>9035</v>
      </c>
      <c r="B301" s="138">
        <v>43431</v>
      </c>
      <c r="C301" s="139" t="s">
        <v>9173</v>
      </c>
      <c r="D301" s="140" t="s">
        <v>9179</v>
      </c>
      <c r="E301" s="141" t="s">
        <v>8123</v>
      </c>
      <c r="F301" s="142" t="s">
        <v>8118</v>
      </c>
      <c r="G301" s="143">
        <v>117.07</v>
      </c>
      <c r="H301" s="144" t="s">
        <v>730</v>
      </c>
      <c r="I301" s="145"/>
      <c r="J301" s="145"/>
      <c r="K301" s="146">
        <v>117.07</v>
      </c>
    </row>
    <row r="302" spans="1:11" s="147" customFormat="1" ht="11.25" customHeight="1" x14ac:dyDescent="0.2">
      <c r="A302" s="795" t="s">
        <v>9035</v>
      </c>
      <c r="B302" s="138">
        <v>43431</v>
      </c>
      <c r="C302" s="139" t="s">
        <v>9171</v>
      </c>
      <c r="D302" s="140" t="s">
        <v>9176</v>
      </c>
      <c r="E302" s="141" t="s">
        <v>8123</v>
      </c>
      <c r="F302" s="142" t="s">
        <v>8116</v>
      </c>
      <c r="G302" s="143">
        <v>119.18</v>
      </c>
      <c r="H302" s="144" t="s">
        <v>730</v>
      </c>
      <c r="I302" s="145"/>
      <c r="J302" s="145"/>
      <c r="K302" s="146">
        <v>119.18</v>
      </c>
    </row>
    <row r="303" spans="1:11" s="147" customFormat="1" ht="11.25" customHeight="1" x14ac:dyDescent="0.2">
      <c r="A303" s="795" t="s">
        <v>9035</v>
      </c>
      <c r="B303" s="138">
        <v>43431</v>
      </c>
      <c r="C303" s="139" t="s">
        <v>9171</v>
      </c>
      <c r="D303" s="140" t="s">
        <v>9176</v>
      </c>
      <c r="E303" s="141" t="s">
        <v>8123</v>
      </c>
      <c r="F303" s="142" t="s">
        <v>8116</v>
      </c>
      <c r="G303" s="143">
        <v>121.83</v>
      </c>
      <c r="H303" s="144" t="s">
        <v>730</v>
      </c>
      <c r="I303" s="145"/>
      <c r="J303" s="145"/>
      <c r="K303" s="146">
        <v>121.83</v>
      </c>
    </row>
    <row r="304" spans="1:11" s="147" customFormat="1" ht="11.25" customHeight="1" x14ac:dyDescent="0.2">
      <c r="A304" s="795" t="s">
        <v>9035</v>
      </c>
      <c r="B304" s="138">
        <v>43431</v>
      </c>
      <c r="C304" s="139" t="s">
        <v>9173</v>
      </c>
      <c r="D304" s="140" t="s">
        <v>9179</v>
      </c>
      <c r="E304" s="141" t="s">
        <v>8123</v>
      </c>
      <c r="F304" s="142" t="s">
        <v>8118</v>
      </c>
      <c r="G304" s="143">
        <v>126.27</v>
      </c>
      <c r="H304" s="144" t="s">
        <v>730</v>
      </c>
      <c r="I304" s="145"/>
      <c r="J304" s="145"/>
      <c r="K304" s="146">
        <v>126.27</v>
      </c>
    </row>
    <row r="305" spans="1:11" s="147" customFormat="1" ht="11.25" customHeight="1" x14ac:dyDescent="0.2">
      <c r="A305" s="795" t="s">
        <v>9035</v>
      </c>
      <c r="B305" s="138">
        <v>43431</v>
      </c>
      <c r="C305" s="139" t="s">
        <v>9173</v>
      </c>
      <c r="D305" s="140" t="s">
        <v>9178</v>
      </c>
      <c r="E305" s="141" t="s">
        <v>8123</v>
      </c>
      <c r="F305" s="142" t="s">
        <v>8082</v>
      </c>
      <c r="G305" s="143">
        <v>126.3</v>
      </c>
      <c r="H305" s="144" t="s">
        <v>730</v>
      </c>
      <c r="I305" s="145"/>
      <c r="J305" s="145"/>
      <c r="K305" s="146">
        <v>126.3</v>
      </c>
    </row>
    <row r="306" spans="1:11" s="147" customFormat="1" ht="11.25" customHeight="1" x14ac:dyDescent="0.2">
      <c r="A306" s="795" t="s">
        <v>9035</v>
      </c>
      <c r="B306" s="138">
        <v>43431</v>
      </c>
      <c r="C306" s="139" t="s">
        <v>9171</v>
      </c>
      <c r="D306" s="140" t="s">
        <v>9172</v>
      </c>
      <c r="E306" s="141" t="s">
        <v>8123</v>
      </c>
      <c r="F306" s="142" t="s">
        <v>8116</v>
      </c>
      <c r="G306" s="143">
        <v>127.77</v>
      </c>
      <c r="H306" s="144" t="s">
        <v>730</v>
      </c>
      <c r="I306" s="145"/>
      <c r="J306" s="145"/>
      <c r="K306" s="146">
        <v>127.77</v>
      </c>
    </row>
    <row r="307" spans="1:11" s="147" customFormat="1" ht="11.25" customHeight="1" x14ac:dyDescent="0.2">
      <c r="A307" s="795" t="s">
        <v>9035</v>
      </c>
      <c r="B307" s="138">
        <v>43431</v>
      </c>
      <c r="C307" s="139" t="s">
        <v>9171</v>
      </c>
      <c r="D307" s="140" t="s">
        <v>9187</v>
      </c>
      <c r="E307" s="141" t="s">
        <v>8123</v>
      </c>
      <c r="F307" s="142" t="s">
        <v>8118</v>
      </c>
      <c r="G307" s="143">
        <v>127.77</v>
      </c>
      <c r="H307" s="144" t="s">
        <v>730</v>
      </c>
      <c r="I307" s="145"/>
      <c r="J307" s="145"/>
      <c r="K307" s="146">
        <v>127.77</v>
      </c>
    </row>
    <row r="308" spans="1:11" s="147" customFormat="1" ht="11.25" customHeight="1" x14ac:dyDescent="0.2">
      <c r="A308" s="795" t="s">
        <v>9035</v>
      </c>
      <c r="B308" s="138">
        <v>43431</v>
      </c>
      <c r="C308" s="139" t="s">
        <v>9171</v>
      </c>
      <c r="D308" s="140" t="s">
        <v>9172</v>
      </c>
      <c r="E308" s="141" t="s">
        <v>8123</v>
      </c>
      <c r="F308" s="142" t="s">
        <v>8116</v>
      </c>
      <c r="G308" s="143">
        <v>135.41</v>
      </c>
      <c r="H308" s="144" t="s">
        <v>730</v>
      </c>
      <c r="I308" s="145"/>
      <c r="J308" s="145"/>
      <c r="K308" s="146">
        <v>135.41</v>
      </c>
    </row>
    <row r="309" spans="1:11" s="147" customFormat="1" ht="11.25" customHeight="1" x14ac:dyDescent="0.2">
      <c r="A309" s="795" t="s">
        <v>9035</v>
      </c>
      <c r="B309" s="138">
        <v>43431</v>
      </c>
      <c r="C309" s="139" t="s">
        <v>9171</v>
      </c>
      <c r="D309" s="140" t="s">
        <v>9185</v>
      </c>
      <c r="E309" s="141" t="s">
        <v>8123</v>
      </c>
      <c r="F309" s="142" t="s">
        <v>8116</v>
      </c>
      <c r="G309" s="143">
        <v>135.78</v>
      </c>
      <c r="H309" s="144" t="s">
        <v>730</v>
      </c>
      <c r="I309" s="145"/>
      <c r="J309" s="145"/>
      <c r="K309" s="146">
        <v>135.78</v>
      </c>
    </row>
    <row r="310" spans="1:11" s="147" customFormat="1" ht="11.25" customHeight="1" x14ac:dyDescent="0.2">
      <c r="A310" s="795" t="s">
        <v>9035</v>
      </c>
      <c r="B310" s="138">
        <v>43431</v>
      </c>
      <c r="C310" s="139" t="s">
        <v>9171</v>
      </c>
      <c r="D310" s="140" t="s">
        <v>9184</v>
      </c>
      <c r="E310" s="141" t="s">
        <v>8123</v>
      </c>
      <c r="F310" s="142" t="s">
        <v>8082</v>
      </c>
      <c r="G310" s="143">
        <v>136.35</v>
      </c>
      <c r="H310" s="144" t="s">
        <v>730</v>
      </c>
      <c r="I310" s="145"/>
      <c r="J310" s="145"/>
      <c r="K310" s="146">
        <v>136.35</v>
      </c>
    </row>
    <row r="311" spans="1:11" s="147" customFormat="1" ht="11.25" customHeight="1" x14ac:dyDescent="0.2">
      <c r="A311" s="795" t="s">
        <v>9035</v>
      </c>
      <c r="B311" s="138">
        <v>43431</v>
      </c>
      <c r="C311" s="139" t="s">
        <v>9173</v>
      </c>
      <c r="D311" s="140" t="s">
        <v>9181</v>
      </c>
      <c r="E311" s="141" t="s">
        <v>8123</v>
      </c>
      <c r="F311" s="142" t="s">
        <v>8116</v>
      </c>
      <c r="G311" s="143">
        <v>136.81</v>
      </c>
      <c r="H311" s="144" t="s">
        <v>730</v>
      </c>
      <c r="I311" s="145"/>
      <c r="J311" s="145"/>
      <c r="K311" s="146">
        <v>136.81</v>
      </c>
    </row>
    <row r="312" spans="1:11" s="147" customFormat="1" ht="11.25" customHeight="1" x14ac:dyDescent="0.2">
      <c r="A312" s="795" t="s">
        <v>9035</v>
      </c>
      <c r="B312" s="138">
        <v>43431</v>
      </c>
      <c r="C312" s="139" t="s">
        <v>9173</v>
      </c>
      <c r="D312" s="140" t="s">
        <v>9181</v>
      </c>
      <c r="E312" s="141" t="s">
        <v>8123</v>
      </c>
      <c r="F312" s="142" t="s">
        <v>8116</v>
      </c>
      <c r="G312" s="143">
        <v>146.37</v>
      </c>
      <c r="H312" s="144" t="s">
        <v>730</v>
      </c>
      <c r="I312" s="145"/>
      <c r="J312" s="145"/>
      <c r="K312" s="146">
        <v>146.37</v>
      </c>
    </row>
    <row r="313" spans="1:11" s="147" customFormat="1" ht="11.25" customHeight="1" x14ac:dyDescent="0.2">
      <c r="A313" s="795" t="s">
        <v>9035</v>
      </c>
      <c r="B313" s="138">
        <v>43431</v>
      </c>
      <c r="C313" s="139" t="s">
        <v>9173</v>
      </c>
      <c r="D313" s="140" t="s">
        <v>9174</v>
      </c>
      <c r="E313" s="141" t="s">
        <v>8123</v>
      </c>
      <c r="F313" s="142" t="s">
        <v>8116</v>
      </c>
      <c r="G313" s="143">
        <v>148.44999999999999</v>
      </c>
      <c r="H313" s="144" t="s">
        <v>730</v>
      </c>
      <c r="I313" s="145"/>
      <c r="J313" s="145"/>
      <c r="K313" s="146">
        <v>148.44999999999999</v>
      </c>
    </row>
    <row r="314" spans="1:11" s="147" customFormat="1" ht="11.25" customHeight="1" x14ac:dyDescent="0.2">
      <c r="A314" s="795" t="s">
        <v>9035</v>
      </c>
      <c r="B314" s="138">
        <v>43431</v>
      </c>
      <c r="C314" s="139" t="s">
        <v>9173</v>
      </c>
      <c r="D314" s="140" t="s">
        <v>9175</v>
      </c>
      <c r="E314" s="141" t="s">
        <v>8123</v>
      </c>
      <c r="F314" s="142" t="s">
        <v>8976</v>
      </c>
      <c r="G314" s="143">
        <v>153.09</v>
      </c>
      <c r="H314" s="144" t="s">
        <v>730</v>
      </c>
      <c r="I314" s="145"/>
      <c r="J314" s="145"/>
      <c r="K314" s="146">
        <v>153.09</v>
      </c>
    </row>
    <row r="315" spans="1:11" s="147" customFormat="1" ht="11.25" customHeight="1" x14ac:dyDescent="0.2">
      <c r="A315" s="795" t="s">
        <v>9035</v>
      </c>
      <c r="B315" s="138">
        <v>43431</v>
      </c>
      <c r="C315" s="139" t="s">
        <v>9171</v>
      </c>
      <c r="D315" s="140" t="s">
        <v>9185</v>
      </c>
      <c r="E315" s="141" t="s">
        <v>8123</v>
      </c>
      <c r="F315" s="142" t="s">
        <v>8116</v>
      </c>
      <c r="G315" s="143">
        <v>153.09</v>
      </c>
      <c r="H315" s="144" t="s">
        <v>730</v>
      </c>
      <c r="I315" s="145"/>
      <c r="J315" s="145"/>
      <c r="K315" s="146">
        <v>153.09</v>
      </c>
    </row>
    <row r="316" spans="1:11" s="147" customFormat="1" ht="11.25" customHeight="1" x14ac:dyDescent="0.2">
      <c r="A316" s="795" t="s">
        <v>9035</v>
      </c>
      <c r="B316" s="138">
        <v>43431</v>
      </c>
      <c r="C316" s="139" t="s">
        <v>9171</v>
      </c>
      <c r="D316" s="140" t="s">
        <v>9187</v>
      </c>
      <c r="E316" s="141" t="s">
        <v>8123</v>
      </c>
      <c r="F316" s="142" t="s">
        <v>8118</v>
      </c>
      <c r="G316" s="143">
        <v>153.5</v>
      </c>
      <c r="H316" s="144" t="s">
        <v>730</v>
      </c>
      <c r="I316" s="145"/>
      <c r="J316" s="145"/>
      <c r="K316" s="146">
        <v>153.5</v>
      </c>
    </row>
    <row r="317" spans="1:11" s="147" customFormat="1" ht="11.25" customHeight="1" x14ac:dyDescent="0.2">
      <c r="A317" s="795" t="s">
        <v>9035</v>
      </c>
      <c r="B317" s="138">
        <v>43431</v>
      </c>
      <c r="C317" s="139" t="s">
        <v>9173</v>
      </c>
      <c r="D317" s="140" t="s">
        <v>9178</v>
      </c>
      <c r="E317" s="141" t="s">
        <v>8123</v>
      </c>
      <c r="F317" s="142" t="s">
        <v>8082</v>
      </c>
      <c r="G317" s="143">
        <v>161.1</v>
      </c>
      <c r="H317" s="144" t="s">
        <v>730</v>
      </c>
      <c r="I317" s="145"/>
      <c r="J317" s="145"/>
      <c r="K317" s="146">
        <v>161.1</v>
      </c>
    </row>
    <row r="318" spans="1:11" s="147" customFormat="1" ht="11.25" customHeight="1" x14ac:dyDescent="0.2">
      <c r="A318" s="795" t="s">
        <v>9035</v>
      </c>
      <c r="B318" s="138">
        <v>43431</v>
      </c>
      <c r="C318" s="139" t="s">
        <v>9171</v>
      </c>
      <c r="D318" s="140" t="s">
        <v>9187</v>
      </c>
      <c r="E318" s="141" t="s">
        <v>8123</v>
      </c>
      <c r="F318" s="142" t="s">
        <v>8118</v>
      </c>
      <c r="G318" s="143">
        <v>162.44999999999999</v>
      </c>
      <c r="H318" s="144" t="s">
        <v>730</v>
      </c>
      <c r="I318" s="145"/>
      <c r="J318" s="145"/>
      <c r="K318" s="146">
        <v>162.44999999999999</v>
      </c>
    </row>
    <row r="319" spans="1:11" s="147" customFormat="1" ht="11.25" customHeight="1" x14ac:dyDescent="0.2">
      <c r="A319" s="795" t="s">
        <v>9035</v>
      </c>
      <c r="B319" s="138">
        <v>43431</v>
      </c>
      <c r="C319" s="139" t="s">
        <v>9173</v>
      </c>
      <c r="D319" s="140" t="s">
        <v>9182</v>
      </c>
      <c r="E319" s="141" t="s">
        <v>8123</v>
      </c>
      <c r="F319" s="142" t="s">
        <v>8116</v>
      </c>
      <c r="G319" s="143">
        <v>162.44999999999999</v>
      </c>
      <c r="H319" s="144" t="s">
        <v>730</v>
      </c>
      <c r="I319" s="145"/>
      <c r="J319" s="145"/>
      <c r="K319" s="146">
        <v>162.44999999999999</v>
      </c>
    </row>
    <row r="320" spans="1:11" s="147" customFormat="1" ht="11.25" customHeight="1" x14ac:dyDescent="0.2">
      <c r="A320" s="795" t="s">
        <v>9035</v>
      </c>
      <c r="B320" s="138">
        <v>43431</v>
      </c>
      <c r="C320" s="139" t="s">
        <v>9173</v>
      </c>
      <c r="D320" s="140" t="s">
        <v>9177</v>
      </c>
      <c r="E320" s="141" t="s">
        <v>8123</v>
      </c>
      <c r="F320" s="142" t="s">
        <v>8082</v>
      </c>
      <c r="G320" s="143">
        <v>169.27</v>
      </c>
      <c r="H320" s="144" t="s">
        <v>730</v>
      </c>
      <c r="I320" s="145"/>
      <c r="J320" s="145"/>
      <c r="K320" s="146">
        <v>169.27</v>
      </c>
    </row>
    <row r="321" spans="1:11" s="147" customFormat="1" ht="11.25" customHeight="1" x14ac:dyDescent="0.2">
      <c r="A321" s="795" t="s">
        <v>9035</v>
      </c>
      <c r="B321" s="138">
        <v>43431</v>
      </c>
      <c r="C321" s="139" t="s">
        <v>9173</v>
      </c>
      <c r="D321" s="140" t="s">
        <v>9175</v>
      </c>
      <c r="E321" s="141" t="s">
        <v>8123</v>
      </c>
      <c r="F321" s="142" t="s">
        <v>8976</v>
      </c>
      <c r="G321" s="143">
        <v>170.89</v>
      </c>
      <c r="H321" s="144" t="s">
        <v>730</v>
      </c>
      <c r="I321" s="145"/>
      <c r="J321" s="145"/>
      <c r="K321" s="146">
        <v>170.89</v>
      </c>
    </row>
    <row r="322" spans="1:11" s="147" customFormat="1" ht="11.25" customHeight="1" x14ac:dyDescent="0.2">
      <c r="A322" s="795" t="s">
        <v>9035</v>
      </c>
      <c r="B322" s="138">
        <v>43431</v>
      </c>
      <c r="C322" s="139" t="s">
        <v>9171</v>
      </c>
      <c r="D322" s="140" t="s">
        <v>9185</v>
      </c>
      <c r="E322" s="141" t="s">
        <v>8123</v>
      </c>
      <c r="F322" s="142" t="s">
        <v>8116</v>
      </c>
      <c r="G322" s="143">
        <v>170.89</v>
      </c>
      <c r="H322" s="144" t="s">
        <v>730</v>
      </c>
      <c r="I322" s="145"/>
      <c r="J322" s="145"/>
      <c r="K322" s="146">
        <v>170.89</v>
      </c>
    </row>
    <row r="323" spans="1:11" s="147" customFormat="1" ht="11.25" customHeight="1" x14ac:dyDescent="0.2">
      <c r="A323" s="795" t="s">
        <v>9035</v>
      </c>
      <c r="B323" s="138">
        <v>43431</v>
      </c>
      <c r="C323" s="139" t="s">
        <v>9171</v>
      </c>
      <c r="D323" s="140" t="s">
        <v>9187</v>
      </c>
      <c r="E323" s="141" t="s">
        <v>8123</v>
      </c>
      <c r="F323" s="142" t="s">
        <v>8118</v>
      </c>
      <c r="G323" s="143">
        <v>170.89</v>
      </c>
      <c r="H323" s="144" t="s">
        <v>730</v>
      </c>
      <c r="I323" s="145"/>
      <c r="J323" s="145"/>
      <c r="K323" s="146">
        <v>170.89</v>
      </c>
    </row>
    <row r="324" spans="1:11" s="147" customFormat="1" ht="11.25" customHeight="1" x14ac:dyDescent="0.2">
      <c r="A324" s="795" t="s">
        <v>9035</v>
      </c>
      <c r="B324" s="138">
        <v>43431</v>
      </c>
      <c r="C324" s="139" t="s">
        <v>9171</v>
      </c>
      <c r="D324" s="140" t="s">
        <v>9187</v>
      </c>
      <c r="E324" s="141" t="s">
        <v>8123</v>
      </c>
      <c r="F324" s="142" t="s">
        <v>8118</v>
      </c>
      <c r="G324" s="143">
        <v>180.54</v>
      </c>
      <c r="H324" s="144" t="s">
        <v>730</v>
      </c>
      <c r="I324" s="145"/>
      <c r="J324" s="145"/>
      <c r="K324" s="146">
        <v>180.54</v>
      </c>
    </row>
    <row r="325" spans="1:11" s="147" customFormat="1" ht="11.25" customHeight="1" x14ac:dyDescent="0.2">
      <c r="A325" s="795" t="s">
        <v>9035</v>
      </c>
      <c r="B325" s="138">
        <v>43431</v>
      </c>
      <c r="C325" s="139" t="s">
        <v>9173</v>
      </c>
      <c r="D325" s="140" t="s">
        <v>9179</v>
      </c>
      <c r="E325" s="141" t="s">
        <v>8123</v>
      </c>
      <c r="F325" s="142" t="s">
        <v>8118</v>
      </c>
      <c r="G325" s="143">
        <v>183.4</v>
      </c>
      <c r="H325" s="144" t="s">
        <v>730</v>
      </c>
      <c r="I325" s="145"/>
      <c r="J325" s="145"/>
      <c r="K325" s="146">
        <v>183.4</v>
      </c>
    </row>
    <row r="326" spans="1:11" s="147" customFormat="1" ht="11.25" customHeight="1" x14ac:dyDescent="0.2">
      <c r="A326" s="795" t="s">
        <v>9035</v>
      </c>
      <c r="B326" s="138">
        <v>43431</v>
      </c>
      <c r="C326" s="139" t="s">
        <v>9171</v>
      </c>
      <c r="D326" s="140" t="s">
        <v>9176</v>
      </c>
      <c r="E326" s="141" t="s">
        <v>8123</v>
      </c>
      <c r="F326" s="142" t="s">
        <v>8116</v>
      </c>
      <c r="G326" s="143">
        <v>189.73</v>
      </c>
      <c r="H326" s="144" t="s">
        <v>730</v>
      </c>
      <c r="I326" s="145"/>
      <c r="J326" s="145"/>
      <c r="K326" s="146">
        <v>189.73</v>
      </c>
    </row>
    <row r="327" spans="1:11" s="147" customFormat="1" ht="11.25" customHeight="1" x14ac:dyDescent="0.2">
      <c r="A327" s="795" t="s">
        <v>9035</v>
      </c>
      <c r="B327" s="138">
        <v>43431</v>
      </c>
      <c r="C327" s="139" t="s">
        <v>9173</v>
      </c>
      <c r="D327" s="140" t="s">
        <v>9177</v>
      </c>
      <c r="E327" s="141" t="s">
        <v>8123</v>
      </c>
      <c r="F327" s="142" t="s">
        <v>8082</v>
      </c>
      <c r="G327" s="143">
        <v>190.33</v>
      </c>
      <c r="H327" s="144" t="s">
        <v>730</v>
      </c>
      <c r="I327" s="145"/>
      <c r="J327" s="145"/>
      <c r="K327" s="146">
        <v>190.33</v>
      </c>
    </row>
    <row r="328" spans="1:11" s="147" customFormat="1" ht="11.25" customHeight="1" x14ac:dyDescent="0.2">
      <c r="A328" s="795" t="s">
        <v>9035</v>
      </c>
      <c r="B328" s="138">
        <v>43431</v>
      </c>
      <c r="C328" s="139" t="s">
        <v>9171</v>
      </c>
      <c r="D328" s="140" t="s">
        <v>9184</v>
      </c>
      <c r="E328" s="141" t="s">
        <v>8123</v>
      </c>
      <c r="F328" s="142" t="s">
        <v>8082</v>
      </c>
      <c r="G328" s="143">
        <v>191.54</v>
      </c>
      <c r="H328" s="144" t="s">
        <v>730</v>
      </c>
      <c r="I328" s="145"/>
      <c r="J328" s="145"/>
      <c r="K328" s="146">
        <v>191.54</v>
      </c>
    </row>
    <row r="329" spans="1:11" s="147" customFormat="1" ht="11.25" customHeight="1" x14ac:dyDescent="0.2">
      <c r="A329" s="795" t="s">
        <v>9035</v>
      </c>
      <c r="B329" s="138">
        <v>43431</v>
      </c>
      <c r="C329" s="139" t="s">
        <v>9173</v>
      </c>
      <c r="D329" s="140" t="s">
        <v>9182</v>
      </c>
      <c r="E329" s="141" t="s">
        <v>8123</v>
      </c>
      <c r="F329" s="142" t="s">
        <v>8116</v>
      </c>
      <c r="G329" s="143">
        <v>194.71</v>
      </c>
      <c r="H329" s="144" t="s">
        <v>730</v>
      </c>
      <c r="I329" s="145"/>
      <c r="J329" s="145"/>
      <c r="K329" s="146">
        <v>194.71</v>
      </c>
    </row>
    <row r="330" spans="1:11" s="147" customFormat="1" ht="11.25" customHeight="1" x14ac:dyDescent="0.2">
      <c r="A330" s="795" t="s">
        <v>9035</v>
      </c>
      <c r="B330" s="138">
        <v>43431</v>
      </c>
      <c r="C330" s="139" t="s">
        <v>9173</v>
      </c>
      <c r="D330" s="140" t="s">
        <v>9180</v>
      </c>
      <c r="E330" s="141" t="s">
        <v>8123</v>
      </c>
      <c r="F330" s="142" t="s">
        <v>8118</v>
      </c>
      <c r="G330" s="143">
        <v>201.84</v>
      </c>
      <c r="H330" s="144" t="s">
        <v>730</v>
      </c>
      <c r="I330" s="145"/>
      <c r="J330" s="145"/>
      <c r="K330" s="146">
        <v>201.84</v>
      </c>
    </row>
    <row r="331" spans="1:11" s="147" customFormat="1" ht="11.25" customHeight="1" x14ac:dyDescent="0.2">
      <c r="A331" s="795" t="s">
        <v>9035</v>
      </c>
      <c r="B331" s="138">
        <v>43431</v>
      </c>
      <c r="C331" s="139" t="s">
        <v>9171</v>
      </c>
      <c r="D331" s="140" t="s">
        <v>9185</v>
      </c>
      <c r="E331" s="141" t="s">
        <v>8123</v>
      </c>
      <c r="F331" s="142" t="s">
        <v>8116</v>
      </c>
      <c r="G331" s="143">
        <v>208.29</v>
      </c>
      <c r="H331" s="144" t="s">
        <v>730</v>
      </c>
      <c r="I331" s="145"/>
      <c r="J331" s="145"/>
      <c r="K331" s="146">
        <v>208.29</v>
      </c>
    </row>
    <row r="332" spans="1:11" s="147" customFormat="1" ht="11.25" customHeight="1" x14ac:dyDescent="0.2">
      <c r="A332" s="795" t="s">
        <v>9035</v>
      </c>
      <c r="B332" s="138">
        <v>43431</v>
      </c>
      <c r="C332" s="139" t="s">
        <v>9171</v>
      </c>
      <c r="D332" s="140" t="s">
        <v>9172</v>
      </c>
      <c r="E332" s="141" t="s">
        <v>8123</v>
      </c>
      <c r="F332" s="142" t="s">
        <v>8116</v>
      </c>
      <c r="G332" s="143">
        <v>208.29</v>
      </c>
      <c r="H332" s="144" t="s">
        <v>730</v>
      </c>
      <c r="I332" s="145"/>
      <c r="J332" s="145"/>
      <c r="K332" s="146">
        <v>208.29</v>
      </c>
    </row>
    <row r="333" spans="1:11" s="147" customFormat="1" ht="11.25" customHeight="1" x14ac:dyDescent="0.2">
      <c r="A333" s="795" t="s">
        <v>9035</v>
      </c>
      <c r="B333" s="138">
        <v>43431</v>
      </c>
      <c r="C333" s="139" t="s">
        <v>9171</v>
      </c>
      <c r="D333" s="140" t="s">
        <v>9183</v>
      </c>
      <c r="E333" s="141" t="s">
        <v>8123</v>
      </c>
      <c r="F333" s="142" t="s">
        <v>8118</v>
      </c>
      <c r="G333" s="143">
        <v>213.31</v>
      </c>
      <c r="H333" s="144" t="s">
        <v>730</v>
      </c>
      <c r="I333" s="145"/>
      <c r="J333" s="145"/>
      <c r="K333" s="146">
        <v>213.31</v>
      </c>
    </row>
    <row r="334" spans="1:11" s="147" customFormat="1" ht="11.25" customHeight="1" x14ac:dyDescent="0.2">
      <c r="A334" s="795" t="s">
        <v>9035</v>
      </c>
      <c r="B334" s="138">
        <v>43431</v>
      </c>
      <c r="C334" s="139" t="s">
        <v>9173</v>
      </c>
      <c r="D334" s="140" t="s">
        <v>9179</v>
      </c>
      <c r="E334" s="141" t="s">
        <v>8123</v>
      </c>
      <c r="F334" s="142" t="s">
        <v>8118</v>
      </c>
      <c r="G334" s="143">
        <v>218.49</v>
      </c>
      <c r="H334" s="144" t="s">
        <v>730</v>
      </c>
      <c r="I334" s="145"/>
      <c r="J334" s="145"/>
      <c r="K334" s="146">
        <v>218.49</v>
      </c>
    </row>
    <row r="335" spans="1:11" s="147" customFormat="1" ht="11.25" customHeight="1" x14ac:dyDescent="0.2">
      <c r="A335" s="795" t="s">
        <v>9035</v>
      </c>
      <c r="B335" s="138">
        <v>43431</v>
      </c>
      <c r="C335" s="139" t="s">
        <v>9171</v>
      </c>
      <c r="D335" s="140" t="s">
        <v>9183</v>
      </c>
      <c r="E335" s="141" t="s">
        <v>8123</v>
      </c>
      <c r="F335" s="142" t="s">
        <v>8118</v>
      </c>
      <c r="G335" s="143">
        <v>228.11</v>
      </c>
      <c r="H335" s="144" t="s">
        <v>730</v>
      </c>
      <c r="I335" s="145"/>
      <c r="J335" s="145"/>
      <c r="K335" s="146">
        <v>228.11</v>
      </c>
    </row>
    <row r="336" spans="1:11" s="147" customFormat="1" ht="11.25" customHeight="1" x14ac:dyDescent="0.2">
      <c r="A336" s="795" t="s">
        <v>9035</v>
      </c>
      <c r="B336" s="138">
        <v>43431</v>
      </c>
      <c r="C336" s="139" t="s">
        <v>9171</v>
      </c>
      <c r="D336" s="140" t="s">
        <v>9184</v>
      </c>
      <c r="E336" s="141" t="s">
        <v>8123</v>
      </c>
      <c r="F336" s="142" t="s">
        <v>8082</v>
      </c>
      <c r="G336" s="143">
        <v>229.58</v>
      </c>
      <c r="H336" s="144" t="s">
        <v>730</v>
      </c>
      <c r="I336" s="145"/>
      <c r="J336" s="145"/>
      <c r="K336" s="146">
        <v>229.58</v>
      </c>
    </row>
    <row r="337" spans="1:11" s="147" customFormat="1" ht="11.25" customHeight="1" x14ac:dyDescent="0.2">
      <c r="A337" s="795" t="s">
        <v>9035</v>
      </c>
      <c r="B337" s="138">
        <v>43431</v>
      </c>
      <c r="C337" s="139" t="s">
        <v>9171</v>
      </c>
      <c r="D337" s="140" t="s">
        <v>9186</v>
      </c>
      <c r="E337" s="141" t="s">
        <v>8123</v>
      </c>
      <c r="F337" s="142" t="s">
        <v>8082</v>
      </c>
      <c r="G337" s="143">
        <v>235.6</v>
      </c>
      <c r="H337" s="144" t="s">
        <v>730</v>
      </c>
      <c r="I337" s="145"/>
      <c r="J337" s="145"/>
      <c r="K337" s="146">
        <v>235.6</v>
      </c>
    </row>
    <row r="338" spans="1:11" s="147" customFormat="1" ht="11.25" customHeight="1" x14ac:dyDescent="0.2">
      <c r="A338" s="795" t="s">
        <v>9035</v>
      </c>
      <c r="B338" s="138">
        <v>43431</v>
      </c>
      <c r="C338" s="139" t="s">
        <v>9173</v>
      </c>
      <c r="D338" s="140" t="s">
        <v>9180</v>
      </c>
      <c r="E338" s="141" t="s">
        <v>8123</v>
      </c>
      <c r="F338" s="142" t="s">
        <v>8118</v>
      </c>
      <c r="G338" s="143">
        <v>236.76</v>
      </c>
      <c r="H338" s="144" t="s">
        <v>730</v>
      </c>
      <c r="I338" s="145"/>
      <c r="J338" s="145"/>
      <c r="K338" s="146">
        <v>236.76</v>
      </c>
    </row>
    <row r="339" spans="1:11" s="147" customFormat="1" ht="11.25" customHeight="1" x14ac:dyDescent="0.2">
      <c r="A339" s="795" t="s">
        <v>9035</v>
      </c>
      <c r="B339" s="138">
        <v>43431</v>
      </c>
      <c r="C339" s="139" t="s">
        <v>9171</v>
      </c>
      <c r="D339" s="140" t="s">
        <v>9172</v>
      </c>
      <c r="E339" s="141" t="s">
        <v>8123</v>
      </c>
      <c r="F339" s="142" t="s">
        <v>8116</v>
      </c>
      <c r="G339" s="143">
        <v>238.36</v>
      </c>
      <c r="H339" s="144" t="s">
        <v>730</v>
      </c>
      <c r="I339" s="145"/>
      <c r="J339" s="145"/>
      <c r="K339" s="146">
        <v>238.36</v>
      </c>
    </row>
    <row r="340" spans="1:11" s="147" customFormat="1" ht="11.25" customHeight="1" x14ac:dyDescent="0.2">
      <c r="A340" s="795" t="s">
        <v>9035</v>
      </c>
      <c r="B340" s="138">
        <v>43431</v>
      </c>
      <c r="C340" s="139" t="s">
        <v>9171</v>
      </c>
      <c r="D340" s="140" t="s">
        <v>9183</v>
      </c>
      <c r="E340" s="141" t="s">
        <v>8123</v>
      </c>
      <c r="F340" s="142" t="s">
        <v>8118</v>
      </c>
      <c r="G340" s="143">
        <v>238.36</v>
      </c>
      <c r="H340" s="144" t="s">
        <v>730</v>
      </c>
      <c r="I340" s="145"/>
      <c r="J340" s="145"/>
      <c r="K340" s="146">
        <v>238.36</v>
      </c>
    </row>
    <row r="341" spans="1:11" s="147" customFormat="1" ht="11.25" customHeight="1" x14ac:dyDescent="0.2">
      <c r="A341" s="795" t="s">
        <v>9035</v>
      </c>
      <c r="B341" s="138">
        <v>43431</v>
      </c>
      <c r="C341" s="139" t="s">
        <v>9171</v>
      </c>
      <c r="D341" s="140" t="s">
        <v>9183</v>
      </c>
      <c r="E341" s="141" t="s">
        <v>8123</v>
      </c>
      <c r="F341" s="142" t="s">
        <v>8118</v>
      </c>
      <c r="G341" s="143">
        <v>242.95</v>
      </c>
      <c r="H341" s="144" t="s">
        <v>730</v>
      </c>
      <c r="I341" s="145"/>
      <c r="J341" s="145"/>
      <c r="K341" s="146">
        <v>242.95</v>
      </c>
    </row>
    <row r="342" spans="1:11" s="147" customFormat="1" ht="11.25" customHeight="1" x14ac:dyDescent="0.2">
      <c r="A342" s="795" t="s">
        <v>9035</v>
      </c>
      <c r="B342" s="138">
        <v>43431</v>
      </c>
      <c r="C342" s="139" t="s">
        <v>9171</v>
      </c>
      <c r="D342" s="140" t="s">
        <v>9185</v>
      </c>
      <c r="E342" s="141" t="s">
        <v>8123</v>
      </c>
      <c r="F342" s="142" t="s">
        <v>8116</v>
      </c>
      <c r="G342" s="143">
        <v>255.55</v>
      </c>
      <c r="H342" s="144" t="s">
        <v>730</v>
      </c>
      <c r="I342" s="145"/>
      <c r="J342" s="145"/>
      <c r="K342" s="146">
        <v>255.55</v>
      </c>
    </row>
    <row r="343" spans="1:11" s="147" customFormat="1" ht="11.25" customHeight="1" x14ac:dyDescent="0.2">
      <c r="A343" s="795" t="s">
        <v>9035</v>
      </c>
      <c r="B343" s="138">
        <v>43431</v>
      </c>
      <c r="C343" s="139" t="s">
        <v>9171</v>
      </c>
      <c r="D343" s="140" t="s">
        <v>9186</v>
      </c>
      <c r="E343" s="141" t="s">
        <v>8123</v>
      </c>
      <c r="F343" s="142" t="s">
        <v>8082</v>
      </c>
      <c r="G343" s="143">
        <v>267.26</v>
      </c>
      <c r="H343" s="144" t="s">
        <v>730</v>
      </c>
      <c r="I343" s="145"/>
      <c r="J343" s="145"/>
      <c r="K343" s="146">
        <v>267.26</v>
      </c>
    </row>
    <row r="344" spans="1:11" s="147" customFormat="1" ht="11.25" customHeight="1" x14ac:dyDescent="0.2">
      <c r="A344" s="795" t="s">
        <v>9035</v>
      </c>
      <c r="B344" s="138">
        <v>43431</v>
      </c>
      <c r="C344" s="139" t="s">
        <v>9173</v>
      </c>
      <c r="D344" s="140" t="s">
        <v>9180</v>
      </c>
      <c r="E344" s="141" t="s">
        <v>8123</v>
      </c>
      <c r="F344" s="142" t="s">
        <v>8118</v>
      </c>
      <c r="G344" s="143">
        <v>270.27999999999997</v>
      </c>
      <c r="H344" s="144" t="s">
        <v>730</v>
      </c>
      <c r="I344" s="145"/>
      <c r="J344" s="145"/>
      <c r="K344" s="146">
        <v>270.27999999999997</v>
      </c>
    </row>
    <row r="345" spans="1:11" s="147" customFormat="1" ht="11.25" customHeight="1" x14ac:dyDescent="0.2">
      <c r="A345" s="795" t="s">
        <v>9035</v>
      </c>
      <c r="B345" s="138">
        <v>43431</v>
      </c>
      <c r="C345" s="139" t="s">
        <v>9173</v>
      </c>
      <c r="D345" s="140" t="s">
        <v>9180</v>
      </c>
      <c r="E345" s="141" t="s">
        <v>8123</v>
      </c>
      <c r="F345" s="142" t="s">
        <v>8118</v>
      </c>
      <c r="G345" s="143">
        <v>273.18</v>
      </c>
      <c r="H345" s="144" t="s">
        <v>730</v>
      </c>
      <c r="I345" s="145"/>
      <c r="J345" s="145"/>
      <c r="K345" s="146">
        <v>273.18</v>
      </c>
    </row>
    <row r="346" spans="1:11" s="147" customFormat="1" ht="11.25" customHeight="1" x14ac:dyDescent="0.2">
      <c r="A346" s="795" t="s">
        <v>9035</v>
      </c>
      <c r="B346" s="138">
        <v>43431</v>
      </c>
      <c r="C346" s="139" t="s">
        <v>9171</v>
      </c>
      <c r="D346" s="140" t="s">
        <v>9176</v>
      </c>
      <c r="E346" s="141" t="s">
        <v>8123</v>
      </c>
      <c r="F346" s="142" t="s">
        <v>8116</v>
      </c>
      <c r="G346" s="143">
        <v>296.89</v>
      </c>
      <c r="H346" s="144" t="s">
        <v>730</v>
      </c>
      <c r="I346" s="145"/>
      <c r="J346" s="145"/>
      <c r="K346" s="146">
        <v>296.89</v>
      </c>
    </row>
    <row r="347" spans="1:11" s="147" customFormat="1" ht="11.25" customHeight="1" x14ac:dyDescent="0.2">
      <c r="A347" s="795" t="s">
        <v>9035</v>
      </c>
      <c r="B347" s="138">
        <v>43431</v>
      </c>
      <c r="C347" s="139" t="s">
        <v>9171</v>
      </c>
      <c r="D347" s="140" t="s">
        <v>9184</v>
      </c>
      <c r="E347" s="141" t="s">
        <v>8123</v>
      </c>
      <c r="F347" s="142" t="s">
        <v>8082</v>
      </c>
      <c r="G347" s="143">
        <v>303.69</v>
      </c>
      <c r="H347" s="144" t="s">
        <v>730</v>
      </c>
      <c r="I347" s="145"/>
      <c r="J347" s="145"/>
      <c r="K347" s="146">
        <v>303.69</v>
      </c>
    </row>
    <row r="348" spans="1:11" s="147" customFormat="1" ht="11.25" customHeight="1" x14ac:dyDescent="0.2">
      <c r="A348" s="795" t="s">
        <v>9035</v>
      </c>
      <c r="B348" s="138">
        <v>43431</v>
      </c>
      <c r="C348" s="139" t="s">
        <v>9173</v>
      </c>
      <c r="D348" s="140" t="s">
        <v>9180</v>
      </c>
      <c r="E348" s="141" t="s">
        <v>8123</v>
      </c>
      <c r="F348" s="142" t="s">
        <v>8118</v>
      </c>
      <c r="G348" s="143">
        <v>304.99</v>
      </c>
      <c r="H348" s="144" t="s">
        <v>730</v>
      </c>
      <c r="I348" s="145"/>
      <c r="J348" s="145"/>
      <c r="K348" s="146">
        <v>304.99</v>
      </c>
    </row>
    <row r="349" spans="1:11" s="147" customFormat="1" ht="11.25" customHeight="1" x14ac:dyDescent="0.2">
      <c r="A349" s="795" t="s">
        <v>9035</v>
      </c>
      <c r="B349" s="138">
        <v>43431</v>
      </c>
      <c r="C349" s="139" t="s">
        <v>9173</v>
      </c>
      <c r="D349" s="140" t="s">
        <v>9179</v>
      </c>
      <c r="E349" s="141" t="s">
        <v>8123</v>
      </c>
      <c r="F349" s="142" t="s">
        <v>8118</v>
      </c>
      <c r="G349" s="143">
        <v>315.75</v>
      </c>
      <c r="H349" s="144" t="s">
        <v>730</v>
      </c>
      <c r="I349" s="145"/>
      <c r="J349" s="145"/>
      <c r="K349" s="146">
        <v>315.75</v>
      </c>
    </row>
    <row r="350" spans="1:11" s="147" customFormat="1" ht="11.25" customHeight="1" x14ac:dyDescent="0.2">
      <c r="A350" s="795" t="s">
        <v>9035</v>
      </c>
      <c r="B350" s="138">
        <v>43431</v>
      </c>
      <c r="C350" s="139" t="s">
        <v>9173</v>
      </c>
      <c r="D350" s="140" t="s">
        <v>9178</v>
      </c>
      <c r="E350" s="141" t="s">
        <v>8123</v>
      </c>
      <c r="F350" s="142" t="s">
        <v>8082</v>
      </c>
      <c r="G350" s="143">
        <v>339.09</v>
      </c>
      <c r="H350" s="144" t="s">
        <v>730</v>
      </c>
      <c r="I350" s="145"/>
      <c r="J350" s="145"/>
      <c r="K350" s="146">
        <v>339.09</v>
      </c>
    </row>
    <row r="351" spans="1:11" s="147" customFormat="1" ht="11.25" customHeight="1" x14ac:dyDescent="0.2">
      <c r="A351" s="795" t="s">
        <v>9035</v>
      </c>
      <c r="B351" s="138">
        <v>43431</v>
      </c>
      <c r="C351" s="139" t="s">
        <v>9171</v>
      </c>
      <c r="D351" s="140" t="s">
        <v>9186</v>
      </c>
      <c r="E351" s="141" t="s">
        <v>8123</v>
      </c>
      <c r="F351" s="142" t="s">
        <v>8082</v>
      </c>
      <c r="G351" s="143">
        <v>341.78</v>
      </c>
      <c r="H351" s="144" t="s">
        <v>730</v>
      </c>
      <c r="I351" s="145"/>
      <c r="J351" s="145"/>
      <c r="K351" s="146">
        <v>341.78</v>
      </c>
    </row>
    <row r="352" spans="1:11" s="147" customFormat="1" ht="11.25" customHeight="1" x14ac:dyDescent="0.2">
      <c r="A352" s="795" t="s">
        <v>9035</v>
      </c>
      <c r="B352" s="138">
        <v>43431</v>
      </c>
      <c r="C352" s="139" t="s">
        <v>9173</v>
      </c>
      <c r="D352" s="140" t="s">
        <v>9179</v>
      </c>
      <c r="E352" s="141" t="s">
        <v>8123</v>
      </c>
      <c r="F352" s="142" t="s">
        <v>8118</v>
      </c>
      <c r="G352" s="143">
        <v>362.38</v>
      </c>
      <c r="H352" s="144" t="s">
        <v>730</v>
      </c>
      <c r="I352" s="145"/>
      <c r="J352" s="145"/>
      <c r="K352" s="146">
        <v>362.38</v>
      </c>
    </row>
    <row r="353" spans="1:11" s="147" customFormat="1" ht="11.25" customHeight="1" x14ac:dyDescent="0.2">
      <c r="A353" s="795" t="s">
        <v>9035</v>
      </c>
      <c r="B353" s="138">
        <v>43431</v>
      </c>
      <c r="C353" s="139" t="s">
        <v>9171</v>
      </c>
      <c r="D353" s="140" t="s">
        <v>9184</v>
      </c>
      <c r="E353" s="141" t="s">
        <v>8123</v>
      </c>
      <c r="F353" s="142" t="s">
        <v>8082</v>
      </c>
      <c r="G353" s="143">
        <v>387.07</v>
      </c>
      <c r="H353" s="144" t="s">
        <v>730</v>
      </c>
      <c r="I353" s="145"/>
      <c r="J353" s="145"/>
      <c r="K353" s="146">
        <v>387.07</v>
      </c>
    </row>
    <row r="354" spans="1:11" s="147" customFormat="1" ht="11.25" customHeight="1" x14ac:dyDescent="0.2">
      <c r="A354" s="795" t="s">
        <v>9035</v>
      </c>
      <c r="B354" s="138">
        <v>43431</v>
      </c>
      <c r="C354" s="139" t="s">
        <v>9171</v>
      </c>
      <c r="D354" s="140" t="s">
        <v>9186</v>
      </c>
      <c r="E354" s="141" t="s">
        <v>8123</v>
      </c>
      <c r="F354" s="142" t="s">
        <v>8082</v>
      </c>
      <c r="G354" s="143">
        <v>406.12</v>
      </c>
      <c r="H354" s="144" t="s">
        <v>730</v>
      </c>
      <c r="I354" s="145"/>
      <c r="J354" s="145"/>
      <c r="K354" s="146">
        <v>406.12</v>
      </c>
    </row>
    <row r="355" spans="1:11" s="147" customFormat="1" ht="11.25" customHeight="1" x14ac:dyDescent="0.2">
      <c r="A355" s="795" t="s">
        <v>9035</v>
      </c>
      <c r="B355" s="138">
        <v>43431</v>
      </c>
      <c r="C355" s="139" t="s">
        <v>9171</v>
      </c>
      <c r="D355" s="140" t="s">
        <v>9185</v>
      </c>
      <c r="E355" s="141" t="s">
        <v>8123</v>
      </c>
      <c r="F355" s="142" t="s">
        <v>8116</v>
      </c>
      <c r="G355" s="143">
        <v>427.58</v>
      </c>
      <c r="H355" s="144" t="s">
        <v>730</v>
      </c>
      <c r="I355" s="145"/>
      <c r="J355" s="145"/>
      <c r="K355" s="146">
        <v>427.58</v>
      </c>
    </row>
    <row r="356" spans="1:11" s="147" customFormat="1" ht="11.25" customHeight="1" x14ac:dyDescent="0.2">
      <c r="A356" s="795" t="s">
        <v>9035</v>
      </c>
      <c r="B356" s="138">
        <v>43431</v>
      </c>
      <c r="C356" s="139" t="s">
        <v>9173</v>
      </c>
      <c r="D356" s="140" t="s">
        <v>9182</v>
      </c>
      <c r="E356" s="141" t="s">
        <v>8123</v>
      </c>
      <c r="F356" s="142" t="s">
        <v>8116</v>
      </c>
      <c r="G356" s="143">
        <v>427.58</v>
      </c>
      <c r="H356" s="144" t="s">
        <v>730</v>
      </c>
      <c r="I356" s="145"/>
      <c r="J356" s="145"/>
      <c r="K356" s="146">
        <v>427.58</v>
      </c>
    </row>
    <row r="357" spans="1:11" s="147" customFormat="1" ht="11.25" customHeight="1" x14ac:dyDescent="0.2">
      <c r="A357" s="795" t="s">
        <v>9035</v>
      </c>
      <c r="B357" s="138">
        <v>43431</v>
      </c>
      <c r="C357" s="139" t="s">
        <v>9171</v>
      </c>
      <c r="D357" s="140" t="s">
        <v>9187</v>
      </c>
      <c r="E357" s="141" t="s">
        <v>8123</v>
      </c>
      <c r="F357" s="142" t="s">
        <v>8118</v>
      </c>
      <c r="G357" s="143">
        <v>459.26</v>
      </c>
      <c r="H357" s="144" t="s">
        <v>730</v>
      </c>
      <c r="I357" s="145"/>
      <c r="J357" s="145"/>
      <c r="K357" s="146">
        <v>459.26</v>
      </c>
    </row>
    <row r="358" spans="1:11" s="147" customFormat="1" ht="11.25" customHeight="1" x14ac:dyDescent="0.2">
      <c r="A358" s="795" t="s">
        <v>9035</v>
      </c>
      <c r="B358" s="138">
        <v>43431</v>
      </c>
      <c r="C358" s="139" t="s">
        <v>9173</v>
      </c>
      <c r="D358" s="140" t="s">
        <v>9181</v>
      </c>
      <c r="E358" s="141" t="s">
        <v>8123</v>
      </c>
      <c r="F358" s="142" t="s">
        <v>8116</v>
      </c>
      <c r="G358" s="143">
        <v>470.96</v>
      </c>
      <c r="H358" s="144" t="s">
        <v>730</v>
      </c>
      <c r="I358" s="145"/>
      <c r="J358" s="145"/>
      <c r="K358" s="146">
        <v>470.96</v>
      </c>
    </row>
    <row r="359" spans="1:11" s="147" customFormat="1" ht="11.25" customHeight="1" x14ac:dyDescent="0.2">
      <c r="A359" s="795" t="s">
        <v>9035</v>
      </c>
      <c r="B359" s="138">
        <v>43431</v>
      </c>
      <c r="C359" s="139" t="s">
        <v>9171</v>
      </c>
      <c r="D359" s="140" t="s">
        <v>9186</v>
      </c>
      <c r="E359" s="141" t="s">
        <v>8123</v>
      </c>
      <c r="F359" s="142" t="s">
        <v>8082</v>
      </c>
      <c r="G359" s="143">
        <v>478.85</v>
      </c>
      <c r="H359" s="144" t="s">
        <v>730</v>
      </c>
      <c r="I359" s="145"/>
      <c r="J359" s="145"/>
      <c r="K359" s="146">
        <v>478.85</v>
      </c>
    </row>
    <row r="360" spans="1:11" s="147" customFormat="1" ht="11.25" customHeight="1" x14ac:dyDescent="0.2">
      <c r="A360" s="795" t="s">
        <v>9035</v>
      </c>
      <c r="B360" s="138">
        <v>43431</v>
      </c>
      <c r="C360" s="139" t="s">
        <v>9173</v>
      </c>
      <c r="D360" s="140" t="s">
        <v>9175</v>
      </c>
      <c r="E360" s="141" t="s">
        <v>8123</v>
      </c>
      <c r="F360" s="142" t="s">
        <v>8976</v>
      </c>
      <c r="G360" s="143">
        <v>520.72</v>
      </c>
      <c r="H360" s="144" t="s">
        <v>730</v>
      </c>
      <c r="I360" s="145"/>
      <c r="J360" s="145"/>
      <c r="K360" s="146">
        <v>520.72</v>
      </c>
    </row>
    <row r="361" spans="1:11" s="147" customFormat="1" ht="11.25" customHeight="1" x14ac:dyDescent="0.2">
      <c r="A361" s="795" t="s">
        <v>9035</v>
      </c>
      <c r="B361" s="138">
        <v>43431</v>
      </c>
      <c r="C361" s="139" t="s">
        <v>9171</v>
      </c>
      <c r="D361" s="140" t="s">
        <v>9186</v>
      </c>
      <c r="E361" s="141" t="s">
        <v>8123</v>
      </c>
      <c r="F361" s="142" t="s">
        <v>8082</v>
      </c>
      <c r="G361" s="143">
        <v>530.12</v>
      </c>
      <c r="H361" s="144" t="s">
        <v>730</v>
      </c>
      <c r="I361" s="145"/>
      <c r="J361" s="145"/>
      <c r="K361" s="146">
        <v>530.12</v>
      </c>
    </row>
    <row r="362" spans="1:11" s="147" customFormat="1" ht="11.25" customHeight="1" x14ac:dyDescent="0.2">
      <c r="A362" s="795" t="s">
        <v>9035</v>
      </c>
      <c r="B362" s="138">
        <v>43431</v>
      </c>
      <c r="C362" s="139" t="s">
        <v>9171</v>
      </c>
      <c r="D362" s="140" t="s">
        <v>9183</v>
      </c>
      <c r="E362" s="141" t="s">
        <v>8123</v>
      </c>
      <c r="F362" s="142" t="s">
        <v>8118</v>
      </c>
      <c r="G362" s="143">
        <v>533.72</v>
      </c>
      <c r="H362" s="144" t="s">
        <v>730</v>
      </c>
      <c r="I362" s="145"/>
      <c r="J362" s="145"/>
      <c r="K362" s="146">
        <v>533.72</v>
      </c>
    </row>
    <row r="363" spans="1:11" s="147" customFormat="1" ht="11.25" customHeight="1" x14ac:dyDescent="0.2">
      <c r="A363" s="795" t="s">
        <v>9035</v>
      </c>
      <c r="B363" s="138">
        <v>43431</v>
      </c>
      <c r="C363" s="139" t="s">
        <v>9173</v>
      </c>
      <c r="D363" s="140" t="s">
        <v>9180</v>
      </c>
      <c r="E363" s="141" t="s">
        <v>8123</v>
      </c>
      <c r="F363" s="142" t="s">
        <v>8118</v>
      </c>
      <c r="G363" s="143">
        <v>546.29</v>
      </c>
      <c r="H363" s="144" t="s">
        <v>730</v>
      </c>
      <c r="I363" s="145"/>
      <c r="J363" s="145"/>
      <c r="K363" s="146">
        <v>546.29</v>
      </c>
    </row>
    <row r="364" spans="1:11" s="147" customFormat="1" ht="11.25" customHeight="1" x14ac:dyDescent="0.2">
      <c r="A364" s="795" t="s">
        <v>9035</v>
      </c>
      <c r="B364" s="138">
        <v>43431</v>
      </c>
      <c r="C364" s="139" t="s">
        <v>9173</v>
      </c>
      <c r="D364" s="140" t="s">
        <v>9181</v>
      </c>
      <c r="E364" s="141" t="s">
        <v>8123</v>
      </c>
      <c r="F364" s="142" t="s">
        <v>8116</v>
      </c>
      <c r="G364" s="143">
        <v>605.52</v>
      </c>
      <c r="H364" s="144" t="s">
        <v>730</v>
      </c>
      <c r="I364" s="145"/>
      <c r="J364" s="145"/>
      <c r="K364" s="146">
        <v>605.52</v>
      </c>
    </row>
    <row r="365" spans="1:11" s="147" customFormat="1" ht="11.25" customHeight="1" x14ac:dyDescent="0.2">
      <c r="A365" s="795" t="s">
        <v>9035</v>
      </c>
      <c r="B365" s="138">
        <v>43431</v>
      </c>
      <c r="C365" s="139" t="s">
        <v>9173</v>
      </c>
      <c r="D365" s="140" t="s">
        <v>9175</v>
      </c>
      <c r="E365" s="141" t="s">
        <v>8123</v>
      </c>
      <c r="F365" s="142" t="s">
        <v>8976</v>
      </c>
      <c r="G365" s="143">
        <v>638.87</v>
      </c>
      <c r="H365" s="144" t="s">
        <v>730</v>
      </c>
      <c r="I365" s="145"/>
      <c r="J365" s="145"/>
      <c r="K365" s="146">
        <v>638.87</v>
      </c>
    </row>
    <row r="366" spans="1:11" s="147" customFormat="1" ht="11.25" customHeight="1" x14ac:dyDescent="0.2">
      <c r="A366" s="795" t="s">
        <v>9035</v>
      </c>
      <c r="B366" s="138">
        <v>43431</v>
      </c>
      <c r="C366" s="139" t="s">
        <v>9173</v>
      </c>
      <c r="D366" s="140" t="s">
        <v>9180</v>
      </c>
      <c r="E366" s="141" t="s">
        <v>8123</v>
      </c>
      <c r="F366" s="142" t="s">
        <v>8118</v>
      </c>
      <c r="G366" s="143">
        <v>648.5</v>
      </c>
      <c r="H366" s="144" t="s">
        <v>730</v>
      </c>
      <c r="I366" s="145"/>
      <c r="J366" s="145"/>
      <c r="K366" s="146">
        <v>648.5</v>
      </c>
    </row>
    <row r="367" spans="1:11" s="147" customFormat="1" ht="11.25" customHeight="1" x14ac:dyDescent="0.2">
      <c r="A367" s="795" t="s">
        <v>9035</v>
      </c>
      <c r="B367" s="138">
        <v>43431</v>
      </c>
      <c r="C367" s="139" t="s">
        <v>9171</v>
      </c>
      <c r="D367" s="140" t="s">
        <v>9183</v>
      </c>
      <c r="E367" s="141" t="s">
        <v>8123</v>
      </c>
      <c r="F367" s="142" t="s">
        <v>8118</v>
      </c>
      <c r="G367" s="143">
        <v>680.48</v>
      </c>
      <c r="H367" s="144" t="s">
        <v>730</v>
      </c>
      <c r="I367" s="145"/>
      <c r="J367" s="145"/>
      <c r="K367" s="146">
        <v>680.48</v>
      </c>
    </row>
    <row r="368" spans="1:11" s="147" customFormat="1" ht="11.25" customHeight="1" x14ac:dyDescent="0.2">
      <c r="A368" s="795" t="s">
        <v>9035</v>
      </c>
      <c r="B368" s="138">
        <v>43431</v>
      </c>
      <c r="C368" s="139" t="s">
        <v>9173</v>
      </c>
      <c r="D368" s="140" t="s">
        <v>9178</v>
      </c>
      <c r="E368" s="141" t="s">
        <v>8123</v>
      </c>
      <c r="F368" s="142" t="s">
        <v>8082</v>
      </c>
      <c r="G368" s="143">
        <v>730.71</v>
      </c>
      <c r="H368" s="144" t="s">
        <v>730</v>
      </c>
      <c r="I368" s="145"/>
      <c r="J368" s="145"/>
      <c r="K368" s="146">
        <v>730.71</v>
      </c>
    </row>
    <row r="369" spans="1:11" s="147" customFormat="1" ht="11.25" customHeight="1" x14ac:dyDescent="0.2">
      <c r="A369" s="795" t="s">
        <v>9035</v>
      </c>
      <c r="B369" s="138">
        <v>43431</v>
      </c>
      <c r="C369" s="139" t="s">
        <v>9171</v>
      </c>
      <c r="D369" s="140" t="s">
        <v>9186</v>
      </c>
      <c r="E369" s="141" t="s">
        <v>8123</v>
      </c>
      <c r="F369" s="142" t="s">
        <v>8082</v>
      </c>
      <c r="G369" s="143">
        <v>765.43</v>
      </c>
      <c r="H369" s="144" t="s">
        <v>730</v>
      </c>
      <c r="I369" s="145"/>
      <c r="J369" s="145"/>
      <c r="K369" s="146">
        <v>765.43</v>
      </c>
    </row>
    <row r="370" spans="1:11" s="147" customFormat="1" ht="11.25" customHeight="1" x14ac:dyDescent="0.2">
      <c r="A370" s="795" t="s">
        <v>9035</v>
      </c>
      <c r="B370" s="138">
        <v>43431</v>
      </c>
      <c r="C370" s="139" t="s">
        <v>9171</v>
      </c>
      <c r="D370" s="140" t="s">
        <v>9183</v>
      </c>
      <c r="E370" s="141" t="s">
        <v>8123</v>
      </c>
      <c r="F370" s="142" t="s">
        <v>8118</v>
      </c>
      <c r="G370" s="143">
        <v>894.36</v>
      </c>
      <c r="H370" s="144" t="s">
        <v>730</v>
      </c>
      <c r="I370" s="145"/>
      <c r="J370" s="145"/>
      <c r="K370" s="146">
        <v>894.36</v>
      </c>
    </row>
    <row r="371" spans="1:11" s="147" customFormat="1" ht="11.25" customHeight="1" x14ac:dyDescent="0.2">
      <c r="A371" s="795" t="s">
        <v>9035</v>
      </c>
      <c r="B371" s="138">
        <v>43431</v>
      </c>
      <c r="C371" s="139" t="s">
        <v>9171</v>
      </c>
      <c r="D371" s="140" t="s">
        <v>9187</v>
      </c>
      <c r="E371" s="141" t="s">
        <v>8123</v>
      </c>
      <c r="F371" s="142" t="s">
        <v>8118</v>
      </c>
      <c r="G371" s="143">
        <v>2082.9</v>
      </c>
      <c r="H371" s="144" t="s">
        <v>730</v>
      </c>
      <c r="I371" s="145"/>
      <c r="J371" s="145"/>
      <c r="K371" s="146">
        <v>2082.9</v>
      </c>
    </row>
    <row r="372" spans="1:11" s="147" customFormat="1" ht="11.25" customHeight="1" x14ac:dyDescent="0.2">
      <c r="A372" s="795" t="s">
        <v>9035</v>
      </c>
      <c r="B372" s="138">
        <v>43431</v>
      </c>
      <c r="C372" s="139" t="s">
        <v>9171</v>
      </c>
      <c r="D372" s="140" t="s">
        <v>9186</v>
      </c>
      <c r="E372" s="141" t="s">
        <v>8123</v>
      </c>
      <c r="F372" s="142" t="s">
        <v>8082</v>
      </c>
      <c r="G372" s="143">
        <v>2555.48</v>
      </c>
      <c r="H372" s="144" t="s">
        <v>730</v>
      </c>
      <c r="I372" s="145"/>
      <c r="J372" s="145"/>
      <c r="K372" s="146">
        <v>2555.48</v>
      </c>
    </row>
    <row r="373" spans="1:11" s="147" customFormat="1" ht="11.25" customHeight="1" x14ac:dyDescent="0.2">
      <c r="A373" s="795" t="s">
        <v>9035</v>
      </c>
      <c r="B373" s="138">
        <v>43431</v>
      </c>
      <c r="C373" s="139" t="s">
        <v>9171</v>
      </c>
      <c r="D373" s="140" t="s">
        <v>9186</v>
      </c>
      <c r="E373" s="141" t="s">
        <v>8123</v>
      </c>
      <c r="F373" s="142" t="s">
        <v>8082</v>
      </c>
      <c r="G373" s="143">
        <v>3124.34</v>
      </c>
      <c r="H373" s="144" t="s">
        <v>730</v>
      </c>
      <c r="I373" s="145"/>
      <c r="J373" s="145"/>
      <c r="K373" s="146">
        <v>3124.34</v>
      </c>
    </row>
    <row r="374" spans="1:11" s="147" customFormat="1" ht="11.25" customHeight="1" x14ac:dyDescent="0.2">
      <c r="A374" s="795" t="s">
        <v>9188</v>
      </c>
      <c r="B374" s="138">
        <v>43431</v>
      </c>
      <c r="C374" s="139" t="s">
        <v>8153</v>
      </c>
      <c r="D374" s="140" t="s">
        <v>9189</v>
      </c>
      <c r="E374" s="141" t="s">
        <v>9087</v>
      </c>
      <c r="F374" s="142" t="s">
        <v>9190</v>
      </c>
      <c r="G374" s="143">
        <v>155.72</v>
      </c>
      <c r="H374" s="144" t="s">
        <v>730</v>
      </c>
      <c r="I374" s="145"/>
      <c r="J374" s="145"/>
      <c r="K374" s="146">
        <v>155.72</v>
      </c>
    </row>
    <row r="375" spans="1:11" s="147" customFormat="1" ht="11.25" customHeight="1" x14ac:dyDescent="0.2">
      <c r="A375" s="795" t="s">
        <v>9188</v>
      </c>
      <c r="B375" s="138">
        <v>43431</v>
      </c>
      <c r="C375" s="139" t="s">
        <v>8153</v>
      </c>
      <c r="D375" s="140" t="s">
        <v>9189</v>
      </c>
      <c r="E375" s="141" t="s">
        <v>9087</v>
      </c>
      <c r="F375" s="142" t="s">
        <v>9190</v>
      </c>
      <c r="G375" s="143">
        <v>939.6</v>
      </c>
      <c r="H375" s="144" t="s">
        <v>730</v>
      </c>
      <c r="I375" s="145"/>
      <c r="J375" s="145"/>
      <c r="K375" s="146">
        <v>939.6</v>
      </c>
    </row>
    <row r="376" spans="1:11" s="147" customFormat="1" ht="11.25" customHeight="1" x14ac:dyDescent="0.2">
      <c r="A376" s="795" t="s">
        <v>9063</v>
      </c>
      <c r="B376" s="138">
        <v>43431</v>
      </c>
      <c r="C376" s="139" t="s">
        <v>9191</v>
      </c>
      <c r="D376" s="140" t="s">
        <v>9192</v>
      </c>
      <c r="E376" s="141" t="s">
        <v>8172</v>
      </c>
      <c r="F376" s="142" t="s">
        <v>8171</v>
      </c>
      <c r="G376" s="143">
        <v>162.4</v>
      </c>
      <c r="H376" s="144" t="s">
        <v>730</v>
      </c>
      <c r="I376" s="145"/>
      <c r="J376" s="145"/>
      <c r="K376" s="146">
        <v>162.4</v>
      </c>
    </row>
    <row r="377" spans="1:11" s="147" customFormat="1" ht="11.25" customHeight="1" x14ac:dyDescent="0.2">
      <c r="A377" s="795" t="s">
        <v>9063</v>
      </c>
      <c r="B377" s="138">
        <v>43431</v>
      </c>
      <c r="C377" s="139" t="s">
        <v>9191</v>
      </c>
      <c r="D377" s="140" t="s">
        <v>9192</v>
      </c>
      <c r="E377" s="141" t="s">
        <v>8172</v>
      </c>
      <c r="F377" s="142" t="s">
        <v>8171</v>
      </c>
      <c r="G377" s="143">
        <v>241.28</v>
      </c>
      <c r="H377" s="144" t="s">
        <v>730</v>
      </c>
      <c r="I377" s="145"/>
      <c r="J377" s="145"/>
      <c r="K377" s="146">
        <v>241.28</v>
      </c>
    </row>
    <row r="378" spans="1:11" s="147" customFormat="1" ht="11.25" customHeight="1" x14ac:dyDescent="0.2">
      <c r="A378" s="795" t="s">
        <v>9063</v>
      </c>
      <c r="B378" s="138">
        <v>43431</v>
      </c>
      <c r="C378" s="139" t="s">
        <v>9191</v>
      </c>
      <c r="D378" s="140" t="s">
        <v>9192</v>
      </c>
      <c r="E378" s="141" t="s">
        <v>8172</v>
      </c>
      <c r="F378" s="142" t="s">
        <v>8171</v>
      </c>
      <c r="G378" s="143">
        <v>690.2</v>
      </c>
      <c r="H378" s="144" t="s">
        <v>730</v>
      </c>
      <c r="I378" s="145"/>
      <c r="J378" s="145"/>
      <c r="K378" s="146">
        <v>690.2</v>
      </c>
    </row>
    <row r="379" spans="1:11" s="147" customFormat="1" ht="11.25" customHeight="1" x14ac:dyDescent="0.2">
      <c r="A379" s="795" t="s">
        <v>9193</v>
      </c>
      <c r="B379" s="138">
        <v>43431</v>
      </c>
      <c r="C379" s="139" t="s">
        <v>9194</v>
      </c>
      <c r="D379" s="140" t="s">
        <v>9195</v>
      </c>
      <c r="E379" s="141" t="s">
        <v>8175</v>
      </c>
      <c r="F379" s="142" t="s">
        <v>9196</v>
      </c>
      <c r="G379" s="143">
        <v>3828</v>
      </c>
      <c r="H379" s="144" t="s">
        <v>730</v>
      </c>
      <c r="I379" s="145"/>
      <c r="J379" s="145"/>
      <c r="K379" s="146">
        <v>3828</v>
      </c>
    </row>
    <row r="380" spans="1:11" s="147" customFormat="1" ht="11.25" customHeight="1" x14ac:dyDescent="0.2">
      <c r="A380" s="795" t="s">
        <v>9084</v>
      </c>
      <c r="B380" s="138">
        <v>43431</v>
      </c>
      <c r="C380" s="139" t="s">
        <v>9197</v>
      </c>
      <c r="D380" s="140" t="s">
        <v>9198</v>
      </c>
      <c r="E380" s="141" t="s">
        <v>9087</v>
      </c>
      <c r="F380" s="142" t="s">
        <v>9058</v>
      </c>
      <c r="G380" s="143">
        <v>83.98</v>
      </c>
      <c r="H380" s="144" t="s">
        <v>730</v>
      </c>
      <c r="I380" s="145"/>
      <c r="J380" s="145"/>
      <c r="K380" s="146">
        <v>83.98</v>
      </c>
    </row>
    <row r="381" spans="1:11" s="147" customFormat="1" ht="11.25" customHeight="1" x14ac:dyDescent="0.2">
      <c r="A381" s="795" t="s">
        <v>9084</v>
      </c>
      <c r="B381" s="138">
        <v>43431</v>
      </c>
      <c r="C381" s="139" t="s">
        <v>9197</v>
      </c>
      <c r="D381" s="140" t="s">
        <v>9199</v>
      </c>
      <c r="E381" s="141" t="s">
        <v>9087</v>
      </c>
      <c r="F381" s="142" t="s">
        <v>9200</v>
      </c>
      <c r="G381" s="143">
        <v>87.51</v>
      </c>
      <c r="H381" s="144" t="s">
        <v>730</v>
      </c>
      <c r="I381" s="145"/>
      <c r="J381" s="145"/>
      <c r="K381" s="146">
        <v>87.51</v>
      </c>
    </row>
    <row r="382" spans="1:11" s="147" customFormat="1" ht="11.25" customHeight="1" x14ac:dyDescent="0.2">
      <c r="A382" s="795" t="s">
        <v>9084</v>
      </c>
      <c r="B382" s="138">
        <v>43431</v>
      </c>
      <c r="C382" s="139" t="s">
        <v>9197</v>
      </c>
      <c r="D382" s="140" t="s">
        <v>9198</v>
      </c>
      <c r="E382" s="141" t="s">
        <v>9087</v>
      </c>
      <c r="F382" s="142" t="s">
        <v>9058</v>
      </c>
      <c r="G382" s="143">
        <v>94.47</v>
      </c>
      <c r="H382" s="144" t="s">
        <v>730</v>
      </c>
      <c r="I382" s="145"/>
      <c r="J382" s="145"/>
      <c r="K382" s="146">
        <v>94.47</v>
      </c>
    </row>
    <row r="383" spans="1:11" s="147" customFormat="1" ht="11.25" customHeight="1" x14ac:dyDescent="0.2">
      <c r="A383" s="795" t="s">
        <v>9084</v>
      </c>
      <c r="B383" s="138">
        <v>43431</v>
      </c>
      <c r="C383" s="139" t="s">
        <v>9197</v>
      </c>
      <c r="D383" s="140" t="s">
        <v>9198</v>
      </c>
      <c r="E383" s="141" t="s">
        <v>9087</v>
      </c>
      <c r="F383" s="142" t="s">
        <v>9058</v>
      </c>
      <c r="G383" s="143">
        <v>107.6</v>
      </c>
      <c r="H383" s="144" t="s">
        <v>730</v>
      </c>
      <c r="I383" s="145"/>
      <c r="J383" s="145"/>
      <c r="K383" s="146">
        <v>107.6</v>
      </c>
    </row>
    <row r="384" spans="1:11" s="147" customFormat="1" ht="11.25" customHeight="1" x14ac:dyDescent="0.2">
      <c r="A384" s="795" t="s">
        <v>9084</v>
      </c>
      <c r="B384" s="138">
        <v>43431</v>
      </c>
      <c r="C384" s="139" t="s">
        <v>9197</v>
      </c>
      <c r="D384" s="140" t="s">
        <v>9201</v>
      </c>
      <c r="E384" s="141" t="s">
        <v>9087</v>
      </c>
      <c r="F384" s="142" t="s">
        <v>9058</v>
      </c>
      <c r="G384" s="143">
        <v>109.04</v>
      </c>
      <c r="H384" s="144" t="s">
        <v>730</v>
      </c>
      <c r="I384" s="145"/>
      <c r="J384" s="145"/>
      <c r="K384" s="146">
        <v>109.04</v>
      </c>
    </row>
    <row r="385" spans="1:11" s="147" customFormat="1" ht="11.25" customHeight="1" x14ac:dyDescent="0.2">
      <c r="A385" s="795" t="s">
        <v>9084</v>
      </c>
      <c r="B385" s="138">
        <v>43431</v>
      </c>
      <c r="C385" s="139" t="s">
        <v>9197</v>
      </c>
      <c r="D385" s="140" t="s">
        <v>9199</v>
      </c>
      <c r="E385" s="141" t="s">
        <v>9087</v>
      </c>
      <c r="F385" s="142" t="s">
        <v>9200</v>
      </c>
      <c r="G385" s="143">
        <v>147.91999999999999</v>
      </c>
      <c r="H385" s="144" t="s">
        <v>730</v>
      </c>
      <c r="I385" s="145"/>
      <c r="J385" s="145"/>
      <c r="K385" s="146">
        <v>147.91999999999999</v>
      </c>
    </row>
    <row r="386" spans="1:11" s="147" customFormat="1" ht="11.25" customHeight="1" x14ac:dyDescent="0.2">
      <c r="A386" s="795" t="s">
        <v>9084</v>
      </c>
      <c r="B386" s="138">
        <v>43431</v>
      </c>
      <c r="C386" s="139" t="s">
        <v>9197</v>
      </c>
      <c r="D386" s="140" t="s">
        <v>9201</v>
      </c>
      <c r="E386" s="141" t="s">
        <v>9087</v>
      </c>
      <c r="F386" s="142" t="s">
        <v>9058</v>
      </c>
      <c r="G386" s="143">
        <v>194.07</v>
      </c>
      <c r="H386" s="144" t="s">
        <v>730</v>
      </c>
      <c r="I386" s="145"/>
      <c r="J386" s="145"/>
      <c r="K386" s="146">
        <v>194.07</v>
      </c>
    </row>
    <row r="387" spans="1:11" s="147" customFormat="1" ht="11.25" customHeight="1" x14ac:dyDescent="0.2">
      <c r="A387" s="795" t="s">
        <v>9084</v>
      </c>
      <c r="B387" s="138">
        <v>43431</v>
      </c>
      <c r="C387" s="139" t="s">
        <v>9197</v>
      </c>
      <c r="D387" s="140" t="s">
        <v>9201</v>
      </c>
      <c r="E387" s="141" t="s">
        <v>9087</v>
      </c>
      <c r="F387" s="142" t="s">
        <v>9058</v>
      </c>
      <c r="G387" s="143">
        <v>295.8</v>
      </c>
      <c r="H387" s="144" t="s">
        <v>730</v>
      </c>
      <c r="I387" s="145"/>
      <c r="J387" s="145"/>
      <c r="K387" s="146">
        <v>295.8</v>
      </c>
    </row>
    <row r="388" spans="1:11" s="147" customFormat="1" ht="11.25" customHeight="1" x14ac:dyDescent="0.2">
      <c r="A388" s="795" t="s">
        <v>9084</v>
      </c>
      <c r="B388" s="138">
        <v>43431</v>
      </c>
      <c r="C388" s="139" t="s">
        <v>9197</v>
      </c>
      <c r="D388" s="140" t="s">
        <v>9198</v>
      </c>
      <c r="E388" s="141" t="s">
        <v>9087</v>
      </c>
      <c r="F388" s="142" t="s">
        <v>9058</v>
      </c>
      <c r="G388" s="143">
        <v>323.41000000000003</v>
      </c>
      <c r="H388" s="144" t="s">
        <v>730</v>
      </c>
      <c r="I388" s="145"/>
      <c r="J388" s="145"/>
      <c r="K388" s="146">
        <v>323.41000000000003</v>
      </c>
    </row>
    <row r="389" spans="1:11" s="147" customFormat="1" ht="11.25" customHeight="1" x14ac:dyDescent="0.2">
      <c r="A389" s="795" t="s">
        <v>9084</v>
      </c>
      <c r="B389" s="138">
        <v>43431</v>
      </c>
      <c r="C389" s="139" t="s">
        <v>9197</v>
      </c>
      <c r="D389" s="140" t="s">
        <v>9198</v>
      </c>
      <c r="E389" s="141" t="s">
        <v>9087</v>
      </c>
      <c r="F389" s="142" t="s">
        <v>9058</v>
      </c>
      <c r="G389" s="143">
        <v>331.53</v>
      </c>
      <c r="H389" s="144" t="s">
        <v>730</v>
      </c>
      <c r="I389" s="145"/>
      <c r="J389" s="145"/>
      <c r="K389" s="146">
        <v>331.53</v>
      </c>
    </row>
    <row r="390" spans="1:11" s="147" customFormat="1" ht="11.25" customHeight="1" x14ac:dyDescent="0.2">
      <c r="A390" s="795" t="s">
        <v>9084</v>
      </c>
      <c r="B390" s="138">
        <v>43431</v>
      </c>
      <c r="C390" s="139" t="s">
        <v>9197</v>
      </c>
      <c r="D390" s="140" t="s">
        <v>9199</v>
      </c>
      <c r="E390" s="141" t="s">
        <v>9087</v>
      </c>
      <c r="F390" s="142" t="s">
        <v>9200</v>
      </c>
      <c r="G390" s="143">
        <v>356.12</v>
      </c>
      <c r="H390" s="144" t="s">
        <v>730</v>
      </c>
      <c r="I390" s="145"/>
      <c r="J390" s="145"/>
      <c r="K390" s="146">
        <v>356.12</v>
      </c>
    </row>
    <row r="391" spans="1:11" s="147" customFormat="1" ht="11.25" customHeight="1" x14ac:dyDescent="0.2">
      <c r="A391" s="795" t="s">
        <v>9084</v>
      </c>
      <c r="B391" s="138">
        <v>43431</v>
      </c>
      <c r="C391" s="139" t="s">
        <v>9197</v>
      </c>
      <c r="D391" s="140" t="s">
        <v>9198</v>
      </c>
      <c r="E391" s="141" t="s">
        <v>9087</v>
      </c>
      <c r="F391" s="142" t="s">
        <v>9058</v>
      </c>
      <c r="G391" s="143">
        <v>357.02</v>
      </c>
      <c r="H391" s="144" t="s">
        <v>730</v>
      </c>
      <c r="I391" s="145"/>
      <c r="J391" s="145"/>
      <c r="K391" s="146">
        <v>357.02</v>
      </c>
    </row>
    <row r="392" spans="1:11" s="147" customFormat="1" ht="11.25" customHeight="1" x14ac:dyDescent="0.2">
      <c r="A392" s="795" t="s">
        <v>9084</v>
      </c>
      <c r="B392" s="138">
        <v>43431</v>
      </c>
      <c r="C392" s="139" t="s">
        <v>9197</v>
      </c>
      <c r="D392" s="140" t="s">
        <v>9198</v>
      </c>
      <c r="E392" s="141" t="s">
        <v>9087</v>
      </c>
      <c r="F392" s="142" t="s">
        <v>9058</v>
      </c>
      <c r="G392" s="143">
        <v>400.43</v>
      </c>
      <c r="H392" s="144" t="s">
        <v>730</v>
      </c>
      <c r="I392" s="145"/>
      <c r="J392" s="145"/>
      <c r="K392" s="146">
        <v>400.43</v>
      </c>
    </row>
    <row r="393" spans="1:11" s="147" customFormat="1" ht="11.25" customHeight="1" x14ac:dyDescent="0.2">
      <c r="A393" s="795" t="s">
        <v>9084</v>
      </c>
      <c r="B393" s="138">
        <v>43431</v>
      </c>
      <c r="C393" s="139" t="s">
        <v>9197</v>
      </c>
      <c r="D393" s="140" t="s">
        <v>9198</v>
      </c>
      <c r="E393" s="141" t="s">
        <v>9087</v>
      </c>
      <c r="F393" s="142" t="s">
        <v>9058</v>
      </c>
      <c r="G393" s="143">
        <v>406</v>
      </c>
      <c r="H393" s="144" t="s">
        <v>730</v>
      </c>
      <c r="I393" s="145"/>
      <c r="J393" s="145"/>
      <c r="K393" s="146">
        <v>406</v>
      </c>
    </row>
    <row r="394" spans="1:11" s="147" customFormat="1" ht="11.25" customHeight="1" x14ac:dyDescent="0.2">
      <c r="A394" s="795" t="s">
        <v>9084</v>
      </c>
      <c r="B394" s="138">
        <v>43431</v>
      </c>
      <c r="C394" s="139" t="s">
        <v>9197</v>
      </c>
      <c r="D394" s="140" t="s">
        <v>9201</v>
      </c>
      <c r="E394" s="141" t="s">
        <v>9087</v>
      </c>
      <c r="F394" s="142" t="s">
        <v>9058</v>
      </c>
      <c r="G394" s="143">
        <v>429.2</v>
      </c>
      <c r="H394" s="144" t="s">
        <v>730</v>
      </c>
      <c r="I394" s="145"/>
      <c r="J394" s="145"/>
      <c r="K394" s="146">
        <v>429.2</v>
      </c>
    </row>
    <row r="395" spans="1:11" s="147" customFormat="1" ht="11.25" customHeight="1" x14ac:dyDescent="0.2">
      <c r="A395" s="795" t="s">
        <v>9084</v>
      </c>
      <c r="B395" s="138">
        <v>43431</v>
      </c>
      <c r="C395" s="139" t="s">
        <v>9197</v>
      </c>
      <c r="D395" s="140" t="s">
        <v>9199</v>
      </c>
      <c r="E395" s="141" t="s">
        <v>9087</v>
      </c>
      <c r="F395" s="142" t="s">
        <v>9200</v>
      </c>
      <c r="G395" s="143">
        <v>470.96</v>
      </c>
      <c r="H395" s="144" t="s">
        <v>730</v>
      </c>
      <c r="I395" s="145"/>
      <c r="J395" s="145"/>
      <c r="K395" s="146">
        <v>470.96</v>
      </c>
    </row>
    <row r="396" spans="1:11" s="147" customFormat="1" ht="11.25" customHeight="1" x14ac:dyDescent="0.2">
      <c r="A396" s="795" t="s">
        <v>9084</v>
      </c>
      <c r="B396" s="138">
        <v>43431</v>
      </c>
      <c r="C396" s="139" t="s">
        <v>9197</v>
      </c>
      <c r="D396" s="140" t="s">
        <v>9201</v>
      </c>
      <c r="E396" s="141" t="s">
        <v>9087</v>
      </c>
      <c r="F396" s="142" t="s">
        <v>9058</v>
      </c>
      <c r="G396" s="143">
        <v>510.4</v>
      </c>
      <c r="H396" s="144" t="s">
        <v>730</v>
      </c>
      <c r="I396" s="145"/>
      <c r="J396" s="145"/>
      <c r="K396" s="146">
        <v>510.4</v>
      </c>
    </row>
    <row r="397" spans="1:11" s="147" customFormat="1" ht="11.25" customHeight="1" x14ac:dyDescent="0.2">
      <c r="A397" s="795" t="s">
        <v>9084</v>
      </c>
      <c r="B397" s="138">
        <v>43431</v>
      </c>
      <c r="C397" s="139" t="s">
        <v>9202</v>
      </c>
      <c r="D397" s="140" t="s">
        <v>9203</v>
      </c>
      <c r="E397" s="141" t="s">
        <v>9087</v>
      </c>
      <c r="F397" s="142" t="s">
        <v>9204</v>
      </c>
      <c r="G397" s="143">
        <v>605.52</v>
      </c>
      <c r="H397" s="144" t="s">
        <v>730</v>
      </c>
      <c r="I397" s="145"/>
      <c r="J397" s="145"/>
      <c r="K397" s="146">
        <v>605.52</v>
      </c>
    </row>
    <row r="398" spans="1:11" s="147" customFormat="1" ht="11.25" customHeight="1" x14ac:dyDescent="0.2">
      <c r="A398" s="795" t="s">
        <v>9084</v>
      </c>
      <c r="B398" s="138">
        <v>43431</v>
      </c>
      <c r="C398" s="139" t="s">
        <v>9197</v>
      </c>
      <c r="D398" s="140" t="s">
        <v>9199</v>
      </c>
      <c r="E398" s="141" t="s">
        <v>9087</v>
      </c>
      <c r="F398" s="142" t="s">
        <v>9200</v>
      </c>
      <c r="G398" s="143">
        <v>686.26</v>
      </c>
      <c r="H398" s="144" t="s">
        <v>730</v>
      </c>
      <c r="I398" s="145"/>
      <c r="J398" s="145"/>
      <c r="K398" s="146">
        <v>686.26</v>
      </c>
    </row>
    <row r="399" spans="1:11" s="147" customFormat="1" ht="11.25" customHeight="1" x14ac:dyDescent="0.2">
      <c r="A399" s="795" t="s">
        <v>9084</v>
      </c>
      <c r="B399" s="138">
        <v>43431</v>
      </c>
      <c r="C399" s="139" t="s">
        <v>9197</v>
      </c>
      <c r="D399" s="140" t="s">
        <v>9199</v>
      </c>
      <c r="E399" s="141" t="s">
        <v>9087</v>
      </c>
      <c r="F399" s="142" t="s">
        <v>9200</v>
      </c>
      <c r="G399" s="143">
        <v>736.54</v>
      </c>
      <c r="H399" s="144" t="s">
        <v>730</v>
      </c>
      <c r="I399" s="145"/>
      <c r="J399" s="145"/>
      <c r="K399" s="146">
        <v>736.54</v>
      </c>
    </row>
    <row r="400" spans="1:11" s="147" customFormat="1" ht="11.25" customHeight="1" x14ac:dyDescent="0.2">
      <c r="A400" s="795" t="s">
        <v>9084</v>
      </c>
      <c r="B400" s="138">
        <v>43431</v>
      </c>
      <c r="C400" s="139" t="s">
        <v>9197</v>
      </c>
      <c r="D400" s="140" t="s">
        <v>9198</v>
      </c>
      <c r="E400" s="141" t="s">
        <v>9087</v>
      </c>
      <c r="F400" s="142" t="s">
        <v>9058</v>
      </c>
      <c r="G400" s="143">
        <v>794.63</v>
      </c>
      <c r="H400" s="144" t="s">
        <v>730</v>
      </c>
      <c r="I400" s="145"/>
      <c r="J400" s="145"/>
      <c r="K400" s="146">
        <v>794.63</v>
      </c>
    </row>
    <row r="401" spans="1:11" s="147" customFormat="1" ht="11.25" customHeight="1" x14ac:dyDescent="0.2">
      <c r="A401" s="795" t="s">
        <v>9084</v>
      </c>
      <c r="B401" s="138">
        <v>43431</v>
      </c>
      <c r="C401" s="139" t="s">
        <v>9197</v>
      </c>
      <c r="D401" s="140" t="s">
        <v>9201</v>
      </c>
      <c r="E401" s="141" t="s">
        <v>9087</v>
      </c>
      <c r="F401" s="142" t="s">
        <v>9058</v>
      </c>
      <c r="G401" s="143">
        <v>866.69</v>
      </c>
      <c r="H401" s="144" t="s">
        <v>730</v>
      </c>
      <c r="I401" s="145"/>
      <c r="J401" s="145"/>
      <c r="K401" s="146">
        <v>866.69</v>
      </c>
    </row>
    <row r="402" spans="1:11" s="147" customFormat="1" ht="11.25" customHeight="1" x14ac:dyDescent="0.2">
      <c r="A402" s="795" t="s">
        <v>9084</v>
      </c>
      <c r="B402" s="138">
        <v>43431</v>
      </c>
      <c r="C402" s="139" t="s">
        <v>9197</v>
      </c>
      <c r="D402" s="140" t="s">
        <v>9201</v>
      </c>
      <c r="E402" s="141" t="s">
        <v>9087</v>
      </c>
      <c r="F402" s="142" t="s">
        <v>9058</v>
      </c>
      <c r="G402" s="143">
        <v>870</v>
      </c>
      <c r="H402" s="144" t="s">
        <v>730</v>
      </c>
      <c r="I402" s="145"/>
      <c r="J402" s="145"/>
      <c r="K402" s="146">
        <v>870</v>
      </c>
    </row>
    <row r="403" spans="1:11" s="147" customFormat="1" ht="11.25" customHeight="1" x14ac:dyDescent="0.2">
      <c r="A403" s="795" t="s">
        <v>9084</v>
      </c>
      <c r="B403" s="138">
        <v>43431</v>
      </c>
      <c r="C403" s="139" t="s">
        <v>9197</v>
      </c>
      <c r="D403" s="140" t="s">
        <v>9198</v>
      </c>
      <c r="E403" s="141" t="s">
        <v>9087</v>
      </c>
      <c r="F403" s="142" t="s">
        <v>9058</v>
      </c>
      <c r="G403" s="143">
        <v>888.56</v>
      </c>
      <c r="H403" s="144" t="s">
        <v>730</v>
      </c>
      <c r="I403" s="145"/>
      <c r="J403" s="145"/>
      <c r="K403" s="146">
        <v>888.56</v>
      </c>
    </row>
    <row r="404" spans="1:11" s="147" customFormat="1" ht="11.25" customHeight="1" x14ac:dyDescent="0.2">
      <c r="A404" s="795" t="s">
        <v>9084</v>
      </c>
      <c r="B404" s="138">
        <v>43431</v>
      </c>
      <c r="C404" s="139" t="s">
        <v>9197</v>
      </c>
      <c r="D404" s="140" t="s">
        <v>9199</v>
      </c>
      <c r="E404" s="141" t="s">
        <v>9087</v>
      </c>
      <c r="F404" s="142" t="s">
        <v>9200</v>
      </c>
      <c r="G404" s="143">
        <v>1184.3599999999999</v>
      </c>
      <c r="H404" s="144" t="s">
        <v>730</v>
      </c>
      <c r="I404" s="145"/>
      <c r="J404" s="145"/>
      <c r="K404" s="146">
        <v>1184.3599999999999</v>
      </c>
    </row>
    <row r="405" spans="1:11" s="147" customFormat="1" ht="11.25" customHeight="1" x14ac:dyDescent="0.2">
      <c r="A405" s="795" t="s">
        <v>9205</v>
      </c>
      <c r="B405" s="138">
        <v>43431</v>
      </c>
      <c r="C405" s="139" t="s">
        <v>8095</v>
      </c>
      <c r="D405" s="140" t="s">
        <v>9206</v>
      </c>
      <c r="E405" s="141" t="s">
        <v>8183</v>
      </c>
      <c r="F405" s="142" t="s">
        <v>9207</v>
      </c>
      <c r="G405" s="143">
        <v>1343.28</v>
      </c>
      <c r="H405" s="144" t="s">
        <v>730</v>
      </c>
      <c r="I405" s="145"/>
      <c r="J405" s="145"/>
      <c r="K405" s="146">
        <v>1343.28</v>
      </c>
    </row>
    <row r="406" spans="1:11" s="147" customFormat="1" ht="11.25" customHeight="1" x14ac:dyDescent="0.2">
      <c r="A406" s="795" t="s">
        <v>9084</v>
      </c>
      <c r="B406" s="138">
        <v>43431</v>
      </c>
      <c r="C406" s="139" t="s">
        <v>9197</v>
      </c>
      <c r="D406" s="140" t="s">
        <v>9201</v>
      </c>
      <c r="E406" s="141" t="s">
        <v>9087</v>
      </c>
      <c r="F406" s="142" t="s">
        <v>9058</v>
      </c>
      <c r="G406" s="143">
        <v>1517.59</v>
      </c>
      <c r="H406" s="144" t="s">
        <v>730</v>
      </c>
      <c r="I406" s="145"/>
      <c r="J406" s="145"/>
      <c r="K406" s="146">
        <v>1517.59</v>
      </c>
    </row>
    <row r="407" spans="1:11" s="147" customFormat="1" ht="11.25" customHeight="1" x14ac:dyDescent="0.2">
      <c r="A407" s="795" t="s">
        <v>9084</v>
      </c>
      <c r="B407" s="138">
        <v>43431</v>
      </c>
      <c r="C407" s="139" t="s">
        <v>9197</v>
      </c>
      <c r="D407" s="140" t="s">
        <v>9201</v>
      </c>
      <c r="E407" s="141" t="s">
        <v>9087</v>
      </c>
      <c r="F407" s="142" t="s">
        <v>9058</v>
      </c>
      <c r="G407" s="143">
        <v>1627.54</v>
      </c>
      <c r="H407" s="144" t="s">
        <v>730</v>
      </c>
      <c r="I407" s="145"/>
      <c r="J407" s="145"/>
      <c r="K407" s="146">
        <v>1627.54</v>
      </c>
    </row>
    <row r="408" spans="1:11" s="147" customFormat="1" ht="11.25" customHeight="1" x14ac:dyDescent="0.2">
      <c r="A408" s="795" t="s">
        <v>9084</v>
      </c>
      <c r="B408" s="138">
        <v>43431</v>
      </c>
      <c r="C408" s="139" t="s">
        <v>9202</v>
      </c>
      <c r="D408" s="140" t="s">
        <v>9203</v>
      </c>
      <c r="E408" s="141" t="s">
        <v>9087</v>
      </c>
      <c r="F408" s="142" t="s">
        <v>9204</v>
      </c>
      <c r="G408" s="143">
        <v>3360.11</v>
      </c>
      <c r="H408" s="144" t="s">
        <v>730</v>
      </c>
      <c r="I408" s="145"/>
      <c r="J408" s="145"/>
      <c r="K408" s="146">
        <v>3360.11</v>
      </c>
    </row>
    <row r="409" spans="1:11" s="147" customFormat="1" ht="11.25" customHeight="1" x14ac:dyDescent="0.2">
      <c r="A409" s="795" t="s">
        <v>9208</v>
      </c>
      <c r="B409" s="138">
        <v>43431</v>
      </c>
      <c r="C409" s="139" t="s">
        <v>9209</v>
      </c>
      <c r="D409" s="140" t="s">
        <v>9210</v>
      </c>
      <c r="E409" s="141" t="s">
        <v>8175</v>
      </c>
      <c r="F409" s="142" t="s">
        <v>9058</v>
      </c>
      <c r="G409" s="143">
        <v>4350</v>
      </c>
      <c r="H409" s="144" t="s">
        <v>730</v>
      </c>
      <c r="I409" s="145"/>
      <c r="J409" s="145"/>
      <c r="K409" s="146">
        <v>4350</v>
      </c>
    </row>
    <row r="410" spans="1:11" s="147" customFormat="1" ht="11.25" customHeight="1" x14ac:dyDescent="0.2">
      <c r="A410" s="795" t="s">
        <v>9084</v>
      </c>
      <c r="B410" s="138">
        <v>43431</v>
      </c>
      <c r="C410" s="139" t="s">
        <v>9197</v>
      </c>
      <c r="D410" s="140" t="s">
        <v>9211</v>
      </c>
      <c r="E410" s="141" t="s">
        <v>9087</v>
      </c>
      <c r="F410" s="142" t="s">
        <v>9058</v>
      </c>
      <c r="G410" s="143">
        <v>10528.28</v>
      </c>
      <c r="H410" s="144" t="s">
        <v>730</v>
      </c>
      <c r="I410" s="145"/>
      <c r="J410" s="145"/>
      <c r="K410" s="146">
        <v>10528.28</v>
      </c>
    </row>
    <row r="411" spans="1:11" s="147" customFormat="1" ht="11.25" customHeight="1" x14ac:dyDescent="0.2">
      <c r="A411" s="795" t="s">
        <v>9212</v>
      </c>
      <c r="B411" s="138">
        <v>43431</v>
      </c>
      <c r="C411" s="139" t="s">
        <v>9213</v>
      </c>
      <c r="D411" s="140" t="s">
        <v>9070</v>
      </c>
      <c r="E411" s="141" t="s">
        <v>9214</v>
      </c>
      <c r="F411" s="142" t="s">
        <v>9143</v>
      </c>
      <c r="G411" s="143">
        <v>1160</v>
      </c>
      <c r="H411" s="144" t="s">
        <v>730</v>
      </c>
      <c r="I411" s="145"/>
      <c r="J411" s="145"/>
      <c r="K411" s="146">
        <v>1160</v>
      </c>
    </row>
    <row r="412" spans="1:11" s="147" customFormat="1" ht="11.25" customHeight="1" x14ac:dyDescent="0.2">
      <c r="A412" s="795" t="s">
        <v>9212</v>
      </c>
      <c r="B412" s="138">
        <v>43431</v>
      </c>
      <c r="C412" s="139" t="s">
        <v>9213</v>
      </c>
      <c r="D412" s="140" t="s">
        <v>9215</v>
      </c>
      <c r="E412" s="141" t="s">
        <v>9214</v>
      </c>
      <c r="F412" s="142" t="s">
        <v>9143</v>
      </c>
      <c r="G412" s="143">
        <v>1276</v>
      </c>
      <c r="H412" s="144" t="s">
        <v>730</v>
      </c>
      <c r="I412" s="145"/>
      <c r="J412" s="145"/>
      <c r="K412" s="146">
        <v>1276</v>
      </c>
    </row>
    <row r="413" spans="1:11" s="147" customFormat="1" ht="11.25" customHeight="1" x14ac:dyDescent="0.2">
      <c r="A413" s="795" t="s">
        <v>9212</v>
      </c>
      <c r="B413" s="138">
        <v>43431</v>
      </c>
      <c r="C413" s="139" t="s">
        <v>9213</v>
      </c>
      <c r="D413" s="140" t="s">
        <v>9215</v>
      </c>
      <c r="E413" s="141" t="s">
        <v>9214</v>
      </c>
      <c r="F413" s="142" t="s">
        <v>9143</v>
      </c>
      <c r="G413" s="143">
        <v>1707.52</v>
      </c>
      <c r="H413" s="144" t="s">
        <v>730</v>
      </c>
      <c r="I413" s="145"/>
      <c r="J413" s="145"/>
      <c r="K413" s="146">
        <v>1707.52</v>
      </c>
    </row>
    <row r="414" spans="1:11" s="147" customFormat="1" ht="11.25" customHeight="1" x14ac:dyDescent="0.2">
      <c r="A414" s="795" t="s">
        <v>9212</v>
      </c>
      <c r="B414" s="138">
        <v>43431</v>
      </c>
      <c r="C414" s="139" t="s">
        <v>9213</v>
      </c>
      <c r="D414" s="140" t="s">
        <v>9070</v>
      </c>
      <c r="E414" s="141" t="s">
        <v>9214</v>
      </c>
      <c r="F414" s="142" t="s">
        <v>9143</v>
      </c>
      <c r="G414" s="143">
        <v>1914</v>
      </c>
      <c r="H414" s="144" t="s">
        <v>730</v>
      </c>
      <c r="I414" s="145"/>
      <c r="J414" s="145"/>
      <c r="K414" s="146">
        <v>1914</v>
      </c>
    </row>
    <row r="415" spans="1:11" s="147" customFormat="1" ht="11.25" customHeight="1" x14ac:dyDescent="0.2">
      <c r="A415" s="795" t="s">
        <v>9212</v>
      </c>
      <c r="B415" s="138">
        <v>43431</v>
      </c>
      <c r="C415" s="139" t="s">
        <v>9213</v>
      </c>
      <c r="D415" s="140" t="s">
        <v>9216</v>
      </c>
      <c r="E415" s="141" t="s">
        <v>9214</v>
      </c>
      <c r="F415" s="142" t="s">
        <v>9143</v>
      </c>
      <c r="G415" s="143">
        <v>2030</v>
      </c>
      <c r="H415" s="144" t="s">
        <v>730</v>
      </c>
      <c r="I415" s="145"/>
      <c r="J415" s="145"/>
      <c r="K415" s="146">
        <v>2030</v>
      </c>
    </row>
    <row r="416" spans="1:11" s="147" customFormat="1" ht="11.25" customHeight="1" x14ac:dyDescent="0.2">
      <c r="A416" s="795" t="s">
        <v>9212</v>
      </c>
      <c r="B416" s="138">
        <v>43431</v>
      </c>
      <c r="C416" s="139" t="s">
        <v>9217</v>
      </c>
      <c r="D416" s="140" t="s">
        <v>9218</v>
      </c>
      <c r="E416" s="141" t="s">
        <v>9214</v>
      </c>
      <c r="F416" s="142" t="s">
        <v>9143</v>
      </c>
      <c r="G416" s="143">
        <v>2668</v>
      </c>
      <c r="H416" s="144" t="s">
        <v>730</v>
      </c>
      <c r="I416" s="145"/>
      <c r="J416" s="145"/>
      <c r="K416" s="146">
        <v>2668</v>
      </c>
    </row>
    <row r="417" spans="1:11" s="147" customFormat="1" ht="11.25" customHeight="1" x14ac:dyDescent="0.2">
      <c r="A417" s="795" t="s">
        <v>9212</v>
      </c>
      <c r="B417" s="138">
        <v>43431</v>
      </c>
      <c r="C417" s="139" t="s">
        <v>9217</v>
      </c>
      <c r="D417" s="140" t="s">
        <v>9219</v>
      </c>
      <c r="E417" s="141" t="s">
        <v>9214</v>
      </c>
      <c r="F417" s="142" t="s">
        <v>9143</v>
      </c>
      <c r="G417" s="143">
        <v>2900</v>
      </c>
      <c r="H417" s="144" t="s">
        <v>730</v>
      </c>
      <c r="I417" s="145"/>
      <c r="J417" s="145"/>
      <c r="K417" s="146">
        <v>2900</v>
      </c>
    </row>
    <row r="418" spans="1:11" s="147" customFormat="1" ht="11.25" customHeight="1" x14ac:dyDescent="0.2">
      <c r="A418" s="795" t="s">
        <v>9212</v>
      </c>
      <c r="B418" s="138">
        <v>43431</v>
      </c>
      <c r="C418" s="139" t="s">
        <v>9217</v>
      </c>
      <c r="D418" s="140" t="s">
        <v>9219</v>
      </c>
      <c r="E418" s="141" t="s">
        <v>9214</v>
      </c>
      <c r="F418" s="142" t="s">
        <v>9143</v>
      </c>
      <c r="G418" s="143">
        <v>3277</v>
      </c>
      <c r="H418" s="144" t="s">
        <v>730</v>
      </c>
      <c r="I418" s="145"/>
      <c r="J418" s="145"/>
      <c r="K418" s="146">
        <v>3277</v>
      </c>
    </row>
    <row r="419" spans="1:11" s="147" customFormat="1" ht="11.25" customHeight="1" x14ac:dyDescent="0.2">
      <c r="A419" s="795" t="s">
        <v>9212</v>
      </c>
      <c r="B419" s="138">
        <v>43431</v>
      </c>
      <c r="C419" s="139" t="s">
        <v>9213</v>
      </c>
      <c r="D419" s="140" t="s">
        <v>9220</v>
      </c>
      <c r="E419" s="141" t="s">
        <v>9214</v>
      </c>
      <c r="F419" s="142" t="s">
        <v>9143</v>
      </c>
      <c r="G419" s="143">
        <v>3329.2</v>
      </c>
      <c r="H419" s="144" t="s">
        <v>730</v>
      </c>
      <c r="I419" s="145"/>
      <c r="J419" s="145"/>
      <c r="K419" s="146">
        <v>3329.2</v>
      </c>
    </row>
    <row r="420" spans="1:11" s="147" customFormat="1" ht="11.25" customHeight="1" x14ac:dyDescent="0.2">
      <c r="A420" s="795" t="s">
        <v>9212</v>
      </c>
      <c r="B420" s="138">
        <v>43431</v>
      </c>
      <c r="C420" s="139" t="s">
        <v>9213</v>
      </c>
      <c r="D420" s="140" t="s">
        <v>9216</v>
      </c>
      <c r="E420" s="141" t="s">
        <v>9214</v>
      </c>
      <c r="F420" s="142" t="s">
        <v>9143</v>
      </c>
      <c r="G420" s="143">
        <v>3688.8</v>
      </c>
      <c r="H420" s="144" t="s">
        <v>730</v>
      </c>
      <c r="I420" s="145"/>
      <c r="J420" s="145"/>
      <c r="K420" s="146">
        <v>3688.8</v>
      </c>
    </row>
    <row r="421" spans="1:11" s="147" customFormat="1" ht="11.25" customHeight="1" x14ac:dyDescent="0.2">
      <c r="A421" s="795" t="s">
        <v>9212</v>
      </c>
      <c r="B421" s="138">
        <v>43431</v>
      </c>
      <c r="C421" s="139" t="s">
        <v>9217</v>
      </c>
      <c r="D421" s="140" t="s">
        <v>9218</v>
      </c>
      <c r="E421" s="141" t="s">
        <v>9214</v>
      </c>
      <c r="F421" s="142" t="s">
        <v>9143</v>
      </c>
      <c r="G421" s="143">
        <v>4466</v>
      </c>
      <c r="H421" s="144" t="s">
        <v>730</v>
      </c>
      <c r="I421" s="145"/>
      <c r="J421" s="145"/>
      <c r="K421" s="146">
        <v>4466</v>
      </c>
    </row>
    <row r="422" spans="1:11" s="147" customFormat="1" ht="11.25" customHeight="1" x14ac:dyDescent="0.2">
      <c r="A422" s="795" t="s">
        <v>9212</v>
      </c>
      <c r="B422" s="138">
        <v>43431</v>
      </c>
      <c r="C422" s="139" t="s">
        <v>9213</v>
      </c>
      <c r="D422" s="140" t="s">
        <v>9220</v>
      </c>
      <c r="E422" s="141" t="s">
        <v>9214</v>
      </c>
      <c r="F422" s="142" t="s">
        <v>9143</v>
      </c>
      <c r="G422" s="143">
        <v>5189.26</v>
      </c>
      <c r="H422" s="144" t="s">
        <v>730</v>
      </c>
      <c r="I422" s="145"/>
      <c r="J422" s="145"/>
      <c r="K422" s="146">
        <v>5189.26</v>
      </c>
    </row>
    <row r="423" spans="1:11" s="147" customFormat="1" ht="11.25" customHeight="1" x14ac:dyDescent="0.2">
      <c r="A423" s="795" t="s">
        <v>9212</v>
      </c>
      <c r="B423" s="138">
        <v>43431</v>
      </c>
      <c r="C423" s="139" t="s">
        <v>9217</v>
      </c>
      <c r="D423" s="140" t="s">
        <v>9221</v>
      </c>
      <c r="E423" s="141" t="s">
        <v>9214</v>
      </c>
      <c r="F423" s="142" t="s">
        <v>9143</v>
      </c>
      <c r="G423" s="143">
        <v>5336</v>
      </c>
      <c r="H423" s="144" t="s">
        <v>730</v>
      </c>
      <c r="I423" s="145"/>
      <c r="J423" s="145"/>
      <c r="K423" s="146">
        <v>5336</v>
      </c>
    </row>
    <row r="424" spans="1:11" s="147" customFormat="1" ht="11.25" customHeight="1" x14ac:dyDescent="0.2">
      <c r="A424" s="795" t="s">
        <v>9212</v>
      </c>
      <c r="B424" s="138">
        <v>43431</v>
      </c>
      <c r="C424" s="139" t="s">
        <v>9217</v>
      </c>
      <c r="D424" s="140" t="s">
        <v>9221</v>
      </c>
      <c r="E424" s="141" t="s">
        <v>9214</v>
      </c>
      <c r="F424" s="142" t="s">
        <v>9143</v>
      </c>
      <c r="G424" s="143">
        <v>10996.8</v>
      </c>
      <c r="H424" s="144" t="s">
        <v>730</v>
      </c>
      <c r="I424" s="145"/>
      <c r="J424" s="145"/>
      <c r="K424" s="146">
        <v>10996.8</v>
      </c>
    </row>
    <row r="425" spans="1:11" s="147" customFormat="1" ht="11.25" customHeight="1" x14ac:dyDescent="0.2">
      <c r="A425" s="795" t="s">
        <v>8992</v>
      </c>
      <c r="B425" s="138">
        <v>43432</v>
      </c>
      <c r="C425" s="139" t="s">
        <v>9222</v>
      </c>
      <c r="D425" s="140" t="s">
        <v>9223</v>
      </c>
      <c r="E425" s="141" t="s">
        <v>8996</v>
      </c>
      <c r="F425" s="142" t="s">
        <v>8997</v>
      </c>
      <c r="G425" s="143">
        <v>1000</v>
      </c>
      <c r="H425" s="144" t="s">
        <v>730</v>
      </c>
      <c r="I425" s="145"/>
      <c r="J425" s="145"/>
      <c r="K425" s="146">
        <v>1000</v>
      </c>
    </row>
    <row r="426" spans="1:11" s="147" customFormat="1" ht="11.25" customHeight="1" x14ac:dyDescent="0.2">
      <c r="A426" s="795" t="s">
        <v>9224</v>
      </c>
      <c r="B426" s="138">
        <v>43434</v>
      </c>
      <c r="C426" s="139" t="s">
        <v>9225</v>
      </c>
      <c r="D426" s="140" t="s">
        <v>9226</v>
      </c>
      <c r="E426" s="141" t="s">
        <v>731</v>
      </c>
      <c r="F426" s="142" t="s">
        <v>9227</v>
      </c>
      <c r="G426" s="143">
        <v>1360</v>
      </c>
      <c r="H426" s="144" t="s">
        <v>730</v>
      </c>
      <c r="I426" s="145"/>
      <c r="J426" s="145"/>
      <c r="K426" s="146">
        <v>1360</v>
      </c>
    </row>
    <row r="427" spans="1:11" s="147" customFormat="1" ht="11.25" customHeight="1" x14ac:dyDescent="0.2">
      <c r="A427" s="795" t="s">
        <v>9224</v>
      </c>
      <c r="B427" s="138">
        <v>43434</v>
      </c>
      <c r="C427" s="139" t="s">
        <v>9225</v>
      </c>
      <c r="D427" s="140" t="s">
        <v>9228</v>
      </c>
      <c r="E427" s="141" t="s">
        <v>731</v>
      </c>
      <c r="F427" s="142" t="s">
        <v>9227</v>
      </c>
      <c r="G427" s="143">
        <v>1360</v>
      </c>
      <c r="H427" s="144" t="s">
        <v>730</v>
      </c>
      <c r="I427" s="145"/>
      <c r="J427" s="145"/>
      <c r="K427" s="146">
        <v>1360</v>
      </c>
    </row>
    <row r="428" spans="1:11" s="147" customFormat="1" ht="11.25" customHeight="1" x14ac:dyDescent="0.2">
      <c r="A428" s="795" t="s">
        <v>9224</v>
      </c>
      <c r="B428" s="138">
        <v>43434</v>
      </c>
      <c r="C428" s="139" t="s">
        <v>9225</v>
      </c>
      <c r="D428" s="140" t="s">
        <v>9229</v>
      </c>
      <c r="E428" s="141" t="s">
        <v>731</v>
      </c>
      <c r="F428" s="142" t="s">
        <v>9227</v>
      </c>
      <c r="G428" s="143">
        <v>3400</v>
      </c>
      <c r="H428" s="144" t="s">
        <v>730</v>
      </c>
      <c r="I428" s="145"/>
      <c r="J428" s="145"/>
      <c r="K428" s="146">
        <v>3400</v>
      </c>
    </row>
    <row r="429" spans="1:11" s="147" customFormat="1" ht="11.25" customHeight="1" x14ac:dyDescent="0.2">
      <c r="A429" s="795" t="s">
        <v>9224</v>
      </c>
      <c r="B429" s="138">
        <v>43434</v>
      </c>
      <c r="C429" s="139" t="s">
        <v>9225</v>
      </c>
      <c r="D429" s="140" t="s">
        <v>9230</v>
      </c>
      <c r="E429" s="141" t="s">
        <v>731</v>
      </c>
      <c r="F429" s="142" t="s">
        <v>9227</v>
      </c>
      <c r="G429" s="143">
        <v>3400</v>
      </c>
      <c r="H429" s="144" t="s">
        <v>730</v>
      </c>
      <c r="I429" s="145"/>
      <c r="J429" s="145"/>
      <c r="K429" s="146">
        <v>3400</v>
      </c>
    </row>
    <row r="430" spans="1:11" s="147" customFormat="1" ht="11.25" customHeight="1" x14ac:dyDescent="0.2">
      <c r="A430" s="795" t="s">
        <v>9224</v>
      </c>
      <c r="B430" s="138">
        <v>43434</v>
      </c>
      <c r="C430" s="139" t="s">
        <v>9225</v>
      </c>
      <c r="D430" s="140" t="s">
        <v>9231</v>
      </c>
      <c r="E430" s="141" t="s">
        <v>731</v>
      </c>
      <c r="F430" s="142" t="s">
        <v>9227</v>
      </c>
      <c r="G430" s="143">
        <v>5440</v>
      </c>
      <c r="H430" s="144" t="s">
        <v>730</v>
      </c>
      <c r="I430" s="145"/>
      <c r="J430" s="145"/>
      <c r="K430" s="146">
        <v>5440</v>
      </c>
    </row>
    <row r="431" spans="1:11" s="147" customFormat="1" ht="11.25" customHeight="1" x14ac:dyDescent="0.2">
      <c r="A431" s="795" t="s">
        <v>9224</v>
      </c>
      <c r="B431" s="138">
        <v>43434</v>
      </c>
      <c r="C431" s="139" t="s">
        <v>9225</v>
      </c>
      <c r="D431" s="140" t="s">
        <v>9232</v>
      </c>
      <c r="E431" s="141" t="s">
        <v>731</v>
      </c>
      <c r="F431" s="142" t="s">
        <v>9227</v>
      </c>
      <c r="G431" s="143">
        <v>6120</v>
      </c>
      <c r="H431" s="144" t="s">
        <v>730</v>
      </c>
      <c r="I431" s="145"/>
      <c r="J431" s="145"/>
      <c r="K431" s="146">
        <v>6120</v>
      </c>
    </row>
    <row r="432" spans="1:11" s="147" customFormat="1" ht="11.25" customHeight="1" x14ac:dyDescent="0.2">
      <c r="A432" s="795" t="s">
        <v>9224</v>
      </c>
      <c r="B432" s="138">
        <v>43434</v>
      </c>
      <c r="C432" s="139" t="s">
        <v>9225</v>
      </c>
      <c r="D432" s="140" t="s">
        <v>9233</v>
      </c>
      <c r="E432" s="141" t="s">
        <v>731</v>
      </c>
      <c r="F432" s="142" t="s">
        <v>9227</v>
      </c>
      <c r="G432" s="143">
        <v>6120</v>
      </c>
      <c r="H432" s="144" t="s">
        <v>730</v>
      </c>
      <c r="I432" s="145"/>
      <c r="J432" s="145"/>
      <c r="K432" s="146">
        <v>6120</v>
      </c>
    </row>
    <row r="433" spans="1:11" s="147" customFormat="1" ht="11.25" customHeight="1" x14ac:dyDescent="0.2">
      <c r="A433" s="795" t="s">
        <v>9224</v>
      </c>
      <c r="B433" s="138">
        <v>43434</v>
      </c>
      <c r="C433" s="139" t="s">
        <v>9225</v>
      </c>
      <c r="D433" s="140" t="s">
        <v>9234</v>
      </c>
      <c r="E433" s="141" t="s">
        <v>731</v>
      </c>
      <c r="F433" s="142" t="s">
        <v>8111</v>
      </c>
      <c r="G433" s="143">
        <v>9520</v>
      </c>
      <c r="H433" s="144" t="s">
        <v>730</v>
      </c>
      <c r="I433" s="145"/>
      <c r="J433" s="145"/>
      <c r="K433" s="146">
        <v>9520</v>
      </c>
    </row>
    <row r="434" spans="1:11" s="147" customFormat="1" ht="11.25" customHeight="1" x14ac:dyDescent="0.2">
      <c r="A434" s="795" t="s">
        <v>9224</v>
      </c>
      <c r="B434" s="138">
        <v>43434</v>
      </c>
      <c r="C434" s="139" t="s">
        <v>9225</v>
      </c>
      <c r="D434" s="140" t="s">
        <v>9235</v>
      </c>
      <c r="E434" s="141" t="s">
        <v>731</v>
      </c>
      <c r="F434" s="142" t="s">
        <v>9227</v>
      </c>
      <c r="G434" s="143">
        <v>11560</v>
      </c>
      <c r="H434" s="144" t="s">
        <v>730</v>
      </c>
      <c r="I434" s="145"/>
      <c r="J434" s="145"/>
      <c r="K434" s="146">
        <v>11560</v>
      </c>
    </row>
    <row r="435" spans="1:11" s="147" customFormat="1" ht="11.25" customHeight="1" x14ac:dyDescent="0.2">
      <c r="A435" s="795" t="s">
        <v>9224</v>
      </c>
      <c r="B435" s="138">
        <v>43434</v>
      </c>
      <c r="C435" s="139" t="s">
        <v>9225</v>
      </c>
      <c r="D435" s="140" t="s">
        <v>9236</v>
      </c>
      <c r="E435" s="141" t="s">
        <v>731</v>
      </c>
      <c r="F435" s="142" t="s">
        <v>9227</v>
      </c>
      <c r="G435" s="143">
        <v>12710</v>
      </c>
      <c r="H435" s="144" t="s">
        <v>730</v>
      </c>
      <c r="I435" s="145"/>
      <c r="J435" s="145"/>
      <c r="K435" s="146">
        <v>12710</v>
      </c>
    </row>
    <row r="436" spans="1:11" s="147" customFormat="1" ht="11.25" customHeight="1" x14ac:dyDescent="0.2">
      <c r="A436" s="795" t="s">
        <v>9224</v>
      </c>
      <c r="B436" s="138">
        <v>43434</v>
      </c>
      <c r="C436" s="139" t="s">
        <v>9225</v>
      </c>
      <c r="D436" s="140" t="s">
        <v>9237</v>
      </c>
      <c r="E436" s="141" t="s">
        <v>731</v>
      </c>
      <c r="F436" s="142" t="s">
        <v>9238</v>
      </c>
      <c r="G436" s="143">
        <v>18360</v>
      </c>
      <c r="H436" s="144" t="s">
        <v>730</v>
      </c>
      <c r="I436" s="145"/>
      <c r="J436" s="145"/>
      <c r="K436" s="146">
        <v>18360</v>
      </c>
    </row>
    <row r="437" spans="1:11" s="147" customFormat="1" ht="11.25" customHeight="1" x14ac:dyDescent="0.2">
      <c r="A437" s="795" t="s">
        <v>9224</v>
      </c>
      <c r="B437" s="138">
        <v>43434</v>
      </c>
      <c r="C437" s="139" t="s">
        <v>9225</v>
      </c>
      <c r="D437" s="140" t="s">
        <v>9239</v>
      </c>
      <c r="E437" s="141" t="s">
        <v>731</v>
      </c>
      <c r="F437" s="142" t="s">
        <v>9227</v>
      </c>
      <c r="G437" s="143">
        <v>18960</v>
      </c>
      <c r="H437" s="144" t="s">
        <v>730</v>
      </c>
      <c r="I437" s="145"/>
      <c r="J437" s="145"/>
      <c r="K437" s="146">
        <v>18960</v>
      </c>
    </row>
    <row r="438" spans="1:11" s="147" customFormat="1" ht="11.25" customHeight="1" x14ac:dyDescent="0.2">
      <c r="A438" s="795" t="s">
        <v>9224</v>
      </c>
      <c r="B438" s="138">
        <v>43434</v>
      </c>
      <c r="C438" s="139" t="s">
        <v>9225</v>
      </c>
      <c r="D438" s="140" t="s">
        <v>9240</v>
      </c>
      <c r="E438" s="141" t="s">
        <v>731</v>
      </c>
      <c r="F438" s="142" t="s">
        <v>9227</v>
      </c>
      <c r="G438" s="143">
        <v>31855</v>
      </c>
      <c r="H438" s="144" t="s">
        <v>730</v>
      </c>
      <c r="I438" s="145"/>
      <c r="J438" s="145"/>
      <c r="K438" s="146">
        <v>31855</v>
      </c>
    </row>
    <row r="439" spans="1:11" s="147" customFormat="1" ht="11.25" customHeight="1" x14ac:dyDescent="0.2">
      <c r="A439" s="795" t="s">
        <v>9224</v>
      </c>
      <c r="B439" s="138">
        <v>43434</v>
      </c>
      <c r="C439" s="139" t="s">
        <v>9225</v>
      </c>
      <c r="D439" s="140" t="s">
        <v>9241</v>
      </c>
      <c r="E439" s="141" t="s">
        <v>731</v>
      </c>
      <c r="F439" s="142" t="s">
        <v>9227</v>
      </c>
      <c r="G439" s="143">
        <v>42430</v>
      </c>
      <c r="H439" s="144" t="s">
        <v>730</v>
      </c>
      <c r="I439" s="145"/>
      <c r="J439" s="145"/>
      <c r="K439" s="146">
        <v>42430</v>
      </c>
    </row>
    <row r="440" spans="1:11" s="147" customFormat="1" ht="11.25" customHeight="1" x14ac:dyDescent="0.2">
      <c r="A440" s="795" t="s">
        <v>9224</v>
      </c>
      <c r="B440" s="138">
        <v>43434</v>
      </c>
      <c r="C440" s="139" t="s">
        <v>9225</v>
      </c>
      <c r="D440" s="140" t="s">
        <v>9242</v>
      </c>
      <c r="E440" s="141" t="s">
        <v>731</v>
      </c>
      <c r="F440" s="142" t="s">
        <v>9227</v>
      </c>
      <c r="G440" s="143">
        <v>45610</v>
      </c>
      <c r="H440" s="144" t="s">
        <v>730</v>
      </c>
      <c r="I440" s="145"/>
      <c r="J440" s="145"/>
      <c r="K440" s="146">
        <v>45610</v>
      </c>
    </row>
    <row r="441" spans="1:11" s="147" customFormat="1" ht="11.25" customHeight="1" x14ac:dyDescent="0.2">
      <c r="A441" s="795" t="s">
        <v>9224</v>
      </c>
      <c r="B441" s="138">
        <v>43434</v>
      </c>
      <c r="C441" s="139" t="s">
        <v>9225</v>
      </c>
      <c r="D441" s="140" t="s">
        <v>9243</v>
      </c>
      <c r="E441" s="141" t="s">
        <v>731</v>
      </c>
      <c r="F441" s="142" t="s">
        <v>9244</v>
      </c>
      <c r="G441" s="143">
        <v>45760</v>
      </c>
      <c r="H441" s="144" t="s">
        <v>730</v>
      </c>
      <c r="I441" s="145"/>
      <c r="J441" s="145"/>
      <c r="K441" s="146">
        <v>45760</v>
      </c>
    </row>
    <row r="442" spans="1:11" s="147" customFormat="1" ht="11.25" customHeight="1" x14ac:dyDescent="0.2">
      <c r="A442" s="795" t="s">
        <v>9224</v>
      </c>
      <c r="B442" s="138">
        <v>43434</v>
      </c>
      <c r="C442" s="139" t="s">
        <v>9225</v>
      </c>
      <c r="D442" s="140" t="s">
        <v>9245</v>
      </c>
      <c r="E442" s="141" t="s">
        <v>731</v>
      </c>
      <c r="F442" s="142" t="s">
        <v>8113</v>
      </c>
      <c r="G442" s="143">
        <v>46000</v>
      </c>
      <c r="H442" s="144" t="s">
        <v>730</v>
      </c>
      <c r="I442" s="145"/>
      <c r="J442" s="145"/>
      <c r="K442" s="146">
        <v>46000</v>
      </c>
    </row>
    <row r="443" spans="1:11" s="147" customFormat="1" ht="11.25" customHeight="1" x14ac:dyDescent="0.2">
      <c r="A443" s="795" t="s">
        <v>9224</v>
      </c>
      <c r="B443" s="138">
        <v>43434</v>
      </c>
      <c r="C443" s="139" t="s">
        <v>9225</v>
      </c>
      <c r="D443" s="140" t="s">
        <v>9246</v>
      </c>
      <c r="E443" s="141" t="s">
        <v>731</v>
      </c>
      <c r="F443" s="142" t="s">
        <v>9227</v>
      </c>
      <c r="G443" s="143">
        <v>64020</v>
      </c>
      <c r="H443" s="144" t="s">
        <v>730</v>
      </c>
      <c r="I443" s="145"/>
      <c r="J443" s="145"/>
      <c r="K443" s="146">
        <v>64020</v>
      </c>
    </row>
    <row r="444" spans="1:11" s="147" customFormat="1" ht="11.25" customHeight="1" x14ac:dyDescent="0.2">
      <c r="A444" s="795" t="s">
        <v>9224</v>
      </c>
      <c r="B444" s="138">
        <v>43434</v>
      </c>
      <c r="C444" s="139" t="s">
        <v>9225</v>
      </c>
      <c r="D444" s="140" t="s">
        <v>9247</v>
      </c>
      <c r="E444" s="141" t="s">
        <v>731</v>
      </c>
      <c r="F444" s="142" t="s">
        <v>9227</v>
      </c>
      <c r="G444" s="143">
        <v>74110</v>
      </c>
      <c r="H444" s="144" t="s">
        <v>730</v>
      </c>
      <c r="I444" s="145"/>
      <c r="J444" s="145"/>
      <c r="K444" s="146">
        <v>74110</v>
      </c>
    </row>
    <row r="445" spans="1:11" s="147" customFormat="1" ht="11.25" customHeight="1" x14ac:dyDescent="0.2">
      <c r="A445" s="795" t="s">
        <v>9224</v>
      </c>
      <c r="B445" s="138">
        <v>43434</v>
      </c>
      <c r="C445" s="139" t="s">
        <v>9225</v>
      </c>
      <c r="D445" s="140" t="s">
        <v>9248</v>
      </c>
      <c r="E445" s="141" t="s">
        <v>731</v>
      </c>
      <c r="F445" s="142" t="s">
        <v>8110</v>
      </c>
      <c r="G445" s="143">
        <v>93310</v>
      </c>
      <c r="H445" s="144" t="s">
        <v>730</v>
      </c>
      <c r="I445" s="145"/>
      <c r="J445" s="145"/>
      <c r="K445" s="146">
        <v>93310</v>
      </c>
    </row>
    <row r="446" spans="1:11" s="147" customFormat="1" ht="11.25" customHeight="1" x14ac:dyDescent="0.2">
      <c r="A446" s="795" t="s">
        <v>9111</v>
      </c>
      <c r="B446" s="138">
        <v>43434</v>
      </c>
      <c r="C446" s="139" t="s">
        <v>8114</v>
      </c>
      <c r="D446" s="140" t="s">
        <v>9249</v>
      </c>
      <c r="E446" s="141" t="s">
        <v>2627</v>
      </c>
      <c r="F446" s="142" t="s">
        <v>9114</v>
      </c>
      <c r="G446" s="143">
        <v>106558</v>
      </c>
      <c r="H446" s="144" t="s">
        <v>730</v>
      </c>
      <c r="I446" s="145"/>
      <c r="J446" s="145"/>
      <c r="K446" s="146">
        <v>106558</v>
      </c>
    </row>
    <row r="447" spans="1:11" s="147" customFormat="1" ht="11.25" customHeight="1" x14ac:dyDescent="0.2">
      <c r="A447" s="795" t="s">
        <v>9224</v>
      </c>
      <c r="B447" s="138">
        <v>43434</v>
      </c>
      <c r="C447" s="139" t="s">
        <v>9225</v>
      </c>
      <c r="D447" s="140" t="s">
        <v>9250</v>
      </c>
      <c r="E447" s="141" t="s">
        <v>731</v>
      </c>
      <c r="F447" s="142" t="s">
        <v>9227</v>
      </c>
      <c r="G447" s="143">
        <v>135370</v>
      </c>
      <c r="H447" s="144" t="s">
        <v>730</v>
      </c>
      <c r="I447" s="145"/>
      <c r="J447" s="145"/>
      <c r="K447" s="146">
        <v>135370</v>
      </c>
    </row>
    <row r="448" spans="1:11" s="147" customFormat="1" ht="11.25" customHeight="1" x14ac:dyDescent="0.2">
      <c r="A448" s="795" t="s">
        <v>9224</v>
      </c>
      <c r="B448" s="138">
        <v>43434</v>
      </c>
      <c r="C448" s="139" t="s">
        <v>9225</v>
      </c>
      <c r="D448" s="140" t="s">
        <v>9251</v>
      </c>
      <c r="E448" s="141" t="s">
        <v>731</v>
      </c>
      <c r="F448" s="142" t="s">
        <v>8110</v>
      </c>
      <c r="G448" s="143">
        <v>164304</v>
      </c>
      <c r="H448" s="144" t="s">
        <v>730</v>
      </c>
      <c r="I448" s="145"/>
      <c r="J448" s="145"/>
      <c r="K448" s="146">
        <v>164304</v>
      </c>
    </row>
    <row r="449" spans="1:11" s="147" customFormat="1" ht="11.25" customHeight="1" x14ac:dyDescent="0.2">
      <c r="A449" s="795" t="s">
        <v>9224</v>
      </c>
      <c r="B449" s="138">
        <v>43434</v>
      </c>
      <c r="C449" s="139" t="s">
        <v>9225</v>
      </c>
      <c r="D449" s="140" t="s">
        <v>9252</v>
      </c>
      <c r="E449" s="141" t="s">
        <v>731</v>
      </c>
      <c r="F449" s="142" t="s">
        <v>8110</v>
      </c>
      <c r="G449" s="143">
        <v>225799</v>
      </c>
      <c r="H449" s="144" t="s">
        <v>730</v>
      </c>
      <c r="I449" s="145"/>
      <c r="J449" s="145"/>
      <c r="K449" s="146">
        <v>225799</v>
      </c>
    </row>
    <row r="450" spans="1:11" s="147" customFormat="1" ht="11.25" customHeight="1" x14ac:dyDescent="0.2">
      <c r="A450" s="795" t="s">
        <v>8973</v>
      </c>
      <c r="B450" s="138">
        <v>43434</v>
      </c>
      <c r="C450" s="139" t="s">
        <v>8974</v>
      </c>
      <c r="D450" s="140" t="s">
        <v>9253</v>
      </c>
      <c r="E450" s="141" t="s">
        <v>8081</v>
      </c>
      <c r="F450" s="142" t="s">
        <v>9254</v>
      </c>
      <c r="G450" s="143">
        <v>3.42</v>
      </c>
      <c r="H450" s="144" t="s">
        <v>730</v>
      </c>
      <c r="I450" s="145"/>
      <c r="J450" s="145"/>
      <c r="K450" s="146">
        <v>3.42</v>
      </c>
    </row>
    <row r="451" spans="1:11" s="147" customFormat="1" ht="11.25" customHeight="1" x14ac:dyDescent="0.2">
      <c r="A451" s="795" t="s">
        <v>8973</v>
      </c>
      <c r="B451" s="138">
        <v>43434</v>
      </c>
      <c r="C451" s="139" t="s">
        <v>8974</v>
      </c>
      <c r="D451" s="140" t="s">
        <v>8975</v>
      </c>
      <c r="E451" s="141" t="s">
        <v>8081</v>
      </c>
      <c r="F451" s="142" t="s">
        <v>8976</v>
      </c>
      <c r="G451" s="143">
        <v>6.12</v>
      </c>
      <c r="H451" s="144" t="s">
        <v>730</v>
      </c>
      <c r="I451" s="145"/>
      <c r="J451" s="145"/>
      <c r="K451" s="146">
        <v>6.12</v>
      </c>
    </row>
    <row r="452" spans="1:11" s="147" customFormat="1" ht="11.25" customHeight="1" x14ac:dyDescent="0.2">
      <c r="A452" s="795" t="s">
        <v>8973</v>
      </c>
      <c r="B452" s="138">
        <v>43434</v>
      </c>
      <c r="C452" s="139" t="s">
        <v>8174</v>
      </c>
      <c r="D452" s="140" t="s">
        <v>9255</v>
      </c>
      <c r="E452" s="141" t="s">
        <v>8081</v>
      </c>
      <c r="F452" s="142" t="s">
        <v>8976</v>
      </c>
      <c r="G452" s="143">
        <v>10.210000000000001</v>
      </c>
      <c r="H452" s="144" t="s">
        <v>730</v>
      </c>
      <c r="I452" s="145"/>
      <c r="J452" s="145"/>
      <c r="K452" s="146">
        <v>10.210000000000001</v>
      </c>
    </row>
    <row r="453" spans="1:11" s="147" customFormat="1" ht="11.25" customHeight="1" x14ac:dyDescent="0.2">
      <c r="A453" s="795" t="s">
        <v>9035</v>
      </c>
      <c r="B453" s="138">
        <v>43434</v>
      </c>
      <c r="C453" s="139" t="s">
        <v>9256</v>
      </c>
      <c r="D453" s="140" t="s">
        <v>9257</v>
      </c>
      <c r="E453" s="141" t="s">
        <v>8123</v>
      </c>
      <c r="F453" s="142" t="s">
        <v>9258</v>
      </c>
      <c r="G453" s="143">
        <v>13.36</v>
      </c>
      <c r="H453" s="144" t="s">
        <v>730</v>
      </c>
      <c r="I453" s="145"/>
      <c r="J453" s="145"/>
      <c r="K453" s="146">
        <v>13.36</v>
      </c>
    </row>
    <row r="454" spans="1:11" s="147" customFormat="1" ht="11.25" customHeight="1" x14ac:dyDescent="0.2">
      <c r="A454" s="795" t="s">
        <v>8973</v>
      </c>
      <c r="B454" s="138">
        <v>43434</v>
      </c>
      <c r="C454" s="139" t="s">
        <v>8974</v>
      </c>
      <c r="D454" s="140" t="s">
        <v>8975</v>
      </c>
      <c r="E454" s="141" t="s">
        <v>8081</v>
      </c>
      <c r="F454" s="142" t="s">
        <v>8976</v>
      </c>
      <c r="G454" s="143">
        <v>18.079999999999998</v>
      </c>
      <c r="H454" s="144" t="s">
        <v>730</v>
      </c>
      <c r="I454" s="145"/>
      <c r="J454" s="145"/>
      <c r="K454" s="146">
        <v>18.079999999999998</v>
      </c>
    </row>
    <row r="455" spans="1:11" s="147" customFormat="1" ht="11.25" customHeight="1" x14ac:dyDescent="0.2">
      <c r="A455" s="795" t="s">
        <v>9035</v>
      </c>
      <c r="B455" s="138">
        <v>43434</v>
      </c>
      <c r="C455" s="139" t="s">
        <v>9259</v>
      </c>
      <c r="D455" s="140" t="s">
        <v>9260</v>
      </c>
      <c r="E455" s="141" t="s">
        <v>8123</v>
      </c>
      <c r="F455" s="142" t="s">
        <v>8976</v>
      </c>
      <c r="G455" s="143">
        <v>18.79</v>
      </c>
      <c r="H455" s="144" t="s">
        <v>730</v>
      </c>
      <c r="I455" s="145"/>
      <c r="J455" s="145"/>
      <c r="K455" s="146">
        <v>18.79</v>
      </c>
    </row>
    <row r="456" spans="1:11" s="147" customFormat="1" ht="11.25" customHeight="1" x14ac:dyDescent="0.2">
      <c r="A456" s="795" t="s">
        <v>8973</v>
      </c>
      <c r="B456" s="138">
        <v>43434</v>
      </c>
      <c r="C456" s="139" t="s">
        <v>8174</v>
      </c>
      <c r="D456" s="140" t="s">
        <v>9261</v>
      </c>
      <c r="E456" s="141" t="s">
        <v>8081</v>
      </c>
      <c r="F456" s="142" t="s">
        <v>8118</v>
      </c>
      <c r="G456" s="143">
        <v>21.23</v>
      </c>
      <c r="H456" s="144" t="s">
        <v>730</v>
      </c>
      <c r="I456" s="145"/>
      <c r="J456" s="145"/>
      <c r="K456" s="146">
        <v>21.23</v>
      </c>
    </row>
    <row r="457" spans="1:11" s="147" customFormat="1" ht="11.25" customHeight="1" x14ac:dyDescent="0.2">
      <c r="A457" s="795" t="s">
        <v>9035</v>
      </c>
      <c r="B457" s="138">
        <v>43434</v>
      </c>
      <c r="C457" s="139" t="s">
        <v>9262</v>
      </c>
      <c r="D457" s="140" t="s">
        <v>9263</v>
      </c>
      <c r="E457" s="141" t="s">
        <v>8123</v>
      </c>
      <c r="F457" s="142" t="s">
        <v>8976</v>
      </c>
      <c r="G457" s="143">
        <v>22.03</v>
      </c>
      <c r="H457" s="144" t="s">
        <v>730</v>
      </c>
      <c r="I457" s="145"/>
      <c r="J457" s="145"/>
      <c r="K457" s="146">
        <v>22.03</v>
      </c>
    </row>
    <row r="458" spans="1:11" s="147" customFormat="1" ht="11.25" customHeight="1" x14ac:dyDescent="0.2">
      <c r="A458" s="795" t="s">
        <v>9264</v>
      </c>
      <c r="B458" s="138">
        <v>43434</v>
      </c>
      <c r="C458" s="139" t="s">
        <v>9265</v>
      </c>
      <c r="D458" s="140" t="s">
        <v>9266</v>
      </c>
      <c r="E458" s="141" t="s">
        <v>8117</v>
      </c>
      <c r="F458" s="142" t="s">
        <v>8976</v>
      </c>
      <c r="G458" s="143">
        <v>23.57</v>
      </c>
      <c r="H458" s="144" t="s">
        <v>730</v>
      </c>
      <c r="I458" s="145"/>
      <c r="J458" s="145"/>
      <c r="K458" s="146">
        <v>23.57</v>
      </c>
    </row>
    <row r="459" spans="1:11" s="147" customFormat="1" ht="11.25" customHeight="1" x14ac:dyDescent="0.2">
      <c r="A459" s="795" t="s">
        <v>8973</v>
      </c>
      <c r="B459" s="138">
        <v>43434</v>
      </c>
      <c r="C459" s="139" t="s">
        <v>8174</v>
      </c>
      <c r="D459" s="140" t="s">
        <v>9267</v>
      </c>
      <c r="E459" s="141" t="s">
        <v>8081</v>
      </c>
      <c r="F459" s="142" t="s">
        <v>8116</v>
      </c>
      <c r="G459" s="143">
        <v>24.87</v>
      </c>
      <c r="H459" s="144" t="s">
        <v>730</v>
      </c>
      <c r="I459" s="145"/>
      <c r="J459" s="145"/>
      <c r="K459" s="146">
        <v>24.87</v>
      </c>
    </row>
    <row r="460" spans="1:11" s="147" customFormat="1" ht="11.25" customHeight="1" x14ac:dyDescent="0.2">
      <c r="A460" s="795" t="s">
        <v>8973</v>
      </c>
      <c r="B460" s="138">
        <v>43434</v>
      </c>
      <c r="C460" s="139" t="s">
        <v>8174</v>
      </c>
      <c r="D460" s="140" t="s">
        <v>9268</v>
      </c>
      <c r="E460" s="141" t="s">
        <v>8081</v>
      </c>
      <c r="F460" s="142" t="s">
        <v>9254</v>
      </c>
      <c r="G460" s="143">
        <v>26.51</v>
      </c>
      <c r="H460" s="144" t="s">
        <v>730</v>
      </c>
      <c r="I460" s="145"/>
      <c r="J460" s="145"/>
      <c r="K460" s="146">
        <v>26.51</v>
      </c>
    </row>
    <row r="461" spans="1:11" s="147" customFormat="1" ht="11.25" customHeight="1" x14ac:dyDescent="0.2">
      <c r="A461" s="795" t="s">
        <v>8973</v>
      </c>
      <c r="B461" s="138">
        <v>43434</v>
      </c>
      <c r="C461" s="139" t="s">
        <v>8174</v>
      </c>
      <c r="D461" s="140" t="s">
        <v>9268</v>
      </c>
      <c r="E461" s="141" t="s">
        <v>8081</v>
      </c>
      <c r="F461" s="142" t="s">
        <v>9254</v>
      </c>
      <c r="G461" s="143">
        <v>26.51</v>
      </c>
      <c r="H461" s="144" t="s">
        <v>730</v>
      </c>
      <c r="I461" s="145"/>
      <c r="J461" s="145"/>
      <c r="K461" s="146">
        <v>26.51</v>
      </c>
    </row>
    <row r="462" spans="1:11" s="147" customFormat="1" ht="11.25" customHeight="1" x14ac:dyDescent="0.2">
      <c r="A462" s="795" t="s">
        <v>9264</v>
      </c>
      <c r="B462" s="138">
        <v>43434</v>
      </c>
      <c r="C462" s="139" t="s">
        <v>9265</v>
      </c>
      <c r="D462" s="140" t="s">
        <v>9266</v>
      </c>
      <c r="E462" s="141" t="s">
        <v>8117</v>
      </c>
      <c r="F462" s="142" t="s">
        <v>8976</v>
      </c>
      <c r="G462" s="143">
        <v>27.65</v>
      </c>
      <c r="H462" s="144" t="s">
        <v>730</v>
      </c>
      <c r="I462" s="145"/>
      <c r="J462" s="145"/>
      <c r="K462" s="146">
        <v>27.65</v>
      </c>
    </row>
    <row r="463" spans="1:11" s="147" customFormat="1" ht="11.25" customHeight="1" x14ac:dyDescent="0.2">
      <c r="A463" s="795" t="s">
        <v>9035</v>
      </c>
      <c r="B463" s="138">
        <v>43434</v>
      </c>
      <c r="C463" s="139" t="s">
        <v>9256</v>
      </c>
      <c r="D463" s="140" t="s">
        <v>9269</v>
      </c>
      <c r="E463" s="141" t="s">
        <v>8123</v>
      </c>
      <c r="F463" s="142" t="s">
        <v>8976</v>
      </c>
      <c r="G463" s="143">
        <v>29.35</v>
      </c>
      <c r="H463" s="144" t="s">
        <v>730</v>
      </c>
      <c r="I463" s="145"/>
      <c r="J463" s="145"/>
      <c r="K463" s="146">
        <v>29.35</v>
      </c>
    </row>
    <row r="464" spans="1:11" s="147" customFormat="1" ht="11.25" customHeight="1" x14ac:dyDescent="0.2">
      <c r="A464" s="795" t="s">
        <v>8973</v>
      </c>
      <c r="B464" s="138">
        <v>43434</v>
      </c>
      <c r="C464" s="139" t="s">
        <v>8174</v>
      </c>
      <c r="D464" s="140" t="s">
        <v>9270</v>
      </c>
      <c r="E464" s="141" t="s">
        <v>8081</v>
      </c>
      <c r="F464" s="142" t="s">
        <v>9271</v>
      </c>
      <c r="G464" s="143">
        <v>29.72</v>
      </c>
      <c r="H464" s="144" t="s">
        <v>730</v>
      </c>
      <c r="I464" s="145"/>
      <c r="J464" s="145"/>
      <c r="K464" s="146">
        <v>29.72</v>
      </c>
    </row>
    <row r="465" spans="1:11" s="147" customFormat="1" ht="11.25" customHeight="1" x14ac:dyDescent="0.2">
      <c r="A465" s="795" t="s">
        <v>8973</v>
      </c>
      <c r="B465" s="138">
        <v>43434</v>
      </c>
      <c r="C465" s="139" t="s">
        <v>8974</v>
      </c>
      <c r="D465" s="140" t="s">
        <v>9272</v>
      </c>
      <c r="E465" s="141" t="s">
        <v>8081</v>
      </c>
      <c r="F465" s="142" t="s">
        <v>8118</v>
      </c>
      <c r="G465" s="143">
        <v>29.79</v>
      </c>
      <c r="H465" s="144" t="s">
        <v>730</v>
      </c>
      <c r="I465" s="145"/>
      <c r="J465" s="145"/>
      <c r="K465" s="146">
        <v>29.79</v>
      </c>
    </row>
    <row r="466" spans="1:11" s="147" customFormat="1" ht="11.25" customHeight="1" x14ac:dyDescent="0.2">
      <c r="A466" s="795" t="s">
        <v>9264</v>
      </c>
      <c r="B466" s="138">
        <v>43434</v>
      </c>
      <c r="C466" s="139" t="s">
        <v>9265</v>
      </c>
      <c r="D466" s="140" t="s">
        <v>9266</v>
      </c>
      <c r="E466" s="141" t="s">
        <v>8117</v>
      </c>
      <c r="F466" s="142" t="s">
        <v>8976</v>
      </c>
      <c r="G466" s="143">
        <v>30.25</v>
      </c>
      <c r="H466" s="144" t="s">
        <v>730</v>
      </c>
      <c r="I466" s="145"/>
      <c r="J466" s="145"/>
      <c r="K466" s="146">
        <v>30.25</v>
      </c>
    </row>
    <row r="467" spans="1:11" s="147" customFormat="1" ht="11.25" customHeight="1" x14ac:dyDescent="0.2">
      <c r="A467" s="795" t="s">
        <v>9035</v>
      </c>
      <c r="B467" s="138">
        <v>43434</v>
      </c>
      <c r="C467" s="139" t="s">
        <v>9262</v>
      </c>
      <c r="D467" s="140" t="s">
        <v>9273</v>
      </c>
      <c r="E467" s="141" t="s">
        <v>8123</v>
      </c>
      <c r="F467" s="142" t="s">
        <v>8116</v>
      </c>
      <c r="G467" s="143">
        <v>32.090000000000003</v>
      </c>
      <c r="H467" s="144" t="s">
        <v>730</v>
      </c>
      <c r="I467" s="145"/>
      <c r="J467" s="145"/>
      <c r="K467" s="146">
        <v>32.090000000000003</v>
      </c>
    </row>
    <row r="468" spans="1:11" s="147" customFormat="1" ht="11.25" customHeight="1" x14ac:dyDescent="0.2">
      <c r="A468" s="795" t="s">
        <v>9264</v>
      </c>
      <c r="B468" s="138">
        <v>43434</v>
      </c>
      <c r="C468" s="139" t="s">
        <v>9265</v>
      </c>
      <c r="D468" s="140" t="s">
        <v>9266</v>
      </c>
      <c r="E468" s="141" t="s">
        <v>8117</v>
      </c>
      <c r="F468" s="142" t="s">
        <v>8976</v>
      </c>
      <c r="G468" s="143">
        <v>33.409999999999997</v>
      </c>
      <c r="H468" s="144" t="s">
        <v>730</v>
      </c>
      <c r="I468" s="145"/>
      <c r="J468" s="145"/>
      <c r="K468" s="146">
        <v>33.409999999999997</v>
      </c>
    </row>
    <row r="469" spans="1:11" s="147" customFormat="1" ht="11.25" customHeight="1" x14ac:dyDescent="0.2">
      <c r="A469" s="795" t="s">
        <v>8973</v>
      </c>
      <c r="B469" s="138">
        <v>43434</v>
      </c>
      <c r="C469" s="139" t="s">
        <v>8174</v>
      </c>
      <c r="D469" s="140" t="s">
        <v>9274</v>
      </c>
      <c r="E469" s="141" t="s">
        <v>8081</v>
      </c>
      <c r="F469" s="142" t="s">
        <v>8120</v>
      </c>
      <c r="G469" s="143">
        <v>33.99</v>
      </c>
      <c r="H469" s="144" t="s">
        <v>730</v>
      </c>
      <c r="I469" s="145"/>
      <c r="J469" s="145"/>
      <c r="K469" s="146">
        <v>33.99</v>
      </c>
    </row>
    <row r="470" spans="1:11" s="147" customFormat="1" ht="11.25" customHeight="1" x14ac:dyDescent="0.2">
      <c r="A470" s="795" t="s">
        <v>9035</v>
      </c>
      <c r="B470" s="138">
        <v>43434</v>
      </c>
      <c r="C470" s="139" t="s">
        <v>9262</v>
      </c>
      <c r="D470" s="140" t="s">
        <v>9273</v>
      </c>
      <c r="E470" s="141" t="s">
        <v>8123</v>
      </c>
      <c r="F470" s="142" t="s">
        <v>8116</v>
      </c>
      <c r="G470" s="143">
        <v>34.92</v>
      </c>
      <c r="H470" s="144" t="s">
        <v>730</v>
      </c>
      <c r="I470" s="145"/>
      <c r="J470" s="145"/>
      <c r="K470" s="146">
        <v>34.92</v>
      </c>
    </row>
    <row r="471" spans="1:11" s="147" customFormat="1" ht="11.25" customHeight="1" x14ac:dyDescent="0.2">
      <c r="A471" s="795" t="s">
        <v>9035</v>
      </c>
      <c r="B471" s="138">
        <v>43434</v>
      </c>
      <c r="C471" s="139" t="s">
        <v>9262</v>
      </c>
      <c r="D471" s="140" t="s">
        <v>9273</v>
      </c>
      <c r="E471" s="141" t="s">
        <v>8123</v>
      </c>
      <c r="F471" s="142" t="s">
        <v>8116</v>
      </c>
      <c r="G471" s="143">
        <v>34.92</v>
      </c>
      <c r="H471" s="144" t="s">
        <v>730</v>
      </c>
      <c r="I471" s="145"/>
      <c r="J471" s="145"/>
      <c r="K471" s="146">
        <v>34.92</v>
      </c>
    </row>
    <row r="472" spans="1:11" s="147" customFormat="1" ht="11.25" customHeight="1" x14ac:dyDescent="0.2">
      <c r="A472" s="795" t="s">
        <v>9035</v>
      </c>
      <c r="B472" s="138">
        <v>43434</v>
      </c>
      <c r="C472" s="139" t="s">
        <v>9262</v>
      </c>
      <c r="D472" s="140" t="s">
        <v>9275</v>
      </c>
      <c r="E472" s="141" t="s">
        <v>8123</v>
      </c>
      <c r="F472" s="142" t="s">
        <v>8116</v>
      </c>
      <c r="G472" s="143">
        <v>35.729999999999997</v>
      </c>
      <c r="H472" s="144" t="s">
        <v>730</v>
      </c>
      <c r="I472" s="145"/>
      <c r="J472" s="145"/>
      <c r="K472" s="146">
        <v>35.729999999999997</v>
      </c>
    </row>
    <row r="473" spans="1:11" s="147" customFormat="1" ht="11.25" customHeight="1" x14ac:dyDescent="0.2">
      <c r="A473" s="795" t="s">
        <v>9035</v>
      </c>
      <c r="B473" s="138">
        <v>43434</v>
      </c>
      <c r="C473" s="139" t="s">
        <v>9262</v>
      </c>
      <c r="D473" s="140" t="s">
        <v>9263</v>
      </c>
      <c r="E473" s="141" t="s">
        <v>8123</v>
      </c>
      <c r="F473" s="142" t="s">
        <v>8976</v>
      </c>
      <c r="G473" s="143">
        <v>36.31</v>
      </c>
      <c r="H473" s="144" t="s">
        <v>730</v>
      </c>
      <c r="I473" s="145"/>
      <c r="J473" s="145"/>
      <c r="K473" s="146">
        <v>36.31</v>
      </c>
    </row>
    <row r="474" spans="1:11" s="147" customFormat="1" ht="11.25" customHeight="1" x14ac:dyDescent="0.2">
      <c r="A474" s="795" t="s">
        <v>9264</v>
      </c>
      <c r="B474" s="138">
        <v>43434</v>
      </c>
      <c r="C474" s="139" t="s">
        <v>9265</v>
      </c>
      <c r="D474" s="140" t="s">
        <v>9276</v>
      </c>
      <c r="E474" s="141" t="s">
        <v>8117</v>
      </c>
      <c r="F474" s="142" t="s">
        <v>8120</v>
      </c>
      <c r="G474" s="143">
        <v>37.03</v>
      </c>
      <c r="H474" s="144" t="s">
        <v>730</v>
      </c>
      <c r="I474" s="145"/>
      <c r="J474" s="145"/>
      <c r="K474" s="146">
        <v>37.03</v>
      </c>
    </row>
    <row r="475" spans="1:11" s="147" customFormat="1" ht="11.25" customHeight="1" x14ac:dyDescent="0.2">
      <c r="A475" s="795" t="s">
        <v>9264</v>
      </c>
      <c r="B475" s="138">
        <v>43434</v>
      </c>
      <c r="C475" s="139" t="s">
        <v>9265</v>
      </c>
      <c r="D475" s="140" t="s">
        <v>9276</v>
      </c>
      <c r="E475" s="141" t="s">
        <v>8117</v>
      </c>
      <c r="F475" s="142" t="s">
        <v>8120</v>
      </c>
      <c r="G475" s="143">
        <v>37.03</v>
      </c>
      <c r="H475" s="144" t="s">
        <v>730</v>
      </c>
      <c r="I475" s="145"/>
      <c r="J475" s="145"/>
      <c r="K475" s="146">
        <v>37.03</v>
      </c>
    </row>
    <row r="476" spans="1:11" s="147" customFormat="1" ht="11.25" customHeight="1" x14ac:dyDescent="0.2">
      <c r="A476" s="795" t="s">
        <v>8973</v>
      </c>
      <c r="B476" s="138">
        <v>43434</v>
      </c>
      <c r="C476" s="139" t="s">
        <v>8974</v>
      </c>
      <c r="D476" s="140" t="s">
        <v>9272</v>
      </c>
      <c r="E476" s="141" t="s">
        <v>8081</v>
      </c>
      <c r="F476" s="142" t="s">
        <v>8118</v>
      </c>
      <c r="G476" s="143">
        <v>39.71</v>
      </c>
      <c r="H476" s="144" t="s">
        <v>730</v>
      </c>
      <c r="I476" s="145"/>
      <c r="J476" s="145"/>
      <c r="K476" s="146">
        <v>39.71</v>
      </c>
    </row>
    <row r="477" spans="1:11" s="147" customFormat="1" ht="11.25" customHeight="1" x14ac:dyDescent="0.2">
      <c r="A477" s="795" t="s">
        <v>8973</v>
      </c>
      <c r="B477" s="138">
        <v>43434</v>
      </c>
      <c r="C477" s="139" t="s">
        <v>8174</v>
      </c>
      <c r="D477" s="140" t="s">
        <v>9277</v>
      </c>
      <c r="E477" s="141" t="s">
        <v>8081</v>
      </c>
      <c r="F477" s="142" t="s">
        <v>8116</v>
      </c>
      <c r="G477" s="143">
        <v>40.229999999999997</v>
      </c>
      <c r="H477" s="144" t="s">
        <v>730</v>
      </c>
      <c r="I477" s="145"/>
      <c r="J477" s="145"/>
      <c r="K477" s="146">
        <v>40.229999999999997</v>
      </c>
    </row>
    <row r="478" spans="1:11" s="147" customFormat="1" ht="11.25" customHeight="1" x14ac:dyDescent="0.2">
      <c r="A478" s="795" t="s">
        <v>9035</v>
      </c>
      <c r="B478" s="138">
        <v>43434</v>
      </c>
      <c r="C478" s="139" t="s">
        <v>9262</v>
      </c>
      <c r="D478" s="140" t="s">
        <v>9263</v>
      </c>
      <c r="E478" s="141" t="s">
        <v>8123</v>
      </c>
      <c r="F478" s="142" t="s">
        <v>8976</v>
      </c>
      <c r="G478" s="143">
        <v>40.61</v>
      </c>
      <c r="H478" s="144" t="s">
        <v>730</v>
      </c>
      <c r="I478" s="145"/>
      <c r="J478" s="145"/>
      <c r="K478" s="146">
        <v>40.61</v>
      </c>
    </row>
    <row r="479" spans="1:11" s="147" customFormat="1" ht="11.25" customHeight="1" x14ac:dyDescent="0.2">
      <c r="A479" s="795" t="s">
        <v>8973</v>
      </c>
      <c r="B479" s="138">
        <v>43434</v>
      </c>
      <c r="C479" s="139" t="s">
        <v>8174</v>
      </c>
      <c r="D479" s="140" t="s">
        <v>9267</v>
      </c>
      <c r="E479" s="141" t="s">
        <v>8081</v>
      </c>
      <c r="F479" s="142" t="s">
        <v>8116</v>
      </c>
      <c r="G479" s="143">
        <v>40.89</v>
      </c>
      <c r="H479" s="144" t="s">
        <v>730</v>
      </c>
      <c r="I479" s="145"/>
      <c r="J479" s="145"/>
      <c r="K479" s="146">
        <v>40.89</v>
      </c>
    </row>
    <row r="480" spans="1:11" s="147" customFormat="1" ht="11.25" customHeight="1" x14ac:dyDescent="0.2">
      <c r="A480" s="795" t="s">
        <v>8973</v>
      </c>
      <c r="B480" s="138">
        <v>43434</v>
      </c>
      <c r="C480" s="139" t="s">
        <v>8174</v>
      </c>
      <c r="D480" s="140" t="s">
        <v>9267</v>
      </c>
      <c r="E480" s="141" t="s">
        <v>8081</v>
      </c>
      <c r="F480" s="142" t="s">
        <v>8116</v>
      </c>
      <c r="G480" s="143">
        <v>40.89</v>
      </c>
      <c r="H480" s="144" t="s">
        <v>730</v>
      </c>
      <c r="I480" s="145"/>
      <c r="J480" s="145"/>
      <c r="K480" s="146">
        <v>40.89</v>
      </c>
    </row>
    <row r="481" spans="1:11" s="147" customFormat="1" ht="11.25" customHeight="1" x14ac:dyDescent="0.2">
      <c r="A481" s="795" t="s">
        <v>8973</v>
      </c>
      <c r="B481" s="138">
        <v>43434</v>
      </c>
      <c r="C481" s="139" t="s">
        <v>8174</v>
      </c>
      <c r="D481" s="140" t="s">
        <v>9267</v>
      </c>
      <c r="E481" s="141" t="s">
        <v>8081</v>
      </c>
      <c r="F481" s="142" t="s">
        <v>8116</v>
      </c>
      <c r="G481" s="143">
        <v>40.89</v>
      </c>
      <c r="H481" s="144" t="s">
        <v>730</v>
      </c>
      <c r="I481" s="145"/>
      <c r="J481" s="145"/>
      <c r="K481" s="146">
        <v>40.89</v>
      </c>
    </row>
    <row r="482" spans="1:11" s="147" customFormat="1" ht="11.25" customHeight="1" x14ac:dyDescent="0.2">
      <c r="A482" s="795" t="s">
        <v>9035</v>
      </c>
      <c r="B482" s="138">
        <v>43434</v>
      </c>
      <c r="C482" s="139" t="s">
        <v>9262</v>
      </c>
      <c r="D482" s="140" t="s">
        <v>9273</v>
      </c>
      <c r="E482" s="141" t="s">
        <v>8123</v>
      </c>
      <c r="F482" s="142" t="s">
        <v>8116</v>
      </c>
      <c r="G482" s="143">
        <v>42.18</v>
      </c>
      <c r="H482" s="144" t="s">
        <v>730</v>
      </c>
      <c r="I482" s="145"/>
      <c r="J482" s="145"/>
      <c r="K482" s="146">
        <v>42.18</v>
      </c>
    </row>
    <row r="483" spans="1:11" s="147" customFormat="1" ht="11.25" customHeight="1" x14ac:dyDescent="0.2">
      <c r="A483" s="795" t="s">
        <v>9035</v>
      </c>
      <c r="B483" s="138">
        <v>43434</v>
      </c>
      <c r="C483" s="139" t="s">
        <v>9262</v>
      </c>
      <c r="D483" s="140" t="s">
        <v>9263</v>
      </c>
      <c r="E483" s="141" t="s">
        <v>8123</v>
      </c>
      <c r="F483" s="142" t="s">
        <v>8976</v>
      </c>
      <c r="G483" s="143">
        <v>42.28</v>
      </c>
      <c r="H483" s="144" t="s">
        <v>730</v>
      </c>
      <c r="I483" s="145"/>
      <c r="J483" s="145"/>
      <c r="K483" s="146">
        <v>42.28</v>
      </c>
    </row>
    <row r="484" spans="1:11" s="147" customFormat="1" ht="11.25" customHeight="1" x14ac:dyDescent="0.2">
      <c r="A484" s="795" t="s">
        <v>8973</v>
      </c>
      <c r="B484" s="138">
        <v>43434</v>
      </c>
      <c r="C484" s="139" t="s">
        <v>8174</v>
      </c>
      <c r="D484" s="140" t="s">
        <v>9278</v>
      </c>
      <c r="E484" s="141" t="s">
        <v>8081</v>
      </c>
      <c r="F484" s="142" t="s">
        <v>8120</v>
      </c>
      <c r="G484" s="143">
        <v>42.69</v>
      </c>
      <c r="H484" s="144" t="s">
        <v>730</v>
      </c>
      <c r="I484" s="145"/>
      <c r="J484" s="145"/>
      <c r="K484" s="146">
        <v>42.69</v>
      </c>
    </row>
    <row r="485" spans="1:11" s="147" customFormat="1" ht="11.25" customHeight="1" x14ac:dyDescent="0.2">
      <c r="A485" s="795" t="s">
        <v>8973</v>
      </c>
      <c r="B485" s="138">
        <v>43434</v>
      </c>
      <c r="C485" s="139" t="s">
        <v>8974</v>
      </c>
      <c r="D485" s="140" t="s">
        <v>9253</v>
      </c>
      <c r="E485" s="141" t="s">
        <v>8081</v>
      </c>
      <c r="F485" s="142" t="s">
        <v>9254</v>
      </c>
      <c r="G485" s="143">
        <v>42.69</v>
      </c>
      <c r="H485" s="144" t="s">
        <v>730</v>
      </c>
      <c r="I485" s="145"/>
      <c r="J485" s="145"/>
      <c r="K485" s="146">
        <v>42.69</v>
      </c>
    </row>
    <row r="486" spans="1:11" s="147" customFormat="1" ht="11.25" customHeight="1" x14ac:dyDescent="0.2">
      <c r="A486" s="795" t="s">
        <v>9035</v>
      </c>
      <c r="B486" s="138">
        <v>43434</v>
      </c>
      <c r="C486" s="139" t="s">
        <v>9256</v>
      </c>
      <c r="D486" s="140" t="s">
        <v>9279</v>
      </c>
      <c r="E486" s="141" t="s">
        <v>8123</v>
      </c>
      <c r="F486" s="142" t="s">
        <v>8976</v>
      </c>
      <c r="G486" s="143">
        <v>44.54</v>
      </c>
      <c r="H486" s="144" t="s">
        <v>730</v>
      </c>
      <c r="I486" s="145"/>
      <c r="J486" s="145"/>
      <c r="K486" s="146">
        <v>44.54</v>
      </c>
    </row>
    <row r="487" spans="1:11" s="147" customFormat="1" ht="11.25" customHeight="1" x14ac:dyDescent="0.2">
      <c r="A487" s="795" t="s">
        <v>8973</v>
      </c>
      <c r="B487" s="138">
        <v>43434</v>
      </c>
      <c r="C487" s="139" t="s">
        <v>8174</v>
      </c>
      <c r="D487" s="140" t="s">
        <v>9270</v>
      </c>
      <c r="E487" s="141" t="s">
        <v>8081</v>
      </c>
      <c r="F487" s="142" t="s">
        <v>9271</v>
      </c>
      <c r="G487" s="143">
        <v>45.1</v>
      </c>
      <c r="H487" s="144" t="s">
        <v>730</v>
      </c>
      <c r="I487" s="145"/>
      <c r="J487" s="145"/>
      <c r="K487" s="146">
        <v>45.1</v>
      </c>
    </row>
    <row r="488" spans="1:11" s="147" customFormat="1" ht="11.25" customHeight="1" x14ac:dyDescent="0.2">
      <c r="A488" s="795" t="s">
        <v>8973</v>
      </c>
      <c r="B488" s="138">
        <v>43434</v>
      </c>
      <c r="C488" s="139" t="s">
        <v>8174</v>
      </c>
      <c r="D488" s="140" t="s">
        <v>9261</v>
      </c>
      <c r="E488" s="141" t="s">
        <v>8081</v>
      </c>
      <c r="F488" s="142" t="s">
        <v>8118</v>
      </c>
      <c r="G488" s="143">
        <v>45.24</v>
      </c>
      <c r="H488" s="144" t="s">
        <v>730</v>
      </c>
      <c r="I488" s="145"/>
      <c r="J488" s="145"/>
      <c r="K488" s="146">
        <v>45.24</v>
      </c>
    </row>
    <row r="489" spans="1:11" s="147" customFormat="1" ht="11.25" customHeight="1" x14ac:dyDescent="0.2">
      <c r="A489" s="795" t="s">
        <v>8973</v>
      </c>
      <c r="B489" s="138">
        <v>43434</v>
      </c>
      <c r="C489" s="139" t="s">
        <v>8974</v>
      </c>
      <c r="D489" s="140" t="s">
        <v>9253</v>
      </c>
      <c r="E489" s="141" t="s">
        <v>8081</v>
      </c>
      <c r="F489" s="142" t="s">
        <v>9254</v>
      </c>
      <c r="G489" s="143">
        <v>48.72</v>
      </c>
      <c r="H489" s="144" t="s">
        <v>730</v>
      </c>
      <c r="I489" s="145"/>
      <c r="J489" s="145"/>
      <c r="K489" s="146">
        <v>48.72</v>
      </c>
    </row>
    <row r="490" spans="1:11" s="147" customFormat="1" ht="11.25" customHeight="1" x14ac:dyDescent="0.2">
      <c r="A490" s="795" t="s">
        <v>8973</v>
      </c>
      <c r="B490" s="138">
        <v>43434</v>
      </c>
      <c r="C490" s="139" t="s">
        <v>8974</v>
      </c>
      <c r="D490" s="140" t="s">
        <v>8975</v>
      </c>
      <c r="E490" s="141" t="s">
        <v>8081</v>
      </c>
      <c r="F490" s="142" t="s">
        <v>8976</v>
      </c>
      <c r="G490" s="143">
        <v>48.72</v>
      </c>
      <c r="H490" s="144" t="s">
        <v>730</v>
      </c>
      <c r="I490" s="145"/>
      <c r="J490" s="145"/>
      <c r="K490" s="146">
        <v>48.72</v>
      </c>
    </row>
    <row r="491" spans="1:11" s="147" customFormat="1" ht="11.25" customHeight="1" x14ac:dyDescent="0.2">
      <c r="A491" s="795" t="s">
        <v>8973</v>
      </c>
      <c r="B491" s="138">
        <v>43434</v>
      </c>
      <c r="C491" s="139" t="s">
        <v>8174</v>
      </c>
      <c r="D491" s="140" t="s">
        <v>9278</v>
      </c>
      <c r="E491" s="141" t="s">
        <v>8081</v>
      </c>
      <c r="F491" s="142" t="s">
        <v>8120</v>
      </c>
      <c r="G491" s="143">
        <v>49</v>
      </c>
      <c r="H491" s="144" t="s">
        <v>730</v>
      </c>
      <c r="I491" s="145"/>
      <c r="J491" s="145"/>
      <c r="K491" s="146">
        <v>49</v>
      </c>
    </row>
    <row r="492" spans="1:11" s="147" customFormat="1" ht="11.25" customHeight="1" x14ac:dyDescent="0.2">
      <c r="A492" s="795" t="s">
        <v>8973</v>
      </c>
      <c r="B492" s="138">
        <v>43434</v>
      </c>
      <c r="C492" s="139" t="s">
        <v>8174</v>
      </c>
      <c r="D492" s="140" t="s">
        <v>9278</v>
      </c>
      <c r="E492" s="141" t="s">
        <v>8081</v>
      </c>
      <c r="F492" s="142" t="s">
        <v>8120</v>
      </c>
      <c r="G492" s="143">
        <v>49</v>
      </c>
      <c r="H492" s="144" t="s">
        <v>730</v>
      </c>
      <c r="I492" s="145"/>
      <c r="J492" s="145"/>
      <c r="K492" s="146">
        <v>49</v>
      </c>
    </row>
    <row r="493" spans="1:11" s="147" customFormat="1" ht="11.25" customHeight="1" x14ac:dyDescent="0.2">
      <c r="A493" s="795" t="s">
        <v>8973</v>
      </c>
      <c r="B493" s="138">
        <v>43434</v>
      </c>
      <c r="C493" s="139" t="s">
        <v>8174</v>
      </c>
      <c r="D493" s="140" t="s">
        <v>9274</v>
      </c>
      <c r="E493" s="141" t="s">
        <v>8081</v>
      </c>
      <c r="F493" s="142" t="s">
        <v>8120</v>
      </c>
      <c r="G493" s="143">
        <v>51.75</v>
      </c>
      <c r="H493" s="144" t="s">
        <v>730</v>
      </c>
      <c r="I493" s="145"/>
      <c r="J493" s="145"/>
      <c r="K493" s="146">
        <v>51.75</v>
      </c>
    </row>
    <row r="494" spans="1:11" s="147" customFormat="1" ht="11.25" customHeight="1" x14ac:dyDescent="0.2">
      <c r="A494" s="795" t="s">
        <v>9035</v>
      </c>
      <c r="B494" s="138">
        <v>43434</v>
      </c>
      <c r="C494" s="139" t="s">
        <v>9259</v>
      </c>
      <c r="D494" s="140" t="s">
        <v>9260</v>
      </c>
      <c r="E494" s="141" t="s">
        <v>8123</v>
      </c>
      <c r="F494" s="142" t="s">
        <v>8976</v>
      </c>
      <c r="G494" s="143">
        <v>53.17</v>
      </c>
      <c r="H494" s="144" t="s">
        <v>730</v>
      </c>
      <c r="I494" s="145"/>
      <c r="J494" s="145"/>
      <c r="K494" s="146">
        <v>53.17</v>
      </c>
    </row>
    <row r="495" spans="1:11" s="147" customFormat="1" ht="11.25" customHeight="1" x14ac:dyDescent="0.2">
      <c r="A495" s="795" t="s">
        <v>8973</v>
      </c>
      <c r="B495" s="138">
        <v>43434</v>
      </c>
      <c r="C495" s="139" t="s">
        <v>8174</v>
      </c>
      <c r="D495" s="140" t="s">
        <v>9280</v>
      </c>
      <c r="E495" s="141" t="s">
        <v>8081</v>
      </c>
      <c r="F495" s="142" t="s">
        <v>8976</v>
      </c>
      <c r="G495" s="143">
        <v>54.84</v>
      </c>
      <c r="H495" s="144" t="s">
        <v>730</v>
      </c>
      <c r="I495" s="145"/>
      <c r="J495" s="145"/>
      <c r="K495" s="146">
        <v>54.84</v>
      </c>
    </row>
    <row r="496" spans="1:11" s="147" customFormat="1" ht="11.25" customHeight="1" x14ac:dyDescent="0.2">
      <c r="A496" s="795" t="s">
        <v>8973</v>
      </c>
      <c r="B496" s="138">
        <v>43434</v>
      </c>
      <c r="C496" s="139" t="s">
        <v>8174</v>
      </c>
      <c r="D496" s="140" t="s">
        <v>9280</v>
      </c>
      <c r="E496" s="141" t="s">
        <v>8081</v>
      </c>
      <c r="F496" s="142" t="s">
        <v>8976</v>
      </c>
      <c r="G496" s="143">
        <v>54.84</v>
      </c>
      <c r="H496" s="144" t="s">
        <v>730</v>
      </c>
      <c r="I496" s="145"/>
      <c r="J496" s="145"/>
      <c r="K496" s="146">
        <v>54.84</v>
      </c>
    </row>
    <row r="497" spans="1:11" s="147" customFormat="1" ht="11.25" customHeight="1" x14ac:dyDescent="0.2">
      <c r="A497" s="795" t="s">
        <v>8973</v>
      </c>
      <c r="B497" s="138">
        <v>43434</v>
      </c>
      <c r="C497" s="139" t="s">
        <v>8174</v>
      </c>
      <c r="D497" s="140" t="s">
        <v>9280</v>
      </c>
      <c r="E497" s="141" t="s">
        <v>8081</v>
      </c>
      <c r="F497" s="142" t="s">
        <v>8976</v>
      </c>
      <c r="G497" s="143">
        <v>54.84</v>
      </c>
      <c r="H497" s="144" t="s">
        <v>730</v>
      </c>
      <c r="I497" s="145"/>
      <c r="J497" s="145"/>
      <c r="K497" s="146">
        <v>54.84</v>
      </c>
    </row>
    <row r="498" spans="1:11" s="147" customFormat="1" ht="11.25" customHeight="1" x14ac:dyDescent="0.2">
      <c r="A498" s="795" t="s">
        <v>9264</v>
      </c>
      <c r="B498" s="138">
        <v>43434</v>
      </c>
      <c r="C498" s="139" t="s">
        <v>9265</v>
      </c>
      <c r="D498" s="140" t="s">
        <v>9266</v>
      </c>
      <c r="E498" s="141" t="s">
        <v>8117</v>
      </c>
      <c r="F498" s="142" t="s">
        <v>8976</v>
      </c>
      <c r="G498" s="143">
        <v>56.14</v>
      </c>
      <c r="H498" s="144" t="s">
        <v>730</v>
      </c>
      <c r="I498" s="145"/>
      <c r="J498" s="145"/>
      <c r="K498" s="146">
        <v>56.14</v>
      </c>
    </row>
    <row r="499" spans="1:11" s="147" customFormat="1" ht="11.25" customHeight="1" x14ac:dyDescent="0.2">
      <c r="A499" s="795" t="s">
        <v>8973</v>
      </c>
      <c r="B499" s="138">
        <v>43434</v>
      </c>
      <c r="C499" s="139" t="s">
        <v>8174</v>
      </c>
      <c r="D499" s="140" t="s">
        <v>9281</v>
      </c>
      <c r="E499" s="141" t="s">
        <v>8081</v>
      </c>
      <c r="F499" s="142" t="s">
        <v>8120</v>
      </c>
      <c r="G499" s="143">
        <v>59.37</v>
      </c>
      <c r="H499" s="144" t="s">
        <v>730</v>
      </c>
      <c r="I499" s="145"/>
      <c r="J499" s="145"/>
      <c r="K499" s="146">
        <v>59.37</v>
      </c>
    </row>
    <row r="500" spans="1:11" s="147" customFormat="1" ht="11.25" customHeight="1" x14ac:dyDescent="0.2">
      <c r="A500" s="795" t="s">
        <v>9035</v>
      </c>
      <c r="B500" s="138">
        <v>43434</v>
      </c>
      <c r="C500" s="139" t="s">
        <v>9259</v>
      </c>
      <c r="D500" s="140" t="s">
        <v>9260</v>
      </c>
      <c r="E500" s="141" t="s">
        <v>8123</v>
      </c>
      <c r="F500" s="142" t="s">
        <v>8976</v>
      </c>
      <c r="G500" s="143">
        <v>60.13</v>
      </c>
      <c r="H500" s="144" t="s">
        <v>730</v>
      </c>
      <c r="I500" s="145"/>
      <c r="J500" s="145"/>
      <c r="K500" s="146">
        <v>60.13</v>
      </c>
    </row>
    <row r="501" spans="1:11" s="147" customFormat="1" ht="11.25" customHeight="1" x14ac:dyDescent="0.2">
      <c r="A501" s="795" t="s">
        <v>9035</v>
      </c>
      <c r="B501" s="138">
        <v>43434</v>
      </c>
      <c r="C501" s="139" t="s">
        <v>9259</v>
      </c>
      <c r="D501" s="140" t="s">
        <v>9260</v>
      </c>
      <c r="E501" s="141" t="s">
        <v>8123</v>
      </c>
      <c r="F501" s="142" t="s">
        <v>8976</v>
      </c>
      <c r="G501" s="143">
        <v>60.13</v>
      </c>
      <c r="H501" s="144" t="s">
        <v>730</v>
      </c>
      <c r="I501" s="145"/>
      <c r="J501" s="145"/>
      <c r="K501" s="146">
        <v>60.13</v>
      </c>
    </row>
    <row r="502" spans="1:11" s="147" customFormat="1" ht="11.25" customHeight="1" x14ac:dyDescent="0.2">
      <c r="A502" s="795" t="s">
        <v>8973</v>
      </c>
      <c r="B502" s="138">
        <v>43434</v>
      </c>
      <c r="C502" s="139" t="s">
        <v>8174</v>
      </c>
      <c r="D502" s="140" t="s">
        <v>9277</v>
      </c>
      <c r="E502" s="141" t="s">
        <v>8081</v>
      </c>
      <c r="F502" s="142" t="s">
        <v>8116</v>
      </c>
      <c r="G502" s="143">
        <v>61.25</v>
      </c>
      <c r="H502" s="144" t="s">
        <v>730</v>
      </c>
      <c r="I502" s="145"/>
      <c r="J502" s="145"/>
      <c r="K502" s="146">
        <v>61.25</v>
      </c>
    </row>
    <row r="503" spans="1:11" s="147" customFormat="1" ht="11.25" customHeight="1" x14ac:dyDescent="0.2">
      <c r="A503" s="795" t="s">
        <v>8973</v>
      </c>
      <c r="B503" s="138">
        <v>43434</v>
      </c>
      <c r="C503" s="139" t="s">
        <v>8174</v>
      </c>
      <c r="D503" s="140" t="s">
        <v>9277</v>
      </c>
      <c r="E503" s="141" t="s">
        <v>8081</v>
      </c>
      <c r="F503" s="142" t="s">
        <v>8116</v>
      </c>
      <c r="G503" s="143">
        <v>61.25</v>
      </c>
      <c r="H503" s="144" t="s">
        <v>730</v>
      </c>
      <c r="I503" s="145"/>
      <c r="J503" s="145"/>
      <c r="K503" s="146">
        <v>61.25</v>
      </c>
    </row>
    <row r="504" spans="1:11" s="147" customFormat="1" ht="11.25" customHeight="1" x14ac:dyDescent="0.2">
      <c r="A504" s="795" t="s">
        <v>8973</v>
      </c>
      <c r="B504" s="138">
        <v>43434</v>
      </c>
      <c r="C504" s="139" t="s">
        <v>8174</v>
      </c>
      <c r="D504" s="140" t="s">
        <v>9277</v>
      </c>
      <c r="E504" s="141" t="s">
        <v>8081</v>
      </c>
      <c r="F504" s="142" t="s">
        <v>8116</v>
      </c>
      <c r="G504" s="143">
        <v>61.25</v>
      </c>
      <c r="H504" s="144" t="s">
        <v>730</v>
      </c>
      <c r="I504" s="145"/>
      <c r="J504" s="145"/>
      <c r="K504" s="146">
        <v>61.25</v>
      </c>
    </row>
    <row r="505" spans="1:11" s="147" customFormat="1" ht="11.25" customHeight="1" x14ac:dyDescent="0.2">
      <c r="A505" s="795" t="s">
        <v>9035</v>
      </c>
      <c r="B505" s="138">
        <v>43434</v>
      </c>
      <c r="C505" s="139" t="s">
        <v>9259</v>
      </c>
      <c r="D505" s="140" t="s">
        <v>9260</v>
      </c>
      <c r="E505" s="141" t="s">
        <v>8123</v>
      </c>
      <c r="F505" s="142" t="s">
        <v>8976</v>
      </c>
      <c r="G505" s="143">
        <v>62.04</v>
      </c>
      <c r="H505" s="144" t="s">
        <v>730</v>
      </c>
      <c r="I505" s="145"/>
      <c r="J505" s="145"/>
      <c r="K505" s="146">
        <v>62.04</v>
      </c>
    </row>
    <row r="506" spans="1:11" s="147" customFormat="1" ht="11.25" customHeight="1" x14ac:dyDescent="0.2">
      <c r="A506" s="795" t="s">
        <v>9264</v>
      </c>
      <c r="B506" s="138">
        <v>43434</v>
      </c>
      <c r="C506" s="139" t="s">
        <v>9265</v>
      </c>
      <c r="D506" s="140" t="s">
        <v>9276</v>
      </c>
      <c r="E506" s="141" t="s">
        <v>8117</v>
      </c>
      <c r="F506" s="142" t="s">
        <v>8120</v>
      </c>
      <c r="G506" s="143">
        <v>62.06</v>
      </c>
      <c r="H506" s="144" t="s">
        <v>730</v>
      </c>
      <c r="I506" s="145"/>
      <c r="J506" s="145"/>
      <c r="K506" s="146">
        <v>62.06</v>
      </c>
    </row>
    <row r="507" spans="1:11" s="147" customFormat="1" ht="11.25" customHeight="1" x14ac:dyDescent="0.2">
      <c r="A507" s="795" t="s">
        <v>8973</v>
      </c>
      <c r="B507" s="138">
        <v>43434</v>
      </c>
      <c r="C507" s="139" t="s">
        <v>8974</v>
      </c>
      <c r="D507" s="140" t="s">
        <v>9253</v>
      </c>
      <c r="E507" s="141" t="s">
        <v>8081</v>
      </c>
      <c r="F507" s="142" t="s">
        <v>9254</v>
      </c>
      <c r="G507" s="143">
        <v>62.71</v>
      </c>
      <c r="H507" s="144" t="s">
        <v>730</v>
      </c>
      <c r="I507" s="145"/>
      <c r="J507" s="145"/>
      <c r="K507" s="146">
        <v>62.71</v>
      </c>
    </row>
    <row r="508" spans="1:11" s="147" customFormat="1" ht="11.25" customHeight="1" x14ac:dyDescent="0.2">
      <c r="A508" s="795" t="s">
        <v>8973</v>
      </c>
      <c r="B508" s="138">
        <v>43434</v>
      </c>
      <c r="C508" s="139" t="s">
        <v>8174</v>
      </c>
      <c r="D508" s="140" t="s">
        <v>9274</v>
      </c>
      <c r="E508" s="141" t="s">
        <v>8081</v>
      </c>
      <c r="F508" s="142" t="s">
        <v>8120</v>
      </c>
      <c r="G508" s="143">
        <v>63.94</v>
      </c>
      <c r="H508" s="144" t="s">
        <v>730</v>
      </c>
      <c r="I508" s="145"/>
      <c r="J508" s="145"/>
      <c r="K508" s="146">
        <v>63.94</v>
      </c>
    </row>
    <row r="509" spans="1:11" s="147" customFormat="1" ht="11.25" customHeight="1" x14ac:dyDescent="0.2">
      <c r="A509" s="795" t="s">
        <v>8973</v>
      </c>
      <c r="B509" s="138">
        <v>43434</v>
      </c>
      <c r="C509" s="139" t="s">
        <v>8174</v>
      </c>
      <c r="D509" s="140" t="s">
        <v>9280</v>
      </c>
      <c r="E509" s="141" t="s">
        <v>8081</v>
      </c>
      <c r="F509" s="142" t="s">
        <v>8976</v>
      </c>
      <c r="G509" s="143">
        <v>64.73</v>
      </c>
      <c r="H509" s="144" t="s">
        <v>730</v>
      </c>
      <c r="I509" s="145"/>
      <c r="J509" s="145"/>
      <c r="K509" s="146">
        <v>64.73</v>
      </c>
    </row>
    <row r="510" spans="1:11" s="147" customFormat="1" ht="11.25" customHeight="1" x14ac:dyDescent="0.2">
      <c r="A510" s="795" t="s">
        <v>8973</v>
      </c>
      <c r="B510" s="138">
        <v>43434</v>
      </c>
      <c r="C510" s="139" t="s">
        <v>8174</v>
      </c>
      <c r="D510" s="140" t="s">
        <v>9280</v>
      </c>
      <c r="E510" s="141" t="s">
        <v>8081</v>
      </c>
      <c r="F510" s="142" t="s">
        <v>8976</v>
      </c>
      <c r="G510" s="143">
        <v>65.89</v>
      </c>
      <c r="H510" s="144" t="s">
        <v>730</v>
      </c>
      <c r="I510" s="145"/>
      <c r="J510" s="145"/>
      <c r="K510" s="146">
        <v>65.89</v>
      </c>
    </row>
    <row r="511" spans="1:11" s="147" customFormat="1" ht="11.25" customHeight="1" x14ac:dyDescent="0.2">
      <c r="A511" s="795" t="s">
        <v>9035</v>
      </c>
      <c r="B511" s="138">
        <v>43434</v>
      </c>
      <c r="C511" s="139" t="s">
        <v>9259</v>
      </c>
      <c r="D511" s="140" t="s">
        <v>9260</v>
      </c>
      <c r="E511" s="141" t="s">
        <v>8123</v>
      </c>
      <c r="F511" s="142" t="s">
        <v>8976</v>
      </c>
      <c r="G511" s="143">
        <v>66.819999999999993</v>
      </c>
      <c r="H511" s="144" t="s">
        <v>730</v>
      </c>
      <c r="I511" s="145"/>
      <c r="J511" s="145"/>
      <c r="K511" s="146">
        <v>66.819999999999993</v>
      </c>
    </row>
    <row r="512" spans="1:11" s="147" customFormat="1" ht="11.25" customHeight="1" x14ac:dyDescent="0.2">
      <c r="A512" s="795" t="s">
        <v>8973</v>
      </c>
      <c r="B512" s="138">
        <v>43434</v>
      </c>
      <c r="C512" s="139" t="s">
        <v>8174</v>
      </c>
      <c r="D512" s="140" t="s">
        <v>9280</v>
      </c>
      <c r="E512" s="141" t="s">
        <v>8081</v>
      </c>
      <c r="F512" s="142" t="s">
        <v>8976</v>
      </c>
      <c r="G512" s="143">
        <v>69.069999999999993</v>
      </c>
      <c r="H512" s="144" t="s">
        <v>730</v>
      </c>
      <c r="I512" s="145"/>
      <c r="J512" s="145"/>
      <c r="K512" s="146">
        <v>69.069999999999993</v>
      </c>
    </row>
    <row r="513" spans="1:11" s="147" customFormat="1" ht="11.25" customHeight="1" x14ac:dyDescent="0.2">
      <c r="A513" s="795" t="s">
        <v>9035</v>
      </c>
      <c r="B513" s="138">
        <v>43434</v>
      </c>
      <c r="C513" s="139" t="s">
        <v>9259</v>
      </c>
      <c r="D513" s="140" t="s">
        <v>9260</v>
      </c>
      <c r="E513" s="141" t="s">
        <v>8123</v>
      </c>
      <c r="F513" s="142" t="s">
        <v>8976</v>
      </c>
      <c r="G513" s="143">
        <v>70.900000000000006</v>
      </c>
      <c r="H513" s="144" t="s">
        <v>730</v>
      </c>
      <c r="I513" s="145"/>
      <c r="J513" s="145"/>
      <c r="K513" s="146">
        <v>70.900000000000006</v>
      </c>
    </row>
    <row r="514" spans="1:11" s="147" customFormat="1" ht="11.25" customHeight="1" x14ac:dyDescent="0.2">
      <c r="A514" s="795" t="s">
        <v>9035</v>
      </c>
      <c r="B514" s="138">
        <v>43434</v>
      </c>
      <c r="C514" s="139" t="s">
        <v>9259</v>
      </c>
      <c r="D514" s="140" t="s">
        <v>9260</v>
      </c>
      <c r="E514" s="141" t="s">
        <v>8123</v>
      </c>
      <c r="F514" s="142" t="s">
        <v>8976</v>
      </c>
      <c r="G514" s="143">
        <v>70.900000000000006</v>
      </c>
      <c r="H514" s="144" t="s">
        <v>730</v>
      </c>
      <c r="I514" s="145"/>
      <c r="J514" s="145"/>
      <c r="K514" s="146">
        <v>70.900000000000006</v>
      </c>
    </row>
    <row r="515" spans="1:11" s="147" customFormat="1" ht="11.25" customHeight="1" x14ac:dyDescent="0.2">
      <c r="A515" s="795" t="s">
        <v>8973</v>
      </c>
      <c r="B515" s="138">
        <v>43434</v>
      </c>
      <c r="C515" s="139" t="s">
        <v>8174</v>
      </c>
      <c r="D515" s="140" t="s">
        <v>9267</v>
      </c>
      <c r="E515" s="141" t="s">
        <v>8081</v>
      </c>
      <c r="F515" s="142" t="s">
        <v>8116</v>
      </c>
      <c r="G515" s="143">
        <v>71.73</v>
      </c>
      <c r="H515" s="144" t="s">
        <v>730</v>
      </c>
      <c r="I515" s="145"/>
      <c r="J515" s="145"/>
      <c r="K515" s="146">
        <v>71.73</v>
      </c>
    </row>
    <row r="516" spans="1:11" s="147" customFormat="1" ht="11.25" customHeight="1" x14ac:dyDescent="0.2">
      <c r="A516" s="795" t="s">
        <v>8973</v>
      </c>
      <c r="B516" s="138">
        <v>43434</v>
      </c>
      <c r="C516" s="139" t="s">
        <v>8174</v>
      </c>
      <c r="D516" s="140" t="s">
        <v>9282</v>
      </c>
      <c r="E516" s="141" t="s">
        <v>8081</v>
      </c>
      <c r="F516" s="142" t="s">
        <v>9254</v>
      </c>
      <c r="G516" s="143">
        <v>72.66</v>
      </c>
      <c r="H516" s="144" t="s">
        <v>730</v>
      </c>
      <c r="I516" s="145"/>
      <c r="J516" s="145"/>
      <c r="K516" s="146">
        <v>72.66</v>
      </c>
    </row>
    <row r="517" spans="1:11" s="147" customFormat="1" ht="11.25" customHeight="1" x14ac:dyDescent="0.2">
      <c r="A517" s="795" t="s">
        <v>8973</v>
      </c>
      <c r="B517" s="138">
        <v>43434</v>
      </c>
      <c r="C517" s="139" t="s">
        <v>8174</v>
      </c>
      <c r="D517" s="140" t="s">
        <v>9282</v>
      </c>
      <c r="E517" s="141" t="s">
        <v>8081</v>
      </c>
      <c r="F517" s="142" t="s">
        <v>9254</v>
      </c>
      <c r="G517" s="143">
        <v>72.87</v>
      </c>
      <c r="H517" s="144" t="s">
        <v>730</v>
      </c>
      <c r="I517" s="145"/>
      <c r="J517" s="145"/>
      <c r="K517" s="146">
        <v>72.87</v>
      </c>
    </row>
    <row r="518" spans="1:11" s="147" customFormat="1" ht="11.25" customHeight="1" x14ac:dyDescent="0.2">
      <c r="A518" s="795" t="s">
        <v>9264</v>
      </c>
      <c r="B518" s="138">
        <v>43434</v>
      </c>
      <c r="C518" s="139" t="s">
        <v>9265</v>
      </c>
      <c r="D518" s="140" t="s">
        <v>9266</v>
      </c>
      <c r="E518" s="141" t="s">
        <v>8117</v>
      </c>
      <c r="F518" s="142" t="s">
        <v>8976</v>
      </c>
      <c r="G518" s="143">
        <v>73.22</v>
      </c>
      <c r="H518" s="144" t="s">
        <v>730</v>
      </c>
      <c r="I518" s="145"/>
      <c r="J518" s="145"/>
      <c r="K518" s="146">
        <v>73.22</v>
      </c>
    </row>
    <row r="519" spans="1:11" s="147" customFormat="1" ht="11.25" customHeight="1" x14ac:dyDescent="0.2">
      <c r="A519" s="795" t="s">
        <v>8973</v>
      </c>
      <c r="B519" s="138">
        <v>43434</v>
      </c>
      <c r="C519" s="139" t="s">
        <v>8974</v>
      </c>
      <c r="D519" s="140" t="s">
        <v>9253</v>
      </c>
      <c r="E519" s="141" t="s">
        <v>8081</v>
      </c>
      <c r="F519" s="142" t="s">
        <v>9254</v>
      </c>
      <c r="G519" s="143">
        <v>73.5</v>
      </c>
      <c r="H519" s="144" t="s">
        <v>730</v>
      </c>
      <c r="I519" s="145"/>
      <c r="J519" s="145"/>
      <c r="K519" s="146">
        <v>73.5</v>
      </c>
    </row>
    <row r="520" spans="1:11" s="147" customFormat="1" ht="11.25" customHeight="1" x14ac:dyDescent="0.2">
      <c r="A520" s="795" t="s">
        <v>9264</v>
      </c>
      <c r="B520" s="138">
        <v>43434</v>
      </c>
      <c r="C520" s="139" t="s">
        <v>9265</v>
      </c>
      <c r="D520" s="140" t="s">
        <v>9276</v>
      </c>
      <c r="E520" s="141" t="s">
        <v>8117</v>
      </c>
      <c r="F520" s="142" t="s">
        <v>8120</v>
      </c>
      <c r="G520" s="143">
        <v>73.66</v>
      </c>
      <c r="H520" s="144" t="s">
        <v>730</v>
      </c>
      <c r="I520" s="145"/>
      <c r="J520" s="145"/>
      <c r="K520" s="146">
        <v>73.66</v>
      </c>
    </row>
    <row r="521" spans="1:11" s="147" customFormat="1" ht="11.25" customHeight="1" x14ac:dyDescent="0.2">
      <c r="A521" s="795" t="s">
        <v>9035</v>
      </c>
      <c r="B521" s="138">
        <v>43434</v>
      </c>
      <c r="C521" s="139" t="s">
        <v>9262</v>
      </c>
      <c r="D521" s="140" t="s">
        <v>9275</v>
      </c>
      <c r="E521" s="141" t="s">
        <v>8123</v>
      </c>
      <c r="F521" s="142" t="s">
        <v>8116</v>
      </c>
      <c r="G521" s="143">
        <v>75.05</v>
      </c>
      <c r="H521" s="144" t="s">
        <v>730</v>
      </c>
      <c r="I521" s="145"/>
      <c r="J521" s="145"/>
      <c r="K521" s="146">
        <v>75.05</v>
      </c>
    </row>
    <row r="522" spans="1:11" s="147" customFormat="1" ht="11.25" customHeight="1" x14ac:dyDescent="0.2">
      <c r="A522" s="795" t="s">
        <v>8973</v>
      </c>
      <c r="B522" s="138">
        <v>43434</v>
      </c>
      <c r="C522" s="139" t="s">
        <v>8174</v>
      </c>
      <c r="D522" s="140" t="s">
        <v>9277</v>
      </c>
      <c r="E522" s="141" t="s">
        <v>8081</v>
      </c>
      <c r="F522" s="142" t="s">
        <v>8116</v>
      </c>
      <c r="G522" s="143">
        <v>75.17</v>
      </c>
      <c r="H522" s="144" t="s">
        <v>730</v>
      </c>
      <c r="I522" s="145"/>
      <c r="J522" s="145"/>
      <c r="K522" s="146">
        <v>75.17</v>
      </c>
    </row>
    <row r="523" spans="1:11" s="147" customFormat="1" ht="11.25" customHeight="1" x14ac:dyDescent="0.2">
      <c r="A523" s="795" t="s">
        <v>8973</v>
      </c>
      <c r="B523" s="138">
        <v>43434</v>
      </c>
      <c r="C523" s="139" t="s">
        <v>8174</v>
      </c>
      <c r="D523" s="140" t="s">
        <v>9278</v>
      </c>
      <c r="E523" s="141" t="s">
        <v>8081</v>
      </c>
      <c r="F523" s="142" t="s">
        <v>8120</v>
      </c>
      <c r="G523" s="143">
        <v>75.17</v>
      </c>
      <c r="H523" s="144" t="s">
        <v>730</v>
      </c>
      <c r="I523" s="145"/>
      <c r="J523" s="145"/>
      <c r="K523" s="146">
        <v>75.17</v>
      </c>
    </row>
    <row r="524" spans="1:11" s="147" customFormat="1" ht="11.25" customHeight="1" x14ac:dyDescent="0.2">
      <c r="A524" s="795" t="s">
        <v>8973</v>
      </c>
      <c r="B524" s="138">
        <v>43434</v>
      </c>
      <c r="C524" s="139" t="s">
        <v>8174</v>
      </c>
      <c r="D524" s="140" t="s">
        <v>9282</v>
      </c>
      <c r="E524" s="141" t="s">
        <v>8081</v>
      </c>
      <c r="F524" s="142" t="s">
        <v>9254</v>
      </c>
      <c r="G524" s="143">
        <v>75.17</v>
      </c>
      <c r="H524" s="144" t="s">
        <v>730</v>
      </c>
      <c r="I524" s="145"/>
      <c r="J524" s="145"/>
      <c r="K524" s="146">
        <v>75.17</v>
      </c>
    </row>
    <row r="525" spans="1:11" s="147" customFormat="1" ht="11.25" customHeight="1" x14ac:dyDescent="0.2">
      <c r="A525" s="795" t="s">
        <v>9035</v>
      </c>
      <c r="B525" s="138">
        <v>43434</v>
      </c>
      <c r="C525" s="139" t="s">
        <v>9259</v>
      </c>
      <c r="D525" s="140" t="s">
        <v>9283</v>
      </c>
      <c r="E525" s="141" t="s">
        <v>8123</v>
      </c>
      <c r="F525" s="142" t="s">
        <v>8116</v>
      </c>
      <c r="G525" s="143">
        <v>77.459999999999994</v>
      </c>
      <c r="H525" s="144" t="s">
        <v>730</v>
      </c>
      <c r="I525" s="145"/>
      <c r="J525" s="145"/>
      <c r="K525" s="146">
        <v>77.459999999999994</v>
      </c>
    </row>
    <row r="526" spans="1:11" s="147" customFormat="1" ht="11.25" customHeight="1" x14ac:dyDescent="0.2">
      <c r="A526" s="795" t="s">
        <v>9035</v>
      </c>
      <c r="B526" s="138">
        <v>43434</v>
      </c>
      <c r="C526" s="139" t="s">
        <v>9256</v>
      </c>
      <c r="D526" s="140" t="s">
        <v>9257</v>
      </c>
      <c r="E526" s="141" t="s">
        <v>8123</v>
      </c>
      <c r="F526" s="142" t="s">
        <v>9258</v>
      </c>
      <c r="G526" s="143">
        <v>78.13</v>
      </c>
      <c r="H526" s="144" t="s">
        <v>730</v>
      </c>
      <c r="I526" s="145"/>
      <c r="J526" s="145"/>
      <c r="K526" s="146">
        <v>78.13</v>
      </c>
    </row>
    <row r="527" spans="1:11" s="147" customFormat="1" ht="11.25" customHeight="1" x14ac:dyDescent="0.2">
      <c r="A527" s="795" t="s">
        <v>8973</v>
      </c>
      <c r="B527" s="138">
        <v>43434</v>
      </c>
      <c r="C527" s="139" t="s">
        <v>8174</v>
      </c>
      <c r="D527" s="140" t="s">
        <v>9282</v>
      </c>
      <c r="E527" s="141" t="s">
        <v>8081</v>
      </c>
      <c r="F527" s="142" t="s">
        <v>9254</v>
      </c>
      <c r="G527" s="143">
        <v>79.25</v>
      </c>
      <c r="H527" s="144" t="s">
        <v>730</v>
      </c>
      <c r="I527" s="145"/>
      <c r="J527" s="145"/>
      <c r="K527" s="146">
        <v>79.25</v>
      </c>
    </row>
    <row r="528" spans="1:11" s="147" customFormat="1" ht="11.25" customHeight="1" x14ac:dyDescent="0.2">
      <c r="A528" s="795" t="s">
        <v>8973</v>
      </c>
      <c r="B528" s="138">
        <v>43434</v>
      </c>
      <c r="C528" s="139" t="s">
        <v>8174</v>
      </c>
      <c r="D528" s="140" t="s">
        <v>9274</v>
      </c>
      <c r="E528" s="141" t="s">
        <v>8081</v>
      </c>
      <c r="F528" s="142" t="s">
        <v>8120</v>
      </c>
      <c r="G528" s="143">
        <v>79.52</v>
      </c>
      <c r="H528" s="144" t="s">
        <v>730</v>
      </c>
      <c r="I528" s="145"/>
      <c r="J528" s="145"/>
      <c r="K528" s="146">
        <v>79.52</v>
      </c>
    </row>
    <row r="529" spans="1:11" s="147" customFormat="1" ht="11.25" customHeight="1" x14ac:dyDescent="0.2">
      <c r="A529" s="795" t="s">
        <v>9264</v>
      </c>
      <c r="B529" s="138">
        <v>43434</v>
      </c>
      <c r="C529" s="139" t="s">
        <v>9265</v>
      </c>
      <c r="D529" s="140" t="s">
        <v>9276</v>
      </c>
      <c r="E529" s="141" t="s">
        <v>8117</v>
      </c>
      <c r="F529" s="142" t="s">
        <v>8120</v>
      </c>
      <c r="G529" s="143">
        <v>80.599999999999994</v>
      </c>
      <c r="H529" s="144" t="s">
        <v>730</v>
      </c>
      <c r="I529" s="145"/>
      <c r="J529" s="145"/>
      <c r="K529" s="146">
        <v>80.599999999999994</v>
      </c>
    </row>
    <row r="530" spans="1:11" s="147" customFormat="1" ht="11.25" customHeight="1" x14ac:dyDescent="0.2">
      <c r="A530" s="795" t="s">
        <v>8973</v>
      </c>
      <c r="B530" s="138">
        <v>43434</v>
      </c>
      <c r="C530" s="139" t="s">
        <v>8174</v>
      </c>
      <c r="D530" s="140" t="s">
        <v>9270</v>
      </c>
      <c r="E530" s="141" t="s">
        <v>8081</v>
      </c>
      <c r="F530" s="142" t="s">
        <v>9271</v>
      </c>
      <c r="G530" s="143">
        <v>81.150000000000006</v>
      </c>
      <c r="H530" s="144" t="s">
        <v>730</v>
      </c>
      <c r="I530" s="145"/>
      <c r="J530" s="145"/>
      <c r="K530" s="146">
        <v>81.150000000000006</v>
      </c>
    </row>
    <row r="531" spans="1:11" s="147" customFormat="1" ht="11.25" customHeight="1" x14ac:dyDescent="0.2">
      <c r="A531" s="795" t="s">
        <v>8973</v>
      </c>
      <c r="B531" s="138">
        <v>43434</v>
      </c>
      <c r="C531" s="139" t="s">
        <v>8174</v>
      </c>
      <c r="D531" s="140" t="s">
        <v>9267</v>
      </c>
      <c r="E531" s="141" t="s">
        <v>8081</v>
      </c>
      <c r="F531" s="142" t="s">
        <v>8116</v>
      </c>
      <c r="G531" s="143">
        <v>81.78</v>
      </c>
      <c r="H531" s="144" t="s">
        <v>730</v>
      </c>
      <c r="I531" s="145"/>
      <c r="J531" s="145"/>
      <c r="K531" s="146">
        <v>81.78</v>
      </c>
    </row>
    <row r="532" spans="1:11" s="147" customFormat="1" ht="11.25" customHeight="1" x14ac:dyDescent="0.2">
      <c r="A532" s="795" t="s">
        <v>9035</v>
      </c>
      <c r="B532" s="138">
        <v>43434</v>
      </c>
      <c r="C532" s="139" t="s">
        <v>9262</v>
      </c>
      <c r="D532" s="140" t="s">
        <v>9263</v>
      </c>
      <c r="E532" s="141" t="s">
        <v>8123</v>
      </c>
      <c r="F532" s="142" t="s">
        <v>8976</v>
      </c>
      <c r="G532" s="143">
        <v>81.92</v>
      </c>
      <c r="H532" s="144" t="s">
        <v>730</v>
      </c>
      <c r="I532" s="145"/>
      <c r="J532" s="145"/>
      <c r="K532" s="146">
        <v>81.92</v>
      </c>
    </row>
    <row r="533" spans="1:11" s="147" customFormat="1" ht="11.25" customHeight="1" x14ac:dyDescent="0.2">
      <c r="A533" s="795" t="s">
        <v>9035</v>
      </c>
      <c r="B533" s="138">
        <v>43434</v>
      </c>
      <c r="C533" s="139" t="s">
        <v>9259</v>
      </c>
      <c r="D533" s="140" t="s">
        <v>9283</v>
      </c>
      <c r="E533" s="141" t="s">
        <v>8123</v>
      </c>
      <c r="F533" s="142" t="s">
        <v>8116</v>
      </c>
      <c r="G533" s="143">
        <v>82.17</v>
      </c>
      <c r="H533" s="144" t="s">
        <v>730</v>
      </c>
      <c r="I533" s="145"/>
      <c r="J533" s="145"/>
      <c r="K533" s="146">
        <v>82.17</v>
      </c>
    </row>
    <row r="534" spans="1:11" s="147" customFormat="1" ht="11.25" customHeight="1" x14ac:dyDescent="0.2">
      <c r="A534" s="795" t="s">
        <v>8973</v>
      </c>
      <c r="B534" s="138">
        <v>43434</v>
      </c>
      <c r="C534" s="139" t="s">
        <v>8174</v>
      </c>
      <c r="D534" s="140" t="s">
        <v>9267</v>
      </c>
      <c r="E534" s="141" t="s">
        <v>8081</v>
      </c>
      <c r="F534" s="142" t="s">
        <v>8116</v>
      </c>
      <c r="G534" s="143">
        <v>82.36</v>
      </c>
      <c r="H534" s="144" t="s">
        <v>730</v>
      </c>
      <c r="I534" s="145"/>
      <c r="J534" s="145"/>
      <c r="K534" s="146">
        <v>82.36</v>
      </c>
    </row>
    <row r="535" spans="1:11" s="147" customFormat="1" ht="11.25" customHeight="1" x14ac:dyDescent="0.2">
      <c r="A535" s="795" t="s">
        <v>9264</v>
      </c>
      <c r="B535" s="138">
        <v>43434</v>
      </c>
      <c r="C535" s="139" t="s">
        <v>9265</v>
      </c>
      <c r="D535" s="140" t="s">
        <v>9266</v>
      </c>
      <c r="E535" s="141" t="s">
        <v>8117</v>
      </c>
      <c r="F535" s="142" t="s">
        <v>8976</v>
      </c>
      <c r="G535" s="143">
        <v>86.86</v>
      </c>
      <c r="H535" s="144" t="s">
        <v>730</v>
      </c>
      <c r="I535" s="145"/>
      <c r="J535" s="145"/>
      <c r="K535" s="146">
        <v>86.86</v>
      </c>
    </row>
    <row r="536" spans="1:11" s="147" customFormat="1" ht="11.25" customHeight="1" x14ac:dyDescent="0.2">
      <c r="A536" s="795" t="s">
        <v>9264</v>
      </c>
      <c r="B536" s="138">
        <v>43434</v>
      </c>
      <c r="C536" s="139" t="s">
        <v>9265</v>
      </c>
      <c r="D536" s="140" t="s">
        <v>9266</v>
      </c>
      <c r="E536" s="141" t="s">
        <v>8117</v>
      </c>
      <c r="F536" s="142" t="s">
        <v>8976</v>
      </c>
      <c r="G536" s="143">
        <v>90.18</v>
      </c>
      <c r="H536" s="144" t="s">
        <v>730</v>
      </c>
      <c r="I536" s="145"/>
      <c r="J536" s="145"/>
      <c r="K536" s="146">
        <v>90.18</v>
      </c>
    </row>
    <row r="537" spans="1:11" s="147" customFormat="1" ht="11.25" customHeight="1" x14ac:dyDescent="0.2">
      <c r="A537" s="795" t="s">
        <v>8973</v>
      </c>
      <c r="B537" s="138">
        <v>43434</v>
      </c>
      <c r="C537" s="139" t="s">
        <v>8974</v>
      </c>
      <c r="D537" s="140" t="s">
        <v>9253</v>
      </c>
      <c r="E537" s="141" t="s">
        <v>8081</v>
      </c>
      <c r="F537" s="142" t="s">
        <v>9254</v>
      </c>
      <c r="G537" s="143">
        <v>90.48</v>
      </c>
      <c r="H537" s="144" t="s">
        <v>730</v>
      </c>
      <c r="I537" s="145"/>
      <c r="J537" s="145"/>
      <c r="K537" s="146">
        <v>90.48</v>
      </c>
    </row>
    <row r="538" spans="1:11" s="147" customFormat="1" ht="11.25" customHeight="1" x14ac:dyDescent="0.2">
      <c r="A538" s="795" t="s">
        <v>9035</v>
      </c>
      <c r="B538" s="138">
        <v>43434</v>
      </c>
      <c r="C538" s="139" t="s">
        <v>9259</v>
      </c>
      <c r="D538" s="140" t="s">
        <v>9283</v>
      </c>
      <c r="E538" s="141" t="s">
        <v>8123</v>
      </c>
      <c r="F538" s="142" t="s">
        <v>8116</v>
      </c>
      <c r="G538" s="143">
        <v>92.57</v>
      </c>
      <c r="H538" s="144" t="s">
        <v>730</v>
      </c>
      <c r="I538" s="145"/>
      <c r="J538" s="145"/>
      <c r="K538" s="146">
        <v>92.57</v>
      </c>
    </row>
    <row r="539" spans="1:11" s="147" customFormat="1" ht="11.25" customHeight="1" x14ac:dyDescent="0.2">
      <c r="A539" s="795" t="s">
        <v>9035</v>
      </c>
      <c r="B539" s="138">
        <v>43434</v>
      </c>
      <c r="C539" s="139" t="s">
        <v>9262</v>
      </c>
      <c r="D539" s="140" t="s">
        <v>9284</v>
      </c>
      <c r="E539" s="141" t="s">
        <v>8123</v>
      </c>
      <c r="F539" s="142" t="s">
        <v>8082</v>
      </c>
      <c r="G539" s="143">
        <v>99.5</v>
      </c>
      <c r="H539" s="144" t="s">
        <v>730</v>
      </c>
      <c r="I539" s="145"/>
      <c r="J539" s="145"/>
      <c r="K539" s="146">
        <v>99.5</v>
      </c>
    </row>
    <row r="540" spans="1:11" s="147" customFormat="1" ht="11.25" customHeight="1" x14ac:dyDescent="0.2">
      <c r="A540" s="795" t="s">
        <v>9264</v>
      </c>
      <c r="B540" s="138">
        <v>43434</v>
      </c>
      <c r="C540" s="139" t="s">
        <v>9265</v>
      </c>
      <c r="D540" s="140" t="s">
        <v>9266</v>
      </c>
      <c r="E540" s="141" t="s">
        <v>8117</v>
      </c>
      <c r="F540" s="142" t="s">
        <v>8976</v>
      </c>
      <c r="G540" s="143">
        <v>99.88</v>
      </c>
      <c r="H540" s="144" t="s">
        <v>730</v>
      </c>
      <c r="I540" s="145"/>
      <c r="J540" s="145"/>
      <c r="K540" s="146">
        <v>99.88</v>
      </c>
    </row>
    <row r="541" spans="1:11" s="147" customFormat="1" ht="11.25" customHeight="1" x14ac:dyDescent="0.2">
      <c r="A541" s="795" t="s">
        <v>8973</v>
      </c>
      <c r="B541" s="138">
        <v>43434</v>
      </c>
      <c r="C541" s="139" t="s">
        <v>8174</v>
      </c>
      <c r="D541" s="140" t="s">
        <v>9274</v>
      </c>
      <c r="E541" s="141" t="s">
        <v>8081</v>
      </c>
      <c r="F541" s="142" t="s">
        <v>8120</v>
      </c>
      <c r="G541" s="143">
        <v>104.52</v>
      </c>
      <c r="H541" s="144" t="s">
        <v>730</v>
      </c>
      <c r="I541" s="145"/>
      <c r="J541" s="145"/>
      <c r="K541" s="146">
        <v>104.52</v>
      </c>
    </row>
    <row r="542" spans="1:11" s="147" customFormat="1" ht="11.25" customHeight="1" x14ac:dyDescent="0.2">
      <c r="A542" s="795" t="s">
        <v>9035</v>
      </c>
      <c r="B542" s="138">
        <v>43434</v>
      </c>
      <c r="C542" s="139" t="s">
        <v>9256</v>
      </c>
      <c r="D542" s="140" t="s">
        <v>9257</v>
      </c>
      <c r="E542" s="141" t="s">
        <v>8123</v>
      </c>
      <c r="F542" s="142" t="s">
        <v>9258</v>
      </c>
      <c r="G542" s="143">
        <v>107.53</v>
      </c>
      <c r="H542" s="144" t="s">
        <v>730</v>
      </c>
      <c r="I542" s="145"/>
      <c r="J542" s="145"/>
      <c r="K542" s="146">
        <v>107.53</v>
      </c>
    </row>
    <row r="543" spans="1:11" s="147" customFormat="1" ht="11.25" customHeight="1" x14ac:dyDescent="0.2">
      <c r="A543" s="795" t="s">
        <v>8973</v>
      </c>
      <c r="B543" s="138">
        <v>43434</v>
      </c>
      <c r="C543" s="139" t="s">
        <v>8174</v>
      </c>
      <c r="D543" s="140" t="s">
        <v>9280</v>
      </c>
      <c r="E543" s="141" t="s">
        <v>8081</v>
      </c>
      <c r="F543" s="142" t="s">
        <v>8976</v>
      </c>
      <c r="G543" s="143">
        <v>108.81</v>
      </c>
      <c r="H543" s="144" t="s">
        <v>730</v>
      </c>
      <c r="I543" s="145"/>
      <c r="J543" s="145"/>
      <c r="K543" s="146">
        <v>108.81</v>
      </c>
    </row>
    <row r="544" spans="1:11" s="147" customFormat="1" ht="11.25" customHeight="1" x14ac:dyDescent="0.2">
      <c r="A544" s="795" t="s">
        <v>9035</v>
      </c>
      <c r="B544" s="138">
        <v>43434</v>
      </c>
      <c r="C544" s="139" t="s">
        <v>9262</v>
      </c>
      <c r="D544" s="140" t="s">
        <v>9263</v>
      </c>
      <c r="E544" s="141" t="s">
        <v>8123</v>
      </c>
      <c r="F544" s="142" t="s">
        <v>8976</v>
      </c>
      <c r="G544" s="143">
        <v>109.56</v>
      </c>
      <c r="H544" s="144" t="s">
        <v>730</v>
      </c>
      <c r="I544" s="145"/>
      <c r="J544" s="145"/>
      <c r="K544" s="146">
        <v>109.56</v>
      </c>
    </row>
    <row r="545" spans="1:11" s="147" customFormat="1" ht="11.25" customHeight="1" x14ac:dyDescent="0.2">
      <c r="A545" s="795" t="s">
        <v>9035</v>
      </c>
      <c r="B545" s="138">
        <v>43434</v>
      </c>
      <c r="C545" s="139" t="s">
        <v>9256</v>
      </c>
      <c r="D545" s="140" t="s">
        <v>9257</v>
      </c>
      <c r="E545" s="141" t="s">
        <v>8123</v>
      </c>
      <c r="F545" s="142" t="s">
        <v>9258</v>
      </c>
      <c r="G545" s="143">
        <v>110.14</v>
      </c>
      <c r="H545" s="144" t="s">
        <v>730</v>
      </c>
      <c r="I545" s="145"/>
      <c r="J545" s="145"/>
      <c r="K545" s="146">
        <v>110.14</v>
      </c>
    </row>
    <row r="546" spans="1:11" s="147" customFormat="1" ht="11.25" customHeight="1" x14ac:dyDescent="0.2">
      <c r="A546" s="795" t="s">
        <v>8973</v>
      </c>
      <c r="B546" s="138">
        <v>43434</v>
      </c>
      <c r="C546" s="139" t="s">
        <v>8174</v>
      </c>
      <c r="D546" s="140" t="s">
        <v>9270</v>
      </c>
      <c r="E546" s="141" t="s">
        <v>8081</v>
      </c>
      <c r="F546" s="142" t="s">
        <v>9271</v>
      </c>
      <c r="G546" s="143">
        <v>114.49</v>
      </c>
      <c r="H546" s="144" t="s">
        <v>730</v>
      </c>
      <c r="I546" s="145"/>
      <c r="J546" s="145"/>
      <c r="K546" s="146">
        <v>114.49</v>
      </c>
    </row>
    <row r="547" spans="1:11" s="147" customFormat="1" ht="11.25" customHeight="1" x14ac:dyDescent="0.2">
      <c r="A547" s="795" t="s">
        <v>9035</v>
      </c>
      <c r="B547" s="138">
        <v>43434</v>
      </c>
      <c r="C547" s="139" t="s">
        <v>9262</v>
      </c>
      <c r="D547" s="140" t="s">
        <v>9284</v>
      </c>
      <c r="E547" s="141" t="s">
        <v>8123</v>
      </c>
      <c r="F547" s="142" t="s">
        <v>8082</v>
      </c>
      <c r="G547" s="143">
        <v>117.02</v>
      </c>
      <c r="H547" s="144" t="s">
        <v>730</v>
      </c>
      <c r="I547" s="145"/>
      <c r="J547" s="145"/>
      <c r="K547" s="146">
        <v>117.02</v>
      </c>
    </row>
    <row r="548" spans="1:11" s="147" customFormat="1" ht="11.25" customHeight="1" x14ac:dyDescent="0.2">
      <c r="A548" s="795" t="s">
        <v>8973</v>
      </c>
      <c r="B548" s="138">
        <v>43434</v>
      </c>
      <c r="C548" s="139" t="s">
        <v>8174</v>
      </c>
      <c r="D548" s="140" t="s">
        <v>9277</v>
      </c>
      <c r="E548" s="141" t="s">
        <v>8081</v>
      </c>
      <c r="F548" s="142" t="s">
        <v>8116</v>
      </c>
      <c r="G548" s="143">
        <v>117.16</v>
      </c>
      <c r="H548" s="144" t="s">
        <v>730</v>
      </c>
      <c r="I548" s="145"/>
      <c r="J548" s="145"/>
      <c r="K548" s="146">
        <v>117.16</v>
      </c>
    </row>
    <row r="549" spans="1:11" s="147" customFormat="1" ht="11.25" customHeight="1" x14ac:dyDescent="0.2">
      <c r="A549" s="795" t="s">
        <v>8973</v>
      </c>
      <c r="B549" s="138">
        <v>43434</v>
      </c>
      <c r="C549" s="139" t="s">
        <v>8974</v>
      </c>
      <c r="D549" s="140" t="s">
        <v>8975</v>
      </c>
      <c r="E549" s="141" t="s">
        <v>8081</v>
      </c>
      <c r="F549" s="142" t="s">
        <v>8976</v>
      </c>
      <c r="G549" s="143">
        <v>118.88</v>
      </c>
      <c r="H549" s="144" t="s">
        <v>730</v>
      </c>
      <c r="I549" s="145"/>
      <c r="J549" s="145"/>
      <c r="K549" s="146">
        <v>118.88</v>
      </c>
    </row>
    <row r="550" spans="1:11" s="147" customFormat="1" ht="11.25" customHeight="1" x14ac:dyDescent="0.2">
      <c r="A550" s="795" t="s">
        <v>8973</v>
      </c>
      <c r="B550" s="138">
        <v>43434</v>
      </c>
      <c r="C550" s="139" t="s">
        <v>8174</v>
      </c>
      <c r="D550" s="140" t="s">
        <v>9277</v>
      </c>
      <c r="E550" s="141" t="s">
        <v>8081</v>
      </c>
      <c r="F550" s="142" t="s">
        <v>8116</v>
      </c>
      <c r="G550" s="143">
        <v>119.71</v>
      </c>
      <c r="H550" s="144" t="s">
        <v>730</v>
      </c>
      <c r="I550" s="145"/>
      <c r="J550" s="145"/>
      <c r="K550" s="146">
        <v>119.71</v>
      </c>
    </row>
    <row r="551" spans="1:11" s="147" customFormat="1" ht="11.25" customHeight="1" x14ac:dyDescent="0.2">
      <c r="A551" s="795" t="s">
        <v>8973</v>
      </c>
      <c r="B551" s="138">
        <v>43434</v>
      </c>
      <c r="C551" s="139" t="s">
        <v>8974</v>
      </c>
      <c r="D551" s="140" t="s">
        <v>9253</v>
      </c>
      <c r="E551" s="141" t="s">
        <v>8081</v>
      </c>
      <c r="F551" s="142" t="s">
        <v>9254</v>
      </c>
      <c r="G551" s="143">
        <v>121.73</v>
      </c>
      <c r="H551" s="144" t="s">
        <v>730</v>
      </c>
      <c r="I551" s="145"/>
      <c r="J551" s="145"/>
      <c r="K551" s="146">
        <v>121.73</v>
      </c>
    </row>
    <row r="552" spans="1:11" s="147" customFormat="1" ht="11.25" customHeight="1" x14ac:dyDescent="0.2">
      <c r="A552" s="795" t="s">
        <v>8973</v>
      </c>
      <c r="B552" s="138">
        <v>43434</v>
      </c>
      <c r="C552" s="139" t="s">
        <v>8174</v>
      </c>
      <c r="D552" s="140" t="s">
        <v>9277</v>
      </c>
      <c r="E552" s="141" t="s">
        <v>8081</v>
      </c>
      <c r="F552" s="142" t="s">
        <v>8116</v>
      </c>
      <c r="G552" s="143">
        <v>122.5</v>
      </c>
      <c r="H552" s="144" t="s">
        <v>730</v>
      </c>
      <c r="I552" s="145"/>
      <c r="J552" s="145"/>
      <c r="K552" s="146">
        <v>122.5</v>
      </c>
    </row>
    <row r="553" spans="1:11" s="147" customFormat="1" ht="11.25" customHeight="1" x14ac:dyDescent="0.2">
      <c r="A553" s="795" t="s">
        <v>9264</v>
      </c>
      <c r="B553" s="138">
        <v>43434</v>
      </c>
      <c r="C553" s="139" t="s">
        <v>9265</v>
      </c>
      <c r="D553" s="140" t="s">
        <v>9285</v>
      </c>
      <c r="E553" s="141" t="s">
        <v>8117</v>
      </c>
      <c r="F553" s="142" t="s">
        <v>8976</v>
      </c>
      <c r="G553" s="143">
        <v>123.74</v>
      </c>
      <c r="H553" s="144" t="s">
        <v>730</v>
      </c>
      <c r="I553" s="145"/>
      <c r="J553" s="145"/>
      <c r="K553" s="146">
        <v>123.74</v>
      </c>
    </row>
    <row r="554" spans="1:11" s="147" customFormat="1" ht="11.25" customHeight="1" x14ac:dyDescent="0.2">
      <c r="A554" s="795" t="s">
        <v>9035</v>
      </c>
      <c r="B554" s="138">
        <v>43434</v>
      </c>
      <c r="C554" s="139" t="s">
        <v>9262</v>
      </c>
      <c r="D554" s="140" t="s">
        <v>9275</v>
      </c>
      <c r="E554" s="141" t="s">
        <v>8123</v>
      </c>
      <c r="F554" s="142" t="s">
        <v>8116</v>
      </c>
      <c r="G554" s="143">
        <v>131.16</v>
      </c>
      <c r="H554" s="144" t="s">
        <v>730</v>
      </c>
      <c r="I554" s="145"/>
      <c r="J554" s="145"/>
      <c r="K554" s="146">
        <v>131.16</v>
      </c>
    </row>
    <row r="555" spans="1:11" s="147" customFormat="1" ht="11.25" customHeight="1" x14ac:dyDescent="0.2">
      <c r="A555" s="795" t="s">
        <v>9035</v>
      </c>
      <c r="B555" s="138">
        <v>43434</v>
      </c>
      <c r="C555" s="139" t="s">
        <v>9262</v>
      </c>
      <c r="D555" s="140" t="s">
        <v>9275</v>
      </c>
      <c r="E555" s="141" t="s">
        <v>8123</v>
      </c>
      <c r="F555" s="142" t="s">
        <v>8116</v>
      </c>
      <c r="G555" s="143">
        <v>131.16</v>
      </c>
      <c r="H555" s="144" t="s">
        <v>730</v>
      </c>
      <c r="I555" s="145"/>
      <c r="J555" s="145"/>
      <c r="K555" s="146">
        <v>131.16</v>
      </c>
    </row>
    <row r="556" spans="1:11" s="147" customFormat="1" ht="11.25" customHeight="1" x14ac:dyDescent="0.2">
      <c r="A556" s="795" t="s">
        <v>8973</v>
      </c>
      <c r="B556" s="138">
        <v>43434</v>
      </c>
      <c r="C556" s="139" t="s">
        <v>8974</v>
      </c>
      <c r="D556" s="140" t="s">
        <v>9272</v>
      </c>
      <c r="E556" s="141" t="s">
        <v>8081</v>
      </c>
      <c r="F556" s="142" t="s">
        <v>8118</v>
      </c>
      <c r="G556" s="143">
        <v>135.12</v>
      </c>
      <c r="H556" s="144" t="s">
        <v>730</v>
      </c>
      <c r="I556" s="145"/>
      <c r="J556" s="145"/>
      <c r="K556" s="146">
        <v>135.12</v>
      </c>
    </row>
    <row r="557" spans="1:11" s="147" customFormat="1" ht="11.25" customHeight="1" x14ac:dyDescent="0.2">
      <c r="A557" s="795" t="s">
        <v>8973</v>
      </c>
      <c r="B557" s="138">
        <v>43434</v>
      </c>
      <c r="C557" s="139" t="s">
        <v>8174</v>
      </c>
      <c r="D557" s="140" t="s">
        <v>9274</v>
      </c>
      <c r="E557" s="141" t="s">
        <v>8081</v>
      </c>
      <c r="F557" s="142" t="s">
        <v>8120</v>
      </c>
      <c r="G557" s="143">
        <v>135.56</v>
      </c>
      <c r="H557" s="144" t="s">
        <v>730</v>
      </c>
      <c r="I557" s="145"/>
      <c r="J557" s="145"/>
      <c r="K557" s="146">
        <v>135.56</v>
      </c>
    </row>
    <row r="558" spans="1:11" s="147" customFormat="1" ht="11.25" customHeight="1" x14ac:dyDescent="0.2">
      <c r="A558" s="795" t="s">
        <v>8973</v>
      </c>
      <c r="B558" s="138">
        <v>43434</v>
      </c>
      <c r="C558" s="139" t="s">
        <v>8174</v>
      </c>
      <c r="D558" s="140" t="s">
        <v>9277</v>
      </c>
      <c r="E558" s="141" t="s">
        <v>8081</v>
      </c>
      <c r="F558" s="142" t="s">
        <v>8116</v>
      </c>
      <c r="G558" s="143">
        <v>139.19999999999999</v>
      </c>
      <c r="H558" s="144" t="s">
        <v>730</v>
      </c>
      <c r="I558" s="145"/>
      <c r="J558" s="145"/>
      <c r="K558" s="146">
        <v>139.19999999999999</v>
      </c>
    </row>
    <row r="559" spans="1:11" s="147" customFormat="1" ht="11.25" customHeight="1" x14ac:dyDescent="0.2">
      <c r="A559" s="795" t="s">
        <v>9035</v>
      </c>
      <c r="B559" s="138">
        <v>43434</v>
      </c>
      <c r="C559" s="139" t="s">
        <v>9262</v>
      </c>
      <c r="D559" s="140" t="s">
        <v>9284</v>
      </c>
      <c r="E559" s="141" t="s">
        <v>8123</v>
      </c>
      <c r="F559" s="142" t="s">
        <v>8082</v>
      </c>
      <c r="G559" s="143">
        <v>142.44999999999999</v>
      </c>
      <c r="H559" s="144" t="s">
        <v>730</v>
      </c>
      <c r="I559" s="145"/>
      <c r="J559" s="145"/>
      <c r="K559" s="146">
        <v>142.44999999999999</v>
      </c>
    </row>
    <row r="560" spans="1:11" s="147" customFormat="1" ht="11.25" customHeight="1" x14ac:dyDescent="0.2">
      <c r="A560" s="795" t="s">
        <v>9264</v>
      </c>
      <c r="B560" s="138">
        <v>43434</v>
      </c>
      <c r="C560" s="139" t="s">
        <v>9265</v>
      </c>
      <c r="D560" s="140" t="s">
        <v>9285</v>
      </c>
      <c r="E560" s="141" t="s">
        <v>8117</v>
      </c>
      <c r="F560" s="142" t="s">
        <v>8976</v>
      </c>
      <c r="G560" s="143">
        <v>144.49</v>
      </c>
      <c r="H560" s="144" t="s">
        <v>730</v>
      </c>
      <c r="I560" s="145"/>
      <c r="J560" s="145"/>
      <c r="K560" s="146">
        <v>144.49</v>
      </c>
    </row>
    <row r="561" spans="1:11" s="147" customFormat="1" ht="11.25" customHeight="1" x14ac:dyDescent="0.2">
      <c r="A561" s="795" t="s">
        <v>8973</v>
      </c>
      <c r="B561" s="138">
        <v>43434</v>
      </c>
      <c r="C561" s="139" t="s">
        <v>8974</v>
      </c>
      <c r="D561" s="140" t="s">
        <v>9272</v>
      </c>
      <c r="E561" s="141" t="s">
        <v>8081</v>
      </c>
      <c r="F561" s="142" t="s">
        <v>8118</v>
      </c>
      <c r="G561" s="143">
        <v>150.34</v>
      </c>
      <c r="H561" s="144" t="s">
        <v>730</v>
      </c>
      <c r="I561" s="145"/>
      <c r="J561" s="145"/>
      <c r="K561" s="146">
        <v>150.34</v>
      </c>
    </row>
    <row r="562" spans="1:11" s="147" customFormat="1" ht="11.25" customHeight="1" x14ac:dyDescent="0.2">
      <c r="A562" s="795" t="s">
        <v>8973</v>
      </c>
      <c r="B562" s="138">
        <v>43434</v>
      </c>
      <c r="C562" s="139" t="s">
        <v>8174</v>
      </c>
      <c r="D562" s="140" t="s">
        <v>9274</v>
      </c>
      <c r="E562" s="141" t="s">
        <v>8081</v>
      </c>
      <c r="F562" s="142" t="s">
        <v>8120</v>
      </c>
      <c r="G562" s="143">
        <v>151.72999999999999</v>
      </c>
      <c r="H562" s="144" t="s">
        <v>730</v>
      </c>
      <c r="I562" s="145"/>
      <c r="J562" s="145"/>
      <c r="K562" s="146">
        <v>151.72999999999999</v>
      </c>
    </row>
    <row r="563" spans="1:11" s="147" customFormat="1" ht="11.25" customHeight="1" x14ac:dyDescent="0.2">
      <c r="A563" s="795" t="s">
        <v>8973</v>
      </c>
      <c r="B563" s="138">
        <v>43434</v>
      </c>
      <c r="C563" s="139" t="s">
        <v>8174</v>
      </c>
      <c r="D563" s="140" t="s">
        <v>9286</v>
      </c>
      <c r="E563" s="141" t="s">
        <v>8081</v>
      </c>
      <c r="F563" s="142" t="s">
        <v>8116</v>
      </c>
      <c r="G563" s="143">
        <v>153.28</v>
      </c>
      <c r="H563" s="144" t="s">
        <v>730</v>
      </c>
      <c r="I563" s="145"/>
      <c r="J563" s="145"/>
      <c r="K563" s="146">
        <v>153.28</v>
      </c>
    </row>
    <row r="564" spans="1:11" s="147" customFormat="1" ht="11.25" customHeight="1" x14ac:dyDescent="0.2">
      <c r="A564" s="795" t="s">
        <v>9035</v>
      </c>
      <c r="B564" s="138">
        <v>43434</v>
      </c>
      <c r="C564" s="139" t="s">
        <v>9262</v>
      </c>
      <c r="D564" s="140" t="s">
        <v>9263</v>
      </c>
      <c r="E564" s="141" t="s">
        <v>8123</v>
      </c>
      <c r="F564" s="142" t="s">
        <v>8976</v>
      </c>
      <c r="G564" s="143">
        <v>157.12</v>
      </c>
      <c r="H564" s="144" t="s">
        <v>730</v>
      </c>
      <c r="I564" s="145"/>
      <c r="J564" s="145"/>
      <c r="K564" s="146">
        <v>157.12</v>
      </c>
    </row>
    <row r="565" spans="1:11" s="147" customFormat="1" ht="11.25" customHeight="1" x14ac:dyDescent="0.2">
      <c r="A565" s="795" t="s">
        <v>8973</v>
      </c>
      <c r="B565" s="138">
        <v>43434</v>
      </c>
      <c r="C565" s="139" t="s">
        <v>8174</v>
      </c>
      <c r="D565" s="140" t="s">
        <v>9268</v>
      </c>
      <c r="E565" s="141" t="s">
        <v>8081</v>
      </c>
      <c r="F565" s="142" t="s">
        <v>9254</v>
      </c>
      <c r="G565" s="143">
        <v>159.85</v>
      </c>
      <c r="H565" s="144" t="s">
        <v>730</v>
      </c>
      <c r="I565" s="145"/>
      <c r="J565" s="145"/>
      <c r="K565" s="146">
        <v>159.85</v>
      </c>
    </row>
    <row r="566" spans="1:11" s="147" customFormat="1" ht="11.25" customHeight="1" x14ac:dyDescent="0.2">
      <c r="A566" s="795" t="s">
        <v>9035</v>
      </c>
      <c r="B566" s="138">
        <v>43434</v>
      </c>
      <c r="C566" s="139" t="s">
        <v>9259</v>
      </c>
      <c r="D566" s="140" t="s">
        <v>9283</v>
      </c>
      <c r="E566" s="141" t="s">
        <v>8123</v>
      </c>
      <c r="F566" s="142" t="s">
        <v>8116</v>
      </c>
      <c r="G566" s="143">
        <v>164.12</v>
      </c>
      <c r="H566" s="144" t="s">
        <v>730</v>
      </c>
      <c r="I566" s="145"/>
      <c r="J566" s="145"/>
      <c r="K566" s="146">
        <v>164.12</v>
      </c>
    </row>
    <row r="567" spans="1:11" s="147" customFormat="1" ht="11.25" customHeight="1" x14ac:dyDescent="0.2">
      <c r="A567" s="795" t="s">
        <v>9264</v>
      </c>
      <c r="B567" s="138">
        <v>43434</v>
      </c>
      <c r="C567" s="139" t="s">
        <v>9265</v>
      </c>
      <c r="D567" s="140" t="s">
        <v>9276</v>
      </c>
      <c r="E567" s="141" t="s">
        <v>8117</v>
      </c>
      <c r="F567" s="142" t="s">
        <v>8120</v>
      </c>
      <c r="G567" s="143">
        <v>165.76</v>
      </c>
      <c r="H567" s="144" t="s">
        <v>730</v>
      </c>
      <c r="I567" s="145"/>
      <c r="J567" s="145"/>
      <c r="K567" s="146">
        <v>165.76</v>
      </c>
    </row>
    <row r="568" spans="1:11" s="147" customFormat="1" ht="11.25" customHeight="1" x14ac:dyDescent="0.2">
      <c r="A568" s="795" t="s">
        <v>8973</v>
      </c>
      <c r="B568" s="138">
        <v>43434</v>
      </c>
      <c r="C568" s="139" t="s">
        <v>8174</v>
      </c>
      <c r="D568" s="140" t="s">
        <v>9274</v>
      </c>
      <c r="E568" s="141" t="s">
        <v>8081</v>
      </c>
      <c r="F568" s="142" t="s">
        <v>8120</v>
      </c>
      <c r="G568" s="143">
        <v>166.52</v>
      </c>
      <c r="H568" s="144" t="s">
        <v>730</v>
      </c>
      <c r="I568" s="145"/>
      <c r="J568" s="145"/>
      <c r="K568" s="146">
        <v>166.52</v>
      </c>
    </row>
    <row r="569" spans="1:11" s="147" customFormat="1" ht="11.25" customHeight="1" x14ac:dyDescent="0.2">
      <c r="A569" s="795" t="s">
        <v>8973</v>
      </c>
      <c r="B569" s="138">
        <v>43434</v>
      </c>
      <c r="C569" s="139" t="s">
        <v>8174</v>
      </c>
      <c r="D569" s="140" t="s">
        <v>9255</v>
      </c>
      <c r="E569" s="141" t="s">
        <v>8081</v>
      </c>
      <c r="F569" s="142" t="s">
        <v>8976</v>
      </c>
      <c r="G569" s="143">
        <v>166.52</v>
      </c>
      <c r="H569" s="144" t="s">
        <v>730</v>
      </c>
      <c r="I569" s="145"/>
      <c r="J569" s="145"/>
      <c r="K569" s="146">
        <v>166.52</v>
      </c>
    </row>
    <row r="570" spans="1:11" s="147" customFormat="1" ht="11.25" customHeight="1" x14ac:dyDescent="0.2">
      <c r="A570" s="795" t="s">
        <v>9264</v>
      </c>
      <c r="B570" s="138">
        <v>43434</v>
      </c>
      <c r="C570" s="139" t="s">
        <v>9265</v>
      </c>
      <c r="D570" s="140" t="s">
        <v>9276</v>
      </c>
      <c r="E570" s="141" t="s">
        <v>8117</v>
      </c>
      <c r="F570" s="142" t="s">
        <v>8120</v>
      </c>
      <c r="G570" s="143">
        <v>171.42</v>
      </c>
      <c r="H570" s="144" t="s">
        <v>730</v>
      </c>
      <c r="I570" s="145"/>
      <c r="J570" s="145"/>
      <c r="K570" s="146">
        <v>171.42</v>
      </c>
    </row>
    <row r="571" spans="1:11" s="147" customFormat="1" ht="11.25" customHeight="1" x14ac:dyDescent="0.2">
      <c r="A571" s="795" t="s">
        <v>9035</v>
      </c>
      <c r="B571" s="138">
        <v>43434</v>
      </c>
      <c r="C571" s="139" t="s">
        <v>9262</v>
      </c>
      <c r="D571" s="140" t="s">
        <v>9284</v>
      </c>
      <c r="E571" s="141" t="s">
        <v>8123</v>
      </c>
      <c r="F571" s="142" t="s">
        <v>8082</v>
      </c>
      <c r="G571" s="143">
        <v>172.12</v>
      </c>
      <c r="H571" s="144" t="s">
        <v>730</v>
      </c>
      <c r="I571" s="145"/>
      <c r="J571" s="145"/>
      <c r="K571" s="146">
        <v>172.12</v>
      </c>
    </row>
    <row r="572" spans="1:11" s="147" customFormat="1" ht="11.25" customHeight="1" x14ac:dyDescent="0.2">
      <c r="A572" s="795" t="s">
        <v>9035</v>
      </c>
      <c r="B572" s="138">
        <v>43434</v>
      </c>
      <c r="C572" s="139" t="s">
        <v>9262</v>
      </c>
      <c r="D572" s="140" t="s">
        <v>9275</v>
      </c>
      <c r="E572" s="141" t="s">
        <v>8123</v>
      </c>
      <c r="F572" s="142" t="s">
        <v>8116</v>
      </c>
      <c r="G572" s="143">
        <v>172.32</v>
      </c>
      <c r="H572" s="144" t="s">
        <v>730</v>
      </c>
      <c r="I572" s="145"/>
      <c r="J572" s="145"/>
      <c r="K572" s="146">
        <v>172.32</v>
      </c>
    </row>
    <row r="573" spans="1:11" s="147" customFormat="1" ht="11.25" customHeight="1" x14ac:dyDescent="0.2">
      <c r="A573" s="795" t="s">
        <v>9264</v>
      </c>
      <c r="B573" s="138">
        <v>43434</v>
      </c>
      <c r="C573" s="139" t="s">
        <v>9265</v>
      </c>
      <c r="D573" s="140" t="s">
        <v>9285</v>
      </c>
      <c r="E573" s="141" t="s">
        <v>8117</v>
      </c>
      <c r="F573" s="142" t="s">
        <v>8976</v>
      </c>
      <c r="G573" s="143">
        <v>175.11</v>
      </c>
      <c r="H573" s="144" t="s">
        <v>730</v>
      </c>
      <c r="I573" s="145"/>
      <c r="J573" s="145"/>
      <c r="K573" s="146">
        <v>175.11</v>
      </c>
    </row>
    <row r="574" spans="1:11" s="147" customFormat="1" ht="11.25" customHeight="1" x14ac:dyDescent="0.2">
      <c r="A574" s="795" t="s">
        <v>9035</v>
      </c>
      <c r="B574" s="138">
        <v>43434</v>
      </c>
      <c r="C574" s="139" t="s">
        <v>9256</v>
      </c>
      <c r="D574" s="140" t="s">
        <v>9257</v>
      </c>
      <c r="E574" s="141" t="s">
        <v>8123</v>
      </c>
      <c r="F574" s="142" t="s">
        <v>9258</v>
      </c>
      <c r="G574" s="143">
        <v>177.25</v>
      </c>
      <c r="H574" s="144" t="s">
        <v>730</v>
      </c>
      <c r="I574" s="145"/>
      <c r="J574" s="145"/>
      <c r="K574" s="146">
        <v>177.25</v>
      </c>
    </row>
    <row r="575" spans="1:11" s="147" customFormat="1" ht="11.25" customHeight="1" x14ac:dyDescent="0.2">
      <c r="A575" s="795" t="s">
        <v>8973</v>
      </c>
      <c r="B575" s="138">
        <v>43434</v>
      </c>
      <c r="C575" s="139" t="s">
        <v>8174</v>
      </c>
      <c r="D575" s="140" t="s">
        <v>9277</v>
      </c>
      <c r="E575" s="141" t="s">
        <v>8081</v>
      </c>
      <c r="F575" s="142" t="s">
        <v>8116</v>
      </c>
      <c r="G575" s="143">
        <v>190.82</v>
      </c>
      <c r="H575" s="144" t="s">
        <v>730</v>
      </c>
      <c r="I575" s="145"/>
      <c r="J575" s="145"/>
      <c r="K575" s="146">
        <v>190.82</v>
      </c>
    </row>
    <row r="576" spans="1:11" s="147" customFormat="1" ht="11.25" customHeight="1" x14ac:dyDescent="0.2">
      <c r="A576" s="795" t="s">
        <v>8973</v>
      </c>
      <c r="B576" s="138">
        <v>43434</v>
      </c>
      <c r="C576" s="139" t="s">
        <v>8174</v>
      </c>
      <c r="D576" s="140" t="s">
        <v>9278</v>
      </c>
      <c r="E576" s="141" t="s">
        <v>8081</v>
      </c>
      <c r="F576" s="142" t="s">
        <v>8120</v>
      </c>
      <c r="G576" s="143">
        <v>190.82</v>
      </c>
      <c r="H576" s="144" t="s">
        <v>730</v>
      </c>
      <c r="I576" s="145"/>
      <c r="J576" s="145"/>
      <c r="K576" s="146">
        <v>190.82</v>
      </c>
    </row>
    <row r="577" spans="1:11" s="147" customFormat="1" ht="11.25" customHeight="1" x14ac:dyDescent="0.2">
      <c r="A577" s="795" t="s">
        <v>8973</v>
      </c>
      <c r="B577" s="138">
        <v>43434</v>
      </c>
      <c r="C577" s="139" t="s">
        <v>8174</v>
      </c>
      <c r="D577" s="140" t="s">
        <v>9282</v>
      </c>
      <c r="E577" s="141" t="s">
        <v>8081</v>
      </c>
      <c r="F577" s="142" t="s">
        <v>9254</v>
      </c>
      <c r="G577" s="143">
        <v>190.82</v>
      </c>
      <c r="H577" s="144" t="s">
        <v>730</v>
      </c>
      <c r="I577" s="145"/>
      <c r="J577" s="145"/>
      <c r="K577" s="146">
        <v>190.82</v>
      </c>
    </row>
    <row r="578" spans="1:11" s="147" customFormat="1" ht="11.25" customHeight="1" x14ac:dyDescent="0.2">
      <c r="A578" s="795" t="s">
        <v>8973</v>
      </c>
      <c r="B578" s="138">
        <v>43434</v>
      </c>
      <c r="C578" s="139" t="s">
        <v>8174</v>
      </c>
      <c r="D578" s="140" t="s">
        <v>9282</v>
      </c>
      <c r="E578" s="141" t="s">
        <v>8081</v>
      </c>
      <c r="F578" s="142" t="s">
        <v>9254</v>
      </c>
      <c r="G578" s="143">
        <v>203.34</v>
      </c>
      <c r="H578" s="144" t="s">
        <v>730</v>
      </c>
      <c r="I578" s="145"/>
      <c r="J578" s="145"/>
      <c r="K578" s="146">
        <v>203.34</v>
      </c>
    </row>
    <row r="579" spans="1:11" s="147" customFormat="1" ht="11.25" customHeight="1" x14ac:dyDescent="0.2">
      <c r="A579" s="795" t="s">
        <v>9035</v>
      </c>
      <c r="B579" s="138">
        <v>43434</v>
      </c>
      <c r="C579" s="139" t="s">
        <v>9262</v>
      </c>
      <c r="D579" s="140" t="s">
        <v>9263</v>
      </c>
      <c r="E579" s="141" t="s">
        <v>8123</v>
      </c>
      <c r="F579" s="142" t="s">
        <v>8976</v>
      </c>
      <c r="G579" s="143">
        <v>205.98</v>
      </c>
      <c r="H579" s="144" t="s">
        <v>730</v>
      </c>
      <c r="I579" s="145"/>
      <c r="J579" s="145"/>
      <c r="K579" s="146">
        <v>205.98</v>
      </c>
    </row>
    <row r="580" spans="1:11" s="147" customFormat="1" ht="11.25" customHeight="1" x14ac:dyDescent="0.2">
      <c r="A580" s="795" t="s">
        <v>9035</v>
      </c>
      <c r="B580" s="138">
        <v>43434</v>
      </c>
      <c r="C580" s="139" t="s">
        <v>9256</v>
      </c>
      <c r="D580" s="140" t="s">
        <v>9279</v>
      </c>
      <c r="E580" s="141" t="s">
        <v>8123</v>
      </c>
      <c r="F580" s="142" t="s">
        <v>8976</v>
      </c>
      <c r="G580" s="143">
        <v>210.89</v>
      </c>
      <c r="H580" s="144" t="s">
        <v>730</v>
      </c>
      <c r="I580" s="145"/>
      <c r="J580" s="145"/>
      <c r="K580" s="146">
        <v>210.89</v>
      </c>
    </row>
    <row r="581" spans="1:11" s="147" customFormat="1" ht="11.25" customHeight="1" x14ac:dyDescent="0.2">
      <c r="A581" s="795" t="s">
        <v>9035</v>
      </c>
      <c r="B581" s="138">
        <v>43434</v>
      </c>
      <c r="C581" s="139" t="s">
        <v>9256</v>
      </c>
      <c r="D581" s="140" t="s">
        <v>9269</v>
      </c>
      <c r="E581" s="141" t="s">
        <v>8123</v>
      </c>
      <c r="F581" s="142" t="s">
        <v>8976</v>
      </c>
      <c r="G581" s="143">
        <v>220.28</v>
      </c>
      <c r="H581" s="144" t="s">
        <v>730</v>
      </c>
      <c r="I581" s="145"/>
      <c r="J581" s="145"/>
      <c r="K581" s="146">
        <v>220.28</v>
      </c>
    </row>
    <row r="582" spans="1:11" s="147" customFormat="1" ht="11.25" customHeight="1" x14ac:dyDescent="0.2">
      <c r="A582" s="795" t="s">
        <v>8973</v>
      </c>
      <c r="B582" s="138">
        <v>43434</v>
      </c>
      <c r="C582" s="139" t="s">
        <v>8174</v>
      </c>
      <c r="D582" s="140" t="s">
        <v>9274</v>
      </c>
      <c r="E582" s="141" t="s">
        <v>8081</v>
      </c>
      <c r="F582" s="142" t="s">
        <v>8120</v>
      </c>
      <c r="G582" s="143">
        <v>234.32</v>
      </c>
      <c r="H582" s="144" t="s">
        <v>730</v>
      </c>
      <c r="I582" s="145"/>
      <c r="J582" s="145"/>
      <c r="K582" s="146">
        <v>234.32</v>
      </c>
    </row>
    <row r="583" spans="1:11" s="147" customFormat="1" ht="11.25" customHeight="1" x14ac:dyDescent="0.2">
      <c r="A583" s="795" t="s">
        <v>9035</v>
      </c>
      <c r="B583" s="138">
        <v>43434</v>
      </c>
      <c r="C583" s="139" t="s">
        <v>9262</v>
      </c>
      <c r="D583" s="140" t="s">
        <v>9275</v>
      </c>
      <c r="E583" s="141" t="s">
        <v>8123</v>
      </c>
      <c r="F583" s="142" t="s">
        <v>8116</v>
      </c>
      <c r="G583" s="143">
        <v>237.22</v>
      </c>
      <c r="H583" s="144" t="s">
        <v>730</v>
      </c>
      <c r="I583" s="145"/>
      <c r="J583" s="145"/>
      <c r="K583" s="146">
        <v>237.22</v>
      </c>
    </row>
    <row r="584" spans="1:11" s="147" customFormat="1" ht="11.25" customHeight="1" x14ac:dyDescent="0.2">
      <c r="A584" s="795" t="s">
        <v>9035</v>
      </c>
      <c r="B584" s="138">
        <v>43434</v>
      </c>
      <c r="C584" s="139" t="s">
        <v>9256</v>
      </c>
      <c r="D584" s="140" t="s">
        <v>9269</v>
      </c>
      <c r="E584" s="141" t="s">
        <v>8123</v>
      </c>
      <c r="F584" s="142" t="s">
        <v>8976</v>
      </c>
      <c r="G584" s="143">
        <v>248.12</v>
      </c>
      <c r="H584" s="144" t="s">
        <v>730</v>
      </c>
      <c r="I584" s="145"/>
      <c r="J584" s="145"/>
      <c r="K584" s="146">
        <v>248.12</v>
      </c>
    </row>
    <row r="585" spans="1:11" s="147" customFormat="1" ht="11.25" customHeight="1" x14ac:dyDescent="0.2">
      <c r="A585" s="795" t="s">
        <v>9035</v>
      </c>
      <c r="B585" s="138">
        <v>43434</v>
      </c>
      <c r="C585" s="139" t="s">
        <v>9256</v>
      </c>
      <c r="D585" s="140" t="s">
        <v>9257</v>
      </c>
      <c r="E585" s="141" t="s">
        <v>8123</v>
      </c>
      <c r="F585" s="142" t="s">
        <v>9258</v>
      </c>
      <c r="G585" s="143">
        <v>255.55</v>
      </c>
      <c r="H585" s="144" t="s">
        <v>730</v>
      </c>
      <c r="I585" s="145"/>
      <c r="J585" s="145"/>
      <c r="K585" s="146">
        <v>255.55</v>
      </c>
    </row>
    <row r="586" spans="1:11" s="147" customFormat="1" ht="11.25" customHeight="1" x14ac:dyDescent="0.2">
      <c r="A586" s="795" t="s">
        <v>9035</v>
      </c>
      <c r="B586" s="138">
        <v>43434</v>
      </c>
      <c r="C586" s="139" t="s">
        <v>9256</v>
      </c>
      <c r="D586" s="140" t="s">
        <v>9257</v>
      </c>
      <c r="E586" s="141" t="s">
        <v>8123</v>
      </c>
      <c r="F586" s="142" t="s">
        <v>9258</v>
      </c>
      <c r="G586" s="143">
        <v>255.84</v>
      </c>
      <c r="H586" s="144" t="s">
        <v>730</v>
      </c>
      <c r="I586" s="145"/>
      <c r="J586" s="145"/>
      <c r="K586" s="146">
        <v>255.84</v>
      </c>
    </row>
    <row r="587" spans="1:11" s="147" customFormat="1" ht="11.25" customHeight="1" x14ac:dyDescent="0.2">
      <c r="A587" s="795" t="s">
        <v>9035</v>
      </c>
      <c r="B587" s="138">
        <v>43434</v>
      </c>
      <c r="C587" s="139" t="s">
        <v>9256</v>
      </c>
      <c r="D587" s="140" t="s">
        <v>9279</v>
      </c>
      <c r="E587" s="141" t="s">
        <v>8123</v>
      </c>
      <c r="F587" s="142" t="s">
        <v>8976</v>
      </c>
      <c r="G587" s="143">
        <v>270.60000000000002</v>
      </c>
      <c r="H587" s="144" t="s">
        <v>730</v>
      </c>
      <c r="I587" s="145"/>
      <c r="J587" s="145"/>
      <c r="K587" s="146">
        <v>270.60000000000002</v>
      </c>
    </row>
    <row r="588" spans="1:11" s="147" customFormat="1" ht="11.25" customHeight="1" x14ac:dyDescent="0.2">
      <c r="A588" s="795" t="s">
        <v>9035</v>
      </c>
      <c r="B588" s="138">
        <v>43434</v>
      </c>
      <c r="C588" s="139" t="s">
        <v>9256</v>
      </c>
      <c r="D588" s="140" t="s">
        <v>9279</v>
      </c>
      <c r="E588" s="141" t="s">
        <v>8123</v>
      </c>
      <c r="F588" s="142" t="s">
        <v>8976</v>
      </c>
      <c r="G588" s="143">
        <v>270.60000000000002</v>
      </c>
      <c r="H588" s="144" t="s">
        <v>730</v>
      </c>
      <c r="I588" s="145"/>
      <c r="J588" s="145"/>
      <c r="K588" s="146">
        <v>270.60000000000002</v>
      </c>
    </row>
    <row r="589" spans="1:11" s="147" customFormat="1" ht="11.25" customHeight="1" x14ac:dyDescent="0.2">
      <c r="A589" s="795" t="s">
        <v>9035</v>
      </c>
      <c r="B589" s="138">
        <v>43434</v>
      </c>
      <c r="C589" s="139" t="s">
        <v>9259</v>
      </c>
      <c r="D589" s="140" t="s">
        <v>9260</v>
      </c>
      <c r="E589" s="141" t="s">
        <v>8123</v>
      </c>
      <c r="F589" s="142" t="s">
        <v>8976</v>
      </c>
      <c r="G589" s="143">
        <v>273.32</v>
      </c>
      <c r="H589" s="144" t="s">
        <v>730</v>
      </c>
      <c r="I589" s="145"/>
      <c r="J589" s="145"/>
      <c r="K589" s="146">
        <v>273.32</v>
      </c>
    </row>
    <row r="590" spans="1:11" s="147" customFormat="1" ht="11.25" customHeight="1" x14ac:dyDescent="0.2">
      <c r="A590" s="795" t="s">
        <v>8973</v>
      </c>
      <c r="B590" s="138">
        <v>43434</v>
      </c>
      <c r="C590" s="139" t="s">
        <v>8174</v>
      </c>
      <c r="D590" s="140" t="s">
        <v>9274</v>
      </c>
      <c r="E590" s="141" t="s">
        <v>8081</v>
      </c>
      <c r="F590" s="142" t="s">
        <v>8120</v>
      </c>
      <c r="G590" s="143">
        <v>278.39999999999998</v>
      </c>
      <c r="H590" s="144" t="s">
        <v>730</v>
      </c>
      <c r="I590" s="145"/>
      <c r="J590" s="145"/>
      <c r="K590" s="146">
        <v>278.39999999999998</v>
      </c>
    </row>
    <row r="591" spans="1:11" s="147" customFormat="1" ht="11.25" customHeight="1" x14ac:dyDescent="0.2">
      <c r="A591" s="795" t="s">
        <v>8973</v>
      </c>
      <c r="B591" s="138">
        <v>43434</v>
      </c>
      <c r="C591" s="139" t="s">
        <v>8174</v>
      </c>
      <c r="D591" s="140" t="s">
        <v>9270</v>
      </c>
      <c r="E591" s="141" t="s">
        <v>8081</v>
      </c>
      <c r="F591" s="142" t="s">
        <v>9271</v>
      </c>
      <c r="G591" s="143">
        <v>282.85000000000002</v>
      </c>
      <c r="H591" s="144" t="s">
        <v>730</v>
      </c>
      <c r="I591" s="145"/>
      <c r="J591" s="145"/>
      <c r="K591" s="146">
        <v>282.85000000000002</v>
      </c>
    </row>
    <row r="592" spans="1:11" s="147" customFormat="1" ht="11.25" customHeight="1" x14ac:dyDescent="0.2">
      <c r="A592" s="795" t="s">
        <v>9035</v>
      </c>
      <c r="B592" s="138">
        <v>43434</v>
      </c>
      <c r="C592" s="139" t="s">
        <v>9262</v>
      </c>
      <c r="D592" s="140" t="s">
        <v>9284</v>
      </c>
      <c r="E592" s="141" t="s">
        <v>8123</v>
      </c>
      <c r="F592" s="142" t="s">
        <v>8082</v>
      </c>
      <c r="G592" s="143">
        <v>293.99</v>
      </c>
      <c r="H592" s="144" t="s">
        <v>730</v>
      </c>
      <c r="I592" s="145"/>
      <c r="J592" s="145"/>
      <c r="K592" s="146">
        <v>293.99</v>
      </c>
    </row>
    <row r="593" spans="1:11" s="147" customFormat="1" ht="11.25" customHeight="1" x14ac:dyDescent="0.2">
      <c r="A593" s="795" t="s">
        <v>9035</v>
      </c>
      <c r="B593" s="138">
        <v>43434</v>
      </c>
      <c r="C593" s="139" t="s">
        <v>9262</v>
      </c>
      <c r="D593" s="140" t="s">
        <v>9284</v>
      </c>
      <c r="E593" s="141" t="s">
        <v>8123</v>
      </c>
      <c r="F593" s="142" t="s">
        <v>8082</v>
      </c>
      <c r="G593" s="143">
        <v>293.99</v>
      </c>
      <c r="H593" s="144" t="s">
        <v>730</v>
      </c>
      <c r="I593" s="145"/>
      <c r="J593" s="145"/>
      <c r="K593" s="146">
        <v>293.99</v>
      </c>
    </row>
    <row r="594" spans="1:11" s="147" customFormat="1" ht="11.25" customHeight="1" x14ac:dyDescent="0.2">
      <c r="A594" s="795" t="s">
        <v>9035</v>
      </c>
      <c r="B594" s="138">
        <v>43434</v>
      </c>
      <c r="C594" s="139" t="s">
        <v>9256</v>
      </c>
      <c r="D594" s="140" t="s">
        <v>9257</v>
      </c>
      <c r="E594" s="141" t="s">
        <v>8123</v>
      </c>
      <c r="F594" s="142" t="s">
        <v>9258</v>
      </c>
      <c r="G594" s="143">
        <v>303.69</v>
      </c>
      <c r="H594" s="144" t="s">
        <v>730</v>
      </c>
      <c r="I594" s="145"/>
      <c r="J594" s="145"/>
      <c r="K594" s="146">
        <v>303.69</v>
      </c>
    </row>
    <row r="595" spans="1:11" s="147" customFormat="1" ht="11.25" customHeight="1" x14ac:dyDescent="0.2">
      <c r="A595" s="795" t="s">
        <v>8973</v>
      </c>
      <c r="B595" s="138">
        <v>43434</v>
      </c>
      <c r="C595" s="139" t="s">
        <v>8174</v>
      </c>
      <c r="D595" s="140" t="s">
        <v>9278</v>
      </c>
      <c r="E595" s="141" t="s">
        <v>8081</v>
      </c>
      <c r="F595" s="142" t="s">
        <v>8120</v>
      </c>
      <c r="G595" s="143">
        <v>303.87</v>
      </c>
      <c r="H595" s="144" t="s">
        <v>730</v>
      </c>
      <c r="I595" s="145"/>
      <c r="J595" s="145"/>
      <c r="K595" s="146">
        <v>303.87</v>
      </c>
    </row>
    <row r="596" spans="1:11" s="147" customFormat="1" ht="11.25" customHeight="1" x14ac:dyDescent="0.2">
      <c r="A596" s="795" t="s">
        <v>8973</v>
      </c>
      <c r="B596" s="138">
        <v>43434</v>
      </c>
      <c r="C596" s="139" t="s">
        <v>8174</v>
      </c>
      <c r="D596" s="140" t="s">
        <v>9281</v>
      </c>
      <c r="E596" s="141" t="s">
        <v>8081</v>
      </c>
      <c r="F596" s="142" t="s">
        <v>8120</v>
      </c>
      <c r="G596" s="143">
        <v>307.45999999999998</v>
      </c>
      <c r="H596" s="144" t="s">
        <v>730</v>
      </c>
      <c r="I596" s="145"/>
      <c r="J596" s="145"/>
      <c r="K596" s="146">
        <v>307.45999999999998</v>
      </c>
    </row>
    <row r="597" spans="1:11" s="147" customFormat="1" ht="11.25" customHeight="1" x14ac:dyDescent="0.2">
      <c r="A597" s="795" t="s">
        <v>9264</v>
      </c>
      <c r="B597" s="138">
        <v>43434</v>
      </c>
      <c r="C597" s="139" t="s">
        <v>9265</v>
      </c>
      <c r="D597" s="140" t="s">
        <v>9276</v>
      </c>
      <c r="E597" s="141" t="s">
        <v>8117</v>
      </c>
      <c r="F597" s="142" t="s">
        <v>8120</v>
      </c>
      <c r="G597" s="143">
        <v>313.2</v>
      </c>
      <c r="H597" s="144" t="s">
        <v>730</v>
      </c>
      <c r="I597" s="145"/>
      <c r="J597" s="145"/>
      <c r="K597" s="146">
        <v>313.2</v>
      </c>
    </row>
    <row r="598" spans="1:11" s="147" customFormat="1" ht="11.25" customHeight="1" x14ac:dyDescent="0.2">
      <c r="A598" s="795" t="s">
        <v>8973</v>
      </c>
      <c r="B598" s="138">
        <v>43434</v>
      </c>
      <c r="C598" s="139" t="s">
        <v>8974</v>
      </c>
      <c r="D598" s="140" t="s">
        <v>9253</v>
      </c>
      <c r="E598" s="141" t="s">
        <v>8081</v>
      </c>
      <c r="F598" s="142" t="s">
        <v>9254</v>
      </c>
      <c r="G598" s="143">
        <v>313.2</v>
      </c>
      <c r="H598" s="144" t="s">
        <v>730</v>
      </c>
      <c r="I598" s="145"/>
      <c r="J598" s="145"/>
      <c r="K598" s="146">
        <v>313.2</v>
      </c>
    </row>
    <row r="599" spans="1:11" s="147" customFormat="1" ht="11.25" customHeight="1" x14ac:dyDescent="0.2">
      <c r="A599" s="795" t="s">
        <v>9264</v>
      </c>
      <c r="B599" s="138">
        <v>43434</v>
      </c>
      <c r="C599" s="139" t="s">
        <v>9265</v>
      </c>
      <c r="D599" s="140" t="s">
        <v>9266</v>
      </c>
      <c r="E599" s="141" t="s">
        <v>8117</v>
      </c>
      <c r="F599" s="142" t="s">
        <v>8976</v>
      </c>
      <c r="G599" s="143">
        <v>314.31</v>
      </c>
      <c r="H599" s="144" t="s">
        <v>730</v>
      </c>
      <c r="I599" s="145"/>
      <c r="J599" s="145"/>
      <c r="K599" s="146">
        <v>314.31</v>
      </c>
    </row>
    <row r="600" spans="1:11" s="147" customFormat="1" ht="11.25" customHeight="1" x14ac:dyDescent="0.2">
      <c r="A600" s="795" t="s">
        <v>8973</v>
      </c>
      <c r="B600" s="138">
        <v>43434</v>
      </c>
      <c r="C600" s="139" t="s">
        <v>8174</v>
      </c>
      <c r="D600" s="140" t="s">
        <v>9282</v>
      </c>
      <c r="E600" s="141" t="s">
        <v>8081</v>
      </c>
      <c r="F600" s="142" t="s">
        <v>9254</v>
      </c>
      <c r="G600" s="143">
        <v>318.42</v>
      </c>
      <c r="H600" s="144" t="s">
        <v>730</v>
      </c>
      <c r="I600" s="145"/>
      <c r="J600" s="145"/>
      <c r="K600" s="146">
        <v>318.42</v>
      </c>
    </row>
    <row r="601" spans="1:11" s="147" customFormat="1" ht="11.25" customHeight="1" x14ac:dyDescent="0.2">
      <c r="A601" s="795" t="s">
        <v>9035</v>
      </c>
      <c r="B601" s="138">
        <v>43434</v>
      </c>
      <c r="C601" s="139" t="s">
        <v>9256</v>
      </c>
      <c r="D601" s="140" t="s">
        <v>9279</v>
      </c>
      <c r="E601" s="141" t="s">
        <v>8123</v>
      </c>
      <c r="F601" s="142" t="s">
        <v>8976</v>
      </c>
      <c r="G601" s="143">
        <v>324.61</v>
      </c>
      <c r="H601" s="144" t="s">
        <v>730</v>
      </c>
      <c r="I601" s="145"/>
      <c r="J601" s="145"/>
      <c r="K601" s="146">
        <v>324.61</v>
      </c>
    </row>
    <row r="602" spans="1:11" s="147" customFormat="1" ht="11.25" customHeight="1" x14ac:dyDescent="0.2">
      <c r="A602" s="795" t="s">
        <v>8973</v>
      </c>
      <c r="B602" s="138">
        <v>43434</v>
      </c>
      <c r="C602" s="139" t="s">
        <v>8174</v>
      </c>
      <c r="D602" s="140" t="s">
        <v>9278</v>
      </c>
      <c r="E602" s="141" t="s">
        <v>8081</v>
      </c>
      <c r="F602" s="142" t="s">
        <v>8120</v>
      </c>
      <c r="G602" s="143">
        <v>342.34</v>
      </c>
      <c r="H602" s="144" t="s">
        <v>730</v>
      </c>
      <c r="I602" s="145"/>
      <c r="J602" s="145"/>
      <c r="K602" s="146">
        <v>342.34</v>
      </c>
    </row>
    <row r="603" spans="1:11" s="147" customFormat="1" ht="11.25" customHeight="1" x14ac:dyDescent="0.2">
      <c r="A603" s="795" t="s">
        <v>8973</v>
      </c>
      <c r="B603" s="138">
        <v>43434</v>
      </c>
      <c r="C603" s="139" t="s">
        <v>8174</v>
      </c>
      <c r="D603" s="140" t="s">
        <v>9270</v>
      </c>
      <c r="E603" s="141" t="s">
        <v>8081</v>
      </c>
      <c r="F603" s="142" t="s">
        <v>9271</v>
      </c>
      <c r="G603" s="143">
        <v>351.48</v>
      </c>
      <c r="H603" s="144" t="s">
        <v>730</v>
      </c>
      <c r="I603" s="145"/>
      <c r="J603" s="145"/>
      <c r="K603" s="146">
        <v>351.48</v>
      </c>
    </row>
    <row r="604" spans="1:11" s="147" customFormat="1" ht="11.25" customHeight="1" x14ac:dyDescent="0.2">
      <c r="A604" s="795" t="s">
        <v>8973</v>
      </c>
      <c r="B604" s="138">
        <v>43434</v>
      </c>
      <c r="C604" s="139" t="s">
        <v>8174</v>
      </c>
      <c r="D604" s="140" t="s">
        <v>9270</v>
      </c>
      <c r="E604" s="141" t="s">
        <v>8081</v>
      </c>
      <c r="F604" s="142" t="s">
        <v>9271</v>
      </c>
      <c r="G604" s="143">
        <v>378.81</v>
      </c>
      <c r="H604" s="144" t="s">
        <v>730</v>
      </c>
      <c r="I604" s="145"/>
      <c r="J604" s="145"/>
      <c r="K604" s="146">
        <v>378.81</v>
      </c>
    </row>
    <row r="605" spans="1:11" s="147" customFormat="1" ht="11.25" customHeight="1" x14ac:dyDescent="0.2">
      <c r="A605" s="795" t="s">
        <v>8973</v>
      </c>
      <c r="B605" s="138">
        <v>43434</v>
      </c>
      <c r="C605" s="139" t="s">
        <v>8174</v>
      </c>
      <c r="D605" s="140" t="s">
        <v>9282</v>
      </c>
      <c r="E605" s="141" t="s">
        <v>8081</v>
      </c>
      <c r="F605" s="142" t="s">
        <v>9254</v>
      </c>
      <c r="G605" s="143">
        <v>378.81</v>
      </c>
      <c r="H605" s="144" t="s">
        <v>730</v>
      </c>
      <c r="I605" s="145"/>
      <c r="J605" s="145"/>
      <c r="K605" s="146">
        <v>378.81</v>
      </c>
    </row>
    <row r="606" spans="1:11" s="147" customFormat="1" ht="11.25" customHeight="1" x14ac:dyDescent="0.2">
      <c r="A606" s="795" t="s">
        <v>8973</v>
      </c>
      <c r="B606" s="138">
        <v>43434</v>
      </c>
      <c r="C606" s="139" t="s">
        <v>8174</v>
      </c>
      <c r="D606" s="140" t="s">
        <v>9287</v>
      </c>
      <c r="E606" s="141" t="s">
        <v>8081</v>
      </c>
      <c r="F606" s="142" t="s">
        <v>8118</v>
      </c>
      <c r="G606" s="143">
        <v>383.21</v>
      </c>
      <c r="H606" s="144" t="s">
        <v>730</v>
      </c>
      <c r="I606" s="145"/>
      <c r="J606" s="145"/>
      <c r="K606" s="146">
        <v>383.21</v>
      </c>
    </row>
    <row r="607" spans="1:11" s="147" customFormat="1" ht="11.25" customHeight="1" x14ac:dyDescent="0.2">
      <c r="A607" s="795" t="s">
        <v>8973</v>
      </c>
      <c r="B607" s="138">
        <v>43434</v>
      </c>
      <c r="C607" s="139" t="s">
        <v>8174</v>
      </c>
      <c r="D607" s="140" t="s">
        <v>9270</v>
      </c>
      <c r="E607" s="141" t="s">
        <v>8081</v>
      </c>
      <c r="F607" s="142" t="s">
        <v>9271</v>
      </c>
      <c r="G607" s="143">
        <v>417.6</v>
      </c>
      <c r="H607" s="144" t="s">
        <v>730</v>
      </c>
      <c r="I607" s="145"/>
      <c r="J607" s="145"/>
      <c r="K607" s="146">
        <v>417.6</v>
      </c>
    </row>
    <row r="608" spans="1:11" s="147" customFormat="1" ht="11.25" customHeight="1" x14ac:dyDescent="0.2">
      <c r="A608" s="795" t="s">
        <v>9035</v>
      </c>
      <c r="B608" s="138">
        <v>43434</v>
      </c>
      <c r="C608" s="139" t="s">
        <v>9259</v>
      </c>
      <c r="D608" s="140" t="s">
        <v>9260</v>
      </c>
      <c r="E608" s="141" t="s">
        <v>8123</v>
      </c>
      <c r="F608" s="142" t="s">
        <v>8976</v>
      </c>
      <c r="G608" s="143">
        <v>421.78</v>
      </c>
      <c r="H608" s="144" t="s">
        <v>730</v>
      </c>
      <c r="I608" s="145"/>
      <c r="J608" s="145"/>
      <c r="K608" s="146">
        <v>421.78</v>
      </c>
    </row>
    <row r="609" spans="1:11" s="147" customFormat="1" ht="11.25" customHeight="1" x14ac:dyDescent="0.2">
      <c r="A609" s="795" t="s">
        <v>8973</v>
      </c>
      <c r="B609" s="138">
        <v>43434</v>
      </c>
      <c r="C609" s="139" t="s">
        <v>8174</v>
      </c>
      <c r="D609" s="140" t="s">
        <v>9281</v>
      </c>
      <c r="E609" s="141" t="s">
        <v>8081</v>
      </c>
      <c r="F609" s="142" t="s">
        <v>8120</v>
      </c>
      <c r="G609" s="143">
        <v>432.62</v>
      </c>
      <c r="H609" s="144" t="s">
        <v>730</v>
      </c>
      <c r="I609" s="145"/>
      <c r="J609" s="145"/>
      <c r="K609" s="146">
        <v>432.62</v>
      </c>
    </row>
    <row r="610" spans="1:11" s="147" customFormat="1" ht="11.25" customHeight="1" x14ac:dyDescent="0.2">
      <c r="A610" s="795" t="s">
        <v>8973</v>
      </c>
      <c r="B610" s="138">
        <v>43434</v>
      </c>
      <c r="C610" s="139" t="s">
        <v>8174</v>
      </c>
      <c r="D610" s="140" t="s">
        <v>9267</v>
      </c>
      <c r="E610" s="141" t="s">
        <v>8081</v>
      </c>
      <c r="F610" s="142" t="s">
        <v>8116</v>
      </c>
      <c r="G610" s="143">
        <v>437.55</v>
      </c>
      <c r="H610" s="144" t="s">
        <v>730</v>
      </c>
      <c r="I610" s="145"/>
      <c r="J610" s="145"/>
      <c r="K610" s="146">
        <v>437.55</v>
      </c>
    </row>
    <row r="611" spans="1:11" s="147" customFormat="1" ht="11.25" customHeight="1" x14ac:dyDescent="0.2">
      <c r="A611" s="795" t="s">
        <v>9035</v>
      </c>
      <c r="B611" s="138">
        <v>43434</v>
      </c>
      <c r="C611" s="139" t="s">
        <v>9262</v>
      </c>
      <c r="D611" s="140" t="s">
        <v>9275</v>
      </c>
      <c r="E611" s="141" t="s">
        <v>8123</v>
      </c>
      <c r="F611" s="142" t="s">
        <v>8116</v>
      </c>
      <c r="G611" s="143">
        <v>447.06</v>
      </c>
      <c r="H611" s="144" t="s">
        <v>730</v>
      </c>
      <c r="I611" s="145"/>
      <c r="J611" s="145"/>
      <c r="K611" s="146">
        <v>447.06</v>
      </c>
    </row>
    <row r="612" spans="1:11" s="147" customFormat="1" ht="11.25" customHeight="1" x14ac:dyDescent="0.2">
      <c r="A612" s="795" t="s">
        <v>9035</v>
      </c>
      <c r="B612" s="138">
        <v>43434</v>
      </c>
      <c r="C612" s="139" t="s">
        <v>9256</v>
      </c>
      <c r="D612" s="140" t="s">
        <v>9288</v>
      </c>
      <c r="E612" s="141" t="s">
        <v>8123</v>
      </c>
      <c r="F612" s="142" t="s">
        <v>8976</v>
      </c>
      <c r="G612" s="143">
        <v>459.82</v>
      </c>
      <c r="H612" s="144" t="s">
        <v>730</v>
      </c>
      <c r="I612" s="145"/>
      <c r="J612" s="145"/>
      <c r="K612" s="146">
        <v>459.82</v>
      </c>
    </row>
    <row r="613" spans="1:11" s="147" customFormat="1" ht="11.25" customHeight="1" x14ac:dyDescent="0.2">
      <c r="A613" s="795" t="s">
        <v>9035</v>
      </c>
      <c r="B613" s="138">
        <v>43434</v>
      </c>
      <c r="C613" s="139" t="s">
        <v>9262</v>
      </c>
      <c r="D613" s="140" t="s">
        <v>9275</v>
      </c>
      <c r="E613" s="141" t="s">
        <v>8123</v>
      </c>
      <c r="F613" s="142" t="s">
        <v>8116</v>
      </c>
      <c r="G613" s="143">
        <v>481.63</v>
      </c>
      <c r="H613" s="144" t="s">
        <v>730</v>
      </c>
      <c r="I613" s="145"/>
      <c r="J613" s="145"/>
      <c r="K613" s="146">
        <v>481.63</v>
      </c>
    </row>
    <row r="614" spans="1:11" s="147" customFormat="1" ht="11.25" customHeight="1" x14ac:dyDescent="0.2">
      <c r="A614" s="795" t="s">
        <v>8973</v>
      </c>
      <c r="B614" s="138">
        <v>43434</v>
      </c>
      <c r="C614" s="139" t="s">
        <v>8974</v>
      </c>
      <c r="D614" s="140" t="s">
        <v>9253</v>
      </c>
      <c r="E614" s="141" t="s">
        <v>8081</v>
      </c>
      <c r="F614" s="142" t="s">
        <v>9254</v>
      </c>
      <c r="G614" s="143">
        <v>518.52</v>
      </c>
      <c r="H614" s="144" t="s">
        <v>730</v>
      </c>
      <c r="I614" s="145"/>
      <c r="J614" s="145"/>
      <c r="K614" s="146">
        <v>518.52</v>
      </c>
    </row>
    <row r="615" spans="1:11" s="147" customFormat="1" ht="11.25" customHeight="1" x14ac:dyDescent="0.2">
      <c r="A615" s="795" t="s">
        <v>9035</v>
      </c>
      <c r="B615" s="138">
        <v>43434</v>
      </c>
      <c r="C615" s="139" t="s">
        <v>9256</v>
      </c>
      <c r="D615" s="140" t="s">
        <v>9257</v>
      </c>
      <c r="E615" s="141" t="s">
        <v>8123</v>
      </c>
      <c r="F615" s="142" t="s">
        <v>9258</v>
      </c>
      <c r="G615" s="143">
        <v>520.72</v>
      </c>
      <c r="H615" s="144" t="s">
        <v>730</v>
      </c>
      <c r="I615" s="145"/>
      <c r="J615" s="145"/>
      <c r="K615" s="146">
        <v>520.72</v>
      </c>
    </row>
    <row r="616" spans="1:11" s="147" customFormat="1" ht="11.25" customHeight="1" x14ac:dyDescent="0.2">
      <c r="A616" s="795" t="s">
        <v>9035</v>
      </c>
      <c r="B616" s="138">
        <v>43434</v>
      </c>
      <c r="C616" s="139" t="s">
        <v>9256</v>
      </c>
      <c r="D616" s="140" t="s">
        <v>9257</v>
      </c>
      <c r="E616" s="141" t="s">
        <v>8123</v>
      </c>
      <c r="F616" s="142" t="s">
        <v>9258</v>
      </c>
      <c r="G616" s="143">
        <v>528.09</v>
      </c>
      <c r="H616" s="144" t="s">
        <v>730</v>
      </c>
      <c r="I616" s="145"/>
      <c r="J616" s="145"/>
      <c r="K616" s="146">
        <v>528.09</v>
      </c>
    </row>
    <row r="617" spans="1:11" s="147" customFormat="1" ht="11.25" customHeight="1" x14ac:dyDescent="0.2">
      <c r="A617" s="795" t="s">
        <v>9035</v>
      </c>
      <c r="B617" s="138">
        <v>43434</v>
      </c>
      <c r="C617" s="139" t="s">
        <v>9256</v>
      </c>
      <c r="D617" s="140" t="s">
        <v>9269</v>
      </c>
      <c r="E617" s="141" t="s">
        <v>8123</v>
      </c>
      <c r="F617" s="142" t="s">
        <v>8976</v>
      </c>
      <c r="G617" s="143">
        <v>560.98</v>
      </c>
      <c r="H617" s="144" t="s">
        <v>730</v>
      </c>
      <c r="I617" s="145"/>
      <c r="J617" s="145"/>
      <c r="K617" s="146">
        <v>560.98</v>
      </c>
    </row>
    <row r="618" spans="1:11" s="147" customFormat="1" ht="11.25" customHeight="1" x14ac:dyDescent="0.2">
      <c r="A618" s="795" t="s">
        <v>8973</v>
      </c>
      <c r="B618" s="138">
        <v>43434</v>
      </c>
      <c r="C618" s="139" t="s">
        <v>8174</v>
      </c>
      <c r="D618" s="140" t="s">
        <v>9278</v>
      </c>
      <c r="E618" s="141" t="s">
        <v>8081</v>
      </c>
      <c r="F618" s="142" t="s">
        <v>8120</v>
      </c>
      <c r="G618" s="143">
        <v>568.21</v>
      </c>
      <c r="H618" s="144" t="s">
        <v>730</v>
      </c>
      <c r="I618" s="145"/>
      <c r="J618" s="145"/>
      <c r="K618" s="146">
        <v>568.21</v>
      </c>
    </row>
    <row r="619" spans="1:11" s="147" customFormat="1" ht="11.25" customHeight="1" x14ac:dyDescent="0.2">
      <c r="A619" s="795" t="s">
        <v>9035</v>
      </c>
      <c r="B619" s="138">
        <v>43434</v>
      </c>
      <c r="C619" s="139" t="s">
        <v>9256</v>
      </c>
      <c r="D619" s="140" t="s">
        <v>9269</v>
      </c>
      <c r="E619" s="141" t="s">
        <v>8123</v>
      </c>
      <c r="F619" s="142" t="s">
        <v>8976</v>
      </c>
      <c r="G619" s="143">
        <v>610.62</v>
      </c>
      <c r="H619" s="144" t="s">
        <v>730</v>
      </c>
      <c r="I619" s="145"/>
      <c r="J619" s="145"/>
      <c r="K619" s="146">
        <v>610.62</v>
      </c>
    </row>
    <row r="620" spans="1:11" s="147" customFormat="1" ht="11.25" customHeight="1" x14ac:dyDescent="0.2">
      <c r="A620" s="795" t="s">
        <v>9035</v>
      </c>
      <c r="B620" s="138">
        <v>43434</v>
      </c>
      <c r="C620" s="139" t="s">
        <v>9256</v>
      </c>
      <c r="D620" s="140" t="s">
        <v>9269</v>
      </c>
      <c r="E620" s="141" t="s">
        <v>8123</v>
      </c>
      <c r="F620" s="142" t="s">
        <v>8976</v>
      </c>
      <c r="G620" s="143">
        <v>626.4</v>
      </c>
      <c r="H620" s="144" t="s">
        <v>730</v>
      </c>
      <c r="I620" s="145"/>
      <c r="J620" s="145"/>
      <c r="K620" s="146">
        <v>626.4</v>
      </c>
    </row>
    <row r="621" spans="1:11" s="147" customFormat="1" ht="11.25" customHeight="1" x14ac:dyDescent="0.2">
      <c r="A621" s="795" t="s">
        <v>8973</v>
      </c>
      <c r="B621" s="138">
        <v>43434</v>
      </c>
      <c r="C621" s="139" t="s">
        <v>8174</v>
      </c>
      <c r="D621" s="140" t="s">
        <v>9261</v>
      </c>
      <c r="E621" s="141" t="s">
        <v>8081</v>
      </c>
      <c r="F621" s="142" t="s">
        <v>8118</v>
      </c>
      <c r="G621" s="143">
        <v>626.4</v>
      </c>
      <c r="H621" s="144" t="s">
        <v>730</v>
      </c>
      <c r="I621" s="145"/>
      <c r="J621" s="145"/>
      <c r="K621" s="146">
        <v>626.4</v>
      </c>
    </row>
    <row r="622" spans="1:11" s="147" customFormat="1" ht="11.25" customHeight="1" x14ac:dyDescent="0.2">
      <c r="A622" s="795" t="s">
        <v>9035</v>
      </c>
      <c r="B622" s="138">
        <v>43434</v>
      </c>
      <c r="C622" s="139" t="s">
        <v>9256</v>
      </c>
      <c r="D622" s="140" t="s">
        <v>9288</v>
      </c>
      <c r="E622" s="141" t="s">
        <v>8123</v>
      </c>
      <c r="F622" s="142" t="s">
        <v>8976</v>
      </c>
      <c r="G622" s="143">
        <v>642.96</v>
      </c>
      <c r="H622" s="144" t="s">
        <v>730</v>
      </c>
      <c r="I622" s="145"/>
      <c r="J622" s="145"/>
      <c r="K622" s="146">
        <v>642.96</v>
      </c>
    </row>
    <row r="623" spans="1:11" s="147" customFormat="1" ht="11.25" customHeight="1" x14ac:dyDescent="0.2">
      <c r="A623" s="795" t="s">
        <v>9035</v>
      </c>
      <c r="B623" s="138">
        <v>43434</v>
      </c>
      <c r="C623" s="139" t="s">
        <v>9256</v>
      </c>
      <c r="D623" s="140" t="s">
        <v>9269</v>
      </c>
      <c r="E623" s="141" t="s">
        <v>8123</v>
      </c>
      <c r="F623" s="142" t="s">
        <v>8976</v>
      </c>
      <c r="G623" s="143">
        <v>651.16999999999996</v>
      </c>
      <c r="H623" s="144" t="s">
        <v>730</v>
      </c>
      <c r="I623" s="145"/>
      <c r="J623" s="145"/>
      <c r="K623" s="146">
        <v>651.16999999999996</v>
      </c>
    </row>
    <row r="624" spans="1:11" s="147" customFormat="1" ht="11.25" customHeight="1" x14ac:dyDescent="0.2">
      <c r="A624" s="795" t="s">
        <v>9035</v>
      </c>
      <c r="B624" s="138">
        <v>43434</v>
      </c>
      <c r="C624" s="139" t="s">
        <v>9256</v>
      </c>
      <c r="D624" s="140" t="s">
        <v>9279</v>
      </c>
      <c r="E624" s="141" t="s">
        <v>8123</v>
      </c>
      <c r="F624" s="142" t="s">
        <v>8976</v>
      </c>
      <c r="G624" s="143">
        <v>652.22</v>
      </c>
      <c r="H624" s="144" t="s">
        <v>730</v>
      </c>
      <c r="I624" s="145"/>
      <c r="J624" s="145"/>
      <c r="K624" s="146">
        <v>652.22</v>
      </c>
    </row>
    <row r="625" spans="1:11" s="147" customFormat="1" ht="11.25" customHeight="1" x14ac:dyDescent="0.2">
      <c r="A625" s="795" t="s">
        <v>8973</v>
      </c>
      <c r="B625" s="138">
        <v>43434</v>
      </c>
      <c r="C625" s="139" t="s">
        <v>8974</v>
      </c>
      <c r="D625" s="140" t="s">
        <v>9253</v>
      </c>
      <c r="E625" s="141" t="s">
        <v>8081</v>
      </c>
      <c r="F625" s="142" t="s">
        <v>9254</v>
      </c>
      <c r="G625" s="143">
        <v>706.44</v>
      </c>
      <c r="H625" s="144" t="s">
        <v>730</v>
      </c>
      <c r="I625" s="145"/>
      <c r="J625" s="145"/>
      <c r="K625" s="146">
        <v>706.44</v>
      </c>
    </row>
    <row r="626" spans="1:11" s="147" customFormat="1" ht="11.25" customHeight="1" x14ac:dyDescent="0.2">
      <c r="A626" s="795" t="s">
        <v>8973</v>
      </c>
      <c r="B626" s="138">
        <v>43434</v>
      </c>
      <c r="C626" s="139" t="s">
        <v>8174</v>
      </c>
      <c r="D626" s="140" t="s">
        <v>9278</v>
      </c>
      <c r="E626" s="141" t="s">
        <v>8081</v>
      </c>
      <c r="F626" s="142" t="s">
        <v>8120</v>
      </c>
      <c r="G626" s="143">
        <v>707.14</v>
      </c>
      <c r="H626" s="144" t="s">
        <v>730</v>
      </c>
      <c r="I626" s="145"/>
      <c r="J626" s="145"/>
      <c r="K626" s="146">
        <v>707.14</v>
      </c>
    </row>
    <row r="627" spans="1:11" s="147" customFormat="1" ht="11.25" customHeight="1" x14ac:dyDescent="0.2">
      <c r="A627" s="795" t="s">
        <v>8973</v>
      </c>
      <c r="B627" s="138">
        <v>43434</v>
      </c>
      <c r="C627" s="139" t="s">
        <v>8174</v>
      </c>
      <c r="D627" s="140" t="s">
        <v>9282</v>
      </c>
      <c r="E627" s="141" t="s">
        <v>8081</v>
      </c>
      <c r="F627" s="142" t="s">
        <v>9254</v>
      </c>
      <c r="G627" s="143">
        <v>707.14</v>
      </c>
      <c r="H627" s="144" t="s">
        <v>730</v>
      </c>
      <c r="I627" s="145"/>
      <c r="J627" s="145"/>
      <c r="K627" s="146">
        <v>707.14</v>
      </c>
    </row>
    <row r="628" spans="1:11" s="147" customFormat="1" ht="11.25" customHeight="1" x14ac:dyDescent="0.2">
      <c r="A628" s="795" t="s">
        <v>8973</v>
      </c>
      <c r="B628" s="138">
        <v>43434</v>
      </c>
      <c r="C628" s="139" t="s">
        <v>8174</v>
      </c>
      <c r="D628" s="140" t="s">
        <v>9280</v>
      </c>
      <c r="E628" s="141" t="s">
        <v>8081</v>
      </c>
      <c r="F628" s="142" t="s">
        <v>8976</v>
      </c>
      <c r="G628" s="143">
        <v>707.14</v>
      </c>
      <c r="H628" s="144" t="s">
        <v>730</v>
      </c>
      <c r="I628" s="145"/>
      <c r="J628" s="145"/>
      <c r="K628" s="146">
        <v>707.14</v>
      </c>
    </row>
    <row r="629" spans="1:11" s="147" customFormat="1" ht="11.25" customHeight="1" x14ac:dyDescent="0.2">
      <c r="A629" s="795" t="s">
        <v>8973</v>
      </c>
      <c r="B629" s="138">
        <v>43434</v>
      </c>
      <c r="C629" s="139" t="s">
        <v>8174</v>
      </c>
      <c r="D629" s="140" t="s">
        <v>9255</v>
      </c>
      <c r="E629" s="141" t="s">
        <v>8081</v>
      </c>
      <c r="F629" s="142" t="s">
        <v>8976</v>
      </c>
      <c r="G629" s="143">
        <v>707.14</v>
      </c>
      <c r="H629" s="144" t="s">
        <v>730</v>
      </c>
      <c r="I629" s="145"/>
      <c r="J629" s="145"/>
      <c r="K629" s="146">
        <v>707.14</v>
      </c>
    </row>
    <row r="630" spans="1:11" s="147" customFormat="1" ht="11.25" customHeight="1" x14ac:dyDescent="0.2">
      <c r="A630" s="795" t="s">
        <v>8973</v>
      </c>
      <c r="B630" s="138">
        <v>43434</v>
      </c>
      <c r="C630" s="139" t="s">
        <v>8174</v>
      </c>
      <c r="D630" s="140" t="s">
        <v>9289</v>
      </c>
      <c r="E630" s="141" t="s">
        <v>8081</v>
      </c>
      <c r="F630" s="142" t="s">
        <v>8976</v>
      </c>
      <c r="G630" s="143">
        <v>707.14</v>
      </c>
      <c r="H630" s="144" t="s">
        <v>730</v>
      </c>
      <c r="I630" s="145"/>
      <c r="J630" s="145"/>
      <c r="K630" s="146">
        <v>707.14</v>
      </c>
    </row>
    <row r="631" spans="1:11" s="147" customFormat="1" ht="11.25" customHeight="1" x14ac:dyDescent="0.2">
      <c r="A631" s="795" t="s">
        <v>8973</v>
      </c>
      <c r="B631" s="138">
        <v>43434</v>
      </c>
      <c r="C631" s="139" t="s">
        <v>8974</v>
      </c>
      <c r="D631" s="140" t="s">
        <v>9290</v>
      </c>
      <c r="E631" s="141" t="s">
        <v>8081</v>
      </c>
      <c r="F631" s="142" t="s">
        <v>8116</v>
      </c>
      <c r="G631" s="143">
        <v>714.53</v>
      </c>
      <c r="H631" s="144" t="s">
        <v>730</v>
      </c>
      <c r="I631" s="145"/>
      <c r="J631" s="145"/>
      <c r="K631" s="146">
        <v>714.53</v>
      </c>
    </row>
    <row r="632" spans="1:11" s="147" customFormat="1" ht="11.25" customHeight="1" x14ac:dyDescent="0.2">
      <c r="A632" s="795" t="s">
        <v>9035</v>
      </c>
      <c r="B632" s="138">
        <v>43434</v>
      </c>
      <c r="C632" s="139" t="s">
        <v>9256</v>
      </c>
      <c r="D632" s="140" t="s">
        <v>9288</v>
      </c>
      <c r="E632" s="141" t="s">
        <v>8123</v>
      </c>
      <c r="F632" s="142" t="s">
        <v>8976</v>
      </c>
      <c r="G632" s="143">
        <v>731.84</v>
      </c>
      <c r="H632" s="144" t="s">
        <v>730</v>
      </c>
      <c r="I632" s="145"/>
      <c r="J632" s="145"/>
      <c r="K632" s="146">
        <v>731.84</v>
      </c>
    </row>
    <row r="633" spans="1:11" s="147" customFormat="1" ht="11.25" customHeight="1" x14ac:dyDescent="0.2">
      <c r="A633" s="795" t="s">
        <v>9035</v>
      </c>
      <c r="B633" s="138">
        <v>43434</v>
      </c>
      <c r="C633" s="139" t="s">
        <v>9259</v>
      </c>
      <c r="D633" s="140" t="s">
        <v>9291</v>
      </c>
      <c r="E633" s="141" t="s">
        <v>8123</v>
      </c>
      <c r="F633" s="142" t="s">
        <v>8116</v>
      </c>
      <c r="G633" s="143">
        <v>771.46</v>
      </c>
      <c r="H633" s="144" t="s">
        <v>730</v>
      </c>
      <c r="I633" s="145"/>
      <c r="J633" s="145"/>
      <c r="K633" s="146">
        <v>771.46</v>
      </c>
    </row>
    <row r="634" spans="1:11" s="147" customFormat="1" ht="11.25" customHeight="1" x14ac:dyDescent="0.2">
      <c r="A634" s="795" t="s">
        <v>8973</v>
      </c>
      <c r="B634" s="138">
        <v>43434</v>
      </c>
      <c r="C634" s="139" t="s">
        <v>8174</v>
      </c>
      <c r="D634" s="140" t="s">
        <v>9292</v>
      </c>
      <c r="E634" s="141" t="s">
        <v>8081</v>
      </c>
      <c r="F634" s="142" t="s">
        <v>8116</v>
      </c>
      <c r="G634" s="143">
        <v>774.44</v>
      </c>
      <c r="H634" s="144" t="s">
        <v>730</v>
      </c>
      <c r="I634" s="145"/>
      <c r="J634" s="145"/>
      <c r="K634" s="146">
        <v>774.44</v>
      </c>
    </row>
    <row r="635" spans="1:11" s="147" customFormat="1" ht="11.25" customHeight="1" x14ac:dyDescent="0.2">
      <c r="A635" s="795" t="s">
        <v>9035</v>
      </c>
      <c r="B635" s="138">
        <v>43434</v>
      </c>
      <c r="C635" s="139" t="s">
        <v>9256</v>
      </c>
      <c r="D635" s="140" t="s">
        <v>9279</v>
      </c>
      <c r="E635" s="141" t="s">
        <v>8123</v>
      </c>
      <c r="F635" s="142" t="s">
        <v>8976</v>
      </c>
      <c r="G635" s="143">
        <v>789.5</v>
      </c>
      <c r="H635" s="144" t="s">
        <v>730</v>
      </c>
      <c r="I635" s="145"/>
      <c r="J635" s="145"/>
      <c r="K635" s="146">
        <v>789.5</v>
      </c>
    </row>
    <row r="636" spans="1:11" s="147" customFormat="1" ht="11.25" customHeight="1" x14ac:dyDescent="0.2">
      <c r="A636" s="795" t="s">
        <v>9035</v>
      </c>
      <c r="B636" s="138">
        <v>43434</v>
      </c>
      <c r="C636" s="139" t="s">
        <v>9256</v>
      </c>
      <c r="D636" s="140" t="s">
        <v>9288</v>
      </c>
      <c r="E636" s="141" t="s">
        <v>8123</v>
      </c>
      <c r="F636" s="142" t="s">
        <v>8976</v>
      </c>
      <c r="G636" s="143">
        <v>820.17</v>
      </c>
      <c r="H636" s="144" t="s">
        <v>730</v>
      </c>
      <c r="I636" s="145"/>
      <c r="J636" s="145"/>
      <c r="K636" s="146">
        <v>820.17</v>
      </c>
    </row>
    <row r="637" spans="1:11" s="147" customFormat="1" ht="11.25" customHeight="1" x14ac:dyDescent="0.2">
      <c r="A637" s="795" t="s">
        <v>9035</v>
      </c>
      <c r="B637" s="138">
        <v>43434</v>
      </c>
      <c r="C637" s="139" t="s">
        <v>9262</v>
      </c>
      <c r="D637" s="140" t="s">
        <v>9263</v>
      </c>
      <c r="E637" s="141" t="s">
        <v>8123</v>
      </c>
      <c r="F637" s="142" t="s">
        <v>8976</v>
      </c>
      <c r="G637" s="143">
        <v>855.15</v>
      </c>
      <c r="H637" s="144" t="s">
        <v>730</v>
      </c>
      <c r="I637" s="145"/>
      <c r="J637" s="145"/>
      <c r="K637" s="146">
        <v>855.15</v>
      </c>
    </row>
    <row r="638" spans="1:11" s="147" customFormat="1" ht="11.25" customHeight="1" x14ac:dyDescent="0.2">
      <c r="A638" s="795" t="s">
        <v>9035</v>
      </c>
      <c r="B638" s="138">
        <v>43434</v>
      </c>
      <c r="C638" s="139" t="s">
        <v>9262</v>
      </c>
      <c r="D638" s="140" t="s">
        <v>9263</v>
      </c>
      <c r="E638" s="141" t="s">
        <v>8123</v>
      </c>
      <c r="F638" s="142" t="s">
        <v>8976</v>
      </c>
      <c r="G638" s="143">
        <v>855.15</v>
      </c>
      <c r="H638" s="144" t="s">
        <v>730</v>
      </c>
      <c r="I638" s="145"/>
      <c r="J638" s="145"/>
      <c r="K638" s="146">
        <v>855.15</v>
      </c>
    </row>
    <row r="639" spans="1:11" s="147" customFormat="1" ht="11.25" customHeight="1" x14ac:dyDescent="0.2">
      <c r="A639" s="795" t="s">
        <v>9035</v>
      </c>
      <c r="B639" s="138">
        <v>43434</v>
      </c>
      <c r="C639" s="139" t="s">
        <v>9259</v>
      </c>
      <c r="D639" s="140" t="s">
        <v>9291</v>
      </c>
      <c r="E639" s="141" t="s">
        <v>8123</v>
      </c>
      <c r="F639" s="142" t="s">
        <v>8116</v>
      </c>
      <c r="G639" s="143">
        <v>885.4</v>
      </c>
      <c r="H639" s="144" t="s">
        <v>730</v>
      </c>
      <c r="I639" s="145"/>
      <c r="J639" s="145"/>
      <c r="K639" s="146">
        <v>885.4</v>
      </c>
    </row>
    <row r="640" spans="1:11" s="147" customFormat="1" ht="11.25" customHeight="1" x14ac:dyDescent="0.2">
      <c r="A640" s="795" t="s">
        <v>9035</v>
      </c>
      <c r="B640" s="138">
        <v>43434</v>
      </c>
      <c r="C640" s="139" t="s">
        <v>9256</v>
      </c>
      <c r="D640" s="140" t="s">
        <v>9279</v>
      </c>
      <c r="E640" s="141" t="s">
        <v>8123</v>
      </c>
      <c r="F640" s="142" t="s">
        <v>8976</v>
      </c>
      <c r="G640" s="143">
        <v>932.81</v>
      </c>
      <c r="H640" s="144" t="s">
        <v>730</v>
      </c>
      <c r="I640" s="145"/>
      <c r="J640" s="145"/>
      <c r="K640" s="146">
        <v>932.81</v>
      </c>
    </row>
    <row r="641" spans="1:11" s="147" customFormat="1" ht="11.25" customHeight="1" x14ac:dyDescent="0.2">
      <c r="A641" s="795" t="s">
        <v>9035</v>
      </c>
      <c r="B641" s="138">
        <v>43434</v>
      </c>
      <c r="C641" s="139" t="s">
        <v>9256</v>
      </c>
      <c r="D641" s="140" t="s">
        <v>9269</v>
      </c>
      <c r="E641" s="141" t="s">
        <v>8123</v>
      </c>
      <c r="F641" s="142" t="s">
        <v>8976</v>
      </c>
      <c r="G641" s="143">
        <v>944.24</v>
      </c>
      <c r="H641" s="144" t="s">
        <v>730</v>
      </c>
      <c r="I641" s="145"/>
      <c r="J641" s="145"/>
      <c r="K641" s="146">
        <v>944.24</v>
      </c>
    </row>
    <row r="642" spans="1:11" s="147" customFormat="1" ht="11.25" customHeight="1" x14ac:dyDescent="0.2">
      <c r="A642" s="795" t="s">
        <v>9264</v>
      </c>
      <c r="B642" s="138">
        <v>43434</v>
      </c>
      <c r="C642" s="139" t="s">
        <v>9265</v>
      </c>
      <c r="D642" s="140" t="s">
        <v>9276</v>
      </c>
      <c r="E642" s="141" t="s">
        <v>8117</v>
      </c>
      <c r="F642" s="142" t="s">
        <v>8120</v>
      </c>
      <c r="G642" s="143">
        <v>999.66</v>
      </c>
      <c r="H642" s="144" t="s">
        <v>730</v>
      </c>
      <c r="I642" s="145"/>
      <c r="J642" s="145"/>
      <c r="K642" s="146">
        <v>999.66</v>
      </c>
    </row>
    <row r="643" spans="1:11" s="147" customFormat="1" ht="11.25" customHeight="1" x14ac:dyDescent="0.2">
      <c r="A643" s="795" t="s">
        <v>8973</v>
      </c>
      <c r="B643" s="138">
        <v>43434</v>
      </c>
      <c r="C643" s="139" t="s">
        <v>8174</v>
      </c>
      <c r="D643" s="140" t="s">
        <v>9292</v>
      </c>
      <c r="E643" s="141" t="s">
        <v>8081</v>
      </c>
      <c r="F643" s="142" t="s">
        <v>8116</v>
      </c>
      <c r="G643" s="143">
        <v>1087.1500000000001</v>
      </c>
      <c r="H643" s="144" t="s">
        <v>730</v>
      </c>
      <c r="I643" s="145"/>
      <c r="J643" s="145"/>
      <c r="K643" s="146">
        <v>1087.1500000000001</v>
      </c>
    </row>
    <row r="644" spans="1:11" s="147" customFormat="1" ht="11.25" customHeight="1" x14ac:dyDescent="0.2">
      <c r="A644" s="795" t="s">
        <v>9035</v>
      </c>
      <c r="B644" s="138">
        <v>43434</v>
      </c>
      <c r="C644" s="139" t="s">
        <v>9262</v>
      </c>
      <c r="D644" s="140" t="s">
        <v>9273</v>
      </c>
      <c r="E644" s="141" t="s">
        <v>8123</v>
      </c>
      <c r="F644" s="142" t="s">
        <v>8116</v>
      </c>
      <c r="G644" s="143">
        <v>1266.72</v>
      </c>
      <c r="H644" s="144" t="s">
        <v>730</v>
      </c>
      <c r="I644" s="145"/>
      <c r="J644" s="145"/>
      <c r="K644" s="146">
        <v>1266.72</v>
      </c>
    </row>
    <row r="645" spans="1:11" s="147" customFormat="1" ht="11.25" customHeight="1" x14ac:dyDescent="0.2">
      <c r="A645" s="795" t="s">
        <v>8973</v>
      </c>
      <c r="B645" s="138">
        <v>43434</v>
      </c>
      <c r="C645" s="139" t="s">
        <v>8174</v>
      </c>
      <c r="D645" s="140" t="s">
        <v>9255</v>
      </c>
      <c r="E645" s="141" t="s">
        <v>8081</v>
      </c>
      <c r="F645" s="142" t="s">
        <v>8976</v>
      </c>
      <c r="G645" s="143">
        <v>1457.42</v>
      </c>
      <c r="H645" s="144" t="s">
        <v>730</v>
      </c>
      <c r="I645" s="145"/>
      <c r="J645" s="145"/>
      <c r="K645" s="146">
        <v>1457.42</v>
      </c>
    </row>
    <row r="646" spans="1:11" s="147" customFormat="1" ht="11.25" customHeight="1" x14ac:dyDescent="0.2">
      <c r="A646" s="795" t="s">
        <v>9264</v>
      </c>
      <c r="B646" s="138">
        <v>43434</v>
      </c>
      <c r="C646" s="139" t="s">
        <v>9265</v>
      </c>
      <c r="D646" s="140" t="s">
        <v>9276</v>
      </c>
      <c r="E646" s="141" t="s">
        <v>8117</v>
      </c>
      <c r="F646" s="142" t="s">
        <v>8120</v>
      </c>
      <c r="G646" s="143">
        <v>1492.8</v>
      </c>
      <c r="H646" s="144" t="s">
        <v>730</v>
      </c>
      <c r="I646" s="145"/>
      <c r="J646" s="145"/>
      <c r="K646" s="146">
        <v>1492.8</v>
      </c>
    </row>
    <row r="647" spans="1:11" s="147" customFormat="1" ht="11.25" customHeight="1" x14ac:dyDescent="0.2">
      <c r="A647" s="795" t="s">
        <v>9035</v>
      </c>
      <c r="B647" s="138">
        <v>43434</v>
      </c>
      <c r="C647" s="139" t="s">
        <v>9256</v>
      </c>
      <c r="D647" s="140" t="s">
        <v>9279</v>
      </c>
      <c r="E647" s="141" t="s">
        <v>8123</v>
      </c>
      <c r="F647" s="142" t="s">
        <v>8976</v>
      </c>
      <c r="G647" s="143">
        <v>1530.85</v>
      </c>
      <c r="H647" s="144" t="s">
        <v>730</v>
      </c>
      <c r="I647" s="145"/>
      <c r="J647" s="145"/>
      <c r="K647" s="146">
        <v>1530.85</v>
      </c>
    </row>
    <row r="648" spans="1:11" s="147" customFormat="1" ht="11.25" customHeight="1" x14ac:dyDescent="0.2">
      <c r="A648" s="795" t="s">
        <v>9264</v>
      </c>
      <c r="B648" s="138">
        <v>43434</v>
      </c>
      <c r="C648" s="139" t="s">
        <v>9265</v>
      </c>
      <c r="D648" s="140" t="s">
        <v>9285</v>
      </c>
      <c r="E648" s="141" t="s">
        <v>8117</v>
      </c>
      <c r="F648" s="142" t="s">
        <v>8976</v>
      </c>
      <c r="G648" s="143">
        <v>1675.5</v>
      </c>
      <c r="H648" s="144" t="s">
        <v>730</v>
      </c>
      <c r="I648" s="145"/>
      <c r="J648" s="145"/>
      <c r="K648" s="146">
        <v>1675.5</v>
      </c>
    </row>
    <row r="649" spans="1:11" s="147" customFormat="1" ht="11.25" customHeight="1" x14ac:dyDescent="0.2">
      <c r="A649" s="795" t="s">
        <v>9035</v>
      </c>
      <c r="B649" s="138">
        <v>43434</v>
      </c>
      <c r="C649" s="139" t="s">
        <v>9256</v>
      </c>
      <c r="D649" s="140" t="s">
        <v>9279</v>
      </c>
      <c r="E649" s="141" t="s">
        <v>8123</v>
      </c>
      <c r="F649" s="142" t="s">
        <v>8976</v>
      </c>
      <c r="G649" s="143">
        <v>1708.91</v>
      </c>
      <c r="H649" s="144" t="s">
        <v>730</v>
      </c>
      <c r="I649" s="145"/>
      <c r="J649" s="145"/>
      <c r="K649" s="146">
        <v>1708.91</v>
      </c>
    </row>
    <row r="650" spans="1:11" s="147" customFormat="1" ht="11.25" customHeight="1" x14ac:dyDescent="0.2">
      <c r="A650" s="795" t="s">
        <v>8973</v>
      </c>
      <c r="B650" s="138">
        <v>43434</v>
      </c>
      <c r="C650" s="139" t="s">
        <v>8174</v>
      </c>
      <c r="D650" s="140" t="s">
        <v>9293</v>
      </c>
      <c r="E650" s="141" t="s">
        <v>8081</v>
      </c>
      <c r="F650" s="142" t="s">
        <v>8116</v>
      </c>
      <c r="G650" s="143">
        <v>1942.29</v>
      </c>
      <c r="H650" s="144" t="s">
        <v>730</v>
      </c>
      <c r="I650" s="145"/>
      <c r="J650" s="145"/>
      <c r="K650" s="146">
        <v>1942.29</v>
      </c>
    </row>
    <row r="651" spans="1:11" s="147" customFormat="1" ht="11.25" customHeight="1" x14ac:dyDescent="0.2">
      <c r="A651" s="795" t="s">
        <v>8973</v>
      </c>
      <c r="B651" s="138">
        <v>43434</v>
      </c>
      <c r="C651" s="139" t="s">
        <v>8174</v>
      </c>
      <c r="D651" s="140" t="s">
        <v>9293</v>
      </c>
      <c r="E651" s="141" t="s">
        <v>8081</v>
      </c>
      <c r="F651" s="142" t="s">
        <v>8116</v>
      </c>
      <c r="G651" s="143">
        <v>1942.29</v>
      </c>
      <c r="H651" s="144" t="s">
        <v>730</v>
      </c>
      <c r="I651" s="145"/>
      <c r="J651" s="145"/>
      <c r="K651" s="146">
        <v>1942.29</v>
      </c>
    </row>
    <row r="652" spans="1:11" s="147" customFormat="1" ht="11.25" customHeight="1" x14ac:dyDescent="0.2">
      <c r="A652" s="795" t="s">
        <v>8973</v>
      </c>
      <c r="B652" s="138">
        <v>43434</v>
      </c>
      <c r="C652" s="139" t="s">
        <v>8174</v>
      </c>
      <c r="D652" s="140" t="s">
        <v>9293</v>
      </c>
      <c r="E652" s="141" t="s">
        <v>8081</v>
      </c>
      <c r="F652" s="142" t="s">
        <v>8116</v>
      </c>
      <c r="G652" s="143">
        <v>1942.29</v>
      </c>
      <c r="H652" s="144" t="s">
        <v>730</v>
      </c>
      <c r="I652" s="145"/>
      <c r="J652" s="145"/>
      <c r="K652" s="146">
        <v>1942.29</v>
      </c>
    </row>
    <row r="653" spans="1:11" s="147" customFormat="1" ht="11.25" customHeight="1" x14ac:dyDescent="0.2">
      <c r="A653" s="795" t="s">
        <v>9035</v>
      </c>
      <c r="B653" s="138">
        <v>43434</v>
      </c>
      <c r="C653" s="139" t="s">
        <v>9256</v>
      </c>
      <c r="D653" s="140" t="s">
        <v>9269</v>
      </c>
      <c r="E653" s="141" t="s">
        <v>8123</v>
      </c>
      <c r="F653" s="142" t="s">
        <v>8976</v>
      </c>
      <c r="G653" s="143">
        <v>2009.21</v>
      </c>
      <c r="H653" s="144" t="s">
        <v>730</v>
      </c>
      <c r="I653" s="145"/>
      <c r="J653" s="145"/>
      <c r="K653" s="146">
        <v>2009.21</v>
      </c>
    </row>
    <row r="654" spans="1:11" s="147" customFormat="1" ht="11.25" customHeight="1" x14ac:dyDescent="0.2">
      <c r="A654" s="795" t="s">
        <v>8973</v>
      </c>
      <c r="B654" s="138">
        <v>43434</v>
      </c>
      <c r="C654" s="139" t="s">
        <v>8174</v>
      </c>
      <c r="D654" s="140" t="s">
        <v>9293</v>
      </c>
      <c r="E654" s="141" t="s">
        <v>8081</v>
      </c>
      <c r="F654" s="142" t="s">
        <v>8116</v>
      </c>
      <c r="G654" s="143">
        <v>2532.54</v>
      </c>
      <c r="H654" s="144" t="s">
        <v>730</v>
      </c>
      <c r="I654" s="145"/>
      <c r="J654" s="145"/>
      <c r="K654" s="146">
        <v>2532.54</v>
      </c>
    </row>
    <row r="655" spans="1:11" s="147" customFormat="1" ht="11.25" customHeight="1" x14ac:dyDescent="0.2">
      <c r="A655" s="795" t="s">
        <v>9035</v>
      </c>
      <c r="B655" s="138">
        <v>43434</v>
      </c>
      <c r="C655" s="139" t="s">
        <v>9256</v>
      </c>
      <c r="D655" s="140" t="s">
        <v>9269</v>
      </c>
      <c r="E655" s="141" t="s">
        <v>8123</v>
      </c>
      <c r="F655" s="142" t="s">
        <v>8976</v>
      </c>
      <c r="G655" s="143">
        <v>3814.54</v>
      </c>
      <c r="H655" s="144" t="s">
        <v>730</v>
      </c>
      <c r="I655" s="145"/>
      <c r="J655" s="145"/>
      <c r="K655" s="146">
        <v>3814.54</v>
      </c>
    </row>
    <row r="656" spans="1:11" s="147" customFormat="1" ht="11.25" customHeight="1" x14ac:dyDescent="0.2">
      <c r="A656" s="795" t="s">
        <v>8973</v>
      </c>
      <c r="B656" s="138">
        <v>43434</v>
      </c>
      <c r="C656" s="139" t="s">
        <v>8974</v>
      </c>
      <c r="D656" s="140" t="s">
        <v>9294</v>
      </c>
      <c r="E656" s="141" t="s">
        <v>8081</v>
      </c>
      <c r="F656" s="142" t="s">
        <v>9295</v>
      </c>
      <c r="G656" s="143">
        <v>4755.4399999999996</v>
      </c>
      <c r="H656" s="144" t="s">
        <v>730</v>
      </c>
      <c r="I656" s="145"/>
      <c r="J656" s="145"/>
      <c r="K656" s="146">
        <v>4755.4399999999996</v>
      </c>
    </row>
    <row r="657" spans="1:11" s="147" customFormat="1" ht="11.25" customHeight="1" x14ac:dyDescent="0.2">
      <c r="A657" s="795" t="s">
        <v>9296</v>
      </c>
      <c r="B657" s="138">
        <v>43434</v>
      </c>
      <c r="C657" s="139" t="s">
        <v>9297</v>
      </c>
      <c r="D657" s="140" t="s">
        <v>8130</v>
      </c>
      <c r="E657" s="141" t="s">
        <v>9298</v>
      </c>
      <c r="F657" s="142" t="s">
        <v>9299</v>
      </c>
      <c r="G657" s="143">
        <v>17.399999999999999</v>
      </c>
      <c r="H657" s="144" t="s">
        <v>730</v>
      </c>
      <c r="I657" s="145"/>
      <c r="J657" s="145"/>
      <c r="K657" s="146">
        <v>17.399999999999999</v>
      </c>
    </row>
    <row r="658" spans="1:11" s="147" customFormat="1" ht="11.25" customHeight="1" x14ac:dyDescent="0.2">
      <c r="A658" s="795" t="s">
        <v>9296</v>
      </c>
      <c r="B658" s="138">
        <v>43434</v>
      </c>
      <c r="C658" s="139" t="s">
        <v>9297</v>
      </c>
      <c r="D658" s="140" t="s">
        <v>8130</v>
      </c>
      <c r="E658" s="141" t="s">
        <v>9298</v>
      </c>
      <c r="F658" s="142" t="s">
        <v>9299</v>
      </c>
      <c r="G658" s="143">
        <v>114.84</v>
      </c>
      <c r="H658" s="144" t="s">
        <v>730</v>
      </c>
      <c r="I658" s="145"/>
      <c r="J658" s="145"/>
      <c r="K658" s="146">
        <v>114.84</v>
      </c>
    </row>
    <row r="659" spans="1:11" s="147" customFormat="1" ht="11.25" customHeight="1" x14ac:dyDescent="0.2">
      <c r="A659" s="795" t="s">
        <v>9296</v>
      </c>
      <c r="B659" s="138">
        <v>43434</v>
      </c>
      <c r="C659" s="139" t="s">
        <v>9297</v>
      </c>
      <c r="D659" s="140" t="s">
        <v>8130</v>
      </c>
      <c r="E659" s="141" t="s">
        <v>9298</v>
      </c>
      <c r="F659" s="142" t="s">
        <v>9299</v>
      </c>
      <c r="G659" s="143">
        <v>208.8</v>
      </c>
      <c r="H659" s="144" t="s">
        <v>730</v>
      </c>
      <c r="I659" s="145"/>
      <c r="J659" s="145"/>
      <c r="K659" s="146">
        <v>208.8</v>
      </c>
    </row>
    <row r="660" spans="1:11" s="147" customFormat="1" ht="11.25" customHeight="1" x14ac:dyDescent="0.2">
      <c r="A660" s="795" t="s">
        <v>9296</v>
      </c>
      <c r="B660" s="138">
        <v>43434</v>
      </c>
      <c r="C660" s="139" t="s">
        <v>9297</v>
      </c>
      <c r="D660" s="140" t="s">
        <v>9300</v>
      </c>
      <c r="E660" s="141" t="s">
        <v>9298</v>
      </c>
      <c r="F660" s="142" t="s">
        <v>9301</v>
      </c>
      <c r="G660" s="143">
        <v>255.2</v>
      </c>
      <c r="H660" s="144" t="s">
        <v>730</v>
      </c>
      <c r="I660" s="145"/>
      <c r="J660" s="145"/>
      <c r="K660" s="146">
        <v>255.2</v>
      </c>
    </row>
    <row r="661" spans="1:11" s="147" customFormat="1" ht="11.25" customHeight="1" x14ac:dyDescent="0.2">
      <c r="A661" s="795" t="s">
        <v>9296</v>
      </c>
      <c r="B661" s="138">
        <v>43434</v>
      </c>
      <c r="C661" s="139" t="s">
        <v>9297</v>
      </c>
      <c r="D661" s="140" t="s">
        <v>8130</v>
      </c>
      <c r="E661" s="141" t="s">
        <v>9298</v>
      </c>
      <c r="F661" s="142" t="s">
        <v>9299</v>
      </c>
      <c r="G661" s="143">
        <v>278.39999999999998</v>
      </c>
      <c r="H661" s="144" t="s">
        <v>730</v>
      </c>
      <c r="I661" s="145"/>
      <c r="J661" s="145"/>
      <c r="K661" s="146">
        <v>278.39999999999998</v>
      </c>
    </row>
    <row r="662" spans="1:11" s="147" customFormat="1" ht="11.25" customHeight="1" x14ac:dyDescent="0.2">
      <c r="A662" s="795" t="s">
        <v>9296</v>
      </c>
      <c r="B662" s="138">
        <v>43434</v>
      </c>
      <c r="C662" s="139" t="s">
        <v>9297</v>
      </c>
      <c r="D662" s="140" t="s">
        <v>9300</v>
      </c>
      <c r="E662" s="141" t="s">
        <v>9298</v>
      </c>
      <c r="F662" s="142" t="s">
        <v>9301</v>
      </c>
      <c r="G662" s="143">
        <v>284.2</v>
      </c>
      <c r="H662" s="144" t="s">
        <v>730</v>
      </c>
      <c r="I662" s="145"/>
      <c r="J662" s="145"/>
      <c r="K662" s="146">
        <v>284.2</v>
      </c>
    </row>
    <row r="663" spans="1:11" s="147" customFormat="1" ht="11.25" customHeight="1" x14ac:dyDescent="0.2">
      <c r="A663" s="795" t="s">
        <v>9296</v>
      </c>
      <c r="B663" s="138">
        <v>43434</v>
      </c>
      <c r="C663" s="139" t="s">
        <v>9297</v>
      </c>
      <c r="D663" s="140" t="s">
        <v>9300</v>
      </c>
      <c r="E663" s="141" t="s">
        <v>9298</v>
      </c>
      <c r="F663" s="142" t="s">
        <v>9301</v>
      </c>
      <c r="G663" s="143">
        <v>324.8</v>
      </c>
      <c r="H663" s="144" t="s">
        <v>730</v>
      </c>
      <c r="I663" s="145"/>
      <c r="J663" s="145"/>
      <c r="K663" s="146">
        <v>324.8</v>
      </c>
    </row>
    <row r="664" spans="1:11" s="147" customFormat="1" ht="11.25" customHeight="1" x14ac:dyDescent="0.2">
      <c r="A664" s="795" t="s">
        <v>9296</v>
      </c>
      <c r="B664" s="138">
        <v>43434</v>
      </c>
      <c r="C664" s="139" t="s">
        <v>9297</v>
      </c>
      <c r="D664" s="140" t="s">
        <v>9300</v>
      </c>
      <c r="E664" s="141" t="s">
        <v>9298</v>
      </c>
      <c r="F664" s="142" t="s">
        <v>9301</v>
      </c>
      <c r="G664" s="143">
        <v>324.8</v>
      </c>
      <c r="H664" s="144" t="s">
        <v>730</v>
      </c>
      <c r="I664" s="145"/>
      <c r="J664" s="145"/>
      <c r="K664" s="146">
        <v>324.8</v>
      </c>
    </row>
    <row r="665" spans="1:11" s="147" customFormat="1" ht="11.25" customHeight="1" x14ac:dyDescent="0.2">
      <c r="A665" s="795" t="s">
        <v>9296</v>
      </c>
      <c r="B665" s="138">
        <v>43434</v>
      </c>
      <c r="C665" s="139" t="s">
        <v>9297</v>
      </c>
      <c r="D665" s="140" t="s">
        <v>8130</v>
      </c>
      <c r="E665" s="141" t="s">
        <v>9298</v>
      </c>
      <c r="F665" s="142" t="s">
        <v>9299</v>
      </c>
      <c r="G665" s="143">
        <v>336.4</v>
      </c>
      <c r="H665" s="144" t="s">
        <v>730</v>
      </c>
      <c r="I665" s="145"/>
      <c r="J665" s="145"/>
      <c r="K665" s="146">
        <v>336.4</v>
      </c>
    </row>
    <row r="666" spans="1:11" s="147" customFormat="1" ht="11.25" customHeight="1" x14ac:dyDescent="0.2">
      <c r="A666" s="795" t="s">
        <v>9296</v>
      </c>
      <c r="B666" s="138">
        <v>43434</v>
      </c>
      <c r="C666" s="139" t="s">
        <v>9297</v>
      </c>
      <c r="D666" s="140" t="s">
        <v>9300</v>
      </c>
      <c r="E666" s="141" t="s">
        <v>9298</v>
      </c>
      <c r="F666" s="142" t="s">
        <v>9301</v>
      </c>
      <c r="G666" s="143">
        <v>361.92</v>
      </c>
      <c r="H666" s="144" t="s">
        <v>730</v>
      </c>
      <c r="I666" s="145"/>
      <c r="J666" s="145"/>
      <c r="K666" s="146">
        <v>361.92</v>
      </c>
    </row>
    <row r="667" spans="1:11" s="147" customFormat="1" ht="11.25" customHeight="1" x14ac:dyDescent="0.2">
      <c r="A667" s="795" t="s">
        <v>9296</v>
      </c>
      <c r="B667" s="138">
        <v>43434</v>
      </c>
      <c r="C667" s="139" t="s">
        <v>9297</v>
      </c>
      <c r="D667" s="140" t="s">
        <v>9300</v>
      </c>
      <c r="E667" s="141" t="s">
        <v>9298</v>
      </c>
      <c r="F667" s="142" t="s">
        <v>9301</v>
      </c>
      <c r="G667" s="143">
        <v>371.2</v>
      </c>
      <c r="H667" s="144" t="s">
        <v>730</v>
      </c>
      <c r="I667" s="145"/>
      <c r="J667" s="145"/>
      <c r="K667" s="146">
        <v>371.2</v>
      </c>
    </row>
    <row r="668" spans="1:11" s="147" customFormat="1" ht="11.25" customHeight="1" x14ac:dyDescent="0.2">
      <c r="A668" s="795" t="s">
        <v>9296</v>
      </c>
      <c r="B668" s="138">
        <v>43434</v>
      </c>
      <c r="C668" s="139" t="s">
        <v>9297</v>
      </c>
      <c r="D668" s="140" t="s">
        <v>9302</v>
      </c>
      <c r="E668" s="141" t="s">
        <v>9298</v>
      </c>
      <c r="F668" s="142" t="s">
        <v>9301</v>
      </c>
      <c r="G668" s="143">
        <v>394.4</v>
      </c>
      <c r="H668" s="144" t="s">
        <v>730</v>
      </c>
      <c r="I668" s="145"/>
      <c r="J668" s="145"/>
      <c r="K668" s="146">
        <v>394.4</v>
      </c>
    </row>
    <row r="669" spans="1:11" s="147" customFormat="1" ht="11.25" customHeight="1" x14ac:dyDescent="0.2">
      <c r="A669" s="795" t="s">
        <v>9296</v>
      </c>
      <c r="B669" s="138">
        <v>43434</v>
      </c>
      <c r="C669" s="139" t="s">
        <v>9297</v>
      </c>
      <c r="D669" s="140" t="s">
        <v>8130</v>
      </c>
      <c r="E669" s="141" t="s">
        <v>9298</v>
      </c>
      <c r="F669" s="142" t="s">
        <v>9299</v>
      </c>
      <c r="G669" s="143">
        <v>406</v>
      </c>
      <c r="H669" s="144" t="s">
        <v>730</v>
      </c>
      <c r="I669" s="145"/>
      <c r="J669" s="145"/>
      <c r="K669" s="146">
        <v>406</v>
      </c>
    </row>
    <row r="670" spans="1:11" s="147" customFormat="1" ht="11.25" customHeight="1" x14ac:dyDescent="0.2">
      <c r="A670" s="795" t="s">
        <v>9296</v>
      </c>
      <c r="B670" s="138">
        <v>43434</v>
      </c>
      <c r="C670" s="139" t="s">
        <v>9297</v>
      </c>
      <c r="D670" s="140" t="s">
        <v>8130</v>
      </c>
      <c r="E670" s="141" t="s">
        <v>9298</v>
      </c>
      <c r="F670" s="142" t="s">
        <v>9299</v>
      </c>
      <c r="G670" s="143">
        <v>406</v>
      </c>
      <c r="H670" s="144" t="s">
        <v>730</v>
      </c>
      <c r="I670" s="145"/>
      <c r="J670" s="145"/>
      <c r="K670" s="146">
        <v>406</v>
      </c>
    </row>
    <row r="671" spans="1:11" s="147" customFormat="1" ht="11.25" customHeight="1" x14ac:dyDescent="0.2">
      <c r="A671" s="795" t="s">
        <v>9296</v>
      </c>
      <c r="B671" s="138">
        <v>43434</v>
      </c>
      <c r="C671" s="139" t="s">
        <v>9297</v>
      </c>
      <c r="D671" s="140" t="s">
        <v>9300</v>
      </c>
      <c r="E671" s="141" t="s">
        <v>9298</v>
      </c>
      <c r="F671" s="142" t="s">
        <v>9301</v>
      </c>
      <c r="G671" s="143">
        <v>440.8</v>
      </c>
      <c r="H671" s="144" t="s">
        <v>730</v>
      </c>
      <c r="I671" s="145"/>
      <c r="J671" s="145"/>
      <c r="K671" s="146">
        <v>440.8</v>
      </c>
    </row>
    <row r="672" spans="1:11" s="147" customFormat="1" ht="11.25" customHeight="1" x14ac:dyDescent="0.2">
      <c r="A672" s="795" t="s">
        <v>9296</v>
      </c>
      <c r="B672" s="138">
        <v>43434</v>
      </c>
      <c r="C672" s="139" t="s">
        <v>9297</v>
      </c>
      <c r="D672" s="140" t="s">
        <v>9302</v>
      </c>
      <c r="E672" s="141" t="s">
        <v>9298</v>
      </c>
      <c r="F672" s="142" t="s">
        <v>9301</v>
      </c>
      <c r="G672" s="143">
        <v>556.79999999999995</v>
      </c>
      <c r="H672" s="144" t="s">
        <v>730</v>
      </c>
      <c r="I672" s="145"/>
      <c r="J672" s="145"/>
      <c r="K672" s="146">
        <v>556.79999999999995</v>
      </c>
    </row>
    <row r="673" spans="1:11" s="147" customFormat="1" ht="11.25" customHeight="1" x14ac:dyDescent="0.2">
      <c r="A673" s="795" t="s">
        <v>9296</v>
      </c>
      <c r="B673" s="138">
        <v>43434</v>
      </c>
      <c r="C673" s="139" t="s">
        <v>9297</v>
      </c>
      <c r="D673" s="140" t="s">
        <v>9303</v>
      </c>
      <c r="E673" s="141" t="s">
        <v>9298</v>
      </c>
      <c r="F673" s="142" t="s">
        <v>9301</v>
      </c>
      <c r="G673" s="143">
        <v>580</v>
      </c>
      <c r="H673" s="144" t="s">
        <v>730</v>
      </c>
      <c r="I673" s="145"/>
      <c r="J673" s="145"/>
      <c r="K673" s="146">
        <v>580</v>
      </c>
    </row>
    <row r="674" spans="1:11" s="147" customFormat="1" ht="11.25" customHeight="1" x14ac:dyDescent="0.2">
      <c r="A674" s="795" t="s">
        <v>9296</v>
      </c>
      <c r="B674" s="138">
        <v>43434</v>
      </c>
      <c r="C674" s="139" t="s">
        <v>9297</v>
      </c>
      <c r="D674" s="140" t="s">
        <v>9304</v>
      </c>
      <c r="E674" s="141" t="s">
        <v>9298</v>
      </c>
      <c r="F674" s="142" t="s">
        <v>9305</v>
      </c>
      <c r="G674" s="143">
        <v>650.01</v>
      </c>
      <c r="H674" s="144" t="s">
        <v>730</v>
      </c>
      <c r="I674" s="145"/>
      <c r="J674" s="145"/>
      <c r="K674" s="146">
        <v>650.01</v>
      </c>
    </row>
    <row r="675" spans="1:11" s="147" customFormat="1" ht="11.25" customHeight="1" x14ac:dyDescent="0.2">
      <c r="A675" s="795" t="s">
        <v>9296</v>
      </c>
      <c r="B675" s="138">
        <v>43434</v>
      </c>
      <c r="C675" s="139" t="s">
        <v>9297</v>
      </c>
      <c r="D675" s="140" t="s">
        <v>9303</v>
      </c>
      <c r="E675" s="141" t="s">
        <v>9298</v>
      </c>
      <c r="F675" s="142" t="s">
        <v>9301</v>
      </c>
      <c r="G675" s="143">
        <v>786.48</v>
      </c>
      <c r="H675" s="144" t="s">
        <v>730</v>
      </c>
      <c r="I675" s="145"/>
      <c r="J675" s="145"/>
      <c r="K675" s="146">
        <v>786.48</v>
      </c>
    </row>
    <row r="676" spans="1:11" s="147" customFormat="1" ht="11.25" customHeight="1" x14ac:dyDescent="0.2">
      <c r="A676" s="795" t="s">
        <v>9306</v>
      </c>
      <c r="B676" s="138">
        <v>43434</v>
      </c>
      <c r="C676" s="139" t="s">
        <v>9307</v>
      </c>
      <c r="D676" s="140" t="s">
        <v>9308</v>
      </c>
      <c r="E676" s="141" t="s">
        <v>8126</v>
      </c>
      <c r="F676" s="142" t="s">
        <v>9309</v>
      </c>
      <c r="G676" s="143">
        <v>1044</v>
      </c>
      <c r="H676" s="144" t="s">
        <v>730</v>
      </c>
      <c r="I676" s="145"/>
      <c r="J676" s="145"/>
      <c r="K676" s="146">
        <v>1044</v>
      </c>
    </row>
    <row r="677" spans="1:11" s="147" customFormat="1" ht="11.25" customHeight="1" x14ac:dyDescent="0.2">
      <c r="A677" s="795" t="s">
        <v>9306</v>
      </c>
      <c r="B677" s="138">
        <v>43434</v>
      </c>
      <c r="C677" s="139" t="s">
        <v>9307</v>
      </c>
      <c r="D677" s="140" t="s">
        <v>9308</v>
      </c>
      <c r="E677" s="141" t="s">
        <v>8126</v>
      </c>
      <c r="F677" s="142" t="s">
        <v>9309</v>
      </c>
      <c r="G677" s="143">
        <v>1160</v>
      </c>
      <c r="H677" s="144" t="s">
        <v>730</v>
      </c>
      <c r="I677" s="145"/>
      <c r="J677" s="145"/>
      <c r="K677" s="146">
        <v>1160</v>
      </c>
    </row>
    <row r="678" spans="1:11" s="147" customFormat="1" ht="11.25" customHeight="1" x14ac:dyDescent="0.2">
      <c r="A678" s="795" t="s">
        <v>9306</v>
      </c>
      <c r="B678" s="138">
        <v>43434</v>
      </c>
      <c r="C678" s="139" t="s">
        <v>9307</v>
      </c>
      <c r="D678" s="140" t="s">
        <v>9308</v>
      </c>
      <c r="E678" s="141" t="s">
        <v>8126</v>
      </c>
      <c r="F678" s="142" t="s">
        <v>9309</v>
      </c>
      <c r="G678" s="143">
        <v>1160</v>
      </c>
      <c r="H678" s="144" t="s">
        <v>730</v>
      </c>
      <c r="I678" s="145"/>
      <c r="J678" s="145"/>
      <c r="K678" s="146">
        <v>1160</v>
      </c>
    </row>
    <row r="679" spans="1:11" s="147" customFormat="1" ht="11.25" customHeight="1" x14ac:dyDescent="0.2">
      <c r="A679" s="795" t="s">
        <v>9306</v>
      </c>
      <c r="B679" s="138">
        <v>43434</v>
      </c>
      <c r="C679" s="139" t="s">
        <v>9307</v>
      </c>
      <c r="D679" s="140" t="s">
        <v>9308</v>
      </c>
      <c r="E679" s="141" t="s">
        <v>8126</v>
      </c>
      <c r="F679" s="142" t="s">
        <v>9309</v>
      </c>
      <c r="G679" s="143">
        <v>1160</v>
      </c>
      <c r="H679" s="144" t="s">
        <v>730</v>
      </c>
      <c r="I679" s="145"/>
      <c r="J679" s="145"/>
      <c r="K679" s="146">
        <v>1160</v>
      </c>
    </row>
    <row r="680" spans="1:11" s="147" customFormat="1" ht="11.25" customHeight="1" x14ac:dyDescent="0.2">
      <c r="A680" s="795" t="s">
        <v>9306</v>
      </c>
      <c r="B680" s="138">
        <v>43434</v>
      </c>
      <c r="C680" s="139" t="s">
        <v>9307</v>
      </c>
      <c r="D680" s="140" t="s">
        <v>9310</v>
      </c>
      <c r="E680" s="141" t="s">
        <v>8126</v>
      </c>
      <c r="F680" s="142" t="s">
        <v>9301</v>
      </c>
      <c r="G680" s="143">
        <v>1450</v>
      </c>
      <c r="H680" s="144" t="s">
        <v>730</v>
      </c>
      <c r="I680" s="145"/>
      <c r="J680" s="145"/>
      <c r="K680" s="146">
        <v>1450</v>
      </c>
    </row>
    <row r="681" spans="1:11" s="147" customFormat="1" ht="11.25" customHeight="1" x14ac:dyDescent="0.2">
      <c r="A681" s="795" t="s">
        <v>9306</v>
      </c>
      <c r="B681" s="138">
        <v>43434</v>
      </c>
      <c r="C681" s="139" t="s">
        <v>9307</v>
      </c>
      <c r="D681" s="140" t="s">
        <v>9310</v>
      </c>
      <c r="E681" s="141" t="s">
        <v>8126</v>
      </c>
      <c r="F681" s="142" t="s">
        <v>9301</v>
      </c>
      <c r="G681" s="143">
        <v>1450</v>
      </c>
      <c r="H681" s="144" t="s">
        <v>730</v>
      </c>
      <c r="I681" s="145"/>
      <c r="J681" s="145"/>
      <c r="K681" s="146">
        <v>1450</v>
      </c>
    </row>
    <row r="682" spans="1:11" s="147" customFormat="1" ht="11.25" customHeight="1" x14ac:dyDescent="0.2">
      <c r="A682" s="795" t="s">
        <v>9306</v>
      </c>
      <c r="B682" s="138">
        <v>43434</v>
      </c>
      <c r="C682" s="139" t="s">
        <v>9307</v>
      </c>
      <c r="D682" s="140" t="s">
        <v>9310</v>
      </c>
      <c r="E682" s="141" t="s">
        <v>8126</v>
      </c>
      <c r="F682" s="142" t="s">
        <v>9301</v>
      </c>
      <c r="G682" s="143">
        <v>1450</v>
      </c>
      <c r="H682" s="144" t="s">
        <v>730</v>
      </c>
      <c r="I682" s="145"/>
      <c r="J682" s="145"/>
      <c r="K682" s="146">
        <v>1450</v>
      </c>
    </row>
    <row r="683" spans="1:11" s="147" customFormat="1" ht="11.25" customHeight="1" x14ac:dyDescent="0.2">
      <c r="A683" s="795" t="s">
        <v>9306</v>
      </c>
      <c r="B683" s="138">
        <v>43434</v>
      </c>
      <c r="C683" s="139" t="s">
        <v>9307</v>
      </c>
      <c r="D683" s="140" t="s">
        <v>9311</v>
      </c>
      <c r="E683" s="141" t="s">
        <v>8126</v>
      </c>
      <c r="F683" s="142" t="s">
        <v>9305</v>
      </c>
      <c r="G683" s="143">
        <v>1450</v>
      </c>
      <c r="H683" s="144" t="s">
        <v>730</v>
      </c>
      <c r="I683" s="145"/>
      <c r="J683" s="145"/>
      <c r="K683" s="146">
        <v>1450</v>
      </c>
    </row>
    <row r="684" spans="1:11" s="147" customFormat="1" ht="11.25" customHeight="1" x14ac:dyDescent="0.2">
      <c r="A684" s="795" t="s">
        <v>9306</v>
      </c>
      <c r="B684" s="138">
        <v>43434</v>
      </c>
      <c r="C684" s="139" t="s">
        <v>9307</v>
      </c>
      <c r="D684" s="140" t="s">
        <v>9310</v>
      </c>
      <c r="E684" s="141" t="s">
        <v>8126</v>
      </c>
      <c r="F684" s="142" t="s">
        <v>9301</v>
      </c>
      <c r="G684" s="143">
        <v>1566</v>
      </c>
      <c r="H684" s="144" t="s">
        <v>730</v>
      </c>
      <c r="I684" s="145"/>
      <c r="J684" s="145"/>
      <c r="K684" s="146">
        <v>1566</v>
      </c>
    </row>
    <row r="685" spans="1:11" s="147" customFormat="1" ht="11.25" customHeight="1" x14ac:dyDescent="0.2">
      <c r="A685" s="795" t="s">
        <v>9296</v>
      </c>
      <c r="B685" s="138">
        <v>43434</v>
      </c>
      <c r="C685" s="139" t="s">
        <v>9297</v>
      </c>
      <c r="D685" s="140" t="s">
        <v>9303</v>
      </c>
      <c r="E685" s="141" t="s">
        <v>9298</v>
      </c>
      <c r="F685" s="142" t="s">
        <v>9301</v>
      </c>
      <c r="G685" s="143">
        <v>1728.4</v>
      </c>
      <c r="H685" s="144" t="s">
        <v>730</v>
      </c>
      <c r="I685" s="145"/>
      <c r="J685" s="145"/>
      <c r="K685" s="146">
        <v>1728.4</v>
      </c>
    </row>
    <row r="686" spans="1:11" s="147" customFormat="1" ht="11.25" customHeight="1" x14ac:dyDescent="0.2">
      <c r="A686" s="795" t="s">
        <v>9296</v>
      </c>
      <c r="B686" s="138">
        <v>43434</v>
      </c>
      <c r="C686" s="139" t="s">
        <v>9297</v>
      </c>
      <c r="D686" s="140" t="s">
        <v>9302</v>
      </c>
      <c r="E686" s="141" t="s">
        <v>9298</v>
      </c>
      <c r="F686" s="142" t="s">
        <v>9301</v>
      </c>
      <c r="G686" s="143">
        <v>1972</v>
      </c>
      <c r="H686" s="144" t="s">
        <v>730</v>
      </c>
      <c r="I686" s="145"/>
      <c r="J686" s="145"/>
      <c r="K686" s="146">
        <v>1972</v>
      </c>
    </row>
    <row r="687" spans="1:11" s="147" customFormat="1" ht="11.25" customHeight="1" x14ac:dyDescent="0.2">
      <c r="A687" s="795" t="s">
        <v>9296</v>
      </c>
      <c r="B687" s="138">
        <v>43434</v>
      </c>
      <c r="C687" s="139" t="s">
        <v>9297</v>
      </c>
      <c r="D687" s="140" t="s">
        <v>9303</v>
      </c>
      <c r="E687" s="141" t="s">
        <v>9298</v>
      </c>
      <c r="F687" s="142" t="s">
        <v>9301</v>
      </c>
      <c r="G687" s="143">
        <v>2400.0100000000002</v>
      </c>
      <c r="H687" s="144" t="s">
        <v>730</v>
      </c>
      <c r="I687" s="145"/>
      <c r="J687" s="145"/>
      <c r="K687" s="146">
        <v>2400.0100000000002</v>
      </c>
    </row>
    <row r="688" spans="1:11" s="147" customFormat="1" ht="11.25" customHeight="1" x14ac:dyDescent="0.2">
      <c r="A688" s="795" t="s">
        <v>9306</v>
      </c>
      <c r="B688" s="138">
        <v>43434</v>
      </c>
      <c r="C688" s="139" t="s">
        <v>9307</v>
      </c>
      <c r="D688" s="140" t="s">
        <v>9312</v>
      </c>
      <c r="E688" s="141" t="s">
        <v>8126</v>
      </c>
      <c r="F688" s="142" t="s">
        <v>8116</v>
      </c>
      <c r="G688" s="143">
        <v>5510</v>
      </c>
      <c r="H688" s="144" t="s">
        <v>730</v>
      </c>
      <c r="I688" s="145"/>
      <c r="J688" s="145"/>
      <c r="K688" s="146">
        <v>5510</v>
      </c>
    </row>
    <row r="689" spans="1:11" s="147" customFormat="1" ht="11.25" customHeight="1" x14ac:dyDescent="0.2">
      <c r="A689" s="795" t="s">
        <v>9306</v>
      </c>
      <c r="B689" s="138">
        <v>43434</v>
      </c>
      <c r="C689" s="139" t="s">
        <v>9307</v>
      </c>
      <c r="D689" s="140" t="s">
        <v>9312</v>
      </c>
      <c r="E689" s="141" t="s">
        <v>8126</v>
      </c>
      <c r="F689" s="142" t="s">
        <v>8116</v>
      </c>
      <c r="G689" s="143">
        <v>8700</v>
      </c>
      <c r="H689" s="144" t="s">
        <v>730</v>
      </c>
      <c r="I689" s="145"/>
      <c r="J689" s="145"/>
      <c r="K689" s="146">
        <v>8700</v>
      </c>
    </row>
    <row r="690" spans="1:11" s="147" customFormat="1" ht="11.25" customHeight="1" x14ac:dyDescent="0.2">
      <c r="A690" s="795" t="s">
        <v>9306</v>
      </c>
      <c r="B690" s="138">
        <v>43434</v>
      </c>
      <c r="C690" s="139" t="s">
        <v>9307</v>
      </c>
      <c r="D690" s="140" t="s">
        <v>9312</v>
      </c>
      <c r="E690" s="141" t="s">
        <v>8126</v>
      </c>
      <c r="F690" s="142" t="s">
        <v>8116</v>
      </c>
      <c r="G690" s="143">
        <v>8700</v>
      </c>
      <c r="H690" s="144" t="s">
        <v>730</v>
      </c>
      <c r="I690" s="145"/>
      <c r="J690" s="145"/>
      <c r="K690" s="146">
        <v>8700</v>
      </c>
    </row>
    <row r="691" spans="1:11" s="147" customFormat="1" ht="11.25" customHeight="1" x14ac:dyDescent="0.2">
      <c r="A691" s="795" t="s">
        <v>9306</v>
      </c>
      <c r="B691" s="138">
        <v>43434</v>
      </c>
      <c r="C691" s="139" t="s">
        <v>9307</v>
      </c>
      <c r="D691" s="140" t="s">
        <v>9312</v>
      </c>
      <c r="E691" s="141" t="s">
        <v>8126</v>
      </c>
      <c r="F691" s="142" t="s">
        <v>8116</v>
      </c>
      <c r="G691" s="143">
        <v>8700</v>
      </c>
      <c r="H691" s="144" t="s">
        <v>730</v>
      </c>
      <c r="I691" s="145"/>
      <c r="J691" s="145"/>
      <c r="K691" s="146">
        <v>8700</v>
      </c>
    </row>
    <row r="692" spans="1:11" s="147" customFormat="1" ht="11.25" customHeight="1" x14ac:dyDescent="0.2">
      <c r="A692" s="795" t="s">
        <v>9313</v>
      </c>
      <c r="B692" s="138">
        <v>43434</v>
      </c>
      <c r="C692" s="139" t="s">
        <v>8101</v>
      </c>
      <c r="D692" s="140" t="s">
        <v>9314</v>
      </c>
      <c r="E692" s="141" t="s">
        <v>8175</v>
      </c>
      <c r="F692" s="142" t="s">
        <v>9051</v>
      </c>
      <c r="G692" s="143">
        <v>1914</v>
      </c>
      <c r="H692" s="144" t="s">
        <v>730</v>
      </c>
      <c r="I692" s="145"/>
      <c r="J692" s="145"/>
      <c r="K692" s="146">
        <v>1914</v>
      </c>
    </row>
    <row r="693" spans="1:11" s="147" customFormat="1" ht="11.25" customHeight="1" x14ac:dyDescent="0.2">
      <c r="A693" s="795" t="s">
        <v>9045</v>
      </c>
      <c r="B693" s="138">
        <v>43434</v>
      </c>
      <c r="C693" s="139" t="s">
        <v>9315</v>
      </c>
      <c r="D693" s="140" t="s">
        <v>9316</v>
      </c>
      <c r="E693" s="141" t="s">
        <v>8136</v>
      </c>
      <c r="F693" s="142" t="s">
        <v>8134</v>
      </c>
      <c r="G693" s="143">
        <v>15.88</v>
      </c>
      <c r="H693" s="144" t="s">
        <v>730</v>
      </c>
      <c r="I693" s="145"/>
      <c r="J693" s="145"/>
      <c r="K693" s="146">
        <v>15.88</v>
      </c>
    </row>
    <row r="694" spans="1:11" s="147" customFormat="1" ht="11.25" customHeight="1" x14ac:dyDescent="0.2">
      <c r="A694" s="795" t="s">
        <v>9045</v>
      </c>
      <c r="B694" s="138">
        <v>43434</v>
      </c>
      <c r="C694" s="139" t="s">
        <v>9315</v>
      </c>
      <c r="D694" s="140" t="s">
        <v>9316</v>
      </c>
      <c r="E694" s="141" t="s">
        <v>8136</v>
      </c>
      <c r="F694" s="142" t="s">
        <v>8134</v>
      </c>
      <c r="G694" s="143">
        <v>30</v>
      </c>
      <c r="H694" s="144" t="s">
        <v>730</v>
      </c>
      <c r="I694" s="145"/>
      <c r="J694" s="145"/>
      <c r="K694" s="146">
        <v>30</v>
      </c>
    </row>
    <row r="695" spans="1:11" s="147" customFormat="1" ht="11.25" customHeight="1" x14ac:dyDescent="0.2">
      <c r="A695" s="795" t="s">
        <v>9317</v>
      </c>
      <c r="B695" s="138">
        <v>43434</v>
      </c>
      <c r="C695" s="139" t="s">
        <v>9318</v>
      </c>
      <c r="D695" s="140" t="s">
        <v>9319</v>
      </c>
      <c r="E695" s="141" t="s">
        <v>9320</v>
      </c>
      <c r="F695" s="142" t="s">
        <v>8134</v>
      </c>
      <c r="G695" s="143">
        <v>33.06</v>
      </c>
      <c r="H695" s="144" t="s">
        <v>730</v>
      </c>
      <c r="I695" s="145"/>
      <c r="J695" s="145"/>
      <c r="K695" s="146">
        <v>33.06</v>
      </c>
    </row>
    <row r="696" spans="1:11" s="147" customFormat="1" ht="11.25" customHeight="1" x14ac:dyDescent="0.2">
      <c r="A696" s="795" t="s">
        <v>9317</v>
      </c>
      <c r="B696" s="138">
        <v>43434</v>
      </c>
      <c r="C696" s="139" t="s">
        <v>9318</v>
      </c>
      <c r="D696" s="140" t="s">
        <v>9319</v>
      </c>
      <c r="E696" s="141" t="s">
        <v>9320</v>
      </c>
      <c r="F696" s="142" t="s">
        <v>8134</v>
      </c>
      <c r="G696" s="143">
        <v>35.729999999999997</v>
      </c>
      <c r="H696" s="144" t="s">
        <v>730</v>
      </c>
      <c r="I696" s="145"/>
      <c r="J696" s="145"/>
      <c r="K696" s="146">
        <v>35.729999999999997</v>
      </c>
    </row>
    <row r="697" spans="1:11" s="147" customFormat="1" ht="11.25" customHeight="1" x14ac:dyDescent="0.2">
      <c r="A697" s="795" t="s">
        <v>9045</v>
      </c>
      <c r="B697" s="138">
        <v>43434</v>
      </c>
      <c r="C697" s="139" t="s">
        <v>9315</v>
      </c>
      <c r="D697" s="140" t="s">
        <v>9321</v>
      </c>
      <c r="E697" s="141" t="s">
        <v>8136</v>
      </c>
      <c r="F697" s="142" t="s">
        <v>8134</v>
      </c>
      <c r="G697" s="143">
        <v>48.21</v>
      </c>
      <c r="H697" s="144" t="s">
        <v>730</v>
      </c>
      <c r="I697" s="145"/>
      <c r="J697" s="145"/>
      <c r="K697" s="146">
        <v>48.21</v>
      </c>
    </row>
    <row r="698" spans="1:11" s="147" customFormat="1" ht="11.25" customHeight="1" x14ac:dyDescent="0.2">
      <c r="A698" s="795" t="s">
        <v>9045</v>
      </c>
      <c r="B698" s="138">
        <v>43434</v>
      </c>
      <c r="C698" s="139" t="s">
        <v>9315</v>
      </c>
      <c r="D698" s="140" t="s">
        <v>9322</v>
      </c>
      <c r="E698" s="141" t="s">
        <v>8136</v>
      </c>
      <c r="F698" s="142" t="s">
        <v>8134</v>
      </c>
      <c r="G698" s="143">
        <v>48.21</v>
      </c>
      <c r="H698" s="144" t="s">
        <v>730</v>
      </c>
      <c r="I698" s="145"/>
      <c r="J698" s="145"/>
      <c r="K698" s="146">
        <v>48.21</v>
      </c>
    </row>
    <row r="699" spans="1:11" s="147" customFormat="1" ht="11.25" customHeight="1" x14ac:dyDescent="0.2">
      <c r="A699" s="795" t="s">
        <v>9045</v>
      </c>
      <c r="B699" s="138">
        <v>43434</v>
      </c>
      <c r="C699" s="139" t="s">
        <v>9315</v>
      </c>
      <c r="D699" s="140" t="s">
        <v>9323</v>
      </c>
      <c r="E699" s="141" t="s">
        <v>8136</v>
      </c>
      <c r="F699" s="142" t="s">
        <v>8134</v>
      </c>
      <c r="G699" s="143">
        <v>48.21</v>
      </c>
      <c r="H699" s="144" t="s">
        <v>730</v>
      </c>
      <c r="I699" s="145"/>
      <c r="J699" s="145"/>
      <c r="K699" s="146">
        <v>48.21</v>
      </c>
    </row>
    <row r="700" spans="1:11" s="147" customFormat="1" ht="11.25" customHeight="1" x14ac:dyDescent="0.2">
      <c r="A700" s="795" t="s">
        <v>9317</v>
      </c>
      <c r="B700" s="138">
        <v>43434</v>
      </c>
      <c r="C700" s="139" t="s">
        <v>9318</v>
      </c>
      <c r="D700" s="140" t="s">
        <v>9324</v>
      </c>
      <c r="E700" s="141" t="s">
        <v>9320</v>
      </c>
      <c r="F700" s="142" t="s">
        <v>8134</v>
      </c>
      <c r="G700" s="143">
        <v>51.5</v>
      </c>
      <c r="H700" s="144" t="s">
        <v>730</v>
      </c>
      <c r="I700" s="145"/>
      <c r="J700" s="145"/>
      <c r="K700" s="146">
        <v>51.5</v>
      </c>
    </row>
    <row r="701" spans="1:11" s="147" customFormat="1" ht="11.25" customHeight="1" x14ac:dyDescent="0.2">
      <c r="A701" s="795" t="s">
        <v>9317</v>
      </c>
      <c r="B701" s="138">
        <v>43434</v>
      </c>
      <c r="C701" s="139" t="s">
        <v>9318</v>
      </c>
      <c r="D701" s="140" t="s">
        <v>9319</v>
      </c>
      <c r="E701" s="141" t="s">
        <v>9320</v>
      </c>
      <c r="F701" s="142" t="s">
        <v>8134</v>
      </c>
      <c r="G701" s="143">
        <v>56.49</v>
      </c>
      <c r="H701" s="144" t="s">
        <v>730</v>
      </c>
      <c r="I701" s="145"/>
      <c r="J701" s="145"/>
      <c r="K701" s="146">
        <v>56.49</v>
      </c>
    </row>
    <row r="702" spans="1:11" s="147" customFormat="1" ht="11.25" customHeight="1" x14ac:dyDescent="0.2">
      <c r="A702" s="795" t="s">
        <v>9317</v>
      </c>
      <c r="B702" s="138">
        <v>43434</v>
      </c>
      <c r="C702" s="139" t="s">
        <v>9318</v>
      </c>
      <c r="D702" s="140" t="s">
        <v>9324</v>
      </c>
      <c r="E702" s="141" t="s">
        <v>9320</v>
      </c>
      <c r="F702" s="142" t="s">
        <v>8134</v>
      </c>
      <c r="G702" s="143">
        <v>61.94</v>
      </c>
      <c r="H702" s="144" t="s">
        <v>730</v>
      </c>
      <c r="I702" s="145"/>
      <c r="J702" s="145"/>
      <c r="K702" s="146">
        <v>61.94</v>
      </c>
    </row>
    <row r="703" spans="1:11" s="147" customFormat="1" ht="11.25" customHeight="1" x14ac:dyDescent="0.2">
      <c r="A703" s="795" t="s">
        <v>9045</v>
      </c>
      <c r="B703" s="138">
        <v>43434</v>
      </c>
      <c r="C703" s="139" t="s">
        <v>9315</v>
      </c>
      <c r="D703" s="140" t="s">
        <v>9321</v>
      </c>
      <c r="E703" s="141" t="s">
        <v>8136</v>
      </c>
      <c r="F703" s="142" t="s">
        <v>8134</v>
      </c>
      <c r="G703" s="143">
        <v>67.87</v>
      </c>
      <c r="H703" s="144" t="s">
        <v>730</v>
      </c>
      <c r="I703" s="145"/>
      <c r="J703" s="145"/>
      <c r="K703" s="146">
        <v>67.87</v>
      </c>
    </row>
    <row r="704" spans="1:11" s="147" customFormat="1" ht="11.25" customHeight="1" x14ac:dyDescent="0.2">
      <c r="A704" s="795" t="s">
        <v>9045</v>
      </c>
      <c r="B704" s="138">
        <v>43434</v>
      </c>
      <c r="C704" s="139" t="s">
        <v>9315</v>
      </c>
      <c r="D704" s="140" t="s">
        <v>9322</v>
      </c>
      <c r="E704" s="141" t="s">
        <v>8136</v>
      </c>
      <c r="F704" s="142" t="s">
        <v>8134</v>
      </c>
      <c r="G704" s="143">
        <v>67.87</v>
      </c>
      <c r="H704" s="144" t="s">
        <v>730</v>
      </c>
      <c r="I704" s="145"/>
      <c r="J704" s="145"/>
      <c r="K704" s="146">
        <v>67.87</v>
      </c>
    </row>
    <row r="705" spans="1:11" s="147" customFormat="1" ht="11.25" customHeight="1" x14ac:dyDescent="0.2">
      <c r="A705" s="795" t="s">
        <v>9045</v>
      </c>
      <c r="B705" s="138">
        <v>43434</v>
      </c>
      <c r="C705" s="139" t="s">
        <v>9315</v>
      </c>
      <c r="D705" s="140" t="s">
        <v>9323</v>
      </c>
      <c r="E705" s="141" t="s">
        <v>8136</v>
      </c>
      <c r="F705" s="142" t="s">
        <v>8134</v>
      </c>
      <c r="G705" s="143">
        <v>67.87</v>
      </c>
      <c r="H705" s="144" t="s">
        <v>730</v>
      </c>
      <c r="I705" s="145"/>
      <c r="J705" s="145"/>
      <c r="K705" s="146">
        <v>67.87</v>
      </c>
    </row>
    <row r="706" spans="1:11" s="147" customFormat="1" ht="11.25" customHeight="1" x14ac:dyDescent="0.2">
      <c r="A706" s="795" t="s">
        <v>9045</v>
      </c>
      <c r="B706" s="138">
        <v>43434</v>
      </c>
      <c r="C706" s="139" t="s">
        <v>9315</v>
      </c>
      <c r="D706" s="140" t="s">
        <v>9316</v>
      </c>
      <c r="E706" s="141" t="s">
        <v>8136</v>
      </c>
      <c r="F706" s="142" t="s">
        <v>8134</v>
      </c>
      <c r="G706" s="143">
        <v>75.17</v>
      </c>
      <c r="H706" s="144" t="s">
        <v>730</v>
      </c>
      <c r="I706" s="145"/>
      <c r="J706" s="145"/>
      <c r="K706" s="146">
        <v>75.17</v>
      </c>
    </row>
    <row r="707" spans="1:11" s="147" customFormat="1" ht="11.25" customHeight="1" x14ac:dyDescent="0.2">
      <c r="A707" s="795" t="s">
        <v>9045</v>
      </c>
      <c r="B707" s="138">
        <v>43434</v>
      </c>
      <c r="C707" s="139" t="s">
        <v>9315</v>
      </c>
      <c r="D707" s="140" t="s">
        <v>9316</v>
      </c>
      <c r="E707" s="141" t="s">
        <v>8136</v>
      </c>
      <c r="F707" s="142" t="s">
        <v>8134</v>
      </c>
      <c r="G707" s="143">
        <v>78.650000000000006</v>
      </c>
      <c r="H707" s="144" t="s">
        <v>730</v>
      </c>
      <c r="I707" s="145"/>
      <c r="J707" s="145"/>
      <c r="K707" s="146">
        <v>78.650000000000006</v>
      </c>
    </row>
    <row r="708" spans="1:11" s="147" customFormat="1" ht="11.25" customHeight="1" x14ac:dyDescent="0.2">
      <c r="A708" s="795" t="s">
        <v>9045</v>
      </c>
      <c r="B708" s="138">
        <v>43434</v>
      </c>
      <c r="C708" s="139" t="s">
        <v>9315</v>
      </c>
      <c r="D708" s="140" t="s">
        <v>9321</v>
      </c>
      <c r="E708" s="141" t="s">
        <v>8136</v>
      </c>
      <c r="F708" s="142" t="s">
        <v>8134</v>
      </c>
      <c r="G708" s="143">
        <v>78.650000000000006</v>
      </c>
      <c r="H708" s="144" t="s">
        <v>730</v>
      </c>
      <c r="I708" s="145"/>
      <c r="J708" s="145"/>
      <c r="K708" s="146">
        <v>78.650000000000006</v>
      </c>
    </row>
    <row r="709" spans="1:11" s="147" customFormat="1" ht="11.25" customHeight="1" x14ac:dyDescent="0.2">
      <c r="A709" s="795" t="s">
        <v>9045</v>
      </c>
      <c r="B709" s="138">
        <v>43434</v>
      </c>
      <c r="C709" s="139" t="s">
        <v>9315</v>
      </c>
      <c r="D709" s="140" t="s">
        <v>9322</v>
      </c>
      <c r="E709" s="141" t="s">
        <v>8136</v>
      </c>
      <c r="F709" s="142" t="s">
        <v>8134</v>
      </c>
      <c r="G709" s="143">
        <v>78.650000000000006</v>
      </c>
      <c r="H709" s="144" t="s">
        <v>730</v>
      </c>
      <c r="I709" s="145"/>
      <c r="J709" s="145"/>
      <c r="K709" s="146">
        <v>78.650000000000006</v>
      </c>
    </row>
    <row r="710" spans="1:11" s="147" customFormat="1" ht="11.25" customHeight="1" x14ac:dyDescent="0.2">
      <c r="A710" s="795" t="s">
        <v>9045</v>
      </c>
      <c r="B710" s="138">
        <v>43434</v>
      </c>
      <c r="C710" s="139" t="s">
        <v>9315</v>
      </c>
      <c r="D710" s="140" t="s">
        <v>9323</v>
      </c>
      <c r="E710" s="141" t="s">
        <v>8136</v>
      </c>
      <c r="F710" s="142" t="s">
        <v>8134</v>
      </c>
      <c r="G710" s="143">
        <v>78.650000000000006</v>
      </c>
      <c r="H710" s="144" t="s">
        <v>730</v>
      </c>
      <c r="I710" s="145"/>
      <c r="J710" s="145"/>
      <c r="K710" s="146">
        <v>78.650000000000006</v>
      </c>
    </row>
    <row r="711" spans="1:11" s="147" customFormat="1" ht="11.25" customHeight="1" x14ac:dyDescent="0.2">
      <c r="A711" s="795" t="s">
        <v>9317</v>
      </c>
      <c r="B711" s="138">
        <v>43434</v>
      </c>
      <c r="C711" s="139" t="s">
        <v>9318</v>
      </c>
      <c r="D711" s="140" t="s">
        <v>9319</v>
      </c>
      <c r="E711" s="141" t="s">
        <v>9320</v>
      </c>
      <c r="F711" s="142" t="s">
        <v>8134</v>
      </c>
      <c r="G711" s="143">
        <v>79.69</v>
      </c>
      <c r="H711" s="144" t="s">
        <v>730</v>
      </c>
      <c r="I711" s="145"/>
      <c r="J711" s="145"/>
      <c r="K711" s="146">
        <v>79.69</v>
      </c>
    </row>
    <row r="712" spans="1:11" s="147" customFormat="1" ht="11.25" customHeight="1" x14ac:dyDescent="0.2">
      <c r="A712" s="795" t="s">
        <v>9045</v>
      </c>
      <c r="B712" s="138">
        <v>43434</v>
      </c>
      <c r="C712" s="139" t="s">
        <v>9315</v>
      </c>
      <c r="D712" s="140" t="s">
        <v>9321</v>
      </c>
      <c r="E712" s="141" t="s">
        <v>8136</v>
      </c>
      <c r="F712" s="142" t="s">
        <v>8134</v>
      </c>
      <c r="G712" s="143">
        <v>84.63</v>
      </c>
      <c r="H712" s="144" t="s">
        <v>730</v>
      </c>
      <c r="I712" s="145"/>
      <c r="J712" s="145"/>
      <c r="K712" s="146">
        <v>84.63</v>
      </c>
    </row>
    <row r="713" spans="1:11" s="147" customFormat="1" ht="11.25" customHeight="1" x14ac:dyDescent="0.2">
      <c r="A713" s="795" t="s">
        <v>9045</v>
      </c>
      <c r="B713" s="138">
        <v>43434</v>
      </c>
      <c r="C713" s="139" t="s">
        <v>9315</v>
      </c>
      <c r="D713" s="140" t="s">
        <v>9322</v>
      </c>
      <c r="E713" s="141" t="s">
        <v>8136</v>
      </c>
      <c r="F713" s="142" t="s">
        <v>8134</v>
      </c>
      <c r="G713" s="143">
        <v>84.63</v>
      </c>
      <c r="H713" s="144" t="s">
        <v>730</v>
      </c>
      <c r="I713" s="145"/>
      <c r="J713" s="145"/>
      <c r="K713" s="146">
        <v>84.63</v>
      </c>
    </row>
    <row r="714" spans="1:11" s="147" customFormat="1" ht="11.25" customHeight="1" x14ac:dyDescent="0.2">
      <c r="A714" s="795" t="s">
        <v>9045</v>
      </c>
      <c r="B714" s="138">
        <v>43434</v>
      </c>
      <c r="C714" s="139" t="s">
        <v>9315</v>
      </c>
      <c r="D714" s="140" t="s">
        <v>9323</v>
      </c>
      <c r="E714" s="141" t="s">
        <v>8136</v>
      </c>
      <c r="F714" s="142" t="s">
        <v>8134</v>
      </c>
      <c r="G714" s="143">
        <v>84.63</v>
      </c>
      <c r="H714" s="144" t="s">
        <v>730</v>
      </c>
      <c r="I714" s="145"/>
      <c r="J714" s="145"/>
      <c r="K714" s="146">
        <v>84.63</v>
      </c>
    </row>
    <row r="715" spans="1:11" s="147" customFormat="1" ht="11.25" customHeight="1" x14ac:dyDescent="0.2">
      <c r="A715" s="795" t="s">
        <v>9317</v>
      </c>
      <c r="B715" s="138">
        <v>43434</v>
      </c>
      <c r="C715" s="139" t="s">
        <v>9318</v>
      </c>
      <c r="D715" s="140" t="s">
        <v>9324</v>
      </c>
      <c r="E715" s="141" t="s">
        <v>9320</v>
      </c>
      <c r="F715" s="142" t="s">
        <v>8134</v>
      </c>
      <c r="G715" s="143">
        <v>90.02</v>
      </c>
      <c r="H715" s="144" t="s">
        <v>730</v>
      </c>
      <c r="I715" s="145"/>
      <c r="J715" s="145"/>
      <c r="K715" s="146">
        <v>90.02</v>
      </c>
    </row>
    <row r="716" spans="1:11" s="147" customFormat="1" ht="11.25" customHeight="1" x14ac:dyDescent="0.2">
      <c r="A716" s="795" t="s">
        <v>9317</v>
      </c>
      <c r="B716" s="138">
        <v>43434</v>
      </c>
      <c r="C716" s="139" t="s">
        <v>9318</v>
      </c>
      <c r="D716" s="140" t="s">
        <v>9324</v>
      </c>
      <c r="E716" s="141" t="s">
        <v>9320</v>
      </c>
      <c r="F716" s="142" t="s">
        <v>8134</v>
      </c>
      <c r="G716" s="143">
        <v>91.52</v>
      </c>
      <c r="H716" s="144" t="s">
        <v>730</v>
      </c>
      <c r="I716" s="145"/>
      <c r="J716" s="145"/>
      <c r="K716" s="146">
        <v>91.52</v>
      </c>
    </row>
    <row r="717" spans="1:11" s="147" customFormat="1" ht="11.25" customHeight="1" x14ac:dyDescent="0.2">
      <c r="A717" s="795" t="s">
        <v>9045</v>
      </c>
      <c r="B717" s="138">
        <v>43434</v>
      </c>
      <c r="C717" s="139" t="s">
        <v>9315</v>
      </c>
      <c r="D717" s="140" t="s">
        <v>9321</v>
      </c>
      <c r="E717" s="141" t="s">
        <v>8136</v>
      </c>
      <c r="F717" s="142" t="s">
        <v>8134</v>
      </c>
      <c r="G717" s="143">
        <v>95.58</v>
      </c>
      <c r="H717" s="144" t="s">
        <v>730</v>
      </c>
      <c r="I717" s="145"/>
      <c r="J717" s="145"/>
      <c r="K717" s="146">
        <v>95.58</v>
      </c>
    </row>
    <row r="718" spans="1:11" s="147" customFormat="1" ht="11.25" customHeight="1" x14ac:dyDescent="0.2">
      <c r="A718" s="795" t="s">
        <v>9045</v>
      </c>
      <c r="B718" s="138">
        <v>43434</v>
      </c>
      <c r="C718" s="139" t="s">
        <v>9315</v>
      </c>
      <c r="D718" s="140" t="s">
        <v>9322</v>
      </c>
      <c r="E718" s="141" t="s">
        <v>8136</v>
      </c>
      <c r="F718" s="142" t="s">
        <v>8134</v>
      </c>
      <c r="G718" s="143">
        <v>95.58</v>
      </c>
      <c r="H718" s="144" t="s">
        <v>730</v>
      </c>
      <c r="I718" s="145"/>
      <c r="J718" s="145"/>
      <c r="K718" s="146">
        <v>95.58</v>
      </c>
    </row>
    <row r="719" spans="1:11" s="147" customFormat="1" ht="11.25" customHeight="1" x14ac:dyDescent="0.2">
      <c r="A719" s="795" t="s">
        <v>9045</v>
      </c>
      <c r="B719" s="138">
        <v>43434</v>
      </c>
      <c r="C719" s="139" t="s">
        <v>9315</v>
      </c>
      <c r="D719" s="140" t="s">
        <v>9323</v>
      </c>
      <c r="E719" s="141" t="s">
        <v>8136</v>
      </c>
      <c r="F719" s="142" t="s">
        <v>8134</v>
      </c>
      <c r="G719" s="143">
        <v>95.58</v>
      </c>
      <c r="H719" s="144" t="s">
        <v>730</v>
      </c>
      <c r="I719" s="145"/>
      <c r="J719" s="145"/>
      <c r="K719" s="146">
        <v>95.58</v>
      </c>
    </row>
    <row r="720" spans="1:11" s="147" customFormat="1" ht="11.25" customHeight="1" x14ac:dyDescent="0.2">
      <c r="A720" s="795" t="s">
        <v>9045</v>
      </c>
      <c r="B720" s="138">
        <v>43434</v>
      </c>
      <c r="C720" s="139" t="s">
        <v>9315</v>
      </c>
      <c r="D720" s="140" t="s">
        <v>9316</v>
      </c>
      <c r="E720" s="141" t="s">
        <v>8136</v>
      </c>
      <c r="F720" s="142" t="s">
        <v>8134</v>
      </c>
      <c r="G720" s="143">
        <v>106.23</v>
      </c>
      <c r="H720" s="144" t="s">
        <v>730</v>
      </c>
      <c r="I720" s="145"/>
      <c r="J720" s="145"/>
      <c r="K720" s="146">
        <v>106.23</v>
      </c>
    </row>
    <row r="721" spans="1:11" s="147" customFormat="1" ht="11.25" customHeight="1" x14ac:dyDescent="0.2">
      <c r="A721" s="795" t="s">
        <v>9317</v>
      </c>
      <c r="B721" s="138">
        <v>43434</v>
      </c>
      <c r="C721" s="139" t="s">
        <v>9318</v>
      </c>
      <c r="D721" s="140" t="s">
        <v>9319</v>
      </c>
      <c r="E721" s="141" t="s">
        <v>9320</v>
      </c>
      <c r="F721" s="142" t="s">
        <v>8134</v>
      </c>
      <c r="G721" s="143">
        <v>110.66</v>
      </c>
      <c r="H721" s="144" t="s">
        <v>730</v>
      </c>
      <c r="I721" s="145"/>
      <c r="J721" s="145"/>
      <c r="K721" s="146">
        <v>110.66</v>
      </c>
    </row>
    <row r="722" spans="1:11" s="147" customFormat="1" ht="11.25" customHeight="1" x14ac:dyDescent="0.2">
      <c r="A722" s="795" t="s">
        <v>9317</v>
      </c>
      <c r="B722" s="138">
        <v>43434</v>
      </c>
      <c r="C722" s="139" t="s">
        <v>9318</v>
      </c>
      <c r="D722" s="140" t="s">
        <v>9324</v>
      </c>
      <c r="E722" s="141" t="s">
        <v>9320</v>
      </c>
      <c r="F722" s="142" t="s">
        <v>8134</v>
      </c>
      <c r="G722" s="143">
        <v>114.14</v>
      </c>
      <c r="H722" s="144" t="s">
        <v>730</v>
      </c>
      <c r="I722" s="145"/>
      <c r="J722" s="145"/>
      <c r="K722" s="146">
        <v>114.14</v>
      </c>
    </row>
    <row r="723" spans="1:11" s="147" customFormat="1" ht="11.25" customHeight="1" x14ac:dyDescent="0.2">
      <c r="A723" s="795" t="s">
        <v>9045</v>
      </c>
      <c r="B723" s="138">
        <v>43434</v>
      </c>
      <c r="C723" s="139" t="s">
        <v>9315</v>
      </c>
      <c r="D723" s="140" t="s">
        <v>9321</v>
      </c>
      <c r="E723" s="141" t="s">
        <v>8136</v>
      </c>
      <c r="F723" s="142" t="s">
        <v>8134</v>
      </c>
      <c r="G723" s="143">
        <v>117</v>
      </c>
      <c r="H723" s="144" t="s">
        <v>730</v>
      </c>
      <c r="I723" s="145"/>
      <c r="J723" s="145"/>
      <c r="K723" s="146">
        <v>117</v>
      </c>
    </row>
    <row r="724" spans="1:11" s="147" customFormat="1" ht="11.25" customHeight="1" x14ac:dyDescent="0.2">
      <c r="A724" s="795" t="s">
        <v>9045</v>
      </c>
      <c r="B724" s="138">
        <v>43434</v>
      </c>
      <c r="C724" s="139" t="s">
        <v>9315</v>
      </c>
      <c r="D724" s="140" t="s">
        <v>9322</v>
      </c>
      <c r="E724" s="141" t="s">
        <v>8136</v>
      </c>
      <c r="F724" s="142" t="s">
        <v>8134</v>
      </c>
      <c r="G724" s="143">
        <v>117</v>
      </c>
      <c r="H724" s="144" t="s">
        <v>730</v>
      </c>
      <c r="I724" s="145"/>
      <c r="J724" s="145"/>
      <c r="K724" s="146">
        <v>117</v>
      </c>
    </row>
    <row r="725" spans="1:11" s="147" customFormat="1" ht="11.25" customHeight="1" x14ac:dyDescent="0.2">
      <c r="A725" s="795" t="s">
        <v>9045</v>
      </c>
      <c r="B725" s="138">
        <v>43434</v>
      </c>
      <c r="C725" s="139" t="s">
        <v>9315</v>
      </c>
      <c r="D725" s="140" t="s">
        <v>9323</v>
      </c>
      <c r="E725" s="141" t="s">
        <v>8136</v>
      </c>
      <c r="F725" s="142" t="s">
        <v>8134</v>
      </c>
      <c r="G725" s="143">
        <v>117</v>
      </c>
      <c r="H725" s="144" t="s">
        <v>730</v>
      </c>
      <c r="I725" s="145"/>
      <c r="J725" s="145"/>
      <c r="K725" s="146">
        <v>117</v>
      </c>
    </row>
    <row r="726" spans="1:11" s="147" customFormat="1" ht="11.25" customHeight="1" x14ac:dyDescent="0.2">
      <c r="A726" s="795" t="s">
        <v>9317</v>
      </c>
      <c r="B726" s="138">
        <v>43434</v>
      </c>
      <c r="C726" s="139" t="s">
        <v>9318</v>
      </c>
      <c r="D726" s="140" t="s">
        <v>9324</v>
      </c>
      <c r="E726" s="141" t="s">
        <v>9320</v>
      </c>
      <c r="F726" s="142" t="s">
        <v>8134</v>
      </c>
      <c r="G726" s="143">
        <v>121.45</v>
      </c>
      <c r="H726" s="144" t="s">
        <v>730</v>
      </c>
      <c r="I726" s="145"/>
      <c r="J726" s="145"/>
      <c r="K726" s="146">
        <v>121.45</v>
      </c>
    </row>
    <row r="727" spans="1:11" s="147" customFormat="1" ht="11.25" customHeight="1" x14ac:dyDescent="0.2">
      <c r="A727" s="795" t="s">
        <v>9045</v>
      </c>
      <c r="B727" s="138">
        <v>43434</v>
      </c>
      <c r="C727" s="139" t="s">
        <v>9315</v>
      </c>
      <c r="D727" s="140" t="s">
        <v>9316</v>
      </c>
      <c r="E727" s="141" t="s">
        <v>8136</v>
      </c>
      <c r="F727" s="142" t="s">
        <v>8134</v>
      </c>
      <c r="G727" s="143">
        <v>125.4</v>
      </c>
      <c r="H727" s="144" t="s">
        <v>730</v>
      </c>
      <c r="I727" s="145"/>
      <c r="J727" s="145"/>
      <c r="K727" s="146">
        <v>125.4</v>
      </c>
    </row>
    <row r="728" spans="1:11" s="147" customFormat="1" ht="11.25" customHeight="1" x14ac:dyDescent="0.2">
      <c r="A728" s="795" t="s">
        <v>9317</v>
      </c>
      <c r="B728" s="138">
        <v>43434</v>
      </c>
      <c r="C728" s="139" t="s">
        <v>9318</v>
      </c>
      <c r="D728" s="140" t="s">
        <v>9324</v>
      </c>
      <c r="E728" s="141" t="s">
        <v>9320</v>
      </c>
      <c r="F728" s="142" t="s">
        <v>8134</v>
      </c>
      <c r="G728" s="143">
        <v>137.46</v>
      </c>
      <c r="H728" s="144" t="s">
        <v>730</v>
      </c>
      <c r="I728" s="145"/>
      <c r="J728" s="145"/>
      <c r="K728" s="146">
        <v>137.46</v>
      </c>
    </row>
    <row r="729" spans="1:11" s="147" customFormat="1" ht="11.25" customHeight="1" x14ac:dyDescent="0.2">
      <c r="A729" s="795" t="s">
        <v>9045</v>
      </c>
      <c r="B729" s="138">
        <v>43434</v>
      </c>
      <c r="C729" s="139" t="s">
        <v>9315</v>
      </c>
      <c r="D729" s="140" t="s">
        <v>9316</v>
      </c>
      <c r="E729" s="141" t="s">
        <v>8136</v>
      </c>
      <c r="F729" s="142" t="s">
        <v>8134</v>
      </c>
      <c r="G729" s="143">
        <v>138.85</v>
      </c>
      <c r="H729" s="144" t="s">
        <v>730</v>
      </c>
      <c r="I729" s="145"/>
      <c r="J729" s="145"/>
      <c r="K729" s="146">
        <v>138.85</v>
      </c>
    </row>
    <row r="730" spans="1:11" s="147" customFormat="1" ht="11.25" customHeight="1" x14ac:dyDescent="0.2">
      <c r="A730" s="795" t="s">
        <v>9045</v>
      </c>
      <c r="B730" s="138">
        <v>43434</v>
      </c>
      <c r="C730" s="139" t="s">
        <v>9315</v>
      </c>
      <c r="D730" s="140" t="s">
        <v>9316</v>
      </c>
      <c r="E730" s="141" t="s">
        <v>8136</v>
      </c>
      <c r="F730" s="142" t="s">
        <v>8134</v>
      </c>
      <c r="G730" s="143">
        <v>145.36000000000001</v>
      </c>
      <c r="H730" s="144" t="s">
        <v>730</v>
      </c>
      <c r="I730" s="145"/>
      <c r="J730" s="145"/>
      <c r="K730" s="146">
        <v>145.36000000000001</v>
      </c>
    </row>
    <row r="731" spans="1:11" s="147" customFormat="1" ht="11.25" customHeight="1" x14ac:dyDescent="0.2">
      <c r="A731" s="795" t="s">
        <v>9045</v>
      </c>
      <c r="B731" s="138">
        <v>43434</v>
      </c>
      <c r="C731" s="139" t="s">
        <v>9315</v>
      </c>
      <c r="D731" s="140" t="s">
        <v>9321</v>
      </c>
      <c r="E731" s="141" t="s">
        <v>8136</v>
      </c>
      <c r="F731" s="142" t="s">
        <v>8134</v>
      </c>
      <c r="G731" s="143">
        <v>145.36000000000001</v>
      </c>
      <c r="H731" s="144" t="s">
        <v>730</v>
      </c>
      <c r="I731" s="145"/>
      <c r="J731" s="145"/>
      <c r="K731" s="146">
        <v>145.36000000000001</v>
      </c>
    </row>
    <row r="732" spans="1:11" s="147" customFormat="1" ht="11.25" customHeight="1" x14ac:dyDescent="0.2">
      <c r="A732" s="795" t="s">
        <v>9045</v>
      </c>
      <c r="B732" s="138">
        <v>43434</v>
      </c>
      <c r="C732" s="139" t="s">
        <v>9315</v>
      </c>
      <c r="D732" s="140" t="s">
        <v>9322</v>
      </c>
      <c r="E732" s="141" t="s">
        <v>8136</v>
      </c>
      <c r="F732" s="142" t="s">
        <v>8134</v>
      </c>
      <c r="G732" s="143">
        <v>145.36000000000001</v>
      </c>
      <c r="H732" s="144" t="s">
        <v>730</v>
      </c>
      <c r="I732" s="145"/>
      <c r="J732" s="145"/>
      <c r="K732" s="146">
        <v>145.36000000000001</v>
      </c>
    </row>
    <row r="733" spans="1:11" s="147" customFormat="1" ht="11.25" customHeight="1" x14ac:dyDescent="0.2">
      <c r="A733" s="795" t="s">
        <v>9045</v>
      </c>
      <c r="B733" s="138">
        <v>43434</v>
      </c>
      <c r="C733" s="139" t="s">
        <v>9315</v>
      </c>
      <c r="D733" s="140" t="s">
        <v>9323</v>
      </c>
      <c r="E733" s="141" t="s">
        <v>8136</v>
      </c>
      <c r="F733" s="142" t="s">
        <v>8134</v>
      </c>
      <c r="G733" s="143">
        <v>145.36000000000001</v>
      </c>
      <c r="H733" s="144" t="s">
        <v>730</v>
      </c>
      <c r="I733" s="145"/>
      <c r="J733" s="145"/>
      <c r="K733" s="146">
        <v>145.36000000000001</v>
      </c>
    </row>
    <row r="734" spans="1:11" s="147" customFormat="1" ht="11.25" customHeight="1" x14ac:dyDescent="0.2">
      <c r="A734" s="795" t="s">
        <v>9317</v>
      </c>
      <c r="B734" s="138">
        <v>43434</v>
      </c>
      <c r="C734" s="139" t="s">
        <v>9318</v>
      </c>
      <c r="D734" s="140" t="s">
        <v>9324</v>
      </c>
      <c r="E734" s="141" t="s">
        <v>9320</v>
      </c>
      <c r="F734" s="142" t="s">
        <v>8134</v>
      </c>
      <c r="G734" s="143">
        <v>150.1</v>
      </c>
      <c r="H734" s="144" t="s">
        <v>730</v>
      </c>
      <c r="I734" s="145"/>
      <c r="J734" s="145"/>
      <c r="K734" s="146">
        <v>150.1</v>
      </c>
    </row>
    <row r="735" spans="1:11" s="147" customFormat="1" ht="11.25" customHeight="1" x14ac:dyDescent="0.2">
      <c r="A735" s="795" t="s">
        <v>9045</v>
      </c>
      <c r="B735" s="138">
        <v>43434</v>
      </c>
      <c r="C735" s="139" t="s">
        <v>9315</v>
      </c>
      <c r="D735" s="140" t="s">
        <v>9316</v>
      </c>
      <c r="E735" s="141" t="s">
        <v>8136</v>
      </c>
      <c r="F735" s="142" t="s">
        <v>8134</v>
      </c>
      <c r="G735" s="143">
        <v>160.08000000000001</v>
      </c>
      <c r="H735" s="144" t="s">
        <v>730</v>
      </c>
      <c r="I735" s="145"/>
      <c r="J735" s="145"/>
      <c r="K735" s="146">
        <v>160.08000000000001</v>
      </c>
    </row>
    <row r="736" spans="1:11" s="147" customFormat="1" ht="11.25" customHeight="1" x14ac:dyDescent="0.2">
      <c r="A736" s="795" t="s">
        <v>9045</v>
      </c>
      <c r="B736" s="138">
        <v>43434</v>
      </c>
      <c r="C736" s="139" t="s">
        <v>9315</v>
      </c>
      <c r="D736" s="140" t="s">
        <v>9321</v>
      </c>
      <c r="E736" s="141" t="s">
        <v>8136</v>
      </c>
      <c r="F736" s="142" t="s">
        <v>8134</v>
      </c>
      <c r="G736" s="143">
        <v>160.08000000000001</v>
      </c>
      <c r="H736" s="144" t="s">
        <v>730</v>
      </c>
      <c r="I736" s="145"/>
      <c r="J736" s="145"/>
      <c r="K736" s="146">
        <v>160.08000000000001</v>
      </c>
    </row>
    <row r="737" spans="1:11" s="147" customFormat="1" ht="11.25" customHeight="1" x14ac:dyDescent="0.2">
      <c r="A737" s="795" t="s">
        <v>9045</v>
      </c>
      <c r="B737" s="138">
        <v>43434</v>
      </c>
      <c r="C737" s="139" t="s">
        <v>9315</v>
      </c>
      <c r="D737" s="140" t="s">
        <v>9322</v>
      </c>
      <c r="E737" s="141" t="s">
        <v>8136</v>
      </c>
      <c r="F737" s="142" t="s">
        <v>8134</v>
      </c>
      <c r="G737" s="143">
        <v>160.08000000000001</v>
      </c>
      <c r="H737" s="144" t="s">
        <v>730</v>
      </c>
      <c r="I737" s="145"/>
      <c r="J737" s="145"/>
      <c r="K737" s="146">
        <v>160.08000000000001</v>
      </c>
    </row>
    <row r="738" spans="1:11" s="147" customFormat="1" ht="11.25" customHeight="1" x14ac:dyDescent="0.2">
      <c r="A738" s="795" t="s">
        <v>9045</v>
      </c>
      <c r="B738" s="138">
        <v>43434</v>
      </c>
      <c r="C738" s="139" t="s">
        <v>9315</v>
      </c>
      <c r="D738" s="140" t="s">
        <v>9323</v>
      </c>
      <c r="E738" s="141" t="s">
        <v>8136</v>
      </c>
      <c r="F738" s="142" t="s">
        <v>8134</v>
      </c>
      <c r="G738" s="143">
        <v>160.08000000000001</v>
      </c>
      <c r="H738" s="144" t="s">
        <v>730</v>
      </c>
      <c r="I738" s="145"/>
      <c r="J738" s="145"/>
      <c r="K738" s="146">
        <v>160.08000000000001</v>
      </c>
    </row>
    <row r="739" spans="1:11" s="147" customFormat="1" ht="11.25" customHeight="1" x14ac:dyDescent="0.2">
      <c r="A739" s="795" t="s">
        <v>9317</v>
      </c>
      <c r="B739" s="138">
        <v>43434</v>
      </c>
      <c r="C739" s="139" t="s">
        <v>9318</v>
      </c>
      <c r="D739" s="140" t="s">
        <v>9324</v>
      </c>
      <c r="E739" s="141" t="s">
        <v>9320</v>
      </c>
      <c r="F739" s="142" t="s">
        <v>8134</v>
      </c>
      <c r="G739" s="143">
        <v>172.26</v>
      </c>
      <c r="H739" s="144" t="s">
        <v>730</v>
      </c>
      <c r="I739" s="145"/>
      <c r="J739" s="145"/>
      <c r="K739" s="146">
        <v>172.26</v>
      </c>
    </row>
    <row r="740" spans="1:11" s="147" customFormat="1" ht="11.25" customHeight="1" x14ac:dyDescent="0.2">
      <c r="A740" s="795" t="s">
        <v>9045</v>
      </c>
      <c r="B740" s="138">
        <v>43434</v>
      </c>
      <c r="C740" s="139" t="s">
        <v>9315</v>
      </c>
      <c r="D740" s="140" t="s">
        <v>9321</v>
      </c>
      <c r="E740" s="141" t="s">
        <v>8136</v>
      </c>
      <c r="F740" s="142" t="s">
        <v>8134</v>
      </c>
      <c r="G740" s="143">
        <v>176.32</v>
      </c>
      <c r="H740" s="144" t="s">
        <v>730</v>
      </c>
      <c r="I740" s="145"/>
      <c r="J740" s="145"/>
      <c r="K740" s="146">
        <v>176.32</v>
      </c>
    </row>
    <row r="741" spans="1:11" s="147" customFormat="1" ht="11.25" customHeight="1" x14ac:dyDescent="0.2">
      <c r="A741" s="795" t="s">
        <v>9045</v>
      </c>
      <c r="B741" s="138">
        <v>43434</v>
      </c>
      <c r="C741" s="139" t="s">
        <v>9315</v>
      </c>
      <c r="D741" s="140" t="s">
        <v>9322</v>
      </c>
      <c r="E741" s="141" t="s">
        <v>8136</v>
      </c>
      <c r="F741" s="142" t="s">
        <v>8134</v>
      </c>
      <c r="G741" s="143">
        <v>176.32</v>
      </c>
      <c r="H741" s="144" t="s">
        <v>730</v>
      </c>
      <c r="I741" s="145"/>
      <c r="J741" s="145"/>
      <c r="K741" s="146">
        <v>176.32</v>
      </c>
    </row>
    <row r="742" spans="1:11" s="147" customFormat="1" ht="11.25" customHeight="1" x14ac:dyDescent="0.2">
      <c r="A742" s="795" t="s">
        <v>9045</v>
      </c>
      <c r="B742" s="138">
        <v>43434</v>
      </c>
      <c r="C742" s="139" t="s">
        <v>9315</v>
      </c>
      <c r="D742" s="140" t="s">
        <v>9323</v>
      </c>
      <c r="E742" s="141" t="s">
        <v>8136</v>
      </c>
      <c r="F742" s="142" t="s">
        <v>8134</v>
      </c>
      <c r="G742" s="143">
        <v>176.32</v>
      </c>
      <c r="H742" s="144" t="s">
        <v>730</v>
      </c>
      <c r="I742" s="145"/>
      <c r="J742" s="145"/>
      <c r="K742" s="146">
        <v>176.32</v>
      </c>
    </row>
    <row r="743" spans="1:11" s="147" customFormat="1" ht="11.25" customHeight="1" x14ac:dyDescent="0.2">
      <c r="A743" s="795" t="s">
        <v>9045</v>
      </c>
      <c r="B743" s="138">
        <v>43434</v>
      </c>
      <c r="C743" s="139" t="s">
        <v>9315</v>
      </c>
      <c r="D743" s="140" t="s">
        <v>9321</v>
      </c>
      <c r="E743" s="141" t="s">
        <v>8136</v>
      </c>
      <c r="F743" s="142" t="s">
        <v>8134</v>
      </c>
      <c r="G743" s="143">
        <v>187.6</v>
      </c>
      <c r="H743" s="144" t="s">
        <v>730</v>
      </c>
      <c r="I743" s="145"/>
      <c r="J743" s="145"/>
      <c r="K743" s="146">
        <v>187.6</v>
      </c>
    </row>
    <row r="744" spans="1:11" s="147" customFormat="1" ht="11.25" customHeight="1" x14ac:dyDescent="0.2">
      <c r="A744" s="795" t="s">
        <v>9045</v>
      </c>
      <c r="B744" s="138">
        <v>43434</v>
      </c>
      <c r="C744" s="139" t="s">
        <v>9315</v>
      </c>
      <c r="D744" s="140" t="s">
        <v>9322</v>
      </c>
      <c r="E744" s="141" t="s">
        <v>8136</v>
      </c>
      <c r="F744" s="142" t="s">
        <v>8134</v>
      </c>
      <c r="G744" s="143">
        <v>187.6</v>
      </c>
      <c r="H744" s="144" t="s">
        <v>730</v>
      </c>
      <c r="I744" s="145"/>
      <c r="J744" s="145"/>
      <c r="K744" s="146">
        <v>187.6</v>
      </c>
    </row>
    <row r="745" spans="1:11" s="147" customFormat="1" ht="11.25" customHeight="1" x14ac:dyDescent="0.2">
      <c r="A745" s="795" t="s">
        <v>9045</v>
      </c>
      <c r="B745" s="138">
        <v>43434</v>
      </c>
      <c r="C745" s="139" t="s">
        <v>9315</v>
      </c>
      <c r="D745" s="140" t="s">
        <v>9323</v>
      </c>
      <c r="E745" s="141" t="s">
        <v>8136</v>
      </c>
      <c r="F745" s="142" t="s">
        <v>8134</v>
      </c>
      <c r="G745" s="143">
        <v>187.6</v>
      </c>
      <c r="H745" s="144" t="s">
        <v>730</v>
      </c>
      <c r="I745" s="145"/>
      <c r="J745" s="145"/>
      <c r="K745" s="146">
        <v>187.6</v>
      </c>
    </row>
    <row r="746" spans="1:11" s="147" customFormat="1" ht="11.25" customHeight="1" x14ac:dyDescent="0.2">
      <c r="A746" s="795" t="s">
        <v>9045</v>
      </c>
      <c r="B746" s="138">
        <v>43434</v>
      </c>
      <c r="C746" s="139" t="s">
        <v>9315</v>
      </c>
      <c r="D746" s="140" t="s">
        <v>9325</v>
      </c>
      <c r="E746" s="141" t="s">
        <v>8136</v>
      </c>
      <c r="F746" s="142" t="s">
        <v>8134</v>
      </c>
      <c r="G746" s="143">
        <v>224.98</v>
      </c>
      <c r="H746" s="144" t="s">
        <v>730</v>
      </c>
      <c r="I746" s="145"/>
      <c r="J746" s="145"/>
      <c r="K746" s="146">
        <v>224.98</v>
      </c>
    </row>
    <row r="747" spans="1:11" s="147" customFormat="1" ht="11.25" customHeight="1" x14ac:dyDescent="0.2">
      <c r="A747" s="795" t="s">
        <v>9045</v>
      </c>
      <c r="B747" s="138">
        <v>43434</v>
      </c>
      <c r="C747" s="139" t="s">
        <v>9315</v>
      </c>
      <c r="D747" s="140" t="s">
        <v>9325</v>
      </c>
      <c r="E747" s="141" t="s">
        <v>8136</v>
      </c>
      <c r="F747" s="142" t="s">
        <v>8134</v>
      </c>
      <c r="G747" s="143">
        <v>225.36</v>
      </c>
      <c r="H747" s="144" t="s">
        <v>730</v>
      </c>
      <c r="I747" s="145"/>
      <c r="J747" s="145"/>
      <c r="K747" s="146">
        <v>225.36</v>
      </c>
    </row>
    <row r="748" spans="1:11" s="147" customFormat="1" ht="11.25" customHeight="1" x14ac:dyDescent="0.2">
      <c r="A748" s="795" t="s">
        <v>9045</v>
      </c>
      <c r="B748" s="138">
        <v>43434</v>
      </c>
      <c r="C748" s="139" t="s">
        <v>9315</v>
      </c>
      <c r="D748" s="140" t="s">
        <v>9316</v>
      </c>
      <c r="E748" s="141" t="s">
        <v>8136</v>
      </c>
      <c r="F748" s="142" t="s">
        <v>8134</v>
      </c>
      <c r="G748" s="143">
        <v>258.22000000000003</v>
      </c>
      <c r="H748" s="144" t="s">
        <v>730</v>
      </c>
      <c r="I748" s="145"/>
      <c r="J748" s="145"/>
      <c r="K748" s="146">
        <v>258.22000000000003</v>
      </c>
    </row>
    <row r="749" spans="1:11" s="147" customFormat="1" ht="11.25" customHeight="1" x14ac:dyDescent="0.2">
      <c r="A749" s="795" t="s">
        <v>9317</v>
      </c>
      <c r="B749" s="138">
        <v>43434</v>
      </c>
      <c r="C749" s="139" t="s">
        <v>9318</v>
      </c>
      <c r="D749" s="140" t="s">
        <v>9324</v>
      </c>
      <c r="E749" s="141" t="s">
        <v>9320</v>
      </c>
      <c r="F749" s="142" t="s">
        <v>8134</v>
      </c>
      <c r="G749" s="143">
        <v>306.47000000000003</v>
      </c>
      <c r="H749" s="144" t="s">
        <v>730</v>
      </c>
      <c r="I749" s="145"/>
      <c r="J749" s="145"/>
      <c r="K749" s="146">
        <v>306.47000000000003</v>
      </c>
    </row>
    <row r="750" spans="1:11" s="147" customFormat="1" ht="11.25" customHeight="1" x14ac:dyDescent="0.2">
      <c r="A750" s="795" t="s">
        <v>9326</v>
      </c>
      <c r="B750" s="138">
        <v>43434</v>
      </c>
      <c r="C750" s="139" t="s">
        <v>9327</v>
      </c>
      <c r="D750" s="140" t="s">
        <v>8179</v>
      </c>
      <c r="E750" s="141" t="s">
        <v>9328</v>
      </c>
      <c r="F750" s="142" t="s">
        <v>8142</v>
      </c>
      <c r="G750" s="143">
        <v>1392</v>
      </c>
      <c r="H750" s="144" t="s">
        <v>730</v>
      </c>
      <c r="I750" s="145"/>
      <c r="J750" s="145"/>
      <c r="K750" s="146">
        <v>1392</v>
      </c>
    </row>
    <row r="751" spans="1:11" s="147" customFormat="1" ht="11.25" customHeight="1" x14ac:dyDescent="0.2">
      <c r="A751" s="795" t="s">
        <v>9326</v>
      </c>
      <c r="B751" s="138">
        <v>43434</v>
      </c>
      <c r="C751" s="139" t="s">
        <v>9329</v>
      </c>
      <c r="D751" s="140" t="s">
        <v>9330</v>
      </c>
      <c r="E751" s="141" t="s">
        <v>9328</v>
      </c>
      <c r="F751" s="142" t="s">
        <v>8142</v>
      </c>
      <c r="G751" s="143">
        <v>4060</v>
      </c>
      <c r="H751" s="144" t="s">
        <v>730</v>
      </c>
      <c r="I751" s="145"/>
      <c r="J751" s="145"/>
      <c r="K751" s="146">
        <v>4060</v>
      </c>
    </row>
    <row r="752" spans="1:11" s="147" customFormat="1" ht="11.25" customHeight="1" x14ac:dyDescent="0.2">
      <c r="A752" s="795" t="s">
        <v>9331</v>
      </c>
      <c r="B752" s="138">
        <v>43434</v>
      </c>
      <c r="C752" s="139" t="s">
        <v>8092</v>
      </c>
      <c r="D752" s="140" t="s">
        <v>9332</v>
      </c>
      <c r="E752" s="141" t="s">
        <v>9333</v>
      </c>
      <c r="F752" s="142" t="s">
        <v>9334</v>
      </c>
      <c r="G752" s="143">
        <v>9988.76</v>
      </c>
      <c r="H752" s="144" t="s">
        <v>730</v>
      </c>
      <c r="I752" s="145"/>
      <c r="J752" s="145"/>
      <c r="K752" s="146">
        <v>9988.76</v>
      </c>
    </row>
    <row r="753" spans="1:11" s="147" customFormat="1" ht="11.25" customHeight="1" x14ac:dyDescent="0.2">
      <c r="A753" s="795" t="s">
        <v>9331</v>
      </c>
      <c r="B753" s="138">
        <v>43434</v>
      </c>
      <c r="C753" s="139" t="s">
        <v>8092</v>
      </c>
      <c r="D753" s="140" t="s">
        <v>9332</v>
      </c>
      <c r="E753" s="141" t="s">
        <v>9333</v>
      </c>
      <c r="F753" s="142" t="s">
        <v>9334</v>
      </c>
      <c r="G753" s="143">
        <v>17142.48</v>
      </c>
      <c r="H753" s="144" t="s">
        <v>730</v>
      </c>
      <c r="I753" s="145"/>
      <c r="J753" s="145"/>
      <c r="K753" s="146">
        <v>17142.48</v>
      </c>
    </row>
    <row r="754" spans="1:11" s="147" customFormat="1" ht="11.25" customHeight="1" x14ac:dyDescent="0.2">
      <c r="A754" s="795" t="s">
        <v>9331</v>
      </c>
      <c r="B754" s="138">
        <v>43434</v>
      </c>
      <c r="C754" s="139" t="s">
        <v>8092</v>
      </c>
      <c r="D754" s="140" t="s">
        <v>9332</v>
      </c>
      <c r="E754" s="141" t="s">
        <v>9333</v>
      </c>
      <c r="F754" s="142" t="s">
        <v>9334</v>
      </c>
      <c r="G754" s="143">
        <v>39013.120000000003</v>
      </c>
      <c r="H754" s="144" t="s">
        <v>730</v>
      </c>
      <c r="I754" s="145"/>
      <c r="J754" s="145"/>
      <c r="K754" s="146">
        <v>39013.120000000003</v>
      </c>
    </row>
    <row r="755" spans="1:11" s="147" customFormat="1" ht="11.25" customHeight="1" x14ac:dyDescent="0.2">
      <c r="A755" s="795" t="s">
        <v>9335</v>
      </c>
      <c r="B755" s="138">
        <v>43434</v>
      </c>
      <c r="C755" s="139" t="s">
        <v>9336</v>
      </c>
      <c r="D755" s="140" t="s">
        <v>9337</v>
      </c>
      <c r="E755" s="141" t="s">
        <v>9338</v>
      </c>
      <c r="F755" s="142" t="s">
        <v>9339</v>
      </c>
      <c r="G755" s="143">
        <v>500</v>
      </c>
      <c r="H755" s="144" t="s">
        <v>730</v>
      </c>
      <c r="I755" s="145"/>
      <c r="J755" s="145"/>
      <c r="K755" s="146">
        <v>500</v>
      </c>
    </row>
    <row r="756" spans="1:11" s="147" customFormat="1" ht="11.25" customHeight="1" x14ac:dyDescent="0.2">
      <c r="A756" s="795" t="s">
        <v>9335</v>
      </c>
      <c r="B756" s="138">
        <v>43434</v>
      </c>
      <c r="C756" s="139" t="s">
        <v>9336</v>
      </c>
      <c r="D756" s="140" t="s">
        <v>9340</v>
      </c>
      <c r="E756" s="141" t="s">
        <v>9338</v>
      </c>
      <c r="F756" s="142" t="s">
        <v>8097</v>
      </c>
      <c r="G756" s="143">
        <v>1200</v>
      </c>
      <c r="H756" s="144" t="s">
        <v>730</v>
      </c>
      <c r="I756" s="145"/>
      <c r="J756" s="145"/>
      <c r="K756" s="146">
        <v>1200</v>
      </c>
    </row>
    <row r="757" spans="1:11" s="147" customFormat="1" ht="11.25" customHeight="1" x14ac:dyDescent="0.2">
      <c r="A757" s="795" t="s">
        <v>9335</v>
      </c>
      <c r="B757" s="138">
        <v>43434</v>
      </c>
      <c r="C757" s="139" t="s">
        <v>9336</v>
      </c>
      <c r="D757" s="140" t="s">
        <v>9341</v>
      </c>
      <c r="E757" s="141" t="s">
        <v>9338</v>
      </c>
      <c r="F757" s="142" t="s">
        <v>8099</v>
      </c>
      <c r="G757" s="143">
        <v>1200</v>
      </c>
      <c r="H757" s="144" t="s">
        <v>730</v>
      </c>
      <c r="I757" s="145"/>
      <c r="J757" s="145"/>
      <c r="K757" s="146">
        <v>1200</v>
      </c>
    </row>
    <row r="758" spans="1:11" s="147" customFormat="1" ht="11.25" customHeight="1" x14ac:dyDescent="0.2">
      <c r="A758" s="795" t="s">
        <v>9335</v>
      </c>
      <c r="B758" s="138">
        <v>43434</v>
      </c>
      <c r="C758" s="139" t="s">
        <v>9336</v>
      </c>
      <c r="D758" s="140" t="s">
        <v>9342</v>
      </c>
      <c r="E758" s="141" t="s">
        <v>9338</v>
      </c>
      <c r="F758" s="142" t="s">
        <v>8097</v>
      </c>
      <c r="G758" s="143">
        <v>1800</v>
      </c>
      <c r="H758" s="144" t="s">
        <v>730</v>
      </c>
      <c r="I758" s="145"/>
      <c r="J758" s="145"/>
      <c r="K758" s="146">
        <v>1800</v>
      </c>
    </row>
    <row r="759" spans="1:11" s="147" customFormat="1" ht="11.25" customHeight="1" x14ac:dyDescent="0.2">
      <c r="A759" s="795" t="s">
        <v>9335</v>
      </c>
      <c r="B759" s="138">
        <v>43434</v>
      </c>
      <c r="C759" s="139" t="s">
        <v>9336</v>
      </c>
      <c r="D759" s="140" t="s">
        <v>9343</v>
      </c>
      <c r="E759" s="141" t="s">
        <v>9338</v>
      </c>
      <c r="F759" s="142" t="s">
        <v>8097</v>
      </c>
      <c r="G759" s="143">
        <v>2000</v>
      </c>
      <c r="H759" s="144" t="s">
        <v>730</v>
      </c>
      <c r="I759" s="145"/>
      <c r="J759" s="145"/>
      <c r="K759" s="146">
        <v>2000</v>
      </c>
    </row>
    <row r="760" spans="1:11" s="147" customFormat="1" ht="11.25" customHeight="1" x14ac:dyDescent="0.2">
      <c r="A760" s="795" t="s">
        <v>9335</v>
      </c>
      <c r="B760" s="138">
        <v>43434</v>
      </c>
      <c r="C760" s="139" t="s">
        <v>9336</v>
      </c>
      <c r="D760" s="140" t="s">
        <v>9344</v>
      </c>
      <c r="E760" s="141" t="s">
        <v>9338</v>
      </c>
      <c r="F760" s="142" t="s">
        <v>8097</v>
      </c>
      <c r="G760" s="143">
        <v>2400</v>
      </c>
      <c r="H760" s="144" t="s">
        <v>730</v>
      </c>
      <c r="I760" s="145"/>
      <c r="J760" s="145"/>
      <c r="K760" s="146">
        <v>2400</v>
      </c>
    </row>
    <row r="761" spans="1:11" s="147" customFormat="1" ht="11.25" customHeight="1" x14ac:dyDescent="0.2">
      <c r="A761" s="795" t="s">
        <v>9335</v>
      </c>
      <c r="B761" s="138">
        <v>43434</v>
      </c>
      <c r="C761" s="139" t="s">
        <v>9336</v>
      </c>
      <c r="D761" s="140" t="s">
        <v>9345</v>
      </c>
      <c r="E761" s="141" t="s">
        <v>9338</v>
      </c>
      <c r="F761" s="142" t="s">
        <v>8097</v>
      </c>
      <c r="G761" s="143">
        <v>3000</v>
      </c>
      <c r="H761" s="144" t="s">
        <v>730</v>
      </c>
      <c r="I761" s="145"/>
      <c r="J761" s="145"/>
      <c r="K761" s="146">
        <v>3000</v>
      </c>
    </row>
    <row r="762" spans="1:11" s="147" customFormat="1" ht="11.25" customHeight="1" x14ac:dyDescent="0.2">
      <c r="A762" s="795" t="s">
        <v>9335</v>
      </c>
      <c r="B762" s="138">
        <v>43434</v>
      </c>
      <c r="C762" s="139" t="s">
        <v>9336</v>
      </c>
      <c r="D762" s="140" t="s">
        <v>9346</v>
      </c>
      <c r="E762" s="141" t="s">
        <v>9338</v>
      </c>
      <c r="F762" s="142" t="s">
        <v>8099</v>
      </c>
      <c r="G762" s="143">
        <v>3700</v>
      </c>
      <c r="H762" s="144" t="s">
        <v>730</v>
      </c>
      <c r="I762" s="145"/>
      <c r="J762" s="145"/>
      <c r="K762" s="146">
        <v>3700</v>
      </c>
    </row>
    <row r="763" spans="1:11" s="147" customFormat="1" ht="11.25" customHeight="1" x14ac:dyDescent="0.2">
      <c r="A763" s="795" t="s">
        <v>9335</v>
      </c>
      <c r="B763" s="138">
        <v>43434</v>
      </c>
      <c r="C763" s="139" t="s">
        <v>9336</v>
      </c>
      <c r="D763" s="140" t="s">
        <v>9347</v>
      </c>
      <c r="E763" s="141" t="s">
        <v>9338</v>
      </c>
      <c r="F763" s="142" t="s">
        <v>8099</v>
      </c>
      <c r="G763" s="143">
        <v>4500</v>
      </c>
      <c r="H763" s="144" t="s">
        <v>730</v>
      </c>
      <c r="I763" s="145"/>
      <c r="J763" s="145"/>
      <c r="K763" s="146">
        <v>4500</v>
      </c>
    </row>
    <row r="764" spans="1:11" s="147" customFormat="1" ht="11.25" customHeight="1" x14ac:dyDescent="0.2">
      <c r="A764" s="795" t="s">
        <v>9335</v>
      </c>
      <c r="B764" s="138">
        <v>43434</v>
      </c>
      <c r="C764" s="139" t="s">
        <v>9336</v>
      </c>
      <c r="D764" s="140" t="s">
        <v>9348</v>
      </c>
      <c r="E764" s="141" t="s">
        <v>9338</v>
      </c>
      <c r="F764" s="142" t="s">
        <v>8099</v>
      </c>
      <c r="G764" s="143">
        <v>14000</v>
      </c>
      <c r="H764" s="144" t="s">
        <v>730</v>
      </c>
      <c r="I764" s="145"/>
      <c r="J764" s="145"/>
      <c r="K764" s="146">
        <v>14000</v>
      </c>
    </row>
    <row r="765" spans="1:11" s="147" customFormat="1" ht="11.25" customHeight="1" x14ac:dyDescent="0.2">
      <c r="A765" s="795" t="s">
        <v>9335</v>
      </c>
      <c r="B765" s="138">
        <v>43434</v>
      </c>
      <c r="C765" s="139" t="s">
        <v>9336</v>
      </c>
      <c r="D765" s="140" t="s">
        <v>9349</v>
      </c>
      <c r="E765" s="141" t="s">
        <v>9338</v>
      </c>
      <c r="F765" s="142" t="s">
        <v>8099</v>
      </c>
      <c r="G765" s="143">
        <v>15700</v>
      </c>
      <c r="H765" s="144" t="s">
        <v>730</v>
      </c>
      <c r="I765" s="145"/>
      <c r="J765" s="145"/>
      <c r="K765" s="146">
        <v>15700</v>
      </c>
    </row>
    <row r="766" spans="1:11" s="147" customFormat="1" ht="11.25" customHeight="1" x14ac:dyDescent="0.2">
      <c r="A766" s="795" t="s">
        <v>9188</v>
      </c>
      <c r="B766" s="138">
        <v>43434</v>
      </c>
      <c r="C766" s="139" t="s">
        <v>9350</v>
      </c>
      <c r="D766" s="140" t="s">
        <v>9351</v>
      </c>
      <c r="E766" s="141" t="s">
        <v>9087</v>
      </c>
      <c r="F766" s="142" t="s">
        <v>8144</v>
      </c>
      <c r="G766" s="143">
        <v>77.86</v>
      </c>
      <c r="H766" s="144" t="s">
        <v>730</v>
      </c>
      <c r="I766" s="145"/>
      <c r="J766" s="145"/>
      <c r="K766" s="146">
        <v>77.86</v>
      </c>
    </row>
    <row r="767" spans="1:11" s="147" customFormat="1" ht="11.25" customHeight="1" x14ac:dyDescent="0.2">
      <c r="A767" s="795" t="s">
        <v>9352</v>
      </c>
      <c r="B767" s="138">
        <v>43434</v>
      </c>
      <c r="C767" s="139" t="s">
        <v>9353</v>
      </c>
      <c r="D767" s="140" t="s">
        <v>9354</v>
      </c>
      <c r="E767" s="141" t="s">
        <v>8162</v>
      </c>
      <c r="F767" s="142" t="s">
        <v>8159</v>
      </c>
      <c r="G767" s="143">
        <v>162.4</v>
      </c>
      <c r="H767" s="144" t="s">
        <v>730</v>
      </c>
      <c r="I767" s="145"/>
      <c r="J767" s="145"/>
      <c r="K767" s="146">
        <v>162.4</v>
      </c>
    </row>
    <row r="768" spans="1:11" s="147" customFormat="1" ht="11.25" customHeight="1" x14ac:dyDescent="0.2">
      <c r="A768" s="795" t="s">
        <v>9188</v>
      </c>
      <c r="B768" s="138">
        <v>43434</v>
      </c>
      <c r="C768" s="139" t="s">
        <v>9350</v>
      </c>
      <c r="D768" s="140" t="s">
        <v>9351</v>
      </c>
      <c r="E768" s="141" t="s">
        <v>9087</v>
      </c>
      <c r="F768" s="142" t="s">
        <v>8144</v>
      </c>
      <c r="G768" s="143">
        <v>252</v>
      </c>
      <c r="H768" s="144" t="s">
        <v>730</v>
      </c>
      <c r="I768" s="145"/>
      <c r="J768" s="145"/>
      <c r="K768" s="146">
        <v>252</v>
      </c>
    </row>
    <row r="769" spans="1:11" s="147" customFormat="1" ht="11.25" customHeight="1" x14ac:dyDescent="0.2">
      <c r="A769" s="795" t="s">
        <v>9188</v>
      </c>
      <c r="B769" s="138">
        <v>43434</v>
      </c>
      <c r="C769" s="139" t="s">
        <v>9350</v>
      </c>
      <c r="D769" s="140" t="s">
        <v>9355</v>
      </c>
      <c r="E769" s="141" t="s">
        <v>9087</v>
      </c>
      <c r="F769" s="142" t="s">
        <v>9190</v>
      </c>
      <c r="G769" s="143">
        <v>498.92</v>
      </c>
      <c r="H769" s="144" t="s">
        <v>730</v>
      </c>
      <c r="I769" s="145"/>
      <c r="J769" s="145"/>
      <c r="K769" s="146">
        <v>498.92</v>
      </c>
    </row>
    <row r="770" spans="1:11" s="147" customFormat="1" ht="11.25" customHeight="1" x14ac:dyDescent="0.2">
      <c r="A770" s="795" t="s">
        <v>9188</v>
      </c>
      <c r="B770" s="138">
        <v>43434</v>
      </c>
      <c r="C770" s="139" t="s">
        <v>9350</v>
      </c>
      <c r="D770" s="140" t="s">
        <v>9356</v>
      </c>
      <c r="E770" s="141" t="s">
        <v>9087</v>
      </c>
      <c r="F770" s="142" t="s">
        <v>9357</v>
      </c>
      <c r="G770" s="143">
        <v>817.27</v>
      </c>
      <c r="H770" s="144" t="s">
        <v>730</v>
      </c>
      <c r="I770" s="145"/>
      <c r="J770" s="145"/>
      <c r="K770" s="146">
        <v>817.27</v>
      </c>
    </row>
    <row r="771" spans="1:11" s="147" customFormat="1" ht="11.25" customHeight="1" x14ac:dyDescent="0.2">
      <c r="A771" s="795" t="s">
        <v>9188</v>
      </c>
      <c r="B771" s="138">
        <v>43434</v>
      </c>
      <c r="C771" s="139" t="s">
        <v>9350</v>
      </c>
      <c r="D771" s="140" t="s">
        <v>9358</v>
      </c>
      <c r="E771" s="141" t="s">
        <v>9087</v>
      </c>
      <c r="F771" s="142" t="s">
        <v>9200</v>
      </c>
      <c r="G771" s="143">
        <v>827.38</v>
      </c>
      <c r="H771" s="144" t="s">
        <v>730</v>
      </c>
      <c r="I771" s="145"/>
      <c r="J771" s="145"/>
      <c r="K771" s="146">
        <v>827.38</v>
      </c>
    </row>
    <row r="772" spans="1:11" s="147" customFormat="1" ht="11.25" customHeight="1" x14ac:dyDescent="0.2">
      <c r="A772" s="795" t="s">
        <v>9188</v>
      </c>
      <c r="B772" s="138">
        <v>43434</v>
      </c>
      <c r="C772" s="139" t="s">
        <v>9350</v>
      </c>
      <c r="D772" s="140" t="s">
        <v>9359</v>
      </c>
      <c r="E772" s="141" t="s">
        <v>9087</v>
      </c>
      <c r="F772" s="142" t="s">
        <v>9360</v>
      </c>
      <c r="G772" s="143">
        <v>4499.5200000000004</v>
      </c>
      <c r="H772" s="144" t="s">
        <v>730</v>
      </c>
      <c r="I772" s="145"/>
      <c r="J772" s="145"/>
      <c r="K772" s="146">
        <v>4499.5200000000004</v>
      </c>
    </row>
    <row r="773" spans="1:11" s="147" customFormat="1" ht="11.25" customHeight="1" x14ac:dyDescent="0.2">
      <c r="A773" s="795" t="s">
        <v>9352</v>
      </c>
      <c r="B773" s="138">
        <v>43434</v>
      </c>
      <c r="C773" s="139" t="s">
        <v>9353</v>
      </c>
      <c r="D773" s="140" t="s">
        <v>9354</v>
      </c>
      <c r="E773" s="141" t="s">
        <v>8162</v>
      </c>
      <c r="F773" s="142" t="s">
        <v>8159</v>
      </c>
      <c r="G773" s="143">
        <v>6760.6</v>
      </c>
      <c r="H773" s="144" t="s">
        <v>730</v>
      </c>
      <c r="I773" s="145"/>
      <c r="J773" s="145"/>
      <c r="K773" s="146">
        <v>6760.6</v>
      </c>
    </row>
    <row r="774" spans="1:11" s="147" customFormat="1" ht="11.25" customHeight="1" x14ac:dyDescent="0.2">
      <c r="A774" s="795" t="s">
        <v>9352</v>
      </c>
      <c r="B774" s="138">
        <v>43434</v>
      </c>
      <c r="C774" s="139" t="s">
        <v>9361</v>
      </c>
      <c r="D774" s="140" t="s">
        <v>9362</v>
      </c>
      <c r="E774" s="141" t="s">
        <v>8162</v>
      </c>
      <c r="F774" s="142" t="s">
        <v>9190</v>
      </c>
      <c r="G774" s="143">
        <v>10556</v>
      </c>
      <c r="H774" s="144" t="s">
        <v>730</v>
      </c>
      <c r="I774" s="145"/>
      <c r="J774" s="145"/>
      <c r="K774" s="146">
        <v>10556</v>
      </c>
    </row>
    <row r="775" spans="1:11" s="147" customFormat="1" ht="11.25" customHeight="1" x14ac:dyDescent="0.2">
      <c r="A775" s="795" t="s">
        <v>9363</v>
      </c>
      <c r="B775" s="138">
        <v>43434</v>
      </c>
      <c r="C775" s="139" t="s">
        <v>9364</v>
      </c>
      <c r="D775" s="140" t="s">
        <v>9365</v>
      </c>
      <c r="E775" s="141" t="s">
        <v>8138</v>
      </c>
      <c r="F775" s="142" t="s">
        <v>8159</v>
      </c>
      <c r="G775" s="143">
        <v>1.76</v>
      </c>
      <c r="H775" s="144" t="s">
        <v>730</v>
      </c>
      <c r="I775" s="145"/>
      <c r="J775" s="145"/>
      <c r="K775" s="146">
        <v>1.76</v>
      </c>
    </row>
    <row r="776" spans="1:11" s="147" customFormat="1" ht="11.25" customHeight="1" x14ac:dyDescent="0.2">
      <c r="A776" s="795" t="s">
        <v>9363</v>
      </c>
      <c r="B776" s="138">
        <v>43434</v>
      </c>
      <c r="C776" s="139" t="s">
        <v>9364</v>
      </c>
      <c r="D776" s="140" t="s">
        <v>9365</v>
      </c>
      <c r="E776" s="141" t="s">
        <v>8138</v>
      </c>
      <c r="F776" s="142" t="s">
        <v>8159</v>
      </c>
      <c r="G776" s="143">
        <v>5.0999999999999996</v>
      </c>
      <c r="H776" s="144" t="s">
        <v>730</v>
      </c>
      <c r="I776" s="145"/>
      <c r="J776" s="145"/>
      <c r="K776" s="146">
        <v>5.0999999999999996</v>
      </c>
    </row>
    <row r="777" spans="1:11" s="147" customFormat="1" ht="11.25" customHeight="1" x14ac:dyDescent="0.2">
      <c r="A777" s="795" t="s">
        <v>9363</v>
      </c>
      <c r="B777" s="138">
        <v>43434</v>
      </c>
      <c r="C777" s="139" t="s">
        <v>9364</v>
      </c>
      <c r="D777" s="140" t="s">
        <v>9365</v>
      </c>
      <c r="E777" s="141" t="s">
        <v>8138</v>
      </c>
      <c r="F777" s="142" t="s">
        <v>8159</v>
      </c>
      <c r="G777" s="143">
        <v>12.32</v>
      </c>
      <c r="H777" s="144" t="s">
        <v>730</v>
      </c>
      <c r="I777" s="145"/>
      <c r="J777" s="145"/>
      <c r="K777" s="146">
        <v>12.32</v>
      </c>
    </row>
    <row r="778" spans="1:11" s="147" customFormat="1" ht="11.25" customHeight="1" x14ac:dyDescent="0.2">
      <c r="A778" s="795" t="s">
        <v>9363</v>
      </c>
      <c r="B778" s="138">
        <v>43434</v>
      </c>
      <c r="C778" s="139" t="s">
        <v>9364</v>
      </c>
      <c r="D778" s="140" t="s">
        <v>9365</v>
      </c>
      <c r="E778" s="141" t="s">
        <v>8138</v>
      </c>
      <c r="F778" s="142" t="s">
        <v>8159</v>
      </c>
      <c r="G778" s="143">
        <v>19.3</v>
      </c>
      <c r="H778" s="144" t="s">
        <v>730</v>
      </c>
      <c r="I778" s="145"/>
      <c r="J778" s="145"/>
      <c r="K778" s="146">
        <v>19.3</v>
      </c>
    </row>
    <row r="779" spans="1:11" s="147" customFormat="1" ht="11.25" customHeight="1" x14ac:dyDescent="0.2">
      <c r="A779" s="795" t="s">
        <v>9363</v>
      </c>
      <c r="B779" s="138">
        <v>43434</v>
      </c>
      <c r="C779" s="139" t="s">
        <v>9364</v>
      </c>
      <c r="D779" s="140" t="s">
        <v>9365</v>
      </c>
      <c r="E779" s="141" t="s">
        <v>8138</v>
      </c>
      <c r="F779" s="142" t="s">
        <v>8159</v>
      </c>
      <c r="G779" s="143">
        <v>22.11</v>
      </c>
      <c r="H779" s="144" t="s">
        <v>730</v>
      </c>
      <c r="I779" s="145"/>
      <c r="J779" s="145"/>
      <c r="K779" s="146">
        <v>22.11</v>
      </c>
    </row>
    <row r="780" spans="1:11" s="147" customFormat="1" ht="11.25" customHeight="1" x14ac:dyDescent="0.2">
      <c r="A780" s="795" t="s">
        <v>9363</v>
      </c>
      <c r="B780" s="138">
        <v>43434</v>
      </c>
      <c r="C780" s="139" t="s">
        <v>9364</v>
      </c>
      <c r="D780" s="140" t="s">
        <v>9365</v>
      </c>
      <c r="E780" s="141" t="s">
        <v>8138</v>
      </c>
      <c r="F780" s="142" t="s">
        <v>8159</v>
      </c>
      <c r="G780" s="143">
        <v>36.450000000000003</v>
      </c>
      <c r="H780" s="144" t="s">
        <v>730</v>
      </c>
      <c r="I780" s="145"/>
      <c r="J780" s="145"/>
      <c r="K780" s="146">
        <v>36.450000000000003</v>
      </c>
    </row>
    <row r="781" spans="1:11" s="147" customFormat="1" ht="11.25" customHeight="1" x14ac:dyDescent="0.2">
      <c r="A781" s="795" t="s">
        <v>9363</v>
      </c>
      <c r="B781" s="138">
        <v>43434</v>
      </c>
      <c r="C781" s="139" t="s">
        <v>9364</v>
      </c>
      <c r="D781" s="140" t="s">
        <v>9366</v>
      </c>
      <c r="E781" s="141" t="s">
        <v>8138</v>
      </c>
      <c r="F781" s="142" t="s">
        <v>8147</v>
      </c>
      <c r="G781" s="143">
        <v>43.06</v>
      </c>
      <c r="H781" s="144" t="s">
        <v>730</v>
      </c>
      <c r="I781" s="145"/>
      <c r="J781" s="145"/>
      <c r="K781" s="146">
        <v>43.06</v>
      </c>
    </row>
    <row r="782" spans="1:11" s="147" customFormat="1" ht="11.25" customHeight="1" x14ac:dyDescent="0.2">
      <c r="A782" s="795" t="s">
        <v>9363</v>
      </c>
      <c r="B782" s="138">
        <v>43434</v>
      </c>
      <c r="C782" s="139" t="s">
        <v>9364</v>
      </c>
      <c r="D782" s="140" t="s">
        <v>9366</v>
      </c>
      <c r="E782" s="141" t="s">
        <v>8138</v>
      </c>
      <c r="F782" s="142" t="s">
        <v>8147</v>
      </c>
      <c r="G782" s="143">
        <v>81.62</v>
      </c>
      <c r="H782" s="144" t="s">
        <v>730</v>
      </c>
      <c r="I782" s="145"/>
      <c r="J782" s="145"/>
      <c r="K782" s="146">
        <v>81.62</v>
      </c>
    </row>
    <row r="783" spans="1:11" s="147" customFormat="1" ht="11.25" customHeight="1" x14ac:dyDescent="0.2">
      <c r="A783" s="795" t="s">
        <v>9363</v>
      </c>
      <c r="B783" s="138">
        <v>43434</v>
      </c>
      <c r="C783" s="139" t="s">
        <v>9364</v>
      </c>
      <c r="D783" s="140" t="s">
        <v>9365</v>
      </c>
      <c r="E783" s="141" t="s">
        <v>8138</v>
      </c>
      <c r="F783" s="142" t="s">
        <v>8159</v>
      </c>
      <c r="G783" s="143">
        <v>85.43</v>
      </c>
      <c r="H783" s="144" t="s">
        <v>730</v>
      </c>
      <c r="I783" s="145"/>
      <c r="J783" s="145"/>
      <c r="K783" s="146">
        <v>85.43</v>
      </c>
    </row>
    <row r="784" spans="1:11" s="147" customFormat="1" ht="11.25" customHeight="1" x14ac:dyDescent="0.2">
      <c r="A784" s="795" t="s">
        <v>9363</v>
      </c>
      <c r="B784" s="138">
        <v>43434</v>
      </c>
      <c r="C784" s="139" t="s">
        <v>9364</v>
      </c>
      <c r="D784" s="140" t="s">
        <v>9365</v>
      </c>
      <c r="E784" s="141" t="s">
        <v>8138</v>
      </c>
      <c r="F784" s="142" t="s">
        <v>8159</v>
      </c>
      <c r="G784" s="143">
        <v>130.15</v>
      </c>
      <c r="H784" s="144" t="s">
        <v>730</v>
      </c>
      <c r="I784" s="145"/>
      <c r="J784" s="145"/>
      <c r="K784" s="146">
        <v>130.15</v>
      </c>
    </row>
    <row r="785" spans="1:11" s="147" customFormat="1" ht="11.25" customHeight="1" x14ac:dyDescent="0.2">
      <c r="A785" s="795" t="s">
        <v>9363</v>
      </c>
      <c r="B785" s="138">
        <v>43434</v>
      </c>
      <c r="C785" s="139" t="s">
        <v>9364</v>
      </c>
      <c r="D785" s="140" t="s">
        <v>9366</v>
      </c>
      <c r="E785" s="141" t="s">
        <v>8138</v>
      </c>
      <c r="F785" s="142" t="s">
        <v>8147</v>
      </c>
      <c r="G785" s="143">
        <v>156.55000000000001</v>
      </c>
      <c r="H785" s="144" t="s">
        <v>730</v>
      </c>
      <c r="I785" s="145"/>
      <c r="J785" s="145"/>
      <c r="K785" s="146">
        <v>156.55000000000001</v>
      </c>
    </row>
    <row r="786" spans="1:11" s="147" customFormat="1" ht="11.25" customHeight="1" x14ac:dyDescent="0.2">
      <c r="A786" s="795" t="s">
        <v>9363</v>
      </c>
      <c r="B786" s="138">
        <v>43434</v>
      </c>
      <c r="C786" s="139" t="s">
        <v>9364</v>
      </c>
      <c r="D786" s="140" t="s">
        <v>9365</v>
      </c>
      <c r="E786" s="141" t="s">
        <v>8138</v>
      </c>
      <c r="F786" s="142" t="s">
        <v>8159</v>
      </c>
      <c r="G786" s="143">
        <v>202.91</v>
      </c>
      <c r="H786" s="144" t="s">
        <v>730</v>
      </c>
      <c r="I786" s="145"/>
      <c r="J786" s="145"/>
      <c r="K786" s="146">
        <v>202.91</v>
      </c>
    </row>
    <row r="787" spans="1:11" s="147" customFormat="1" ht="11.25" customHeight="1" x14ac:dyDescent="0.2">
      <c r="A787" s="795" t="s">
        <v>9363</v>
      </c>
      <c r="B787" s="138">
        <v>43434</v>
      </c>
      <c r="C787" s="139" t="s">
        <v>9364</v>
      </c>
      <c r="D787" s="140" t="s">
        <v>9366</v>
      </c>
      <c r="E787" s="141" t="s">
        <v>8138</v>
      </c>
      <c r="F787" s="142" t="s">
        <v>8147</v>
      </c>
      <c r="G787" s="143">
        <v>329.03</v>
      </c>
      <c r="H787" s="144" t="s">
        <v>730</v>
      </c>
      <c r="I787" s="145"/>
      <c r="J787" s="145"/>
      <c r="K787" s="146">
        <v>329.03</v>
      </c>
    </row>
    <row r="788" spans="1:11" s="147" customFormat="1" ht="11.25" customHeight="1" x14ac:dyDescent="0.2">
      <c r="A788" s="795" t="s">
        <v>9363</v>
      </c>
      <c r="B788" s="138">
        <v>43434</v>
      </c>
      <c r="C788" s="139" t="s">
        <v>9364</v>
      </c>
      <c r="D788" s="140" t="s">
        <v>9366</v>
      </c>
      <c r="E788" s="141" t="s">
        <v>8138</v>
      </c>
      <c r="F788" s="142" t="s">
        <v>8147</v>
      </c>
      <c r="G788" s="143">
        <v>1388.87</v>
      </c>
      <c r="H788" s="144" t="s">
        <v>730</v>
      </c>
      <c r="I788" s="145"/>
      <c r="J788" s="145"/>
      <c r="K788" s="146">
        <v>1388.87</v>
      </c>
    </row>
    <row r="789" spans="1:11" s="147" customFormat="1" ht="11.25" customHeight="1" x14ac:dyDescent="0.2">
      <c r="A789" s="795" t="s">
        <v>9073</v>
      </c>
      <c r="B789" s="138">
        <v>43434</v>
      </c>
      <c r="C789" s="139" t="s">
        <v>9367</v>
      </c>
      <c r="D789" s="140" t="s">
        <v>9368</v>
      </c>
      <c r="E789" s="141" t="s">
        <v>8093</v>
      </c>
      <c r="F789" s="142" t="s">
        <v>8171</v>
      </c>
      <c r="G789" s="143">
        <v>261</v>
      </c>
      <c r="H789" s="144" t="s">
        <v>730</v>
      </c>
      <c r="I789" s="145"/>
      <c r="J789" s="145"/>
      <c r="K789" s="146">
        <v>261</v>
      </c>
    </row>
    <row r="790" spans="1:11" s="147" customFormat="1" ht="11.25" customHeight="1" x14ac:dyDescent="0.2">
      <c r="A790" s="795" t="s">
        <v>9073</v>
      </c>
      <c r="B790" s="138">
        <v>43434</v>
      </c>
      <c r="C790" s="139" t="s">
        <v>8148</v>
      </c>
      <c r="D790" s="140" t="s">
        <v>9369</v>
      </c>
      <c r="E790" s="141" t="s">
        <v>8093</v>
      </c>
      <c r="F790" s="142" t="s">
        <v>8171</v>
      </c>
      <c r="G790" s="143">
        <v>406</v>
      </c>
      <c r="H790" s="144" t="s">
        <v>730</v>
      </c>
      <c r="I790" s="145"/>
      <c r="J790" s="145"/>
      <c r="K790" s="146">
        <v>406</v>
      </c>
    </row>
    <row r="791" spans="1:11" s="147" customFormat="1" ht="11.25" customHeight="1" x14ac:dyDescent="0.2">
      <c r="A791" s="795" t="s">
        <v>9073</v>
      </c>
      <c r="B791" s="138">
        <v>43434</v>
      </c>
      <c r="C791" s="139" t="s">
        <v>9367</v>
      </c>
      <c r="D791" s="140" t="s">
        <v>9368</v>
      </c>
      <c r="E791" s="141" t="s">
        <v>8093</v>
      </c>
      <c r="F791" s="142" t="s">
        <v>8171</v>
      </c>
      <c r="G791" s="143">
        <v>452.4</v>
      </c>
      <c r="H791" s="144" t="s">
        <v>730</v>
      </c>
      <c r="I791" s="145"/>
      <c r="J791" s="145"/>
      <c r="K791" s="146">
        <v>452.4</v>
      </c>
    </row>
    <row r="792" spans="1:11" s="147" customFormat="1" ht="11.25" customHeight="1" x14ac:dyDescent="0.2">
      <c r="A792" s="795" t="s">
        <v>9073</v>
      </c>
      <c r="B792" s="138">
        <v>43434</v>
      </c>
      <c r="C792" s="139" t="s">
        <v>9370</v>
      </c>
      <c r="D792" s="140" t="s">
        <v>9371</v>
      </c>
      <c r="E792" s="141" t="s">
        <v>8093</v>
      </c>
      <c r="F792" s="142" t="s">
        <v>9372</v>
      </c>
      <c r="G792" s="143">
        <v>696</v>
      </c>
      <c r="H792" s="144" t="s">
        <v>730</v>
      </c>
      <c r="I792" s="145"/>
      <c r="J792" s="145"/>
      <c r="K792" s="146">
        <v>696</v>
      </c>
    </row>
    <row r="793" spans="1:11" s="147" customFormat="1" ht="11.25" customHeight="1" x14ac:dyDescent="0.2">
      <c r="A793" s="795" t="s">
        <v>9073</v>
      </c>
      <c r="B793" s="138">
        <v>43434</v>
      </c>
      <c r="C793" s="139" t="s">
        <v>9373</v>
      </c>
      <c r="D793" s="140" t="s">
        <v>9374</v>
      </c>
      <c r="E793" s="141" t="s">
        <v>8093</v>
      </c>
      <c r="F793" s="142" t="s">
        <v>9126</v>
      </c>
      <c r="G793" s="143">
        <v>696</v>
      </c>
      <c r="H793" s="144" t="s">
        <v>730</v>
      </c>
      <c r="I793" s="145"/>
      <c r="J793" s="145"/>
      <c r="K793" s="146">
        <v>696</v>
      </c>
    </row>
    <row r="794" spans="1:11" s="147" customFormat="1" ht="11.25" customHeight="1" x14ac:dyDescent="0.2">
      <c r="A794" s="795" t="s">
        <v>9073</v>
      </c>
      <c r="B794" s="138">
        <v>43434</v>
      </c>
      <c r="C794" s="139" t="s">
        <v>8148</v>
      </c>
      <c r="D794" s="140" t="s">
        <v>9375</v>
      </c>
      <c r="E794" s="141" t="s">
        <v>8093</v>
      </c>
      <c r="F794" s="142" t="s">
        <v>9372</v>
      </c>
      <c r="G794" s="143">
        <v>696</v>
      </c>
      <c r="H794" s="144" t="s">
        <v>730</v>
      </c>
      <c r="I794" s="145"/>
      <c r="J794" s="145"/>
      <c r="K794" s="146">
        <v>696</v>
      </c>
    </row>
    <row r="795" spans="1:11" s="147" customFormat="1" ht="11.25" customHeight="1" x14ac:dyDescent="0.2">
      <c r="A795" s="795" t="s">
        <v>9073</v>
      </c>
      <c r="B795" s="138">
        <v>43434</v>
      </c>
      <c r="C795" s="139" t="s">
        <v>8148</v>
      </c>
      <c r="D795" s="140" t="s">
        <v>9369</v>
      </c>
      <c r="E795" s="141" t="s">
        <v>8093</v>
      </c>
      <c r="F795" s="142" t="s">
        <v>8171</v>
      </c>
      <c r="G795" s="143">
        <v>696</v>
      </c>
      <c r="H795" s="144" t="s">
        <v>730</v>
      </c>
      <c r="I795" s="145"/>
      <c r="J795" s="145"/>
      <c r="K795" s="146">
        <v>696</v>
      </c>
    </row>
    <row r="796" spans="1:11" s="147" customFormat="1" ht="11.25" customHeight="1" x14ac:dyDescent="0.2">
      <c r="A796" s="795" t="s">
        <v>9376</v>
      </c>
      <c r="B796" s="138">
        <v>43434</v>
      </c>
      <c r="C796" s="139" t="s">
        <v>9377</v>
      </c>
      <c r="D796" s="140" t="s">
        <v>9378</v>
      </c>
      <c r="E796" s="141" t="s">
        <v>9379</v>
      </c>
      <c r="F796" s="142" t="s">
        <v>8171</v>
      </c>
      <c r="G796" s="143">
        <v>928</v>
      </c>
      <c r="H796" s="144" t="s">
        <v>730</v>
      </c>
      <c r="I796" s="145"/>
      <c r="J796" s="145"/>
      <c r="K796" s="146">
        <v>928</v>
      </c>
    </row>
    <row r="797" spans="1:11" s="147" customFormat="1" ht="11.25" customHeight="1" x14ac:dyDescent="0.2">
      <c r="A797" s="795" t="s">
        <v>9376</v>
      </c>
      <c r="B797" s="138">
        <v>43434</v>
      </c>
      <c r="C797" s="139" t="s">
        <v>9380</v>
      </c>
      <c r="D797" s="140" t="s">
        <v>9381</v>
      </c>
      <c r="E797" s="141" t="s">
        <v>9379</v>
      </c>
      <c r="F797" s="142" t="s">
        <v>8171</v>
      </c>
      <c r="G797" s="143">
        <v>928</v>
      </c>
      <c r="H797" s="144" t="s">
        <v>730</v>
      </c>
      <c r="I797" s="145"/>
      <c r="J797" s="145"/>
      <c r="K797" s="146">
        <v>928</v>
      </c>
    </row>
    <row r="798" spans="1:11" s="147" customFormat="1" ht="11.25" customHeight="1" x14ac:dyDescent="0.2">
      <c r="A798" s="795" t="s">
        <v>9073</v>
      </c>
      <c r="B798" s="138">
        <v>43434</v>
      </c>
      <c r="C798" s="139" t="s">
        <v>8091</v>
      </c>
      <c r="D798" s="140" t="s">
        <v>9382</v>
      </c>
      <c r="E798" s="141" t="s">
        <v>8093</v>
      </c>
      <c r="F798" s="142" t="s">
        <v>8171</v>
      </c>
      <c r="G798" s="143">
        <v>932.33</v>
      </c>
      <c r="H798" s="144" t="s">
        <v>730</v>
      </c>
      <c r="I798" s="145"/>
      <c r="J798" s="145"/>
      <c r="K798" s="146">
        <v>932.33</v>
      </c>
    </row>
    <row r="799" spans="1:11" s="147" customFormat="1" ht="11.25" customHeight="1" x14ac:dyDescent="0.2">
      <c r="A799" s="795" t="s">
        <v>9073</v>
      </c>
      <c r="B799" s="138">
        <v>43434</v>
      </c>
      <c r="C799" s="139" t="s">
        <v>9370</v>
      </c>
      <c r="D799" s="140" t="s">
        <v>9383</v>
      </c>
      <c r="E799" s="141" t="s">
        <v>8093</v>
      </c>
      <c r="F799" s="142" t="s">
        <v>8171</v>
      </c>
      <c r="G799" s="143">
        <v>932.33</v>
      </c>
      <c r="H799" s="144" t="s">
        <v>730</v>
      </c>
      <c r="I799" s="145"/>
      <c r="J799" s="145"/>
      <c r="K799" s="146">
        <v>932.33</v>
      </c>
    </row>
    <row r="800" spans="1:11" s="147" customFormat="1" ht="11.25" customHeight="1" x14ac:dyDescent="0.2">
      <c r="A800" s="795" t="s">
        <v>9073</v>
      </c>
      <c r="B800" s="138">
        <v>43434</v>
      </c>
      <c r="C800" s="139" t="s">
        <v>9373</v>
      </c>
      <c r="D800" s="140" t="s">
        <v>9374</v>
      </c>
      <c r="E800" s="141" t="s">
        <v>8093</v>
      </c>
      <c r="F800" s="142" t="s">
        <v>9126</v>
      </c>
      <c r="G800" s="143">
        <v>1044</v>
      </c>
      <c r="H800" s="144" t="s">
        <v>730</v>
      </c>
      <c r="I800" s="145"/>
      <c r="J800" s="145"/>
      <c r="K800" s="146">
        <v>1044</v>
      </c>
    </row>
    <row r="801" spans="1:11" s="147" customFormat="1" ht="11.25" customHeight="1" x14ac:dyDescent="0.2">
      <c r="A801" s="795" t="s">
        <v>9073</v>
      </c>
      <c r="B801" s="138">
        <v>43434</v>
      </c>
      <c r="C801" s="139" t="s">
        <v>9384</v>
      </c>
      <c r="D801" s="140" t="s">
        <v>9385</v>
      </c>
      <c r="E801" s="141" t="s">
        <v>8093</v>
      </c>
      <c r="F801" s="142" t="s">
        <v>9386</v>
      </c>
      <c r="G801" s="143">
        <v>1392</v>
      </c>
      <c r="H801" s="144" t="s">
        <v>730</v>
      </c>
      <c r="I801" s="145"/>
      <c r="J801" s="145"/>
      <c r="K801" s="146">
        <v>1392</v>
      </c>
    </row>
    <row r="802" spans="1:11" s="147" customFormat="1" ht="11.25" customHeight="1" x14ac:dyDescent="0.2">
      <c r="A802" s="795" t="s">
        <v>9376</v>
      </c>
      <c r="B802" s="138">
        <v>43434</v>
      </c>
      <c r="C802" s="139" t="s">
        <v>9387</v>
      </c>
      <c r="D802" s="140" t="s">
        <v>9388</v>
      </c>
      <c r="E802" s="141" t="s">
        <v>9379</v>
      </c>
      <c r="F802" s="142" t="s">
        <v>8171</v>
      </c>
      <c r="G802" s="143">
        <v>2227.1999999999998</v>
      </c>
      <c r="H802" s="144" t="s">
        <v>730</v>
      </c>
      <c r="I802" s="145"/>
      <c r="J802" s="145"/>
      <c r="K802" s="146">
        <v>2227.1999999999998</v>
      </c>
    </row>
    <row r="803" spans="1:11" s="147" customFormat="1" ht="11.25" customHeight="1" x14ac:dyDescent="0.2">
      <c r="A803" s="795" t="s">
        <v>9376</v>
      </c>
      <c r="B803" s="138">
        <v>43434</v>
      </c>
      <c r="C803" s="139" t="s">
        <v>9380</v>
      </c>
      <c r="D803" s="140" t="s">
        <v>9389</v>
      </c>
      <c r="E803" s="141" t="s">
        <v>9379</v>
      </c>
      <c r="F803" s="142" t="s">
        <v>8171</v>
      </c>
      <c r="G803" s="143">
        <v>2320</v>
      </c>
      <c r="H803" s="144" t="s">
        <v>730</v>
      </c>
      <c r="I803" s="145"/>
      <c r="J803" s="145"/>
      <c r="K803" s="146">
        <v>2320</v>
      </c>
    </row>
    <row r="804" spans="1:11" s="147" customFormat="1" ht="11.25" customHeight="1" x14ac:dyDescent="0.2">
      <c r="A804" s="795" t="s">
        <v>9376</v>
      </c>
      <c r="B804" s="138">
        <v>43434</v>
      </c>
      <c r="C804" s="139" t="s">
        <v>9377</v>
      </c>
      <c r="D804" s="140" t="s">
        <v>9390</v>
      </c>
      <c r="E804" s="141" t="s">
        <v>9379</v>
      </c>
      <c r="F804" s="142" t="s">
        <v>9068</v>
      </c>
      <c r="G804" s="143">
        <v>2436</v>
      </c>
      <c r="H804" s="144" t="s">
        <v>730</v>
      </c>
      <c r="I804" s="145"/>
      <c r="J804" s="145"/>
      <c r="K804" s="146">
        <v>2436</v>
      </c>
    </row>
    <row r="805" spans="1:11" s="147" customFormat="1" ht="11.25" customHeight="1" x14ac:dyDescent="0.2">
      <c r="A805" s="795" t="s">
        <v>9073</v>
      </c>
      <c r="B805" s="138">
        <v>43434</v>
      </c>
      <c r="C805" s="139" t="s">
        <v>9384</v>
      </c>
      <c r="D805" s="140" t="s">
        <v>9391</v>
      </c>
      <c r="E805" s="141" t="s">
        <v>8093</v>
      </c>
      <c r="F805" s="142" t="s">
        <v>9386</v>
      </c>
      <c r="G805" s="143">
        <v>2552</v>
      </c>
      <c r="H805" s="144" t="s">
        <v>730</v>
      </c>
      <c r="I805" s="145"/>
      <c r="J805" s="145"/>
      <c r="K805" s="146">
        <v>2552</v>
      </c>
    </row>
    <row r="806" spans="1:11" s="147" customFormat="1" ht="11.25" customHeight="1" x14ac:dyDescent="0.2">
      <c r="A806" s="795" t="s">
        <v>9193</v>
      </c>
      <c r="B806" s="138">
        <v>43434</v>
      </c>
      <c r="C806" s="139" t="s">
        <v>9392</v>
      </c>
      <c r="D806" s="140" t="s">
        <v>9393</v>
      </c>
      <c r="E806" s="141" t="s">
        <v>8175</v>
      </c>
      <c r="F806" s="142" t="s">
        <v>8171</v>
      </c>
      <c r="G806" s="143">
        <v>2575.1999999999998</v>
      </c>
      <c r="H806" s="144" t="s">
        <v>730</v>
      </c>
      <c r="I806" s="145"/>
      <c r="J806" s="145"/>
      <c r="K806" s="146">
        <v>2575.1999999999998</v>
      </c>
    </row>
    <row r="807" spans="1:11" s="147" customFormat="1" ht="11.25" customHeight="1" x14ac:dyDescent="0.2">
      <c r="A807" s="795" t="s">
        <v>9073</v>
      </c>
      <c r="B807" s="138">
        <v>43434</v>
      </c>
      <c r="C807" s="139" t="s">
        <v>9384</v>
      </c>
      <c r="D807" s="140" t="s">
        <v>9394</v>
      </c>
      <c r="E807" s="141" t="s">
        <v>8093</v>
      </c>
      <c r="F807" s="142" t="s">
        <v>9196</v>
      </c>
      <c r="G807" s="143">
        <v>2610</v>
      </c>
      <c r="H807" s="144" t="s">
        <v>730</v>
      </c>
      <c r="I807" s="145"/>
      <c r="J807" s="145"/>
      <c r="K807" s="146">
        <v>2610</v>
      </c>
    </row>
    <row r="808" spans="1:11" s="147" customFormat="1" ht="11.25" customHeight="1" x14ac:dyDescent="0.2">
      <c r="A808" s="795" t="s">
        <v>9073</v>
      </c>
      <c r="B808" s="138">
        <v>43434</v>
      </c>
      <c r="C808" s="139" t="s">
        <v>9384</v>
      </c>
      <c r="D808" s="140" t="s">
        <v>9395</v>
      </c>
      <c r="E808" s="141" t="s">
        <v>8093</v>
      </c>
      <c r="F808" s="142" t="s">
        <v>9196</v>
      </c>
      <c r="G808" s="143">
        <v>3016</v>
      </c>
      <c r="H808" s="144" t="s">
        <v>730</v>
      </c>
      <c r="I808" s="145"/>
      <c r="J808" s="145"/>
      <c r="K808" s="146">
        <v>3016</v>
      </c>
    </row>
    <row r="809" spans="1:11" s="147" customFormat="1" ht="11.25" customHeight="1" x14ac:dyDescent="0.2">
      <c r="A809" s="795" t="s">
        <v>9073</v>
      </c>
      <c r="B809" s="138">
        <v>43434</v>
      </c>
      <c r="C809" s="139" t="s">
        <v>9373</v>
      </c>
      <c r="D809" s="140" t="s">
        <v>9374</v>
      </c>
      <c r="E809" s="141" t="s">
        <v>8093</v>
      </c>
      <c r="F809" s="142" t="s">
        <v>9126</v>
      </c>
      <c r="G809" s="143">
        <v>3480</v>
      </c>
      <c r="H809" s="144" t="s">
        <v>730</v>
      </c>
      <c r="I809" s="145"/>
      <c r="J809" s="145"/>
      <c r="K809" s="146">
        <v>3480</v>
      </c>
    </row>
    <row r="810" spans="1:11" s="147" customFormat="1" ht="11.25" customHeight="1" x14ac:dyDescent="0.2">
      <c r="A810" s="795" t="s">
        <v>9073</v>
      </c>
      <c r="B810" s="138">
        <v>43434</v>
      </c>
      <c r="C810" s="139" t="s">
        <v>8148</v>
      </c>
      <c r="D810" s="140" t="s">
        <v>9396</v>
      </c>
      <c r="E810" s="141" t="s">
        <v>8093</v>
      </c>
      <c r="F810" s="142" t="s">
        <v>8171</v>
      </c>
      <c r="G810" s="143">
        <v>3480</v>
      </c>
      <c r="H810" s="144" t="s">
        <v>730</v>
      </c>
      <c r="I810" s="145"/>
      <c r="J810" s="145"/>
      <c r="K810" s="146">
        <v>3480</v>
      </c>
    </row>
    <row r="811" spans="1:11" s="147" customFormat="1" ht="11.25" customHeight="1" x14ac:dyDescent="0.2">
      <c r="A811" s="795" t="s">
        <v>9376</v>
      </c>
      <c r="B811" s="138">
        <v>43434</v>
      </c>
      <c r="C811" s="139" t="s">
        <v>9397</v>
      </c>
      <c r="D811" s="140" t="s">
        <v>9398</v>
      </c>
      <c r="E811" s="141" t="s">
        <v>9379</v>
      </c>
      <c r="F811" s="142" t="s">
        <v>9051</v>
      </c>
      <c r="G811" s="143">
        <v>4060</v>
      </c>
      <c r="H811" s="144" t="s">
        <v>730</v>
      </c>
      <c r="I811" s="145"/>
      <c r="J811" s="145"/>
      <c r="K811" s="146">
        <v>4060</v>
      </c>
    </row>
    <row r="812" spans="1:11" s="147" customFormat="1" ht="11.25" customHeight="1" x14ac:dyDescent="0.2">
      <c r="A812" s="795" t="s">
        <v>9376</v>
      </c>
      <c r="B812" s="138">
        <v>43434</v>
      </c>
      <c r="C812" s="139" t="s">
        <v>9399</v>
      </c>
      <c r="D812" s="140" t="s">
        <v>9400</v>
      </c>
      <c r="E812" s="141" t="s">
        <v>9379</v>
      </c>
      <c r="F812" s="142" t="s">
        <v>9051</v>
      </c>
      <c r="G812" s="143">
        <v>4060</v>
      </c>
      <c r="H812" s="144" t="s">
        <v>730</v>
      </c>
      <c r="I812" s="145"/>
      <c r="J812" s="145"/>
      <c r="K812" s="146">
        <v>4060</v>
      </c>
    </row>
    <row r="813" spans="1:11" s="147" customFormat="1" ht="11.25" customHeight="1" x14ac:dyDescent="0.2">
      <c r="A813" s="795" t="s">
        <v>9376</v>
      </c>
      <c r="B813" s="138">
        <v>43434</v>
      </c>
      <c r="C813" s="139" t="s">
        <v>9377</v>
      </c>
      <c r="D813" s="140" t="s">
        <v>9378</v>
      </c>
      <c r="E813" s="141" t="s">
        <v>9379</v>
      </c>
      <c r="F813" s="142" t="s">
        <v>8171</v>
      </c>
      <c r="G813" s="143">
        <v>4361.6000000000004</v>
      </c>
      <c r="H813" s="144" t="s">
        <v>730</v>
      </c>
      <c r="I813" s="145"/>
      <c r="J813" s="145"/>
      <c r="K813" s="146">
        <v>4361.6000000000004</v>
      </c>
    </row>
    <row r="814" spans="1:11" s="147" customFormat="1" ht="11.25" customHeight="1" x14ac:dyDescent="0.2">
      <c r="A814" s="795" t="s">
        <v>9376</v>
      </c>
      <c r="B814" s="138">
        <v>43434</v>
      </c>
      <c r="C814" s="139" t="s">
        <v>9397</v>
      </c>
      <c r="D814" s="140" t="s">
        <v>9401</v>
      </c>
      <c r="E814" s="141" t="s">
        <v>9379</v>
      </c>
      <c r="F814" s="142" t="s">
        <v>9051</v>
      </c>
      <c r="G814" s="143">
        <v>4872</v>
      </c>
      <c r="H814" s="144" t="s">
        <v>730</v>
      </c>
      <c r="I814" s="145"/>
      <c r="J814" s="145"/>
      <c r="K814" s="146">
        <v>4872</v>
      </c>
    </row>
    <row r="815" spans="1:11" s="147" customFormat="1" ht="11.25" customHeight="1" x14ac:dyDescent="0.2">
      <c r="A815" s="795" t="s">
        <v>9376</v>
      </c>
      <c r="B815" s="138">
        <v>43434</v>
      </c>
      <c r="C815" s="139" t="s">
        <v>9387</v>
      </c>
      <c r="D815" s="140" t="s">
        <v>9402</v>
      </c>
      <c r="E815" s="141" t="s">
        <v>9379</v>
      </c>
      <c r="F815" s="142" t="s">
        <v>8171</v>
      </c>
      <c r="G815" s="143">
        <v>4872</v>
      </c>
      <c r="H815" s="144" t="s">
        <v>730</v>
      </c>
      <c r="I815" s="145"/>
      <c r="J815" s="145"/>
      <c r="K815" s="146">
        <v>4872</v>
      </c>
    </row>
    <row r="816" spans="1:11" s="147" customFormat="1" ht="11.25" customHeight="1" x14ac:dyDescent="0.2">
      <c r="A816" s="795" t="s">
        <v>9073</v>
      </c>
      <c r="B816" s="138">
        <v>43434</v>
      </c>
      <c r="C816" s="139" t="s">
        <v>9403</v>
      </c>
      <c r="D816" s="140" t="s">
        <v>9404</v>
      </c>
      <c r="E816" s="141" t="s">
        <v>8093</v>
      </c>
      <c r="F816" s="142" t="s">
        <v>9196</v>
      </c>
      <c r="G816" s="143">
        <v>5011.2</v>
      </c>
      <c r="H816" s="144" t="s">
        <v>730</v>
      </c>
      <c r="I816" s="145"/>
      <c r="J816" s="145"/>
      <c r="K816" s="146">
        <v>5011.2</v>
      </c>
    </row>
    <row r="817" spans="1:11" s="147" customFormat="1" ht="11.25" customHeight="1" x14ac:dyDescent="0.2">
      <c r="A817" s="795" t="s">
        <v>9073</v>
      </c>
      <c r="B817" s="138">
        <v>43434</v>
      </c>
      <c r="C817" s="139" t="s">
        <v>9384</v>
      </c>
      <c r="D817" s="140" t="s">
        <v>9385</v>
      </c>
      <c r="E817" s="141" t="s">
        <v>8093</v>
      </c>
      <c r="F817" s="142" t="s">
        <v>9386</v>
      </c>
      <c r="G817" s="143">
        <v>5011.2</v>
      </c>
      <c r="H817" s="144" t="s">
        <v>730</v>
      </c>
      <c r="I817" s="145"/>
      <c r="J817" s="145"/>
      <c r="K817" s="146">
        <v>5011.2</v>
      </c>
    </row>
    <row r="818" spans="1:11" s="147" customFormat="1" ht="11.25" customHeight="1" x14ac:dyDescent="0.2">
      <c r="A818" s="795" t="s">
        <v>9073</v>
      </c>
      <c r="B818" s="138">
        <v>43434</v>
      </c>
      <c r="C818" s="139" t="s">
        <v>8148</v>
      </c>
      <c r="D818" s="140" t="s">
        <v>9405</v>
      </c>
      <c r="E818" s="141" t="s">
        <v>8093</v>
      </c>
      <c r="F818" s="142" t="s">
        <v>8171</v>
      </c>
      <c r="G818" s="143">
        <v>5104</v>
      </c>
      <c r="H818" s="144" t="s">
        <v>730</v>
      </c>
      <c r="I818" s="145"/>
      <c r="J818" s="145"/>
      <c r="K818" s="146">
        <v>5104</v>
      </c>
    </row>
    <row r="819" spans="1:11" s="147" customFormat="1" ht="11.25" customHeight="1" x14ac:dyDescent="0.2">
      <c r="A819" s="795" t="s">
        <v>9376</v>
      </c>
      <c r="B819" s="138">
        <v>43434</v>
      </c>
      <c r="C819" s="139" t="s">
        <v>9377</v>
      </c>
      <c r="D819" s="140" t="s">
        <v>9406</v>
      </c>
      <c r="E819" s="141" t="s">
        <v>9379</v>
      </c>
      <c r="F819" s="142" t="s">
        <v>8171</v>
      </c>
      <c r="G819" s="143">
        <v>5684</v>
      </c>
      <c r="H819" s="144" t="s">
        <v>730</v>
      </c>
      <c r="I819" s="145"/>
      <c r="J819" s="145"/>
      <c r="K819" s="146">
        <v>5684</v>
      </c>
    </row>
    <row r="820" spans="1:11" s="147" customFormat="1" ht="11.25" customHeight="1" x14ac:dyDescent="0.2">
      <c r="A820" s="795" t="s">
        <v>9376</v>
      </c>
      <c r="B820" s="138">
        <v>43434</v>
      </c>
      <c r="C820" s="139" t="s">
        <v>9407</v>
      </c>
      <c r="D820" s="140" t="s">
        <v>9408</v>
      </c>
      <c r="E820" s="141" t="s">
        <v>9379</v>
      </c>
      <c r="F820" s="142" t="s">
        <v>9051</v>
      </c>
      <c r="G820" s="143">
        <v>5684</v>
      </c>
      <c r="H820" s="144" t="s">
        <v>730</v>
      </c>
      <c r="I820" s="145"/>
      <c r="J820" s="145"/>
      <c r="K820" s="146">
        <v>5684</v>
      </c>
    </row>
    <row r="821" spans="1:11" s="147" customFormat="1" ht="11.25" customHeight="1" x14ac:dyDescent="0.2">
      <c r="A821" s="795" t="s">
        <v>9376</v>
      </c>
      <c r="B821" s="138">
        <v>43434</v>
      </c>
      <c r="C821" s="139" t="s">
        <v>9399</v>
      </c>
      <c r="D821" s="140" t="s">
        <v>9409</v>
      </c>
      <c r="E821" s="141" t="s">
        <v>9379</v>
      </c>
      <c r="F821" s="142" t="s">
        <v>9077</v>
      </c>
      <c r="G821" s="143">
        <v>5684</v>
      </c>
      <c r="H821" s="144" t="s">
        <v>730</v>
      </c>
      <c r="I821" s="145"/>
      <c r="J821" s="145"/>
      <c r="K821" s="146">
        <v>5684</v>
      </c>
    </row>
    <row r="822" spans="1:11" s="147" customFormat="1" ht="11.25" customHeight="1" x14ac:dyDescent="0.2">
      <c r="A822" s="795" t="s">
        <v>9073</v>
      </c>
      <c r="B822" s="138">
        <v>43434</v>
      </c>
      <c r="C822" s="139" t="s">
        <v>9384</v>
      </c>
      <c r="D822" s="140" t="s">
        <v>9410</v>
      </c>
      <c r="E822" s="141" t="s">
        <v>8093</v>
      </c>
      <c r="F822" s="142" t="s">
        <v>9411</v>
      </c>
      <c r="G822" s="143">
        <v>5916</v>
      </c>
      <c r="H822" s="144" t="s">
        <v>730</v>
      </c>
      <c r="I822" s="145"/>
      <c r="J822" s="145"/>
      <c r="K822" s="146">
        <v>5916</v>
      </c>
    </row>
    <row r="823" spans="1:11" s="147" customFormat="1" ht="11.25" customHeight="1" x14ac:dyDescent="0.2">
      <c r="A823" s="795" t="s">
        <v>9376</v>
      </c>
      <c r="B823" s="138">
        <v>43434</v>
      </c>
      <c r="C823" s="139" t="s">
        <v>9380</v>
      </c>
      <c r="D823" s="140" t="s">
        <v>9412</v>
      </c>
      <c r="E823" s="141" t="s">
        <v>9379</v>
      </c>
      <c r="F823" s="142" t="s">
        <v>8171</v>
      </c>
      <c r="G823" s="143">
        <v>6124.8</v>
      </c>
      <c r="H823" s="144" t="s">
        <v>730</v>
      </c>
      <c r="I823" s="145"/>
      <c r="J823" s="145"/>
      <c r="K823" s="146">
        <v>6124.8</v>
      </c>
    </row>
    <row r="824" spans="1:11" s="147" customFormat="1" ht="11.25" customHeight="1" x14ac:dyDescent="0.2">
      <c r="A824" s="795" t="s">
        <v>9376</v>
      </c>
      <c r="B824" s="138">
        <v>43434</v>
      </c>
      <c r="C824" s="139" t="s">
        <v>9380</v>
      </c>
      <c r="D824" s="140" t="s">
        <v>9413</v>
      </c>
      <c r="E824" s="141" t="s">
        <v>9379</v>
      </c>
      <c r="F824" s="142" t="s">
        <v>9386</v>
      </c>
      <c r="G824" s="143">
        <v>6380</v>
      </c>
      <c r="H824" s="144" t="s">
        <v>730</v>
      </c>
      <c r="I824" s="145"/>
      <c r="J824" s="145"/>
      <c r="K824" s="146">
        <v>6380</v>
      </c>
    </row>
    <row r="825" spans="1:11" s="147" customFormat="1" ht="11.25" customHeight="1" x14ac:dyDescent="0.2">
      <c r="A825" s="795" t="s">
        <v>9376</v>
      </c>
      <c r="B825" s="138">
        <v>43434</v>
      </c>
      <c r="C825" s="139" t="s">
        <v>9407</v>
      </c>
      <c r="D825" s="140" t="s">
        <v>9414</v>
      </c>
      <c r="E825" s="141" t="s">
        <v>9379</v>
      </c>
      <c r="F825" s="142" t="s">
        <v>9051</v>
      </c>
      <c r="G825" s="143">
        <v>6496</v>
      </c>
      <c r="H825" s="144" t="s">
        <v>730</v>
      </c>
      <c r="I825" s="145"/>
      <c r="J825" s="145"/>
      <c r="K825" s="146">
        <v>6496</v>
      </c>
    </row>
    <row r="826" spans="1:11" s="147" customFormat="1" ht="11.25" customHeight="1" x14ac:dyDescent="0.2">
      <c r="A826" s="795" t="s">
        <v>9376</v>
      </c>
      <c r="B826" s="138">
        <v>43434</v>
      </c>
      <c r="C826" s="139" t="s">
        <v>9380</v>
      </c>
      <c r="D826" s="140" t="s">
        <v>9381</v>
      </c>
      <c r="E826" s="141" t="s">
        <v>9379</v>
      </c>
      <c r="F826" s="142" t="s">
        <v>8171</v>
      </c>
      <c r="G826" s="143">
        <v>6960</v>
      </c>
      <c r="H826" s="144" t="s">
        <v>730</v>
      </c>
      <c r="I826" s="145"/>
      <c r="J826" s="145"/>
      <c r="K826" s="146">
        <v>6960</v>
      </c>
    </row>
    <row r="827" spans="1:11" s="147" customFormat="1" ht="11.25" customHeight="1" x14ac:dyDescent="0.2">
      <c r="A827" s="795" t="s">
        <v>9073</v>
      </c>
      <c r="B827" s="138">
        <v>43434</v>
      </c>
      <c r="C827" s="139" t="s">
        <v>8148</v>
      </c>
      <c r="D827" s="140" t="s">
        <v>9415</v>
      </c>
      <c r="E827" s="141" t="s">
        <v>8093</v>
      </c>
      <c r="F827" s="142" t="s">
        <v>8171</v>
      </c>
      <c r="G827" s="143">
        <v>8352</v>
      </c>
      <c r="H827" s="144" t="s">
        <v>730</v>
      </c>
      <c r="I827" s="145"/>
      <c r="J827" s="145"/>
      <c r="K827" s="146">
        <v>8352</v>
      </c>
    </row>
    <row r="828" spans="1:11" s="147" customFormat="1" ht="11.25" customHeight="1" x14ac:dyDescent="0.2">
      <c r="A828" s="795" t="s">
        <v>9376</v>
      </c>
      <c r="B828" s="138">
        <v>43434</v>
      </c>
      <c r="C828" s="139" t="s">
        <v>9377</v>
      </c>
      <c r="D828" s="140" t="s">
        <v>9416</v>
      </c>
      <c r="E828" s="141" t="s">
        <v>9379</v>
      </c>
      <c r="F828" s="142" t="s">
        <v>9068</v>
      </c>
      <c r="G828" s="143">
        <v>12180</v>
      </c>
      <c r="H828" s="144" t="s">
        <v>730</v>
      </c>
      <c r="I828" s="145"/>
      <c r="J828" s="145"/>
      <c r="K828" s="146">
        <v>12180</v>
      </c>
    </row>
    <row r="829" spans="1:11" s="147" customFormat="1" ht="11.25" customHeight="1" x14ac:dyDescent="0.2">
      <c r="A829" s="795" t="s">
        <v>9376</v>
      </c>
      <c r="B829" s="138">
        <v>43434</v>
      </c>
      <c r="C829" s="139" t="s">
        <v>9377</v>
      </c>
      <c r="D829" s="140" t="s">
        <v>9417</v>
      </c>
      <c r="E829" s="141" t="s">
        <v>9379</v>
      </c>
      <c r="F829" s="142" t="s">
        <v>9068</v>
      </c>
      <c r="G829" s="143">
        <v>12180</v>
      </c>
      <c r="H829" s="144" t="s">
        <v>730</v>
      </c>
      <c r="I829" s="145"/>
      <c r="J829" s="145"/>
      <c r="K829" s="146">
        <v>12180</v>
      </c>
    </row>
    <row r="830" spans="1:11" s="147" customFormat="1" ht="11.25" customHeight="1" x14ac:dyDescent="0.2">
      <c r="A830" s="795" t="s">
        <v>9376</v>
      </c>
      <c r="B830" s="138">
        <v>43434</v>
      </c>
      <c r="C830" s="139" t="s">
        <v>9418</v>
      </c>
      <c r="D830" s="140" t="s">
        <v>9419</v>
      </c>
      <c r="E830" s="141" t="s">
        <v>9379</v>
      </c>
      <c r="F830" s="142" t="s">
        <v>8171</v>
      </c>
      <c r="G830" s="143">
        <v>12528</v>
      </c>
      <c r="H830" s="144" t="s">
        <v>730</v>
      </c>
      <c r="I830" s="145"/>
      <c r="J830" s="145"/>
      <c r="K830" s="146">
        <v>12528</v>
      </c>
    </row>
    <row r="831" spans="1:11" s="147" customFormat="1" ht="11.25" customHeight="1" x14ac:dyDescent="0.2">
      <c r="A831" s="795" t="s">
        <v>9073</v>
      </c>
      <c r="B831" s="138">
        <v>43434</v>
      </c>
      <c r="C831" s="139" t="s">
        <v>9373</v>
      </c>
      <c r="D831" s="140" t="s">
        <v>9374</v>
      </c>
      <c r="E831" s="141" t="s">
        <v>8093</v>
      </c>
      <c r="F831" s="142" t="s">
        <v>9126</v>
      </c>
      <c r="G831" s="143">
        <v>13920</v>
      </c>
      <c r="H831" s="144" t="s">
        <v>730</v>
      </c>
      <c r="I831" s="145"/>
      <c r="J831" s="145"/>
      <c r="K831" s="146">
        <v>13920</v>
      </c>
    </row>
    <row r="832" spans="1:11" s="147" customFormat="1" ht="11.25" customHeight="1" x14ac:dyDescent="0.2">
      <c r="A832" s="795" t="s">
        <v>9376</v>
      </c>
      <c r="B832" s="138">
        <v>43434</v>
      </c>
      <c r="C832" s="139" t="s">
        <v>9399</v>
      </c>
      <c r="D832" s="140" t="s">
        <v>9420</v>
      </c>
      <c r="E832" s="141" t="s">
        <v>9379</v>
      </c>
      <c r="F832" s="142" t="s">
        <v>9065</v>
      </c>
      <c r="G832" s="143">
        <v>16240</v>
      </c>
      <c r="H832" s="144" t="s">
        <v>730</v>
      </c>
      <c r="I832" s="145"/>
      <c r="J832" s="145"/>
      <c r="K832" s="146">
        <v>16240</v>
      </c>
    </row>
    <row r="833" spans="1:11" s="147" customFormat="1" ht="11.25" customHeight="1" x14ac:dyDescent="0.2">
      <c r="A833" s="795" t="s">
        <v>9063</v>
      </c>
      <c r="B833" s="138">
        <v>43434</v>
      </c>
      <c r="C833" s="139" t="s">
        <v>9421</v>
      </c>
      <c r="D833" s="140" t="s">
        <v>8177</v>
      </c>
      <c r="E833" s="141" t="s">
        <v>8172</v>
      </c>
      <c r="F833" s="142" t="s">
        <v>8171</v>
      </c>
      <c r="G833" s="143">
        <v>21228</v>
      </c>
      <c r="H833" s="144" t="s">
        <v>730</v>
      </c>
      <c r="I833" s="145"/>
      <c r="J833" s="145"/>
      <c r="K833" s="146">
        <v>21228</v>
      </c>
    </row>
    <row r="834" spans="1:11" s="147" customFormat="1" ht="11.25" customHeight="1" x14ac:dyDescent="0.2">
      <c r="A834" s="795" t="s">
        <v>9376</v>
      </c>
      <c r="B834" s="138">
        <v>43434</v>
      </c>
      <c r="C834" s="139" t="s">
        <v>9422</v>
      </c>
      <c r="D834" s="140" t="s">
        <v>9423</v>
      </c>
      <c r="E834" s="141" t="s">
        <v>9379</v>
      </c>
      <c r="F834" s="142" t="s">
        <v>9065</v>
      </c>
      <c r="G834" s="143">
        <v>32480</v>
      </c>
      <c r="H834" s="144" t="s">
        <v>730</v>
      </c>
      <c r="I834" s="145"/>
      <c r="J834" s="145"/>
      <c r="K834" s="146">
        <v>32480</v>
      </c>
    </row>
    <row r="835" spans="1:11" s="147" customFormat="1" ht="11.25" customHeight="1" x14ac:dyDescent="0.2">
      <c r="A835" s="795" t="s">
        <v>9376</v>
      </c>
      <c r="B835" s="138">
        <v>43434</v>
      </c>
      <c r="C835" s="139" t="s">
        <v>9424</v>
      </c>
      <c r="D835" s="140" t="s">
        <v>9425</v>
      </c>
      <c r="E835" s="141" t="s">
        <v>9379</v>
      </c>
      <c r="F835" s="142" t="s">
        <v>9065</v>
      </c>
      <c r="G835" s="143">
        <v>56840</v>
      </c>
      <c r="H835" s="144" t="s">
        <v>730</v>
      </c>
      <c r="I835" s="145"/>
      <c r="J835" s="145"/>
      <c r="K835" s="146">
        <v>56840</v>
      </c>
    </row>
    <row r="836" spans="1:11" s="147" customFormat="1" ht="11.25" customHeight="1" x14ac:dyDescent="0.2">
      <c r="A836" s="795" t="s">
        <v>9426</v>
      </c>
      <c r="B836" s="138">
        <v>43434</v>
      </c>
      <c r="C836" s="139" t="s">
        <v>9427</v>
      </c>
      <c r="D836" s="140" t="s">
        <v>9428</v>
      </c>
      <c r="E836" s="141" t="s">
        <v>9429</v>
      </c>
      <c r="F836" s="142" t="s">
        <v>9430</v>
      </c>
      <c r="G836" s="143">
        <v>104400</v>
      </c>
      <c r="H836" s="144" t="s">
        <v>730</v>
      </c>
      <c r="I836" s="145"/>
      <c r="J836" s="145"/>
      <c r="K836" s="146">
        <v>104400</v>
      </c>
    </row>
    <row r="837" spans="1:11" s="147" customFormat="1" ht="11.25" customHeight="1" x14ac:dyDescent="0.2">
      <c r="A837" s="795" t="s">
        <v>9084</v>
      </c>
      <c r="B837" s="138">
        <v>43434</v>
      </c>
      <c r="C837" s="139" t="s">
        <v>9431</v>
      </c>
      <c r="D837" s="140" t="s">
        <v>9432</v>
      </c>
      <c r="E837" s="141" t="s">
        <v>9087</v>
      </c>
      <c r="F837" s="142" t="s">
        <v>8190</v>
      </c>
      <c r="G837" s="143">
        <v>83.98</v>
      </c>
      <c r="H837" s="144" t="s">
        <v>730</v>
      </c>
      <c r="I837" s="145"/>
      <c r="J837" s="145"/>
      <c r="K837" s="146">
        <v>83.98</v>
      </c>
    </row>
    <row r="838" spans="1:11" s="147" customFormat="1" ht="11.25" customHeight="1" x14ac:dyDescent="0.2">
      <c r="A838" s="795" t="s">
        <v>9084</v>
      </c>
      <c r="B838" s="138">
        <v>43434</v>
      </c>
      <c r="C838" s="139" t="s">
        <v>9431</v>
      </c>
      <c r="D838" s="140" t="s">
        <v>9432</v>
      </c>
      <c r="E838" s="141" t="s">
        <v>9087</v>
      </c>
      <c r="F838" s="142" t="s">
        <v>8190</v>
      </c>
      <c r="G838" s="143">
        <v>88.04</v>
      </c>
      <c r="H838" s="144" t="s">
        <v>730</v>
      </c>
      <c r="I838" s="145"/>
      <c r="J838" s="145"/>
      <c r="K838" s="146">
        <v>88.04</v>
      </c>
    </row>
    <row r="839" spans="1:11" s="147" customFormat="1" ht="11.25" customHeight="1" x14ac:dyDescent="0.2">
      <c r="A839" s="795" t="s">
        <v>9084</v>
      </c>
      <c r="B839" s="138">
        <v>43434</v>
      </c>
      <c r="C839" s="139" t="s">
        <v>9431</v>
      </c>
      <c r="D839" s="140" t="s">
        <v>9432</v>
      </c>
      <c r="E839" s="141" t="s">
        <v>9087</v>
      </c>
      <c r="F839" s="142" t="s">
        <v>8190</v>
      </c>
      <c r="G839" s="143">
        <v>106.78</v>
      </c>
      <c r="H839" s="144" t="s">
        <v>730</v>
      </c>
      <c r="I839" s="145"/>
      <c r="J839" s="145"/>
      <c r="K839" s="146">
        <v>106.78</v>
      </c>
    </row>
    <row r="840" spans="1:11" s="147" customFormat="1" ht="11.25" customHeight="1" x14ac:dyDescent="0.2">
      <c r="A840" s="795" t="s">
        <v>9084</v>
      </c>
      <c r="B840" s="138">
        <v>43434</v>
      </c>
      <c r="C840" s="139" t="s">
        <v>9431</v>
      </c>
      <c r="D840" s="140" t="s">
        <v>9432</v>
      </c>
      <c r="E840" s="141" t="s">
        <v>9087</v>
      </c>
      <c r="F840" s="142" t="s">
        <v>8190</v>
      </c>
      <c r="G840" s="143">
        <v>140.74</v>
      </c>
      <c r="H840" s="144" t="s">
        <v>730</v>
      </c>
      <c r="I840" s="145"/>
      <c r="J840" s="145"/>
      <c r="K840" s="146">
        <v>140.74</v>
      </c>
    </row>
    <row r="841" spans="1:11" s="147" customFormat="1" ht="11.25" customHeight="1" x14ac:dyDescent="0.2">
      <c r="A841" s="795" t="s">
        <v>9084</v>
      </c>
      <c r="B841" s="138">
        <v>43434</v>
      </c>
      <c r="C841" s="139" t="s">
        <v>9433</v>
      </c>
      <c r="D841" s="140" t="s">
        <v>9434</v>
      </c>
      <c r="E841" s="141" t="s">
        <v>9087</v>
      </c>
      <c r="F841" s="142" t="s">
        <v>9139</v>
      </c>
      <c r="G841" s="143">
        <v>224.73</v>
      </c>
      <c r="H841" s="144" t="s">
        <v>730</v>
      </c>
      <c r="I841" s="145"/>
      <c r="J841" s="145"/>
      <c r="K841" s="146">
        <v>224.73</v>
      </c>
    </row>
    <row r="842" spans="1:11" s="147" customFormat="1" ht="11.25" customHeight="1" x14ac:dyDescent="0.2">
      <c r="A842" s="795" t="s">
        <v>9084</v>
      </c>
      <c r="B842" s="138">
        <v>43434</v>
      </c>
      <c r="C842" s="139" t="s">
        <v>9431</v>
      </c>
      <c r="D842" s="140" t="s">
        <v>9432</v>
      </c>
      <c r="E842" s="141" t="s">
        <v>9087</v>
      </c>
      <c r="F842" s="142" t="s">
        <v>8190</v>
      </c>
      <c r="G842" s="143">
        <v>256.43</v>
      </c>
      <c r="H842" s="144" t="s">
        <v>730</v>
      </c>
      <c r="I842" s="145"/>
      <c r="J842" s="145"/>
      <c r="K842" s="146">
        <v>256.43</v>
      </c>
    </row>
    <row r="843" spans="1:11" s="147" customFormat="1" ht="11.25" customHeight="1" x14ac:dyDescent="0.2">
      <c r="A843" s="795" t="s">
        <v>9084</v>
      </c>
      <c r="B843" s="138">
        <v>43434</v>
      </c>
      <c r="C843" s="139" t="s">
        <v>9431</v>
      </c>
      <c r="D843" s="140" t="s">
        <v>9432</v>
      </c>
      <c r="E843" s="141" t="s">
        <v>9087</v>
      </c>
      <c r="F843" s="142" t="s">
        <v>8190</v>
      </c>
      <c r="G843" s="143">
        <v>295.8</v>
      </c>
      <c r="H843" s="144" t="s">
        <v>730</v>
      </c>
      <c r="I843" s="145"/>
      <c r="J843" s="145"/>
      <c r="K843" s="146">
        <v>295.8</v>
      </c>
    </row>
    <row r="844" spans="1:11" s="147" customFormat="1" ht="11.25" customHeight="1" x14ac:dyDescent="0.2">
      <c r="A844" s="795" t="s">
        <v>9084</v>
      </c>
      <c r="B844" s="138">
        <v>43434</v>
      </c>
      <c r="C844" s="139" t="s">
        <v>9433</v>
      </c>
      <c r="D844" s="140" t="s">
        <v>9434</v>
      </c>
      <c r="E844" s="141" t="s">
        <v>9087</v>
      </c>
      <c r="F844" s="142" t="s">
        <v>9139</v>
      </c>
      <c r="G844" s="143">
        <v>459.64</v>
      </c>
      <c r="H844" s="144" t="s">
        <v>730</v>
      </c>
      <c r="I844" s="145"/>
      <c r="J844" s="145"/>
      <c r="K844" s="146">
        <v>459.64</v>
      </c>
    </row>
    <row r="845" spans="1:11" s="147" customFormat="1" ht="11.25" customHeight="1" x14ac:dyDescent="0.2">
      <c r="A845" s="795" t="s">
        <v>9084</v>
      </c>
      <c r="B845" s="138">
        <v>43434</v>
      </c>
      <c r="C845" s="139" t="s">
        <v>9431</v>
      </c>
      <c r="D845" s="140" t="s">
        <v>9432</v>
      </c>
      <c r="E845" s="141" t="s">
        <v>9087</v>
      </c>
      <c r="F845" s="142" t="s">
        <v>8190</v>
      </c>
      <c r="G845" s="143">
        <v>461.96</v>
      </c>
      <c r="H845" s="144" t="s">
        <v>730</v>
      </c>
      <c r="I845" s="145"/>
      <c r="J845" s="145"/>
      <c r="K845" s="146">
        <v>461.96</v>
      </c>
    </row>
    <row r="846" spans="1:11" s="147" customFormat="1" ht="11.25" customHeight="1" x14ac:dyDescent="0.2">
      <c r="A846" s="795" t="s">
        <v>9084</v>
      </c>
      <c r="B846" s="138">
        <v>43434</v>
      </c>
      <c r="C846" s="139" t="s">
        <v>9431</v>
      </c>
      <c r="D846" s="140" t="s">
        <v>9432</v>
      </c>
      <c r="E846" s="141" t="s">
        <v>9087</v>
      </c>
      <c r="F846" s="142" t="s">
        <v>8190</v>
      </c>
      <c r="G846" s="143">
        <v>474.73</v>
      </c>
      <c r="H846" s="144" t="s">
        <v>730</v>
      </c>
      <c r="I846" s="145"/>
      <c r="J846" s="145"/>
      <c r="K846" s="146">
        <v>474.73</v>
      </c>
    </row>
    <row r="847" spans="1:11" s="147" customFormat="1" ht="11.25" customHeight="1" x14ac:dyDescent="0.2">
      <c r="A847" s="795" t="s">
        <v>9084</v>
      </c>
      <c r="B847" s="138">
        <v>43434</v>
      </c>
      <c r="C847" s="139" t="s">
        <v>9433</v>
      </c>
      <c r="D847" s="140" t="s">
        <v>9434</v>
      </c>
      <c r="E847" s="141" t="s">
        <v>9087</v>
      </c>
      <c r="F847" s="142" t="s">
        <v>9139</v>
      </c>
      <c r="G847" s="143">
        <v>543.46</v>
      </c>
      <c r="H847" s="144" t="s">
        <v>730</v>
      </c>
      <c r="I847" s="145"/>
      <c r="J847" s="145"/>
      <c r="K847" s="146">
        <v>543.46</v>
      </c>
    </row>
    <row r="848" spans="1:11" s="147" customFormat="1" ht="11.25" customHeight="1" x14ac:dyDescent="0.2">
      <c r="A848" s="795" t="s">
        <v>9084</v>
      </c>
      <c r="B848" s="138">
        <v>43434</v>
      </c>
      <c r="C848" s="139" t="s">
        <v>9433</v>
      </c>
      <c r="D848" s="140" t="s">
        <v>9434</v>
      </c>
      <c r="E848" s="141" t="s">
        <v>9087</v>
      </c>
      <c r="F848" s="142" t="s">
        <v>9139</v>
      </c>
      <c r="G848" s="143">
        <v>888.56</v>
      </c>
      <c r="H848" s="144" t="s">
        <v>730</v>
      </c>
      <c r="I848" s="145"/>
      <c r="J848" s="145"/>
      <c r="K848" s="146">
        <v>888.56</v>
      </c>
    </row>
    <row r="849" spans="1:11" s="147" customFormat="1" ht="11.25" customHeight="1" x14ac:dyDescent="0.2">
      <c r="A849" s="795" t="s">
        <v>9084</v>
      </c>
      <c r="B849" s="138">
        <v>43434</v>
      </c>
      <c r="C849" s="139" t="s">
        <v>9431</v>
      </c>
      <c r="D849" s="140" t="s">
        <v>9432</v>
      </c>
      <c r="E849" s="141" t="s">
        <v>9087</v>
      </c>
      <c r="F849" s="142" t="s">
        <v>8190</v>
      </c>
      <c r="G849" s="143">
        <v>888.56</v>
      </c>
      <c r="H849" s="144" t="s">
        <v>730</v>
      </c>
      <c r="I849" s="145"/>
      <c r="J849" s="145"/>
      <c r="K849" s="146">
        <v>888.56</v>
      </c>
    </row>
    <row r="850" spans="1:11" s="147" customFormat="1" ht="11.25" customHeight="1" x14ac:dyDescent="0.2">
      <c r="A850" s="795" t="s">
        <v>9084</v>
      </c>
      <c r="B850" s="138">
        <v>43434</v>
      </c>
      <c r="C850" s="139" t="s">
        <v>9433</v>
      </c>
      <c r="D850" s="140" t="s">
        <v>9434</v>
      </c>
      <c r="E850" s="141" t="s">
        <v>9087</v>
      </c>
      <c r="F850" s="142" t="s">
        <v>9139</v>
      </c>
      <c r="G850" s="143">
        <v>946.56</v>
      </c>
      <c r="H850" s="144" t="s">
        <v>730</v>
      </c>
      <c r="I850" s="145"/>
      <c r="J850" s="145"/>
      <c r="K850" s="146">
        <v>946.56</v>
      </c>
    </row>
    <row r="851" spans="1:11" s="147" customFormat="1" ht="11.25" customHeight="1" x14ac:dyDescent="0.2">
      <c r="A851" s="795" t="s">
        <v>9084</v>
      </c>
      <c r="B851" s="138">
        <v>43434</v>
      </c>
      <c r="C851" s="139" t="s">
        <v>9433</v>
      </c>
      <c r="D851" s="140" t="s">
        <v>9434</v>
      </c>
      <c r="E851" s="141" t="s">
        <v>9087</v>
      </c>
      <c r="F851" s="142" t="s">
        <v>9139</v>
      </c>
      <c r="G851" s="143">
        <v>1026.08</v>
      </c>
      <c r="H851" s="144" t="s">
        <v>730</v>
      </c>
      <c r="I851" s="145"/>
      <c r="J851" s="145"/>
      <c r="K851" s="146">
        <v>1026.08</v>
      </c>
    </row>
    <row r="852" spans="1:11" s="147" customFormat="1" ht="11.25" customHeight="1" x14ac:dyDescent="0.2">
      <c r="A852" s="795" t="s">
        <v>9084</v>
      </c>
      <c r="B852" s="138">
        <v>43434</v>
      </c>
      <c r="C852" s="139" t="s">
        <v>9433</v>
      </c>
      <c r="D852" s="140" t="s">
        <v>9434</v>
      </c>
      <c r="E852" s="141" t="s">
        <v>9087</v>
      </c>
      <c r="F852" s="142" t="s">
        <v>9139</v>
      </c>
      <c r="G852" s="143">
        <v>1252.8</v>
      </c>
      <c r="H852" s="144" t="s">
        <v>730</v>
      </c>
      <c r="I852" s="145"/>
      <c r="J852" s="145"/>
      <c r="K852" s="146">
        <v>1252.8</v>
      </c>
    </row>
    <row r="853" spans="1:11" s="147" customFormat="1" ht="11.25" customHeight="1" x14ac:dyDescent="0.2">
      <c r="A853" s="795" t="s">
        <v>9084</v>
      </c>
      <c r="B853" s="138">
        <v>43434</v>
      </c>
      <c r="C853" s="139" t="s">
        <v>9433</v>
      </c>
      <c r="D853" s="140" t="s">
        <v>9435</v>
      </c>
      <c r="E853" s="141" t="s">
        <v>9087</v>
      </c>
      <c r="F853" s="142" t="s">
        <v>9436</v>
      </c>
      <c r="G853" s="143">
        <v>2282.1999999999998</v>
      </c>
      <c r="H853" s="144" t="s">
        <v>730</v>
      </c>
      <c r="I853" s="145"/>
      <c r="J853" s="145"/>
      <c r="K853" s="146">
        <v>2282.1999999999998</v>
      </c>
    </row>
    <row r="854" spans="1:11" s="147" customFormat="1" ht="11.25" customHeight="1" x14ac:dyDescent="0.2">
      <c r="A854" s="795" t="s">
        <v>9084</v>
      </c>
      <c r="B854" s="138">
        <v>43434</v>
      </c>
      <c r="C854" s="139" t="s">
        <v>9433</v>
      </c>
      <c r="D854" s="140" t="s">
        <v>9434</v>
      </c>
      <c r="E854" s="141" t="s">
        <v>9087</v>
      </c>
      <c r="F854" s="142" t="s">
        <v>9139</v>
      </c>
      <c r="G854" s="143">
        <v>3860.34</v>
      </c>
      <c r="H854" s="144" t="s">
        <v>730</v>
      </c>
      <c r="I854" s="145"/>
      <c r="J854" s="145"/>
      <c r="K854" s="146">
        <v>3860.34</v>
      </c>
    </row>
    <row r="855" spans="1:11" s="147" customFormat="1" ht="11.25" customHeight="1" x14ac:dyDescent="0.2">
      <c r="A855" s="795" t="s">
        <v>9437</v>
      </c>
      <c r="B855" s="138">
        <v>43434</v>
      </c>
      <c r="C855" s="139" t="s">
        <v>9438</v>
      </c>
      <c r="D855" s="140" t="s">
        <v>9439</v>
      </c>
      <c r="E855" s="141" t="s">
        <v>8193</v>
      </c>
      <c r="F855" s="142" t="s">
        <v>9440</v>
      </c>
      <c r="G855" s="143">
        <v>5800</v>
      </c>
      <c r="H855" s="144" t="s">
        <v>730</v>
      </c>
      <c r="I855" s="145"/>
      <c r="J855" s="145"/>
      <c r="K855" s="146">
        <v>5800</v>
      </c>
    </row>
    <row r="856" spans="1:11" s="147" customFormat="1" ht="11.25" customHeight="1" x14ac:dyDescent="0.2">
      <c r="A856" s="795" t="s">
        <v>9441</v>
      </c>
      <c r="B856" s="138">
        <v>43434</v>
      </c>
      <c r="C856" s="139" t="s">
        <v>9442</v>
      </c>
      <c r="D856" s="140" t="s">
        <v>9443</v>
      </c>
      <c r="E856" s="141" t="s">
        <v>9379</v>
      </c>
      <c r="F856" s="142" t="s">
        <v>9444</v>
      </c>
      <c r="G856" s="143">
        <v>150800</v>
      </c>
      <c r="H856" s="144" t="s">
        <v>730</v>
      </c>
      <c r="I856" s="145"/>
      <c r="J856" s="145"/>
      <c r="K856" s="146">
        <v>150800</v>
      </c>
    </row>
    <row r="857" spans="1:11" s="147" customFormat="1" ht="11.25" customHeight="1" x14ac:dyDescent="0.2">
      <c r="A857" s="795" t="s">
        <v>9445</v>
      </c>
      <c r="B857" s="138">
        <v>43434</v>
      </c>
      <c r="C857" s="139" t="s">
        <v>9446</v>
      </c>
      <c r="D857" s="140" t="s">
        <v>9447</v>
      </c>
      <c r="E857" s="141" t="s">
        <v>9379</v>
      </c>
      <c r="F857" s="142" t="s">
        <v>9079</v>
      </c>
      <c r="G857" s="143">
        <v>5684</v>
      </c>
      <c r="H857" s="144" t="s">
        <v>730</v>
      </c>
      <c r="I857" s="145"/>
      <c r="J857" s="145"/>
      <c r="K857" s="146">
        <v>5684</v>
      </c>
    </row>
    <row r="858" spans="1:11" s="147" customFormat="1" ht="11.25" customHeight="1" x14ac:dyDescent="0.2">
      <c r="A858" s="795" t="s">
        <v>9448</v>
      </c>
      <c r="B858" s="138">
        <v>43434</v>
      </c>
      <c r="C858" s="139" t="s">
        <v>9449</v>
      </c>
      <c r="D858" s="140" t="s">
        <v>9450</v>
      </c>
      <c r="E858" s="141" t="s">
        <v>8152</v>
      </c>
      <c r="F858" s="142" t="s">
        <v>9451</v>
      </c>
      <c r="G858" s="143">
        <v>3959.08</v>
      </c>
      <c r="H858" s="144" t="s">
        <v>730</v>
      </c>
      <c r="I858" s="145"/>
      <c r="J858" s="145"/>
      <c r="K858" s="146">
        <v>3959.08</v>
      </c>
    </row>
    <row r="859" spans="1:11" s="147" customFormat="1" ht="11.25" customHeight="1" x14ac:dyDescent="0.2">
      <c r="A859" s="795" t="s">
        <v>9452</v>
      </c>
      <c r="B859" s="138" t="s">
        <v>9453</v>
      </c>
      <c r="C859" s="139" t="s">
        <v>8128</v>
      </c>
      <c r="D859" s="140" t="s">
        <v>9454</v>
      </c>
      <c r="E859" s="141" t="s">
        <v>9455</v>
      </c>
      <c r="F859" s="142" t="s">
        <v>9456</v>
      </c>
      <c r="G859" s="143">
        <v>63000.6</v>
      </c>
      <c r="H859" s="144" t="s">
        <v>730</v>
      </c>
      <c r="I859" s="145"/>
      <c r="J859" s="145"/>
      <c r="K859" s="146">
        <v>63000.6</v>
      </c>
    </row>
    <row r="860" spans="1:11" s="147" customFormat="1" ht="11.25" customHeight="1" x14ac:dyDescent="0.2">
      <c r="A860" s="795" t="s">
        <v>9457</v>
      </c>
      <c r="B860" s="138" t="s">
        <v>9453</v>
      </c>
      <c r="C860" s="139" t="s">
        <v>9458</v>
      </c>
      <c r="D860" s="140" t="s">
        <v>9459</v>
      </c>
      <c r="E860" s="141" t="s">
        <v>8143</v>
      </c>
      <c r="F860" s="142" t="s">
        <v>9460</v>
      </c>
      <c r="G860" s="143">
        <v>2784</v>
      </c>
      <c r="H860" s="144" t="s">
        <v>730</v>
      </c>
      <c r="I860" s="145"/>
      <c r="J860" s="145"/>
      <c r="K860" s="146">
        <v>2784</v>
      </c>
    </row>
    <row r="861" spans="1:11" s="147" customFormat="1" ht="11.25" customHeight="1" x14ac:dyDescent="0.2">
      <c r="A861" s="795" t="s">
        <v>9084</v>
      </c>
      <c r="B861" s="138" t="s">
        <v>9453</v>
      </c>
      <c r="C861" s="139" t="s">
        <v>9461</v>
      </c>
      <c r="D861" s="140" t="s">
        <v>9462</v>
      </c>
      <c r="E861" s="141" t="s">
        <v>9087</v>
      </c>
      <c r="F861" s="142" t="s">
        <v>9436</v>
      </c>
      <c r="G861" s="143">
        <v>1861.32</v>
      </c>
      <c r="H861" s="144" t="s">
        <v>730</v>
      </c>
      <c r="I861" s="145"/>
      <c r="J861" s="145"/>
      <c r="K861" s="146">
        <v>1861.32</v>
      </c>
    </row>
    <row r="862" spans="1:11" s="147" customFormat="1" ht="11.25" customHeight="1" x14ac:dyDescent="0.2">
      <c r="A862" s="795" t="s">
        <v>9084</v>
      </c>
      <c r="B862" s="138" t="s">
        <v>9453</v>
      </c>
      <c r="C862" s="139" t="s">
        <v>9461</v>
      </c>
      <c r="D862" s="140" t="s">
        <v>9462</v>
      </c>
      <c r="E862" s="141" t="s">
        <v>9087</v>
      </c>
      <c r="F862" s="142" t="s">
        <v>9436</v>
      </c>
      <c r="G862" s="143">
        <v>3298.6</v>
      </c>
      <c r="H862" s="144" t="s">
        <v>730</v>
      </c>
      <c r="I862" s="145"/>
      <c r="J862" s="145"/>
      <c r="K862" s="146">
        <v>3298.6</v>
      </c>
    </row>
    <row r="863" spans="1:11" s="147" customFormat="1" ht="11.25" customHeight="1" x14ac:dyDescent="0.2">
      <c r="A863" s="795" t="s">
        <v>9084</v>
      </c>
      <c r="B863" s="138" t="s">
        <v>9453</v>
      </c>
      <c r="C863" s="139" t="s">
        <v>9461</v>
      </c>
      <c r="D863" s="140" t="s">
        <v>9462</v>
      </c>
      <c r="E863" s="141" t="s">
        <v>9087</v>
      </c>
      <c r="F863" s="142" t="s">
        <v>9436</v>
      </c>
      <c r="G863" s="143">
        <v>3684.16</v>
      </c>
      <c r="H863" s="144" t="s">
        <v>730</v>
      </c>
      <c r="I863" s="145"/>
      <c r="J863" s="145"/>
      <c r="K863" s="146">
        <v>3684.16</v>
      </c>
    </row>
    <row r="864" spans="1:11" s="147" customFormat="1" ht="11.25" customHeight="1" x14ac:dyDescent="0.2">
      <c r="A864" s="795" t="s">
        <v>9084</v>
      </c>
      <c r="B864" s="138" t="s">
        <v>9453</v>
      </c>
      <c r="C864" s="139" t="s">
        <v>9461</v>
      </c>
      <c r="D864" s="140" t="s">
        <v>9463</v>
      </c>
      <c r="E864" s="141" t="s">
        <v>9087</v>
      </c>
      <c r="F864" s="142" t="s">
        <v>9058</v>
      </c>
      <c r="G864" s="143">
        <v>3811.2</v>
      </c>
      <c r="H864" s="144" t="s">
        <v>730</v>
      </c>
      <c r="I864" s="145"/>
      <c r="J864" s="145"/>
      <c r="K864" s="146">
        <v>3811.2</v>
      </c>
    </row>
    <row r="865" spans="1:11" s="147" customFormat="1" ht="11.25" customHeight="1" x14ac:dyDescent="0.2">
      <c r="A865" s="795" t="s">
        <v>9464</v>
      </c>
      <c r="B865" s="138" t="s">
        <v>9453</v>
      </c>
      <c r="C865" s="139" t="s">
        <v>9465</v>
      </c>
      <c r="D865" s="140" t="s">
        <v>8209</v>
      </c>
      <c r="E865" s="141" t="s">
        <v>9466</v>
      </c>
      <c r="F865" s="142" t="s">
        <v>9467</v>
      </c>
      <c r="G865" s="143">
        <v>3730</v>
      </c>
      <c r="H865" s="144" t="s">
        <v>730</v>
      </c>
      <c r="I865" s="145"/>
      <c r="J865" s="145"/>
      <c r="K865" s="146">
        <v>3730</v>
      </c>
    </row>
    <row r="866" spans="1:11" s="147" customFormat="1" ht="11.25" customHeight="1" x14ac:dyDescent="0.2">
      <c r="A866" s="795" t="s">
        <v>9464</v>
      </c>
      <c r="B866" s="138" t="s">
        <v>9453</v>
      </c>
      <c r="C866" s="139" t="s">
        <v>9465</v>
      </c>
      <c r="D866" s="140" t="s">
        <v>9468</v>
      </c>
      <c r="E866" s="141" t="s">
        <v>9466</v>
      </c>
      <c r="F866" s="142" t="s">
        <v>9467</v>
      </c>
      <c r="G866" s="143">
        <v>7760.01</v>
      </c>
      <c r="H866" s="144" t="s">
        <v>730</v>
      </c>
      <c r="I866" s="145"/>
      <c r="J866" s="145"/>
      <c r="K866" s="146">
        <v>7760.01</v>
      </c>
    </row>
    <row r="867" spans="1:11" s="147" customFormat="1" ht="11.25" customHeight="1" x14ac:dyDescent="0.2">
      <c r="A867" s="795" t="s">
        <v>8973</v>
      </c>
      <c r="B867" s="138" t="s">
        <v>9469</v>
      </c>
      <c r="C867" s="139" t="s">
        <v>9470</v>
      </c>
      <c r="D867" s="140" t="s">
        <v>9471</v>
      </c>
      <c r="E867" s="141" t="s">
        <v>8081</v>
      </c>
      <c r="F867" s="142" t="s">
        <v>8118</v>
      </c>
      <c r="G867" s="143">
        <v>2.0499999999999998</v>
      </c>
      <c r="H867" s="144" t="s">
        <v>730</v>
      </c>
      <c r="I867" s="145"/>
      <c r="J867" s="145"/>
      <c r="K867" s="146">
        <v>2.0499999999999998</v>
      </c>
    </row>
    <row r="868" spans="1:11" s="147" customFormat="1" ht="11.25" customHeight="1" x14ac:dyDescent="0.2">
      <c r="A868" s="795" t="s">
        <v>8973</v>
      </c>
      <c r="B868" s="138" t="s">
        <v>9469</v>
      </c>
      <c r="C868" s="139" t="s">
        <v>9472</v>
      </c>
      <c r="D868" s="140" t="s">
        <v>9473</v>
      </c>
      <c r="E868" s="141" t="s">
        <v>8081</v>
      </c>
      <c r="F868" s="142" t="s">
        <v>9301</v>
      </c>
      <c r="G868" s="143">
        <v>6.22</v>
      </c>
      <c r="H868" s="144" t="s">
        <v>730</v>
      </c>
      <c r="I868" s="145"/>
      <c r="J868" s="145"/>
      <c r="K868" s="146">
        <v>6.22</v>
      </c>
    </row>
    <row r="869" spans="1:11" s="147" customFormat="1" ht="11.25" customHeight="1" x14ac:dyDescent="0.2">
      <c r="A869" s="795" t="s">
        <v>8973</v>
      </c>
      <c r="B869" s="138" t="s">
        <v>9469</v>
      </c>
      <c r="C869" s="139" t="s">
        <v>9472</v>
      </c>
      <c r="D869" s="140" t="s">
        <v>9474</v>
      </c>
      <c r="E869" s="141" t="s">
        <v>8081</v>
      </c>
      <c r="F869" s="142" t="s">
        <v>9301</v>
      </c>
      <c r="G869" s="143">
        <v>6.82</v>
      </c>
      <c r="H869" s="144" t="s">
        <v>730</v>
      </c>
      <c r="I869" s="145"/>
      <c r="J869" s="145"/>
      <c r="K869" s="146">
        <v>6.82</v>
      </c>
    </row>
    <row r="870" spans="1:11" s="147" customFormat="1" ht="11.25" customHeight="1" x14ac:dyDescent="0.2">
      <c r="A870" s="795" t="s">
        <v>9035</v>
      </c>
      <c r="B870" s="138" t="s">
        <v>9469</v>
      </c>
      <c r="C870" s="139" t="s">
        <v>9475</v>
      </c>
      <c r="D870" s="140" t="s">
        <v>9476</v>
      </c>
      <c r="E870" s="141" t="s">
        <v>8123</v>
      </c>
      <c r="F870" s="142" t="s">
        <v>8976</v>
      </c>
      <c r="G870" s="143">
        <v>7.23</v>
      </c>
      <c r="H870" s="144" t="s">
        <v>730</v>
      </c>
      <c r="I870" s="145"/>
      <c r="J870" s="145"/>
      <c r="K870" s="146">
        <v>7.23</v>
      </c>
    </row>
    <row r="871" spans="1:11" s="147" customFormat="1" ht="11.25" customHeight="1" x14ac:dyDescent="0.2">
      <c r="A871" s="795" t="s">
        <v>8973</v>
      </c>
      <c r="B871" s="138" t="s">
        <v>9469</v>
      </c>
      <c r="C871" s="139" t="s">
        <v>9470</v>
      </c>
      <c r="D871" s="140" t="s">
        <v>9477</v>
      </c>
      <c r="E871" s="141" t="s">
        <v>8081</v>
      </c>
      <c r="F871" s="142" t="s">
        <v>8976</v>
      </c>
      <c r="G871" s="143">
        <v>8.2799999999999994</v>
      </c>
      <c r="H871" s="144" t="s">
        <v>730</v>
      </c>
      <c r="I871" s="145"/>
      <c r="J871" s="145"/>
      <c r="K871" s="146">
        <v>8.2799999999999994</v>
      </c>
    </row>
    <row r="872" spans="1:11" s="147" customFormat="1" ht="11.25" customHeight="1" x14ac:dyDescent="0.2">
      <c r="A872" s="795" t="s">
        <v>8973</v>
      </c>
      <c r="B872" s="138" t="s">
        <v>9469</v>
      </c>
      <c r="C872" s="139" t="s">
        <v>9470</v>
      </c>
      <c r="D872" s="140" t="s">
        <v>9471</v>
      </c>
      <c r="E872" s="141" t="s">
        <v>8081</v>
      </c>
      <c r="F872" s="142" t="s">
        <v>8118</v>
      </c>
      <c r="G872" s="143">
        <v>9.56</v>
      </c>
      <c r="H872" s="144" t="s">
        <v>730</v>
      </c>
      <c r="I872" s="145"/>
      <c r="J872" s="145"/>
      <c r="K872" s="146">
        <v>9.56</v>
      </c>
    </row>
    <row r="873" spans="1:11" s="147" customFormat="1" ht="11.25" customHeight="1" x14ac:dyDescent="0.2">
      <c r="A873" s="795" t="s">
        <v>9035</v>
      </c>
      <c r="B873" s="138" t="s">
        <v>9469</v>
      </c>
      <c r="C873" s="139" t="s">
        <v>9475</v>
      </c>
      <c r="D873" s="140" t="s">
        <v>9478</v>
      </c>
      <c r="E873" s="141" t="s">
        <v>8123</v>
      </c>
      <c r="F873" s="142" t="s">
        <v>8976</v>
      </c>
      <c r="G873" s="143">
        <v>10.52</v>
      </c>
      <c r="H873" s="144" t="s">
        <v>730</v>
      </c>
      <c r="I873" s="145"/>
      <c r="J873" s="145"/>
      <c r="K873" s="146">
        <v>10.52</v>
      </c>
    </row>
    <row r="874" spans="1:11" s="147" customFormat="1" ht="11.25" customHeight="1" x14ac:dyDescent="0.2">
      <c r="A874" s="795" t="s">
        <v>8973</v>
      </c>
      <c r="B874" s="138" t="s">
        <v>9469</v>
      </c>
      <c r="C874" s="139" t="s">
        <v>9472</v>
      </c>
      <c r="D874" s="140" t="s">
        <v>9474</v>
      </c>
      <c r="E874" s="141" t="s">
        <v>8081</v>
      </c>
      <c r="F874" s="142" t="s">
        <v>9301</v>
      </c>
      <c r="G874" s="143">
        <v>12.42</v>
      </c>
      <c r="H874" s="144" t="s">
        <v>730</v>
      </c>
      <c r="I874" s="145"/>
      <c r="J874" s="145"/>
      <c r="K874" s="146">
        <v>12.42</v>
      </c>
    </row>
    <row r="875" spans="1:11" s="147" customFormat="1" ht="11.25" customHeight="1" x14ac:dyDescent="0.2">
      <c r="A875" s="795" t="s">
        <v>8973</v>
      </c>
      <c r="B875" s="138" t="s">
        <v>9469</v>
      </c>
      <c r="C875" s="139" t="s">
        <v>9472</v>
      </c>
      <c r="D875" s="140" t="s">
        <v>9473</v>
      </c>
      <c r="E875" s="141" t="s">
        <v>8081</v>
      </c>
      <c r="F875" s="142" t="s">
        <v>9301</v>
      </c>
      <c r="G875" s="143">
        <v>12.95</v>
      </c>
      <c r="H875" s="144" t="s">
        <v>730</v>
      </c>
      <c r="I875" s="145"/>
      <c r="J875" s="145"/>
      <c r="K875" s="146">
        <v>12.95</v>
      </c>
    </row>
    <row r="876" spans="1:11" s="147" customFormat="1" ht="11.25" customHeight="1" x14ac:dyDescent="0.2">
      <c r="A876" s="795" t="s">
        <v>9035</v>
      </c>
      <c r="B876" s="138" t="s">
        <v>9469</v>
      </c>
      <c r="C876" s="139" t="s">
        <v>9479</v>
      </c>
      <c r="D876" s="140" t="s">
        <v>9480</v>
      </c>
      <c r="E876" s="141" t="s">
        <v>8123</v>
      </c>
      <c r="F876" s="142" t="s">
        <v>9301</v>
      </c>
      <c r="G876" s="143">
        <v>16.649999999999999</v>
      </c>
      <c r="H876" s="144" t="s">
        <v>730</v>
      </c>
      <c r="I876" s="145"/>
      <c r="J876" s="145"/>
      <c r="K876" s="146">
        <v>16.649999999999999</v>
      </c>
    </row>
    <row r="877" spans="1:11" s="147" customFormat="1" ht="11.25" customHeight="1" x14ac:dyDescent="0.2">
      <c r="A877" s="795" t="s">
        <v>9035</v>
      </c>
      <c r="B877" s="138" t="s">
        <v>9469</v>
      </c>
      <c r="C877" s="139" t="s">
        <v>9475</v>
      </c>
      <c r="D877" s="140" t="s">
        <v>9476</v>
      </c>
      <c r="E877" s="141" t="s">
        <v>8123</v>
      </c>
      <c r="F877" s="142" t="s">
        <v>8976</v>
      </c>
      <c r="G877" s="143">
        <v>17.12</v>
      </c>
      <c r="H877" s="144" t="s">
        <v>730</v>
      </c>
      <c r="I877" s="145"/>
      <c r="J877" s="145"/>
      <c r="K877" s="146">
        <v>17.12</v>
      </c>
    </row>
    <row r="878" spans="1:11" s="147" customFormat="1" ht="11.25" customHeight="1" x14ac:dyDescent="0.2">
      <c r="A878" s="795" t="s">
        <v>9035</v>
      </c>
      <c r="B878" s="138" t="s">
        <v>9469</v>
      </c>
      <c r="C878" s="139" t="s">
        <v>9475</v>
      </c>
      <c r="D878" s="140" t="s">
        <v>9478</v>
      </c>
      <c r="E878" s="141" t="s">
        <v>8123</v>
      </c>
      <c r="F878" s="142" t="s">
        <v>8976</v>
      </c>
      <c r="G878" s="143">
        <v>21.58</v>
      </c>
      <c r="H878" s="144" t="s">
        <v>730</v>
      </c>
      <c r="I878" s="145"/>
      <c r="J878" s="145"/>
      <c r="K878" s="146">
        <v>21.58</v>
      </c>
    </row>
    <row r="879" spans="1:11" s="147" customFormat="1" ht="11.25" customHeight="1" x14ac:dyDescent="0.2">
      <c r="A879" s="795" t="s">
        <v>8973</v>
      </c>
      <c r="B879" s="138" t="s">
        <v>9469</v>
      </c>
      <c r="C879" s="139" t="s">
        <v>9470</v>
      </c>
      <c r="D879" s="140" t="s">
        <v>9477</v>
      </c>
      <c r="E879" s="141" t="s">
        <v>8081</v>
      </c>
      <c r="F879" s="142" t="s">
        <v>8976</v>
      </c>
      <c r="G879" s="143">
        <v>24.5</v>
      </c>
      <c r="H879" s="144" t="s">
        <v>730</v>
      </c>
      <c r="I879" s="145"/>
      <c r="J879" s="145"/>
      <c r="K879" s="146">
        <v>24.5</v>
      </c>
    </row>
    <row r="880" spans="1:11" s="147" customFormat="1" ht="11.25" customHeight="1" x14ac:dyDescent="0.2">
      <c r="A880" s="795" t="s">
        <v>8973</v>
      </c>
      <c r="B880" s="138" t="s">
        <v>9469</v>
      </c>
      <c r="C880" s="139" t="s">
        <v>9470</v>
      </c>
      <c r="D880" s="140" t="s">
        <v>9477</v>
      </c>
      <c r="E880" s="141" t="s">
        <v>8081</v>
      </c>
      <c r="F880" s="142" t="s">
        <v>8976</v>
      </c>
      <c r="G880" s="143">
        <v>24.5</v>
      </c>
      <c r="H880" s="144" t="s">
        <v>730</v>
      </c>
      <c r="I880" s="145"/>
      <c r="J880" s="145"/>
      <c r="K880" s="146">
        <v>24.5</v>
      </c>
    </row>
    <row r="881" spans="1:11" s="147" customFormat="1" ht="11.25" customHeight="1" x14ac:dyDescent="0.2">
      <c r="A881" s="795" t="s">
        <v>8973</v>
      </c>
      <c r="B881" s="138" t="s">
        <v>9469</v>
      </c>
      <c r="C881" s="139" t="s">
        <v>9472</v>
      </c>
      <c r="D881" s="140" t="s">
        <v>9473</v>
      </c>
      <c r="E881" s="141" t="s">
        <v>8081</v>
      </c>
      <c r="F881" s="142" t="s">
        <v>9301</v>
      </c>
      <c r="G881" s="143">
        <v>25.17</v>
      </c>
      <c r="H881" s="144" t="s">
        <v>730</v>
      </c>
      <c r="I881" s="145"/>
      <c r="J881" s="145"/>
      <c r="K881" s="146">
        <v>25.17</v>
      </c>
    </row>
    <row r="882" spans="1:11" s="147" customFormat="1" ht="11.25" customHeight="1" x14ac:dyDescent="0.2">
      <c r="A882" s="795" t="s">
        <v>8973</v>
      </c>
      <c r="B882" s="138" t="s">
        <v>9469</v>
      </c>
      <c r="C882" s="139" t="s">
        <v>9472</v>
      </c>
      <c r="D882" s="140" t="s">
        <v>9473</v>
      </c>
      <c r="E882" s="141" t="s">
        <v>8081</v>
      </c>
      <c r="F882" s="142" t="s">
        <v>9301</v>
      </c>
      <c r="G882" s="143">
        <v>25.17</v>
      </c>
      <c r="H882" s="144" t="s">
        <v>730</v>
      </c>
      <c r="I882" s="145"/>
      <c r="J882" s="145"/>
      <c r="K882" s="146">
        <v>25.17</v>
      </c>
    </row>
    <row r="883" spans="1:11" s="147" customFormat="1" ht="11.25" customHeight="1" x14ac:dyDescent="0.2">
      <c r="A883" s="795" t="s">
        <v>9035</v>
      </c>
      <c r="B883" s="138" t="s">
        <v>9469</v>
      </c>
      <c r="C883" s="139" t="s">
        <v>9479</v>
      </c>
      <c r="D883" s="140" t="s">
        <v>9480</v>
      </c>
      <c r="E883" s="141" t="s">
        <v>8123</v>
      </c>
      <c r="F883" s="142" t="s">
        <v>9301</v>
      </c>
      <c r="G883" s="143">
        <v>26.08</v>
      </c>
      <c r="H883" s="144" t="s">
        <v>730</v>
      </c>
      <c r="I883" s="145"/>
      <c r="J883" s="145"/>
      <c r="K883" s="146">
        <v>26.08</v>
      </c>
    </row>
    <row r="884" spans="1:11" s="147" customFormat="1" ht="11.25" customHeight="1" x14ac:dyDescent="0.2">
      <c r="A884" s="795" t="s">
        <v>8973</v>
      </c>
      <c r="B884" s="138" t="s">
        <v>9469</v>
      </c>
      <c r="C884" s="139" t="s">
        <v>9470</v>
      </c>
      <c r="D884" s="140" t="s">
        <v>9471</v>
      </c>
      <c r="E884" s="141" t="s">
        <v>8081</v>
      </c>
      <c r="F884" s="142" t="s">
        <v>8118</v>
      </c>
      <c r="G884" s="143">
        <v>26.47</v>
      </c>
      <c r="H884" s="144" t="s">
        <v>730</v>
      </c>
      <c r="I884" s="145"/>
      <c r="J884" s="145"/>
      <c r="K884" s="146">
        <v>26.47</v>
      </c>
    </row>
    <row r="885" spans="1:11" s="147" customFormat="1" ht="11.25" customHeight="1" x14ac:dyDescent="0.2">
      <c r="A885" s="795" t="s">
        <v>9035</v>
      </c>
      <c r="B885" s="138" t="s">
        <v>9469</v>
      </c>
      <c r="C885" s="139" t="s">
        <v>9475</v>
      </c>
      <c r="D885" s="140" t="s">
        <v>9476</v>
      </c>
      <c r="E885" s="141" t="s">
        <v>8123</v>
      </c>
      <c r="F885" s="142" t="s">
        <v>8976</v>
      </c>
      <c r="G885" s="143">
        <v>29</v>
      </c>
      <c r="H885" s="144" t="s">
        <v>730</v>
      </c>
      <c r="I885" s="145"/>
      <c r="J885" s="145"/>
      <c r="K885" s="146">
        <v>29</v>
      </c>
    </row>
    <row r="886" spans="1:11" s="147" customFormat="1" ht="11.25" customHeight="1" x14ac:dyDescent="0.2">
      <c r="A886" s="795" t="s">
        <v>9035</v>
      </c>
      <c r="B886" s="138" t="s">
        <v>9469</v>
      </c>
      <c r="C886" s="139" t="s">
        <v>9475</v>
      </c>
      <c r="D886" s="140" t="s">
        <v>9481</v>
      </c>
      <c r="E886" s="141" t="s">
        <v>8123</v>
      </c>
      <c r="F886" s="142" t="s">
        <v>9258</v>
      </c>
      <c r="G886" s="143">
        <v>29.96</v>
      </c>
      <c r="H886" s="144" t="s">
        <v>730</v>
      </c>
      <c r="I886" s="145"/>
      <c r="J886" s="145"/>
      <c r="K886" s="146">
        <v>29.96</v>
      </c>
    </row>
    <row r="887" spans="1:11" s="147" customFormat="1" ht="11.25" customHeight="1" x14ac:dyDescent="0.2">
      <c r="A887" s="795" t="s">
        <v>8973</v>
      </c>
      <c r="B887" s="138" t="s">
        <v>9469</v>
      </c>
      <c r="C887" s="139" t="s">
        <v>9470</v>
      </c>
      <c r="D887" s="140" t="s">
        <v>9482</v>
      </c>
      <c r="E887" s="141" t="s">
        <v>8081</v>
      </c>
      <c r="F887" s="142" t="s">
        <v>9301</v>
      </c>
      <c r="G887" s="143">
        <v>30.21</v>
      </c>
      <c r="H887" s="144" t="s">
        <v>730</v>
      </c>
      <c r="I887" s="145"/>
      <c r="J887" s="145"/>
      <c r="K887" s="146">
        <v>30.21</v>
      </c>
    </row>
    <row r="888" spans="1:11" s="147" customFormat="1" ht="11.25" customHeight="1" x14ac:dyDescent="0.2">
      <c r="A888" s="795" t="s">
        <v>8973</v>
      </c>
      <c r="B888" s="138" t="s">
        <v>9469</v>
      </c>
      <c r="C888" s="139" t="s">
        <v>9472</v>
      </c>
      <c r="D888" s="140" t="s">
        <v>9473</v>
      </c>
      <c r="E888" s="141" t="s">
        <v>8081</v>
      </c>
      <c r="F888" s="142" t="s">
        <v>9301</v>
      </c>
      <c r="G888" s="143">
        <v>31.35</v>
      </c>
      <c r="H888" s="144" t="s">
        <v>730</v>
      </c>
      <c r="I888" s="145"/>
      <c r="J888" s="145"/>
      <c r="K888" s="146">
        <v>31.35</v>
      </c>
    </row>
    <row r="889" spans="1:11" s="147" customFormat="1" ht="11.25" customHeight="1" x14ac:dyDescent="0.2">
      <c r="A889" s="795" t="s">
        <v>8973</v>
      </c>
      <c r="B889" s="138" t="s">
        <v>9469</v>
      </c>
      <c r="C889" s="139" t="s">
        <v>9472</v>
      </c>
      <c r="D889" s="140" t="s">
        <v>9473</v>
      </c>
      <c r="E889" s="141" t="s">
        <v>8081</v>
      </c>
      <c r="F889" s="142" t="s">
        <v>9301</v>
      </c>
      <c r="G889" s="143">
        <v>31.81</v>
      </c>
      <c r="H889" s="144" t="s">
        <v>730</v>
      </c>
      <c r="I889" s="145"/>
      <c r="J889" s="145"/>
      <c r="K889" s="146">
        <v>31.81</v>
      </c>
    </row>
    <row r="890" spans="1:11" s="147" customFormat="1" ht="11.25" customHeight="1" x14ac:dyDescent="0.2">
      <c r="A890" s="795" t="s">
        <v>9035</v>
      </c>
      <c r="B890" s="138" t="s">
        <v>9469</v>
      </c>
      <c r="C890" s="139" t="s">
        <v>9479</v>
      </c>
      <c r="D890" s="140" t="s">
        <v>9480</v>
      </c>
      <c r="E890" s="141" t="s">
        <v>8123</v>
      </c>
      <c r="F890" s="142" t="s">
        <v>9301</v>
      </c>
      <c r="G890" s="143">
        <v>33.520000000000003</v>
      </c>
      <c r="H890" s="144" t="s">
        <v>730</v>
      </c>
      <c r="I890" s="145"/>
      <c r="J890" s="145"/>
      <c r="K890" s="146">
        <v>33.520000000000003</v>
      </c>
    </row>
    <row r="891" spans="1:11" s="147" customFormat="1" ht="11.25" customHeight="1" x14ac:dyDescent="0.2">
      <c r="A891" s="795" t="s">
        <v>8973</v>
      </c>
      <c r="B891" s="138" t="s">
        <v>9469</v>
      </c>
      <c r="C891" s="139" t="s">
        <v>9470</v>
      </c>
      <c r="D891" s="140" t="s">
        <v>9482</v>
      </c>
      <c r="E891" s="141" t="s">
        <v>8081</v>
      </c>
      <c r="F891" s="142" t="s">
        <v>9301</v>
      </c>
      <c r="G891" s="143">
        <v>35.869999999999997</v>
      </c>
      <c r="H891" s="144" t="s">
        <v>730</v>
      </c>
      <c r="I891" s="145"/>
      <c r="J891" s="145"/>
      <c r="K891" s="146">
        <v>35.869999999999997</v>
      </c>
    </row>
    <row r="892" spans="1:11" s="147" customFormat="1" ht="11.25" customHeight="1" x14ac:dyDescent="0.2">
      <c r="A892" s="795" t="s">
        <v>8973</v>
      </c>
      <c r="B892" s="138" t="s">
        <v>9469</v>
      </c>
      <c r="C892" s="139" t="s">
        <v>9470</v>
      </c>
      <c r="D892" s="140" t="s">
        <v>9477</v>
      </c>
      <c r="E892" s="141" t="s">
        <v>8081</v>
      </c>
      <c r="F892" s="142" t="s">
        <v>8976</v>
      </c>
      <c r="G892" s="143">
        <v>35.909999999999997</v>
      </c>
      <c r="H892" s="144" t="s">
        <v>730</v>
      </c>
      <c r="I892" s="145"/>
      <c r="J892" s="145"/>
      <c r="K892" s="146">
        <v>35.909999999999997</v>
      </c>
    </row>
    <row r="893" spans="1:11" s="147" customFormat="1" ht="11.25" customHeight="1" x14ac:dyDescent="0.2">
      <c r="A893" s="795" t="s">
        <v>8973</v>
      </c>
      <c r="B893" s="138" t="s">
        <v>9469</v>
      </c>
      <c r="C893" s="139" t="s">
        <v>9470</v>
      </c>
      <c r="D893" s="140" t="s">
        <v>9471</v>
      </c>
      <c r="E893" s="141" t="s">
        <v>8081</v>
      </c>
      <c r="F893" s="142" t="s">
        <v>8118</v>
      </c>
      <c r="G893" s="143">
        <v>35.909999999999997</v>
      </c>
      <c r="H893" s="144" t="s">
        <v>730</v>
      </c>
      <c r="I893" s="145"/>
      <c r="J893" s="145"/>
      <c r="K893" s="146">
        <v>35.909999999999997</v>
      </c>
    </row>
    <row r="894" spans="1:11" s="147" customFormat="1" ht="11.25" customHeight="1" x14ac:dyDescent="0.2">
      <c r="A894" s="795" t="s">
        <v>9035</v>
      </c>
      <c r="B894" s="138" t="s">
        <v>9469</v>
      </c>
      <c r="C894" s="139" t="s">
        <v>9475</v>
      </c>
      <c r="D894" s="140" t="s">
        <v>9478</v>
      </c>
      <c r="E894" s="141" t="s">
        <v>8123</v>
      </c>
      <c r="F894" s="142" t="s">
        <v>8976</v>
      </c>
      <c r="G894" s="143">
        <v>39.08</v>
      </c>
      <c r="H894" s="144" t="s">
        <v>730</v>
      </c>
      <c r="I894" s="145"/>
      <c r="J894" s="145"/>
      <c r="K894" s="146">
        <v>39.08</v>
      </c>
    </row>
    <row r="895" spans="1:11" s="147" customFormat="1" ht="11.25" customHeight="1" x14ac:dyDescent="0.2">
      <c r="A895" s="795" t="s">
        <v>8973</v>
      </c>
      <c r="B895" s="138" t="s">
        <v>9469</v>
      </c>
      <c r="C895" s="139" t="s">
        <v>9472</v>
      </c>
      <c r="D895" s="140" t="s">
        <v>9474</v>
      </c>
      <c r="E895" s="141" t="s">
        <v>8081</v>
      </c>
      <c r="F895" s="142" t="s">
        <v>9301</v>
      </c>
      <c r="G895" s="143">
        <v>39.71</v>
      </c>
      <c r="H895" s="144" t="s">
        <v>730</v>
      </c>
      <c r="I895" s="145"/>
      <c r="J895" s="145"/>
      <c r="K895" s="146">
        <v>39.71</v>
      </c>
    </row>
    <row r="896" spans="1:11" s="147" customFormat="1" ht="11.25" customHeight="1" x14ac:dyDescent="0.2">
      <c r="A896" s="795" t="s">
        <v>9035</v>
      </c>
      <c r="B896" s="138" t="s">
        <v>9469</v>
      </c>
      <c r="C896" s="139" t="s">
        <v>9475</v>
      </c>
      <c r="D896" s="140" t="s">
        <v>9476</v>
      </c>
      <c r="E896" s="141" t="s">
        <v>8123</v>
      </c>
      <c r="F896" s="142" t="s">
        <v>8976</v>
      </c>
      <c r="G896" s="143">
        <v>40.229999999999997</v>
      </c>
      <c r="H896" s="144" t="s">
        <v>730</v>
      </c>
      <c r="I896" s="145"/>
      <c r="J896" s="145"/>
      <c r="K896" s="146">
        <v>40.229999999999997</v>
      </c>
    </row>
    <row r="897" spans="1:11" s="147" customFormat="1" ht="11.25" customHeight="1" x14ac:dyDescent="0.2">
      <c r="A897" s="795" t="s">
        <v>8973</v>
      </c>
      <c r="B897" s="138" t="s">
        <v>9469</v>
      </c>
      <c r="C897" s="139" t="s">
        <v>9470</v>
      </c>
      <c r="D897" s="140" t="s">
        <v>9471</v>
      </c>
      <c r="E897" s="141" t="s">
        <v>8081</v>
      </c>
      <c r="F897" s="142" t="s">
        <v>8118</v>
      </c>
      <c r="G897" s="143">
        <v>42</v>
      </c>
      <c r="H897" s="144" t="s">
        <v>730</v>
      </c>
      <c r="I897" s="145"/>
      <c r="J897" s="145"/>
      <c r="K897" s="146">
        <v>42</v>
      </c>
    </row>
    <row r="898" spans="1:11" s="147" customFormat="1" ht="11.25" customHeight="1" x14ac:dyDescent="0.2">
      <c r="A898" s="795" t="s">
        <v>9035</v>
      </c>
      <c r="B898" s="138" t="s">
        <v>9469</v>
      </c>
      <c r="C898" s="139" t="s">
        <v>9483</v>
      </c>
      <c r="D898" s="140" t="s">
        <v>9484</v>
      </c>
      <c r="E898" s="141" t="s">
        <v>8123</v>
      </c>
      <c r="F898" s="142" t="s">
        <v>8976</v>
      </c>
      <c r="G898" s="143">
        <v>42.32</v>
      </c>
      <c r="H898" s="144" t="s">
        <v>730</v>
      </c>
      <c r="I898" s="145"/>
      <c r="J898" s="145"/>
      <c r="K898" s="146">
        <v>42.32</v>
      </c>
    </row>
    <row r="899" spans="1:11" s="147" customFormat="1" ht="11.25" customHeight="1" x14ac:dyDescent="0.2">
      <c r="A899" s="795" t="s">
        <v>9035</v>
      </c>
      <c r="B899" s="138" t="s">
        <v>9469</v>
      </c>
      <c r="C899" s="139" t="s">
        <v>9475</v>
      </c>
      <c r="D899" s="140" t="s">
        <v>9485</v>
      </c>
      <c r="E899" s="141" t="s">
        <v>8123</v>
      </c>
      <c r="F899" s="142" t="s">
        <v>8976</v>
      </c>
      <c r="G899" s="143">
        <v>42.32</v>
      </c>
      <c r="H899" s="144" t="s">
        <v>730</v>
      </c>
      <c r="I899" s="145"/>
      <c r="J899" s="145"/>
      <c r="K899" s="146">
        <v>42.32</v>
      </c>
    </row>
    <row r="900" spans="1:11" s="147" customFormat="1" ht="11.25" customHeight="1" x14ac:dyDescent="0.2">
      <c r="A900" s="795" t="s">
        <v>8973</v>
      </c>
      <c r="B900" s="138" t="s">
        <v>9469</v>
      </c>
      <c r="C900" s="139" t="s">
        <v>9470</v>
      </c>
      <c r="D900" s="140" t="s">
        <v>9477</v>
      </c>
      <c r="E900" s="141" t="s">
        <v>8081</v>
      </c>
      <c r="F900" s="142" t="s">
        <v>8976</v>
      </c>
      <c r="G900" s="143">
        <v>44.57</v>
      </c>
      <c r="H900" s="144" t="s">
        <v>730</v>
      </c>
      <c r="I900" s="145"/>
      <c r="J900" s="145"/>
      <c r="K900" s="146">
        <v>44.57</v>
      </c>
    </row>
    <row r="901" spans="1:11" s="147" customFormat="1" ht="11.25" customHeight="1" x14ac:dyDescent="0.2">
      <c r="A901" s="795" t="s">
        <v>8973</v>
      </c>
      <c r="B901" s="138" t="s">
        <v>9469</v>
      </c>
      <c r="C901" s="139" t="s">
        <v>9470</v>
      </c>
      <c r="D901" s="140" t="s">
        <v>9482</v>
      </c>
      <c r="E901" s="141" t="s">
        <v>8081</v>
      </c>
      <c r="F901" s="142" t="s">
        <v>9301</v>
      </c>
      <c r="G901" s="143">
        <v>45.24</v>
      </c>
      <c r="H901" s="144" t="s">
        <v>730</v>
      </c>
      <c r="I901" s="145"/>
      <c r="J901" s="145"/>
      <c r="K901" s="146">
        <v>45.24</v>
      </c>
    </row>
    <row r="902" spans="1:11" s="147" customFormat="1" ht="11.25" customHeight="1" x14ac:dyDescent="0.2">
      <c r="A902" s="795" t="s">
        <v>8973</v>
      </c>
      <c r="B902" s="138" t="s">
        <v>9469</v>
      </c>
      <c r="C902" s="139" t="s">
        <v>9470</v>
      </c>
      <c r="D902" s="140" t="s">
        <v>9477</v>
      </c>
      <c r="E902" s="141" t="s">
        <v>8081</v>
      </c>
      <c r="F902" s="142" t="s">
        <v>8976</v>
      </c>
      <c r="G902" s="143">
        <v>46.4</v>
      </c>
      <c r="H902" s="144" t="s">
        <v>730</v>
      </c>
      <c r="I902" s="145"/>
      <c r="J902" s="145"/>
      <c r="K902" s="146">
        <v>46.4</v>
      </c>
    </row>
    <row r="903" spans="1:11" s="147" customFormat="1" ht="11.25" customHeight="1" x14ac:dyDescent="0.2">
      <c r="A903" s="795" t="s">
        <v>9035</v>
      </c>
      <c r="B903" s="138" t="s">
        <v>9469</v>
      </c>
      <c r="C903" s="139" t="s">
        <v>9479</v>
      </c>
      <c r="D903" s="140" t="s">
        <v>9480</v>
      </c>
      <c r="E903" s="141" t="s">
        <v>8123</v>
      </c>
      <c r="F903" s="142" t="s">
        <v>9301</v>
      </c>
      <c r="G903" s="143">
        <v>57.68</v>
      </c>
      <c r="H903" s="144" t="s">
        <v>730</v>
      </c>
      <c r="I903" s="145"/>
      <c r="J903" s="145"/>
      <c r="K903" s="146">
        <v>57.68</v>
      </c>
    </row>
    <row r="904" spans="1:11" s="147" customFormat="1" ht="11.25" customHeight="1" x14ac:dyDescent="0.2">
      <c r="A904" s="795" t="s">
        <v>8973</v>
      </c>
      <c r="B904" s="138" t="s">
        <v>9469</v>
      </c>
      <c r="C904" s="139" t="s">
        <v>9472</v>
      </c>
      <c r="D904" s="140" t="s">
        <v>9473</v>
      </c>
      <c r="E904" s="141" t="s">
        <v>8081</v>
      </c>
      <c r="F904" s="142" t="s">
        <v>9301</v>
      </c>
      <c r="G904" s="143">
        <v>60.69</v>
      </c>
      <c r="H904" s="144" t="s">
        <v>730</v>
      </c>
      <c r="I904" s="145"/>
      <c r="J904" s="145"/>
      <c r="K904" s="146">
        <v>60.69</v>
      </c>
    </row>
    <row r="905" spans="1:11" s="147" customFormat="1" ht="11.25" customHeight="1" x14ac:dyDescent="0.2">
      <c r="A905" s="795" t="s">
        <v>8973</v>
      </c>
      <c r="B905" s="138" t="s">
        <v>9469</v>
      </c>
      <c r="C905" s="139" t="s">
        <v>9470</v>
      </c>
      <c r="D905" s="140" t="s">
        <v>9471</v>
      </c>
      <c r="E905" s="141" t="s">
        <v>8081</v>
      </c>
      <c r="F905" s="142" t="s">
        <v>8118</v>
      </c>
      <c r="G905" s="143">
        <v>60.9</v>
      </c>
      <c r="H905" s="144" t="s">
        <v>730</v>
      </c>
      <c r="I905" s="145"/>
      <c r="J905" s="145"/>
      <c r="K905" s="146">
        <v>60.9</v>
      </c>
    </row>
    <row r="906" spans="1:11" s="147" customFormat="1" ht="11.25" customHeight="1" x14ac:dyDescent="0.2">
      <c r="A906" s="795" t="s">
        <v>8973</v>
      </c>
      <c r="B906" s="138" t="s">
        <v>9469</v>
      </c>
      <c r="C906" s="139" t="s">
        <v>9470</v>
      </c>
      <c r="D906" s="140" t="s">
        <v>9482</v>
      </c>
      <c r="E906" s="141" t="s">
        <v>8081</v>
      </c>
      <c r="F906" s="142" t="s">
        <v>9301</v>
      </c>
      <c r="G906" s="143">
        <v>87.51</v>
      </c>
      <c r="H906" s="144" t="s">
        <v>730</v>
      </c>
      <c r="I906" s="145"/>
      <c r="J906" s="145"/>
      <c r="K906" s="146">
        <v>87.51</v>
      </c>
    </row>
    <row r="907" spans="1:11" s="147" customFormat="1" ht="11.25" customHeight="1" x14ac:dyDescent="0.2">
      <c r="A907" s="795" t="s">
        <v>9035</v>
      </c>
      <c r="B907" s="138" t="s">
        <v>9469</v>
      </c>
      <c r="C907" s="139" t="s">
        <v>9475</v>
      </c>
      <c r="D907" s="140" t="s">
        <v>9481</v>
      </c>
      <c r="E907" s="141" t="s">
        <v>8123</v>
      </c>
      <c r="F907" s="142" t="s">
        <v>9258</v>
      </c>
      <c r="G907" s="143">
        <v>87.58</v>
      </c>
      <c r="H907" s="144" t="s">
        <v>730</v>
      </c>
      <c r="I907" s="145"/>
      <c r="J907" s="145"/>
      <c r="K907" s="146">
        <v>87.58</v>
      </c>
    </row>
    <row r="908" spans="1:11" s="147" customFormat="1" ht="11.25" customHeight="1" x14ac:dyDescent="0.2">
      <c r="A908" s="795" t="s">
        <v>8973</v>
      </c>
      <c r="B908" s="138" t="s">
        <v>9469</v>
      </c>
      <c r="C908" s="139" t="s">
        <v>9470</v>
      </c>
      <c r="D908" s="140" t="s">
        <v>9471</v>
      </c>
      <c r="E908" s="141" t="s">
        <v>8081</v>
      </c>
      <c r="F908" s="142" t="s">
        <v>8118</v>
      </c>
      <c r="G908" s="143">
        <v>89.82</v>
      </c>
      <c r="H908" s="144" t="s">
        <v>730</v>
      </c>
      <c r="I908" s="145"/>
      <c r="J908" s="145"/>
      <c r="K908" s="146">
        <v>89.82</v>
      </c>
    </row>
    <row r="909" spans="1:11" s="147" customFormat="1" ht="11.25" customHeight="1" x14ac:dyDescent="0.2">
      <c r="A909" s="795" t="s">
        <v>9035</v>
      </c>
      <c r="B909" s="138" t="s">
        <v>9469</v>
      </c>
      <c r="C909" s="139" t="s">
        <v>9483</v>
      </c>
      <c r="D909" s="140" t="s">
        <v>9484</v>
      </c>
      <c r="E909" s="141" t="s">
        <v>8123</v>
      </c>
      <c r="F909" s="142" t="s">
        <v>8976</v>
      </c>
      <c r="G909" s="143">
        <v>91.05</v>
      </c>
      <c r="H909" s="144" t="s">
        <v>730</v>
      </c>
      <c r="I909" s="145"/>
      <c r="J909" s="145"/>
      <c r="K909" s="146">
        <v>91.05</v>
      </c>
    </row>
    <row r="910" spans="1:11" s="147" customFormat="1" ht="11.25" customHeight="1" x14ac:dyDescent="0.2">
      <c r="A910" s="795" t="s">
        <v>8973</v>
      </c>
      <c r="B910" s="138" t="s">
        <v>9469</v>
      </c>
      <c r="C910" s="139" t="s">
        <v>9472</v>
      </c>
      <c r="D910" s="140" t="s">
        <v>9473</v>
      </c>
      <c r="E910" s="141" t="s">
        <v>8081</v>
      </c>
      <c r="F910" s="142" t="s">
        <v>9301</v>
      </c>
      <c r="G910" s="143">
        <v>94.7</v>
      </c>
      <c r="H910" s="144" t="s">
        <v>730</v>
      </c>
      <c r="I910" s="145"/>
      <c r="J910" s="145"/>
      <c r="K910" s="146">
        <v>94.7</v>
      </c>
    </row>
    <row r="911" spans="1:11" s="147" customFormat="1" ht="11.25" customHeight="1" x14ac:dyDescent="0.2">
      <c r="A911" s="795" t="s">
        <v>8973</v>
      </c>
      <c r="B911" s="138" t="s">
        <v>9469</v>
      </c>
      <c r="C911" s="139" t="s">
        <v>9472</v>
      </c>
      <c r="D911" s="140" t="s">
        <v>9474</v>
      </c>
      <c r="E911" s="141" t="s">
        <v>8081</v>
      </c>
      <c r="F911" s="142" t="s">
        <v>9301</v>
      </c>
      <c r="G911" s="143">
        <v>106.02</v>
      </c>
      <c r="H911" s="144" t="s">
        <v>730</v>
      </c>
      <c r="I911" s="145"/>
      <c r="J911" s="145"/>
      <c r="K911" s="146">
        <v>106.02</v>
      </c>
    </row>
    <row r="912" spans="1:11" s="147" customFormat="1" ht="11.25" customHeight="1" x14ac:dyDescent="0.2">
      <c r="A912" s="795" t="s">
        <v>9035</v>
      </c>
      <c r="B912" s="138" t="s">
        <v>9469</v>
      </c>
      <c r="C912" s="139" t="s">
        <v>9479</v>
      </c>
      <c r="D912" s="140" t="s">
        <v>9480</v>
      </c>
      <c r="E912" s="141" t="s">
        <v>8123</v>
      </c>
      <c r="F912" s="142" t="s">
        <v>9301</v>
      </c>
      <c r="G912" s="143">
        <v>108.97</v>
      </c>
      <c r="H912" s="144" t="s">
        <v>730</v>
      </c>
      <c r="I912" s="145"/>
      <c r="J912" s="145"/>
      <c r="K912" s="146">
        <v>108.97</v>
      </c>
    </row>
    <row r="913" spans="1:11" s="147" customFormat="1" ht="11.25" customHeight="1" x14ac:dyDescent="0.2">
      <c r="A913" s="795" t="s">
        <v>9035</v>
      </c>
      <c r="B913" s="138" t="s">
        <v>9469</v>
      </c>
      <c r="C913" s="139" t="s">
        <v>9475</v>
      </c>
      <c r="D913" s="140" t="s">
        <v>9485</v>
      </c>
      <c r="E913" s="141" t="s">
        <v>8123</v>
      </c>
      <c r="F913" s="142" t="s">
        <v>8976</v>
      </c>
      <c r="G913" s="143">
        <v>109.64</v>
      </c>
      <c r="H913" s="144" t="s">
        <v>730</v>
      </c>
      <c r="I913" s="145"/>
      <c r="J913" s="145"/>
      <c r="K913" s="146">
        <v>109.64</v>
      </c>
    </row>
    <row r="914" spans="1:11" s="147" customFormat="1" ht="11.25" customHeight="1" x14ac:dyDescent="0.2">
      <c r="A914" s="795" t="s">
        <v>8973</v>
      </c>
      <c r="B914" s="138" t="s">
        <v>9469</v>
      </c>
      <c r="C914" s="139" t="s">
        <v>9470</v>
      </c>
      <c r="D914" s="140" t="s">
        <v>9486</v>
      </c>
      <c r="E914" s="141" t="s">
        <v>8081</v>
      </c>
      <c r="F914" s="142" t="s">
        <v>9487</v>
      </c>
      <c r="G914" s="143">
        <v>110.37</v>
      </c>
      <c r="H914" s="144" t="s">
        <v>730</v>
      </c>
      <c r="I914" s="145"/>
      <c r="J914" s="145"/>
      <c r="K914" s="146">
        <v>110.37</v>
      </c>
    </row>
    <row r="915" spans="1:11" s="147" customFormat="1" ht="11.25" customHeight="1" x14ac:dyDescent="0.2">
      <c r="A915" s="795" t="s">
        <v>8973</v>
      </c>
      <c r="B915" s="138" t="s">
        <v>9469</v>
      </c>
      <c r="C915" s="139" t="s">
        <v>9470</v>
      </c>
      <c r="D915" s="140" t="s">
        <v>9488</v>
      </c>
      <c r="E915" s="141" t="s">
        <v>8081</v>
      </c>
      <c r="F915" s="142" t="s">
        <v>8976</v>
      </c>
      <c r="G915" s="143">
        <v>117.16</v>
      </c>
      <c r="H915" s="144" t="s">
        <v>730</v>
      </c>
      <c r="I915" s="145"/>
      <c r="J915" s="145"/>
      <c r="K915" s="146">
        <v>117.16</v>
      </c>
    </row>
    <row r="916" spans="1:11" s="147" customFormat="1" ht="11.25" customHeight="1" x14ac:dyDescent="0.2">
      <c r="A916" s="795" t="s">
        <v>8973</v>
      </c>
      <c r="B916" s="138" t="s">
        <v>9469</v>
      </c>
      <c r="C916" s="139" t="s">
        <v>9470</v>
      </c>
      <c r="D916" s="140" t="s">
        <v>9482</v>
      </c>
      <c r="E916" s="141" t="s">
        <v>8081</v>
      </c>
      <c r="F916" s="142" t="s">
        <v>9301</v>
      </c>
      <c r="G916" s="143">
        <v>117.16</v>
      </c>
      <c r="H916" s="144" t="s">
        <v>730</v>
      </c>
      <c r="I916" s="145"/>
      <c r="J916" s="145"/>
      <c r="K916" s="146">
        <v>117.16</v>
      </c>
    </row>
    <row r="917" spans="1:11" s="147" customFormat="1" ht="11.25" customHeight="1" x14ac:dyDescent="0.2">
      <c r="A917" s="795" t="s">
        <v>9035</v>
      </c>
      <c r="B917" s="138" t="s">
        <v>9469</v>
      </c>
      <c r="C917" s="139" t="s">
        <v>9475</v>
      </c>
      <c r="D917" s="140" t="s">
        <v>9481</v>
      </c>
      <c r="E917" s="141" t="s">
        <v>8123</v>
      </c>
      <c r="F917" s="142" t="s">
        <v>9258</v>
      </c>
      <c r="G917" s="143">
        <v>117.74</v>
      </c>
      <c r="H917" s="144" t="s">
        <v>730</v>
      </c>
      <c r="I917" s="145"/>
      <c r="J917" s="145"/>
      <c r="K917" s="146">
        <v>117.74</v>
      </c>
    </row>
    <row r="918" spans="1:11" s="147" customFormat="1" ht="11.25" customHeight="1" x14ac:dyDescent="0.2">
      <c r="A918" s="795" t="s">
        <v>8973</v>
      </c>
      <c r="B918" s="138" t="s">
        <v>9469</v>
      </c>
      <c r="C918" s="139" t="s">
        <v>9470</v>
      </c>
      <c r="D918" s="140" t="s">
        <v>9482</v>
      </c>
      <c r="E918" s="141" t="s">
        <v>8081</v>
      </c>
      <c r="F918" s="142" t="s">
        <v>9301</v>
      </c>
      <c r="G918" s="143">
        <v>121.45</v>
      </c>
      <c r="H918" s="144" t="s">
        <v>730</v>
      </c>
      <c r="I918" s="145"/>
      <c r="J918" s="145"/>
      <c r="K918" s="146">
        <v>121.45</v>
      </c>
    </row>
    <row r="919" spans="1:11" s="147" customFormat="1" ht="11.25" customHeight="1" x14ac:dyDescent="0.2">
      <c r="A919" s="795" t="s">
        <v>8973</v>
      </c>
      <c r="B919" s="138" t="s">
        <v>9469</v>
      </c>
      <c r="C919" s="139" t="s">
        <v>9470</v>
      </c>
      <c r="D919" s="140" t="s">
        <v>9471</v>
      </c>
      <c r="E919" s="141" t="s">
        <v>8081</v>
      </c>
      <c r="F919" s="142" t="s">
        <v>8118</v>
      </c>
      <c r="G919" s="143">
        <v>122.5</v>
      </c>
      <c r="H919" s="144" t="s">
        <v>730</v>
      </c>
      <c r="I919" s="145"/>
      <c r="J919" s="145"/>
      <c r="K919" s="146">
        <v>122.5</v>
      </c>
    </row>
    <row r="920" spans="1:11" s="147" customFormat="1" ht="11.25" customHeight="1" x14ac:dyDescent="0.2">
      <c r="A920" s="795" t="s">
        <v>8973</v>
      </c>
      <c r="B920" s="138" t="s">
        <v>9469</v>
      </c>
      <c r="C920" s="139" t="s">
        <v>9470</v>
      </c>
      <c r="D920" s="140" t="s">
        <v>9486</v>
      </c>
      <c r="E920" s="141" t="s">
        <v>8081</v>
      </c>
      <c r="F920" s="142" t="s">
        <v>9487</v>
      </c>
      <c r="G920" s="143">
        <v>126.21</v>
      </c>
      <c r="H920" s="144" t="s">
        <v>730</v>
      </c>
      <c r="I920" s="145"/>
      <c r="J920" s="145"/>
      <c r="K920" s="146">
        <v>126.21</v>
      </c>
    </row>
    <row r="921" spans="1:11" s="147" customFormat="1" ht="11.25" customHeight="1" x14ac:dyDescent="0.2">
      <c r="A921" s="795" t="s">
        <v>8973</v>
      </c>
      <c r="B921" s="138" t="s">
        <v>9469</v>
      </c>
      <c r="C921" s="139" t="s">
        <v>9472</v>
      </c>
      <c r="D921" s="140" t="s">
        <v>9473</v>
      </c>
      <c r="E921" s="141" t="s">
        <v>8081</v>
      </c>
      <c r="F921" s="142" t="s">
        <v>9301</v>
      </c>
      <c r="G921" s="143">
        <v>126.61</v>
      </c>
      <c r="H921" s="144" t="s">
        <v>730</v>
      </c>
      <c r="I921" s="145"/>
      <c r="J921" s="145"/>
      <c r="K921" s="146">
        <v>126.61</v>
      </c>
    </row>
    <row r="922" spans="1:11" s="147" customFormat="1" ht="11.25" customHeight="1" x14ac:dyDescent="0.2">
      <c r="A922" s="795" t="s">
        <v>9035</v>
      </c>
      <c r="B922" s="138" t="s">
        <v>9469</v>
      </c>
      <c r="C922" s="139" t="s">
        <v>9475</v>
      </c>
      <c r="D922" s="140" t="s">
        <v>9478</v>
      </c>
      <c r="E922" s="141" t="s">
        <v>8123</v>
      </c>
      <c r="F922" s="142" t="s">
        <v>8976</v>
      </c>
      <c r="G922" s="143">
        <v>126.95</v>
      </c>
      <c r="H922" s="144" t="s">
        <v>730</v>
      </c>
      <c r="I922" s="145"/>
      <c r="J922" s="145"/>
      <c r="K922" s="146">
        <v>126.95</v>
      </c>
    </row>
    <row r="923" spans="1:11" s="147" customFormat="1" ht="11.25" customHeight="1" x14ac:dyDescent="0.2">
      <c r="A923" s="795" t="s">
        <v>8973</v>
      </c>
      <c r="B923" s="138" t="s">
        <v>9469</v>
      </c>
      <c r="C923" s="139" t="s">
        <v>9472</v>
      </c>
      <c r="D923" s="140" t="s">
        <v>9474</v>
      </c>
      <c r="E923" s="141" t="s">
        <v>8081</v>
      </c>
      <c r="F923" s="142" t="s">
        <v>9301</v>
      </c>
      <c r="G923" s="143">
        <v>127.88</v>
      </c>
      <c r="H923" s="144" t="s">
        <v>730</v>
      </c>
      <c r="I923" s="145"/>
      <c r="J923" s="145"/>
      <c r="K923" s="146">
        <v>127.88</v>
      </c>
    </row>
    <row r="924" spans="1:11" s="147" customFormat="1" ht="11.25" customHeight="1" x14ac:dyDescent="0.2">
      <c r="A924" s="795" t="s">
        <v>9035</v>
      </c>
      <c r="B924" s="138" t="s">
        <v>9469</v>
      </c>
      <c r="C924" s="139" t="s">
        <v>9479</v>
      </c>
      <c r="D924" s="140" t="s">
        <v>9480</v>
      </c>
      <c r="E924" s="141" t="s">
        <v>8123</v>
      </c>
      <c r="F924" s="142" t="s">
        <v>9301</v>
      </c>
      <c r="G924" s="143">
        <v>131.16</v>
      </c>
      <c r="H924" s="144" t="s">
        <v>730</v>
      </c>
      <c r="I924" s="145"/>
      <c r="J924" s="145"/>
      <c r="K924" s="146">
        <v>131.16</v>
      </c>
    </row>
    <row r="925" spans="1:11" s="147" customFormat="1" ht="11.25" customHeight="1" x14ac:dyDescent="0.2">
      <c r="A925" s="795" t="s">
        <v>9035</v>
      </c>
      <c r="B925" s="138" t="s">
        <v>9469</v>
      </c>
      <c r="C925" s="139" t="s">
        <v>9475</v>
      </c>
      <c r="D925" s="140" t="s">
        <v>9478</v>
      </c>
      <c r="E925" s="141" t="s">
        <v>8123</v>
      </c>
      <c r="F925" s="142" t="s">
        <v>8976</v>
      </c>
      <c r="G925" s="143">
        <v>135.49</v>
      </c>
      <c r="H925" s="144" t="s">
        <v>730</v>
      </c>
      <c r="I925" s="145"/>
      <c r="J925" s="145"/>
      <c r="K925" s="146">
        <v>135.49</v>
      </c>
    </row>
    <row r="926" spans="1:11" s="147" customFormat="1" ht="11.25" customHeight="1" x14ac:dyDescent="0.2">
      <c r="A926" s="795" t="s">
        <v>8973</v>
      </c>
      <c r="B926" s="138" t="s">
        <v>9469</v>
      </c>
      <c r="C926" s="139" t="s">
        <v>9470</v>
      </c>
      <c r="D926" s="140" t="s">
        <v>9482</v>
      </c>
      <c r="E926" s="141" t="s">
        <v>8081</v>
      </c>
      <c r="F926" s="142" t="s">
        <v>9301</v>
      </c>
      <c r="G926" s="143">
        <v>139.19999999999999</v>
      </c>
      <c r="H926" s="144" t="s">
        <v>730</v>
      </c>
      <c r="I926" s="145"/>
      <c r="J926" s="145"/>
      <c r="K926" s="146">
        <v>139.19999999999999</v>
      </c>
    </row>
    <row r="927" spans="1:11" s="147" customFormat="1" ht="11.25" customHeight="1" x14ac:dyDescent="0.2">
      <c r="A927" s="795" t="s">
        <v>9035</v>
      </c>
      <c r="B927" s="138" t="s">
        <v>9469</v>
      </c>
      <c r="C927" s="139" t="s">
        <v>9475</v>
      </c>
      <c r="D927" s="140" t="s">
        <v>9476</v>
      </c>
      <c r="E927" s="141" t="s">
        <v>8123</v>
      </c>
      <c r="F927" s="142" t="s">
        <v>8976</v>
      </c>
      <c r="G927" s="143">
        <v>146</v>
      </c>
      <c r="H927" s="144" t="s">
        <v>730</v>
      </c>
      <c r="I927" s="145"/>
      <c r="J927" s="145"/>
      <c r="K927" s="146">
        <v>146</v>
      </c>
    </row>
    <row r="928" spans="1:11" s="147" customFormat="1" ht="11.25" customHeight="1" x14ac:dyDescent="0.2">
      <c r="A928" s="795" t="s">
        <v>9035</v>
      </c>
      <c r="B928" s="138" t="s">
        <v>9469</v>
      </c>
      <c r="C928" s="139" t="s">
        <v>9483</v>
      </c>
      <c r="D928" s="140" t="s">
        <v>9484</v>
      </c>
      <c r="E928" s="141" t="s">
        <v>8123</v>
      </c>
      <c r="F928" s="142" t="s">
        <v>8976</v>
      </c>
      <c r="G928" s="143">
        <v>146</v>
      </c>
      <c r="H928" s="144" t="s">
        <v>730</v>
      </c>
      <c r="I928" s="145"/>
      <c r="J928" s="145"/>
      <c r="K928" s="146">
        <v>146</v>
      </c>
    </row>
    <row r="929" spans="1:11" s="147" customFormat="1" ht="11.25" customHeight="1" x14ac:dyDescent="0.2">
      <c r="A929" s="795" t="s">
        <v>9035</v>
      </c>
      <c r="B929" s="138" t="s">
        <v>9469</v>
      </c>
      <c r="C929" s="139" t="s">
        <v>9475</v>
      </c>
      <c r="D929" s="140" t="s">
        <v>9485</v>
      </c>
      <c r="E929" s="141" t="s">
        <v>8123</v>
      </c>
      <c r="F929" s="142" t="s">
        <v>8976</v>
      </c>
      <c r="G929" s="143">
        <v>146</v>
      </c>
      <c r="H929" s="144" t="s">
        <v>730</v>
      </c>
      <c r="I929" s="145"/>
      <c r="J929" s="145"/>
      <c r="K929" s="146">
        <v>146</v>
      </c>
    </row>
    <row r="930" spans="1:11" s="147" customFormat="1" ht="11.25" customHeight="1" x14ac:dyDescent="0.2">
      <c r="A930" s="795" t="s">
        <v>9035</v>
      </c>
      <c r="B930" s="138" t="s">
        <v>9469</v>
      </c>
      <c r="C930" s="139" t="s">
        <v>9479</v>
      </c>
      <c r="D930" s="140" t="s">
        <v>9480</v>
      </c>
      <c r="E930" s="141" t="s">
        <v>8123</v>
      </c>
      <c r="F930" s="142" t="s">
        <v>9301</v>
      </c>
      <c r="G930" s="143">
        <v>146</v>
      </c>
      <c r="H930" s="144" t="s">
        <v>730</v>
      </c>
      <c r="I930" s="145"/>
      <c r="J930" s="145"/>
      <c r="K930" s="146">
        <v>146</v>
      </c>
    </row>
    <row r="931" spans="1:11" s="147" customFormat="1" ht="11.25" customHeight="1" x14ac:dyDescent="0.2">
      <c r="A931" s="795" t="s">
        <v>8973</v>
      </c>
      <c r="B931" s="138" t="s">
        <v>9469</v>
      </c>
      <c r="C931" s="139" t="s">
        <v>9470</v>
      </c>
      <c r="D931" s="140" t="s">
        <v>9488</v>
      </c>
      <c r="E931" s="141" t="s">
        <v>8081</v>
      </c>
      <c r="F931" s="142" t="s">
        <v>8976</v>
      </c>
      <c r="G931" s="143">
        <v>153.28</v>
      </c>
      <c r="H931" s="144" t="s">
        <v>730</v>
      </c>
      <c r="I931" s="145"/>
      <c r="J931" s="145"/>
      <c r="K931" s="146">
        <v>153.28</v>
      </c>
    </row>
    <row r="932" spans="1:11" s="147" customFormat="1" ht="11.25" customHeight="1" x14ac:dyDescent="0.2">
      <c r="A932" s="795" t="s">
        <v>8973</v>
      </c>
      <c r="B932" s="138" t="s">
        <v>9469</v>
      </c>
      <c r="C932" s="139" t="s">
        <v>9470</v>
      </c>
      <c r="D932" s="140" t="s">
        <v>9482</v>
      </c>
      <c r="E932" s="141" t="s">
        <v>8081</v>
      </c>
      <c r="F932" s="142" t="s">
        <v>9301</v>
      </c>
      <c r="G932" s="143">
        <v>160.08000000000001</v>
      </c>
      <c r="H932" s="144" t="s">
        <v>730</v>
      </c>
      <c r="I932" s="145"/>
      <c r="J932" s="145"/>
      <c r="K932" s="146">
        <v>160.08000000000001</v>
      </c>
    </row>
    <row r="933" spans="1:11" s="147" customFormat="1" ht="11.25" customHeight="1" x14ac:dyDescent="0.2">
      <c r="A933" s="795" t="s">
        <v>9035</v>
      </c>
      <c r="B933" s="138" t="s">
        <v>9469</v>
      </c>
      <c r="C933" s="139" t="s">
        <v>9475</v>
      </c>
      <c r="D933" s="140" t="s">
        <v>9476</v>
      </c>
      <c r="E933" s="141" t="s">
        <v>8123</v>
      </c>
      <c r="F933" s="142" t="s">
        <v>8976</v>
      </c>
      <c r="G933" s="143">
        <v>172.77</v>
      </c>
      <c r="H933" s="144" t="s">
        <v>730</v>
      </c>
      <c r="I933" s="145"/>
      <c r="J933" s="145"/>
      <c r="K933" s="146">
        <v>172.77</v>
      </c>
    </row>
    <row r="934" spans="1:11" s="147" customFormat="1" ht="11.25" customHeight="1" x14ac:dyDescent="0.2">
      <c r="A934" s="795" t="s">
        <v>8973</v>
      </c>
      <c r="B934" s="138" t="s">
        <v>9469</v>
      </c>
      <c r="C934" s="139" t="s">
        <v>9470</v>
      </c>
      <c r="D934" s="140" t="s">
        <v>9488</v>
      </c>
      <c r="E934" s="141" t="s">
        <v>8081</v>
      </c>
      <c r="F934" s="142" t="s">
        <v>8976</v>
      </c>
      <c r="G934" s="143">
        <v>175.02</v>
      </c>
      <c r="H934" s="144" t="s">
        <v>730</v>
      </c>
      <c r="I934" s="145"/>
      <c r="J934" s="145"/>
      <c r="K934" s="146">
        <v>175.02</v>
      </c>
    </row>
    <row r="935" spans="1:11" s="147" customFormat="1" ht="11.25" customHeight="1" x14ac:dyDescent="0.2">
      <c r="A935" s="795" t="s">
        <v>9035</v>
      </c>
      <c r="B935" s="138" t="s">
        <v>9469</v>
      </c>
      <c r="C935" s="139" t="s">
        <v>9475</v>
      </c>
      <c r="D935" s="140" t="s">
        <v>9481</v>
      </c>
      <c r="E935" s="141" t="s">
        <v>8123</v>
      </c>
      <c r="F935" s="142" t="s">
        <v>9258</v>
      </c>
      <c r="G935" s="143">
        <v>181.71</v>
      </c>
      <c r="H935" s="144" t="s">
        <v>730</v>
      </c>
      <c r="I935" s="145"/>
      <c r="J935" s="145"/>
      <c r="K935" s="146">
        <v>181.71</v>
      </c>
    </row>
    <row r="936" spans="1:11" s="147" customFormat="1" ht="11.25" customHeight="1" x14ac:dyDescent="0.2">
      <c r="A936" s="795" t="s">
        <v>8973</v>
      </c>
      <c r="B936" s="138" t="s">
        <v>9469</v>
      </c>
      <c r="C936" s="139" t="s">
        <v>9470</v>
      </c>
      <c r="D936" s="140" t="s">
        <v>9477</v>
      </c>
      <c r="E936" s="141" t="s">
        <v>8081</v>
      </c>
      <c r="F936" s="142" t="s">
        <v>8976</v>
      </c>
      <c r="G936" s="143">
        <v>182.7</v>
      </c>
      <c r="H936" s="144" t="s">
        <v>730</v>
      </c>
      <c r="I936" s="145"/>
      <c r="J936" s="145"/>
      <c r="K936" s="146">
        <v>182.7</v>
      </c>
    </row>
    <row r="937" spans="1:11" s="147" customFormat="1" ht="11.25" customHeight="1" x14ac:dyDescent="0.2">
      <c r="A937" s="795" t="s">
        <v>9035</v>
      </c>
      <c r="B937" s="138" t="s">
        <v>9469</v>
      </c>
      <c r="C937" s="139" t="s">
        <v>9475</v>
      </c>
      <c r="D937" s="140" t="s">
        <v>9481</v>
      </c>
      <c r="E937" s="141" t="s">
        <v>8123</v>
      </c>
      <c r="F937" s="142" t="s">
        <v>9258</v>
      </c>
      <c r="G937" s="143">
        <v>197.48</v>
      </c>
      <c r="H937" s="144" t="s">
        <v>730</v>
      </c>
      <c r="I937" s="145"/>
      <c r="J937" s="145"/>
      <c r="K937" s="146">
        <v>197.48</v>
      </c>
    </row>
    <row r="938" spans="1:11" s="147" customFormat="1" ht="11.25" customHeight="1" x14ac:dyDescent="0.2">
      <c r="A938" s="795" t="s">
        <v>9035</v>
      </c>
      <c r="B938" s="138" t="s">
        <v>9469</v>
      </c>
      <c r="C938" s="139" t="s">
        <v>9483</v>
      </c>
      <c r="D938" s="140" t="s">
        <v>9484</v>
      </c>
      <c r="E938" s="141" t="s">
        <v>8123</v>
      </c>
      <c r="F938" s="142" t="s">
        <v>8976</v>
      </c>
      <c r="G938" s="143">
        <v>199.54</v>
      </c>
      <c r="H938" s="144" t="s">
        <v>730</v>
      </c>
      <c r="I938" s="145"/>
      <c r="J938" s="145"/>
      <c r="K938" s="146">
        <v>199.54</v>
      </c>
    </row>
    <row r="939" spans="1:11" s="147" customFormat="1" ht="11.25" customHeight="1" x14ac:dyDescent="0.2">
      <c r="A939" s="795" t="s">
        <v>8973</v>
      </c>
      <c r="B939" s="138" t="s">
        <v>9469</v>
      </c>
      <c r="C939" s="139" t="s">
        <v>9470</v>
      </c>
      <c r="D939" s="140" t="s">
        <v>9477</v>
      </c>
      <c r="E939" s="141" t="s">
        <v>8081</v>
      </c>
      <c r="F939" s="142" t="s">
        <v>8976</v>
      </c>
      <c r="G939" s="143">
        <v>278.86</v>
      </c>
      <c r="H939" s="144" t="s">
        <v>730</v>
      </c>
      <c r="I939" s="145"/>
      <c r="J939" s="145"/>
      <c r="K939" s="146">
        <v>278.86</v>
      </c>
    </row>
    <row r="940" spans="1:11" s="147" customFormat="1" ht="11.25" customHeight="1" x14ac:dyDescent="0.2">
      <c r="A940" s="795" t="s">
        <v>8973</v>
      </c>
      <c r="B940" s="138" t="s">
        <v>9469</v>
      </c>
      <c r="C940" s="139" t="s">
        <v>9470</v>
      </c>
      <c r="D940" s="140" t="s">
        <v>9482</v>
      </c>
      <c r="E940" s="141" t="s">
        <v>8081</v>
      </c>
      <c r="F940" s="142" t="s">
        <v>9301</v>
      </c>
      <c r="G940" s="143">
        <v>284.11</v>
      </c>
      <c r="H940" s="144" t="s">
        <v>730</v>
      </c>
      <c r="I940" s="145"/>
      <c r="J940" s="145"/>
      <c r="K940" s="146">
        <v>284.11</v>
      </c>
    </row>
    <row r="941" spans="1:11" s="147" customFormat="1" ht="11.25" customHeight="1" x14ac:dyDescent="0.2">
      <c r="A941" s="795" t="s">
        <v>8973</v>
      </c>
      <c r="B941" s="138" t="s">
        <v>9469</v>
      </c>
      <c r="C941" s="139" t="s">
        <v>9472</v>
      </c>
      <c r="D941" s="140" t="s">
        <v>9473</v>
      </c>
      <c r="E941" s="141" t="s">
        <v>8081</v>
      </c>
      <c r="F941" s="142" t="s">
        <v>9301</v>
      </c>
      <c r="G941" s="143">
        <v>290.27999999999997</v>
      </c>
      <c r="H941" s="144" t="s">
        <v>730</v>
      </c>
      <c r="I941" s="145"/>
      <c r="J941" s="145"/>
      <c r="K941" s="146">
        <v>290.27999999999997</v>
      </c>
    </row>
    <row r="942" spans="1:11" s="147" customFormat="1" ht="11.25" customHeight="1" x14ac:dyDescent="0.2">
      <c r="A942" s="795" t="s">
        <v>9035</v>
      </c>
      <c r="B942" s="138" t="s">
        <v>9469</v>
      </c>
      <c r="C942" s="139" t="s">
        <v>9475</v>
      </c>
      <c r="D942" s="140" t="s">
        <v>9481</v>
      </c>
      <c r="E942" s="141" t="s">
        <v>8123</v>
      </c>
      <c r="F942" s="142" t="s">
        <v>9258</v>
      </c>
      <c r="G942" s="143">
        <v>316.10000000000002</v>
      </c>
      <c r="H942" s="144" t="s">
        <v>730</v>
      </c>
      <c r="I942" s="145"/>
      <c r="J942" s="145"/>
      <c r="K942" s="146">
        <v>316.10000000000002</v>
      </c>
    </row>
    <row r="943" spans="1:11" s="147" customFormat="1" ht="11.25" customHeight="1" x14ac:dyDescent="0.2">
      <c r="A943" s="795" t="s">
        <v>9035</v>
      </c>
      <c r="B943" s="138" t="s">
        <v>9469</v>
      </c>
      <c r="C943" s="139" t="s">
        <v>9475</v>
      </c>
      <c r="D943" s="140" t="s">
        <v>9481</v>
      </c>
      <c r="E943" s="141" t="s">
        <v>8123</v>
      </c>
      <c r="F943" s="142" t="s">
        <v>9258</v>
      </c>
      <c r="G943" s="143">
        <v>361.08</v>
      </c>
      <c r="H943" s="144" t="s">
        <v>730</v>
      </c>
      <c r="I943" s="145"/>
      <c r="J943" s="145"/>
      <c r="K943" s="146">
        <v>361.08</v>
      </c>
    </row>
    <row r="944" spans="1:11" s="147" customFormat="1" ht="11.25" customHeight="1" x14ac:dyDescent="0.2">
      <c r="A944" s="795" t="s">
        <v>8973</v>
      </c>
      <c r="B944" s="138" t="s">
        <v>9469</v>
      </c>
      <c r="C944" s="139" t="s">
        <v>9470</v>
      </c>
      <c r="D944" s="140" t="s">
        <v>9482</v>
      </c>
      <c r="E944" s="141" t="s">
        <v>8081</v>
      </c>
      <c r="F944" s="142" t="s">
        <v>9301</v>
      </c>
      <c r="G944" s="143">
        <v>362.85</v>
      </c>
      <c r="H944" s="144" t="s">
        <v>730</v>
      </c>
      <c r="I944" s="145"/>
      <c r="J944" s="145"/>
      <c r="K944" s="146">
        <v>362.85</v>
      </c>
    </row>
    <row r="945" spans="1:11" s="147" customFormat="1" ht="11.25" customHeight="1" x14ac:dyDescent="0.2">
      <c r="A945" s="795" t="s">
        <v>8973</v>
      </c>
      <c r="B945" s="138" t="s">
        <v>9469</v>
      </c>
      <c r="C945" s="139" t="s">
        <v>9470</v>
      </c>
      <c r="D945" s="140" t="s">
        <v>9488</v>
      </c>
      <c r="E945" s="141" t="s">
        <v>8081</v>
      </c>
      <c r="F945" s="142" t="s">
        <v>8976</v>
      </c>
      <c r="G945" s="143">
        <v>404.56</v>
      </c>
      <c r="H945" s="144" t="s">
        <v>730</v>
      </c>
      <c r="I945" s="145"/>
      <c r="J945" s="145"/>
      <c r="K945" s="146">
        <v>404.56</v>
      </c>
    </row>
    <row r="946" spans="1:11" s="147" customFormat="1" ht="11.25" customHeight="1" x14ac:dyDescent="0.2">
      <c r="A946" s="795" t="s">
        <v>8973</v>
      </c>
      <c r="B946" s="138" t="s">
        <v>9469</v>
      </c>
      <c r="C946" s="139" t="s">
        <v>9472</v>
      </c>
      <c r="D946" s="140" t="s">
        <v>9474</v>
      </c>
      <c r="E946" s="141" t="s">
        <v>8081</v>
      </c>
      <c r="F946" s="142" t="s">
        <v>9301</v>
      </c>
      <c r="G946" s="143">
        <v>420.38</v>
      </c>
      <c r="H946" s="144" t="s">
        <v>730</v>
      </c>
      <c r="I946" s="145"/>
      <c r="J946" s="145"/>
      <c r="K946" s="146">
        <v>420.38</v>
      </c>
    </row>
    <row r="947" spans="1:11" s="147" customFormat="1" ht="11.25" customHeight="1" x14ac:dyDescent="0.2">
      <c r="A947" s="795" t="s">
        <v>9035</v>
      </c>
      <c r="B947" s="138" t="s">
        <v>9469</v>
      </c>
      <c r="C947" s="139" t="s">
        <v>9475</v>
      </c>
      <c r="D947" s="140" t="s">
        <v>9481</v>
      </c>
      <c r="E947" s="141" t="s">
        <v>8123</v>
      </c>
      <c r="F947" s="142" t="s">
        <v>9258</v>
      </c>
      <c r="G947" s="143">
        <v>434.07</v>
      </c>
      <c r="H947" s="144" t="s">
        <v>730</v>
      </c>
      <c r="I947" s="145"/>
      <c r="J947" s="145"/>
      <c r="K947" s="146">
        <v>434.07</v>
      </c>
    </row>
    <row r="948" spans="1:11" s="147" customFormat="1" ht="11.25" customHeight="1" x14ac:dyDescent="0.2">
      <c r="A948" s="795" t="s">
        <v>9035</v>
      </c>
      <c r="B948" s="138" t="s">
        <v>9469</v>
      </c>
      <c r="C948" s="139" t="s">
        <v>9483</v>
      </c>
      <c r="D948" s="140" t="s">
        <v>9484</v>
      </c>
      <c r="E948" s="141" t="s">
        <v>8123</v>
      </c>
      <c r="F948" s="142" t="s">
        <v>8976</v>
      </c>
      <c r="G948" s="143">
        <v>434.1</v>
      </c>
      <c r="H948" s="144" t="s">
        <v>730</v>
      </c>
      <c r="I948" s="145"/>
      <c r="J948" s="145"/>
      <c r="K948" s="146">
        <v>434.1</v>
      </c>
    </row>
    <row r="949" spans="1:11" s="147" customFormat="1" ht="11.25" customHeight="1" x14ac:dyDescent="0.2">
      <c r="A949" s="795" t="s">
        <v>9035</v>
      </c>
      <c r="B949" s="138" t="s">
        <v>9469</v>
      </c>
      <c r="C949" s="139" t="s">
        <v>9475</v>
      </c>
      <c r="D949" s="140" t="s">
        <v>9478</v>
      </c>
      <c r="E949" s="141" t="s">
        <v>8123</v>
      </c>
      <c r="F949" s="142" t="s">
        <v>8976</v>
      </c>
      <c r="G949" s="143">
        <v>437.99</v>
      </c>
      <c r="H949" s="144" t="s">
        <v>730</v>
      </c>
      <c r="I949" s="145"/>
      <c r="J949" s="145"/>
      <c r="K949" s="146">
        <v>437.99</v>
      </c>
    </row>
    <row r="950" spans="1:11" s="147" customFormat="1" ht="11.25" customHeight="1" x14ac:dyDescent="0.2">
      <c r="A950" s="795" t="s">
        <v>9035</v>
      </c>
      <c r="B950" s="138" t="s">
        <v>9469</v>
      </c>
      <c r="C950" s="139" t="s">
        <v>9475</v>
      </c>
      <c r="D950" s="140" t="s">
        <v>9481</v>
      </c>
      <c r="E950" s="141" t="s">
        <v>8123</v>
      </c>
      <c r="F950" s="142" t="s">
        <v>9258</v>
      </c>
      <c r="G950" s="143">
        <v>447.93</v>
      </c>
      <c r="H950" s="144" t="s">
        <v>730</v>
      </c>
      <c r="I950" s="145"/>
      <c r="J950" s="145"/>
      <c r="K950" s="146">
        <v>447.93</v>
      </c>
    </row>
    <row r="951" spans="1:11" s="147" customFormat="1" ht="11.25" customHeight="1" x14ac:dyDescent="0.2">
      <c r="A951" s="795" t="s">
        <v>9489</v>
      </c>
      <c r="B951" s="138" t="s">
        <v>9469</v>
      </c>
      <c r="C951" s="139" t="s">
        <v>9490</v>
      </c>
      <c r="D951" s="140" t="s">
        <v>9491</v>
      </c>
      <c r="E951" s="141" t="s">
        <v>9492</v>
      </c>
      <c r="F951" s="142" t="s">
        <v>8976</v>
      </c>
      <c r="G951" s="143">
        <v>464</v>
      </c>
      <c r="H951" s="144" t="s">
        <v>730</v>
      </c>
      <c r="I951" s="145"/>
      <c r="J951" s="145"/>
      <c r="K951" s="146">
        <v>464</v>
      </c>
    </row>
    <row r="952" spans="1:11" s="147" customFormat="1" ht="11.25" customHeight="1" x14ac:dyDescent="0.2">
      <c r="A952" s="795" t="s">
        <v>9035</v>
      </c>
      <c r="B952" s="138" t="s">
        <v>9469</v>
      </c>
      <c r="C952" s="139" t="s">
        <v>9475</v>
      </c>
      <c r="D952" s="140" t="s">
        <v>9476</v>
      </c>
      <c r="E952" s="141" t="s">
        <v>8123</v>
      </c>
      <c r="F952" s="142" t="s">
        <v>8976</v>
      </c>
      <c r="G952" s="143">
        <v>473.51</v>
      </c>
      <c r="H952" s="144" t="s">
        <v>730</v>
      </c>
      <c r="I952" s="145"/>
      <c r="J952" s="145"/>
      <c r="K952" s="146">
        <v>473.51</v>
      </c>
    </row>
    <row r="953" spans="1:11" s="147" customFormat="1" ht="11.25" customHeight="1" x14ac:dyDescent="0.2">
      <c r="A953" s="795" t="s">
        <v>9489</v>
      </c>
      <c r="B953" s="138" t="s">
        <v>9469</v>
      </c>
      <c r="C953" s="139" t="s">
        <v>9493</v>
      </c>
      <c r="D953" s="140" t="s">
        <v>9494</v>
      </c>
      <c r="E953" s="141" t="s">
        <v>9492</v>
      </c>
      <c r="F953" s="142" t="s">
        <v>8082</v>
      </c>
      <c r="G953" s="143">
        <v>481.4</v>
      </c>
      <c r="H953" s="144" t="s">
        <v>730</v>
      </c>
      <c r="I953" s="145"/>
      <c r="J953" s="145"/>
      <c r="K953" s="146">
        <v>481.4</v>
      </c>
    </row>
    <row r="954" spans="1:11" s="147" customFormat="1" ht="11.25" customHeight="1" x14ac:dyDescent="0.2">
      <c r="A954" s="795" t="s">
        <v>9489</v>
      </c>
      <c r="B954" s="138" t="s">
        <v>9469</v>
      </c>
      <c r="C954" s="139" t="s">
        <v>9493</v>
      </c>
      <c r="D954" s="140" t="s">
        <v>9495</v>
      </c>
      <c r="E954" s="141" t="s">
        <v>9492</v>
      </c>
      <c r="F954" s="142" t="s">
        <v>8118</v>
      </c>
      <c r="G954" s="143">
        <v>522</v>
      </c>
      <c r="H954" s="144" t="s">
        <v>730</v>
      </c>
      <c r="I954" s="145"/>
      <c r="J954" s="145"/>
      <c r="K954" s="146">
        <v>522</v>
      </c>
    </row>
    <row r="955" spans="1:11" s="147" customFormat="1" ht="11.25" customHeight="1" x14ac:dyDescent="0.2">
      <c r="A955" s="795" t="s">
        <v>9035</v>
      </c>
      <c r="B955" s="138" t="s">
        <v>9469</v>
      </c>
      <c r="C955" s="139" t="s">
        <v>9475</v>
      </c>
      <c r="D955" s="140" t="s">
        <v>9481</v>
      </c>
      <c r="E955" s="141" t="s">
        <v>8123</v>
      </c>
      <c r="F955" s="142" t="s">
        <v>9258</v>
      </c>
      <c r="G955" s="143">
        <v>595.89</v>
      </c>
      <c r="H955" s="144" t="s">
        <v>730</v>
      </c>
      <c r="I955" s="145"/>
      <c r="J955" s="145"/>
      <c r="K955" s="146">
        <v>595.89</v>
      </c>
    </row>
    <row r="956" spans="1:11" s="147" customFormat="1" ht="11.25" customHeight="1" x14ac:dyDescent="0.2">
      <c r="A956" s="795" t="s">
        <v>9035</v>
      </c>
      <c r="B956" s="138" t="s">
        <v>9469</v>
      </c>
      <c r="C956" s="139" t="s">
        <v>9475</v>
      </c>
      <c r="D956" s="140" t="s">
        <v>9476</v>
      </c>
      <c r="E956" s="141" t="s">
        <v>8123</v>
      </c>
      <c r="F956" s="142" t="s">
        <v>8976</v>
      </c>
      <c r="G956" s="143">
        <v>910.48</v>
      </c>
      <c r="H956" s="144" t="s">
        <v>730</v>
      </c>
      <c r="I956" s="145"/>
      <c r="J956" s="145"/>
      <c r="K956" s="146">
        <v>910.48</v>
      </c>
    </row>
    <row r="957" spans="1:11" s="147" customFormat="1" ht="11.25" customHeight="1" x14ac:dyDescent="0.2">
      <c r="A957" s="795" t="s">
        <v>9035</v>
      </c>
      <c r="B957" s="138" t="s">
        <v>9469</v>
      </c>
      <c r="C957" s="139" t="s">
        <v>9496</v>
      </c>
      <c r="D957" s="140" t="s">
        <v>9497</v>
      </c>
      <c r="E957" s="141" t="s">
        <v>8123</v>
      </c>
      <c r="F957" s="142" t="s">
        <v>8082</v>
      </c>
      <c r="G957" s="143">
        <v>934.94</v>
      </c>
      <c r="H957" s="144" t="s">
        <v>730</v>
      </c>
      <c r="I957" s="145"/>
      <c r="J957" s="145"/>
      <c r="K957" s="146">
        <v>934.94</v>
      </c>
    </row>
    <row r="958" spans="1:11" s="147" customFormat="1" ht="11.25" customHeight="1" x14ac:dyDescent="0.2">
      <c r="A958" s="795" t="s">
        <v>9489</v>
      </c>
      <c r="B958" s="138" t="s">
        <v>9469</v>
      </c>
      <c r="C958" s="139" t="s">
        <v>9490</v>
      </c>
      <c r="D958" s="140" t="s">
        <v>9491</v>
      </c>
      <c r="E958" s="141" t="s">
        <v>9492</v>
      </c>
      <c r="F958" s="142" t="s">
        <v>8976</v>
      </c>
      <c r="G958" s="143">
        <v>1044</v>
      </c>
      <c r="H958" s="144" t="s">
        <v>730</v>
      </c>
      <c r="I958" s="145"/>
      <c r="J958" s="145"/>
      <c r="K958" s="146">
        <v>1044</v>
      </c>
    </row>
    <row r="959" spans="1:11" s="147" customFormat="1" ht="11.25" customHeight="1" x14ac:dyDescent="0.2">
      <c r="A959" s="795" t="s">
        <v>9489</v>
      </c>
      <c r="B959" s="138" t="s">
        <v>9469</v>
      </c>
      <c r="C959" s="139" t="s">
        <v>9498</v>
      </c>
      <c r="D959" s="140" t="s">
        <v>9499</v>
      </c>
      <c r="E959" s="141" t="s">
        <v>9492</v>
      </c>
      <c r="F959" s="142" t="s">
        <v>8976</v>
      </c>
      <c r="G959" s="143">
        <v>1044</v>
      </c>
      <c r="H959" s="144" t="s">
        <v>730</v>
      </c>
      <c r="I959" s="145"/>
      <c r="J959" s="145"/>
      <c r="K959" s="146">
        <v>1044</v>
      </c>
    </row>
    <row r="960" spans="1:11" s="147" customFormat="1" ht="11.25" customHeight="1" x14ac:dyDescent="0.2">
      <c r="A960" s="795" t="s">
        <v>8973</v>
      </c>
      <c r="B960" s="138" t="s">
        <v>9469</v>
      </c>
      <c r="C960" s="139" t="s">
        <v>9470</v>
      </c>
      <c r="D960" s="140" t="s">
        <v>9471</v>
      </c>
      <c r="E960" s="141" t="s">
        <v>8081</v>
      </c>
      <c r="F960" s="142" t="s">
        <v>8118</v>
      </c>
      <c r="G960" s="143">
        <v>1414.27</v>
      </c>
      <c r="H960" s="144" t="s">
        <v>730</v>
      </c>
      <c r="I960" s="145"/>
      <c r="J960" s="145"/>
      <c r="K960" s="146">
        <v>1414.27</v>
      </c>
    </row>
    <row r="961" spans="1:11" s="147" customFormat="1" ht="11.25" customHeight="1" x14ac:dyDescent="0.2">
      <c r="A961" s="795" t="s">
        <v>9035</v>
      </c>
      <c r="B961" s="138" t="s">
        <v>9469</v>
      </c>
      <c r="C961" s="139" t="s">
        <v>9475</v>
      </c>
      <c r="D961" s="140" t="s">
        <v>9476</v>
      </c>
      <c r="E961" s="141" t="s">
        <v>8123</v>
      </c>
      <c r="F961" s="142" t="s">
        <v>8976</v>
      </c>
      <c r="G961" s="143">
        <v>1678.23</v>
      </c>
      <c r="H961" s="144" t="s">
        <v>730</v>
      </c>
      <c r="I961" s="145"/>
      <c r="J961" s="145"/>
      <c r="K961" s="146">
        <v>1678.23</v>
      </c>
    </row>
    <row r="962" spans="1:11" s="147" customFormat="1" ht="11.25" customHeight="1" x14ac:dyDescent="0.2">
      <c r="A962" s="795" t="s">
        <v>9313</v>
      </c>
      <c r="B962" s="138" t="s">
        <v>9469</v>
      </c>
      <c r="C962" s="139" t="s">
        <v>9500</v>
      </c>
      <c r="D962" s="140" t="s">
        <v>9501</v>
      </c>
      <c r="E962" s="141" t="s">
        <v>8175</v>
      </c>
      <c r="F962" s="142" t="s">
        <v>8133</v>
      </c>
      <c r="G962" s="143">
        <v>116</v>
      </c>
      <c r="H962" s="144" t="s">
        <v>730</v>
      </c>
      <c r="I962" s="145"/>
      <c r="J962" s="145"/>
      <c r="K962" s="146">
        <v>116</v>
      </c>
    </row>
    <row r="963" spans="1:11" s="147" customFormat="1" ht="11.25" customHeight="1" x14ac:dyDescent="0.2">
      <c r="A963" s="795" t="s">
        <v>9313</v>
      </c>
      <c r="B963" s="138" t="s">
        <v>9469</v>
      </c>
      <c r="C963" s="139" t="s">
        <v>9500</v>
      </c>
      <c r="D963" s="140" t="s">
        <v>9501</v>
      </c>
      <c r="E963" s="141" t="s">
        <v>8175</v>
      </c>
      <c r="F963" s="142" t="s">
        <v>8133</v>
      </c>
      <c r="G963" s="143">
        <v>174</v>
      </c>
      <c r="H963" s="144" t="s">
        <v>730</v>
      </c>
      <c r="I963" s="145"/>
      <c r="J963" s="145"/>
      <c r="K963" s="146">
        <v>174</v>
      </c>
    </row>
    <row r="964" spans="1:11" s="147" customFormat="1" ht="11.25" customHeight="1" x14ac:dyDescent="0.2">
      <c r="A964" s="795" t="s">
        <v>9313</v>
      </c>
      <c r="B964" s="138" t="s">
        <v>9469</v>
      </c>
      <c r="C964" s="139" t="s">
        <v>9500</v>
      </c>
      <c r="D964" s="140" t="s">
        <v>9502</v>
      </c>
      <c r="E964" s="141" t="s">
        <v>8175</v>
      </c>
      <c r="F964" s="142" t="s">
        <v>8171</v>
      </c>
      <c r="G964" s="143">
        <v>3480</v>
      </c>
      <c r="H964" s="144" t="s">
        <v>730</v>
      </c>
      <c r="I964" s="145"/>
      <c r="J964" s="145"/>
      <c r="K964" s="146">
        <v>3480</v>
      </c>
    </row>
    <row r="965" spans="1:11" s="147" customFormat="1" ht="11.25" customHeight="1" x14ac:dyDescent="0.2">
      <c r="A965" s="795" t="s">
        <v>9317</v>
      </c>
      <c r="B965" s="138" t="s">
        <v>9469</v>
      </c>
      <c r="C965" s="139" t="s">
        <v>9503</v>
      </c>
      <c r="D965" s="140" t="s">
        <v>9504</v>
      </c>
      <c r="E965" s="141" t="s">
        <v>9320</v>
      </c>
      <c r="F965" s="142" t="s">
        <v>9505</v>
      </c>
      <c r="G965" s="143">
        <v>92.22</v>
      </c>
      <c r="H965" s="144" t="s">
        <v>730</v>
      </c>
      <c r="I965" s="145"/>
      <c r="J965" s="145"/>
      <c r="K965" s="146">
        <v>92.22</v>
      </c>
    </row>
    <row r="966" spans="1:11" s="147" customFormat="1" ht="11.25" customHeight="1" x14ac:dyDescent="0.2">
      <c r="A966" s="795" t="s">
        <v>9317</v>
      </c>
      <c r="B966" s="138" t="s">
        <v>9469</v>
      </c>
      <c r="C966" s="139" t="s">
        <v>9503</v>
      </c>
      <c r="D966" s="140" t="s">
        <v>9504</v>
      </c>
      <c r="E966" s="141" t="s">
        <v>9320</v>
      </c>
      <c r="F966" s="142" t="s">
        <v>9505</v>
      </c>
      <c r="G966" s="143">
        <v>160.08000000000001</v>
      </c>
      <c r="H966" s="144" t="s">
        <v>730</v>
      </c>
      <c r="I966" s="145"/>
      <c r="J966" s="145"/>
      <c r="K966" s="146">
        <v>160.08000000000001</v>
      </c>
    </row>
    <row r="967" spans="1:11" s="147" customFormat="1" ht="11.25" customHeight="1" x14ac:dyDescent="0.2">
      <c r="A967" s="795" t="s">
        <v>9317</v>
      </c>
      <c r="B967" s="138" t="s">
        <v>9469</v>
      </c>
      <c r="C967" s="139" t="s">
        <v>9503</v>
      </c>
      <c r="D967" s="140" t="s">
        <v>9504</v>
      </c>
      <c r="E967" s="141" t="s">
        <v>9320</v>
      </c>
      <c r="F967" s="142" t="s">
        <v>9505</v>
      </c>
      <c r="G967" s="143">
        <v>345.1</v>
      </c>
      <c r="H967" s="144" t="s">
        <v>730</v>
      </c>
      <c r="I967" s="145"/>
      <c r="J967" s="145"/>
      <c r="K967" s="146">
        <v>345.1</v>
      </c>
    </row>
    <row r="968" spans="1:11" s="147" customFormat="1" ht="11.25" customHeight="1" x14ac:dyDescent="0.2">
      <c r="A968" s="795" t="s">
        <v>9506</v>
      </c>
      <c r="B968" s="138" t="s">
        <v>9469</v>
      </c>
      <c r="C968" s="139" t="s">
        <v>9507</v>
      </c>
      <c r="D968" s="140" t="s">
        <v>9508</v>
      </c>
      <c r="E968" s="141" t="s">
        <v>8152</v>
      </c>
      <c r="F968" s="142" t="s">
        <v>9509</v>
      </c>
      <c r="G968" s="143">
        <v>779.52</v>
      </c>
      <c r="H968" s="144" t="s">
        <v>730</v>
      </c>
      <c r="I968" s="145"/>
      <c r="J968" s="145"/>
      <c r="K968" s="146">
        <v>779.52</v>
      </c>
    </row>
    <row r="969" spans="1:11" s="147" customFormat="1" ht="11.25" customHeight="1" x14ac:dyDescent="0.2">
      <c r="A969" s="795" t="s">
        <v>9506</v>
      </c>
      <c r="B969" s="138" t="s">
        <v>9469</v>
      </c>
      <c r="C969" s="139" t="s">
        <v>9507</v>
      </c>
      <c r="D969" s="140" t="s">
        <v>9508</v>
      </c>
      <c r="E969" s="141" t="s">
        <v>8152</v>
      </c>
      <c r="F969" s="142" t="s">
        <v>9509</v>
      </c>
      <c r="G969" s="143">
        <v>779.52</v>
      </c>
      <c r="H969" s="144" t="s">
        <v>730</v>
      </c>
      <c r="I969" s="145"/>
      <c r="J969" s="145"/>
      <c r="K969" s="146">
        <v>779.52</v>
      </c>
    </row>
    <row r="970" spans="1:11" s="147" customFormat="1" ht="11.25" customHeight="1" x14ac:dyDescent="0.2">
      <c r="A970" s="795" t="s">
        <v>9506</v>
      </c>
      <c r="B970" s="138" t="s">
        <v>9469</v>
      </c>
      <c r="C970" s="139" t="s">
        <v>9507</v>
      </c>
      <c r="D970" s="140" t="s">
        <v>9220</v>
      </c>
      <c r="E970" s="141" t="s">
        <v>8152</v>
      </c>
      <c r="F970" s="142" t="s">
        <v>9510</v>
      </c>
      <c r="G970" s="143">
        <v>1740</v>
      </c>
      <c r="H970" s="144" t="s">
        <v>730</v>
      </c>
      <c r="I970" s="145"/>
      <c r="J970" s="145"/>
      <c r="K970" s="146">
        <v>1740</v>
      </c>
    </row>
    <row r="971" spans="1:11" s="147" customFormat="1" ht="11.25" customHeight="1" x14ac:dyDescent="0.2">
      <c r="A971" s="795" t="s">
        <v>9331</v>
      </c>
      <c r="B971" s="138" t="s">
        <v>9469</v>
      </c>
      <c r="C971" s="139" t="s">
        <v>9511</v>
      </c>
      <c r="D971" s="140" t="s">
        <v>8158</v>
      </c>
      <c r="E971" s="141" t="s">
        <v>9333</v>
      </c>
      <c r="F971" s="142" t="s">
        <v>9512</v>
      </c>
      <c r="G971" s="143">
        <v>4215.67</v>
      </c>
      <c r="H971" s="144" t="s">
        <v>730</v>
      </c>
      <c r="I971" s="145"/>
      <c r="J971" s="145"/>
      <c r="K971" s="146">
        <v>4215.67</v>
      </c>
    </row>
    <row r="972" spans="1:11" s="147" customFormat="1" ht="11.25" customHeight="1" x14ac:dyDescent="0.2">
      <c r="A972" s="795" t="s">
        <v>9331</v>
      </c>
      <c r="B972" s="138" t="s">
        <v>9469</v>
      </c>
      <c r="C972" s="139" t="s">
        <v>9511</v>
      </c>
      <c r="D972" s="140" t="s">
        <v>8158</v>
      </c>
      <c r="E972" s="141" t="s">
        <v>9333</v>
      </c>
      <c r="F972" s="142" t="s">
        <v>9512</v>
      </c>
      <c r="G972" s="143">
        <v>6241.38</v>
      </c>
      <c r="H972" s="144" t="s">
        <v>730</v>
      </c>
      <c r="I972" s="145"/>
      <c r="J972" s="145"/>
      <c r="K972" s="146">
        <v>6241.38</v>
      </c>
    </row>
    <row r="973" spans="1:11" s="147" customFormat="1" ht="11.25" customHeight="1" x14ac:dyDescent="0.2">
      <c r="A973" s="795" t="s">
        <v>9513</v>
      </c>
      <c r="B973" s="138" t="s">
        <v>9469</v>
      </c>
      <c r="C973" s="139" t="s">
        <v>9514</v>
      </c>
      <c r="D973" s="140" t="s">
        <v>9515</v>
      </c>
      <c r="E973" s="141" t="s">
        <v>8184</v>
      </c>
      <c r="F973" s="142" t="s">
        <v>9058</v>
      </c>
      <c r="G973" s="143">
        <v>487.2</v>
      </c>
      <c r="H973" s="144" t="s">
        <v>730</v>
      </c>
      <c r="I973" s="145"/>
      <c r="J973" s="145"/>
      <c r="K973" s="146">
        <v>487.2</v>
      </c>
    </row>
    <row r="974" spans="1:11" s="147" customFormat="1" ht="11.25" customHeight="1" x14ac:dyDescent="0.2">
      <c r="A974" s="795" t="s">
        <v>9513</v>
      </c>
      <c r="B974" s="138" t="s">
        <v>9469</v>
      </c>
      <c r="C974" s="139" t="s">
        <v>9514</v>
      </c>
      <c r="D974" s="140" t="s">
        <v>9516</v>
      </c>
      <c r="E974" s="141" t="s">
        <v>8184</v>
      </c>
      <c r="F974" s="142" t="s">
        <v>9058</v>
      </c>
      <c r="G974" s="143">
        <v>487.2</v>
      </c>
      <c r="H974" s="144" t="s">
        <v>730</v>
      </c>
      <c r="I974" s="145"/>
      <c r="J974" s="145"/>
      <c r="K974" s="146">
        <v>487.2</v>
      </c>
    </row>
    <row r="975" spans="1:11" s="147" customFormat="1" ht="11.25" customHeight="1" x14ac:dyDescent="0.2">
      <c r="A975" s="795" t="s">
        <v>9513</v>
      </c>
      <c r="B975" s="138" t="s">
        <v>9469</v>
      </c>
      <c r="C975" s="139" t="s">
        <v>9514</v>
      </c>
      <c r="D975" s="140" t="s">
        <v>9517</v>
      </c>
      <c r="E975" s="141" t="s">
        <v>8184</v>
      </c>
      <c r="F975" s="142" t="s">
        <v>9058</v>
      </c>
      <c r="G975" s="143">
        <v>487.2</v>
      </c>
      <c r="H975" s="144" t="s">
        <v>730</v>
      </c>
      <c r="I975" s="145"/>
      <c r="J975" s="145"/>
      <c r="K975" s="146">
        <v>487.2</v>
      </c>
    </row>
    <row r="976" spans="1:11" s="147" customFormat="1" ht="11.25" customHeight="1" x14ac:dyDescent="0.2">
      <c r="A976" s="795" t="s">
        <v>9513</v>
      </c>
      <c r="B976" s="138" t="s">
        <v>9469</v>
      </c>
      <c r="C976" s="139" t="s">
        <v>9514</v>
      </c>
      <c r="D976" s="140" t="s">
        <v>9518</v>
      </c>
      <c r="E976" s="141" t="s">
        <v>8184</v>
      </c>
      <c r="F976" s="142" t="s">
        <v>9058</v>
      </c>
      <c r="G976" s="143">
        <v>487.2</v>
      </c>
      <c r="H976" s="144" t="s">
        <v>730</v>
      </c>
      <c r="I976" s="145"/>
      <c r="J976" s="145"/>
      <c r="K976" s="146">
        <v>487.2</v>
      </c>
    </row>
    <row r="977" spans="1:11" s="147" customFormat="1" ht="11.25" customHeight="1" x14ac:dyDescent="0.2">
      <c r="A977" s="795" t="s">
        <v>9513</v>
      </c>
      <c r="B977" s="138" t="s">
        <v>9469</v>
      </c>
      <c r="C977" s="139" t="s">
        <v>9514</v>
      </c>
      <c r="D977" s="140" t="s">
        <v>9519</v>
      </c>
      <c r="E977" s="141" t="s">
        <v>8184</v>
      </c>
      <c r="F977" s="142" t="s">
        <v>9058</v>
      </c>
      <c r="G977" s="143">
        <v>487.2</v>
      </c>
      <c r="H977" s="144" t="s">
        <v>730</v>
      </c>
      <c r="I977" s="145"/>
      <c r="J977" s="145"/>
      <c r="K977" s="146">
        <v>487.2</v>
      </c>
    </row>
    <row r="978" spans="1:11" s="147" customFormat="1" ht="11.25" customHeight="1" x14ac:dyDescent="0.2">
      <c r="A978" s="795" t="s">
        <v>9513</v>
      </c>
      <c r="B978" s="138" t="s">
        <v>9469</v>
      </c>
      <c r="C978" s="139" t="s">
        <v>9514</v>
      </c>
      <c r="D978" s="140" t="s">
        <v>9520</v>
      </c>
      <c r="E978" s="141" t="s">
        <v>8184</v>
      </c>
      <c r="F978" s="142" t="s">
        <v>9058</v>
      </c>
      <c r="G978" s="143">
        <v>487.2</v>
      </c>
      <c r="H978" s="144" t="s">
        <v>730</v>
      </c>
      <c r="I978" s="145"/>
      <c r="J978" s="145"/>
      <c r="K978" s="146">
        <v>487.2</v>
      </c>
    </row>
    <row r="979" spans="1:11" s="147" customFormat="1" ht="11.25" customHeight="1" x14ac:dyDescent="0.2">
      <c r="A979" s="795" t="s">
        <v>9513</v>
      </c>
      <c r="B979" s="138" t="s">
        <v>9469</v>
      </c>
      <c r="C979" s="139" t="s">
        <v>9514</v>
      </c>
      <c r="D979" s="140" t="s">
        <v>9521</v>
      </c>
      <c r="E979" s="141" t="s">
        <v>8184</v>
      </c>
      <c r="F979" s="142" t="s">
        <v>9058</v>
      </c>
      <c r="G979" s="143">
        <v>487.2</v>
      </c>
      <c r="H979" s="144" t="s">
        <v>730</v>
      </c>
      <c r="I979" s="145"/>
      <c r="J979" s="145"/>
      <c r="K979" s="146">
        <v>487.2</v>
      </c>
    </row>
    <row r="980" spans="1:11" s="147" customFormat="1" ht="11.25" customHeight="1" x14ac:dyDescent="0.2">
      <c r="A980" s="795" t="s">
        <v>9513</v>
      </c>
      <c r="B980" s="138" t="s">
        <v>9469</v>
      </c>
      <c r="C980" s="139" t="s">
        <v>9514</v>
      </c>
      <c r="D980" s="140" t="s">
        <v>9522</v>
      </c>
      <c r="E980" s="141" t="s">
        <v>8184</v>
      </c>
      <c r="F980" s="142" t="s">
        <v>9058</v>
      </c>
      <c r="G980" s="143">
        <v>487.2</v>
      </c>
      <c r="H980" s="144" t="s">
        <v>730</v>
      </c>
      <c r="I980" s="145"/>
      <c r="J980" s="145"/>
      <c r="K980" s="146">
        <v>487.2</v>
      </c>
    </row>
    <row r="981" spans="1:11" s="147" customFormat="1" ht="11.25" customHeight="1" x14ac:dyDescent="0.2">
      <c r="A981" s="795" t="s">
        <v>9513</v>
      </c>
      <c r="B981" s="138" t="s">
        <v>9469</v>
      </c>
      <c r="C981" s="139" t="s">
        <v>9514</v>
      </c>
      <c r="D981" s="140" t="s">
        <v>9523</v>
      </c>
      <c r="E981" s="141" t="s">
        <v>8184</v>
      </c>
      <c r="F981" s="142" t="s">
        <v>9058</v>
      </c>
      <c r="G981" s="143">
        <v>2215.6</v>
      </c>
      <c r="H981" s="144" t="s">
        <v>730</v>
      </c>
      <c r="I981" s="145"/>
      <c r="J981" s="145"/>
      <c r="K981" s="146">
        <v>2215.6</v>
      </c>
    </row>
    <row r="982" spans="1:11" s="147" customFormat="1" ht="11.25" customHeight="1" x14ac:dyDescent="0.2">
      <c r="A982" s="795" t="s">
        <v>9513</v>
      </c>
      <c r="B982" s="138" t="s">
        <v>9469</v>
      </c>
      <c r="C982" s="139" t="s">
        <v>9514</v>
      </c>
      <c r="D982" s="140" t="s">
        <v>9524</v>
      </c>
      <c r="E982" s="141" t="s">
        <v>8184</v>
      </c>
      <c r="F982" s="142" t="s">
        <v>9058</v>
      </c>
      <c r="G982" s="143">
        <v>2215.6</v>
      </c>
      <c r="H982" s="144" t="s">
        <v>730</v>
      </c>
      <c r="I982" s="145"/>
      <c r="J982" s="145"/>
      <c r="K982" s="146">
        <v>2215.6</v>
      </c>
    </row>
    <row r="983" spans="1:11" s="147" customFormat="1" ht="11.25" customHeight="1" x14ac:dyDescent="0.2">
      <c r="A983" s="795" t="s">
        <v>9513</v>
      </c>
      <c r="B983" s="138" t="s">
        <v>9469</v>
      </c>
      <c r="C983" s="139" t="s">
        <v>9514</v>
      </c>
      <c r="D983" s="140" t="s">
        <v>9525</v>
      </c>
      <c r="E983" s="141" t="s">
        <v>8184</v>
      </c>
      <c r="F983" s="142" t="s">
        <v>9058</v>
      </c>
      <c r="G983" s="143">
        <v>2215.6</v>
      </c>
      <c r="H983" s="144" t="s">
        <v>730</v>
      </c>
      <c r="I983" s="145"/>
      <c r="J983" s="145"/>
      <c r="K983" s="146">
        <v>2215.6</v>
      </c>
    </row>
    <row r="984" spans="1:11" s="147" customFormat="1" ht="11.25" customHeight="1" x14ac:dyDescent="0.2">
      <c r="A984" s="795" t="s">
        <v>9513</v>
      </c>
      <c r="B984" s="138" t="s">
        <v>9469</v>
      </c>
      <c r="C984" s="139" t="s">
        <v>9514</v>
      </c>
      <c r="D984" s="140" t="s">
        <v>9526</v>
      </c>
      <c r="E984" s="141" t="s">
        <v>8184</v>
      </c>
      <c r="F984" s="142" t="s">
        <v>9058</v>
      </c>
      <c r="G984" s="143">
        <v>2215.6</v>
      </c>
      <c r="H984" s="144" t="s">
        <v>730</v>
      </c>
      <c r="I984" s="145"/>
      <c r="J984" s="145"/>
      <c r="K984" s="146">
        <v>2215.6</v>
      </c>
    </row>
    <row r="985" spans="1:11" s="147" customFormat="1" ht="11.25" customHeight="1" x14ac:dyDescent="0.2">
      <c r="A985" s="795" t="s">
        <v>9513</v>
      </c>
      <c r="B985" s="138" t="s">
        <v>9469</v>
      </c>
      <c r="C985" s="139" t="s">
        <v>9514</v>
      </c>
      <c r="D985" s="140" t="s">
        <v>9527</v>
      </c>
      <c r="E985" s="141" t="s">
        <v>8184</v>
      </c>
      <c r="F985" s="142" t="s">
        <v>9058</v>
      </c>
      <c r="G985" s="143">
        <v>2215.6</v>
      </c>
      <c r="H985" s="144" t="s">
        <v>730</v>
      </c>
      <c r="I985" s="145"/>
      <c r="J985" s="145"/>
      <c r="K985" s="146">
        <v>2215.6</v>
      </c>
    </row>
    <row r="986" spans="1:11" s="147" customFormat="1" ht="11.25" customHeight="1" x14ac:dyDescent="0.2">
      <c r="A986" s="795" t="s">
        <v>9513</v>
      </c>
      <c r="B986" s="138" t="s">
        <v>9469</v>
      </c>
      <c r="C986" s="139" t="s">
        <v>9514</v>
      </c>
      <c r="D986" s="140" t="s">
        <v>9528</v>
      </c>
      <c r="E986" s="141" t="s">
        <v>8184</v>
      </c>
      <c r="F986" s="142" t="s">
        <v>9058</v>
      </c>
      <c r="G986" s="143">
        <v>2215.6</v>
      </c>
      <c r="H986" s="144" t="s">
        <v>730</v>
      </c>
      <c r="I986" s="145"/>
      <c r="J986" s="145"/>
      <c r="K986" s="146">
        <v>2215.6</v>
      </c>
    </row>
    <row r="987" spans="1:11" s="147" customFormat="1" ht="11.25" customHeight="1" x14ac:dyDescent="0.2">
      <c r="A987" s="795" t="s">
        <v>9513</v>
      </c>
      <c r="B987" s="138" t="s">
        <v>9469</v>
      </c>
      <c r="C987" s="139" t="s">
        <v>9514</v>
      </c>
      <c r="D987" s="140" t="s">
        <v>9529</v>
      </c>
      <c r="E987" s="141" t="s">
        <v>8184</v>
      </c>
      <c r="F987" s="142" t="s">
        <v>9058</v>
      </c>
      <c r="G987" s="143">
        <v>2215.6</v>
      </c>
      <c r="H987" s="144" t="s">
        <v>730</v>
      </c>
      <c r="I987" s="145"/>
      <c r="J987" s="145"/>
      <c r="K987" s="146">
        <v>2215.6</v>
      </c>
    </row>
    <row r="988" spans="1:11" s="147" customFormat="1" ht="11.25" customHeight="1" x14ac:dyDescent="0.2">
      <c r="A988" s="795" t="s">
        <v>9513</v>
      </c>
      <c r="B988" s="138" t="s">
        <v>9469</v>
      </c>
      <c r="C988" s="139" t="s">
        <v>9514</v>
      </c>
      <c r="D988" s="140" t="s">
        <v>9530</v>
      </c>
      <c r="E988" s="141" t="s">
        <v>8184</v>
      </c>
      <c r="F988" s="142" t="s">
        <v>9058</v>
      </c>
      <c r="G988" s="143">
        <v>2215.6</v>
      </c>
      <c r="H988" s="144" t="s">
        <v>730</v>
      </c>
      <c r="I988" s="145"/>
      <c r="J988" s="145"/>
      <c r="K988" s="146">
        <v>2215.6</v>
      </c>
    </row>
    <row r="989" spans="1:11" s="147" customFormat="1" ht="11.25" customHeight="1" x14ac:dyDescent="0.2">
      <c r="A989" s="795" t="s">
        <v>9531</v>
      </c>
      <c r="B989" s="138" t="s">
        <v>9469</v>
      </c>
      <c r="C989" s="139" t="s">
        <v>9532</v>
      </c>
      <c r="D989" s="140" t="s">
        <v>9533</v>
      </c>
      <c r="E989" s="141" t="s">
        <v>9087</v>
      </c>
      <c r="F989" s="142" t="s">
        <v>8188</v>
      </c>
      <c r="G989" s="143">
        <v>2588.37</v>
      </c>
      <c r="H989" s="144" t="s">
        <v>730</v>
      </c>
      <c r="I989" s="145"/>
      <c r="J989" s="145"/>
      <c r="K989" s="146">
        <v>2588.37</v>
      </c>
    </row>
    <row r="990" spans="1:11" s="147" customFormat="1" ht="11.25" customHeight="1" x14ac:dyDescent="0.2">
      <c r="A990" s="795" t="s">
        <v>9534</v>
      </c>
      <c r="B990" s="138" t="s">
        <v>9469</v>
      </c>
      <c r="C990" s="139" t="s">
        <v>9535</v>
      </c>
      <c r="D990" s="140" t="s">
        <v>9536</v>
      </c>
      <c r="E990" s="141" t="s">
        <v>9537</v>
      </c>
      <c r="F990" s="142" t="s">
        <v>8094</v>
      </c>
      <c r="G990" s="143">
        <v>4620.05</v>
      </c>
      <c r="H990" s="144" t="s">
        <v>730</v>
      </c>
      <c r="I990" s="145"/>
      <c r="J990" s="145"/>
      <c r="K990" s="146">
        <v>4620.05</v>
      </c>
    </row>
    <row r="991" spans="1:11" s="147" customFormat="1" ht="11.25" customHeight="1" x14ac:dyDescent="0.2">
      <c r="A991" s="795" t="s">
        <v>9111</v>
      </c>
      <c r="B991" s="138" t="s">
        <v>9538</v>
      </c>
      <c r="C991" s="139" t="s">
        <v>9539</v>
      </c>
      <c r="D991" s="140" t="s">
        <v>9540</v>
      </c>
      <c r="E991" s="141" t="s">
        <v>2627</v>
      </c>
      <c r="F991" s="142" t="s">
        <v>9114</v>
      </c>
      <c r="G991" s="143">
        <v>71793.13</v>
      </c>
      <c r="H991" s="144" t="s">
        <v>730</v>
      </c>
      <c r="I991" s="145"/>
      <c r="J991" s="145"/>
      <c r="K991" s="146">
        <v>71793.13</v>
      </c>
    </row>
    <row r="992" spans="1:11" s="147" customFormat="1" ht="11.25" customHeight="1" x14ac:dyDescent="0.2">
      <c r="A992" s="795" t="s">
        <v>9541</v>
      </c>
      <c r="B992" s="138" t="s">
        <v>9542</v>
      </c>
      <c r="C992" s="139" t="s">
        <v>9543</v>
      </c>
      <c r="D992" s="140" t="s">
        <v>9544</v>
      </c>
      <c r="E992" s="141" t="s">
        <v>9545</v>
      </c>
      <c r="F992" s="142" t="s">
        <v>9546</v>
      </c>
      <c r="G992" s="143">
        <v>159999.99</v>
      </c>
      <c r="H992" s="144" t="s">
        <v>730</v>
      </c>
      <c r="I992" s="145"/>
      <c r="J992" s="145"/>
      <c r="K992" s="146">
        <v>159999.99</v>
      </c>
    </row>
    <row r="993" spans="1:11" s="147" customFormat="1" ht="11.25" customHeight="1" x14ac:dyDescent="0.2">
      <c r="A993" s="795" t="s">
        <v>9547</v>
      </c>
      <c r="B993" s="138" t="s">
        <v>9542</v>
      </c>
      <c r="C993" s="139" t="s">
        <v>8049</v>
      </c>
      <c r="D993" s="140" t="s">
        <v>9548</v>
      </c>
      <c r="E993" s="141" t="s">
        <v>9549</v>
      </c>
      <c r="F993" s="142" t="s">
        <v>9550</v>
      </c>
      <c r="G993" s="143">
        <v>335594.15</v>
      </c>
      <c r="H993" s="144" t="s">
        <v>730</v>
      </c>
      <c r="I993" s="145"/>
      <c r="J993" s="145"/>
      <c r="K993" s="146">
        <v>335594.15</v>
      </c>
    </row>
    <row r="994" spans="1:11" s="147" customFormat="1" ht="11.25" customHeight="1" x14ac:dyDescent="0.2">
      <c r="A994" s="795" t="s">
        <v>9551</v>
      </c>
      <c r="B994" s="138" t="s">
        <v>9542</v>
      </c>
      <c r="C994" s="139" t="s">
        <v>9552</v>
      </c>
      <c r="D994" s="140" t="s">
        <v>9553</v>
      </c>
      <c r="E994" s="141" t="s">
        <v>9554</v>
      </c>
      <c r="F994" s="142" t="s">
        <v>9555</v>
      </c>
      <c r="G994" s="143">
        <v>13250</v>
      </c>
      <c r="H994" s="144" t="s">
        <v>730</v>
      </c>
      <c r="I994" s="145"/>
      <c r="J994" s="145"/>
      <c r="K994" s="146">
        <v>13250</v>
      </c>
    </row>
    <row r="995" spans="1:11" s="147" customFormat="1" ht="11.25" customHeight="1" x14ac:dyDescent="0.2">
      <c r="A995" s="795" t="s">
        <v>9551</v>
      </c>
      <c r="B995" s="138" t="s">
        <v>9542</v>
      </c>
      <c r="C995" s="139" t="s">
        <v>9552</v>
      </c>
      <c r="D995" s="140" t="s">
        <v>9556</v>
      </c>
      <c r="E995" s="141" t="s">
        <v>9554</v>
      </c>
      <c r="F995" s="142" t="s">
        <v>9555</v>
      </c>
      <c r="G995" s="143">
        <v>14295</v>
      </c>
      <c r="H995" s="144" t="s">
        <v>730</v>
      </c>
      <c r="I995" s="145"/>
      <c r="J995" s="145"/>
      <c r="K995" s="146">
        <v>14295</v>
      </c>
    </row>
    <row r="996" spans="1:11" s="147" customFormat="1" ht="11.25" customHeight="1" x14ac:dyDescent="0.2">
      <c r="A996" s="795" t="s">
        <v>9551</v>
      </c>
      <c r="B996" s="138" t="s">
        <v>9542</v>
      </c>
      <c r="C996" s="139" t="s">
        <v>9552</v>
      </c>
      <c r="D996" s="140" t="s">
        <v>9557</v>
      </c>
      <c r="E996" s="141" t="s">
        <v>9554</v>
      </c>
      <c r="F996" s="142" t="s">
        <v>9555</v>
      </c>
      <c r="G996" s="143">
        <v>23445</v>
      </c>
      <c r="H996" s="144" t="s">
        <v>730</v>
      </c>
      <c r="I996" s="145"/>
      <c r="J996" s="145"/>
      <c r="K996" s="146">
        <v>23445</v>
      </c>
    </row>
    <row r="997" spans="1:11" s="147" customFormat="1" ht="11.25" customHeight="1" x14ac:dyDescent="0.2">
      <c r="A997" s="795" t="s">
        <v>9313</v>
      </c>
      <c r="B997" s="138" t="s">
        <v>9542</v>
      </c>
      <c r="C997" s="139" t="s">
        <v>8195</v>
      </c>
      <c r="D997" s="140" t="s">
        <v>9558</v>
      </c>
      <c r="E997" s="141" t="s">
        <v>8175</v>
      </c>
      <c r="F997" s="142" t="s">
        <v>8133</v>
      </c>
      <c r="G997" s="143">
        <v>510.4</v>
      </c>
      <c r="H997" s="144" t="s">
        <v>730</v>
      </c>
      <c r="I997" s="145"/>
      <c r="J997" s="145"/>
      <c r="K997" s="146">
        <v>510.4</v>
      </c>
    </row>
    <row r="998" spans="1:11" s="147" customFormat="1" ht="11.25" customHeight="1" x14ac:dyDescent="0.2">
      <c r="A998" s="795" t="s">
        <v>9313</v>
      </c>
      <c r="B998" s="138" t="s">
        <v>9542</v>
      </c>
      <c r="C998" s="139" t="s">
        <v>8195</v>
      </c>
      <c r="D998" s="140" t="s">
        <v>9559</v>
      </c>
      <c r="E998" s="141" t="s">
        <v>8175</v>
      </c>
      <c r="F998" s="142" t="s">
        <v>8133</v>
      </c>
      <c r="G998" s="143">
        <v>1392</v>
      </c>
      <c r="H998" s="144" t="s">
        <v>730</v>
      </c>
      <c r="I998" s="145"/>
      <c r="J998" s="145"/>
      <c r="K998" s="146">
        <v>1392</v>
      </c>
    </row>
    <row r="999" spans="1:11" s="147" customFormat="1" ht="11.25" customHeight="1" x14ac:dyDescent="0.2">
      <c r="A999" s="795" t="s">
        <v>9313</v>
      </c>
      <c r="B999" s="138" t="s">
        <v>9542</v>
      </c>
      <c r="C999" s="139" t="s">
        <v>8195</v>
      </c>
      <c r="D999" s="140" t="s">
        <v>9560</v>
      </c>
      <c r="E999" s="141" t="s">
        <v>8175</v>
      </c>
      <c r="F999" s="142" t="s">
        <v>8133</v>
      </c>
      <c r="G999" s="143">
        <v>1879.2</v>
      </c>
      <c r="H999" s="144" t="s">
        <v>730</v>
      </c>
      <c r="I999" s="145"/>
      <c r="J999" s="145"/>
      <c r="K999" s="146">
        <v>1879.2</v>
      </c>
    </row>
    <row r="1000" spans="1:11" s="147" customFormat="1" ht="11.25" customHeight="1" x14ac:dyDescent="0.2">
      <c r="A1000" s="795" t="s">
        <v>9313</v>
      </c>
      <c r="B1000" s="138" t="s">
        <v>9542</v>
      </c>
      <c r="C1000" s="139" t="s">
        <v>8195</v>
      </c>
      <c r="D1000" s="140" t="s">
        <v>9561</v>
      </c>
      <c r="E1000" s="141" t="s">
        <v>8175</v>
      </c>
      <c r="F1000" s="142" t="s">
        <v>8133</v>
      </c>
      <c r="G1000" s="143">
        <v>3654</v>
      </c>
      <c r="H1000" s="144" t="s">
        <v>730</v>
      </c>
      <c r="I1000" s="145"/>
      <c r="J1000" s="145"/>
      <c r="K1000" s="146">
        <v>3654</v>
      </c>
    </row>
    <row r="1001" spans="1:11" s="147" customFormat="1" ht="11.25" customHeight="1" x14ac:dyDescent="0.2">
      <c r="A1001" s="795" t="s">
        <v>9313</v>
      </c>
      <c r="B1001" s="138" t="s">
        <v>9542</v>
      </c>
      <c r="C1001" s="139" t="s">
        <v>8195</v>
      </c>
      <c r="D1001" s="140" t="s">
        <v>9561</v>
      </c>
      <c r="E1001" s="141" t="s">
        <v>8175</v>
      </c>
      <c r="F1001" s="142" t="s">
        <v>8133</v>
      </c>
      <c r="G1001" s="143">
        <v>3654</v>
      </c>
      <c r="H1001" s="144" t="s">
        <v>730</v>
      </c>
      <c r="I1001" s="145"/>
      <c r="J1001" s="145"/>
      <c r="K1001" s="146">
        <v>3654</v>
      </c>
    </row>
    <row r="1002" spans="1:11" s="147" customFormat="1" ht="11.25" customHeight="1" x14ac:dyDescent="0.2">
      <c r="A1002" s="795" t="s">
        <v>9562</v>
      </c>
      <c r="B1002" s="138" t="s">
        <v>9542</v>
      </c>
      <c r="C1002" s="139" t="s">
        <v>8127</v>
      </c>
      <c r="D1002" s="140" t="s">
        <v>9215</v>
      </c>
      <c r="E1002" s="141" t="s">
        <v>9563</v>
      </c>
      <c r="F1002" s="142" t="s">
        <v>8142</v>
      </c>
      <c r="G1002" s="143">
        <v>17168</v>
      </c>
      <c r="H1002" s="144" t="s">
        <v>730</v>
      </c>
      <c r="I1002" s="145"/>
      <c r="J1002" s="145"/>
      <c r="K1002" s="146">
        <v>17168</v>
      </c>
    </row>
    <row r="1003" spans="1:11" s="147" customFormat="1" ht="11.25" customHeight="1" x14ac:dyDescent="0.2">
      <c r="A1003" s="795" t="s">
        <v>9073</v>
      </c>
      <c r="B1003" s="138" t="s">
        <v>9542</v>
      </c>
      <c r="C1003" s="139" t="s">
        <v>8139</v>
      </c>
      <c r="D1003" s="140" t="s">
        <v>9564</v>
      </c>
      <c r="E1003" s="141" t="s">
        <v>8093</v>
      </c>
      <c r="F1003" s="142" t="s">
        <v>9100</v>
      </c>
      <c r="G1003" s="143">
        <v>40.6</v>
      </c>
      <c r="H1003" s="144" t="s">
        <v>730</v>
      </c>
      <c r="I1003" s="145"/>
      <c r="J1003" s="145"/>
      <c r="K1003" s="146">
        <v>40.6</v>
      </c>
    </row>
    <row r="1004" spans="1:11" s="147" customFormat="1" ht="11.25" customHeight="1" x14ac:dyDescent="0.2">
      <c r="A1004" s="795" t="s">
        <v>9073</v>
      </c>
      <c r="B1004" s="138" t="s">
        <v>9542</v>
      </c>
      <c r="C1004" s="139" t="s">
        <v>8139</v>
      </c>
      <c r="D1004" s="140" t="s">
        <v>9564</v>
      </c>
      <c r="E1004" s="141" t="s">
        <v>8093</v>
      </c>
      <c r="F1004" s="142" t="s">
        <v>9100</v>
      </c>
      <c r="G1004" s="143">
        <v>46.4</v>
      </c>
      <c r="H1004" s="144" t="s">
        <v>730</v>
      </c>
      <c r="I1004" s="145"/>
      <c r="J1004" s="145"/>
      <c r="K1004" s="146">
        <v>46.4</v>
      </c>
    </row>
    <row r="1005" spans="1:11" s="147" customFormat="1" ht="11.25" customHeight="1" x14ac:dyDescent="0.2">
      <c r="A1005" s="795" t="s">
        <v>9193</v>
      </c>
      <c r="B1005" s="138" t="s">
        <v>9542</v>
      </c>
      <c r="C1005" s="139" t="s">
        <v>9565</v>
      </c>
      <c r="D1005" s="140" t="s">
        <v>9566</v>
      </c>
      <c r="E1005" s="141" t="s">
        <v>8175</v>
      </c>
      <c r="F1005" s="142" t="s">
        <v>9567</v>
      </c>
      <c r="G1005" s="143">
        <v>98.6</v>
      </c>
      <c r="H1005" s="144" t="s">
        <v>730</v>
      </c>
      <c r="I1005" s="145"/>
      <c r="J1005" s="145"/>
      <c r="K1005" s="146">
        <v>98.6</v>
      </c>
    </row>
    <row r="1006" spans="1:11" s="147" customFormat="1" ht="11.25" customHeight="1" x14ac:dyDescent="0.2">
      <c r="A1006" s="795" t="s">
        <v>9073</v>
      </c>
      <c r="B1006" s="138" t="s">
        <v>9542</v>
      </c>
      <c r="C1006" s="139" t="s">
        <v>8139</v>
      </c>
      <c r="D1006" s="140" t="s">
        <v>9568</v>
      </c>
      <c r="E1006" s="141" t="s">
        <v>8093</v>
      </c>
      <c r="F1006" s="142" t="s">
        <v>8171</v>
      </c>
      <c r="G1006" s="143">
        <v>116</v>
      </c>
      <c r="H1006" s="144" t="s">
        <v>730</v>
      </c>
      <c r="I1006" s="145"/>
      <c r="J1006" s="145"/>
      <c r="K1006" s="146">
        <v>116</v>
      </c>
    </row>
    <row r="1007" spans="1:11" s="147" customFormat="1" ht="11.25" customHeight="1" x14ac:dyDescent="0.2">
      <c r="A1007" s="795" t="s">
        <v>9063</v>
      </c>
      <c r="B1007" s="138" t="s">
        <v>9542</v>
      </c>
      <c r="C1007" s="139" t="s">
        <v>8201</v>
      </c>
      <c r="D1007" s="140" t="s">
        <v>9533</v>
      </c>
      <c r="E1007" s="141" t="s">
        <v>8172</v>
      </c>
      <c r="F1007" s="142" t="s">
        <v>8171</v>
      </c>
      <c r="G1007" s="143">
        <v>200.1</v>
      </c>
      <c r="H1007" s="144" t="s">
        <v>730</v>
      </c>
      <c r="I1007" s="145"/>
      <c r="J1007" s="145"/>
      <c r="K1007" s="146">
        <v>200.1</v>
      </c>
    </row>
    <row r="1008" spans="1:11" s="147" customFormat="1" ht="11.25" customHeight="1" x14ac:dyDescent="0.2">
      <c r="A1008" s="795" t="s">
        <v>9063</v>
      </c>
      <c r="B1008" s="138" t="s">
        <v>9542</v>
      </c>
      <c r="C1008" s="139" t="s">
        <v>8201</v>
      </c>
      <c r="D1008" s="140" t="s">
        <v>9533</v>
      </c>
      <c r="E1008" s="141" t="s">
        <v>8172</v>
      </c>
      <c r="F1008" s="142" t="s">
        <v>8171</v>
      </c>
      <c r="G1008" s="143">
        <v>200.1</v>
      </c>
      <c r="H1008" s="144" t="s">
        <v>730</v>
      </c>
      <c r="I1008" s="145"/>
      <c r="J1008" s="145"/>
      <c r="K1008" s="146">
        <v>200.1</v>
      </c>
    </row>
    <row r="1009" spans="1:11" s="147" customFormat="1" ht="11.25" customHeight="1" x14ac:dyDescent="0.2">
      <c r="A1009" s="795" t="s">
        <v>9073</v>
      </c>
      <c r="B1009" s="138" t="s">
        <v>9542</v>
      </c>
      <c r="C1009" s="139" t="s">
        <v>8198</v>
      </c>
      <c r="D1009" s="140" t="s">
        <v>9569</v>
      </c>
      <c r="E1009" s="141" t="s">
        <v>8093</v>
      </c>
      <c r="F1009" s="142" t="s">
        <v>8171</v>
      </c>
      <c r="G1009" s="143">
        <v>203</v>
      </c>
      <c r="H1009" s="144" t="s">
        <v>730</v>
      </c>
      <c r="I1009" s="145"/>
      <c r="J1009" s="145"/>
      <c r="K1009" s="146">
        <v>203</v>
      </c>
    </row>
    <row r="1010" spans="1:11" s="147" customFormat="1" ht="11.25" customHeight="1" x14ac:dyDescent="0.2">
      <c r="A1010" s="795" t="s">
        <v>9073</v>
      </c>
      <c r="B1010" s="138" t="s">
        <v>9542</v>
      </c>
      <c r="C1010" s="139" t="s">
        <v>8198</v>
      </c>
      <c r="D1010" s="140" t="s">
        <v>9569</v>
      </c>
      <c r="E1010" s="141" t="s">
        <v>8093</v>
      </c>
      <c r="F1010" s="142" t="s">
        <v>8171</v>
      </c>
      <c r="G1010" s="143">
        <v>232</v>
      </c>
      <c r="H1010" s="144" t="s">
        <v>730</v>
      </c>
      <c r="I1010" s="145"/>
      <c r="J1010" s="145"/>
      <c r="K1010" s="146">
        <v>232</v>
      </c>
    </row>
    <row r="1011" spans="1:11" s="147" customFormat="1" ht="11.25" customHeight="1" x14ac:dyDescent="0.2">
      <c r="A1011" s="795" t="s">
        <v>9073</v>
      </c>
      <c r="B1011" s="138" t="s">
        <v>9542</v>
      </c>
      <c r="C1011" s="139" t="s">
        <v>8198</v>
      </c>
      <c r="D1011" s="140" t="s">
        <v>9569</v>
      </c>
      <c r="E1011" s="141" t="s">
        <v>8093</v>
      </c>
      <c r="F1011" s="142" t="s">
        <v>8171</v>
      </c>
      <c r="G1011" s="143">
        <v>348</v>
      </c>
      <c r="H1011" s="144" t="s">
        <v>730</v>
      </c>
      <c r="I1011" s="145"/>
      <c r="J1011" s="145"/>
      <c r="K1011" s="146">
        <v>348</v>
      </c>
    </row>
    <row r="1012" spans="1:11" s="147" customFormat="1" ht="11.25" customHeight="1" x14ac:dyDescent="0.2">
      <c r="A1012" s="795" t="s">
        <v>9073</v>
      </c>
      <c r="B1012" s="138" t="s">
        <v>9542</v>
      </c>
      <c r="C1012" s="139" t="s">
        <v>8139</v>
      </c>
      <c r="D1012" s="140" t="s">
        <v>9564</v>
      </c>
      <c r="E1012" s="141" t="s">
        <v>8093</v>
      </c>
      <c r="F1012" s="142" t="s">
        <v>9100</v>
      </c>
      <c r="G1012" s="143">
        <v>348</v>
      </c>
      <c r="H1012" s="144" t="s">
        <v>730</v>
      </c>
      <c r="I1012" s="145"/>
      <c r="J1012" s="145"/>
      <c r="K1012" s="146">
        <v>348</v>
      </c>
    </row>
    <row r="1013" spans="1:11" s="147" customFormat="1" ht="11.25" customHeight="1" x14ac:dyDescent="0.2">
      <c r="A1013" s="795" t="s">
        <v>9063</v>
      </c>
      <c r="B1013" s="138" t="s">
        <v>9542</v>
      </c>
      <c r="C1013" s="139" t="s">
        <v>8201</v>
      </c>
      <c r="D1013" s="140" t="s">
        <v>9533</v>
      </c>
      <c r="E1013" s="141" t="s">
        <v>8172</v>
      </c>
      <c r="F1013" s="142" t="s">
        <v>8171</v>
      </c>
      <c r="G1013" s="143">
        <v>600.29999999999995</v>
      </c>
      <c r="H1013" s="144" t="s">
        <v>730</v>
      </c>
      <c r="I1013" s="145"/>
      <c r="J1013" s="145"/>
      <c r="K1013" s="146">
        <v>600.29999999999995</v>
      </c>
    </row>
    <row r="1014" spans="1:11" s="147" customFormat="1" ht="11.25" customHeight="1" x14ac:dyDescent="0.2">
      <c r="A1014" s="795" t="s">
        <v>9073</v>
      </c>
      <c r="B1014" s="138" t="s">
        <v>9542</v>
      </c>
      <c r="C1014" s="139" t="s">
        <v>8139</v>
      </c>
      <c r="D1014" s="140" t="s">
        <v>9568</v>
      </c>
      <c r="E1014" s="141" t="s">
        <v>8093</v>
      </c>
      <c r="F1014" s="142" t="s">
        <v>8171</v>
      </c>
      <c r="G1014" s="143">
        <v>603.20000000000005</v>
      </c>
      <c r="H1014" s="144" t="s">
        <v>730</v>
      </c>
      <c r="I1014" s="145"/>
      <c r="J1014" s="145"/>
      <c r="K1014" s="146">
        <v>603.20000000000005</v>
      </c>
    </row>
    <row r="1015" spans="1:11" s="147" customFormat="1" ht="11.25" customHeight="1" x14ac:dyDescent="0.2">
      <c r="A1015" s="795" t="s">
        <v>9073</v>
      </c>
      <c r="B1015" s="138" t="s">
        <v>9542</v>
      </c>
      <c r="C1015" s="139" t="s">
        <v>8198</v>
      </c>
      <c r="D1015" s="140" t="s">
        <v>9570</v>
      </c>
      <c r="E1015" s="141" t="s">
        <v>8093</v>
      </c>
      <c r="F1015" s="142" t="s">
        <v>8171</v>
      </c>
      <c r="G1015" s="143">
        <v>621.54999999999995</v>
      </c>
      <c r="H1015" s="144" t="s">
        <v>730</v>
      </c>
      <c r="I1015" s="145"/>
      <c r="J1015" s="145"/>
      <c r="K1015" s="146">
        <v>621.54999999999995</v>
      </c>
    </row>
    <row r="1016" spans="1:11" s="147" customFormat="1" ht="11.25" customHeight="1" x14ac:dyDescent="0.2">
      <c r="A1016" s="795" t="s">
        <v>9073</v>
      </c>
      <c r="B1016" s="138" t="s">
        <v>9542</v>
      </c>
      <c r="C1016" s="139" t="s">
        <v>8139</v>
      </c>
      <c r="D1016" s="140" t="s">
        <v>9571</v>
      </c>
      <c r="E1016" s="141" t="s">
        <v>8093</v>
      </c>
      <c r="F1016" s="142" t="s">
        <v>9572</v>
      </c>
      <c r="G1016" s="143">
        <v>696</v>
      </c>
      <c r="H1016" s="144" t="s">
        <v>730</v>
      </c>
      <c r="I1016" s="145"/>
      <c r="J1016" s="145"/>
      <c r="K1016" s="146">
        <v>696</v>
      </c>
    </row>
    <row r="1017" spans="1:11" s="147" customFormat="1" ht="11.25" customHeight="1" x14ac:dyDescent="0.2">
      <c r="A1017" s="795" t="s">
        <v>9073</v>
      </c>
      <c r="B1017" s="138" t="s">
        <v>9542</v>
      </c>
      <c r="C1017" s="139" t="s">
        <v>8139</v>
      </c>
      <c r="D1017" s="140" t="s">
        <v>9573</v>
      </c>
      <c r="E1017" s="141" t="s">
        <v>8093</v>
      </c>
      <c r="F1017" s="142" t="s">
        <v>9079</v>
      </c>
      <c r="G1017" s="143">
        <v>812</v>
      </c>
      <c r="H1017" s="144" t="s">
        <v>730</v>
      </c>
      <c r="I1017" s="145"/>
      <c r="J1017" s="145"/>
      <c r="K1017" s="146">
        <v>812</v>
      </c>
    </row>
    <row r="1018" spans="1:11" s="147" customFormat="1" ht="11.25" customHeight="1" x14ac:dyDescent="0.2">
      <c r="A1018" s="795" t="s">
        <v>9193</v>
      </c>
      <c r="B1018" s="138" t="s">
        <v>9542</v>
      </c>
      <c r="C1018" s="139" t="s">
        <v>9565</v>
      </c>
      <c r="D1018" s="140" t="s">
        <v>8191</v>
      </c>
      <c r="E1018" s="141" t="s">
        <v>8175</v>
      </c>
      <c r="F1018" s="142" t="s">
        <v>9567</v>
      </c>
      <c r="G1018" s="143">
        <v>881.6</v>
      </c>
      <c r="H1018" s="144" t="s">
        <v>730</v>
      </c>
      <c r="I1018" s="145"/>
      <c r="J1018" s="145"/>
      <c r="K1018" s="146">
        <v>881.6</v>
      </c>
    </row>
    <row r="1019" spans="1:11" s="147" customFormat="1" ht="11.25" customHeight="1" x14ac:dyDescent="0.2">
      <c r="A1019" s="795" t="s">
        <v>9063</v>
      </c>
      <c r="B1019" s="138" t="s">
        <v>9542</v>
      </c>
      <c r="C1019" s="139" t="s">
        <v>8201</v>
      </c>
      <c r="D1019" s="140" t="s">
        <v>9533</v>
      </c>
      <c r="E1019" s="141" t="s">
        <v>8172</v>
      </c>
      <c r="F1019" s="142" t="s">
        <v>8171</v>
      </c>
      <c r="G1019" s="143">
        <v>986</v>
      </c>
      <c r="H1019" s="144" t="s">
        <v>730</v>
      </c>
      <c r="I1019" s="145"/>
      <c r="J1019" s="145"/>
      <c r="K1019" s="146">
        <v>986</v>
      </c>
    </row>
    <row r="1020" spans="1:11" s="147" customFormat="1" ht="11.25" customHeight="1" x14ac:dyDescent="0.2">
      <c r="A1020" s="795" t="s">
        <v>9063</v>
      </c>
      <c r="B1020" s="138" t="s">
        <v>9542</v>
      </c>
      <c r="C1020" s="139" t="s">
        <v>8201</v>
      </c>
      <c r="D1020" s="140" t="s">
        <v>9533</v>
      </c>
      <c r="E1020" s="141" t="s">
        <v>8172</v>
      </c>
      <c r="F1020" s="142" t="s">
        <v>8171</v>
      </c>
      <c r="G1020" s="143">
        <v>1682</v>
      </c>
      <c r="H1020" s="144" t="s">
        <v>730</v>
      </c>
      <c r="I1020" s="145"/>
      <c r="J1020" s="145"/>
      <c r="K1020" s="146">
        <v>1682</v>
      </c>
    </row>
    <row r="1021" spans="1:11" s="147" customFormat="1" ht="11.25" customHeight="1" x14ac:dyDescent="0.2">
      <c r="A1021" s="795" t="s">
        <v>9073</v>
      </c>
      <c r="B1021" s="138" t="s">
        <v>9542</v>
      </c>
      <c r="C1021" s="139" t="s">
        <v>9574</v>
      </c>
      <c r="D1021" s="140" t="s">
        <v>9575</v>
      </c>
      <c r="E1021" s="141" t="s">
        <v>8093</v>
      </c>
      <c r="F1021" s="142" t="s">
        <v>8171</v>
      </c>
      <c r="G1021" s="143">
        <v>1893.12</v>
      </c>
      <c r="H1021" s="144" t="s">
        <v>730</v>
      </c>
      <c r="I1021" s="145"/>
      <c r="J1021" s="145"/>
      <c r="K1021" s="146">
        <v>1893.12</v>
      </c>
    </row>
    <row r="1022" spans="1:11" s="147" customFormat="1" ht="11.25" customHeight="1" x14ac:dyDescent="0.2">
      <c r="A1022" s="795" t="s">
        <v>9073</v>
      </c>
      <c r="B1022" s="138" t="s">
        <v>9542</v>
      </c>
      <c r="C1022" s="139" t="s">
        <v>9574</v>
      </c>
      <c r="D1022" s="140" t="s">
        <v>9575</v>
      </c>
      <c r="E1022" s="141" t="s">
        <v>8093</v>
      </c>
      <c r="F1022" s="142" t="s">
        <v>8171</v>
      </c>
      <c r="G1022" s="143">
        <v>2070.6</v>
      </c>
      <c r="H1022" s="144" t="s">
        <v>730</v>
      </c>
      <c r="I1022" s="145"/>
      <c r="J1022" s="145"/>
      <c r="K1022" s="146">
        <v>2070.6</v>
      </c>
    </row>
    <row r="1023" spans="1:11" s="147" customFormat="1" ht="11.25" customHeight="1" x14ac:dyDescent="0.2">
      <c r="A1023" s="795" t="s">
        <v>9073</v>
      </c>
      <c r="B1023" s="138" t="s">
        <v>9542</v>
      </c>
      <c r="C1023" s="139" t="s">
        <v>8139</v>
      </c>
      <c r="D1023" s="140" t="s">
        <v>9573</v>
      </c>
      <c r="E1023" s="141" t="s">
        <v>8093</v>
      </c>
      <c r="F1023" s="142" t="s">
        <v>9079</v>
      </c>
      <c r="G1023" s="143">
        <v>2784</v>
      </c>
      <c r="H1023" s="144" t="s">
        <v>730</v>
      </c>
      <c r="I1023" s="145"/>
      <c r="J1023" s="145"/>
      <c r="K1023" s="146">
        <v>2784</v>
      </c>
    </row>
    <row r="1024" spans="1:11" s="147" customFormat="1" ht="11.25" customHeight="1" x14ac:dyDescent="0.2">
      <c r="A1024" s="795" t="s">
        <v>9073</v>
      </c>
      <c r="B1024" s="138" t="s">
        <v>9542</v>
      </c>
      <c r="C1024" s="139" t="s">
        <v>8198</v>
      </c>
      <c r="D1024" s="140" t="s">
        <v>9576</v>
      </c>
      <c r="E1024" s="141" t="s">
        <v>8093</v>
      </c>
      <c r="F1024" s="142" t="s">
        <v>9411</v>
      </c>
      <c r="G1024" s="143">
        <v>3431.28</v>
      </c>
      <c r="H1024" s="144" t="s">
        <v>730</v>
      </c>
      <c r="I1024" s="145"/>
      <c r="J1024" s="145"/>
      <c r="K1024" s="146">
        <v>3431.28</v>
      </c>
    </row>
    <row r="1025" spans="1:11" s="147" customFormat="1" ht="11.25" customHeight="1" x14ac:dyDescent="0.2">
      <c r="A1025" s="795" t="s">
        <v>9376</v>
      </c>
      <c r="B1025" s="138" t="s">
        <v>9542</v>
      </c>
      <c r="C1025" s="139" t="s">
        <v>8122</v>
      </c>
      <c r="D1025" s="140" t="s">
        <v>9577</v>
      </c>
      <c r="E1025" s="141" t="s">
        <v>9379</v>
      </c>
      <c r="F1025" s="142" t="s">
        <v>8171</v>
      </c>
      <c r="G1025" s="143">
        <v>3480</v>
      </c>
      <c r="H1025" s="144" t="s">
        <v>730</v>
      </c>
      <c r="I1025" s="145"/>
      <c r="J1025" s="145"/>
      <c r="K1025" s="146">
        <v>3480</v>
      </c>
    </row>
    <row r="1026" spans="1:11" s="147" customFormat="1" ht="11.25" customHeight="1" x14ac:dyDescent="0.2">
      <c r="A1026" s="795" t="s">
        <v>9063</v>
      </c>
      <c r="B1026" s="138" t="s">
        <v>9542</v>
      </c>
      <c r="C1026" s="139" t="s">
        <v>8201</v>
      </c>
      <c r="D1026" s="140" t="s">
        <v>9533</v>
      </c>
      <c r="E1026" s="141" t="s">
        <v>8172</v>
      </c>
      <c r="F1026" s="142" t="s">
        <v>8171</v>
      </c>
      <c r="G1026" s="143">
        <v>3596</v>
      </c>
      <c r="H1026" s="144" t="s">
        <v>730</v>
      </c>
      <c r="I1026" s="145"/>
      <c r="J1026" s="145"/>
      <c r="K1026" s="146">
        <v>3596</v>
      </c>
    </row>
    <row r="1027" spans="1:11" s="147" customFormat="1" ht="11.25" customHeight="1" x14ac:dyDescent="0.2">
      <c r="A1027" s="795" t="s">
        <v>9073</v>
      </c>
      <c r="B1027" s="138" t="s">
        <v>9542</v>
      </c>
      <c r="C1027" s="139" t="s">
        <v>8139</v>
      </c>
      <c r="D1027" s="140" t="s">
        <v>9573</v>
      </c>
      <c r="E1027" s="141" t="s">
        <v>8093</v>
      </c>
      <c r="F1027" s="142" t="s">
        <v>9079</v>
      </c>
      <c r="G1027" s="143">
        <v>3712</v>
      </c>
      <c r="H1027" s="144" t="s">
        <v>730</v>
      </c>
      <c r="I1027" s="145"/>
      <c r="J1027" s="145"/>
      <c r="K1027" s="146">
        <v>3712</v>
      </c>
    </row>
    <row r="1028" spans="1:11" s="147" customFormat="1" ht="11.25" customHeight="1" x14ac:dyDescent="0.2">
      <c r="A1028" s="795" t="s">
        <v>9376</v>
      </c>
      <c r="B1028" s="138" t="s">
        <v>9542</v>
      </c>
      <c r="C1028" s="139" t="s">
        <v>8122</v>
      </c>
      <c r="D1028" s="140" t="s">
        <v>9578</v>
      </c>
      <c r="E1028" s="141" t="s">
        <v>9379</v>
      </c>
      <c r="F1028" s="142" t="s">
        <v>8171</v>
      </c>
      <c r="G1028" s="143">
        <v>4060</v>
      </c>
      <c r="H1028" s="144" t="s">
        <v>730</v>
      </c>
      <c r="I1028" s="145"/>
      <c r="J1028" s="145"/>
      <c r="K1028" s="146">
        <v>4060</v>
      </c>
    </row>
    <row r="1029" spans="1:11" s="147" customFormat="1" ht="11.25" customHeight="1" x14ac:dyDescent="0.2">
      <c r="A1029" s="795" t="s">
        <v>9376</v>
      </c>
      <c r="B1029" s="138" t="s">
        <v>9542</v>
      </c>
      <c r="C1029" s="139" t="s">
        <v>8122</v>
      </c>
      <c r="D1029" s="140" t="s">
        <v>9579</v>
      </c>
      <c r="E1029" s="141" t="s">
        <v>9379</v>
      </c>
      <c r="F1029" s="142" t="s">
        <v>8171</v>
      </c>
      <c r="G1029" s="143">
        <v>4640</v>
      </c>
      <c r="H1029" s="144" t="s">
        <v>730</v>
      </c>
      <c r="I1029" s="145"/>
      <c r="J1029" s="145"/>
      <c r="K1029" s="146">
        <v>4640</v>
      </c>
    </row>
    <row r="1030" spans="1:11" s="147" customFormat="1" ht="11.25" customHeight="1" x14ac:dyDescent="0.2">
      <c r="A1030" s="795" t="s">
        <v>9193</v>
      </c>
      <c r="B1030" s="138" t="s">
        <v>9542</v>
      </c>
      <c r="C1030" s="139" t="s">
        <v>8203</v>
      </c>
      <c r="D1030" s="140" t="s">
        <v>9580</v>
      </c>
      <c r="E1030" s="141" t="s">
        <v>8175</v>
      </c>
      <c r="F1030" s="142" t="s">
        <v>8171</v>
      </c>
      <c r="G1030" s="143">
        <v>5220</v>
      </c>
      <c r="H1030" s="144" t="s">
        <v>730</v>
      </c>
      <c r="I1030" s="145"/>
      <c r="J1030" s="145"/>
      <c r="K1030" s="146">
        <v>5220</v>
      </c>
    </row>
    <row r="1031" spans="1:11" s="147" customFormat="1" ht="11.25" customHeight="1" x14ac:dyDescent="0.2">
      <c r="A1031" s="795" t="s">
        <v>9073</v>
      </c>
      <c r="B1031" s="138" t="s">
        <v>9542</v>
      </c>
      <c r="C1031" s="139" t="s">
        <v>8139</v>
      </c>
      <c r="D1031" s="140" t="s">
        <v>9581</v>
      </c>
      <c r="E1031" s="141" t="s">
        <v>8093</v>
      </c>
      <c r="F1031" s="142" t="s">
        <v>9079</v>
      </c>
      <c r="G1031" s="143">
        <v>5624.99</v>
      </c>
      <c r="H1031" s="144" t="s">
        <v>730</v>
      </c>
      <c r="I1031" s="145"/>
      <c r="J1031" s="145"/>
      <c r="K1031" s="146">
        <v>5624.99</v>
      </c>
    </row>
    <row r="1032" spans="1:11" s="147" customFormat="1" ht="11.25" customHeight="1" x14ac:dyDescent="0.2">
      <c r="A1032" s="795" t="s">
        <v>9073</v>
      </c>
      <c r="B1032" s="138" t="s">
        <v>9542</v>
      </c>
      <c r="C1032" s="139" t="s">
        <v>9574</v>
      </c>
      <c r="D1032" s="140" t="s">
        <v>9575</v>
      </c>
      <c r="E1032" s="141" t="s">
        <v>8093</v>
      </c>
      <c r="F1032" s="142" t="s">
        <v>8171</v>
      </c>
      <c r="G1032" s="143">
        <v>5916</v>
      </c>
      <c r="H1032" s="144" t="s">
        <v>730</v>
      </c>
      <c r="I1032" s="145"/>
      <c r="J1032" s="145"/>
      <c r="K1032" s="146">
        <v>5916</v>
      </c>
    </row>
    <row r="1033" spans="1:11" s="147" customFormat="1" ht="11.25" customHeight="1" x14ac:dyDescent="0.2">
      <c r="A1033" s="795" t="s">
        <v>9073</v>
      </c>
      <c r="B1033" s="138" t="s">
        <v>9542</v>
      </c>
      <c r="C1033" s="139" t="s">
        <v>9574</v>
      </c>
      <c r="D1033" s="140" t="s">
        <v>9575</v>
      </c>
      <c r="E1033" s="141" t="s">
        <v>8093</v>
      </c>
      <c r="F1033" s="142" t="s">
        <v>8171</v>
      </c>
      <c r="G1033" s="143">
        <v>6554</v>
      </c>
      <c r="H1033" s="144" t="s">
        <v>730</v>
      </c>
      <c r="I1033" s="145"/>
      <c r="J1033" s="145"/>
      <c r="K1033" s="146">
        <v>6554</v>
      </c>
    </row>
    <row r="1034" spans="1:11" s="147" customFormat="1" ht="11.25" customHeight="1" x14ac:dyDescent="0.2">
      <c r="A1034" s="795" t="s">
        <v>9193</v>
      </c>
      <c r="B1034" s="138" t="s">
        <v>9542</v>
      </c>
      <c r="C1034" s="139" t="s">
        <v>9565</v>
      </c>
      <c r="D1034" s="140" t="s">
        <v>9582</v>
      </c>
      <c r="E1034" s="141" t="s">
        <v>8175</v>
      </c>
      <c r="F1034" s="142" t="s">
        <v>8171</v>
      </c>
      <c r="G1034" s="143">
        <v>8004</v>
      </c>
      <c r="H1034" s="144" t="s">
        <v>730</v>
      </c>
      <c r="I1034" s="145"/>
      <c r="J1034" s="145"/>
      <c r="K1034" s="146">
        <v>8004</v>
      </c>
    </row>
    <row r="1035" spans="1:11" s="147" customFormat="1" ht="11.25" customHeight="1" x14ac:dyDescent="0.2">
      <c r="A1035" s="795" t="s">
        <v>9073</v>
      </c>
      <c r="B1035" s="138" t="s">
        <v>9542</v>
      </c>
      <c r="C1035" s="139" t="s">
        <v>8139</v>
      </c>
      <c r="D1035" s="140" t="s">
        <v>9571</v>
      </c>
      <c r="E1035" s="141" t="s">
        <v>8093</v>
      </c>
      <c r="F1035" s="142" t="s">
        <v>9572</v>
      </c>
      <c r="G1035" s="143">
        <v>10440</v>
      </c>
      <c r="H1035" s="144" t="s">
        <v>730</v>
      </c>
      <c r="I1035" s="145"/>
      <c r="J1035" s="145"/>
      <c r="K1035" s="146">
        <v>10440</v>
      </c>
    </row>
    <row r="1036" spans="1:11" s="147" customFormat="1" ht="11.25" customHeight="1" x14ac:dyDescent="0.2">
      <c r="A1036" s="795" t="s">
        <v>9073</v>
      </c>
      <c r="B1036" s="138" t="s">
        <v>9542</v>
      </c>
      <c r="C1036" s="139" t="s">
        <v>9574</v>
      </c>
      <c r="D1036" s="140" t="s">
        <v>9575</v>
      </c>
      <c r="E1036" s="141" t="s">
        <v>8093</v>
      </c>
      <c r="F1036" s="142" t="s">
        <v>8171</v>
      </c>
      <c r="G1036" s="143">
        <v>17400</v>
      </c>
      <c r="H1036" s="144" t="s">
        <v>730</v>
      </c>
      <c r="I1036" s="145"/>
      <c r="J1036" s="145"/>
      <c r="K1036" s="146">
        <v>17400</v>
      </c>
    </row>
    <row r="1037" spans="1:11" s="147" customFormat="1" ht="11.25" customHeight="1" x14ac:dyDescent="0.2">
      <c r="A1037" s="795" t="s">
        <v>9376</v>
      </c>
      <c r="B1037" s="138" t="s">
        <v>9542</v>
      </c>
      <c r="C1037" s="139" t="s">
        <v>8122</v>
      </c>
      <c r="D1037" s="140" t="s">
        <v>9583</v>
      </c>
      <c r="E1037" s="141" t="s">
        <v>9379</v>
      </c>
      <c r="F1037" s="142" t="s">
        <v>8171</v>
      </c>
      <c r="G1037" s="143">
        <v>19140</v>
      </c>
      <c r="H1037" s="144" t="s">
        <v>730</v>
      </c>
      <c r="I1037" s="145"/>
      <c r="J1037" s="145"/>
      <c r="K1037" s="146">
        <v>19140</v>
      </c>
    </row>
    <row r="1038" spans="1:11" s="147" customFormat="1" ht="11.25" customHeight="1" x14ac:dyDescent="0.2">
      <c r="A1038" s="795" t="s">
        <v>9584</v>
      </c>
      <c r="B1038" s="138" t="s">
        <v>9542</v>
      </c>
      <c r="C1038" s="139" t="s">
        <v>8145</v>
      </c>
      <c r="D1038" s="140" t="s">
        <v>9585</v>
      </c>
      <c r="E1038" s="141" t="s">
        <v>8175</v>
      </c>
      <c r="F1038" s="142" t="s">
        <v>9586</v>
      </c>
      <c r="G1038" s="143">
        <v>9512</v>
      </c>
      <c r="H1038" s="144" t="s">
        <v>730</v>
      </c>
      <c r="I1038" s="145"/>
      <c r="J1038" s="145"/>
      <c r="K1038" s="146">
        <v>9512</v>
      </c>
    </row>
    <row r="1039" spans="1:11" s="147" customFormat="1" ht="11.25" customHeight="1" x14ac:dyDescent="0.2">
      <c r="A1039" s="795" t="s">
        <v>9584</v>
      </c>
      <c r="B1039" s="138" t="s">
        <v>9542</v>
      </c>
      <c r="C1039" s="139" t="s">
        <v>8145</v>
      </c>
      <c r="D1039" s="140" t="s">
        <v>9585</v>
      </c>
      <c r="E1039" s="141" t="s">
        <v>8175</v>
      </c>
      <c r="F1039" s="142" t="s">
        <v>9586</v>
      </c>
      <c r="G1039" s="143">
        <v>9860</v>
      </c>
      <c r="H1039" s="144" t="s">
        <v>730</v>
      </c>
      <c r="I1039" s="145"/>
      <c r="J1039" s="145"/>
      <c r="K1039" s="146">
        <v>9860</v>
      </c>
    </row>
    <row r="1040" spans="1:11" s="147" customFormat="1" ht="11.25" customHeight="1" x14ac:dyDescent="0.2">
      <c r="A1040" s="795" t="s">
        <v>9587</v>
      </c>
      <c r="B1040" s="138" t="s">
        <v>9542</v>
      </c>
      <c r="C1040" s="139" t="s">
        <v>8160</v>
      </c>
      <c r="D1040" s="140" t="s">
        <v>9588</v>
      </c>
      <c r="E1040" s="141" t="s">
        <v>9563</v>
      </c>
      <c r="F1040" s="142" t="s">
        <v>9589</v>
      </c>
      <c r="G1040" s="143">
        <v>45243.26</v>
      </c>
      <c r="H1040" s="144" t="s">
        <v>730</v>
      </c>
      <c r="I1040" s="145"/>
      <c r="J1040" s="145"/>
      <c r="K1040" s="146">
        <v>45243.26</v>
      </c>
    </row>
    <row r="1041" spans="1:11" s="147" customFormat="1" ht="11.25" customHeight="1" x14ac:dyDescent="0.2">
      <c r="A1041" s="795" t="s">
        <v>9590</v>
      </c>
      <c r="B1041" s="138" t="s">
        <v>9542</v>
      </c>
      <c r="C1041" s="139" t="s">
        <v>9591</v>
      </c>
      <c r="D1041" s="140" t="s">
        <v>9592</v>
      </c>
      <c r="E1041" s="141" t="s">
        <v>8208</v>
      </c>
      <c r="F1041" s="142" t="s">
        <v>9593</v>
      </c>
      <c r="G1041" s="143">
        <v>522</v>
      </c>
      <c r="H1041" s="144" t="s">
        <v>730</v>
      </c>
      <c r="I1041" s="145"/>
      <c r="J1041" s="145"/>
      <c r="K1041" s="146">
        <v>522</v>
      </c>
    </row>
    <row r="1042" spans="1:11" s="147" customFormat="1" ht="11.25" customHeight="1" x14ac:dyDescent="0.2">
      <c r="A1042" s="795" t="s">
        <v>9590</v>
      </c>
      <c r="B1042" s="138" t="s">
        <v>9542</v>
      </c>
      <c r="C1042" s="139" t="s">
        <v>8200</v>
      </c>
      <c r="D1042" s="140" t="s">
        <v>9594</v>
      </c>
      <c r="E1042" s="141" t="s">
        <v>8208</v>
      </c>
      <c r="F1042" s="142" t="s">
        <v>8210</v>
      </c>
      <c r="G1042" s="143">
        <v>522</v>
      </c>
      <c r="H1042" s="144" t="s">
        <v>730</v>
      </c>
      <c r="I1042" s="145"/>
      <c r="J1042" s="145"/>
      <c r="K1042" s="146">
        <v>522</v>
      </c>
    </row>
    <row r="1043" spans="1:11" s="147" customFormat="1" ht="11.25" customHeight="1" x14ac:dyDescent="0.2">
      <c r="A1043" s="795" t="s">
        <v>9590</v>
      </c>
      <c r="B1043" s="138" t="s">
        <v>9542</v>
      </c>
      <c r="C1043" s="139" t="s">
        <v>9591</v>
      </c>
      <c r="D1043" s="140" t="s">
        <v>9595</v>
      </c>
      <c r="E1043" s="141" t="s">
        <v>8208</v>
      </c>
      <c r="F1043" s="142" t="s">
        <v>9593</v>
      </c>
      <c r="G1043" s="143">
        <v>3533</v>
      </c>
      <c r="H1043" s="144" t="s">
        <v>730</v>
      </c>
      <c r="I1043" s="145"/>
      <c r="J1043" s="145"/>
      <c r="K1043" s="146">
        <v>3533</v>
      </c>
    </row>
    <row r="1044" spans="1:11" s="147" customFormat="1" ht="11.25" customHeight="1" x14ac:dyDescent="0.2">
      <c r="A1044" s="795" t="s">
        <v>9590</v>
      </c>
      <c r="B1044" s="138" t="s">
        <v>9542</v>
      </c>
      <c r="C1044" s="139" t="s">
        <v>8200</v>
      </c>
      <c r="D1044" s="140" t="s">
        <v>9596</v>
      </c>
      <c r="E1044" s="141" t="s">
        <v>8208</v>
      </c>
      <c r="F1044" s="142" t="s">
        <v>8210</v>
      </c>
      <c r="G1044" s="143">
        <v>3533</v>
      </c>
      <c r="H1044" s="144" t="s">
        <v>730</v>
      </c>
      <c r="I1044" s="145"/>
      <c r="J1044" s="145"/>
      <c r="K1044" s="146">
        <v>3533</v>
      </c>
    </row>
    <row r="1045" spans="1:11" s="147" customFormat="1" ht="11.25" customHeight="1" x14ac:dyDescent="0.2">
      <c r="A1045" s="795" t="s">
        <v>9597</v>
      </c>
      <c r="B1045" s="138" t="s">
        <v>9598</v>
      </c>
      <c r="C1045" s="139" t="s">
        <v>9599</v>
      </c>
      <c r="D1045" s="140" t="s">
        <v>9600</v>
      </c>
      <c r="E1045" s="141" t="s">
        <v>8182</v>
      </c>
      <c r="F1045" s="142" t="s">
        <v>9601</v>
      </c>
      <c r="G1045" s="143">
        <v>36965.72</v>
      </c>
      <c r="H1045" s="144" t="s">
        <v>730</v>
      </c>
      <c r="I1045" s="145"/>
      <c r="J1045" s="145"/>
      <c r="K1045" s="146">
        <v>36965.72</v>
      </c>
    </row>
    <row r="1046" spans="1:11" s="147" customFormat="1" ht="11.25" customHeight="1" x14ac:dyDescent="0.2">
      <c r="A1046" s="795" t="s">
        <v>9597</v>
      </c>
      <c r="B1046" s="138" t="s">
        <v>9598</v>
      </c>
      <c r="C1046" s="139" t="s">
        <v>9602</v>
      </c>
      <c r="D1046" s="140" t="s">
        <v>9603</v>
      </c>
      <c r="E1046" s="141" t="s">
        <v>8182</v>
      </c>
      <c r="F1046" s="142" t="s">
        <v>9601</v>
      </c>
      <c r="G1046" s="143">
        <v>100753.08</v>
      </c>
      <c r="H1046" s="144" t="s">
        <v>730</v>
      </c>
      <c r="I1046" s="145"/>
      <c r="J1046" s="145"/>
      <c r="K1046" s="146">
        <v>100753.08</v>
      </c>
    </row>
    <row r="1047" spans="1:11" s="147" customFormat="1" ht="11.25" customHeight="1" x14ac:dyDescent="0.2">
      <c r="A1047" s="795" t="s">
        <v>8973</v>
      </c>
      <c r="B1047" s="138" t="s">
        <v>9604</v>
      </c>
      <c r="C1047" s="139" t="s">
        <v>9605</v>
      </c>
      <c r="D1047" s="140" t="s">
        <v>9606</v>
      </c>
      <c r="E1047" s="141" t="s">
        <v>8081</v>
      </c>
      <c r="F1047" s="142" t="s">
        <v>9607</v>
      </c>
      <c r="G1047" s="143">
        <v>21.58</v>
      </c>
      <c r="H1047" s="144" t="s">
        <v>730</v>
      </c>
      <c r="I1047" s="145"/>
      <c r="J1047" s="145"/>
      <c r="K1047" s="146">
        <v>21.58</v>
      </c>
    </row>
    <row r="1048" spans="1:11" s="147" customFormat="1" ht="11.25" customHeight="1" x14ac:dyDescent="0.2">
      <c r="A1048" s="795" t="s">
        <v>8973</v>
      </c>
      <c r="B1048" s="138" t="s">
        <v>9604</v>
      </c>
      <c r="C1048" s="139" t="s">
        <v>9605</v>
      </c>
      <c r="D1048" s="140" t="s">
        <v>9608</v>
      </c>
      <c r="E1048" s="141" t="s">
        <v>8081</v>
      </c>
      <c r="F1048" s="142" t="s">
        <v>9607</v>
      </c>
      <c r="G1048" s="143">
        <v>24.36</v>
      </c>
      <c r="H1048" s="144" t="s">
        <v>730</v>
      </c>
      <c r="I1048" s="145"/>
      <c r="J1048" s="145"/>
      <c r="K1048" s="146">
        <v>24.36</v>
      </c>
    </row>
    <row r="1049" spans="1:11" s="147" customFormat="1" ht="11.25" customHeight="1" x14ac:dyDescent="0.2">
      <c r="A1049" s="795" t="s">
        <v>8973</v>
      </c>
      <c r="B1049" s="138" t="s">
        <v>9604</v>
      </c>
      <c r="C1049" s="139" t="s">
        <v>9605</v>
      </c>
      <c r="D1049" s="140" t="s">
        <v>9609</v>
      </c>
      <c r="E1049" s="141" t="s">
        <v>8081</v>
      </c>
      <c r="F1049" s="142" t="s">
        <v>9487</v>
      </c>
      <c r="G1049" s="143">
        <v>24.36</v>
      </c>
      <c r="H1049" s="144" t="s">
        <v>730</v>
      </c>
      <c r="I1049" s="145"/>
      <c r="J1049" s="145"/>
      <c r="K1049" s="146">
        <v>24.36</v>
      </c>
    </row>
    <row r="1050" spans="1:11" s="147" customFormat="1" ht="11.25" customHeight="1" x14ac:dyDescent="0.2">
      <c r="A1050" s="795" t="s">
        <v>8973</v>
      </c>
      <c r="B1050" s="138" t="s">
        <v>9604</v>
      </c>
      <c r="C1050" s="139" t="s">
        <v>9605</v>
      </c>
      <c r="D1050" s="140" t="s">
        <v>9606</v>
      </c>
      <c r="E1050" s="141" t="s">
        <v>8081</v>
      </c>
      <c r="F1050" s="142" t="s">
        <v>9607</v>
      </c>
      <c r="G1050" s="143">
        <v>60.13</v>
      </c>
      <c r="H1050" s="144" t="s">
        <v>730</v>
      </c>
      <c r="I1050" s="145"/>
      <c r="J1050" s="145"/>
      <c r="K1050" s="146">
        <v>60.13</v>
      </c>
    </row>
    <row r="1051" spans="1:11" s="147" customFormat="1" ht="11.25" customHeight="1" x14ac:dyDescent="0.2">
      <c r="A1051" s="795" t="s">
        <v>8973</v>
      </c>
      <c r="B1051" s="138" t="s">
        <v>9604</v>
      </c>
      <c r="C1051" s="139" t="s">
        <v>9605</v>
      </c>
      <c r="D1051" s="140" t="s">
        <v>9608</v>
      </c>
      <c r="E1051" s="141" t="s">
        <v>8081</v>
      </c>
      <c r="F1051" s="142" t="s">
        <v>9607</v>
      </c>
      <c r="G1051" s="143">
        <v>65.91</v>
      </c>
      <c r="H1051" s="144" t="s">
        <v>730</v>
      </c>
      <c r="I1051" s="145"/>
      <c r="J1051" s="145"/>
      <c r="K1051" s="146">
        <v>65.91</v>
      </c>
    </row>
    <row r="1052" spans="1:11" s="147" customFormat="1" ht="11.25" customHeight="1" x14ac:dyDescent="0.2">
      <c r="A1052" s="795" t="s">
        <v>8973</v>
      </c>
      <c r="B1052" s="138" t="s">
        <v>9604</v>
      </c>
      <c r="C1052" s="139" t="s">
        <v>9605</v>
      </c>
      <c r="D1052" s="140" t="s">
        <v>9608</v>
      </c>
      <c r="E1052" s="141" t="s">
        <v>8081</v>
      </c>
      <c r="F1052" s="142" t="s">
        <v>9607</v>
      </c>
      <c r="G1052" s="143">
        <v>69</v>
      </c>
      <c r="H1052" s="144" t="s">
        <v>730</v>
      </c>
      <c r="I1052" s="145"/>
      <c r="J1052" s="145"/>
      <c r="K1052" s="146">
        <v>69</v>
      </c>
    </row>
    <row r="1053" spans="1:11" s="147" customFormat="1" ht="11.25" customHeight="1" x14ac:dyDescent="0.2">
      <c r="A1053" s="795" t="s">
        <v>8973</v>
      </c>
      <c r="B1053" s="138" t="s">
        <v>9604</v>
      </c>
      <c r="C1053" s="139" t="s">
        <v>9605</v>
      </c>
      <c r="D1053" s="140" t="s">
        <v>9606</v>
      </c>
      <c r="E1053" s="141" t="s">
        <v>8081</v>
      </c>
      <c r="F1053" s="142" t="s">
        <v>9607</v>
      </c>
      <c r="G1053" s="143">
        <v>72.11</v>
      </c>
      <c r="H1053" s="144" t="s">
        <v>730</v>
      </c>
      <c r="I1053" s="145"/>
      <c r="J1053" s="145"/>
      <c r="K1053" s="146">
        <v>72.11</v>
      </c>
    </row>
    <row r="1054" spans="1:11" s="147" customFormat="1" ht="11.25" customHeight="1" x14ac:dyDescent="0.2">
      <c r="A1054" s="795" t="s">
        <v>8973</v>
      </c>
      <c r="B1054" s="138" t="s">
        <v>9604</v>
      </c>
      <c r="C1054" s="139" t="s">
        <v>9605</v>
      </c>
      <c r="D1054" s="140" t="s">
        <v>9610</v>
      </c>
      <c r="E1054" s="141" t="s">
        <v>8081</v>
      </c>
      <c r="F1054" s="142" t="s">
        <v>8082</v>
      </c>
      <c r="G1054" s="143">
        <v>75.97</v>
      </c>
      <c r="H1054" s="144" t="s">
        <v>730</v>
      </c>
      <c r="I1054" s="145"/>
      <c r="J1054" s="145"/>
      <c r="K1054" s="146">
        <v>75.97</v>
      </c>
    </row>
    <row r="1055" spans="1:11" s="147" customFormat="1" ht="11.25" customHeight="1" x14ac:dyDescent="0.2">
      <c r="A1055" s="795" t="s">
        <v>8973</v>
      </c>
      <c r="B1055" s="138" t="s">
        <v>9604</v>
      </c>
      <c r="C1055" s="139" t="s">
        <v>9605</v>
      </c>
      <c r="D1055" s="140" t="s">
        <v>9608</v>
      </c>
      <c r="E1055" s="141" t="s">
        <v>8081</v>
      </c>
      <c r="F1055" s="142" t="s">
        <v>9607</v>
      </c>
      <c r="G1055" s="143">
        <v>76.349999999999994</v>
      </c>
      <c r="H1055" s="144" t="s">
        <v>730</v>
      </c>
      <c r="I1055" s="145"/>
      <c r="J1055" s="145"/>
      <c r="K1055" s="146">
        <v>76.349999999999994</v>
      </c>
    </row>
    <row r="1056" spans="1:11" s="147" customFormat="1" ht="11.25" customHeight="1" x14ac:dyDescent="0.2">
      <c r="A1056" s="795" t="s">
        <v>8973</v>
      </c>
      <c r="B1056" s="138" t="s">
        <v>9604</v>
      </c>
      <c r="C1056" s="139" t="s">
        <v>9605</v>
      </c>
      <c r="D1056" s="140" t="s">
        <v>9609</v>
      </c>
      <c r="E1056" s="141" t="s">
        <v>8081</v>
      </c>
      <c r="F1056" s="142" t="s">
        <v>9487</v>
      </c>
      <c r="G1056" s="143">
        <v>76.349999999999994</v>
      </c>
      <c r="H1056" s="144" t="s">
        <v>730</v>
      </c>
      <c r="I1056" s="145"/>
      <c r="J1056" s="145"/>
      <c r="K1056" s="146">
        <v>76.349999999999994</v>
      </c>
    </row>
    <row r="1057" spans="1:11" s="147" customFormat="1" ht="11.25" customHeight="1" x14ac:dyDescent="0.2">
      <c r="A1057" s="795" t="s">
        <v>8973</v>
      </c>
      <c r="B1057" s="138" t="s">
        <v>9604</v>
      </c>
      <c r="C1057" s="139" t="s">
        <v>9605</v>
      </c>
      <c r="D1057" s="140" t="s">
        <v>9610</v>
      </c>
      <c r="E1057" s="141" t="s">
        <v>8081</v>
      </c>
      <c r="F1057" s="142" t="s">
        <v>8082</v>
      </c>
      <c r="G1057" s="143">
        <v>106.02</v>
      </c>
      <c r="H1057" s="144" t="s">
        <v>730</v>
      </c>
      <c r="I1057" s="145"/>
      <c r="J1057" s="145"/>
      <c r="K1057" s="146">
        <v>106.02</v>
      </c>
    </row>
    <row r="1058" spans="1:11" s="147" customFormat="1" ht="11.25" customHeight="1" x14ac:dyDescent="0.2">
      <c r="A1058" s="795" t="s">
        <v>8973</v>
      </c>
      <c r="B1058" s="138" t="s">
        <v>9604</v>
      </c>
      <c r="C1058" s="139" t="s">
        <v>9605</v>
      </c>
      <c r="D1058" s="140" t="s">
        <v>9606</v>
      </c>
      <c r="E1058" s="141" t="s">
        <v>8081</v>
      </c>
      <c r="F1058" s="142" t="s">
        <v>9607</v>
      </c>
      <c r="G1058" s="143">
        <v>120.83</v>
      </c>
      <c r="H1058" s="144" t="s">
        <v>730</v>
      </c>
      <c r="I1058" s="145"/>
      <c r="J1058" s="145"/>
      <c r="K1058" s="146">
        <v>120.83</v>
      </c>
    </row>
    <row r="1059" spans="1:11" s="147" customFormat="1" ht="11.25" customHeight="1" x14ac:dyDescent="0.2">
      <c r="A1059" s="795" t="s">
        <v>8973</v>
      </c>
      <c r="B1059" s="138" t="s">
        <v>9604</v>
      </c>
      <c r="C1059" s="139" t="s">
        <v>9605</v>
      </c>
      <c r="D1059" s="140" t="s">
        <v>9608</v>
      </c>
      <c r="E1059" s="141" t="s">
        <v>8081</v>
      </c>
      <c r="F1059" s="142" t="s">
        <v>9607</v>
      </c>
      <c r="G1059" s="143">
        <v>123.01</v>
      </c>
      <c r="H1059" s="144" t="s">
        <v>730</v>
      </c>
      <c r="I1059" s="145"/>
      <c r="J1059" s="145"/>
      <c r="K1059" s="146">
        <v>123.01</v>
      </c>
    </row>
    <row r="1060" spans="1:11" s="147" customFormat="1" ht="11.25" customHeight="1" x14ac:dyDescent="0.2">
      <c r="A1060" s="795" t="s">
        <v>8973</v>
      </c>
      <c r="B1060" s="138" t="s">
        <v>9604</v>
      </c>
      <c r="C1060" s="139" t="s">
        <v>9605</v>
      </c>
      <c r="D1060" s="140" t="s">
        <v>9609</v>
      </c>
      <c r="E1060" s="141" t="s">
        <v>8081</v>
      </c>
      <c r="F1060" s="142" t="s">
        <v>9487</v>
      </c>
      <c r="G1060" s="143">
        <v>123.01</v>
      </c>
      <c r="H1060" s="144" t="s">
        <v>730</v>
      </c>
      <c r="I1060" s="145"/>
      <c r="J1060" s="145"/>
      <c r="K1060" s="146">
        <v>123.01</v>
      </c>
    </row>
    <row r="1061" spans="1:11" s="147" customFormat="1" ht="11.25" customHeight="1" x14ac:dyDescent="0.2">
      <c r="A1061" s="795" t="s">
        <v>8973</v>
      </c>
      <c r="B1061" s="138" t="s">
        <v>9604</v>
      </c>
      <c r="C1061" s="139" t="s">
        <v>9605</v>
      </c>
      <c r="D1061" s="140" t="s">
        <v>9609</v>
      </c>
      <c r="E1061" s="141" t="s">
        <v>8081</v>
      </c>
      <c r="F1061" s="142" t="s">
        <v>9487</v>
      </c>
      <c r="G1061" s="143">
        <v>131.82</v>
      </c>
      <c r="H1061" s="144" t="s">
        <v>730</v>
      </c>
      <c r="I1061" s="145"/>
      <c r="J1061" s="145"/>
      <c r="K1061" s="146">
        <v>131.82</v>
      </c>
    </row>
    <row r="1062" spans="1:11" s="147" customFormat="1" ht="11.25" customHeight="1" x14ac:dyDescent="0.2">
      <c r="A1062" s="795" t="s">
        <v>8973</v>
      </c>
      <c r="B1062" s="138" t="s">
        <v>9604</v>
      </c>
      <c r="C1062" s="139" t="s">
        <v>9605</v>
      </c>
      <c r="D1062" s="140" t="s">
        <v>9609</v>
      </c>
      <c r="E1062" s="141" t="s">
        <v>8081</v>
      </c>
      <c r="F1062" s="142" t="s">
        <v>9487</v>
      </c>
      <c r="G1062" s="143">
        <v>135.72</v>
      </c>
      <c r="H1062" s="144" t="s">
        <v>730</v>
      </c>
      <c r="I1062" s="145"/>
      <c r="J1062" s="145"/>
      <c r="K1062" s="146">
        <v>135.72</v>
      </c>
    </row>
    <row r="1063" spans="1:11" s="147" customFormat="1" ht="11.25" customHeight="1" x14ac:dyDescent="0.2">
      <c r="A1063" s="795" t="s">
        <v>8973</v>
      </c>
      <c r="B1063" s="138" t="s">
        <v>9604</v>
      </c>
      <c r="C1063" s="139" t="s">
        <v>9605</v>
      </c>
      <c r="D1063" s="140" t="s">
        <v>9606</v>
      </c>
      <c r="E1063" s="141" t="s">
        <v>8081</v>
      </c>
      <c r="F1063" s="142" t="s">
        <v>9607</v>
      </c>
      <c r="G1063" s="143">
        <v>143.65</v>
      </c>
      <c r="H1063" s="144" t="s">
        <v>730</v>
      </c>
      <c r="I1063" s="145"/>
      <c r="J1063" s="145"/>
      <c r="K1063" s="146">
        <v>143.65</v>
      </c>
    </row>
    <row r="1064" spans="1:11" s="147" customFormat="1" ht="11.25" customHeight="1" x14ac:dyDescent="0.2">
      <c r="A1064" s="795" t="s">
        <v>8973</v>
      </c>
      <c r="B1064" s="138" t="s">
        <v>9604</v>
      </c>
      <c r="C1064" s="139" t="s">
        <v>9605</v>
      </c>
      <c r="D1064" s="140" t="s">
        <v>9609</v>
      </c>
      <c r="E1064" s="141" t="s">
        <v>8081</v>
      </c>
      <c r="F1064" s="142" t="s">
        <v>9487</v>
      </c>
      <c r="G1064" s="143">
        <v>171.68</v>
      </c>
      <c r="H1064" s="144" t="s">
        <v>730</v>
      </c>
      <c r="I1064" s="145"/>
      <c r="J1064" s="145"/>
      <c r="K1064" s="146">
        <v>171.68</v>
      </c>
    </row>
    <row r="1065" spans="1:11" s="147" customFormat="1" ht="11.25" customHeight="1" x14ac:dyDescent="0.2">
      <c r="A1065" s="795" t="s">
        <v>8973</v>
      </c>
      <c r="B1065" s="138" t="s">
        <v>9604</v>
      </c>
      <c r="C1065" s="139" t="s">
        <v>9605</v>
      </c>
      <c r="D1065" s="140" t="s">
        <v>9606</v>
      </c>
      <c r="E1065" s="141" t="s">
        <v>8081</v>
      </c>
      <c r="F1065" s="142" t="s">
        <v>9607</v>
      </c>
      <c r="G1065" s="143">
        <v>179.64</v>
      </c>
      <c r="H1065" s="144" t="s">
        <v>730</v>
      </c>
      <c r="I1065" s="145"/>
      <c r="J1065" s="145"/>
      <c r="K1065" s="146">
        <v>179.64</v>
      </c>
    </row>
    <row r="1066" spans="1:11" s="147" customFormat="1" ht="11.25" customHeight="1" x14ac:dyDescent="0.2">
      <c r="A1066" s="795" t="s">
        <v>8973</v>
      </c>
      <c r="B1066" s="138" t="s">
        <v>9604</v>
      </c>
      <c r="C1066" s="139" t="s">
        <v>9605</v>
      </c>
      <c r="D1066" s="140" t="s">
        <v>9610</v>
      </c>
      <c r="E1066" s="141" t="s">
        <v>8081</v>
      </c>
      <c r="F1066" s="142" t="s">
        <v>8082</v>
      </c>
      <c r="G1066" s="143">
        <v>213.44</v>
      </c>
      <c r="H1066" s="144" t="s">
        <v>730</v>
      </c>
      <c r="I1066" s="145"/>
      <c r="J1066" s="145"/>
      <c r="K1066" s="146">
        <v>213.44</v>
      </c>
    </row>
    <row r="1067" spans="1:11" s="147" customFormat="1" ht="11.25" customHeight="1" x14ac:dyDescent="0.2">
      <c r="A1067" s="795" t="s">
        <v>8973</v>
      </c>
      <c r="B1067" s="138" t="s">
        <v>9604</v>
      </c>
      <c r="C1067" s="139" t="s">
        <v>9605</v>
      </c>
      <c r="D1067" s="140" t="s">
        <v>9606</v>
      </c>
      <c r="E1067" s="141" t="s">
        <v>8081</v>
      </c>
      <c r="F1067" s="142" t="s">
        <v>9607</v>
      </c>
      <c r="G1067" s="143">
        <v>217.62</v>
      </c>
      <c r="H1067" s="144" t="s">
        <v>730</v>
      </c>
      <c r="I1067" s="145"/>
      <c r="J1067" s="145"/>
      <c r="K1067" s="146">
        <v>217.62</v>
      </c>
    </row>
    <row r="1068" spans="1:11" s="147" customFormat="1" ht="11.25" customHeight="1" x14ac:dyDescent="0.2">
      <c r="A1068" s="795" t="s">
        <v>8973</v>
      </c>
      <c r="B1068" s="138" t="s">
        <v>9604</v>
      </c>
      <c r="C1068" s="139" t="s">
        <v>9605</v>
      </c>
      <c r="D1068" s="140" t="s">
        <v>9609</v>
      </c>
      <c r="E1068" s="141" t="s">
        <v>8081</v>
      </c>
      <c r="F1068" s="142" t="s">
        <v>9487</v>
      </c>
      <c r="G1068" s="143">
        <v>222.72</v>
      </c>
      <c r="H1068" s="144" t="s">
        <v>730</v>
      </c>
      <c r="I1068" s="145"/>
      <c r="J1068" s="145"/>
      <c r="K1068" s="146">
        <v>222.72</v>
      </c>
    </row>
    <row r="1069" spans="1:11" s="147" customFormat="1" ht="11.25" customHeight="1" x14ac:dyDescent="0.2">
      <c r="A1069" s="795" t="s">
        <v>8973</v>
      </c>
      <c r="B1069" s="138" t="s">
        <v>9604</v>
      </c>
      <c r="C1069" s="139" t="s">
        <v>9605</v>
      </c>
      <c r="D1069" s="140" t="s">
        <v>9606</v>
      </c>
      <c r="E1069" s="141" t="s">
        <v>8081</v>
      </c>
      <c r="F1069" s="142" t="s">
        <v>9607</v>
      </c>
      <c r="G1069" s="143">
        <v>289.81</v>
      </c>
      <c r="H1069" s="144" t="s">
        <v>730</v>
      </c>
      <c r="I1069" s="145"/>
      <c r="J1069" s="145"/>
      <c r="K1069" s="146">
        <v>289.81</v>
      </c>
    </row>
    <row r="1070" spans="1:11" s="147" customFormat="1" ht="11.25" customHeight="1" x14ac:dyDescent="0.2">
      <c r="A1070" s="795" t="s">
        <v>8973</v>
      </c>
      <c r="B1070" s="138" t="s">
        <v>9604</v>
      </c>
      <c r="C1070" s="139" t="s">
        <v>9605</v>
      </c>
      <c r="D1070" s="140" t="s">
        <v>9608</v>
      </c>
      <c r="E1070" s="141" t="s">
        <v>8081</v>
      </c>
      <c r="F1070" s="142" t="s">
        <v>9607</v>
      </c>
      <c r="G1070" s="143">
        <v>291.66000000000003</v>
      </c>
      <c r="H1070" s="144" t="s">
        <v>730</v>
      </c>
      <c r="I1070" s="145"/>
      <c r="J1070" s="145"/>
      <c r="K1070" s="146">
        <v>291.66000000000003</v>
      </c>
    </row>
    <row r="1071" spans="1:11" s="147" customFormat="1" ht="11.25" customHeight="1" x14ac:dyDescent="0.2">
      <c r="A1071" s="795" t="s">
        <v>8973</v>
      </c>
      <c r="B1071" s="138" t="s">
        <v>9604</v>
      </c>
      <c r="C1071" s="139" t="s">
        <v>9605</v>
      </c>
      <c r="D1071" s="140" t="s">
        <v>9609</v>
      </c>
      <c r="E1071" s="141" t="s">
        <v>8081</v>
      </c>
      <c r="F1071" s="142" t="s">
        <v>9487</v>
      </c>
      <c r="G1071" s="143">
        <v>291.66000000000003</v>
      </c>
      <c r="H1071" s="144" t="s">
        <v>730</v>
      </c>
      <c r="I1071" s="145"/>
      <c r="J1071" s="145"/>
      <c r="K1071" s="146">
        <v>291.66000000000003</v>
      </c>
    </row>
    <row r="1072" spans="1:11" s="147" customFormat="1" ht="11.25" customHeight="1" x14ac:dyDescent="0.2">
      <c r="A1072" s="795" t="s">
        <v>8973</v>
      </c>
      <c r="B1072" s="138" t="s">
        <v>9604</v>
      </c>
      <c r="C1072" s="139" t="s">
        <v>9605</v>
      </c>
      <c r="D1072" s="140" t="s">
        <v>9606</v>
      </c>
      <c r="E1072" s="141" t="s">
        <v>8081</v>
      </c>
      <c r="F1072" s="142" t="s">
        <v>9607</v>
      </c>
      <c r="G1072" s="143">
        <v>303.87</v>
      </c>
      <c r="H1072" s="144" t="s">
        <v>730</v>
      </c>
      <c r="I1072" s="145"/>
      <c r="J1072" s="145"/>
      <c r="K1072" s="146">
        <v>303.87</v>
      </c>
    </row>
    <row r="1073" spans="1:11" s="147" customFormat="1" ht="11.25" customHeight="1" x14ac:dyDescent="0.2">
      <c r="A1073" s="795" t="s">
        <v>8973</v>
      </c>
      <c r="B1073" s="138" t="s">
        <v>9604</v>
      </c>
      <c r="C1073" s="139" t="s">
        <v>9605</v>
      </c>
      <c r="D1073" s="140" t="s">
        <v>9608</v>
      </c>
      <c r="E1073" s="141" t="s">
        <v>8081</v>
      </c>
      <c r="F1073" s="142" t="s">
        <v>9607</v>
      </c>
      <c r="G1073" s="143">
        <v>312.16000000000003</v>
      </c>
      <c r="H1073" s="144" t="s">
        <v>730</v>
      </c>
      <c r="I1073" s="145"/>
      <c r="J1073" s="145"/>
      <c r="K1073" s="146">
        <v>312.16000000000003</v>
      </c>
    </row>
    <row r="1074" spans="1:11" s="147" customFormat="1" ht="11.25" customHeight="1" x14ac:dyDescent="0.2">
      <c r="A1074" s="795" t="s">
        <v>8973</v>
      </c>
      <c r="B1074" s="138" t="s">
        <v>9604</v>
      </c>
      <c r="C1074" s="139" t="s">
        <v>9605</v>
      </c>
      <c r="D1074" s="140" t="s">
        <v>9609</v>
      </c>
      <c r="E1074" s="141" t="s">
        <v>8081</v>
      </c>
      <c r="F1074" s="142" t="s">
        <v>9487</v>
      </c>
      <c r="G1074" s="143">
        <v>312.16000000000003</v>
      </c>
      <c r="H1074" s="144" t="s">
        <v>730</v>
      </c>
      <c r="I1074" s="145"/>
      <c r="J1074" s="145"/>
      <c r="K1074" s="146">
        <v>312.16000000000003</v>
      </c>
    </row>
    <row r="1075" spans="1:11" s="147" customFormat="1" ht="11.25" customHeight="1" x14ac:dyDescent="0.2">
      <c r="A1075" s="795" t="s">
        <v>8973</v>
      </c>
      <c r="B1075" s="138" t="s">
        <v>9604</v>
      </c>
      <c r="C1075" s="139" t="s">
        <v>9605</v>
      </c>
      <c r="D1075" s="140" t="s">
        <v>9611</v>
      </c>
      <c r="E1075" s="141" t="s">
        <v>8081</v>
      </c>
      <c r="F1075" s="142" t="s">
        <v>9309</v>
      </c>
      <c r="G1075" s="143">
        <v>387.22</v>
      </c>
      <c r="H1075" s="144" t="s">
        <v>730</v>
      </c>
      <c r="I1075" s="145"/>
      <c r="J1075" s="145"/>
      <c r="K1075" s="146">
        <v>387.22</v>
      </c>
    </row>
    <row r="1076" spans="1:11" s="147" customFormat="1" ht="11.25" customHeight="1" x14ac:dyDescent="0.2">
      <c r="A1076" s="795" t="s">
        <v>9489</v>
      </c>
      <c r="B1076" s="138" t="s">
        <v>9604</v>
      </c>
      <c r="C1076" s="139" t="s">
        <v>8089</v>
      </c>
      <c r="D1076" s="140" t="s">
        <v>9612</v>
      </c>
      <c r="E1076" s="141" t="s">
        <v>9492</v>
      </c>
      <c r="F1076" s="142" t="s">
        <v>8976</v>
      </c>
      <c r="G1076" s="143">
        <v>406</v>
      </c>
      <c r="H1076" s="144" t="s">
        <v>730</v>
      </c>
      <c r="I1076" s="145"/>
      <c r="J1076" s="145"/>
      <c r="K1076" s="146">
        <v>406</v>
      </c>
    </row>
    <row r="1077" spans="1:11" s="147" customFormat="1" ht="11.25" customHeight="1" x14ac:dyDescent="0.2">
      <c r="A1077" s="795" t="s">
        <v>9489</v>
      </c>
      <c r="B1077" s="138" t="s">
        <v>9604</v>
      </c>
      <c r="C1077" s="139" t="s">
        <v>8089</v>
      </c>
      <c r="D1077" s="140" t="s">
        <v>9613</v>
      </c>
      <c r="E1077" s="141" t="s">
        <v>9492</v>
      </c>
      <c r="F1077" s="142" t="s">
        <v>9614</v>
      </c>
      <c r="G1077" s="143">
        <v>406</v>
      </c>
      <c r="H1077" s="144" t="s">
        <v>730</v>
      </c>
      <c r="I1077" s="145"/>
      <c r="J1077" s="145"/>
      <c r="K1077" s="146">
        <v>406</v>
      </c>
    </row>
    <row r="1078" spans="1:11" s="147" customFormat="1" ht="11.25" customHeight="1" x14ac:dyDescent="0.2">
      <c r="A1078" s="795" t="s">
        <v>9489</v>
      </c>
      <c r="B1078" s="138" t="s">
        <v>9604</v>
      </c>
      <c r="C1078" s="139" t="s">
        <v>8089</v>
      </c>
      <c r="D1078" s="140" t="s">
        <v>9613</v>
      </c>
      <c r="E1078" s="141" t="s">
        <v>9492</v>
      </c>
      <c r="F1078" s="142" t="s">
        <v>9614</v>
      </c>
      <c r="G1078" s="143">
        <v>406</v>
      </c>
      <c r="H1078" s="144" t="s">
        <v>730</v>
      </c>
      <c r="I1078" s="145"/>
      <c r="J1078" s="145"/>
      <c r="K1078" s="146">
        <v>406</v>
      </c>
    </row>
    <row r="1079" spans="1:11" s="147" customFormat="1" ht="11.25" customHeight="1" x14ac:dyDescent="0.2">
      <c r="A1079" s="795" t="s">
        <v>9489</v>
      </c>
      <c r="B1079" s="138" t="s">
        <v>9604</v>
      </c>
      <c r="C1079" s="139" t="s">
        <v>8089</v>
      </c>
      <c r="D1079" s="140" t="s">
        <v>9613</v>
      </c>
      <c r="E1079" s="141" t="s">
        <v>9492</v>
      </c>
      <c r="F1079" s="142" t="s">
        <v>9614</v>
      </c>
      <c r="G1079" s="143">
        <v>406</v>
      </c>
      <c r="H1079" s="144" t="s">
        <v>730</v>
      </c>
      <c r="I1079" s="145"/>
      <c r="J1079" s="145"/>
      <c r="K1079" s="146">
        <v>406</v>
      </c>
    </row>
    <row r="1080" spans="1:11" s="147" customFormat="1" ht="11.25" customHeight="1" x14ac:dyDescent="0.2">
      <c r="A1080" s="795" t="s">
        <v>8973</v>
      </c>
      <c r="B1080" s="138" t="s">
        <v>9604</v>
      </c>
      <c r="C1080" s="139" t="s">
        <v>9605</v>
      </c>
      <c r="D1080" s="140" t="s">
        <v>9609</v>
      </c>
      <c r="E1080" s="141" t="s">
        <v>8081</v>
      </c>
      <c r="F1080" s="142" t="s">
        <v>9487</v>
      </c>
      <c r="G1080" s="143">
        <v>429.2</v>
      </c>
      <c r="H1080" s="144" t="s">
        <v>730</v>
      </c>
      <c r="I1080" s="145"/>
      <c r="J1080" s="145"/>
      <c r="K1080" s="146">
        <v>429.2</v>
      </c>
    </row>
    <row r="1081" spans="1:11" s="147" customFormat="1" ht="11.25" customHeight="1" x14ac:dyDescent="0.2">
      <c r="A1081" s="795" t="s">
        <v>8973</v>
      </c>
      <c r="B1081" s="138" t="s">
        <v>9604</v>
      </c>
      <c r="C1081" s="139" t="s">
        <v>9605</v>
      </c>
      <c r="D1081" s="140" t="s">
        <v>9608</v>
      </c>
      <c r="E1081" s="141" t="s">
        <v>8081</v>
      </c>
      <c r="F1081" s="142" t="s">
        <v>9607</v>
      </c>
      <c r="G1081" s="143">
        <v>445.44</v>
      </c>
      <c r="H1081" s="144" t="s">
        <v>730</v>
      </c>
      <c r="I1081" s="145"/>
      <c r="J1081" s="145"/>
      <c r="K1081" s="146">
        <v>445.44</v>
      </c>
    </row>
    <row r="1082" spans="1:11" s="147" customFormat="1" ht="11.25" customHeight="1" x14ac:dyDescent="0.2">
      <c r="A1082" s="795" t="s">
        <v>9489</v>
      </c>
      <c r="B1082" s="138" t="s">
        <v>9604</v>
      </c>
      <c r="C1082" s="139" t="s">
        <v>8089</v>
      </c>
      <c r="D1082" s="140" t="s">
        <v>9612</v>
      </c>
      <c r="E1082" s="141" t="s">
        <v>9492</v>
      </c>
      <c r="F1082" s="142" t="s">
        <v>8976</v>
      </c>
      <c r="G1082" s="143">
        <v>464</v>
      </c>
      <c r="H1082" s="144" t="s">
        <v>730</v>
      </c>
      <c r="I1082" s="145"/>
      <c r="J1082" s="145"/>
      <c r="K1082" s="146">
        <v>464</v>
      </c>
    </row>
    <row r="1083" spans="1:11" s="147" customFormat="1" ht="11.25" customHeight="1" x14ac:dyDescent="0.2">
      <c r="A1083" s="795" t="s">
        <v>8973</v>
      </c>
      <c r="B1083" s="138" t="s">
        <v>9604</v>
      </c>
      <c r="C1083" s="139" t="s">
        <v>9605</v>
      </c>
      <c r="D1083" s="140" t="s">
        <v>9606</v>
      </c>
      <c r="E1083" s="141" t="s">
        <v>8081</v>
      </c>
      <c r="F1083" s="142" t="s">
        <v>9607</v>
      </c>
      <c r="G1083" s="143">
        <v>468.64</v>
      </c>
      <c r="H1083" s="144" t="s">
        <v>730</v>
      </c>
      <c r="I1083" s="145"/>
      <c r="J1083" s="145"/>
      <c r="K1083" s="146">
        <v>468.64</v>
      </c>
    </row>
    <row r="1084" spans="1:11" s="147" customFormat="1" ht="11.25" customHeight="1" x14ac:dyDescent="0.2">
      <c r="A1084" s="795" t="s">
        <v>9489</v>
      </c>
      <c r="B1084" s="138" t="s">
        <v>9604</v>
      </c>
      <c r="C1084" s="139" t="s">
        <v>8089</v>
      </c>
      <c r="D1084" s="140" t="s">
        <v>9615</v>
      </c>
      <c r="E1084" s="141" t="s">
        <v>9492</v>
      </c>
      <c r="F1084" s="142" t="s">
        <v>8116</v>
      </c>
      <c r="G1084" s="143">
        <v>522</v>
      </c>
      <c r="H1084" s="144" t="s">
        <v>730</v>
      </c>
      <c r="I1084" s="145"/>
      <c r="J1084" s="145"/>
      <c r="K1084" s="146">
        <v>522</v>
      </c>
    </row>
    <row r="1085" spans="1:11" s="147" customFormat="1" ht="11.25" customHeight="1" x14ac:dyDescent="0.2">
      <c r="A1085" s="795" t="s">
        <v>8973</v>
      </c>
      <c r="B1085" s="138" t="s">
        <v>9604</v>
      </c>
      <c r="C1085" s="139" t="s">
        <v>9605</v>
      </c>
      <c r="D1085" s="140" t="s">
        <v>9611</v>
      </c>
      <c r="E1085" s="141" t="s">
        <v>8081</v>
      </c>
      <c r="F1085" s="142" t="s">
        <v>9309</v>
      </c>
      <c r="G1085" s="143">
        <v>543.58000000000004</v>
      </c>
      <c r="H1085" s="144" t="s">
        <v>730</v>
      </c>
      <c r="I1085" s="145"/>
      <c r="J1085" s="145"/>
      <c r="K1085" s="146">
        <v>543.58000000000004</v>
      </c>
    </row>
    <row r="1086" spans="1:11" s="147" customFormat="1" ht="11.25" customHeight="1" x14ac:dyDescent="0.2">
      <c r="A1086" s="795" t="s">
        <v>8973</v>
      </c>
      <c r="B1086" s="138" t="s">
        <v>9604</v>
      </c>
      <c r="C1086" s="139" t="s">
        <v>9605</v>
      </c>
      <c r="D1086" s="140" t="s">
        <v>9616</v>
      </c>
      <c r="E1086" s="141" t="s">
        <v>8081</v>
      </c>
      <c r="F1086" s="142" t="s">
        <v>8116</v>
      </c>
      <c r="G1086" s="143">
        <v>647.42999999999995</v>
      </c>
      <c r="H1086" s="144" t="s">
        <v>730</v>
      </c>
      <c r="I1086" s="145"/>
      <c r="J1086" s="145"/>
      <c r="K1086" s="146">
        <v>647.42999999999995</v>
      </c>
    </row>
    <row r="1087" spans="1:11" s="147" customFormat="1" ht="11.25" customHeight="1" x14ac:dyDescent="0.2">
      <c r="A1087" s="795" t="s">
        <v>8973</v>
      </c>
      <c r="B1087" s="138" t="s">
        <v>9604</v>
      </c>
      <c r="C1087" s="139" t="s">
        <v>9605</v>
      </c>
      <c r="D1087" s="140" t="s">
        <v>9616</v>
      </c>
      <c r="E1087" s="141" t="s">
        <v>8081</v>
      </c>
      <c r="F1087" s="142" t="s">
        <v>8116</v>
      </c>
      <c r="G1087" s="143">
        <v>647.42999999999995</v>
      </c>
      <c r="H1087" s="144" t="s">
        <v>730</v>
      </c>
      <c r="I1087" s="145"/>
      <c r="J1087" s="145"/>
      <c r="K1087" s="146">
        <v>647.42999999999995</v>
      </c>
    </row>
    <row r="1088" spans="1:11" s="147" customFormat="1" ht="11.25" customHeight="1" x14ac:dyDescent="0.2">
      <c r="A1088" s="795" t="s">
        <v>8973</v>
      </c>
      <c r="B1088" s="138" t="s">
        <v>9604</v>
      </c>
      <c r="C1088" s="139" t="s">
        <v>9605</v>
      </c>
      <c r="D1088" s="140" t="s">
        <v>9616</v>
      </c>
      <c r="E1088" s="141" t="s">
        <v>8081</v>
      </c>
      <c r="F1088" s="142" t="s">
        <v>8116</v>
      </c>
      <c r="G1088" s="143">
        <v>647.42999999999995</v>
      </c>
      <c r="H1088" s="144" t="s">
        <v>730</v>
      </c>
      <c r="I1088" s="145"/>
      <c r="J1088" s="145"/>
      <c r="K1088" s="146">
        <v>647.42999999999995</v>
      </c>
    </row>
    <row r="1089" spans="1:11" s="147" customFormat="1" ht="11.25" customHeight="1" x14ac:dyDescent="0.2">
      <c r="A1089" s="795" t="s">
        <v>8973</v>
      </c>
      <c r="B1089" s="138" t="s">
        <v>9604</v>
      </c>
      <c r="C1089" s="139" t="s">
        <v>9605</v>
      </c>
      <c r="D1089" s="140" t="s">
        <v>9608</v>
      </c>
      <c r="E1089" s="141" t="s">
        <v>8081</v>
      </c>
      <c r="F1089" s="142" t="s">
        <v>9607</v>
      </c>
      <c r="G1089" s="143">
        <v>686.72</v>
      </c>
      <c r="H1089" s="144" t="s">
        <v>730</v>
      </c>
      <c r="I1089" s="145"/>
      <c r="J1089" s="145"/>
      <c r="K1089" s="146">
        <v>686.72</v>
      </c>
    </row>
    <row r="1090" spans="1:11" s="147" customFormat="1" ht="11.25" customHeight="1" x14ac:dyDescent="0.2">
      <c r="A1090" s="795" t="s">
        <v>8973</v>
      </c>
      <c r="B1090" s="138" t="s">
        <v>9604</v>
      </c>
      <c r="C1090" s="139" t="s">
        <v>9605</v>
      </c>
      <c r="D1090" s="140" t="s">
        <v>9610</v>
      </c>
      <c r="E1090" s="141" t="s">
        <v>8081</v>
      </c>
      <c r="F1090" s="142" t="s">
        <v>8082</v>
      </c>
      <c r="G1090" s="143">
        <v>707.14</v>
      </c>
      <c r="H1090" s="144" t="s">
        <v>730</v>
      </c>
      <c r="I1090" s="145"/>
      <c r="J1090" s="145"/>
      <c r="K1090" s="146">
        <v>707.14</v>
      </c>
    </row>
    <row r="1091" spans="1:11" s="147" customFormat="1" ht="11.25" customHeight="1" x14ac:dyDescent="0.2">
      <c r="A1091" s="795" t="s">
        <v>9489</v>
      </c>
      <c r="B1091" s="138" t="s">
        <v>9604</v>
      </c>
      <c r="C1091" s="139" t="s">
        <v>8089</v>
      </c>
      <c r="D1091" s="140" t="s">
        <v>9617</v>
      </c>
      <c r="E1091" s="141" t="s">
        <v>9492</v>
      </c>
      <c r="F1091" s="142" t="s">
        <v>8976</v>
      </c>
      <c r="G1091" s="143">
        <v>812</v>
      </c>
      <c r="H1091" s="144" t="s">
        <v>730</v>
      </c>
      <c r="I1091" s="145"/>
      <c r="J1091" s="145"/>
      <c r="K1091" s="146">
        <v>812</v>
      </c>
    </row>
    <row r="1092" spans="1:11" s="147" customFormat="1" ht="11.25" customHeight="1" x14ac:dyDescent="0.2">
      <c r="A1092" s="795" t="s">
        <v>8973</v>
      </c>
      <c r="B1092" s="138" t="s">
        <v>9604</v>
      </c>
      <c r="C1092" s="139" t="s">
        <v>9605</v>
      </c>
      <c r="D1092" s="140" t="s">
        <v>9616</v>
      </c>
      <c r="E1092" s="141" t="s">
        <v>8081</v>
      </c>
      <c r="F1092" s="142" t="s">
        <v>8116</v>
      </c>
      <c r="G1092" s="143">
        <v>844.18</v>
      </c>
      <c r="H1092" s="144" t="s">
        <v>730</v>
      </c>
      <c r="I1092" s="145"/>
      <c r="J1092" s="145"/>
      <c r="K1092" s="146">
        <v>844.18</v>
      </c>
    </row>
    <row r="1093" spans="1:11" s="147" customFormat="1" ht="11.25" customHeight="1" x14ac:dyDescent="0.2">
      <c r="A1093" s="795" t="s">
        <v>8973</v>
      </c>
      <c r="B1093" s="138" t="s">
        <v>9604</v>
      </c>
      <c r="C1093" s="139" t="s">
        <v>9605</v>
      </c>
      <c r="D1093" s="140" t="s">
        <v>9608</v>
      </c>
      <c r="E1093" s="141" t="s">
        <v>8081</v>
      </c>
      <c r="F1093" s="142" t="s">
        <v>9607</v>
      </c>
      <c r="G1093" s="143">
        <v>858.4</v>
      </c>
      <c r="H1093" s="144" t="s">
        <v>730</v>
      </c>
      <c r="I1093" s="145"/>
      <c r="J1093" s="145"/>
      <c r="K1093" s="146">
        <v>858.4</v>
      </c>
    </row>
    <row r="1094" spans="1:11" s="147" customFormat="1" ht="11.25" customHeight="1" x14ac:dyDescent="0.2">
      <c r="A1094" s="795" t="s">
        <v>9489</v>
      </c>
      <c r="B1094" s="138" t="s">
        <v>9604</v>
      </c>
      <c r="C1094" s="139" t="s">
        <v>8089</v>
      </c>
      <c r="D1094" s="140" t="s">
        <v>9618</v>
      </c>
      <c r="E1094" s="141" t="s">
        <v>9492</v>
      </c>
      <c r="F1094" s="142" t="s">
        <v>8133</v>
      </c>
      <c r="G1094" s="143">
        <v>870</v>
      </c>
      <c r="H1094" s="144" t="s">
        <v>730</v>
      </c>
      <c r="I1094" s="145"/>
      <c r="J1094" s="145"/>
      <c r="K1094" s="146">
        <v>870</v>
      </c>
    </row>
    <row r="1095" spans="1:11" s="147" customFormat="1" ht="11.25" customHeight="1" x14ac:dyDescent="0.2">
      <c r="A1095" s="795" t="s">
        <v>9489</v>
      </c>
      <c r="B1095" s="138" t="s">
        <v>9604</v>
      </c>
      <c r="C1095" s="139" t="s">
        <v>8089</v>
      </c>
      <c r="D1095" s="140" t="s">
        <v>9618</v>
      </c>
      <c r="E1095" s="141" t="s">
        <v>9492</v>
      </c>
      <c r="F1095" s="142" t="s">
        <v>8133</v>
      </c>
      <c r="G1095" s="143">
        <v>900.16</v>
      </c>
      <c r="H1095" s="144" t="s">
        <v>730</v>
      </c>
      <c r="I1095" s="145"/>
      <c r="J1095" s="145"/>
      <c r="K1095" s="146">
        <v>900.16</v>
      </c>
    </row>
    <row r="1096" spans="1:11" s="147" customFormat="1" ht="11.25" customHeight="1" x14ac:dyDescent="0.2">
      <c r="A1096" s="795" t="s">
        <v>9489</v>
      </c>
      <c r="B1096" s="138" t="s">
        <v>9604</v>
      </c>
      <c r="C1096" s="139" t="s">
        <v>8089</v>
      </c>
      <c r="D1096" s="140" t="s">
        <v>9617</v>
      </c>
      <c r="E1096" s="141" t="s">
        <v>9492</v>
      </c>
      <c r="F1096" s="142" t="s">
        <v>8976</v>
      </c>
      <c r="G1096" s="143">
        <v>1044</v>
      </c>
      <c r="H1096" s="144" t="s">
        <v>730</v>
      </c>
      <c r="I1096" s="145"/>
      <c r="J1096" s="145"/>
      <c r="K1096" s="146">
        <v>1044</v>
      </c>
    </row>
    <row r="1097" spans="1:11" s="147" customFormat="1" ht="11.25" customHeight="1" x14ac:dyDescent="0.2">
      <c r="A1097" s="795" t="s">
        <v>9489</v>
      </c>
      <c r="B1097" s="138" t="s">
        <v>9604</v>
      </c>
      <c r="C1097" s="139" t="s">
        <v>8089</v>
      </c>
      <c r="D1097" s="140" t="s">
        <v>9618</v>
      </c>
      <c r="E1097" s="141" t="s">
        <v>9492</v>
      </c>
      <c r="F1097" s="142" t="s">
        <v>8133</v>
      </c>
      <c r="G1097" s="143">
        <v>1392</v>
      </c>
      <c r="H1097" s="144" t="s">
        <v>730</v>
      </c>
      <c r="I1097" s="145"/>
      <c r="J1097" s="145"/>
      <c r="K1097" s="146">
        <v>1392</v>
      </c>
    </row>
    <row r="1098" spans="1:11" s="147" customFormat="1" ht="11.25" customHeight="1" x14ac:dyDescent="0.2">
      <c r="A1098" s="795" t="s">
        <v>9489</v>
      </c>
      <c r="B1098" s="138" t="s">
        <v>9604</v>
      </c>
      <c r="C1098" s="139" t="s">
        <v>8089</v>
      </c>
      <c r="D1098" s="140" t="s">
        <v>9619</v>
      </c>
      <c r="E1098" s="141" t="s">
        <v>9492</v>
      </c>
      <c r="F1098" s="142" t="s">
        <v>8133</v>
      </c>
      <c r="G1098" s="143">
        <v>1624</v>
      </c>
      <c r="H1098" s="144" t="s">
        <v>730</v>
      </c>
      <c r="I1098" s="145"/>
      <c r="J1098" s="145"/>
      <c r="K1098" s="146">
        <v>1624</v>
      </c>
    </row>
    <row r="1099" spans="1:11" s="147" customFormat="1" ht="11.25" customHeight="1" x14ac:dyDescent="0.2">
      <c r="A1099" s="795" t="s">
        <v>8973</v>
      </c>
      <c r="B1099" s="138" t="s">
        <v>9604</v>
      </c>
      <c r="C1099" s="139" t="s">
        <v>9605</v>
      </c>
      <c r="D1099" s="140" t="s">
        <v>9620</v>
      </c>
      <c r="E1099" s="141" t="s">
        <v>8081</v>
      </c>
      <c r="F1099" s="142" t="s">
        <v>8116</v>
      </c>
      <c r="G1099" s="143">
        <v>1655.4</v>
      </c>
      <c r="H1099" s="144" t="s">
        <v>730</v>
      </c>
      <c r="I1099" s="145"/>
      <c r="J1099" s="145"/>
      <c r="K1099" s="146">
        <v>1655.4</v>
      </c>
    </row>
    <row r="1100" spans="1:11" s="147" customFormat="1" ht="11.25" customHeight="1" x14ac:dyDescent="0.2">
      <c r="A1100" s="795" t="s">
        <v>8973</v>
      </c>
      <c r="B1100" s="138" t="s">
        <v>9604</v>
      </c>
      <c r="C1100" s="139" t="s">
        <v>9605</v>
      </c>
      <c r="D1100" s="140" t="s">
        <v>9620</v>
      </c>
      <c r="E1100" s="141" t="s">
        <v>8081</v>
      </c>
      <c r="F1100" s="142" t="s">
        <v>8116</v>
      </c>
      <c r="G1100" s="143">
        <v>1655.4</v>
      </c>
      <c r="H1100" s="144" t="s">
        <v>730</v>
      </c>
      <c r="I1100" s="145"/>
      <c r="J1100" s="145"/>
      <c r="K1100" s="146">
        <v>1655.4</v>
      </c>
    </row>
    <row r="1101" spans="1:11" s="147" customFormat="1" ht="11.25" customHeight="1" x14ac:dyDescent="0.2">
      <c r="A1101" s="795" t="s">
        <v>8973</v>
      </c>
      <c r="B1101" s="138" t="s">
        <v>9604</v>
      </c>
      <c r="C1101" s="139" t="s">
        <v>9605</v>
      </c>
      <c r="D1101" s="140" t="s">
        <v>9620</v>
      </c>
      <c r="E1101" s="141" t="s">
        <v>8081</v>
      </c>
      <c r="F1101" s="142" t="s">
        <v>8116</v>
      </c>
      <c r="G1101" s="143">
        <v>1655.4</v>
      </c>
      <c r="H1101" s="144" t="s">
        <v>730</v>
      </c>
      <c r="I1101" s="145"/>
      <c r="J1101" s="145"/>
      <c r="K1101" s="146">
        <v>1655.4</v>
      </c>
    </row>
    <row r="1102" spans="1:11" s="147" customFormat="1" ht="11.25" customHeight="1" x14ac:dyDescent="0.2">
      <c r="A1102" s="795" t="s">
        <v>8973</v>
      </c>
      <c r="B1102" s="138" t="s">
        <v>9604</v>
      </c>
      <c r="C1102" s="139" t="s">
        <v>9605</v>
      </c>
      <c r="D1102" s="140" t="s">
        <v>9620</v>
      </c>
      <c r="E1102" s="141" t="s">
        <v>8081</v>
      </c>
      <c r="F1102" s="142" t="s">
        <v>8116</v>
      </c>
      <c r="G1102" s="143">
        <v>1655.4</v>
      </c>
      <c r="H1102" s="144" t="s">
        <v>730</v>
      </c>
      <c r="I1102" s="145"/>
      <c r="J1102" s="145"/>
      <c r="K1102" s="146">
        <v>1655.4</v>
      </c>
    </row>
    <row r="1103" spans="1:11" s="147" customFormat="1" ht="11.25" customHeight="1" x14ac:dyDescent="0.2">
      <c r="A1103" s="795" t="s">
        <v>8973</v>
      </c>
      <c r="B1103" s="138" t="s">
        <v>9604</v>
      </c>
      <c r="C1103" s="139" t="s">
        <v>9605</v>
      </c>
      <c r="D1103" s="140" t="s">
        <v>9620</v>
      </c>
      <c r="E1103" s="141" t="s">
        <v>8081</v>
      </c>
      <c r="F1103" s="142" t="s">
        <v>8116</v>
      </c>
      <c r="G1103" s="143">
        <v>1655.4</v>
      </c>
      <c r="H1103" s="144" t="s">
        <v>730</v>
      </c>
      <c r="I1103" s="145"/>
      <c r="J1103" s="145"/>
      <c r="K1103" s="146">
        <v>1655.4</v>
      </c>
    </row>
    <row r="1104" spans="1:11" s="147" customFormat="1" ht="11.25" customHeight="1" x14ac:dyDescent="0.2">
      <c r="A1104" s="795" t="s">
        <v>8973</v>
      </c>
      <c r="B1104" s="138" t="s">
        <v>9604</v>
      </c>
      <c r="C1104" s="139" t="s">
        <v>9605</v>
      </c>
      <c r="D1104" s="140" t="s">
        <v>9620</v>
      </c>
      <c r="E1104" s="141" t="s">
        <v>8081</v>
      </c>
      <c r="F1104" s="142" t="s">
        <v>8116</v>
      </c>
      <c r="G1104" s="143">
        <v>1655.4</v>
      </c>
      <c r="H1104" s="144" t="s">
        <v>730</v>
      </c>
      <c r="I1104" s="145"/>
      <c r="J1104" s="145"/>
      <c r="K1104" s="146">
        <v>1655.4</v>
      </c>
    </row>
    <row r="1105" spans="1:11" s="147" customFormat="1" ht="11.25" customHeight="1" x14ac:dyDescent="0.2">
      <c r="A1105" s="795" t="s">
        <v>8973</v>
      </c>
      <c r="B1105" s="138" t="s">
        <v>9604</v>
      </c>
      <c r="C1105" s="139" t="s">
        <v>9605</v>
      </c>
      <c r="D1105" s="140" t="s">
        <v>9621</v>
      </c>
      <c r="E1105" s="141" t="s">
        <v>8081</v>
      </c>
      <c r="F1105" s="142" t="s">
        <v>9622</v>
      </c>
      <c r="G1105" s="143">
        <v>1655.4</v>
      </c>
      <c r="H1105" s="144" t="s">
        <v>730</v>
      </c>
      <c r="I1105" s="145"/>
      <c r="J1105" s="145"/>
      <c r="K1105" s="146">
        <v>1655.4</v>
      </c>
    </row>
    <row r="1106" spans="1:11" s="147" customFormat="1" ht="11.25" customHeight="1" x14ac:dyDescent="0.2">
      <c r="A1106" s="795" t="s">
        <v>8973</v>
      </c>
      <c r="B1106" s="138" t="s">
        <v>9604</v>
      </c>
      <c r="C1106" s="139" t="s">
        <v>9605</v>
      </c>
      <c r="D1106" s="140" t="s">
        <v>9621</v>
      </c>
      <c r="E1106" s="141" t="s">
        <v>8081</v>
      </c>
      <c r="F1106" s="142" t="s">
        <v>9622</v>
      </c>
      <c r="G1106" s="143">
        <v>1655.4</v>
      </c>
      <c r="H1106" s="144" t="s">
        <v>730</v>
      </c>
      <c r="I1106" s="145"/>
      <c r="J1106" s="145"/>
      <c r="K1106" s="146">
        <v>1655.4</v>
      </c>
    </row>
    <row r="1107" spans="1:11" s="147" customFormat="1" ht="11.25" customHeight="1" x14ac:dyDescent="0.2">
      <c r="A1107" s="795" t="s">
        <v>8973</v>
      </c>
      <c r="B1107" s="138" t="s">
        <v>9604</v>
      </c>
      <c r="C1107" s="139" t="s">
        <v>9605</v>
      </c>
      <c r="D1107" s="140" t="s">
        <v>9621</v>
      </c>
      <c r="E1107" s="141" t="s">
        <v>8081</v>
      </c>
      <c r="F1107" s="142" t="s">
        <v>9622</v>
      </c>
      <c r="G1107" s="143">
        <v>1655.4</v>
      </c>
      <c r="H1107" s="144" t="s">
        <v>730</v>
      </c>
      <c r="I1107" s="145"/>
      <c r="J1107" s="145"/>
      <c r="K1107" s="146">
        <v>1655.4</v>
      </c>
    </row>
    <row r="1108" spans="1:11" s="147" customFormat="1" ht="11.25" customHeight="1" x14ac:dyDescent="0.2">
      <c r="A1108" s="795" t="s">
        <v>8973</v>
      </c>
      <c r="B1108" s="138" t="s">
        <v>9604</v>
      </c>
      <c r="C1108" s="139" t="s">
        <v>9605</v>
      </c>
      <c r="D1108" s="140" t="s">
        <v>9621</v>
      </c>
      <c r="E1108" s="141" t="s">
        <v>8081</v>
      </c>
      <c r="F1108" s="142" t="s">
        <v>9622</v>
      </c>
      <c r="G1108" s="143">
        <v>1655.4</v>
      </c>
      <c r="H1108" s="144" t="s">
        <v>730</v>
      </c>
      <c r="I1108" s="145"/>
      <c r="J1108" s="145"/>
      <c r="K1108" s="146">
        <v>1655.4</v>
      </c>
    </row>
    <row r="1109" spans="1:11" s="147" customFormat="1" ht="11.25" customHeight="1" x14ac:dyDescent="0.2">
      <c r="A1109" s="795" t="s">
        <v>8973</v>
      </c>
      <c r="B1109" s="138" t="s">
        <v>9604</v>
      </c>
      <c r="C1109" s="139" t="s">
        <v>9605</v>
      </c>
      <c r="D1109" s="140" t="s">
        <v>9621</v>
      </c>
      <c r="E1109" s="141" t="s">
        <v>8081</v>
      </c>
      <c r="F1109" s="142" t="s">
        <v>9622</v>
      </c>
      <c r="G1109" s="143">
        <v>1655.4</v>
      </c>
      <c r="H1109" s="144" t="s">
        <v>730</v>
      </c>
      <c r="I1109" s="145"/>
      <c r="J1109" s="145"/>
      <c r="K1109" s="146">
        <v>1655.4</v>
      </c>
    </row>
    <row r="1110" spans="1:11" s="147" customFormat="1" ht="11.25" customHeight="1" x14ac:dyDescent="0.2">
      <c r="A1110" s="795" t="s">
        <v>8973</v>
      </c>
      <c r="B1110" s="138" t="s">
        <v>9604</v>
      </c>
      <c r="C1110" s="139" t="s">
        <v>9605</v>
      </c>
      <c r="D1110" s="140" t="s">
        <v>9621</v>
      </c>
      <c r="E1110" s="141" t="s">
        <v>8081</v>
      </c>
      <c r="F1110" s="142" t="s">
        <v>9622</v>
      </c>
      <c r="G1110" s="143">
        <v>1655.4</v>
      </c>
      <c r="H1110" s="144" t="s">
        <v>730</v>
      </c>
      <c r="I1110" s="145"/>
      <c r="J1110" s="145"/>
      <c r="K1110" s="146">
        <v>1655.4</v>
      </c>
    </row>
    <row r="1111" spans="1:11" s="147" customFormat="1" ht="11.25" customHeight="1" x14ac:dyDescent="0.2">
      <c r="A1111" s="795" t="s">
        <v>9489</v>
      </c>
      <c r="B1111" s="138" t="s">
        <v>9604</v>
      </c>
      <c r="C1111" s="139" t="s">
        <v>8089</v>
      </c>
      <c r="D1111" s="140" t="s">
        <v>9623</v>
      </c>
      <c r="E1111" s="141" t="s">
        <v>9492</v>
      </c>
      <c r="F1111" s="142" t="s">
        <v>8133</v>
      </c>
      <c r="G1111" s="143">
        <v>1740</v>
      </c>
      <c r="H1111" s="144" t="s">
        <v>730</v>
      </c>
      <c r="I1111" s="145"/>
      <c r="J1111" s="145"/>
      <c r="K1111" s="146">
        <v>1740</v>
      </c>
    </row>
    <row r="1112" spans="1:11" s="147" customFormat="1" ht="11.25" customHeight="1" x14ac:dyDescent="0.2">
      <c r="A1112" s="795" t="s">
        <v>9489</v>
      </c>
      <c r="B1112" s="138" t="s">
        <v>9604</v>
      </c>
      <c r="C1112" s="139" t="s">
        <v>8089</v>
      </c>
      <c r="D1112" s="140" t="s">
        <v>9623</v>
      </c>
      <c r="E1112" s="141" t="s">
        <v>9492</v>
      </c>
      <c r="F1112" s="142" t="s">
        <v>8133</v>
      </c>
      <c r="G1112" s="143">
        <v>1740</v>
      </c>
      <c r="H1112" s="144" t="s">
        <v>730</v>
      </c>
      <c r="I1112" s="145"/>
      <c r="J1112" s="145"/>
      <c r="K1112" s="146">
        <v>1740</v>
      </c>
    </row>
    <row r="1113" spans="1:11" s="147" customFormat="1" ht="11.25" customHeight="1" x14ac:dyDescent="0.2">
      <c r="A1113" s="795" t="s">
        <v>9489</v>
      </c>
      <c r="B1113" s="138" t="s">
        <v>9604</v>
      </c>
      <c r="C1113" s="139" t="s">
        <v>8089</v>
      </c>
      <c r="D1113" s="140" t="s">
        <v>9623</v>
      </c>
      <c r="E1113" s="141" t="s">
        <v>9492</v>
      </c>
      <c r="F1113" s="142" t="s">
        <v>8133</v>
      </c>
      <c r="G1113" s="143">
        <v>2296.8000000000002</v>
      </c>
      <c r="H1113" s="144" t="s">
        <v>730</v>
      </c>
      <c r="I1113" s="145"/>
      <c r="J1113" s="145"/>
      <c r="K1113" s="146">
        <v>2296.8000000000002</v>
      </c>
    </row>
    <row r="1114" spans="1:11" s="147" customFormat="1" ht="11.25" customHeight="1" x14ac:dyDescent="0.2">
      <c r="A1114" s="795" t="s">
        <v>9489</v>
      </c>
      <c r="B1114" s="138" t="s">
        <v>9604</v>
      </c>
      <c r="C1114" s="139" t="s">
        <v>8089</v>
      </c>
      <c r="D1114" s="140" t="s">
        <v>9619</v>
      </c>
      <c r="E1114" s="141" t="s">
        <v>9492</v>
      </c>
      <c r="F1114" s="142" t="s">
        <v>8133</v>
      </c>
      <c r="G1114" s="143">
        <v>2644.8</v>
      </c>
      <c r="H1114" s="144" t="s">
        <v>730</v>
      </c>
      <c r="I1114" s="145"/>
      <c r="J1114" s="145"/>
      <c r="K1114" s="146">
        <v>2644.8</v>
      </c>
    </row>
    <row r="1115" spans="1:11" s="147" customFormat="1" ht="11.25" customHeight="1" x14ac:dyDescent="0.2">
      <c r="A1115" s="795" t="s">
        <v>9489</v>
      </c>
      <c r="B1115" s="138" t="s">
        <v>9604</v>
      </c>
      <c r="C1115" s="139" t="s">
        <v>8089</v>
      </c>
      <c r="D1115" s="140" t="s">
        <v>9619</v>
      </c>
      <c r="E1115" s="141" t="s">
        <v>9492</v>
      </c>
      <c r="F1115" s="142" t="s">
        <v>8133</v>
      </c>
      <c r="G1115" s="143">
        <v>2644.8</v>
      </c>
      <c r="H1115" s="144" t="s">
        <v>730</v>
      </c>
      <c r="I1115" s="145"/>
      <c r="J1115" s="145"/>
      <c r="K1115" s="146">
        <v>2644.8</v>
      </c>
    </row>
    <row r="1116" spans="1:11" s="147" customFormat="1" ht="11.25" customHeight="1" x14ac:dyDescent="0.2">
      <c r="A1116" s="795" t="s">
        <v>8973</v>
      </c>
      <c r="B1116" s="138" t="s">
        <v>9604</v>
      </c>
      <c r="C1116" s="139" t="s">
        <v>9605</v>
      </c>
      <c r="D1116" s="140" t="s">
        <v>9616</v>
      </c>
      <c r="E1116" s="141" t="s">
        <v>8081</v>
      </c>
      <c r="F1116" s="142" t="s">
        <v>8116</v>
      </c>
      <c r="G1116" s="143">
        <v>3653.94</v>
      </c>
      <c r="H1116" s="144" t="s">
        <v>730</v>
      </c>
      <c r="I1116" s="145"/>
      <c r="J1116" s="145"/>
      <c r="K1116" s="146">
        <v>3653.94</v>
      </c>
    </row>
    <row r="1117" spans="1:11" s="147" customFormat="1" ht="11.25" customHeight="1" x14ac:dyDescent="0.2">
      <c r="A1117" s="795" t="s">
        <v>9489</v>
      </c>
      <c r="B1117" s="138" t="s">
        <v>9604</v>
      </c>
      <c r="C1117" s="139" t="s">
        <v>8089</v>
      </c>
      <c r="D1117" s="140" t="s">
        <v>9624</v>
      </c>
      <c r="E1117" s="141" t="s">
        <v>9492</v>
      </c>
      <c r="F1117" s="142" t="s">
        <v>8133</v>
      </c>
      <c r="G1117" s="143">
        <v>4060</v>
      </c>
      <c r="H1117" s="144" t="s">
        <v>730</v>
      </c>
      <c r="I1117" s="145"/>
      <c r="J1117" s="145"/>
      <c r="K1117" s="146">
        <v>4060</v>
      </c>
    </row>
    <row r="1118" spans="1:11" s="147" customFormat="1" ht="11.25" customHeight="1" x14ac:dyDescent="0.2">
      <c r="A1118" s="795" t="s">
        <v>9489</v>
      </c>
      <c r="B1118" s="138" t="s">
        <v>9604</v>
      </c>
      <c r="C1118" s="139" t="s">
        <v>8089</v>
      </c>
      <c r="D1118" s="140" t="s">
        <v>9623</v>
      </c>
      <c r="E1118" s="141" t="s">
        <v>9492</v>
      </c>
      <c r="F1118" s="142" t="s">
        <v>8133</v>
      </c>
      <c r="G1118" s="143">
        <v>4570.3999999999996</v>
      </c>
      <c r="H1118" s="144" t="s">
        <v>730</v>
      </c>
      <c r="I1118" s="145"/>
      <c r="J1118" s="145"/>
      <c r="K1118" s="146">
        <v>4570.3999999999996</v>
      </c>
    </row>
    <row r="1119" spans="1:11" s="147" customFormat="1" ht="11.25" customHeight="1" x14ac:dyDescent="0.2">
      <c r="A1119" s="795" t="s">
        <v>9625</v>
      </c>
      <c r="B1119" s="138" t="s">
        <v>9604</v>
      </c>
      <c r="C1119" s="139" t="s">
        <v>9118</v>
      </c>
      <c r="D1119" s="140" t="s">
        <v>9626</v>
      </c>
      <c r="E1119" s="141" t="s">
        <v>8123</v>
      </c>
      <c r="F1119" s="142" t="s">
        <v>8976</v>
      </c>
      <c r="G1119" s="143">
        <v>5.48</v>
      </c>
      <c r="H1119" s="144" t="s">
        <v>730</v>
      </c>
      <c r="I1119" s="145"/>
      <c r="J1119" s="145"/>
      <c r="K1119" s="146">
        <v>5.48</v>
      </c>
    </row>
    <row r="1120" spans="1:11" s="147" customFormat="1" ht="11.25" customHeight="1" x14ac:dyDescent="0.2">
      <c r="A1120" s="795" t="s">
        <v>9625</v>
      </c>
      <c r="B1120" s="138" t="s">
        <v>9604</v>
      </c>
      <c r="C1120" s="139" t="s">
        <v>9118</v>
      </c>
      <c r="D1120" s="140" t="s">
        <v>9627</v>
      </c>
      <c r="E1120" s="141" t="s">
        <v>8123</v>
      </c>
      <c r="F1120" s="142" t="s">
        <v>9301</v>
      </c>
      <c r="G1120" s="143">
        <v>6.7</v>
      </c>
      <c r="H1120" s="144" t="s">
        <v>730</v>
      </c>
      <c r="I1120" s="145"/>
      <c r="J1120" s="145"/>
      <c r="K1120" s="146">
        <v>6.7</v>
      </c>
    </row>
    <row r="1121" spans="1:11" s="147" customFormat="1" ht="11.25" customHeight="1" x14ac:dyDescent="0.2">
      <c r="A1121" s="795" t="s">
        <v>9625</v>
      </c>
      <c r="B1121" s="138" t="s">
        <v>9604</v>
      </c>
      <c r="C1121" s="139" t="s">
        <v>9118</v>
      </c>
      <c r="D1121" s="140" t="s">
        <v>9628</v>
      </c>
      <c r="E1121" s="141" t="s">
        <v>8123</v>
      </c>
      <c r="F1121" s="142" t="s">
        <v>9301</v>
      </c>
      <c r="G1121" s="143">
        <v>8.14</v>
      </c>
      <c r="H1121" s="144" t="s">
        <v>730</v>
      </c>
      <c r="I1121" s="145"/>
      <c r="J1121" s="145"/>
      <c r="K1121" s="146">
        <v>8.14</v>
      </c>
    </row>
    <row r="1122" spans="1:11" s="147" customFormat="1" ht="11.25" customHeight="1" x14ac:dyDescent="0.2">
      <c r="A1122" s="795" t="s">
        <v>9625</v>
      </c>
      <c r="B1122" s="138" t="s">
        <v>9604</v>
      </c>
      <c r="C1122" s="139" t="s">
        <v>9118</v>
      </c>
      <c r="D1122" s="140" t="s">
        <v>9629</v>
      </c>
      <c r="E1122" s="141" t="s">
        <v>8123</v>
      </c>
      <c r="F1122" s="142" t="s">
        <v>8082</v>
      </c>
      <c r="G1122" s="143">
        <v>10.56</v>
      </c>
      <c r="H1122" s="144" t="s">
        <v>730</v>
      </c>
      <c r="I1122" s="145"/>
      <c r="J1122" s="145"/>
      <c r="K1122" s="146">
        <v>10.56</v>
      </c>
    </row>
    <row r="1123" spans="1:11" s="147" customFormat="1" ht="11.25" customHeight="1" x14ac:dyDescent="0.2">
      <c r="A1123" s="795" t="s">
        <v>9625</v>
      </c>
      <c r="B1123" s="138" t="s">
        <v>9604</v>
      </c>
      <c r="C1123" s="139" t="s">
        <v>9118</v>
      </c>
      <c r="D1123" s="140" t="s">
        <v>9628</v>
      </c>
      <c r="E1123" s="141" t="s">
        <v>8123</v>
      </c>
      <c r="F1123" s="142" t="s">
        <v>9301</v>
      </c>
      <c r="G1123" s="143">
        <v>15.27</v>
      </c>
      <c r="H1123" s="144" t="s">
        <v>730</v>
      </c>
      <c r="I1123" s="145"/>
      <c r="J1123" s="145"/>
      <c r="K1123" s="146">
        <v>15.27</v>
      </c>
    </row>
    <row r="1124" spans="1:11" s="147" customFormat="1" ht="11.25" customHeight="1" x14ac:dyDescent="0.2">
      <c r="A1124" s="795" t="s">
        <v>9625</v>
      </c>
      <c r="B1124" s="138" t="s">
        <v>9604</v>
      </c>
      <c r="C1124" s="139" t="s">
        <v>9118</v>
      </c>
      <c r="D1124" s="140" t="s">
        <v>9630</v>
      </c>
      <c r="E1124" s="141" t="s">
        <v>8123</v>
      </c>
      <c r="F1124" s="142" t="s">
        <v>8976</v>
      </c>
      <c r="G1124" s="143">
        <v>18.7</v>
      </c>
      <c r="H1124" s="144" t="s">
        <v>730</v>
      </c>
      <c r="I1124" s="145"/>
      <c r="J1124" s="145"/>
      <c r="K1124" s="146">
        <v>18.7</v>
      </c>
    </row>
    <row r="1125" spans="1:11" s="147" customFormat="1" ht="11.25" customHeight="1" x14ac:dyDescent="0.2">
      <c r="A1125" s="795" t="s">
        <v>9625</v>
      </c>
      <c r="B1125" s="138" t="s">
        <v>9604</v>
      </c>
      <c r="C1125" s="139" t="s">
        <v>9118</v>
      </c>
      <c r="D1125" s="140" t="s">
        <v>9626</v>
      </c>
      <c r="E1125" s="141" t="s">
        <v>8123</v>
      </c>
      <c r="F1125" s="142" t="s">
        <v>8976</v>
      </c>
      <c r="G1125" s="143">
        <v>18.93</v>
      </c>
      <c r="H1125" s="144" t="s">
        <v>730</v>
      </c>
      <c r="I1125" s="145"/>
      <c r="J1125" s="145"/>
      <c r="K1125" s="146">
        <v>18.93</v>
      </c>
    </row>
    <row r="1126" spans="1:11" s="147" customFormat="1" ht="11.25" customHeight="1" x14ac:dyDescent="0.2">
      <c r="A1126" s="795" t="s">
        <v>9625</v>
      </c>
      <c r="B1126" s="138" t="s">
        <v>9604</v>
      </c>
      <c r="C1126" s="139" t="s">
        <v>9118</v>
      </c>
      <c r="D1126" s="140" t="s">
        <v>9631</v>
      </c>
      <c r="E1126" s="141" t="s">
        <v>8123</v>
      </c>
      <c r="F1126" s="142" t="s">
        <v>9301</v>
      </c>
      <c r="G1126" s="143">
        <v>19.84</v>
      </c>
      <c r="H1126" s="144" t="s">
        <v>730</v>
      </c>
      <c r="I1126" s="145"/>
      <c r="J1126" s="145"/>
      <c r="K1126" s="146">
        <v>19.84</v>
      </c>
    </row>
    <row r="1127" spans="1:11" s="147" customFormat="1" ht="11.25" customHeight="1" x14ac:dyDescent="0.2">
      <c r="A1127" s="795" t="s">
        <v>9625</v>
      </c>
      <c r="B1127" s="138" t="s">
        <v>9604</v>
      </c>
      <c r="C1127" s="139" t="s">
        <v>9118</v>
      </c>
      <c r="D1127" s="140" t="s">
        <v>9632</v>
      </c>
      <c r="E1127" s="141" t="s">
        <v>8123</v>
      </c>
      <c r="F1127" s="142" t="s">
        <v>8976</v>
      </c>
      <c r="G1127" s="143">
        <v>23.73</v>
      </c>
      <c r="H1127" s="144" t="s">
        <v>730</v>
      </c>
      <c r="I1127" s="145"/>
      <c r="J1127" s="145"/>
      <c r="K1127" s="146">
        <v>23.73</v>
      </c>
    </row>
    <row r="1128" spans="1:11" s="147" customFormat="1" ht="11.25" customHeight="1" x14ac:dyDescent="0.2">
      <c r="A1128" s="795" t="s">
        <v>9625</v>
      </c>
      <c r="B1128" s="138" t="s">
        <v>9604</v>
      </c>
      <c r="C1128" s="139" t="s">
        <v>9118</v>
      </c>
      <c r="D1128" s="140" t="s">
        <v>9628</v>
      </c>
      <c r="E1128" s="141" t="s">
        <v>8123</v>
      </c>
      <c r="F1128" s="142" t="s">
        <v>9301</v>
      </c>
      <c r="G1128" s="143">
        <v>25.29</v>
      </c>
      <c r="H1128" s="144" t="s">
        <v>730</v>
      </c>
      <c r="I1128" s="145"/>
      <c r="J1128" s="145"/>
      <c r="K1128" s="146">
        <v>25.29</v>
      </c>
    </row>
    <row r="1129" spans="1:11" s="147" customFormat="1" ht="11.25" customHeight="1" x14ac:dyDescent="0.2">
      <c r="A1129" s="795" t="s">
        <v>9625</v>
      </c>
      <c r="B1129" s="138" t="s">
        <v>9604</v>
      </c>
      <c r="C1129" s="139" t="s">
        <v>9118</v>
      </c>
      <c r="D1129" s="140" t="s">
        <v>9631</v>
      </c>
      <c r="E1129" s="141" t="s">
        <v>8123</v>
      </c>
      <c r="F1129" s="142" t="s">
        <v>9301</v>
      </c>
      <c r="G1129" s="143">
        <v>26.08</v>
      </c>
      <c r="H1129" s="144" t="s">
        <v>730</v>
      </c>
      <c r="I1129" s="145"/>
      <c r="J1129" s="145"/>
      <c r="K1129" s="146">
        <v>26.08</v>
      </c>
    </row>
    <row r="1130" spans="1:11" s="147" customFormat="1" ht="11.25" customHeight="1" x14ac:dyDescent="0.2">
      <c r="A1130" s="795" t="s">
        <v>9625</v>
      </c>
      <c r="B1130" s="138" t="s">
        <v>9604</v>
      </c>
      <c r="C1130" s="139" t="s">
        <v>9118</v>
      </c>
      <c r="D1130" s="140" t="s">
        <v>9631</v>
      </c>
      <c r="E1130" s="141" t="s">
        <v>8123</v>
      </c>
      <c r="F1130" s="142" t="s">
        <v>9301</v>
      </c>
      <c r="G1130" s="143">
        <v>26.54</v>
      </c>
      <c r="H1130" s="144" t="s">
        <v>730</v>
      </c>
      <c r="I1130" s="145"/>
      <c r="J1130" s="145"/>
      <c r="K1130" s="146">
        <v>26.54</v>
      </c>
    </row>
    <row r="1131" spans="1:11" s="147" customFormat="1" ht="11.25" customHeight="1" x14ac:dyDescent="0.2">
      <c r="A1131" s="795" t="s">
        <v>9625</v>
      </c>
      <c r="B1131" s="138" t="s">
        <v>9604</v>
      </c>
      <c r="C1131" s="139" t="s">
        <v>9118</v>
      </c>
      <c r="D1131" s="140" t="s">
        <v>9633</v>
      </c>
      <c r="E1131" s="141" t="s">
        <v>8123</v>
      </c>
      <c r="F1131" s="142" t="s">
        <v>8976</v>
      </c>
      <c r="G1131" s="143">
        <v>28.7</v>
      </c>
      <c r="H1131" s="144" t="s">
        <v>730</v>
      </c>
      <c r="I1131" s="145"/>
      <c r="J1131" s="145"/>
      <c r="K1131" s="146">
        <v>28.7</v>
      </c>
    </row>
    <row r="1132" spans="1:11" s="147" customFormat="1" ht="11.25" customHeight="1" x14ac:dyDescent="0.2">
      <c r="A1132" s="795" t="s">
        <v>9625</v>
      </c>
      <c r="B1132" s="138" t="s">
        <v>9604</v>
      </c>
      <c r="C1132" s="139" t="s">
        <v>9118</v>
      </c>
      <c r="D1132" s="140" t="s">
        <v>9634</v>
      </c>
      <c r="E1132" s="141" t="s">
        <v>8123</v>
      </c>
      <c r="F1132" s="142" t="s">
        <v>9301</v>
      </c>
      <c r="G1132" s="143">
        <v>28.77</v>
      </c>
      <c r="H1132" s="144" t="s">
        <v>730</v>
      </c>
      <c r="I1132" s="145"/>
      <c r="J1132" s="145"/>
      <c r="K1132" s="146">
        <v>28.77</v>
      </c>
    </row>
    <row r="1133" spans="1:11" s="147" customFormat="1" ht="11.25" customHeight="1" x14ac:dyDescent="0.2">
      <c r="A1133" s="795" t="s">
        <v>9625</v>
      </c>
      <c r="B1133" s="138" t="s">
        <v>9604</v>
      </c>
      <c r="C1133" s="139" t="s">
        <v>9118</v>
      </c>
      <c r="D1133" s="140" t="s">
        <v>9631</v>
      </c>
      <c r="E1133" s="141" t="s">
        <v>8123</v>
      </c>
      <c r="F1133" s="142" t="s">
        <v>9301</v>
      </c>
      <c r="G1133" s="143">
        <v>28.91</v>
      </c>
      <c r="H1133" s="144" t="s">
        <v>730</v>
      </c>
      <c r="I1133" s="145"/>
      <c r="J1133" s="145"/>
      <c r="K1133" s="146">
        <v>28.91</v>
      </c>
    </row>
    <row r="1134" spans="1:11" s="147" customFormat="1" ht="11.25" customHeight="1" x14ac:dyDescent="0.2">
      <c r="A1134" s="795" t="s">
        <v>9625</v>
      </c>
      <c r="B1134" s="138" t="s">
        <v>9604</v>
      </c>
      <c r="C1134" s="139" t="s">
        <v>9118</v>
      </c>
      <c r="D1134" s="140" t="s">
        <v>9635</v>
      </c>
      <c r="E1134" s="141" t="s">
        <v>8123</v>
      </c>
      <c r="F1134" s="142" t="s">
        <v>9301</v>
      </c>
      <c r="G1134" s="143">
        <v>29.81</v>
      </c>
      <c r="H1134" s="144" t="s">
        <v>730</v>
      </c>
      <c r="I1134" s="145"/>
      <c r="J1134" s="145"/>
      <c r="K1134" s="146">
        <v>29.81</v>
      </c>
    </row>
    <row r="1135" spans="1:11" s="147" customFormat="1" ht="11.25" customHeight="1" x14ac:dyDescent="0.2">
      <c r="A1135" s="795" t="s">
        <v>9625</v>
      </c>
      <c r="B1135" s="138" t="s">
        <v>9604</v>
      </c>
      <c r="C1135" s="139" t="s">
        <v>9118</v>
      </c>
      <c r="D1135" s="140" t="s">
        <v>9631</v>
      </c>
      <c r="E1135" s="141" t="s">
        <v>8123</v>
      </c>
      <c r="F1135" s="142" t="s">
        <v>9301</v>
      </c>
      <c r="G1135" s="143">
        <v>30.68</v>
      </c>
      <c r="H1135" s="144" t="s">
        <v>730</v>
      </c>
      <c r="I1135" s="145"/>
      <c r="J1135" s="145"/>
      <c r="K1135" s="146">
        <v>30.68</v>
      </c>
    </row>
    <row r="1136" spans="1:11" s="147" customFormat="1" ht="11.25" customHeight="1" x14ac:dyDescent="0.2">
      <c r="A1136" s="795" t="s">
        <v>9625</v>
      </c>
      <c r="B1136" s="138" t="s">
        <v>9604</v>
      </c>
      <c r="C1136" s="139" t="s">
        <v>9118</v>
      </c>
      <c r="D1136" s="140" t="s">
        <v>9631</v>
      </c>
      <c r="E1136" s="141" t="s">
        <v>8123</v>
      </c>
      <c r="F1136" s="142" t="s">
        <v>9301</v>
      </c>
      <c r="G1136" s="143">
        <v>31.32</v>
      </c>
      <c r="H1136" s="144" t="s">
        <v>730</v>
      </c>
      <c r="I1136" s="145"/>
      <c r="J1136" s="145"/>
      <c r="K1136" s="146">
        <v>31.32</v>
      </c>
    </row>
    <row r="1137" spans="1:11" s="147" customFormat="1" ht="11.25" customHeight="1" x14ac:dyDescent="0.2">
      <c r="A1137" s="795" t="s">
        <v>9625</v>
      </c>
      <c r="B1137" s="138" t="s">
        <v>9604</v>
      </c>
      <c r="C1137" s="139" t="s">
        <v>9118</v>
      </c>
      <c r="D1137" s="140" t="s">
        <v>9636</v>
      </c>
      <c r="E1137" s="141" t="s">
        <v>8123</v>
      </c>
      <c r="F1137" s="142" t="s">
        <v>8120</v>
      </c>
      <c r="G1137" s="143">
        <v>33.520000000000003</v>
      </c>
      <c r="H1137" s="144" t="s">
        <v>730</v>
      </c>
      <c r="I1137" s="145"/>
      <c r="J1137" s="145"/>
      <c r="K1137" s="146">
        <v>33.520000000000003</v>
      </c>
    </row>
    <row r="1138" spans="1:11" s="147" customFormat="1" ht="11.25" customHeight="1" x14ac:dyDescent="0.2">
      <c r="A1138" s="795" t="s">
        <v>9625</v>
      </c>
      <c r="B1138" s="138" t="s">
        <v>9604</v>
      </c>
      <c r="C1138" s="139" t="s">
        <v>9118</v>
      </c>
      <c r="D1138" s="140" t="s">
        <v>9628</v>
      </c>
      <c r="E1138" s="141" t="s">
        <v>8123</v>
      </c>
      <c r="F1138" s="142" t="s">
        <v>9301</v>
      </c>
      <c r="G1138" s="143">
        <v>33.83</v>
      </c>
      <c r="H1138" s="144" t="s">
        <v>730</v>
      </c>
      <c r="I1138" s="145"/>
      <c r="J1138" s="145"/>
      <c r="K1138" s="146">
        <v>33.83</v>
      </c>
    </row>
    <row r="1139" spans="1:11" s="147" customFormat="1" ht="11.25" customHeight="1" x14ac:dyDescent="0.2">
      <c r="A1139" s="795" t="s">
        <v>9625</v>
      </c>
      <c r="B1139" s="138" t="s">
        <v>9604</v>
      </c>
      <c r="C1139" s="139" t="s">
        <v>9118</v>
      </c>
      <c r="D1139" s="140" t="s">
        <v>9637</v>
      </c>
      <c r="E1139" s="141" t="s">
        <v>8123</v>
      </c>
      <c r="F1139" s="142" t="s">
        <v>9301</v>
      </c>
      <c r="G1139" s="143">
        <v>33.869999999999997</v>
      </c>
      <c r="H1139" s="144" t="s">
        <v>730</v>
      </c>
      <c r="I1139" s="145"/>
      <c r="J1139" s="145"/>
      <c r="K1139" s="146">
        <v>33.869999999999997</v>
      </c>
    </row>
    <row r="1140" spans="1:11" s="147" customFormat="1" ht="11.25" customHeight="1" x14ac:dyDescent="0.2">
      <c r="A1140" s="795" t="s">
        <v>9625</v>
      </c>
      <c r="B1140" s="138" t="s">
        <v>9604</v>
      </c>
      <c r="C1140" s="139" t="s">
        <v>9118</v>
      </c>
      <c r="D1140" s="140" t="s">
        <v>9631</v>
      </c>
      <c r="E1140" s="141" t="s">
        <v>8123</v>
      </c>
      <c r="F1140" s="142" t="s">
        <v>9301</v>
      </c>
      <c r="G1140" s="143">
        <v>35.96</v>
      </c>
      <c r="H1140" s="144" t="s">
        <v>730</v>
      </c>
      <c r="I1140" s="145"/>
      <c r="J1140" s="145"/>
      <c r="K1140" s="146">
        <v>35.96</v>
      </c>
    </row>
    <row r="1141" spans="1:11" s="147" customFormat="1" ht="11.25" customHeight="1" x14ac:dyDescent="0.2">
      <c r="A1141" s="795" t="s">
        <v>9625</v>
      </c>
      <c r="B1141" s="138" t="s">
        <v>9604</v>
      </c>
      <c r="C1141" s="139" t="s">
        <v>9118</v>
      </c>
      <c r="D1141" s="140" t="s">
        <v>9638</v>
      </c>
      <c r="E1141" s="141" t="s">
        <v>8123</v>
      </c>
      <c r="F1141" s="142" t="s">
        <v>8976</v>
      </c>
      <c r="G1141" s="143">
        <v>36.22</v>
      </c>
      <c r="H1141" s="144" t="s">
        <v>730</v>
      </c>
      <c r="I1141" s="145"/>
      <c r="J1141" s="145"/>
      <c r="K1141" s="146">
        <v>36.22</v>
      </c>
    </row>
    <row r="1142" spans="1:11" s="147" customFormat="1" ht="11.25" customHeight="1" x14ac:dyDescent="0.2">
      <c r="A1142" s="795" t="s">
        <v>9625</v>
      </c>
      <c r="B1142" s="138" t="s">
        <v>9604</v>
      </c>
      <c r="C1142" s="139" t="s">
        <v>9118</v>
      </c>
      <c r="D1142" s="140" t="s">
        <v>9627</v>
      </c>
      <c r="E1142" s="141" t="s">
        <v>8123</v>
      </c>
      <c r="F1142" s="142" t="s">
        <v>9301</v>
      </c>
      <c r="G1142" s="143">
        <v>36.24</v>
      </c>
      <c r="H1142" s="144" t="s">
        <v>730</v>
      </c>
      <c r="I1142" s="145"/>
      <c r="J1142" s="145"/>
      <c r="K1142" s="146">
        <v>36.24</v>
      </c>
    </row>
    <row r="1143" spans="1:11" s="147" customFormat="1" ht="11.25" customHeight="1" x14ac:dyDescent="0.2">
      <c r="A1143" s="795" t="s">
        <v>9625</v>
      </c>
      <c r="B1143" s="138" t="s">
        <v>9604</v>
      </c>
      <c r="C1143" s="139" t="s">
        <v>9118</v>
      </c>
      <c r="D1143" s="140" t="s">
        <v>9632</v>
      </c>
      <c r="E1143" s="141" t="s">
        <v>8123</v>
      </c>
      <c r="F1143" s="142" t="s">
        <v>8976</v>
      </c>
      <c r="G1143" s="143">
        <v>36.54</v>
      </c>
      <c r="H1143" s="144" t="s">
        <v>730</v>
      </c>
      <c r="I1143" s="145"/>
      <c r="J1143" s="145"/>
      <c r="K1143" s="146">
        <v>36.54</v>
      </c>
    </row>
    <row r="1144" spans="1:11" s="147" customFormat="1" ht="11.25" customHeight="1" x14ac:dyDescent="0.2">
      <c r="A1144" s="795" t="s">
        <v>9625</v>
      </c>
      <c r="B1144" s="138" t="s">
        <v>9604</v>
      </c>
      <c r="C1144" s="139" t="s">
        <v>9118</v>
      </c>
      <c r="D1144" s="140" t="s">
        <v>9639</v>
      </c>
      <c r="E1144" s="141" t="s">
        <v>8123</v>
      </c>
      <c r="F1144" s="142" t="s">
        <v>8082</v>
      </c>
      <c r="G1144" s="143">
        <v>37.630000000000003</v>
      </c>
      <c r="H1144" s="144" t="s">
        <v>730</v>
      </c>
      <c r="I1144" s="145"/>
      <c r="J1144" s="145"/>
      <c r="K1144" s="146">
        <v>37.630000000000003</v>
      </c>
    </row>
    <row r="1145" spans="1:11" s="147" customFormat="1" ht="11.25" customHeight="1" x14ac:dyDescent="0.2">
      <c r="A1145" s="795" t="s">
        <v>9625</v>
      </c>
      <c r="B1145" s="138" t="s">
        <v>9604</v>
      </c>
      <c r="C1145" s="139" t="s">
        <v>9118</v>
      </c>
      <c r="D1145" s="140" t="s">
        <v>9635</v>
      </c>
      <c r="E1145" s="141" t="s">
        <v>8123</v>
      </c>
      <c r="F1145" s="142" t="s">
        <v>9301</v>
      </c>
      <c r="G1145" s="143">
        <v>38.15</v>
      </c>
      <c r="H1145" s="144" t="s">
        <v>730</v>
      </c>
      <c r="I1145" s="145"/>
      <c r="J1145" s="145"/>
      <c r="K1145" s="146">
        <v>38.15</v>
      </c>
    </row>
    <row r="1146" spans="1:11" s="147" customFormat="1" ht="11.25" customHeight="1" x14ac:dyDescent="0.2">
      <c r="A1146" s="795" t="s">
        <v>9625</v>
      </c>
      <c r="B1146" s="138" t="s">
        <v>9604</v>
      </c>
      <c r="C1146" s="139" t="s">
        <v>9118</v>
      </c>
      <c r="D1146" s="140" t="s">
        <v>9631</v>
      </c>
      <c r="E1146" s="141" t="s">
        <v>8123</v>
      </c>
      <c r="F1146" s="142" t="s">
        <v>9301</v>
      </c>
      <c r="G1146" s="143">
        <v>41.99</v>
      </c>
      <c r="H1146" s="144" t="s">
        <v>730</v>
      </c>
      <c r="I1146" s="145"/>
      <c r="J1146" s="145"/>
      <c r="K1146" s="146">
        <v>41.99</v>
      </c>
    </row>
    <row r="1147" spans="1:11" s="147" customFormat="1" ht="11.25" customHeight="1" x14ac:dyDescent="0.2">
      <c r="A1147" s="795" t="s">
        <v>9625</v>
      </c>
      <c r="B1147" s="138" t="s">
        <v>9604</v>
      </c>
      <c r="C1147" s="139" t="s">
        <v>9118</v>
      </c>
      <c r="D1147" s="140" t="s">
        <v>9640</v>
      </c>
      <c r="E1147" s="141" t="s">
        <v>8123</v>
      </c>
      <c r="F1147" s="142" t="s">
        <v>9301</v>
      </c>
      <c r="G1147" s="143">
        <v>42.32</v>
      </c>
      <c r="H1147" s="144" t="s">
        <v>730</v>
      </c>
      <c r="I1147" s="145"/>
      <c r="J1147" s="145"/>
      <c r="K1147" s="146">
        <v>42.32</v>
      </c>
    </row>
    <row r="1148" spans="1:11" s="147" customFormat="1" ht="11.25" customHeight="1" x14ac:dyDescent="0.2">
      <c r="A1148" s="795" t="s">
        <v>9625</v>
      </c>
      <c r="B1148" s="138" t="s">
        <v>9604</v>
      </c>
      <c r="C1148" s="139" t="s">
        <v>9118</v>
      </c>
      <c r="D1148" s="140" t="s">
        <v>9628</v>
      </c>
      <c r="E1148" s="141" t="s">
        <v>8123</v>
      </c>
      <c r="F1148" s="142" t="s">
        <v>9301</v>
      </c>
      <c r="G1148" s="143">
        <v>43.34</v>
      </c>
      <c r="H1148" s="144" t="s">
        <v>730</v>
      </c>
      <c r="I1148" s="145"/>
      <c r="J1148" s="145"/>
      <c r="K1148" s="146">
        <v>43.34</v>
      </c>
    </row>
    <row r="1149" spans="1:11" s="147" customFormat="1" ht="11.25" customHeight="1" x14ac:dyDescent="0.2">
      <c r="A1149" s="795" t="s">
        <v>9625</v>
      </c>
      <c r="B1149" s="138" t="s">
        <v>9604</v>
      </c>
      <c r="C1149" s="139" t="s">
        <v>9118</v>
      </c>
      <c r="D1149" s="140" t="s">
        <v>9627</v>
      </c>
      <c r="E1149" s="141" t="s">
        <v>8123</v>
      </c>
      <c r="F1149" s="142" t="s">
        <v>9301</v>
      </c>
      <c r="G1149" s="143">
        <v>43.55</v>
      </c>
      <c r="H1149" s="144" t="s">
        <v>730</v>
      </c>
      <c r="I1149" s="145"/>
      <c r="J1149" s="145"/>
      <c r="K1149" s="146">
        <v>43.55</v>
      </c>
    </row>
    <row r="1150" spans="1:11" s="147" customFormat="1" ht="11.25" customHeight="1" x14ac:dyDescent="0.2">
      <c r="A1150" s="795" t="s">
        <v>9625</v>
      </c>
      <c r="B1150" s="138" t="s">
        <v>9604</v>
      </c>
      <c r="C1150" s="139" t="s">
        <v>9118</v>
      </c>
      <c r="D1150" s="140" t="s">
        <v>9637</v>
      </c>
      <c r="E1150" s="141" t="s">
        <v>8123</v>
      </c>
      <c r="F1150" s="142" t="s">
        <v>9301</v>
      </c>
      <c r="G1150" s="143">
        <v>43.74</v>
      </c>
      <c r="H1150" s="144" t="s">
        <v>730</v>
      </c>
      <c r="I1150" s="145"/>
      <c r="J1150" s="145"/>
      <c r="K1150" s="146">
        <v>43.74</v>
      </c>
    </row>
    <row r="1151" spans="1:11" s="147" customFormat="1" ht="11.25" customHeight="1" x14ac:dyDescent="0.2">
      <c r="A1151" s="795" t="s">
        <v>9625</v>
      </c>
      <c r="B1151" s="138" t="s">
        <v>9604</v>
      </c>
      <c r="C1151" s="139" t="s">
        <v>9118</v>
      </c>
      <c r="D1151" s="140" t="s">
        <v>9640</v>
      </c>
      <c r="E1151" s="141" t="s">
        <v>8123</v>
      </c>
      <c r="F1151" s="142" t="s">
        <v>9301</v>
      </c>
      <c r="G1151" s="143">
        <v>51.36</v>
      </c>
      <c r="H1151" s="144" t="s">
        <v>730</v>
      </c>
      <c r="I1151" s="145"/>
      <c r="J1151" s="145"/>
      <c r="K1151" s="146">
        <v>51.36</v>
      </c>
    </row>
    <row r="1152" spans="1:11" s="147" customFormat="1" ht="11.25" customHeight="1" x14ac:dyDescent="0.2">
      <c r="A1152" s="795" t="s">
        <v>9625</v>
      </c>
      <c r="B1152" s="138" t="s">
        <v>9604</v>
      </c>
      <c r="C1152" s="139" t="s">
        <v>9118</v>
      </c>
      <c r="D1152" s="140" t="s">
        <v>9641</v>
      </c>
      <c r="E1152" s="141" t="s">
        <v>8123</v>
      </c>
      <c r="F1152" s="142" t="s">
        <v>9642</v>
      </c>
      <c r="G1152" s="143">
        <v>52.15</v>
      </c>
      <c r="H1152" s="144" t="s">
        <v>730</v>
      </c>
      <c r="I1152" s="145"/>
      <c r="J1152" s="145"/>
      <c r="K1152" s="146">
        <v>52.15</v>
      </c>
    </row>
    <row r="1153" spans="1:11" s="147" customFormat="1" ht="11.25" customHeight="1" x14ac:dyDescent="0.2">
      <c r="A1153" s="795" t="s">
        <v>9625</v>
      </c>
      <c r="B1153" s="138" t="s">
        <v>9604</v>
      </c>
      <c r="C1153" s="139" t="s">
        <v>9118</v>
      </c>
      <c r="D1153" s="140" t="s">
        <v>9641</v>
      </c>
      <c r="E1153" s="141" t="s">
        <v>8123</v>
      </c>
      <c r="F1153" s="142" t="s">
        <v>9642</v>
      </c>
      <c r="G1153" s="143">
        <v>52.15</v>
      </c>
      <c r="H1153" s="144" t="s">
        <v>730</v>
      </c>
      <c r="I1153" s="145"/>
      <c r="J1153" s="145"/>
      <c r="K1153" s="146">
        <v>52.15</v>
      </c>
    </row>
    <row r="1154" spans="1:11" s="147" customFormat="1" ht="11.25" customHeight="1" x14ac:dyDescent="0.2">
      <c r="A1154" s="795" t="s">
        <v>9625</v>
      </c>
      <c r="B1154" s="138" t="s">
        <v>9604</v>
      </c>
      <c r="C1154" s="139" t="s">
        <v>9118</v>
      </c>
      <c r="D1154" s="140" t="s">
        <v>9636</v>
      </c>
      <c r="E1154" s="141" t="s">
        <v>8123</v>
      </c>
      <c r="F1154" s="142" t="s">
        <v>8120</v>
      </c>
      <c r="G1154" s="143">
        <v>55.65</v>
      </c>
      <c r="H1154" s="144" t="s">
        <v>730</v>
      </c>
      <c r="I1154" s="145"/>
      <c r="J1154" s="145"/>
      <c r="K1154" s="146">
        <v>55.65</v>
      </c>
    </row>
    <row r="1155" spans="1:11" s="147" customFormat="1" ht="11.25" customHeight="1" x14ac:dyDescent="0.2">
      <c r="A1155" s="795" t="s">
        <v>9625</v>
      </c>
      <c r="B1155" s="138" t="s">
        <v>9604</v>
      </c>
      <c r="C1155" s="139" t="s">
        <v>9118</v>
      </c>
      <c r="D1155" s="140" t="s">
        <v>9633</v>
      </c>
      <c r="E1155" s="141" t="s">
        <v>8123</v>
      </c>
      <c r="F1155" s="142" t="s">
        <v>8976</v>
      </c>
      <c r="G1155" s="143">
        <v>56.45</v>
      </c>
      <c r="H1155" s="144" t="s">
        <v>730</v>
      </c>
      <c r="I1155" s="145"/>
      <c r="J1155" s="145"/>
      <c r="K1155" s="146">
        <v>56.45</v>
      </c>
    </row>
    <row r="1156" spans="1:11" s="147" customFormat="1" ht="11.25" customHeight="1" x14ac:dyDescent="0.2">
      <c r="A1156" s="795" t="s">
        <v>9625</v>
      </c>
      <c r="B1156" s="138" t="s">
        <v>9604</v>
      </c>
      <c r="C1156" s="139" t="s">
        <v>9118</v>
      </c>
      <c r="D1156" s="140" t="s">
        <v>9626</v>
      </c>
      <c r="E1156" s="141" t="s">
        <v>8123</v>
      </c>
      <c r="F1156" s="142" t="s">
        <v>8976</v>
      </c>
      <c r="G1156" s="143">
        <v>57.68</v>
      </c>
      <c r="H1156" s="144" t="s">
        <v>730</v>
      </c>
      <c r="I1156" s="145"/>
      <c r="J1156" s="145"/>
      <c r="K1156" s="146">
        <v>57.68</v>
      </c>
    </row>
    <row r="1157" spans="1:11" s="147" customFormat="1" ht="11.25" customHeight="1" x14ac:dyDescent="0.2">
      <c r="A1157" s="795" t="s">
        <v>9625</v>
      </c>
      <c r="B1157" s="138" t="s">
        <v>9604</v>
      </c>
      <c r="C1157" s="139" t="s">
        <v>9118</v>
      </c>
      <c r="D1157" s="140" t="s">
        <v>9637</v>
      </c>
      <c r="E1157" s="141" t="s">
        <v>8123</v>
      </c>
      <c r="F1157" s="142" t="s">
        <v>9301</v>
      </c>
      <c r="G1157" s="143">
        <v>59.62</v>
      </c>
      <c r="H1157" s="144" t="s">
        <v>730</v>
      </c>
      <c r="I1157" s="145"/>
      <c r="J1157" s="145"/>
      <c r="K1157" s="146">
        <v>59.62</v>
      </c>
    </row>
    <row r="1158" spans="1:11" s="147" customFormat="1" ht="11.25" customHeight="1" x14ac:dyDescent="0.2">
      <c r="A1158" s="795" t="s">
        <v>9625</v>
      </c>
      <c r="B1158" s="138" t="s">
        <v>9604</v>
      </c>
      <c r="C1158" s="139" t="s">
        <v>9118</v>
      </c>
      <c r="D1158" s="140" t="s">
        <v>9629</v>
      </c>
      <c r="E1158" s="141" t="s">
        <v>8123</v>
      </c>
      <c r="F1158" s="142" t="s">
        <v>8082</v>
      </c>
      <c r="G1158" s="143">
        <v>61.28</v>
      </c>
      <c r="H1158" s="144" t="s">
        <v>730</v>
      </c>
      <c r="I1158" s="145"/>
      <c r="J1158" s="145"/>
      <c r="K1158" s="146">
        <v>61.28</v>
      </c>
    </row>
    <row r="1159" spans="1:11" s="147" customFormat="1" ht="11.25" customHeight="1" x14ac:dyDescent="0.2">
      <c r="A1159" s="795" t="s">
        <v>9625</v>
      </c>
      <c r="B1159" s="138" t="s">
        <v>9604</v>
      </c>
      <c r="C1159" s="139" t="s">
        <v>9118</v>
      </c>
      <c r="D1159" s="140" t="s">
        <v>9629</v>
      </c>
      <c r="E1159" s="141" t="s">
        <v>8123</v>
      </c>
      <c r="F1159" s="142" t="s">
        <v>8082</v>
      </c>
      <c r="G1159" s="143">
        <v>61.28</v>
      </c>
      <c r="H1159" s="144" t="s">
        <v>730</v>
      </c>
      <c r="I1159" s="145"/>
      <c r="J1159" s="145"/>
      <c r="K1159" s="146">
        <v>61.28</v>
      </c>
    </row>
    <row r="1160" spans="1:11" s="147" customFormat="1" ht="11.25" customHeight="1" x14ac:dyDescent="0.2">
      <c r="A1160" s="795" t="s">
        <v>9625</v>
      </c>
      <c r="B1160" s="138" t="s">
        <v>9604</v>
      </c>
      <c r="C1160" s="139" t="s">
        <v>9118</v>
      </c>
      <c r="D1160" s="140" t="s">
        <v>9629</v>
      </c>
      <c r="E1160" s="141" t="s">
        <v>8123</v>
      </c>
      <c r="F1160" s="142" t="s">
        <v>8082</v>
      </c>
      <c r="G1160" s="143">
        <v>61.28</v>
      </c>
      <c r="H1160" s="144" t="s">
        <v>730</v>
      </c>
      <c r="I1160" s="145"/>
      <c r="J1160" s="145"/>
      <c r="K1160" s="146">
        <v>61.28</v>
      </c>
    </row>
    <row r="1161" spans="1:11" s="147" customFormat="1" ht="11.25" customHeight="1" x14ac:dyDescent="0.2">
      <c r="A1161" s="795" t="s">
        <v>9625</v>
      </c>
      <c r="B1161" s="138" t="s">
        <v>9604</v>
      </c>
      <c r="C1161" s="139" t="s">
        <v>9118</v>
      </c>
      <c r="D1161" s="140" t="s">
        <v>9632</v>
      </c>
      <c r="E1161" s="141" t="s">
        <v>8123</v>
      </c>
      <c r="F1161" s="142" t="s">
        <v>8976</v>
      </c>
      <c r="G1161" s="143">
        <v>61.64</v>
      </c>
      <c r="H1161" s="144" t="s">
        <v>730</v>
      </c>
      <c r="I1161" s="145"/>
      <c r="J1161" s="145"/>
      <c r="K1161" s="146">
        <v>61.64</v>
      </c>
    </row>
    <row r="1162" spans="1:11" s="147" customFormat="1" ht="11.25" customHeight="1" x14ac:dyDescent="0.2">
      <c r="A1162" s="795" t="s">
        <v>9625</v>
      </c>
      <c r="B1162" s="138" t="s">
        <v>9604</v>
      </c>
      <c r="C1162" s="139" t="s">
        <v>9118</v>
      </c>
      <c r="D1162" s="140" t="s">
        <v>9630</v>
      </c>
      <c r="E1162" s="141" t="s">
        <v>8123</v>
      </c>
      <c r="F1162" s="142" t="s">
        <v>8976</v>
      </c>
      <c r="G1162" s="143">
        <v>61.64</v>
      </c>
      <c r="H1162" s="144" t="s">
        <v>730</v>
      </c>
      <c r="I1162" s="145"/>
      <c r="J1162" s="145"/>
      <c r="K1162" s="146">
        <v>61.64</v>
      </c>
    </row>
    <row r="1163" spans="1:11" s="147" customFormat="1" ht="11.25" customHeight="1" x14ac:dyDescent="0.2">
      <c r="A1163" s="795" t="s">
        <v>9625</v>
      </c>
      <c r="B1163" s="138" t="s">
        <v>9604</v>
      </c>
      <c r="C1163" s="139" t="s">
        <v>9118</v>
      </c>
      <c r="D1163" s="140" t="s">
        <v>9643</v>
      </c>
      <c r="E1163" s="141" t="s">
        <v>8123</v>
      </c>
      <c r="F1163" s="142" t="s">
        <v>8976</v>
      </c>
      <c r="G1163" s="143">
        <v>63.16</v>
      </c>
      <c r="H1163" s="144" t="s">
        <v>730</v>
      </c>
      <c r="I1163" s="145"/>
      <c r="J1163" s="145"/>
      <c r="K1163" s="146">
        <v>63.16</v>
      </c>
    </row>
    <row r="1164" spans="1:11" s="147" customFormat="1" ht="11.25" customHeight="1" x14ac:dyDescent="0.2">
      <c r="A1164" s="795" t="s">
        <v>9625</v>
      </c>
      <c r="B1164" s="138" t="s">
        <v>9604</v>
      </c>
      <c r="C1164" s="139" t="s">
        <v>9118</v>
      </c>
      <c r="D1164" s="140" t="s">
        <v>9639</v>
      </c>
      <c r="E1164" s="141" t="s">
        <v>8123</v>
      </c>
      <c r="F1164" s="142" t="s">
        <v>8082</v>
      </c>
      <c r="G1164" s="143">
        <v>63.29</v>
      </c>
      <c r="H1164" s="144" t="s">
        <v>730</v>
      </c>
      <c r="I1164" s="145"/>
      <c r="J1164" s="145"/>
      <c r="K1164" s="146">
        <v>63.29</v>
      </c>
    </row>
    <row r="1165" spans="1:11" s="147" customFormat="1" ht="11.25" customHeight="1" x14ac:dyDescent="0.2">
      <c r="A1165" s="795" t="s">
        <v>9625</v>
      </c>
      <c r="B1165" s="138" t="s">
        <v>9604</v>
      </c>
      <c r="C1165" s="139" t="s">
        <v>9118</v>
      </c>
      <c r="D1165" s="140" t="s">
        <v>9632</v>
      </c>
      <c r="E1165" s="141" t="s">
        <v>8123</v>
      </c>
      <c r="F1165" s="142" t="s">
        <v>8976</v>
      </c>
      <c r="G1165" s="143">
        <v>66.400000000000006</v>
      </c>
      <c r="H1165" s="144" t="s">
        <v>730</v>
      </c>
      <c r="I1165" s="145"/>
      <c r="J1165" s="145"/>
      <c r="K1165" s="146">
        <v>66.400000000000006</v>
      </c>
    </row>
    <row r="1166" spans="1:11" s="147" customFormat="1" ht="11.25" customHeight="1" x14ac:dyDescent="0.2">
      <c r="A1166" s="795" t="s">
        <v>9625</v>
      </c>
      <c r="B1166" s="138" t="s">
        <v>9604</v>
      </c>
      <c r="C1166" s="139" t="s">
        <v>9118</v>
      </c>
      <c r="D1166" s="140" t="s">
        <v>9644</v>
      </c>
      <c r="E1166" s="141" t="s">
        <v>8123</v>
      </c>
      <c r="F1166" s="142" t="s">
        <v>8118</v>
      </c>
      <c r="G1166" s="143">
        <v>68.489999999999995</v>
      </c>
      <c r="H1166" s="144" t="s">
        <v>730</v>
      </c>
      <c r="I1166" s="145"/>
      <c r="J1166" s="145"/>
      <c r="K1166" s="146">
        <v>68.489999999999995</v>
      </c>
    </row>
    <row r="1167" spans="1:11" s="147" customFormat="1" ht="11.25" customHeight="1" x14ac:dyDescent="0.2">
      <c r="A1167" s="795" t="s">
        <v>9625</v>
      </c>
      <c r="B1167" s="138" t="s">
        <v>9604</v>
      </c>
      <c r="C1167" s="139" t="s">
        <v>9118</v>
      </c>
      <c r="D1167" s="140" t="s">
        <v>9635</v>
      </c>
      <c r="E1167" s="141" t="s">
        <v>8123</v>
      </c>
      <c r="F1167" s="142" t="s">
        <v>9301</v>
      </c>
      <c r="G1167" s="143">
        <v>71.92</v>
      </c>
      <c r="H1167" s="144" t="s">
        <v>730</v>
      </c>
      <c r="I1167" s="145"/>
      <c r="J1167" s="145"/>
      <c r="K1167" s="146">
        <v>71.92</v>
      </c>
    </row>
    <row r="1168" spans="1:11" s="147" customFormat="1" ht="11.25" customHeight="1" x14ac:dyDescent="0.2">
      <c r="A1168" s="795" t="s">
        <v>9625</v>
      </c>
      <c r="B1168" s="138" t="s">
        <v>9604</v>
      </c>
      <c r="C1168" s="139" t="s">
        <v>9118</v>
      </c>
      <c r="D1168" s="140" t="s">
        <v>9644</v>
      </c>
      <c r="E1168" s="141" t="s">
        <v>8123</v>
      </c>
      <c r="F1168" s="142" t="s">
        <v>8118</v>
      </c>
      <c r="G1168" s="143">
        <v>72.430000000000007</v>
      </c>
      <c r="H1168" s="144" t="s">
        <v>730</v>
      </c>
      <c r="I1168" s="145"/>
      <c r="J1168" s="145"/>
      <c r="K1168" s="146">
        <v>72.430000000000007</v>
      </c>
    </row>
    <row r="1169" spans="1:11" s="147" customFormat="1" ht="11.25" customHeight="1" x14ac:dyDescent="0.2">
      <c r="A1169" s="795" t="s">
        <v>9625</v>
      </c>
      <c r="B1169" s="138" t="s">
        <v>9604</v>
      </c>
      <c r="C1169" s="139" t="s">
        <v>9118</v>
      </c>
      <c r="D1169" s="140" t="s">
        <v>9633</v>
      </c>
      <c r="E1169" s="141" t="s">
        <v>8123</v>
      </c>
      <c r="F1169" s="142" t="s">
        <v>8976</v>
      </c>
      <c r="G1169" s="143">
        <v>73.56</v>
      </c>
      <c r="H1169" s="144" t="s">
        <v>730</v>
      </c>
      <c r="I1169" s="145"/>
      <c r="J1169" s="145"/>
      <c r="K1169" s="146">
        <v>73.56</v>
      </c>
    </row>
    <row r="1170" spans="1:11" s="147" customFormat="1" ht="11.25" customHeight="1" x14ac:dyDescent="0.2">
      <c r="A1170" s="795" t="s">
        <v>9625</v>
      </c>
      <c r="B1170" s="138" t="s">
        <v>9604</v>
      </c>
      <c r="C1170" s="139" t="s">
        <v>9118</v>
      </c>
      <c r="D1170" s="140" t="s">
        <v>9628</v>
      </c>
      <c r="E1170" s="141" t="s">
        <v>8123</v>
      </c>
      <c r="F1170" s="142" t="s">
        <v>9301</v>
      </c>
      <c r="G1170" s="143">
        <v>77.89</v>
      </c>
      <c r="H1170" s="144" t="s">
        <v>730</v>
      </c>
      <c r="I1170" s="145"/>
      <c r="J1170" s="145"/>
      <c r="K1170" s="146">
        <v>77.89</v>
      </c>
    </row>
    <row r="1171" spans="1:11" s="147" customFormat="1" ht="11.25" customHeight="1" x14ac:dyDescent="0.2">
      <c r="A1171" s="795" t="s">
        <v>9625</v>
      </c>
      <c r="B1171" s="138" t="s">
        <v>9604</v>
      </c>
      <c r="C1171" s="139" t="s">
        <v>9118</v>
      </c>
      <c r="D1171" s="140" t="s">
        <v>9626</v>
      </c>
      <c r="E1171" s="141" t="s">
        <v>8123</v>
      </c>
      <c r="F1171" s="142" t="s">
        <v>8976</v>
      </c>
      <c r="G1171" s="143">
        <v>78.23</v>
      </c>
      <c r="H1171" s="144" t="s">
        <v>730</v>
      </c>
      <c r="I1171" s="145"/>
      <c r="J1171" s="145"/>
      <c r="K1171" s="146">
        <v>78.23</v>
      </c>
    </row>
    <row r="1172" spans="1:11" s="147" customFormat="1" ht="11.25" customHeight="1" x14ac:dyDescent="0.2">
      <c r="A1172" s="795" t="s">
        <v>9625</v>
      </c>
      <c r="B1172" s="138" t="s">
        <v>9604</v>
      </c>
      <c r="C1172" s="139" t="s">
        <v>9118</v>
      </c>
      <c r="D1172" s="140" t="s">
        <v>9633</v>
      </c>
      <c r="E1172" s="141" t="s">
        <v>8123</v>
      </c>
      <c r="F1172" s="142" t="s">
        <v>8976</v>
      </c>
      <c r="G1172" s="143">
        <v>78.650000000000006</v>
      </c>
      <c r="H1172" s="144" t="s">
        <v>730</v>
      </c>
      <c r="I1172" s="145"/>
      <c r="J1172" s="145"/>
      <c r="K1172" s="146">
        <v>78.650000000000006</v>
      </c>
    </row>
    <row r="1173" spans="1:11" s="147" customFormat="1" ht="11.25" customHeight="1" x14ac:dyDescent="0.2">
      <c r="A1173" s="795" t="s">
        <v>9625</v>
      </c>
      <c r="B1173" s="138" t="s">
        <v>9604</v>
      </c>
      <c r="C1173" s="139" t="s">
        <v>9118</v>
      </c>
      <c r="D1173" s="140" t="s">
        <v>9644</v>
      </c>
      <c r="E1173" s="141" t="s">
        <v>8123</v>
      </c>
      <c r="F1173" s="142" t="s">
        <v>8118</v>
      </c>
      <c r="G1173" s="143">
        <v>79.11</v>
      </c>
      <c r="H1173" s="144" t="s">
        <v>730</v>
      </c>
      <c r="I1173" s="145"/>
      <c r="J1173" s="145"/>
      <c r="K1173" s="146">
        <v>79.11</v>
      </c>
    </row>
    <row r="1174" spans="1:11" s="147" customFormat="1" ht="11.25" customHeight="1" x14ac:dyDescent="0.2">
      <c r="A1174" s="795" t="s">
        <v>9625</v>
      </c>
      <c r="B1174" s="138" t="s">
        <v>9604</v>
      </c>
      <c r="C1174" s="139" t="s">
        <v>9118</v>
      </c>
      <c r="D1174" s="140" t="s">
        <v>9626</v>
      </c>
      <c r="E1174" s="141" t="s">
        <v>8123</v>
      </c>
      <c r="F1174" s="142" t="s">
        <v>8976</v>
      </c>
      <c r="G1174" s="143">
        <v>79.900000000000006</v>
      </c>
      <c r="H1174" s="144" t="s">
        <v>730</v>
      </c>
      <c r="I1174" s="145"/>
      <c r="J1174" s="145"/>
      <c r="K1174" s="146">
        <v>79.900000000000006</v>
      </c>
    </row>
    <row r="1175" spans="1:11" s="147" customFormat="1" ht="11.25" customHeight="1" x14ac:dyDescent="0.2">
      <c r="A1175" s="795" t="s">
        <v>9625</v>
      </c>
      <c r="B1175" s="138" t="s">
        <v>9604</v>
      </c>
      <c r="C1175" s="139" t="s">
        <v>9118</v>
      </c>
      <c r="D1175" s="140" t="s">
        <v>9640</v>
      </c>
      <c r="E1175" s="141" t="s">
        <v>8123</v>
      </c>
      <c r="F1175" s="142" t="s">
        <v>9301</v>
      </c>
      <c r="G1175" s="143">
        <v>80.459999999999994</v>
      </c>
      <c r="H1175" s="144" t="s">
        <v>730</v>
      </c>
      <c r="I1175" s="145"/>
      <c r="J1175" s="145"/>
      <c r="K1175" s="146">
        <v>80.459999999999994</v>
      </c>
    </row>
    <row r="1176" spans="1:11" s="147" customFormat="1" ht="11.25" customHeight="1" x14ac:dyDescent="0.2">
      <c r="A1176" s="795" t="s">
        <v>9625</v>
      </c>
      <c r="B1176" s="138" t="s">
        <v>9604</v>
      </c>
      <c r="C1176" s="139" t="s">
        <v>9118</v>
      </c>
      <c r="D1176" s="140" t="s">
        <v>9626</v>
      </c>
      <c r="E1176" s="141" t="s">
        <v>8123</v>
      </c>
      <c r="F1176" s="142" t="s">
        <v>8976</v>
      </c>
      <c r="G1176" s="143">
        <v>80.55</v>
      </c>
      <c r="H1176" s="144" t="s">
        <v>730</v>
      </c>
      <c r="I1176" s="145"/>
      <c r="J1176" s="145"/>
      <c r="K1176" s="146">
        <v>80.55</v>
      </c>
    </row>
    <row r="1177" spans="1:11" s="147" customFormat="1" ht="11.25" customHeight="1" x14ac:dyDescent="0.2">
      <c r="A1177" s="795" t="s">
        <v>9625</v>
      </c>
      <c r="B1177" s="138" t="s">
        <v>9604</v>
      </c>
      <c r="C1177" s="139" t="s">
        <v>9118</v>
      </c>
      <c r="D1177" s="140" t="s">
        <v>9640</v>
      </c>
      <c r="E1177" s="141" t="s">
        <v>8123</v>
      </c>
      <c r="F1177" s="142" t="s">
        <v>9301</v>
      </c>
      <c r="G1177" s="143">
        <v>81.430000000000007</v>
      </c>
      <c r="H1177" s="144" t="s">
        <v>730</v>
      </c>
      <c r="I1177" s="145"/>
      <c r="J1177" s="145"/>
      <c r="K1177" s="146">
        <v>81.430000000000007</v>
      </c>
    </row>
    <row r="1178" spans="1:11" s="147" customFormat="1" ht="11.25" customHeight="1" x14ac:dyDescent="0.2">
      <c r="A1178" s="795" t="s">
        <v>9625</v>
      </c>
      <c r="B1178" s="138" t="s">
        <v>9604</v>
      </c>
      <c r="C1178" s="139" t="s">
        <v>9118</v>
      </c>
      <c r="D1178" s="140" t="s">
        <v>9643</v>
      </c>
      <c r="E1178" s="141" t="s">
        <v>8123</v>
      </c>
      <c r="F1178" s="142" t="s">
        <v>8976</v>
      </c>
      <c r="G1178" s="143">
        <v>81.47</v>
      </c>
      <c r="H1178" s="144" t="s">
        <v>730</v>
      </c>
      <c r="I1178" s="145"/>
      <c r="J1178" s="145"/>
      <c r="K1178" s="146">
        <v>81.47</v>
      </c>
    </row>
    <row r="1179" spans="1:11" s="147" customFormat="1" ht="11.25" customHeight="1" x14ac:dyDescent="0.2">
      <c r="A1179" s="795" t="s">
        <v>9625</v>
      </c>
      <c r="B1179" s="138" t="s">
        <v>9604</v>
      </c>
      <c r="C1179" s="139" t="s">
        <v>9118</v>
      </c>
      <c r="D1179" s="140" t="s">
        <v>9629</v>
      </c>
      <c r="E1179" s="141" t="s">
        <v>8123</v>
      </c>
      <c r="F1179" s="142" t="s">
        <v>8082</v>
      </c>
      <c r="G1179" s="143">
        <v>81.78</v>
      </c>
      <c r="H1179" s="144" t="s">
        <v>730</v>
      </c>
      <c r="I1179" s="145"/>
      <c r="J1179" s="145"/>
      <c r="K1179" s="146">
        <v>81.78</v>
      </c>
    </row>
    <row r="1180" spans="1:11" s="147" customFormat="1" ht="11.25" customHeight="1" x14ac:dyDescent="0.2">
      <c r="A1180" s="795" t="s">
        <v>9625</v>
      </c>
      <c r="B1180" s="138" t="s">
        <v>9604</v>
      </c>
      <c r="C1180" s="139" t="s">
        <v>9118</v>
      </c>
      <c r="D1180" s="140" t="s">
        <v>9628</v>
      </c>
      <c r="E1180" s="141" t="s">
        <v>8123</v>
      </c>
      <c r="F1180" s="142" t="s">
        <v>9301</v>
      </c>
      <c r="G1180" s="143">
        <v>83.24</v>
      </c>
      <c r="H1180" s="144" t="s">
        <v>730</v>
      </c>
      <c r="I1180" s="145"/>
      <c r="J1180" s="145"/>
      <c r="K1180" s="146">
        <v>83.24</v>
      </c>
    </row>
    <row r="1181" spans="1:11" s="147" customFormat="1" ht="11.25" customHeight="1" x14ac:dyDescent="0.2">
      <c r="A1181" s="795" t="s">
        <v>9625</v>
      </c>
      <c r="B1181" s="138" t="s">
        <v>9604</v>
      </c>
      <c r="C1181" s="139" t="s">
        <v>9118</v>
      </c>
      <c r="D1181" s="140" t="s">
        <v>9629</v>
      </c>
      <c r="E1181" s="141" t="s">
        <v>8123</v>
      </c>
      <c r="F1181" s="142" t="s">
        <v>8082</v>
      </c>
      <c r="G1181" s="143">
        <v>83.31</v>
      </c>
      <c r="H1181" s="144" t="s">
        <v>730</v>
      </c>
      <c r="I1181" s="145"/>
      <c r="J1181" s="145"/>
      <c r="K1181" s="146">
        <v>83.31</v>
      </c>
    </row>
    <row r="1182" spans="1:11" s="147" customFormat="1" ht="11.25" customHeight="1" x14ac:dyDescent="0.2">
      <c r="A1182" s="795" t="s">
        <v>9625</v>
      </c>
      <c r="B1182" s="138" t="s">
        <v>9604</v>
      </c>
      <c r="C1182" s="139" t="s">
        <v>9118</v>
      </c>
      <c r="D1182" s="140" t="s">
        <v>9627</v>
      </c>
      <c r="E1182" s="141" t="s">
        <v>8123</v>
      </c>
      <c r="F1182" s="142" t="s">
        <v>9301</v>
      </c>
      <c r="G1182" s="143">
        <v>83.64</v>
      </c>
      <c r="H1182" s="144" t="s">
        <v>730</v>
      </c>
      <c r="I1182" s="145"/>
      <c r="J1182" s="145"/>
      <c r="K1182" s="146">
        <v>83.64</v>
      </c>
    </row>
    <row r="1183" spans="1:11" s="147" customFormat="1" ht="11.25" customHeight="1" x14ac:dyDescent="0.2">
      <c r="A1183" s="795" t="s">
        <v>9625</v>
      </c>
      <c r="B1183" s="138" t="s">
        <v>9604</v>
      </c>
      <c r="C1183" s="139" t="s">
        <v>9118</v>
      </c>
      <c r="D1183" s="140" t="s">
        <v>9633</v>
      </c>
      <c r="E1183" s="141" t="s">
        <v>8123</v>
      </c>
      <c r="F1183" s="142" t="s">
        <v>8976</v>
      </c>
      <c r="G1183" s="143">
        <v>86.3</v>
      </c>
      <c r="H1183" s="144" t="s">
        <v>730</v>
      </c>
      <c r="I1183" s="145"/>
      <c r="J1183" s="145"/>
      <c r="K1183" s="146">
        <v>86.3</v>
      </c>
    </row>
    <row r="1184" spans="1:11" s="147" customFormat="1" ht="11.25" customHeight="1" x14ac:dyDescent="0.2">
      <c r="A1184" s="795" t="s">
        <v>9625</v>
      </c>
      <c r="B1184" s="138" t="s">
        <v>9604</v>
      </c>
      <c r="C1184" s="139" t="s">
        <v>9118</v>
      </c>
      <c r="D1184" s="140" t="s">
        <v>9633</v>
      </c>
      <c r="E1184" s="141" t="s">
        <v>8123</v>
      </c>
      <c r="F1184" s="142" t="s">
        <v>8976</v>
      </c>
      <c r="G1184" s="143">
        <v>86.3</v>
      </c>
      <c r="H1184" s="144" t="s">
        <v>730</v>
      </c>
      <c r="I1184" s="145"/>
      <c r="J1184" s="145"/>
      <c r="K1184" s="146">
        <v>86.3</v>
      </c>
    </row>
    <row r="1185" spans="1:11" s="147" customFormat="1" ht="11.25" customHeight="1" x14ac:dyDescent="0.2">
      <c r="A1185" s="795" t="s">
        <v>9625</v>
      </c>
      <c r="B1185" s="138" t="s">
        <v>9604</v>
      </c>
      <c r="C1185" s="139" t="s">
        <v>9118</v>
      </c>
      <c r="D1185" s="140" t="s">
        <v>9630</v>
      </c>
      <c r="E1185" s="141" t="s">
        <v>8123</v>
      </c>
      <c r="F1185" s="142" t="s">
        <v>8976</v>
      </c>
      <c r="G1185" s="143">
        <v>88.83</v>
      </c>
      <c r="H1185" s="144" t="s">
        <v>730</v>
      </c>
      <c r="I1185" s="145"/>
      <c r="J1185" s="145"/>
      <c r="K1185" s="146">
        <v>88.83</v>
      </c>
    </row>
    <row r="1186" spans="1:11" s="147" customFormat="1" ht="11.25" customHeight="1" x14ac:dyDescent="0.2">
      <c r="A1186" s="795" t="s">
        <v>9625</v>
      </c>
      <c r="B1186" s="138" t="s">
        <v>9604</v>
      </c>
      <c r="C1186" s="139" t="s">
        <v>9118</v>
      </c>
      <c r="D1186" s="140" t="s">
        <v>9644</v>
      </c>
      <c r="E1186" s="141" t="s">
        <v>8123</v>
      </c>
      <c r="F1186" s="142" t="s">
        <v>8118</v>
      </c>
      <c r="G1186" s="143">
        <v>91.04</v>
      </c>
      <c r="H1186" s="144" t="s">
        <v>730</v>
      </c>
      <c r="I1186" s="145"/>
      <c r="J1186" s="145"/>
      <c r="K1186" s="146">
        <v>91.04</v>
      </c>
    </row>
    <row r="1187" spans="1:11" s="147" customFormat="1" ht="11.25" customHeight="1" x14ac:dyDescent="0.2">
      <c r="A1187" s="795" t="s">
        <v>9625</v>
      </c>
      <c r="B1187" s="138" t="s">
        <v>9604</v>
      </c>
      <c r="C1187" s="139" t="s">
        <v>9118</v>
      </c>
      <c r="D1187" s="140" t="s">
        <v>9643</v>
      </c>
      <c r="E1187" s="141" t="s">
        <v>8123</v>
      </c>
      <c r="F1187" s="142" t="s">
        <v>8976</v>
      </c>
      <c r="G1187" s="143">
        <v>91.29</v>
      </c>
      <c r="H1187" s="144" t="s">
        <v>730</v>
      </c>
      <c r="I1187" s="145"/>
      <c r="J1187" s="145"/>
      <c r="K1187" s="146">
        <v>91.29</v>
      </c>
    </row>
    <row r="1188" spans="1:11" s="147" customFormat="1" ht="11.25" customHeight="1" x14ac:dyDescent="0.2">
      <c r="A1188" s="795" t="s">
        <v>9625</v>
      </c>
      <c r="B1188" s="138" t="s">
        <v>9604</v>
      </c>
      <c r="C1188" s="139" t="s">
        <v>9118</v>
      </c>
      <c r="D1188" s="140" t="s">
        <v>9640</v>
      </c>
      <c r="E1188" s="141" t="s">
        <v>8123</v>
      </c>
      <c r="F1188" s="142" t="s">
        <v>9301</v>
      </c>
      <c r="G1188" s="143">
        <v>91.7</v>
      </c>
      <c r="H1188" s="144" t="s">
        <v>730</v>
      </c>
      <c r="I1188" s="145"/>
      <c r="J1188" s="145"/>
      <c r="K1188" s="146">
        <v>91.7</v>
      </c>
    </row>
    <row r="1189" spans="1:11" s="147" customFormat="1" ht="11.25" customHeight="1" x14ac:dyDescent="0.2">
      <c r="A1189" s="795" t="s">
        <v>9625</v>
      </c>
      <c r="B1189" s="138" t="s">
        <v>9604</v>
      </c>
      <c r="C1189" s="139" t="s">
        <v>9118</v>
      </c>
      <c r="D1189" s="140" t="s">
        <v>9645</v>
      </c>
      <c r="E1189" s="141" t="s">
        <v>8123</v>
      </c>
      <c r="F1189" s="142" t="s">
        <v>9097</v>
      </c>
      <c r="G1189" s="143">
        <v>94.96</v>
      </c>
      <c r="H1189" s="144" t="s">
        <v>730</v>
      </c>
      <c r="I1189" s="145"/>
      <c r="J1189" s="145"/>
      <c r="K1189" s="146">
        <v>94.96</v>
      </c>
    </row>
    <row r="1190" spans="1:11" s="147" customFormat="1" ht="11.25" customHeight="1" x14ac:dyDescent="0.2">
      <c r="A1190" s="795" t="s">
        <v>9625</v>
      </c>
      <c r="B1190" s="138" t="s">
        <v>9604</v>
      </c>
      <c r="C1190" s="139" t="s">
        <v>9118</v>
      </c>
      <c r="D1190" s="140" t="s">
        <v>9645</v>
      </c>
      <c r="E1190" s="141" t="s">
        <v>8123</v>
      </c>
      <c r="F1190" s="142" t="s">
        <v>9097</v>
      </c>
      <c r="G1190" s="143">
        <v>94.96</v>
      </c>
      <c r="H1190" s="144" t="s">
        <v>730</v>
      </c>
      <c r="I1190" s="145"/>
      <c r="J1190" s="145"/>
      <c r="K1190" s="146">
        <v>94.96</v>
      </c>
    </row>
    <row r="1191" spans="1:11" s="147" customFormat="1" ht="11.25" customHeight="1" x14ac:dyDescent="0.2">
      <c r="A1191" s="795" t="s">
        <v>9625</v>
      </c>
      <c r="B1191" s="138" t="s">
        <v>9604</v>
      </c>
      <c r="C1191" s="139" t="s">
        <v>9118</v>
      </c>
      <c r="D1191" s="140" t="s">
        <v>9645</v>
      </c>
      <c r="E1191" s="141" t="s">
        <v>8123</v>
      </c>
      <c r="F1191" s="142" t="s">
        <v>9097</v>
      </c>
      <c r="G1191" s="143">
        <v>94.96</v>
      </c>
      <c r="H1191" s="144" t="s">
        <v>730</v>
      </c>
      <c r="I1191" s="145"/>
      <c r="J1191" s="145"/>
      <c r="K1191" s="146">
        <v>94.96</v>
      </c>
    </row>
    <row r="1192" spans="1:11" s="147" customFormat="1" ht="11.25" customHeight="1" x14ac:dyDescent="0.2">
      <c r="A1192" s="795" t="s">
        <v>9625</v>
      </c>
      <c r="B1192" s="138" t="s">
        <v>9604</v>
      </c>
      <c r="C1192" s="139" t="s">
        <v>9118</v>
      </c>
      <c r="D1192" s="140" t="s">
        <v>9645</v>
      </c>
      <c r="E1192" s="141" t="s">
        <v>8123</v>
      </c>
      <c r="F1192" s="142" t="s">
        <v>9097</v>
      </c>
      <c r="G1192" s="143">
        <v>94.96</v>
      </c>
      <c r="H1192" s="144" t="s">
        <v>730</v>
      </c>
      <c r="I1192" s="145"/>
      <c r="J1192" s="145"/>
      <c r="K1192" s="146">
        <v>94.96</v>
      </c>
    </row>
    <row r="1193" spans="1:11" s="147" customFormat="1" ht="11.25" customHeight="1" x14ac:dyDescent="0.2">
      <c r="A1193" s="795" t="s">
        <v>9625</v>
      </c>
      <c r="B1193" s="138" t="s">
        <v>9604</v>
      </c>
      <c r="C1193" s="139" t="s">
        <v>9118</v>
      </c>
      <c r="D1193" s="140" t="s">
        <v>9645</v>
      </c>
      <c r="E1193" s="141" t="s">
        <v>8123</v>
      </c>
      <c r="F1193" s="142" t="s">
        <v>9097</v>
      </c>
      <c r="G1193" s="143">
        <v>94.96</v>
      </c>
      <c r="H1193" s="144" t="s">
        <v>730</v>
      </c>
      <c r="I1193" s="145"/>
      <c r="J1193" s="145"/>
      <c r="K1193" s="146">
        <v>94.96</v>
      </c>
    </row>
    <row r="1194" spans="1:11" s="147" customFormat="1" ht="11.25" customHeight="1" x14ac:dyDescent="0.2">
      <c r="A1194" s="795" t="s">
        <v>9625</v>
      </c>
      <c r="B1194" s="138" t="s">
        <v>9604</v>
      </c>
      <c r="C1194" s="139" t="s">
        <v>9118</v>
      </c>
      <c r="D1194" s="140" t="s">
        <v>9645</v>
      </c>
      <c r="E1194" s="141" t="s">
        <v>8123</v>
      </c>
      <c r="F1194" s="142" t="s">
        <v>9097</v>
      </c>
      <c r="G1194" s="143">
        <v>94.96</v>
      </c>
      <c r="H1194" s="144" t="s">
        <v>730</v>
      </c>
      <c r="I1194" s="145"/>
      <c r="J1194" s="145"/>
      <c r="K1194" s="146">
        <v>94.96</v>
      </c>
    </row>
    <row r="1195" spans="1:11" s="147" customFormat="1" ht="11.25" customHeight="1" x14ac:dyDescent="0.2">
      <c r="A1195" s="795" t="s">
        <v>9625</v>
      </c>
      <c r="B1195" s="138" t="s">
        <v>9604</v>
      </c>
      <c r="C1195" s="139" t="s">
        <v>9118</v>
      </c>
      <c r="D1195" s="140" t="s">
        <v>9645</v>
      </c>
      <c r="E1195" s="141" t="s">
        <v>8123</v>
      </c>
      <c r="F1195" s="142" t="s">
        <v>9097</v>
      </c>
      <c r="G1195" s="143">
        <v>94.96</v>
      </c>
      <c r="H1195" s="144" t="s">
        <v>730</v>
      </c>
      <c r="I1195" s="145"/>
      <c r="J1195" s="145"/>
      <c r="K1195" s="146">
        <v>94.96</v>
      </c>
    </row>
    <row r="1196" spans="1:11" s="147" customFormat="1" ht="11.25" customHeight="1" x14ac:dyDescent="0.2">
      <c r="A1196" s="795" t="s">
        <v>9625</v>
      </c>
      <c r="B1196" s="138" t="s">
        <v>9604</v>
      </c>
      <c r="C1196" s="139" t="s">
        <v>9118</v>
      </c>
      <c r="D1196" s="140" t="s">
        <v>9645</v>
      </c>
      <c r="E1196" s="141" t="s">
        <v>8123</v>
      </c>
      <c r="F1196" s="142" t="s">
        <v>9097</v>
      </c>
      <c r="G1196" s="143">
        <v>95.19</v>
      </c>
      <c r="H1196" s="144" t="s">
        <v>730</v>
      </c>
      <c r="I1196" s="145"/>
      <c r="J1196" s="145"/>
      <c r="K1196" s="146">
        <v>95.19</v>
      </c>
    </row>
    <row r="1197" spans="1:11" s="147" customFormat="1" ht="11.25" customHeight="1" x14ac:dyDescent="0.2">
      <c r="A1197" s="795" t="s">
        <v>9625</v>
      </c>
      <c r="B1197" s="138" t="s">
        <v>9604</v>
      </c>
      <c r="C1197" s="139" t="s">
        <v>9118</v>
      </c>
      <c r="D1197" s="140" t="s">
        <v>9645</v>
      </c>
      <c r="E1197" s="141" t="s">
        <v>8123</v>
      </c>
      <c r="F1197" s="142" t="s">
        <v>9097</v>
      </c>
      <c r="G1197" s="143">
        <v>95.19</v>
      </c>
      <c r="H1197" s="144" t="s">
        <v>730</v>
      </c>
      <c r="I1197" s="145"/>
      <c r="J1197" s="145"/>
      <c r="K1197" s="146">
        <v>95.19</v>
      </c>
    </row>
    <row r="1198" spans="1:11" s="147" customFormat="1" ht="11.25" customHeight="1" x14ac:dyDescent="0.2">
      <c r="A1198" s="795" t="s">
        <v>9625</v>
      </c>
      <c r="B1198" s="138" t="s">
        <v>9604</v>
      </c>
      <c r="C1198" s="139" t="s">
        <v>9118</v>
      </c>
      <c r="D1198" s="140" t="s">
        <v>9640</v>
      </c>
      <c r="E1198" s="141" t="s">
        <v>8123</v>
      </c>
      <c r="F1198" s="142" t="s">
        <v>9301</v>
      </c>
      <c r="G1198" s="143">
        <v>95.21</v>
      </c>
      <c r="H1198" s="144" t="s">
        <v>730</v>
      </c>
      <c r="I1198" s="145"/>
      <c r="J1198" s="145"/>
      <c r="K1198" s="146">
        <v>95.21</v>
      </c>
    </row>
    <row r="1199" spans="1:11" s="147" customFormat="1" ht="11.25" customHeight="1" x14ac:dyDescent="0.2">
      <c r="A1199" s="795" t="s">
        <v>9625</v>
      </c>
      <c r="B1199" s="138" t="s">
        <v>9604</v>
      </c>
      <c r="C1199" s="139" t="s">
        <v>9118</v>
      </c>
      <c r="D1199" s="140" t="s">
        <v>9632</v>
      </c>
      <c r="E1199" s="141" t="s">
        <v>8123</v>
      </c>
      <c r="F1199" s="142" t="s">
        <v>8976</v>
      </c>
      <c r="G1199" s="143">
        <v>96.78</v>
      </c>
      <c r="H1199" s="144" t="s">
        <v>730</v>
      </c>
      <c r="I1199" s="145"/>
      <c r="J1199" s="145"/>
      <c r="K1199" s="146">
        <v>96.78</v>
      </c>
    </row>
    <row r="1200" spans="1:11" s="147" customFormat="1" ht="11.25" customHeight="1" x14ac:dyDescent="0.2">
      <c r="A1200" s="795" t="s">
        <v>9625</v>
      </c>
      <c r="B1200" s="138" t="s">
        <v>9604</v>
      </c>
      <c r="C1200" s="139" t="s">
        <v>9118</v>
      </c>
      <c r="D1200" s="140" t="s">
        <v>9643</v>
      </c>
      <c r="E1200" s="141" t="s">
        <v>8123</v>
      </c>
      <c r="F1200" s="142" t="s">
        <v>8976</v>
      </c>
      <c r="G1200" s="143">
        <v>97.16</v>
      </c>
      <c r="H1200" s="144" t="s">
        <v>730</v>
      </c>
      <c r="I1200" s="145"/>
      <c r="J1200" s="145"/>
      <c r="K1200" s="146">
        <v>97.16</v>
      </c>
    </row>
    <row r="1201" spans="1:11" s="147" customFormat="1" ht="11.25" customHeight="1" x14ac:dyDescent="0.2">
      <c r="A1201" s="795" t="s">
        <v>9625</v>
      </c>
      <c r="B1201" s="138" t="s">
        <v>9604</v>
      </c>
      <c r="C1201" s="139" t="s">
        <v>9118</v>
      </c>
      <c r="D1201" s="140" t="s">
        <v>9632</v>
      </c>
      <c r="E1201" s="141" t="s">
        <v>8123</v>
      </c>
      <c r="F1201" s="142" t="s">
        <v>8976</v>
      </c>
      <c r="G1201" s="143">
        <v>107.18</v>
      </c>
      <c r="H1201" s="144" t="s">
        <v>730</v>
      </c>
      <c r="I1201" s="145"/>
      <c r="J1201" s="145"/>
      <c r="K1201" s="146">
        <v>107.18</v>
      </c>
    </row>
    <row r="1202" spans="1:11" s="147" customFormat="1" ht="11.25" customHeight="1" x14ac:dyDescent="0.2">
      <c r="A1202" s="795" t="s">
        <v>9625</v>
      </c>
      <c r="B1202" s="138" t="s">
        <v>9604</v>
      </c>
      <c r="C1202" s="139" t="s">
        <v>9118</v>
      </c>
      <c r="D1202" s="140" t="s">
        <v>9635</v>
      </c>
      <c r="E1202" s="141" t="s">
        <v>8123</v>
      </c>
      <c r="F1202" s="142" t="s">
        <v>9301</v>
      </c>
      <c r="G1202" s="143">
        <v>107.18</v>
      </c>
      <c r="H1202" s="144" t="s">
        <v>730</v>
      </c>
      <c r="I1202" s="145"/>
      <c r="J1202" s="145"/>
      <c r="K1202" s="146">
        <v>107.18</v>
      </c>
    </row>
    <row r="1203" spans="1:11" s="147" customFormat="1" ht="11.25" customHeight="1" x14ac:dyDescent="0.2">
      <c r="A1203" s="795" t="s">
        <v>9625</v>
      </c>
      <c r="B1203" s="138" t="s">
        <v>9604</v>
      </c>
      <c r="C1203" s="139" t="s">
        <v>9118</v>
      </c>
      <c r="D1203" s="140" t="s">
        <v>9641</v>
      </c>
      <c r="E1203" s="141" t="s">
        <v>8123</v>
      </c>
      <c r="F1203" s="142" t="s">
        <v>9642</v>
      </c>
      <c r="G1203" s="143">
        <v>108.97</v>
      </c>
      <c r="H1203" s="144" t="s">
        <v>730</v>
      </c>
      <c r="I1203" s="145"/>
      <c r="J1203" s="145"/>
      <c r="K1203" s="146">
        <v>108.97</v>
      </c>
    </row>
    <row r="1204" spans="1:11" s="147" customFormat="1" ht="11.25" customHeight="1" x14ac:dyDescent="0.2">
      <c r="A1204" s="795" t="s">
        <v>9625</v>
      </c>
      <c r="B1204" s="138" t="s">
        <v>9604</v>
      </c>
      <c r="C1204" s="139" t="s">
        <v>9118</v>
      </c>
      <c r="D1204" s="140" t="s">
        <v>9641</v>
      </c>
      <c r="E1204" s="141" t="s">
        <v>8123</v>
      </c>
      <c r="F1204" s="142" t="s">
        <v>9642</v>
      </c>
      <c r="G1204" s="143">
        <v>111.77</v>
      </c>
      <c r="H1204" s="144" t="s">
        <v>730</v>
      </c>
      <c r="I1204" s="145"/>
      <c r="J1204" s="145"/>
      <c r="K1204" s="146">
        <v>111.77</v>
      </c>
    </row>
    <row r="1205" spans="1:11" s="147" customFormat="1" ht="11.25" customHeight="1" x14ac:dyDescent="0.2">
      <c r="A1205" s="795" t="s">
        <v>9625</v>
      </c>
      <c r="B1205" s="138" t="s">
        <v>9604</v>
      </c>
      <c r="C1205" s="139" t="s">
        <v>9118</v>
      </c>
      <c r="D1205" s="140" t="s">
        <v>9626</v>
      </c>
      <c r="E1205" s="141" t="s">
        <v>8123</v>
      </c>
      <c r="F1205" s="142" t="s">
        <v>8976</v>
      </c>
      <c r="G1205" s="143">
        <v>112.24</v>
      </c>
      <c r="H1205" s="144" t="s">
        <v>730</v>
      </c>
      <c r="I1205" s="145"/>
      <c r="J1205" s="145"/>
      <c r="K1205" s="146">
        <v>112.24</v>
      </c>
    </row>
    <row r="1206" spans="1:11" s="147" customFormat="1" ht="11.25" customHeight="1" x14ac:dyDescent="0.2">
      <c r="A1206" s="795" t="s">
        <v>9625</v>
      </c>
      <c r="B1206" s="138" t="s">
        <v>9604</v>
      </c>
      <c r="C1206" s="139" t="s">
        <v>9118</v>
      </c>
      <c r="D1206" s="140" t="s">
        <v>9627</v>
      </c>
      <c r="E1206" s="141" t="s">
        <v>8123</v>
      </c>
      <c r="F1206" s="142" t="s">
        <v>9301</v>
      </c>
      <c r="G1206" s="143">
        <v>113.7</v>
      </c>
      <c r="H1206" s="144" t="s">
        <v>730</v>
      </c>
      <c r="I1206" s="145"/>
      <c r="J1206" s="145"/>
      <c r="K1206" s="146">
        <v>113.7</v>
      </c>
    </row>
    <row r="1207" spans="1:11" s="147" customFormat="1" ht="11.25" customHeight="1" x14ac:dyDescent="0.2">
      <c r="A1207" s="795" t="s">
        <v>9625</v>
      </c>
      <c r="B1207" s="138" t="s">
        <v>9604</v>
      </c>
      <c r="C1207" s="139" t="s">
        <v>9118</v>
      </c>
      <c r="D1207" s="140" t="s">
        <v>9639</v>
      </c>
      <c r="E1207" s="141" t="s">
        <v>8123</v>
      </c>
      <c r="F1207" s="142" t="s">
        <v>8082</v>
      </c>
      <c r="G1207" s="143">
        <v>115.35</v>
      </c>
      <c r="H1207" s="144" t="s">
        <v>730</v>
      </c>
      <c r="I1207" s="145"/>
      <c r="J1207" s="145"/>
      <c r="K1207" s="146">
        <v>115.35</v>
      </c>
    </row>
    <row r="1208" spans="1:11" s="147" customFormat="1" ht="11.25" customHeight="1" x14ac:dyDescent="0.2">
      <c r="A1208" s="795" t="s">
        <v>9625</v>
      </c>
      <c r="B1208" s="138" t="s">
        <v>9604</v>
      </c>
      <c r="C1208" s="139" t="s">
        <v>9118</v>
      </c>
      <c r="D1208" s="140" t="s">
        <v>9635</v>
      </c>
      <c r="E1208" s="141" t="s">
        <v>8123</v>
      </c>
      <c r="F1208" s="142" t="s">
        <v>9301</v>
      </c>
      <c r="G1208" s="143">
        <v>117.07</v>
      </c>
      <c r="H1208" s="144" t="s">
        <v>730</v>
      </c>
      <c r="I1208" s="145"/>
      <c r="J1208" s="145"/>
      <c r="K1208" s="146">
        <v>117.07</v>
      </c>
    </row>
    <row r="1209" spans="1:11" s="147" customFormat="1" ht="11.25" customHeight="1" x14ac:dyDescent="0.2">
      <c r="A1209" s="795" t="s">
        <v>9625</v>
      </c>
      <c r="B1209" s="138" t="s">
        <v>9604</v>
      </c>
      <c r="C1209" s="139" t="s">
        <v>9118</v>
      </c>
      <c r="D1209" s="140" t="s">
        <v>9634</v>
      </c>
      <c r="E1209" s="141" t="s">
        <v>8123</v>
      </c>
      <c r="F1209" s="142" t="s">
        <v>9301</v>
      </c>
      <c r="G1209" s="143">
        <v>117.07</v>
      </c>
      <c r="H1209" s="144" t="s">
        <v>730</v>
      </c>
      <c r="I1209" s="145"/>
      <c r="J1209" s="145"/>
      <c r="K1209" s="146">
        <v>117.07</v>
      </c>
    </row>
    <row r="1210" spans="1:11" s="147" customFormat="1" ht="11.25" customHeight="1" x14ac:dyDescent="0.2">
      <c r="A1210" s="795" t="s">
        <v>9625</v>
      </c>
      <c r="B1210" s="138" t="s">
        <v>9604</v>
      </c>
      <c r="C1210" s="139" t="s">
        <v>9118</v>
      </c>
      <c r="D1210" s="140" t="s">
        <v>9637</v>
      </c>
      <c r="E1210" s="141" t="s">
        <v>8123</v>
      </c>
      <c r="F1210" s="142" t="s">
        <v>9301</v>
      </c>
      <c r="G1210" s="143">
        <v>117.07</v>
      </c>
      <c r="H1210" s="144" t="s">
        <v>730</v>
      </c>
      <c r="I1210" s="145"/>
      <c r="J1210" s="145"/>
      <c r="K1210" s="146">
        <v>117.07</v>
      </c>
    </row>
    <row r="1211" spans="1:11" s="147" customFormat="1" ht="11.25" customHeight="1" x14ac:dyDescent="0.2">
      <c r="A1211" s="795" t="s">
        <v>9625</v>
      </c>
      <c r="B1211" s="138" t="s">
        <v>9604</v>
      </c>
      <c r="C1211" s="139" t="s">
        <v>9118</v>
      </c>
      <c r="D1211" s="140" t="s">
        <v>9641</v>
      </c>
      <c r="E1211" s="141" t="s">
        <v>8123</v>
      </c>
      <c r="F1211" s="142" t="s">
        <v>9642</v>
      </c>
      <c r="G1211" s="143">
        <v>117.07</v>
      </c>
      <c r="H1211" s="144" t="s">
        <v>730</v>
      </c>
      <c r="I1211" s="145"/>
      <c r="J1211" s="145"/>
      <c r="K1211" s="146">
        <v>117.07</v>
      </c>
    </row>
    <row r="1212" spans="1:11" s="147" customFormat="1" ht="11.25" customHeight="1" x14ac:dyDescent="0.2">
      <c r="A1212" s="795" t="s">
        <v>9625</v>
      </c>
      <c r="B1212" s="138" t="s">
        <v>9604</v>
      </c>
      <c r="C1212" s="139" t="s">
        <v>9118</v>
      </c>
      <c r="D1212" s="140" t="s">
        <v>9641</v>
      </c>
      <c r="E1212" s="141" t="s">
        <v>8123</v>
      </c>
      <c r="F1212" s="142" t="s">
        <v>9642</v>
      </c>
      <c r="G1212" s="143">
        <v>120.83</v>
      </c>
      <c r="H1212" s="144" t="s">
        <v>730</v>
      </c>
      <c r="I1212" s="145"/>
      <c r="J1212" s="145"/>
      <c r="K1212" s="146">
        <v>120.83</v>
      </c>
    </row>
    <row r="1213" spans="1:11" s="147" customFormat="1" ht="11.25" customHeight="1" x14ac:dyDescent="0.2">
      <c r="A1213" s="795" t="s">
        <v>9625</v>
      </c>
      <c r="B1213" s="138" t="s">
        <v>9604</v>
      </c>
      <c r="C1213" s="139" t="s">
        <v>9118</v>
      </c>
      <c r="D1213" s="140" t="s">
        <v>9627</v>
      </c>
      <c r="E1213" s="141" t="s">
        <v>8123</v>
      </c>
      <c r="F1213" s="142" t="s">
        <v>9301</v>
      </c>
      <c r="G1213" s="143">
        <v>121.66</v>
      </c>
      <c r="H1213" s="144" t="s">
        <v>730</v>
      </c>
      <c r="I1213" s="145"/>
      <c r="J1213" s="145"/>
      <c r="K1213" s="146">
        <v>121.66</v>
      </c>
    </row>
    <row r="1214" spans="1:11" s="147" customFormat="1" ht="11.25" customHeight="1" x14ac:dyDescent="0.2">
      <c r="A1214" s="795" t="s">
        <v>9625</v>
      </c>
      <c r="B1214" s="138" t="s">
        <v>9604</v>
      </c>
      <c r="C1214" s="139" t="s">
        <v>9118</v>
      </c>
      <c r="D1214" s="140" t="s">
        <v>9628</v>
      </c>
      <c r="E1214" s="141" t="s">
        <v>8123</v>
      </c>
      <c r="F1214" s="142" t="s">
        <v>9301</v>
      </c>
      <c r="G1214" s="143">
        <v>123.28</v>
      </c>
      <c r="H1214" s="144" t="s">
        <v>730</v>
      </c>
      <c r="I1214" s="145"/>
      <c r="J1214" s="145"/>
      <c r="K1214" s="146">
        <v>123.28</v>
      </c>
    </row>
    <row r="1215" spans="1:11" s="147" customFormat="1" ht="11.25" customHeight="1" x14ac:dyDescent="0.2">
      <c r="A1215" s="795" t="s">
        <v>9625</v>
      </c>
      <c r="B1215" s="138" t="s">
        <v>9604</v>
      </c>
      <c r="C1215" s="139" t="s">
        <v>9118</v>
      </c>
      <c r="D1215" s="140" t="s">
        <v>9646</v>
      </c>
      <c r="E1215" s="141" t="s">
        <v>8123</v>
      </c>
      <c r="F1215" s="142" t="s">
        <v>9614</v>
      </c>
      <c r="G1215" s="143">
        <v>124.87</v>
      </c>
      <c r="H1215" s="144" t="s">
        <v>730</v>
      </c>
      <c r="I1215" s="145"/>
      <c r="J1215" s="145"/>
      <c r="K1215" s="146">
        <v>124.87</v>
      </c>
    </row>
    <row r="1216" spans="1:11" s="147" customFormat="1" ht="11.25" customHeight="1" x14ac:dyDescent="0.2">
      <c r="A1216" s="795" t="s">
        <v>9625</v>
      </c>
      <c r="B1216" s="138" t="s">
        <v>9604</v>
      </c>
      <c r="C1216" s="139" t="s">
        <v>9118</v>
      </c>
      <c r="D1216" s="140" t="s">
        <v>9633</v>
      </c>
      <c r="E1216" s="141" t="s">
        <v>8123</v>
      </c>
      <c r="F1216" s="142" t="s">
        <v>8976</v>
      </c>
      <c r="G1216" s="143">
        <v>125.95</v>
      </c>
      <c r="H1216" s="144" t="s">
        <v>730</v>
      </c>
      <c r="I1216" s="145"/>
      <c r="J1216" s="145"/>
      <c r="K1216" s="146">
        <v>125.95</v>
      </c>
    </row>
    <row r="1217" spans="1:11" s="147" customFormat="1" ht="11.25" customHeight="1" x14ac:dyDescent="0.2">
      <c r="A1217" s="795" t="s">
        <v>9625</v>
      </c>
      <c r="B1217" s="138" t="s">
        <v>9604</v>
      </c>
      <c r="C1217" s="139" t="s">
        <v>9118</v>
      </c>
      <c r="D1217" s="140" t="s">
        <v>9640</v>
      </c>
      <c r="E1217" s="141" t="s">
        <v>8123</v>
      </c>
      <c r="F1217" s="142" t="s">
        <v>9301</v>
      </c>
      <c r="G1217" s="143">
        <v>126.3</v>
      </c>
      <c r="H1217" s="144" t="s">
        <v>730</v>
      </c>
      <c r="I1217" s="145"/>
      <c r="J1217" s="145"/>
      <c r="K1217" s="146">
        <v>126.3</v>
      </c>
    </row>
    <row r="1218" spans="1:11" s="147" customFormat="1" ht="11.25" customHeight="1" x14ac:dyDescent="0.2">
      <c r="A1218" s="795" t="s">
        <v>9625</v>
      </c>
      <c r="B1218" s="138" t="s">
        <v>9604</v>
      </c>
      <c r="C1218" s="139" t="s">
        <v>9118</v>
      </c>
      <c r="D1218" s="140" t="s">
        <v>9639</v>
      </c>
      <c r="E1218" s="141" t="s">
        <v>8123</v>
      </c>
      <c r="F1218" s="142" t="s">
        <v>8082</v>
      </c>
      <c r="G1218" s="143">
        <v>127.88</v>
      </c>
      <c r="H1218" s="144" t="s">
        <v>730</v>
      </c>
      <c r="I1218" s="145"/>
      <c r="J1218" s="145"/>
      <c r="K1218" s="146">
        <v>127.88</v>
      </c>
    </row>
    <row r="1219" spans="1:11" s="147" customFormat="1" ht="11.25" customHeight="1" x14ac:dyDescent="0.2">
      <c r="A1219" s="795" t="s">
        <v>9625</v>
      </c>
      <c r="B1219" s="138" t="s">
        <v>9604</v>
      </c>
      <c r="C1219" s="139" t="s">
        <v>9118</v>
      </c>
      <c r="D1219" s="140" t="s">
        <v>9644</v>
      </c>
      <c r="E1219" s="141" t="s">
        <v>8123</v>
      </c>
      <c r="F1219" s="142" t="s">
        <v>8118</v>
      </c>
      <c r="G1219" s="143">
        <v>128.19999999999999</v>
      </c>
      <c r="H1219" s="144" t="s">
        <v>730</v>
      </c>
      <c r="I1219" s="145"/>
      <c r="J1219" s="145"/>
      <c r="K1219" s="146">
        <v>128.19999999999999</v>
      </c>
    </row>
    <row r="1220" spans="1:11" s="147" customFormat="1" ht="11.25" customHeight="1" x14ac:dyDescent="0.2">
      <c r="A1220" s="795" t="s">
        <v>9625</v>
      </c>
      <c r="B1220" s="138" t="s">
        <v>9604</v>
      </c>
      <c r="C1220" s="139" t="s">
        <v>9118</v>
      </c>
      <c r="D1220" s="140" t="s">
        <v>9644</v>
      </c>
      <c r="E1220" s="141" t="s">
        <v>8123</v>
      </c>
      <c r="F1220" s="142" t="s">
        <v>8118</v>
      </c>
      <c r="G1220" s="143">
        <v>128.19999999999999</v>
      </c>
      <c r="H1220" s="144" t="s">
        <v>730</v>
      </c>
      <c r="I1220" s="145"/>
      <c r="J1220" s="145"/>
      <c r="K1220" s="146">
        <v>128.19999999999999</v>
      </c>
    </row>
    <row r="1221" spans="1:11" s="147" customFormat="1" ht="11.25" customHeight="1" x14ac:dyDescent="0.2">
      <c r="A1221" s="795" t="s">
        <v>9625</v>
      </c>
      <c r="B1221" s="138" t="s">
        <v>9604</v>
      </c>
      <c r="C1221" s="139" t="s">
        <v>9118</v>
      </c>
      <c r="D1221" s="140" t="s">
        <v>9626</v>
      </c>
      <c r="E1221" s="141" t="s">
        <v>8123</v>
      </c>
      <c r="F1221" s="142" t="s">
        <v>8976</v>
      </c>
      <c r="G1221" s="143">
        <v>131.16</v>
      </c>
      <c r="H1221" s="144" t="s">
        <v>730</v>
      </c>
      <c r="I1221" s="145"/>
      <c r="J1221" s="145"/>
      <c r="K1221" s="146">
        <v>131.16</v>
      </c>
    </row>
    <row r="1222" spans="1:11" s="147" customFormat="1" ht="11.25" customHeight="1" x14ac:dyDescent="0.2">
      <c r="A1222" s="795" t="s">
        <v>9625</v>
      </c>
      <c r="B1222" s="138" t="s">
        <v>9604</v>
      </c>
      <c r="C1222" s="139" t="s">
        <v>9118</v>
      </c>
      <c r="D1222" s="140" t="s">
        <v>9643</v>
      </c>
      <c r="E1222" s="141" t="s">
        <v>8123</v>
      </c>
      <c r="F1222" s="142" t="s">
        <v>8976</v>
      </c>
      <c r="G1222" s="143">
        <v>132.16999999999999</v>
      </c>
      <c r="H1222" s="144" t="s">
        <v>730</v>
      </c>
      <c r="I1222" s="145"/>
      <c r="J1222" s="145"/>
      <c r="K1222" s="146">
        <v>132.16999999999999</v>
      </c>
    </row>
    <row r="1223" spans="1:11" s="147" customFormat="1" ht="11.25" customHeight="1" x14ac:dyDescent="0.2">
      <c r="A1223" s="795" t="s">
        <v>9625</v>
      </c>
      <c r="B1223" s="138" t="s">
        <v>9604</v>
      </c>
      <c r="C1223" s="139" t="s">
        <v>9118</v>
      </c>
      <c r="D1223" s="140" t="s">
        <v>9641</v>
      </c>
      <c r="E1223" s="141" t="s">
        <v>8123</v>
      </c>
      <c r="F1223" s="142" t="s">
        <v>9642</v>
      </c>
      <c r="G1223" s="143">
        <v>133.4</v>
      </c>
      <c r="H1223" s="144" t="s">
        <v>730</v>
      </c>
      <c r="I1223" s="145"/>
      <c r="J1223" s="145"/>
      <c r="K1223" s="146">
        <v>133.4</v>
      </c>
    </row>
    <row r="1224" spans="1:11" s="147" customFormat="1" ht="11.25" customHeight="1" x14ac:dyDescent="0.2">
      <c r="A1224" s="795" t="s">
        <v>9625</v>
      </c>
      <c r="B1224" s="138" t="s">
        <v>9604</v>
      </c>
      <c r="C1224" s="139" t="s">
        <v>9118</v>
      </c>
      <c r="D1224" s="140" t="s">
        <v>9640</v>
      </c>
      <c r="E1224" s="141" t="s">
        <v>8123</v>
      </c>
      <c r="F1224" s="142" t="s">
        <v>9301</v>
      </c>
      <c r="G1224" s="143">
        <v>137.22999999999999</v>
      </c>
      <c r="H1224" s="144" t="s">
        <v>730</v>
      </c>
      <c r="I1224" s="145"/>
      <c r="J1224" s="145"/>
      <c r="K1224" s="146">
        <v>137.22999999999999</v>
      </c>
    </row>
    <row r="1225" spans="1:11" s="147" customFormat="1" ht="11.25" customHeight="1" x14ac:dyDescent="0.2">
      <c r="A1225" s="795" t="s">
        <v>9625</v>
      </c>
      <c r="B1225" s="138" t="s">
        <v>9604</v>
      </c>
      <c r="C1225" s="139" t="s">
        <v>9118</v>
      </c>
      <c r="D1225" s="140" t="s">
        <v>9634</v>
      </c>
      <c r="E1225" s="141" t="s">
        <v>8123</v>
      </c>
      <c r="F1225" s="142" t="s">
        <v>9301</v>
      </c>
      <c r="G1225" s="143">
        <v>148.66999999999999</v>
      </c>
      <c r="H1225" s="144" t="s">
        <v>730</v>
      </c>
      <c r="I1225" s="145"/>
      <c r="J1225" s="145"/>
      <c r="K1225" s="146">
        <v>148.66999999999999</v>
      </c>
    </row>
    <row r="1226" spans="1:11" s="147" customFormat="1" ht="11.25" customHeight="1" x14ac:dyDescent="0.2">
      <c r="A1226" s="795" t="s">
        <v>9625</v>
      </c>
      <c r="B1226" s="138" t="s">
        <v>9604</v>
      </c>
      <c r="C1226" s="139" t="s">
        <v>9118</v>
      </c>
      <c r="D1226" s="140" t="s">
        <v>9636</v>
      </c>
      <c r="E1226" s="141" t="s">
        <v>8123</v>
      </c>
      <c r="F1226" s="142" t="s">
        <v>8120</v>
      </c>
      <c r="G1226" s="143">
        <v>153.06</v>
      </c>
      <c r="H1226" s="144" t="s">
        <v>730</v>
      </c>
      <c r="I1226" s="145"/>
      <c r="J1226" s="145"/>
      <c r="K1226" s="146">
        <v>153.06</v>
      </c>
    </row>
    <row r="1227" spans="1:11" s="147" customFormat="1" ht="11.25" customHeight="1" x14ac:dyDescent="0.2">
      <c r="A1227" s="795" t="s">
        <v>9625</v>
      </c>
      <c r="B1227" s="138" t="s">
        <v>9604</v>
      </c>
      <c r="C1227" s="139" t="s">
        <v>9118</v>
      </c>
      <c r="D1227" s="140" t="s">
        <v>9647</v>
      </c>
      <c r="E1227" s="141" t="s">
        <v>8123</v>
      </c>
      <c r="F1227" s="142" t="s">
        <v>9614</v>
      </c>
      <c r="G1227" s="143">
        <v>156.6</v>
      </c>
      <c r="H1227" s="144" t="s">
        <v>730</v>
      </c>
      <c r="I1227" s="145"/>
      <c r="J1227" s="145"/>
      <c r="K1227" s="146">
        <v>156.6</v>
      </c>
    </row>
    <row r="1228" spans="1:11" s="147" customFormat="1" ht="11.25" customHeight="1" x14ac:dyDescent="0.2">
      <c r="A1228" s="795" t="s">
        <v>9625</v>
      </c>
      <c r="B1228" s="138" t="s">
        <v>9604</v>
      </c>
      <c r="C1228" s="139" t="s">
        <v>9118</v>
      </c>
      <c r="D1228" s="140" t="s">
        <v>9641</v>
      </c>
      <c r="E1228" s="141" t="s">
        <v>8123</v>
      </c>
      <c r="F1228" s="142" t="s">
        <v>9642</v>
      </c>
      <c r="G1228" s="143">
        <v>160.08000000000001</v>
      </c>
      <c r="H1228" s="144" t="s">
        <v>730</v>
      </c>
      <c r="I1228" s="145"/>
      <c r="J1228" s="145"/>
      <c r="K1228" s="146">
        <v>160.08000000000001</v>
      </c>
    </row>
    <row r="1229" spans="1:11" s="147" customFormat="1" ht="11.25" customHeight="1" x14ac:dyDescent="0.2">
      <c r="A1229" s="795" t="s">
        <v>9625</v>
      </c>
      <c r="B1229" s="138" t="s">
        <v>9604</v>
      </c>
      <c r="C1229" s="139" t="s">
        <v>9118</v>
      </c>
      <c r="D1229" s="140" t="s">
        <v>9644</v>
      </c>
      <c r="E1229" s="141" t="s">
        <v>8123</v>
      </c>
      <c r="F1229" s="142" t="s">
        <v>8118</v>
      </c>
      <c r="G1229" s="143">
        <v>162.91999999999999</v>
      </c>
      <c r="H1229" s="144" t="s">
        <v>730</v>
      </c>
      <c r="I1229" s="145"/>
      <c r="J1229" s="145"/>
      <c r="K1229" s="146">
        <v>162.91999999999999</v>
      </c>
    </row>
    <row r="1230" spans="1:11" s="147" customFormat="1" ht="11.25" customHeight="1" x14ac:dyDescent="0.2">
      <c r="A1230" s="795" t="s">
        <v>9625</v>
      </c>
      <c r="B1230" s="138" t="s">
        <v>9604</v>
      </c>
      <c r="C1230" s="139" t="s">
        <v>9118</v>
      </c>
      <c r="D1230" s="140" t="s">
        <v>9644</v>
      </c>
      <c r="E1230" s="141" t="s">
        <v>8123</v>
      </c>
      <c r="F1230" s="142" t="s">
        <v>8118</v>
      </c>
      <c r="G1230" s="143">
        <v>164.49</v>
      </c>
      <c r="H1230" s="144" t="s">
        <v>730</v>
      </c>
      <c r="I1230" s="145"/>
      <c r="J1230" s="145"/>
      <c r="K1230" s="146">
        <v>164.49</v>
      </c>
    </row>
    <row r="1231" spans="1:11" s="147" customFormat="1" ht="11.25" customHeight="1" x14ac:dyDescent="0.2">
      <c r="A1231" s="795" t="s">
        <v>9625</v>
      </c>
      <c r="B1231" s="138" t="s">
        <v>9604</v>
      </c>
      <c r="C1231" s="139" t="s">
        <v>9118</v>
      </c>
      <c r="D1231" s="140" t="s">
        <v>9641</v>
      </c>
      <c r="E1231" s="141" t="s">
        <v>8123</v>
      </c>
      <c r="F1231" s="142" t="s">
        <v>9642</v>
      </c>
      <c r="G1231" s="143">
        <v>164.49</v>
      </c>
      <c r="H1231" s="144" t="s">
        <v>730</v>
      </c>
      <c r="I1231" s="145"/>
      <c r="J1231" s="145"/>
      <c r="K1231" s="146">
        <v>164.49</v>
      </c>
    </row>
    <row r="1232" spans="1:11" s="147" customFormat="1" ht="11.25" customHeight="1" x14ac:dyDescent="0.2">
      <c r="A1232" s="795" t="s">
        <v>9625</v>
      </c>
      <c r="B1232" s="138" t="s">
        <v>9604</v>
      </c>
      <c r="C1232" s="139" t="s">
        <v>9118</v>
      </c>
      <c r="D1232" s="140" t="s">
        <v>9630</v>
      </c>
      <c r="E1232" s="141" t="s">
        <v>8123</v>
      </c>
      <c r="F1232" s="142" t="s">
        <v>8976</v>
      </c>
      <c r="G1232" s="143">
        <v>173.03</v>
      </c>
      <c r="H1232" s="144" t="s">
        <v>730</v>
      </c>
      <c r="I1232" s="145"/>
      <c r="J1232" s="145"/>
      <c r="K1232" s="146">
        <v>173.03</v>
      </c>
    </row>
    <row r="1233" spans="1:11" s="147" customFormat="1" ht="11.25" customHeight="1" x14ac:dyDescent="0.2">
      <c r="A1233" s="795" t="s">
        <v>9625</v>
      </c>
      <c r="B1233" s="138" t="s">
        <v>9604</v>
      </c>
      <c r="C1233" s="139" t="s">
        <v>9118</v>
      </c>
      <c r="D1233" s="140" t="s">
        <v>9646</v>
      </c>
      <c r="E1233" s="141" t="s">
        <v>8123</v>
      </c>
      <c r="F1233" s="142" t="s">
        <v>9614</v>
      </c>
      <c r="G1233" s="143">
        <v>174.79</v>
      </c>
      <c r="H1233" s="144" t="s">
        <v>730</v>
      </c>
      <c r="I1233" s="145"/>
      <c r="J1233" s="145"/>
      <c r="K1233" s="146">
        <v>174.79</v>
      </c>
    </row>
    <row r="1234" spans="1:11" s="147" customFormat="1" ht="11.25" customHeight="1" x14ac:dyDescent="0.2">
      <c r="A1234" s="795" t="s">
        <v>9625</v>
      </c>
      <c r="B1234" s="138" t="s">
        <v>9604</v>
      </c>
      <c r="C1234" s="139" t="s">
        <v>9118</v>
      </c>
      <c r="D1234" s="140" t="s">
        <v>9640</v>
      </c>
      <c r="E1234" s="141" t="s">
        <v>8123</v>
      </c>
      <c r="F1234" s="142" t="s">
        <v>9301</v>
      </c>
      <c r="G1234" s="143">
        <v>181.08</v>
      </c>
      <c r="H1234" s="144" t="s">
        <v>730</v>
      </c>
      <c r="I1234" s="145"/>
      <c r="J1234" s="145"/>
      <c r="K1234" s="146">
        <v>181.08</v>
      </c>
    </row>
    <row r="1235" spans="1:11" s="147" customFormat="1" ht="11.25" customHeight="1" x14ac:dyDescent="0.2">
      <c r="A1235" s="795" t="s">
        <v>9625</v>
      </c>
      <c r="B1235" s="138" t="s">
        <v>9604</v>
      </c>
      <c r="C1235" s="139" t="s">
        <v>9118</v>
      </c>
      <c r="D1235" s="140" t="s">
        <v>9632</v>
      </c>
      <c r="E1235" s="141" t="s">
        <v>8123</v>
      </c>
      <c r="F1235" s="142" t="s">
        <v>8976</v>
      </c>
      <c r="G1235" s="143">
        <v>181.19</v>
      </c>
      <c r="H1235" s="144" t="s">
        <v>730</v>
      </c>
      <c r="I1235" s="145"/>
      <c r="J1235" s="145"/>
      <c r="K1235" s="146">
        <v>181.19</v>
      </c>
    </row>
    <row r="1236" spans="1:11" s="147" customFormat="1" ht="11.25" customHeight="1" x14ac:dyDescent="0.2">
      <c r="A1236" s="795" t="s">
        <v>9625</v>
      </c>
      <c r="B1236" s="138" t="s">
        <v>9604</v>
      </c>
      <c r="C1236" s="139" t="s">
        <v>9118</v>
      </c>
      <c r="D1236" s="140" t="s">
        <v>9631</v>
      </c>
      <c r="E1236" s="141" t="s">
        <v>8123</v>
      </c>
      <c r="F1236" s="142" t="s">
        <v>9301</v>
      </c>
      <c r="G1236" s="143">
        <v>181.19</v>
      </c>
      <c r="H1236" s="144" t="s">
        <v>730</v>
      </c>
      <c r="I1236" s="145"/>
      <c r="J1236" s="145"/>
      <c r="K1236" s="146">
        <v>181.19</v>
      </c>
    </row>
    <row r="1237" spans="1:11" s="147" customFormat="1" ht="11.25" customHeight="1" x14ac:dyDescent="0.2">
      <c r="A1237" s="795" t="s">
        <v>9625</v>
      </c>
      <c r="B1237" s="138" t="s">
        <v>9604</v>
      </c>
      <c r="C1237" s="139" t="s">
        <v>9118</v>
      </c>
      <c r="D1237" s="140" t="s">
        <v>9627</v>
      </c>
      <c r="E1237" s="141" t="s">
        <v>8123</v>
      </c>
      <c r="F1237" s="142" t="s">
        <v>9301</v>
      </c>
      <c r="G1237" s="143">
        <v>182.1</v>
      </c>
      <c r="H1237" s="144" t="s">
        <v>730</v>
      </c>
      <c r="I1237" s="145"/>
      <c r="J1237" s="145"/>
      <c r="K1237" s="146">
        <v>182.1</v>
      </c>
    </row>
    <row r="1238" spans="1:11" s="147" customFormat="1" ht="11.25" customHeight="1" x14ac:dyDescent="0.2">
      <c r="A1238" s="795" t="s">
        <v>9625</v>
      </c>
      <c r="B1238" s="138" t="s">
        <v>9604</v>
      </c>
      <c r="C1238" s="139" t="s">
        <v>9118</v>
      </c>
      <c r="D1238" s="140" t="s">
        <v>9638</v>
      </c>
      <c r="E1238" s="141" t="s">
        <v>8123</v>
      </c>
      <c r="F1238" s="142" t="s">
        <v>8976</v>
      </c>
      <c r="G1238" s="143">
        <v>189.38</v>
      </c>
      <c r="H1238" s="144" t="s">
        <v>730</v>
      </c>
      <c r="I1238" s="145"/>
      <c r="J1238" s="145"/>
      <c r="K1238" s="146">
        <v>189.38</v>
      </c>
    </row>
    <row r="1239" spans="1:11" s="147" customFormat="1" ht="11.25" customHeight="1" x14ac:dyDescent="0.2">
      <c r="A1239" s="795" t="s">
        <v>9625</v>
      </c>
      <c r="B1239" s="138" t="s">
        <v>9604</v>
      </c>
      <c r="C1239" s="139" t="s">
        <v>9118</v>
      </c>
      <c r="D1239" s="140" t="s">
        <v>9634</v>
      </c>
      <c r="E1239" s="141" t="s">
        <v>8123</v>
      </c>
      <c r="F1239" s="142" t="s">
        <v>9301</v>
      </c>
      <c r="G1239" s="143">
        <v>190.9</v>
      </c>
      <c r="H1239" s="144" t="s">
        <v>730</v>
      </c>
      <c r="I1239" s="145"/>
      <c r="J1239" s="145"/>
      <c r="K1239" s="146">
        <v>190.9</v>
      </c>
    </row>
    <row r="1240" spans="1:11" s="147" customFormat="1" ht="11.25" customHeight="1" x14ac:dyDescent="0.2">
      <c r="A1240" s="795" t="s">
        <v>9625</v>
      </c>
      <c r="B1240" s="138" t="s">
        <v>9604</v>
      </c>
      <c r="C1240" s="139" t="s">
        <v>9118</v>
      </c>
      <c r="D1240" s="140" t="s">
        <v>9640</v>
      </c>
      <c r="E1240" s="141" t="s">
        <v>8123</v>
      </c>
      <c r="F1240" s="142" t="s">
        <v>9301</v>
      </c>
      <c r="G1240" s="143">
        <v>199.75</v>
      </c>
      <c r="H1240" s="144" t="s">
        <v>730</v>
      </c>
      <c r="I1240" s="145"/>
      <c r="J1240" s="145"/>
      <c r="K1240" s="146">
        <v>199.75</v>
      </c>
    </row>
    <row r="1241" spans="1:11" s="147" customFormat="1" ht="11.25" customHeight="1" x14ac:dyDescent="0.2">
      <c r="A1241" s="795" t="s">
        <v>9625</v>
      </c>
      <c r="B1241" s="138" t="s">
        <v>9604</v>
      </c>
      <c r="C1241" s="139" t="s">
        <v>9118</v>
      </c>
      <c r="D1241" s="140" t="s">
        <v>9631</v>
      </c>
      <c r="E1241" s="141" t="s">
        <v>8123</v>
      </c>
      <c r="F1241" s="142" t="s">
        <v>9301</v>
      </c>
      <c r="G1241" s="143">
        <v>201.38</v>
      </c>
      <c r="H1241" s="144" t="s">
        <v>730</v>
      </c>
      <c r="I1241" s="145"/>
      <c r="J1241" s="145"/>
      <c r="K1241" s="146">
        <v>201.38</v>
      </c>
    </row>
    <row r="1242" spans="1:11" s="147" customFormat="1" ht="11.25" customHeight="1" x14ac:dyDescent="0.2">
      <c r="A1242" s="795" t="s">
        <v>9625</v>
      </c>
      <c r="B1242" s="138" t="s">
        <v>9604</v>
      </c>
      <c r="C1242" s="139" t="s">
        <v>9118</v>
      </c>
      <c r="D1242" s="140" t="s">
        <v>9647</v>
      </c>
      <c r="E1242" s="141" t="s">
        <v>8123</v>
      </c>
      <c r="F1242" s="142" t="s">
        <v>9614</v>
      </c>
      <c r="G1242" s="143">
        <v>209.96</v>
      </c>
      <c r="H1242" s="144" t="s">
        <v>730</v>
      </c>
      <c r="I1242" s="145"/>
      <c r="J1242" s="145"/>
      <c r="K1242" s="146">
        <v>209.96</v>
      </c>
    </row>
    <row r="1243" spans="1:11" s="147" customFormat="1" ht="11.25" customHeight="1" x14ac:dyDescent="0.2">
      <c r="A1243" s="795" t="s">
        <v>9625</v>
      </c>
      <c r="B1243" s="138" t="s">
        <v>9604</v>
      </c>
      <c r="C1243" s="139" t="s">
        <v>9118</v>
      </c>
      <c r="D1243" s="140" t="s">
        <v>9637</v>
      </c>
      <c r="E1243" s="141" t="s">
        <v>8123</v>
      </c>
      <c r="F1243" s="142" t="s">
        <v>9301</v>
      </c>
      <c r="G1243" s="143">
        <v>209.96</v>
      </c>
      <c r="H1243" s="144" t="s">
        <v>730</v>
      </c>
      <c r="I1243" s="145"/>
      <c r="J1243" s="145"/>
      <c r="K1243" s="146">
        <v>209.96</v>
      </c>
    </row>
    <row r="1244" spans="1:11" s="147" customFormat="1" ht="11.25" customHeight="1" x14ac:dyDescent="0.2">
      <c r="A1244" s="795" t="s">
        <v>9625</v>
      </c>
      <c r="B1244" s="138" t="s">
        <v>9604</v>
      </c>
      <c r="C1244" s="139" t="s">
        <v>9118</v>
      </c>
      <c r="D1244" s="140" t="s">
        <v>9633</v>
      </c>
      <c r="E1244" s="141" t="s">
        <v>8123</v>
      </c>
      <c r="F1244" s="142" t="s">
        <v>8976</v>
      </c>
      <c r="G1244" s="143">
        <v>210.26</v>
      </c>
      <c r="H1244" s="144" t="s">
        <v>730</v>
      </c>
      <c r="I1244" s="145"/>
      <c r="J1244" s="145"/>
      <c r="K1244" s="146">
        <v>210.26</v>
      </c>
    </row>
    <row r="1245" spans="1:11" s="147" customFormat="1" ht="11.25" customHeight="1" x14ac:dyDescent="0.2">
      <c r="A1245" s="795" t="s">
        <v>9625</v>
      </c>
      <c r="B1245" s="138" t="s">
        <v>9604</v>
      </c>
      <c r="C1245" s="139" t="s">
        <v>9118</v>
      </c>
      <c r="D1245" s="140" t="s">
        <v>9635</v>
      </c>
      <c r="E1245" s="141" t="s">
        <v>8123</v>
      </c>
      <c r="F1245" s="142" t="s">
        <v>9301</v>
      </c>
      <c r="G1245" s="143">
        <v>217.73</v>
      </c>
      <c r="H1245" s="144" t="s">
        <v>730</v>
      </c>
      <c r="I1245" s="145"/>
      <c r="J1245" s="145"/>
      <c r="K1245" s="146">
        <v>217.73</v>
      </c>
    </row>
    <row r="1246" spans="1:11" s="147" customFormat="1" ht="11.25" customHeight="1" x14ac:dyDescent="0.2">
      <c r="A1246" s="795" t="s">
        <v>9625</v>
      </c>
      <c r="B1246" s="138" t="s">
        <v>9604</v>
      </c>
      <c r="C1246" s="139" t="s">
        <v>9118</v>
      </c>
      <c r="D1246" s="140" t="s">
        <v>9639</v>
      </c>
      <c r="E1246" s="141" t="s">
        <v>8123</v>
      </c>
      <c r="F1246" s="142" t="s">
        <v>8082</v>
      </c>
      <c r="G1246" s="143">
        <v>217.94</v>
      </c>
      <c r="H1246" s="144" t="s">
        <v>730</v>
      </c>
      <c r="I1246" s="145"/>
      <c r="J1246" s="145"/>
      <c r="K1246" s="146">
        <v>217.94</v>
      </c>
    </row>
    <row r="1247" spans="1:11" s="147" customFormat="1" ht="11.25" customHeight="1" x14ac:dyDescent="0.2">
      <c r="A1247" s="795" t="s">
        <v>9625</v>
      </c>
      <c r="B1247" s="138" t="s">
        <v>9604</v>
      </c>
      <c r="C1247" s="139" t="s">
        <v>9118</v>
      </c>
      <c r="D1247" s="140" t="s">
        <v>9629</v>
      </c>
      <c r="E1247" s="141" t="s">
        <v>8123</v>
      </c>
      <c r="F1247" s="142" t="s">
        <v>8082</v>
      </c>
      <c r="G1247" s="143">
        <v>218.4</v>
      </c>
      <c r="H1247" s="144" t="s">
        <v>730</v>
      </c>
      <c r="I1247" s="145"/>
      <c r="J1247" s="145"/>
      <c r="K1247" s="146">
        <v>218.4</v>
      </c>
    </row>
    <row r="1248" spans="1:11" s="147" customFormat="1" ht="11.25" customHeight="1" x14ac:dyDescent="0.2">
      <c r="A1248" s="795" t="s">
        <v>9625</v>
      </c>
      <c r="B1248" s="138" t="s">
        <v>9604</v>
      </c>
      <c r="C1248" s="139" t="s">
        <v>9118</v>
      </c>
      <c r="D1248" s="140" t="s">
        <v>9645</v>
      </c>
      <c r="E1248" s="141" t="s">
        <v>8123</v>
      </c>
      <c r="F1248" s="142" t="s">
        <v>9097</v>
      </c>
      <c r="G1248" s="143">
        <v>232.6</v>
      </c>
      <c r="H1248" s="144" t="s">
        <v>730</v>
      </c>
      <c r="I1248" s="145"/>
      <c r="J1248" s="145"/>
      <c r="K1248" s="146">
        <v>232.6</v>
      </c>
    </row>
    <row r="1249" spans="1:11" s="147" customFormat="1" ht="11.25" customHeight="1" x14ac:dyDescent="0.2">
      <c r="A1249" s="795" t="s">
        <v>9625</v>
      </c>
      <c r="B1249" s="138" t="s">
        <v>9604</v>
      </c>
      <c r="C1249" s="139" t="s">
        <v>9118</v>
      </c>
      <c r="D1249" s="140" t="s">
        <v>9630</v>
      </c>
      <c r="E1249" s="141" t="s">
        <v>8123</v>
      </c>
      <c r="F1249" s="142" t="s">
        <v>8976</v>
      </c>
      <c r="G1249" s="143">
        <v>243.32</v>
      </c>
      <c r="H1249" s="144" t="s">
        <v>730</v>
      </c>
      <c r="I1249" s="145"/>
      <c r="J1249" s="145"/>
      <c r="K1249" s="146">
        <v>243.32</v>
      </c>
    </row>
    <row r="1250" spans="1:11" s="147" customFormat="1" ht="11.25" customHeight="1" x14ac:dyDescent="0.2">
      <c r="A1250" s="795" t="s">
        <v>9625</v>
      </c>
      <c r="B1250" s="138" t="s">
        <v>9604</v>
      </c>
      <c r="C1250" s="139" t="s">
        <v>9118</v>
      </c>
      <c r="D1250" s="140" t="s">
        <v>9633</v>
      </c>
      <c r="E1250" s="141" t="s">
        <v>8123</v>
      </c>
      <c r="F1250" s="142" t="s">
        <v>8976</v>
      </c>
      <c r="G1250" s="143">
        <v>252.6</v>
      </c>
      <c r="H1250" s="144" t="s">
        <v>730</v>
      </c>
      <c r="I1250" s="145"/>
      <c r="J1250" s="145"/>
      <c r="K1250" s="146">
        <v>252.6</v>
      </c>
    </row>
    <row r="1251" spans="1:11" s="147" customFormat="1" ht="11.25" customHeight="1" x14ac:dyDescent="0.2">
      <c r="A1251" s="795" t="s">
        <v>9625</v>
      </c>
      <c r="B1251" s="138" t="s">
        <v>9604</v>
      </c>
      <c r="C1251" s="139" t="s">
        <v>9118</v>
      </c>
      <c r="D1251" s="140" t="s">
        <v>9630</v>
      </c>
      <c r="E1251" s="141" t="s">
        <v>8123</v>
      </c>
      <c r="F1251" s="142" t="s">
        <v>8976</v>
      </c>
      <c r="G1251" s="143">
        <v>261.27999999999997</v>
      </c>
      <c r="H1251" s="144" t="s">
        <v>730</v>
      </c>
      <c r="I1251" s="145"/>
      <c r="J1251" s="145"/>
      <c r="K1251" s="146">
        <v>261.27999999999997</v>
      </c>
    </row>
    <row r="1252" spans="1:11" s="147" customFormat="1" ht="11.25" customHeight="1" x14ac:dyDescent="0.2">
      <c r="A1252" s="795" t="s">
        <v>9625</v>
      </c>
      <c r="B1252" s="138" t="s">
        <v>9604</v>
      </c>
      <c r="C1252" s="139" t="s">
        <v>9118</v>
      </c>
      <c r="D1252" s="140" t="s">
        <v>9634</v>
      </c>
      <c r="E1252" s="141" t="s">
        <v>8123</v>
      </c>
      <c r="F1252" s="142" t="s">
        <v>9301</v>
      </c>
      <c r="G1252" s="143">
        <v>265.77999999999997</v>
      </c>
      <c r="H1252" s="144" t="s">
        <v>730</v>
      </c>
      <c r="I1252" s="145"/>
      <c r="J1252" s="145"/>
      <c r="K1252" s="146">
        <v>265.77999999999997</v>
      </c>
    </row>
    <row r="1253" spans="1:11" s="147" customFormat="1" ht="11.25" customHeight="1" x14ac:dyDescent="0.2">
      <c r="A1253" s="795" t="s">
        <v>9625</v>
      </c>
      <c r="B1253" s="138" t="s">
        <v>9604</v>
      </c>
      <c r="C1253" s="139" t="s">
        <v>9118</v>
      </c>
      <c r="D1253" s="140" t="s">
        <v>9647</v>
      </c>
      <c r="E1253" s="141" t="s">
        <v>8123</v>
      </c>
      <c r="F1253" s="142" t="s">
        <v>9614</v>
      </c>
      <c r="G1253" s="143">
        <v>270.27999999999997</v>
      </c>
      <c r="H1253" s="144" t="s">
        <v>730</v>
      </c>
      <c r="I1253" s="145"/>
      <c r="J1253" s="145"/>
      <c r="K1253" s="146">
        <v>270.27999999999997</v>
      </c>
    </row>
    <row r="1254" spans="1:11" s="147" customFormat="1" ht="11.25" customHeight="1" x14ac:dyDescent="0.2">
      <c r="A1254" s="795" t="s">
        <v>9625</v>
      </c>
      <c r="B1254" s="138" t="s">
        <v>9604</v>
      </c>
      <c r="C1254" s="139" t="s">
        <v>9118</v>
      </c>
      <c r="D1254" s="140" t="s">
        <v>9644</v>
      </c>
      <c r="E1254" s="141" t="s">
        <v>8123</v>
      </c>
      <c r="F1254" s="142" t="s">
        <v>8118</v>
      </c>
      <c r="G1254" s="143">
        <v>270.98</v>
      </c>
      <c r="H1254" s="144" t="s">
        <v>730</v>
      </c>
      <c r="I1254" s="145"/>
      <c r="J1254" s="145"/>
      <c r="K1254" s="146">
        <v>270.98</v>
      </c>
    </row>
    <row r="1255" spans="1:11" s="147" customFormat="1" ht="11.25" customHeight="1" x14ac:dyDescent="0.2">
      <c r="A1255" s="795" t="s">
        <v>9625</v>
      </c>
      <c r="B1255" s="138" t="s">
        <v>9604</v>
      </c>
      <c r="C1255" s="139" t="s">
        <v>9118</v>
      </c>
      <c r="D1255" s="140" t="s">
        <v>9635</v>
      </c>
      <c r="E1255" s="141" t="s">
        <v>8123</v>
      </c>
      <c r="F1255" s="142" t="s">
        <v>9301</v>
      </c>
      <c r="G1255" s="143">
        <v>270.98</v>
      </c>
      <c r="H1255" s="144" t="s">
        <v>730</v>
      </c>
      <c r="I1255" s="145"/>
      <c r="J1255" s="145"/>
      <c r="K1255" s="146">
        <v>270.98</v>
      </c>
    </row>
    <row r="1256" spans="1:11" s="147" customFormat="1" ht="11.25" customHeight="1" x14ac:dyDescent="0.2">
      <c r="A1256" s="795" t="s">
        <v>9625</v>
      </c>
      <c r="B1256" s="138" t="s">
        <v>9604</v>
      </c>
      <c r="C1256" s="139" t="s">
        <v>9118</v>
      </c>
      <c r="D1256" s="140" t="s">
        <v>9639</v>
      </c>
      <c r="E1256" s="141" t="s">
        <v>8123</v>
      </c>
      <c r="F1256" s="142" t="s">
        <v>8082</v>
      </c>
      <c r="G1256" s="143">
        <v>273.18</v>
      </c>
      <c r="H1256" s="144" t="s">
        <v>730</v>
      </c>
      <c r="I1256" s="145"/>
      <c r="J1256" s="145"/>
      <c r="K1256" s="146">
        <v>273.18</v>
      </c>
    </row>
    <row r="1257" spans="1:11" s="147" customFormat="1" ht="11.25" customHeight="1" x14ac:dyDescent="0.2">
      <c r="A1257" s="795" t="s">
        <v>9625</v>
      </c>
      <c r="B1257" s="138" t="s">
        <v>9604</v>
      </c>
      <c r="C1257" s="139" t="s">
        <v>9118</v>
      </c>
      <c r="D1257" s="140" t="s">
        <v>9635</v>
      </c>
      <c r="E1257" s="141" t="s">
        <v>8123</v>
      </c>
      <c r="F1257" s="142" t="s">
        <v>9301</v>
      </c>
      <c r="G1257" s="143">
        <v>277.47000000000003</v>
      </c>
      <c r="H1257" s="144" t="s">
        <v>730</v>
      </c>
      <c r="I1257" s="145"/>
      <c r="J1257" s="145"/>
      <c r="K1257" s="146">
        <v>277.47000000000003</v>
      </c>
    </row>
    <row r="1258" spans="1:11" s="147" customFormat="1" ht="11.25" customHeight="1" x14ac:dyDescent="0.2">
      <c r="A1258" s="795" t="s">
        <v>9625</v>
      </c>
      <c r="B1258" s="138" t="s">
        <v>9604</v>
      </c>
      <c r="C1258" s="139" t="s">
        <v>9118</v>
      </c>
      <c r="D1258" s="140" t="s">
        <v>9639</v>
      </c>
      <c r="E1258" s="141" t="s">
        <v>8123</v>
      </c>
      <c r="F1258" s="142" t="s">
        <v>8082</v>
      </c>
      <c r="G1258" s="143">
        <v>289.91000000000003</v>
      </c>
      <c r="H1258" s="144" t="s">
        <v>730</v>
      </c>
      <c r="I1258" s="145"/>
      <c r="J1258" s="145"/>
      <c r="K1258" s="146">
        <v>289.91000000000003</v>
      </c>
    </row>
    <row r="1259" spans="1:11" s="147" customFormat="1" ht="11.25" customHeight="1" x14ac:dyDescent="0.2">
      <c r="A1259" s="795" t="s">
        <v>9625</v>
      </c>
      <c r="B1259" s="138" t="s">
        <v>9604</v>
      </c>
      <c r="C1259" s="139" t="s">
        <v>9118</v>
      </c>
      <c r="D1259" s="140" t="s">
        <v>9634</v>
      </c>
      <c r="E1259" s="141" t="s">
        <v>8123</v>
      </c>
      <c r="F1259" s="142" t="s">
        <v>9301</v>
      </c>
      <c r="G1259" s="143">
        <v>291.62</v>
      </c>
      <c r="H1259" s="144" t="s">
        <v>730</v>
      </c>
      <c r="I1259" s="145"/>
      <c r="J1259" s="145"/>
      <c r="K1259" s="146">
        <v>291.62</v>
      </c>
    </row>
    <row r="1260" spans="1:11" s="147" customFormat="1" ht="11.25" customHeight="1" x14ac:dyDescent="0.2">
      <c r="A1260" s="795" t="s">
        <v>9625</v>
      </c>
      <c r="B1260" s="138" t="s">
        <v>9604</v>
      </c>
      <c r="C1260" s="139" t="s">
        <v>9118</v>
      </c>
      <c r="D1260" s="140" t="s">
        <v>9647</v>
      </c>
      <c r="E1260" s="141" t="s">
        <v>8123</v>
      </c>
      <c r="F1260" s="142" t="s">
        <v>9614</v>
      </c>
      <c r="G1260" s="143">
        <v>292</v>
      </c>
      <c r="H1260" s="144" t="s">
        <v>730</v>
      </c>
      <c r="I1260" s="145"/>
      <c r="J1260" s="145"/>
      <c r="K1260" s="146">
        <v>292</v>
      </c>
    </row>
    <row r="1261" spans="1:11" s="147" customFormat="1" ht="11.25" customHeight="1" x14ac:dyDescent="0.2">
      <c r="A1261" s="795" t="s">
        <v>9625</v>
      </c>
      <c r="B1261" s="138" t="s">
        <v>9604</v>
      </c>
      <c r="C1261" s="139" t="s">
        <v>9118</v>
      </c>
      <c r="D1261" s="140" t="s">
        <v>9628</v>
      </c>
      <c r="E1261" s="141" t="s">
        <v>8123</v>
      </c>
      <c r="F1261" s="142" t="s">
        <v>9301</v>
      </c>
      <c r="G1261" s="143">
        <v>292</v>
      </c>
      <c r="H1261" s="144" t="s">
        <v>730</v>
      </c>
      <c r="I1261" s="145"/>
      <c r="J1261" s="145"/>
      <c r="K1261" s="146">
        <v>292</v>
      </c>
    </row>
    <row r="1262" spans="1:11" s="147" customFormat="1" ht="11.25" customHeight="1" x14ac:dyDescent="0.2">
      <c r="A1262" s="795" t="s">
        <v>9625</v>
      </c>
      <c r="B1262" s="138" t="s">
        <v>9604</v>
      </c>
      <c r="C1262" s="139" t="s">
        <v>9118</v>
      </c>
      <c r="D1262" s="140" t="s">
        <v>9643</v>
      </c>
      <c r="E1262" s="141" t="s">
        <v>8123</v>
      </c>
      <c r="F1262" s="142" t="s">
        <v>8976</v>
      </c>
      <c r="G1262" s="143">
        <v>297.95</v>
      </c>
      <c r="H1262" s="144" t="s">
        <v>730</v>
      </c>
      <c r="I1262" s="145"/>
      <c r="J1262" s="145"/>
      <c r="K1262" s="146">
        <v>297.95</v>
      </c>
    </row>
    <row r="1263" spans="1:11" s="147" customFormat="1" ht="11.25" customHeight="1" x14ac:dyDescent="0.2">
      <c r="A1263" s="795" t="s">
        <v>9625</v>
      </c>
      <c r="B1263" s="138" t="s">
        <v>9604</v>
      </c>
      <c r="C1263" s="139" t="s">
        <v>9118</v>
      </c>
      <c r="D1263" s="140" t="s">
        <v>9647</v>
      </c>
      <c r="E1263" s="141" t="s">
        <v>8123</v>
      </c>
      <c r="F1263" s="142" t="s">
        <v>9614</v>
      </c>
      <c r="G1263" s="143">
        <v>298.27999999999997</v>
      </c>
      <c r="H1263" s="144" t="s">
        <v>730</v>
      </c>
      <c r="I1263" s="145"/>
      <c r="J1263" s="145"/>
      <c r="K1263" s="146">
        <v>298.27999999999997</v>
      </c>
    </row>
    <row r="1264" spans="1:11" s="147" customFormat="1" ht="11.25" customHeight="1" x14ac:dyDescent="0.2">
      <c r="A1264" s="795" t="s">
        <v>9625</v>
      </c>
      <c r="B1264" s="138" t="s">
        <v>9604</v>
      </c>
      <c r="C1264" s="139" t="s">
        <v>9118</v>
      </c>
      <c r="D1264" s="140" t="s">
        <v>9627</v>
      </c>
      <c r="E1264" s="141" t="s">
        <v>8123</v>
      </c>
      <c r="F1264" s="142" t="s">
        <v>9301</v>
      </c>
      <c r="G1264" s="143">
        <v>299.27</v>
      </c>
      <c r="H1264" s="144" t="s">
        <v>730</v>
      </c>
      <c r="I1264" s="145"/>
      <c r="J1264" s="145"/>
      <c r="K1264" s="146">
        <v>299.27</v>
      </c>
    </row>
    <row r="1265" spans="1:11" s="147" customFormat="1" ht="11.25" customHeight="1" x14ac:dyDescent="0.2">
      <c r="A1265" s="795" t="s">
        <v>9625</v>
      </c>
      <c r="B1265" s="138" t="s">
        <v>9604</v>
      </c>
      <c r="C1265" s="139" t="s">
        <v>9118</v>
      </c>
      <c r="D1265" s="140" t="s">
        <v>9639</v>
      </c>
      <c r="E1265" s="141" t="s">
        <v>8123</v>
      </c>
      <c r="F1265" s="142" t="s">
        <v>8082</v>
      </c>
      <c r="G1265" s="143">
        <v>304.99</v>
      </c>
      <c r="H1265" s="144" t="s">
        <v>730</v>
      </c>
      <c r="I1265" s="145"/>
      <c r="J1265" s="145"/>
      <c r="K1265" s="146">
        <v>304.99</v>
      </c>
    </row>
    <row r="1266" spans="1:11" s="147" customFormat="1" ht="11.25" customHeight="1" x14ac:dyDescent="0.2">
      <c r="A1266" s="795" t="s">
        <v>9625</v>
      </c>
      <c r="B1266" s="138" t="s">
        <v>9604</v>
      </c>
      <c r="C1266" s="139" t="s">
        <v>9118</v>
      </c>
      <c r="D1266" s="140" t="s">
        <v>9643</v>
      </c>
      <c r="E1266" s="141" t="s">
        <v>8123</v>
      </c>
      <c r="F1266" s="142" t="s">
        <v>8976</v>
      </c>
      <c r="G1266" s="143">
        <v>307.01</v>
      </c>
      <c r="H1266" s="144" t="s">
        <v>730</v>
      </c>
      <c r="I1266" s="145"/>
      <c r="J1266" s="145"/>
      <c r="K1266" s="146">
        <v>307.01</v>
      </c>
    </row>
    <row r="1267" spans="1:11" s="147" customFormat="1" ht="11.25" customHeight="1" x14ac:dyDescent="0.2">
      <c r="A1267" s="795" t="s">
        <v>9625</v>
      </c>
      <c r="B1267" s="138" t="s">
        <v>9604</v>
      </c>
      <c r="C1267" s="139" t="s">
        <v>9118</v>
      </c>
      <c r="D1267" s="140" t="s">
        <v>9638</v>
      </c>
      <c r="E1267" s="141" t="s">
        <v>8123</v>
      </c>
      <c r="F1267" s="142" t="s">
        <v>8976</v>
      </c>
      <c r="G1267" s="143">
        <v>314.88</v>
      </c>
      <c r="H1267" s="144" t="s">
        <v>730</v>
      </c>
      <c r="I1267" s="145"/>
      <c r="J1267" s="145"/>
      <c r="K1267" s="146">
        <v>314.88</v>
      </c>
    </row>
    <row r="1268" spans="1:11" s="147" customFormat="1" ht="11.25" customHeight="1" x14ac:dyDescent="0.2">
      <c r="A1268" s="795" t="s">
        <v>9625</v>
      </c>
      <c r="B1268" s="138" t="s">
        <v>9604</v>
      </c>
      <c r="C1268" s="139" t="s">
        <v>9118</v>
      </c>
      <c r="D1268" s="140" t="s">
        <v>9638</v>
      </c>
      <c r="E1268" s="141" t="s">
        <v>8123</v>
      </c>
      <c r="F1268" s="142" t="s">
        <v>8976</v>
      </c>
      <c r="G1268" s="143">
        <v>326.91000000000003</v>
      </c>
      <c r="H1268" s="144" t="s">
        <v>730</v>
      </c>
      <c r="I1268" s="145"/>
      <c r="J1268" s="145"/>
      <c r="K1268" s="146">
        <v>326.91000000000003</v>
      </c>
    </row>
    <row r="1269" spans="1:11" s="147" customFormat="1" ht="11.25" customHeight="1" x14ac:dyDescent="0.2">
      <c r="A1269" s="795" t="s">
        <v>9625</v>
      </c>
      <c r="B1269" s="138" t="s">
        <v>9604</v>
      </c>
      <c r="C1269" s="139" t="s">
        <v>9118</v>
      </c>
      <c r="D1269" s="140" t="s">
        <v>9648</v>
      </c>
      <c r="E1269" s="141" t="s">
        <v>8123</v>
      </c>
      <c r="F1269" s="142" t="s">
        <v>9649</v>
      </c>
      <c r="G1269" s="143">
        <v>332.41</v>
      </c>
      <c r="H1269" s="144" t="s">
        <v>730</v>
      </c>
      <c r="I1269" s="145"/>
      <c r="J1269" s="145"/>
      <c r="K1269" s="146">
        <v>332.41</v>
      </c>
    </row>
    <row r="1270" spans="1:11" s="147" customFormat="1" ht="11.25" customHeight="1" x14ac:dyDescent="0.2">
      <c r="A1270" s="795" t="s">
        <v>9625</v>
      </c>
      <c r="B1270" s="138" t="s">
        <v>9604</v>
      </c>
      <c r="C1270" s="139" t="s">
        <v>9118</v>
      </c>
      <c r="D1270" s="140" t="s">
        <v>9633</v>
      </c>
      <c r="E1270" s="141" t="s">
        <v>8123</v>
      </c>
      <c r="F1270" s="142" t="s">
        <v>8976</v>
      </c>
      <c r="G1270" s="143">
        <v>334.67</v>
      </c>
      <c r="H1270" s="144" t="s">
        <v>730</v>
      </c>
      <c r="I1270" s="145"/>
      <c r="J1270" s="145"/>
      <c r="K1270" s="146">
        <v>334.67</v>
      </c>
    </row>
    <row r="1271" spans="1:11" s="147" customFormat="1" ht="11.25" customHeight="1" x14ac:dyDescent="0.2">
      <c r="A1271" s="795" t="s">
        <v>9625</v>
      </c>
      <c r="B1271" s="138" t="s">
        <v>9604</v>
      </c>
      <c r="C1271" s="139" t="s">
        <v>9118</v>
      </c>
      <c r="D1271" s="140" t="s">
        <v>9635</v>
      </c>
      <c r="E1271" s="141" t="s">
        <v>8123</v>
      </c>
      <c r="F1271" s="142" t="s">
        <v>9301</v>
      </c>
      <c r="G1271" s="143">
        <v>364.19</v>
      </c>
      <c r="H1271" s="144" t="s">
        <v>730</v>
      </c>
      <c r="I1271" s="145"/>
      <c r="J1271" s="145"/>
      <c r="K1271" s="146">
        <v>364.19</v>
      </c>
    </row>
    <row r="1272" spans="1:11" s="147" customFormat="1" ht="11.25" customHeight="1" x14ac:dyDescent="0.2">
      <c r="A1272" s="795" t="s">
        <v>9625</v>
      </c>
      <c r="B1272" s="138" t="s">
        <v>9604</v>
      </c>
      <c r="C1272" s="139" t="s">
        <v>9118</v>
      </c>
      <c r="D1272" s="140" t="s">
        <v>9629</v>
      </c>
      <c r="E1272" s="141" t="s">
        <v>8123</v>
      </c>
      <c r="F1272" s="142" t="s">
        <v>8082</v>
      </c>
      <c r="G1272" s="143">
        <v>376.54</v>
      </c>
      <c r="H1272" s="144" t="s">
        <v>730</v>
      </c>
      <c r="I1272" s="145"/>
      <c r="J1272" s="145"/>
      <c r="K1272" s="146">
        <v>376.54</v>
      </c>
    </row>
    <row r="1273" spans="1:11" s="147" customFormat="1" ht="11.25" customHeight="1" x14ac:dyDescent="0.2">
      <c r="A1273" s="795" t="s">
        <v>9625</v>
      </c>
      <c r="B1273" s="138" t="s">
        <v>9604</v>
      </c>
      <c r="C1273" s="139" t="s">
        <v>9118</v>
      </c>
      <c r="D1273" s="140" t="s">
        <v>9647</v>
      </c>
      <c r="E1273" s="141" t="s">
        <v>8123</v>
      </c>
      <c r="F1273" s="142" t="s">
        <v>9614</v>
      </c>
      <c r="G1273" s="143">
        <v>381.8</v>
      </c>
      <c r="H1273" s="144" t="s">
        <v>730</v>
      </c>
      <c r="I1273" s="145"/>
      <c r="J1273" s="145"/>
      <c r="K1273" s="146">
        <v>381.8</v>
      </c>
    </row>
    <row r="1274" spans="1:11" s="147" customFormat="1" ht="11.25" customHeight="1" x14ac:dyDescent="0.2">
      <c r="A1274" s="795" t="s">
        <v>9625</v>
      </c>
      <c r="B1274" s="138" t="s">
        <v>9604</v>
      </c>
      <c r="C1274" s="139" t="s">
        <v>9118</v>
      </c>
      <c r="D1274" s="140" t="s">
        <v>9628</v>
      </c>
      <c r="E1274" s="141" t="s">
        <v>8123</v>
      </c>
      <c r="F1274" s="142" t="s">
        <v>9301</v>
      </c>
      <c r="G1274" s="143">
        <v>382.05</v>
      </c>
      <c r="H1274" s="144" t="s">
        <v>730</v>
      </c>
      <c r="I1274" s="145"/>
      <c r="J1274" s="145"/>
      <c r="K1274" s="146">
        <v>382.05</v>
      </c>
    </row>
    <row r="1275" spans="1:11" s="147" customFormat="1" ht="11.25" customHeight="1" x14ac:dyDescent="0.2">
      <c r="A1275" s="795" t="s">
        <v>9625</v>
      </c>
      <c r="B1275" s="138" t="s">
        <v>9604</v>
      </c>
      <c r="C1275" s="139" t="s">
        <v>9118</v>
      </c>
      <c r="D1275" s="140" t="s">
        <v>9632</v>
      </c>
      <c r="E1275" s="141" t="s">
        <v>8123</v>
      </c>
      <c r="F1275" s="142" t="s">
        <v>8976</v>
      </c>
      <c r="G1275" s="143">
        <v>401.36</v>
      </c>
      <c r="H1275" s="144" t="s">
        <v>730</v>
      </c>
      <c r="I1275" s="145"/>
      <c r="J1275" s="145"/>
      <c r="K1275" s="146">
        <v>401.36</v>
      </c>
    </row>
    <row r="1276" spans="1:11" s="147" customFormat="1" ht="11.25" customHeight="1" x14ac:dyDescent="0.2">
      <c r="A1276" s="795" t="s">
        <v>9625</v>
      </c>
      <c r="B1276" s="138" t="s">
        <v>9604</v>
      </c>
      <c r="C1276" s="139" t="s">
        <v>9118</v>
      </c>
      <c r="D1276" s="140" t="s">
        <v>9643</v>
      </c>
      <c r="E1276" s="141" t="s">
        <v>8123</v>
      </c>
      <c r="F1276" s="142" t="s">
        <v>8976</v>
      </c>
      <c r="G1276" s="143">
        <v>406.12</v>
      </c>
      <c r="H1276" s="144" t="s">
        <v>730</v>
      </c>
      <c r="I1276" s="145"/>
      <c r="J1276" s="145"/>
      <c r="K1276" s="146">
        <v>406.12</v>
      </c>
    </row>
    <row r="1277" spans="1:11" s="147" customFormat="1" ht="11.25" customHeight="1" x14ac:dyDescent="0.2">
      <c r="A1277" s="795" t="s">
        <v>9625</v>
      </c>
      <c r="B1277" s="138" t="s">
        <v>9604</v>
      </c>
      <c r="C1277" s="139" t="s">
        <v>9118</v>
      </c>
      <c r="D1277" s="140" t="s">
        <v>9638</v>
      </c>
      <c r="E1277" s="141" t="s">
        <v>8123</v>
      </c>
      <c r="F1277" s="142" t="s">
        <v>8976</v>
      </c>
      <c r="G1277" s="143">
        <v>410.33</v>
      </c>
      <c r="H1277" s="144" t="s">
        <v>730</v>
      </c>
      <c r="I1277" s="145"/>
      <c r="J1277" s="145"/>
      <c r="K1277" s="146">
        <v>410.33</v>
      </c>
    </row>
    <row r="1278" spans="1:11" s="147" customFormat="1" ht="11.25" customHeight="1" x14ac:dyDescent="0.2">
      <c r="A1278" s="795" t="s">
        <v>9625</v>
      </c>
      <c r="B1278" s="138" t="s">
        <v>9604</v>
      </c>
      <c r="C1278" s="139" t="s">
        <v>9118</v>
      </c>
      <c r="D1278" s="140" t="s">
        <v>9643</v>
      </c>
      <c r="E1278" s="141" t="s">
        <v>8123</v>
      </c>
      <c r="F1278" s="142" t="s">
        <v>8976</v>
      </c>
      <c r="G1278" s="143">
        <v>431.59</v>
      </c>
      <c r="H1278" s="144" t="s">
        <v>730</v>
      </c>
      <c r="I1278" s="145"/>
      <c r="J1278" s="145"/>
      <c r="K1278" s="146">
        <v>431.59</v>
      </c>
    </row>
    <row r="1279" spans="1:11" s="147" customFormat="1" ht="11.25" customHeight="1" x14ac:dyDescent="0.2">
      <c r="A1279" s="795" t="s">
        <v>9625</v>
      </c>
      <c r="B1279" s="138" t="s">
        <v>9604</v>
      </c>
      <c r="C1279" s="139" t="s">
        <v>9118</v>
      </c>
      <c r="D1279" s="140" t="s">
        <v>9630</v>
      </c>
      <c r="E1279" s="141" t="s">
        <v>8123</v>
      </c>
      <c r="F1279" s="142" t="s">
        <v>8976</v>
      </c>
      <c r="G1279" s="143">
        <v>462.49</v>
      </c>
      <c r="H1279" s="144" t="s">
        <v>730</v>
      </c>
      <c r="I1279" s="145"/>
      <c r="J1279" s="145"/>
      <c r="K1279" s="146">
        <v>462.49</v>
      </c>
    </row>
    <row r="1280" spans="1:11" s="147" customFormat="1" ht="11.25" customHeight="1" x14ac:dyDescent="0.2">
      <c r="A1280" s="795" t="s">
        <v>9625</v>
      </c>
      <c r="B1280" s="138" t="s">
        <v>9604</v>
      </c>
      <c r="C1280" s="139" t="s">
        <v>9118</v>
      </c>
      <c r="D1280" s="140" t="s">
        <v>9630</v>
      </c>
      <c r="E1280" s="141" t="s">
        <v>8123</v>
      </c>
      <c r="F1280" s="142" t="s">
        <v>8976</v>
      </c>
      <c r="G1280" s="143">
        <v>469.38</v>
      </c>
      <c r="H1280" s="144" t="s">
        <v>730</v>
      </c>
      <c r="I1280" s="145"/>
      <c r="J1280" s="145"/>
      <c r="K1280" s="146">
        <v>469.38</v>
      </c>
    </row>
    <row r="1281" spans="1:11" s="147" customFormat="1" ht="11.25" customHeight="1" x14ac:dyDescent="0.2">
      <c r="A1281" s="795" t="s">
        <v>9625</v>
      </c>
      <c r="B1281" s="138" t="s">
        <v>9604</v>
      </c>
      <c r="C1281" s="139" t="s">
        <v>9118</v>
      </c>
      <c r="D1281" s="140" t="s">
        <v>9635</v>
      </c>
      <c r="E1281" s="141" t="s">
        <v>8123</v>
      </c>
      <c r="F1281" s="142" t="s">
        <v>9301</v>
      </c>
      <c r="G1281" s="143">
        <v>473.51</v>
      </c>
      <c r="H1281" s="144" t="s">
        <v>730</v>
      </c>
      <c r="I1281" s="145"/>
      <c r="J1281" s="145"/>
      <c r="K1281" s="146">
        <v>473.51</v>
      </c>
    </row>
    <row r="1282" spans="1:11" s="147" customFormat="1" ht="11.25" customHeight="1" x14ac:dyDescent="0.2">
      <c r="A1282" s="795" t="s">
        <v>9625</v>
      </c>
      <c r="B1282" s="138" t="s">
        <v>9604</v>
      </c>
      <c r="C1282" s="139" t="s">
        <v>9118</v>
      </c>
      <c r="D1282" s="140" t="s">
        <v>9632</v>
      </c>
      <c r="E1282" s="141" t="s">
        <v>8123</v>
      </c>
      <c r="F1282" s="142" t="s">
        <v>8976</v>
      </c>
      <c r="G1282" s="143">
        <v>474.44</v>
      </c>
      <c r="H1282" s="144" t="s">
        <v>730</v>
      </c>
      <c r="I1282" s="145"/>
      <c r="J1282" s="145"/>
      <c r="K1282" s="146">
        <v>474.44</v>
      </c>
    </row>
    <row r="1283" spans="1:11" s="147" customFormat="1" ht="11.25" customHeight="1" x14ac:dyDescent="0.2">
      <c r="A1283" s="795" t="s">
        <v>9625</v>
      </c>
      <c r="B1283" s="138" t="s">
        <v>9604</v>
      </c>
      <c r="C1283" s="139" t="s">
        <v>9118</v>
      </c>
      <c r="D1283" s="140" t="s">
        <v>9647</v>
      </c>
      <c r="E1283" s="141" t="s">
        <v>8123</v>
      </c>
      <c r="F1283" s="142" t="s">
        <v>9614</v>
      </c>
      <c r="G1283" s="143">
        <v>560.04999999999995</v>
      </c>
      <c r="H1283" s="144" t="s">
        <v>730</v>
      </c>
      <c r="I1283" s="145"/>
      <c r="J1283" s="145"/>
      <c r="K1283" s="146">
        <v>560.04999999999995</v>
      </c>
    </row>
    <row r="1284" spans="1:11" s="147" customFormat="1" ht="11.25" customHeight="1" x14ac:dyDescent="0.2">
      <c r="A1284" s="795" t="s">
        <v>9625</v>
      </c>
      <c r="B1284" s="138" t="s">
        <v>9604</v>
      </c>
      <c r="C1284" s="139" t="s">
        <v>9118</v>
      </c>
      <c r="D1284" s="140" t="s">
        <v>9646</v>
      </c>
      <c r="E1284" s="141" t="s">
        <v>8123</v>
      </c>
      <c r="F1284" s="142" t="s">
        <v>9614</v>
      </c>
      <c r="G1284" s="143">
        <v>635.1</v>
      </c>
      <c r="H1284" s="144" t="s">
        <v>730</v>
      </c>
      <c r="I1284" s="145"/>
      <c r="J1284" s="145"/>
      <c r="K1284" s="146">
        <v>635.1</v>
      </c>
    </row>
    <row r="1285" spans="1:11" s="147" customFormat="1" ht="11.25" customHeight="1" x14ac:dyDescent="0.2">
      <c r="A1285" s="795" t="s">
        <v>9625</v>
      </c>
      <c r="B1285" s="138" t="s">
        <v>9604</v>
      </c>
      <c r="C1285" s="139" t="s">
        <v>9118</v>
      </c>
      <c r="D1285" s="140" t="s">
        <v>9643</v>
      </c>
      <c r="E1285" s="141" t="s">
        <v>8123</v>
      </c>
      <c r="F1285" s="142" t="s">
        <v>8976</v>
      </c>
      <c r="G1285" s="143">
        <v>722.17</v>
      </c>
      <c r="H1285" s="144" t="s">
        <v>730</v>
      </c>
      <c r="I1285" s="145"/>
      <c r="J1285" s="145"/>
      <c r="K1285" s="146">
        <v>722.17</v>
      </c>
    </row>
    <row r="1286" spans="1:11" s="147" customFormat="1" ht="11.25" customHeight="1" x14ac:dyDescent="0.2">
      <c r="A1286" s="795" t="s">
        <v>9625</v>
      </c>
      <c r="B1286" s="138" t="s">
        <v>9604</v>
      </c>
      <c r="C1286" s="139" t="s">
        <v>9118</v>
      </c>
      <c r="D1286" s="140" t="s">
        <v>9632</v>
      </c>
      <c r="E1286" s="141" t="s">
        <v>8123</v>
      </c>
      <c r="F1286" s="142" t="s">
        <v>8976</v>
      </c>
      <c r="G1286" s="143">
        <v>730.71</v>
      </c>
      <c r="H1286" s="144" t="s">
        <v>730</v>
      </c>
      <c r="I1286" s="145"/>
      <c r="J1286" s="145"/>
      <c r="K1286" s="146">
        <v>730.71</v>
      </c>
    </row>
    <row r="1287" spans="1:11" s="147" customFormat="1" ht="11.25" customHeight="1" x14ac:dyDescent="0.2">
      <c r="A1287" s="795" t="s">
        <v>9625</v>
      </c>
      <c r="B1287" s="138" t="s">
        <v>9604</v>
      </c>
      <c r="C1287" s="139" t="s">
        <v>9118</v>
      </c>
      <c r="D1287" s="140" t="s">
        <v>9650</v>
      </c>
      <c r="E1287" s="141" t="s">
        <v>8123</v>
      </c>
      <c r="F1287" s="142" t="s">
        <v>8120</v>
      </c>
      <c r="G1287" s="143">
        <v>731.64</v>
      </c>
      <c r="H1287" s="144" t="s">
        <v>730</v>
      </c>
      <c r="I1287" s="145"/>
      <c r="J1287" s="145"/>
      <c r="K1287" s="146">
        <v>731.64</v>
      </c>
    </row>
    <row r="1288" spans="1:11" s="147" customFormat="1" ht="11.25" customHeight="1" x14ac:dyDescent="0.2">
      <c r="A1288" s="795" t="s">
        <v>9625</v>
      </c>
      <c r="B1288" s="138" t="s">
        <v>9604</v>
      </c>
      <c r="C1288" s="139" t="s">
        <v>9118</v>
      </c>
      <c r="D1288" s="140" t="s">
        <v>9634</v>
      </c>
      <c r="E1288" s="141" t="s">
        <v>8123</v>
      </c>
      <c r="F1288" s="142" t="s">
        <v>9301</v>
      </c>
      <c r="G1288" s="143">
        <v>750.71</v>
      </c>
      <c r="H1288" s="144" t="s">
        <v>730</v>
      </c>
      <c r="I1288" s="145"/>
      <c r="J1288" s="145"/>
      <c r="K1288" s="146">
        <v>750.71</v>
      </c>
    </row>
    <row r="1289" spans="1:11" s="147" customFormat="1" ht="11.25" customHeight="1" x14ac:dyDescent="0.2">
      <c r="A1289" s="795" t="s">
        <v>9625</v>
      </c>
      <c r="B1289" s="138" t="s">
        <v>9604</v>
      </c>
      <c r="C1289" s="139" t="s">
        <v>9118</v>
      </c>
      <c r="D1289" s="140" t="s">
        <v>9626</v>
      </c>
      <c r="E1289" s="141" t="s">
        <v>8123</v>
      </c>
      <c r="F1289" s="142" t="s">
        <v>8976</v>
      </c>
      <c r="G1289" s="143">
        <v>910.48</v>
      </c>
      <c r="H1289" s="144" t="s">
        <v>730</v>
      </c>
      <c r="I1289" s="145"/>
      <c r="J1289" s="145"/>
      <c r="K1289" s="146">
        <v>910.48</v>
      </c>
    </row>
    <row r="1290" spans="1:11" s="147" customFormat="1" ht="11.25" customHeight="1" x14ac:dyDescent="0.2">
      <c r="A1290" s="795" t="s">
        <v>9625</v>
      </c>
      <c r="B1290" s="138" t="s">
        <v>9604</v>
      </c>
      <c r="C1290" s="139" t="s">
        <v>9118</v>
      </c>
      <c r="D1290" s="140" t="s">
        <v>9651</v>
      </c>
      <c r="E1290" s="141" t="s">
        <v>8123</v>
      </c>
      <c r="F1290" s="142" t="s">
        <v>9258</v>
      </c>
      <c r="G1290" s="143">
        <v>928.74</v>
      </c>
      <c r="H1290" s="144" t="s">
        <v>730</v>
      </c>
      <c r="I1290" s="145"/>
      <c r="J1290" s="145"/>
      <c r="K1290" s="146">
        <v>928.74</v>
      </c>
    </row>
    <row r="1291" spans="1:11" s="147" customFormat="1" ht="11.25" customHeight="1" x14ac:dyDescent="0.2">
      <c r="A1291" s="795" t="s">
        <v>9625</v>
      </c>
      <c r="B1291" s="138" t="s">
        <v>9604</v>
      </c>
      <c r="C1291" s="139" t="s">
        <v>9118</v>
      </c>
      <c r="D1291" s="140" t="s">
        <v>9630</v>
      </c>
      <c r="E1291" s="141" t="s">
        <v>8123</v>
      </c>
      <c r="F1291" s="142" t="s">
        <v>8976</v>
      </c>
      <c r="G1291" s="143">
        <v>938.38</v>
      </c>
      <c r="H1291" s="144" t="s">
        <v>730</v>
      </c>
      <c r="I1291" s="145"/>
      <c r="J1291" s="145"/>
      <c r="K1291" s="146">
        <v>938.38</v>
      </c>
    </row>
    <row r="1292" spans="1:11" s="147" customFormat="1" ht="11.25" customHeight="1" x14ac:dyDescent="0.2">
      <c r="A1292" s="795" t="s">
        <v>9625</v>
      </c>
      <c r="B1292" s="138" t="s">
        <v>9604</v>
      </c>
      <c r="C1292" s="139" t="s">
        <v>9118</v>
      </c>
      <c r="D1292" s="140" t="s">
        <v>9647</v>
      </c>
      <c r="E1292" s="141" t="s">
        <v>8123</v>
      </c>
      <c r="F1292" s="142" t="s">
        <v>9614</v>
      </c>
      <c r="G1292" s="143">
        <v>1005.72</v>
      </c>
      <c r="H1292" s="144" t="s">
        <v>730</v>
      </c>
      <c r="I1292" s="145"/>
      <c r="J1292" s="145"/>
      <c r="K1292" s="146">
        <v>1005.72</v>
      </c>
    </row>
    <row r="1293" spans="1:11" s="147" customFormat="1" ht="11.25" customHeight="1" x14ac:dyDescent="0.2">
      <c r="A1293" s="795" t="s">
        <v>9625</v>
      </c>
      <c r="B1293" s="138" t="s">
        <v>9604</v>
      </c>
      <c r="C1293" s="139" t="s">
        <v>9118</v>
      </c>
      <c r="D1293" s="140" t="s">
        <v>9638</v>
      </c>
      <c r="E1293" s="141" t="s">
        <v>8123</v>
      </c>
      <c r="F1293" s="142" t="s">
        <v>8976</v>
      </c>
      <c r="G1293" s="143">
        <v>1115.3399999999999</v>
      </c>
      <c r="H1293" s="144" t="s">
        <v>730</v>
      </c>
      <c r="I1293" s="145"/>
      <c r="J1293" s="145"/>
      <c r="K1293" s="146">
        <v>1115.3399999999999</v>
      </c>
    </row>
    <row r="1294" spans="1:11" s="147" customFormat="1" ht="11.25" customHeight="1" x14ac:dyDescent="0.2">
      <c r="A1294" s="795" t="s">
        <v>9625</v>
      </c>
      <c r="B1294" s="138" t="s">
        <v>9604</v>
      </c>
      <c r="C1294" s="139" t="s">
        <v>9118</v>
      </c>
      <c r="D1294" s="140" t="s">
        <v>9639</v>
      </c>
      <c r="E1294" s="141" t="s">
        <v>8123</v>
      </c>
      <c r="F1294" s="142" t="s">
        <v>8082</v>
      </c>
      <c r="G1294" s="143">
        <v>1183.78</v>
      </c>
      <c r="H1294" s="144" t="s">
        <v>730</v>
      </c>
      <c r="I1294" s="145"/>
      <c r="J1294" s="145"/>
      <c r="K1294" s="146">
        <v>1183.78</v>
      </c>
    </row>
    <row r="1295" spans="1:11" s="147" customFormat="1" ht="11.25" customHeight="1" x14ac:dyDescent="0.2">
      <c r="A1295" s="795" t="s">
        <v>9625</v>
      </c>
      <c r="B1295" s="138" t="s">
        <v>9604</v>
      </c>
      <c r="C1295" s="139" t="s">
        <v>9118</v>
      </c>
      <c r="D1295" s="140" t="s">
        <v>9626</v>
      </c>
      <c r="E1295" s="141" t="s">
        <v>8123</v>
      </c>
      <c r="F1295" s="142" t="s">
        <v>8976</v>
      </c>
      <c r="G1295" s="143">
        <v>1183.78</v>
      </c>
      <c r="H1295" s="144" t="s">
        <v>730</v>
      </c>
      <c r="I1295" s="145"/>
      <c r="J1295" s="145"/>
      <c r="K1295" s="146">
        <v>1183.78</v>
      </c>
    </row>
    <row r="1296" spans="1:11" s="147" customFormat="1" ht="11.25" customHeight="1" x14ac:dyDescent="0.2">
      <c r="A1296" s="795" t="s">
        <v>9625</v>
      </c>
      <c r="B1296" s="138" t="s">
        <v>9604</v>
      </c>
      <c r="C1296" s="139" t="s">
        <v>9118</v>
      </c>
      <c r="D1296" s="140" t="s">
        <v>9629</v>
      </c>
      <c r="E1296" s="141" t="s">
        <v>8123</v>
      </c>
      <c r="F1296" s="142" t="s">
        <v>8082</v>
      </c>
      <c r="G1296" s="143">
        <v>1625.62</v>
      </c>
      <c r="H1296" s="144" t="s">
        <v>730</v>
      </c>
      <c r="I1296" s="145"/>
      <c r="J1296" s="145"/>
      <c r="K1296" s="146">
        <v>1625.62</v>
      </c>
    </row>
    <row r="1297" spans="1:11" s="147" customFormat="1" ht="11.25" customHeight="1" x14ac:dyDescent="0.2">
      <c r="A1297" s="795" t="s">
        <v>9625</v>
      </c>
      <c r="B1297" s="138" t="s">
        <v>9604</v>
      </c>
      <c r="C1297" s="139" t="s">
        <v>9118</v>
      </c>
      <c r="D1297" s="140" t="s">
        <v>9639</v>
      </c>
      <c r="E1297" s="141" t="s">
        <v>8123</v>
      </c>
      <c r="F1297" s="142" t="s">
        <v>8082</v>
      </c>
      <c r="G1297" s="143">
        <v>1858.55</v>
      </c>
      <c r="H1297" s="144" t="s">
        <v>730</v>
      </c>
      <c r="I1297" s="145"/>
      <c r="J1297" s="145"/>
      <c r="K1297" s="146">
        <v>1858.55</v>
      </c>
    </row>
    <row r="1298" spans="1:11" s="147" customFormat="1" ht="11.25" customHeight="1" x14ac:dyDescent="0.2">
      <c r="A1298" s="795" t="s">
        <v>9625</v>
      </c>
      <c r="B1298" s="138" t="s">
        <v>9604</v>
      </c>
      <c r="C1298" s="139" t="s">
        <v>9118</v>
      </c>
      <c r="D1298" s="140" t="s">
        <v>9630</v>
      </c>
      <c r="E1298" s="141" t="s">
        <v>8123</v>
      </c>
      <c r="F1298" s="142" t="s">
        <v>8976</v>
      </c>
      <c r="G1298" s="143">
        <v>2209.17</v>
      </c>
      <c r="H1298" s="144" t="s">
        <v>730</v>
      </c>
      <c r="I1298" s="145"/>
      <c r="J1298" s="145"/>
      <c r="K1298" s="146">
        <v>2209.17</v>
      </c>
    </row>
    <row r="1299" spans="1:11" s="147" customFormat="1" ht="11.25" customHeight="1" x14ac:dyDescent="0.2">
      <c r="A1299" s="795" t="s">
        <v>9625</v>
      </c>
      <c r="B1299" s="138" t="s">
        <v>9604</v>
      </c>
      <c r="C1299" s="139" t="s">
        <v>9118</v>
      </c>
      <c r="D1299" s="140" t="s">
        <v>9652</v>
      </c>
      <c r="E1299" s="141" t="s">
        <v>8123</v>
      </c>
      <c r="F1299" s="142" t="s">
        <v>9653</v>
      </c>
      <c r="G1299" s="143">
        <v>2514.3000000000002</v>
      </c>
      <c r="H1299" s="144" t="s">
        <v>730</v>
      </c>
      <c r="I1299" s="145"/>
      <c r="J1299" s="145"/>
      <c r="K1299" s="146">
        <v>2514.3000000000002</v>
      </c>
    </row>
    <row r="1300" spans="1:11" s="147" customFormat="1" ht="11.25" customHeight="1" x14ac:dyDescent="0.2">
      <c r="A1300" s="795" t="s">
        <v>9625</v>
      </c>
      <c r="B1300" s="138" t="s">
        <v>9604</v>
      </c>
      <c r="C1300" s="139" t="s">
        <v>9118</v>
      </c>
      <c r="D1300" s="140" t="s">
        <v>9634</v>
      </c>
      <c r="E1300" s="141" t="s">
        <v>8123</v>
      </c>
      <c r="F1300" s="142" t="s">
        <v>9301</v>
      </c>
      <c r="G1300" s="143">
        <v>3313.76</v>
      </c>
      <c r="H1300" s="144" t="s">
        <v>730</v>
      </c>
      <c r="I1300" s="145"/>
      <c r="J1300" s="145"/>
      <c r="K1300" s="146">
        <v>3313.76</v>
      </c>
    </row>
    <row r="1301" spans="1:11" s="147" customFormat="1" ht="11.25" customHeight="1" x14ac:dyDescent="0.2">
      <c r="A1301" s="795" t="s">
        <v>9625</v>
      </c>
      <c r="B1301" s="138" t="s">
        <v>9604</v>
      </c>
      <c r="C1301" s="139" t="s">
        <v>9118</v>
      </c>
      <c r="D1301" s="140" t="s">
        <v>9647</v>
      </c>
      <c r="E1301" s="141" t="s">
        <v>8123</v>
      </c>
      <c r="F1301" s="142" t="s">
        <v>9614</v>
      </c>
      <c r="G1301" s="143">
        <v>3815.24</v>
      </c>
      <c r="H1301" s="144" t="s">
        <v>730</v>
      </c>
      <c r="I1301" s="145"/>
      <c r="J1301" s="145"/>
      <c r="K1301" s="146">
        <v>3815.24</v>
      </c>
    </row>
    <row r="1302" spans="1:11" s="147" customFormat="1" ht="11.25" customHeight="1" x14ac:dyDescent="0.2">
      <c r="A1302" s="795" t="s">
        <v>9625</v>
      </c>
      <c r="B1302" s="138" t="s">
        <v>9604</v>
      </c>
      <c r="C1302" s="139" t="s">
        <v>9118</v>
      </c>
      <c r="D1302" s="140" t="s">
        <v>9654</v>
      </c>
      <c r="E1302" s="141" t="s">
        <v>8123</v>
      </c>
      <c r="F1302" s="142" t="s">
        <v>8131</v>
      </c>
      <c r="G1302" s="143">
        <v>6916.29</v>
      </c>
      <c r="H1302" s="144" t="s">
        <v>730</v>
      </c>
      <c r="I1302" s="145"/>
      <c r="J1302" s="145"/>
      <c r="K1302" s="146">
        <v>6916.29</v>
      </c>
    </row>
    <row r="1303" spans="1:11" s="147" customFormat="1" ht="11.25" customHeight="1" x14ac:dyDescent="0.2">
      <c r="A1303" s="795" t="s">
        <v>9625</v>
      </c>
      <c r="B1303" s="138" t="s">
        <v>9604</v>
      </c>
      <c r="C1303" s="139" t="s">
        <v>9118</v>
      </c>
      <c r="D1303" s="140" t="s">
        <v>9647</v>
      </c>
      <c r="E1303" s="141" t="s">
        <v>8123</v>
      </c>
      <c r="F1303" s="142" t="s">
        <v>9614</v>
      </c>
      <c r="G1303" s="143">
        <v>11045.87</v>
      </c>
      <c r="H1303" s="144" t="s">
        <v>730</v>
      </c>
      <c r="I1303" s="145"/>
      <c r="J1303" s="145"/>
      <c r="K1303" s="146">
        <v>11045.87</v>
      </c>
    </row>
    <row r="1304" spans="1:11" s="147" customFormat="1" ht="11.25" customHeight="1" x14ac:dyDescent="0.2">
      <c r="A1304" s="795" t="s">
        <v>9625</v>
      </c>
      <c r="B1304" s="138" t="s">
        <v>9604</v>
      </c>
      <c r="C1304" s="139" t="s">
        <v>9118</v>
      </c>
      <c r="D1304" s="140" t="s">
        <v>9655</v>
      </c>
      <c r="E1304" s="141" t="s">
        <v>8123</v>
      </c>
      <c r="F1304" s="142" t="s">
        <v>8120</v>
      </c>
      <c r="G1304" s="143">
        <v>11416.6</v>
      </c>
      <c r="H1304" s="144" t="s">
        <v>730</v>
      </c>
      <c r="I1304" s="145"/>
      <c r="J1304" s="145"/>
      <c r="K1304" s="146">
        <v>11416.6</v>
      </c>
    </row>
    <row r="1305" spans="1:11" s="147" customFormat="1" ht="11.25" customHeight="1" x14ac:dyDescent="0.2">
      <c r="A1305" s="795" t="s">
        <v>9317</v>
      </c>
      <c r="B1305" s="138" t="s">
        <v>9604</v>
      </c>
      <c r="C1305" s="139" t="s">
        <v>8107</v>
      </c>
      <c r="D1305" s="140" t="s">
        <v>9656</v>
      </c>
      <c r="E1305" s="141" t="s">
        <v>9320</v>
      </c>
      <c r="F1305" s="142" t="s">
        <v>9505</v>
      </c>
      <c r="G1305" s="143">
        <v>132.82</v>
      </c>
      <c r="H1305" s="144" t="s">
        <v>730</v>
      </c>
      <c r="I1305" s="145"/>
      <c r="J1305" s="145"/>
      <c r="K1305" s="146">
        <v>132.82</v>
      </c>
    </row>
    <row r="1306" spans="1:11" s="147" customFormat="1" ht="11.25" customHeight="1" x14ac:dyDescent="0.2">
      <c r="A1306" s="795" t="s">
        <v>9317</v>
      </c>
      <c r="B1306" s="138" t="s">
        <v>9604</v>
      </c>
      <c r="C1306" s="139" t="s">
        <v>8107</v>
      </c>
      <c r="D1306" s="140" t="s">
        <v>9656</v>
      </c>
      <c r="E1306" s="141" t="s">
        <v>9320</v>
      </c>
      <c r="F1306" s="142" t="s">
        <v>9505</v>
      </c>
      <c r="G1306" s="143">
        <v>187.92</v>
      </c>
      <c r="H1306" s="144" t="s">
        <v>730</v>
      </c>
      <c r="I1306" s="145"/>
      <c r="J1306" s="145"/>
      <c r="K1306" s="146">
        <v>187.92</v>
      </c>
    </row>
    <row r="1307" spans="1:11" s="147" customFormat="1" ht="11.25" customHeight="1" x14ac:dyDescent="0.2">
      <c r="A1307" s="795" t="s">
        <v>9317</v>
      </c>
      <c r="B1307" s="138" t="s">
        <v>9604</v>
      </c>
      <c r="C1307" s="139" t="s">
        <v>8107</v>
      </c>
      <c r="D1307" s="140" t="s">
        <v>9657</v>
      </c>
      <c r="E1307" s="141" t="s">
        <v>9320</v>
      </c>
      <c r="F1307" s="142" t="s">
        <v>9505</v>
      </c>
      <c r="G1307" s="143">
        <v>213.44</v>
      </c>
      <c r="H1307" s="144" t="s">
        <v>730</v>
      </c>
      <c r="I1307" s="145"/>
      <c r="J1307" s="145"/>
      <c r="K1307" s="146">
        <v>213.44</v>
      </c>
    </row>
    <row r="1308" spans="1:11" s="147" customFormat="1" ht="11.25" customHeight="1" x14ac:dyDescent="0.2">
      <c r="A1308" s="795" t="s">
        <v>9317</v>
      </c>
      <c r="B1308" s="138" t="s">
        <v>9604</v>
      </c>
      <c r="C1308" s="139" t="s">
        <v>8107</v>
      </c>
      <c r="D1308" s="140" t="s">
        <v>9657</v>
      </c>
      <c r="E1308" s="141" t="s">
        <v>9320</v>
      </c>
      <c r="F1308" s="142" t="s">
        <v>9505</v>
      </c>
      <c r="G1308" s="143">
        <v>218.08</v>
      </c>
      <c r="H1308" s="144" t="s">
        <v>730</v>
      </c>
      <c r="I1308" s="145"/>
      <c r="J1308" s="145"/>
      <c r="K1308" s="146">
        <v>218.08</v>
      </c>
    </row>
    <row r="1309" spans="1:11" s="147" customFormat="1" ht="11.25" customHeight="1" x14ac:dyDescent="0.2">
      <c r="A1309" s="795" t="s">
        <v>9317</v>
      </c>
      <c r="B1309" s="138" t="s">
        <v>9604</v>
      </c>
      <c r="C1309" s="139" t="s">
        <v>8107</v>
      </c>
      <c r="D1309" s="140" t="s">
        <v>9657</v>
      </c>
      <c r="E1309" s="141" t="s">
        <v>9320</v>
      </c>
      <c r="F1309" s="142" t="s">
        <v>9505</v>
      </c>
      <c r="G1309" s="143">
        <v>248.24</v>
      </c>
      <c r="H1309" s="144" t="s">
        <v>730</v>
      </c>
      <c r="I1309" s="145"/>
      <c r="J1309" s="145"/>
      <c r="K1309" s="146">
        <v>248.24</v>
      </c>
    </row>
    <row r="1310" spans="1:11" s="147" customFormat="1" ht="11.25" customHeight="1" x14ac:dyDescent="0.2">
      <c r="A1310" s="795" t="s">
        <v>9317</v>
      </c>
      <c r="B1310" s="138" t="s">
        <v>9604</v>
      </c>
      <c r="C1310" s="139" t="s">
        <v>8107</v>
      </c>
      <c r="D1310" s="140" t="s">
        <v>9657</v>
      </c>
      <c r="E1310" s="141" t="s">
        <v>9320</v>
      </c>
      <c r="F1310" s="142" t="s">
        <v>9505</v>
      </c>
      <c r="G1310" s="143">
        <v>265.64</v>
      </c>
      <c r="H1310" s="144" t="s">
        <v>730</v>
      </c>
      <c r="I1310" s="145"/>
      <c r="J1310" s="145"/>
      <c r="K1310" s="146">
        <v>265.64</v>
      </c>
    </row>
    <row r="1311" spans="1:11" s="147" customFormat="1" ht="11.25" customHeight="1" x14ac:dyDescent="0.2">
      <c r="A1311" s="795" t="s">
        <v>9317</v>
      </c>
      <c r="B1311" s="138" t="s">
        <v>9604</v>
      </c>
      <c r="C1311" s="139" t="s">
        <v>8107</v>
      </c>
      <c r="D1311" s="140" t="s">
        <v>9656</v>
      </c>
      <c r="E1311" s="141" t="s">
        <v>9320</v>
      </c>
      <c r="F1311" s="142" t="s">
        <v>9505</v>
      </c>
      <c r="G1311" s="143">
        <v>327.12</v>
      </c>
      <c r="H1311" s="144" t="s">
        <v>730</v>
      </c>
      <c r="I1311" s="145"/>
      <c r="J1311" s="145"/>
      <c r="K1311" s="146">
        <v>327.12</v>
      </c>
    </row>
    <row r="1312" spans="1:11" s="147" customFormat="1" ht="11.25" customHeight="1" x14ac:dyDescent="0.2">
      <c r="A1312" s="795" t="s">
        <v>9317</v>
      </c>
      <c r="B1312" s="138" t="s">
        <v>9604</v>
      </c>
      <c r="C1312" s="139" t="s">
        <v>8107</v>
      </c>
      <c r="D1312" s="140" t="s">
        <v>9657</v>
      </c>
      <c r="E1312" s="141" t="s">
        <v>9320</v>
      </c>
      <c r="F1312" s="142" t="s">
        <v>9505</v>
      </c>
      <c r="G1312" s="143">
        <v>415.28</v>
      </c>
      <c r="H1312" s="144" t="s">
        <v>730</v>
      </c>
      <c r="I1312" s="145"/>
      <c r="J1312" s="145"/>
      <c r="K1312" s="146">
        <v>415.28</v>
      </c>
    </row>
    <row r="1313" spans="1:11" s="147" customFormat="1" ht="11.25" customHeight="1" x14ac:dyDescent="0.2">
      <c r="A1313" s="795" t="s">
        <v>9317</v>
      </c>
      <c r="B1313" s="138" t="s">
        <v>9604</v>
      </c>
      <c r="C1313" s="139" t="s">
        <v>8107</v>
      </c>
      <c r="D1313" s="140" t="s">
        <v>9656</v>
      </c>
      <c r="E1313" s="141" t="s">
        <v>9320</v>
      </c>
      <c r="F1313" s="142" t="s">
        <v>9505</v>
      </c>
      <c r="G1313" s="143">
        <v>426.88</v>
      </c>
      <c r="H1313" s="144" t="s">
        <v>730</v>
      </c>
      <c r="I1313" s="145"/>
      <c r="J1313" s="145"/>
      <c r="K1313" s="146">
        <v>426.88</v>
      </c>
    </row>
    <row r="1314" spans="1:11" s="147" customFormat="1" ht="11.25" customHeight="1" x14ac:dyDescent="0.2">
      <c r="A1314" s="795" t="s">
        <v>9317</v>
      </c>
      <c r="B1314" s="138" t="s">
        <v>9604</v>
      </c>
      <c r="C1314" s="139" t="s">
        <v>8107</v>
      </c>
      <c r="D1314" s="140" t="s">
        <v>9656</v>
      </c>
      <c r="E1314" s="141" t="s">
        <v>9320</v>
      </c>
      <c r="F1314" s="142" t="s">
        <v>9505</v>
      </c>
      <c r="G1314" s="143">
        <v>431.52</v>
      </c>
      <c r="H1314" s="144" t="s">
        <v>730</v>
      </c>
      <c r="I1314" s="145"/>
      <c r="J1314" s="145"/>
      <c r="K1314" s="146">
        <v>431.52</v>
      </c>
    </row>
    <row r="1315" spans="1:11" s="147" customFormat="1" ht="11.25" customHeight="1" x14ac:dyDescent="0.2">
      <c r="A1315" s="795" t="s">
        <v>9317</v>
      </c>
      <c r="B1315" s="138" t="s">
        <v>9604</v>
      </c>
      <c r="C1315" s="139" t="s">
        <v>8107</v>
      </c>
      <c r="D1315" s="140" t="s">
        <v>9657</v>
      </c>
      <c r="E1315" s="141" t="s">
        <v>9320</v>
      </c>
      <c r="F1315" s="142" t="s">
        <v>9505</v>
      </c>
      <c r="G1315" s="143">
        <v>431.52</v>
      </c>
      <c r="H1315" s="144" t="s">
        <v>730</v>
      </c>
      <c r="I1315" s="145"/>
      <c r="J1315" s="145"/>
      <c r="K1315" s="146">
        <v>431.52</v>
      </c>
    </row>
    <row r="1316" spans="1:11" s="147" customFormat="1" ht="11.25" customHeight="1" x14ac:dyDescent="0.2">
      <c r="A1316" s="795" t="s">
        <v>9317</v>
      </c>
      <c r="B1316" s="138" t="s">
        <v>9604</v>
      </c>
      <c r="C1316" s="139" t="s">
        <v>8107</v>
      </c>
      <c r="D1316" s="140" t="s">
        <v>9657</v>
      </c>
      <c r="E1316" s="141" t="s">
        <v>9320</v>
      </c>
      <c r="F1316" s="142" t="s">
        <v>9505</v>
      </c>
      <c r="G1316" s="143">
        <v>458.2</v>
      </c>
      <c r="H1316" s="144" t="s">
        <v>730</v>
      </c>
      <c r="I1316" s="145"/>
      <c r="J1316" s="145"/>
      <c r="K1316" s="146">
        <v>458.2</v>
      </c>
    </row>
    <row r="1317" spans="1:11" s="147" customFormat="1" ht="11.25" customHeight="1" x14ac:dyDescent="0.2">
      <c r="A1317" s="795" t="s">
        <v>9317</v>
      </c>
      <c r="B1317" s="138" t="s">
        <v>9604</v>
      </c>
      <c r="C1317" s="139" t="s">
        <v>8107</v>
      </c>
      <c r="D1317" s="140" t="s">
        <v>9657</v>
      </c>
      <c r="E1317" s="141" t="s">
        <v>9320</v>
      </c>
      <c r="F1317" s="142" t="s">
        <v>9505</v>
      </c>
      <c r="G1317" s="143">
        <v>458.2</v>
      </c>
      <c r="H1317" s="144" t="s">
        <v>730</v>
      </c>
      <c r="I1317" s="145"/>
      <c r="J1317" s="145"/>
      <c r="K1317" s="146">
        <v>458.2</v>
      </c>
    </row>
    <row r="1318" spans="1:11" s="147" customFormat="1" ht="11.25" customHeight="1" x14ac:dyDescent="0.2">
      <c r="A1318" s="795" t="s">
        <v>9317</v>
      </c>
      <c r="B1318" s="138" t="s">
        <v>9604</v>
      </c>
      <c r="C1318" s="139" t="s">
        <v>8107</v>
      </c>
      <c r="D1318" s="140" t="s">
        <v>9656</v>
      </c>
      <c r="E1318" s="141" t="s">
        <v>9320</v>
      </c>
      <c r="F1318" s="142" t="s">
        <v>9505</v>
      </c>
      <c r="G1318" s="143">
        <v>496.48</v>
      </c>
      <c r="H1318" s="144" t="s">
        <v>730</v>
      </c>
      <c r="I1318" s="145"/>
      <c r="J1318" s="145"/>
      <c r="K1318" s="146">
        <v>496.48</v>
      </c>
    </row>
    <row r="1319" spans="1:11" s="147" customFormat="1" ht="11.25" customHeight="1" x14ac:dyDescent="0.2">
      <c r="A1319" s="795" t="s">
        <v>9317</v>
      </c>
      <c r="B1319" s="138" t="s">
        <v>9604</v>
      </c>
      <c r="C1319" s="139" t="s">
        <v>8107</v>
      </c>
      <c r="D1319" s="140" t="s">
        <v>9656</v>
      </c>
      <c r="E1319" s="141" t="s">
        <v>9320</v>
      </c>
      <c r="F1319" s="142" t="s">
        <v>9505</v>
      </c>
      <c r="G1319" s="143">
        <v>830.56</v>
      </c>
      <c r="H1319" s="144" t="s">
        <v>730</v>
      </c>
      <c r="I1319" s="145"/>
      <c r="J1319" s="145"/>
      <c r="K1319" s="146">
        <v>830.56</v>
      </c>
    </row>
    <row r="1320" spans="1:11" s="147" customFormat="1" ht="11.25" customHeight="1" x14ac:dyDescent="0.2">
      <c r="A1320" s="795" t="s">
        <v>9317</v>
      </c>
      <c r="B1320" s="138" t="s">
        <v>9604</v>
      </c>
      <c r="C1320" s="139" t="s">
        <v>8107</v>
      </c>
      <c r="D1320" s="140" t="s">
        <v>9656</v>
      </c>
      <c r="E1320" s="141" t="s">
        <v>9320</v>
      </c>
      <c r="F1320" s="142" t="s">
        <v>9505</v>
      </c>
      <c r="G1320" s="143">
        <v>916.4</v>
      </c>
      <c r="H1320" s="144" t="s">
        <v>730</v>
      </c>
      <c r="I1320" s="145"/>
      <c r="J1320" s="145"/>
      <c r="K1320" s="146">
        <v>916.4</v>
      </c>
    </row>
    <row r="1321" spans="1:11" s="147" customFormat="1" ht="11.25" customHeight="1" x14ac:dyDescent="0.2">
      <c r="A1321" s="795" t="s">
        <v>9317</v>
      </c>
      <c r="B1321" s="138" t="s">
        <v>9604</v>
      </c>
      <c r="C1321" s="139" t="s">
        <v>8107</v>
      </c>
      <c r="D1321" s="140" t="s">
        <v>9656</v>
      </c>
      <c r="E1321" s="141" t="s">
        <v>9320</v>
      </c>
      <c r="F1321" s="142" t="s">
        <v>9505</v>
      </c>
      <c r="G1321" s="143">
        <v>916.4</v>
      </c>
      <c r="H1321" s="144" t="s">
        <v>730</v>
      </c>
      <c r="I1321" s="145"/>
      <c r="J1321" s="145"/>
      <c r="K1321" s="146">
        <v>916.4</v>
      </c>
    </row>
    <row r="1322" spans="1:11" s="147" customFormat="1" ht="11.25" customHeight="1" x14ac:dyDescent="0.2">
      <c r="A1322" s="795" t="s">
        <v>9317</v>
      </c>
      <c r="B1322" s="138" t="s">
        <v>9604</v>
      </c>
      <c r="C1322" s="139" t="s">
        <v>8107</v>
      </c>
      <c r="D1322" s="140" t="s">
        <v>9656</v>
      </c>
      <c r="E1322" s="141" t="s">
        <v>9320</v>
      </c>
      <c r="F1322" s="142" t="s">
        <v>9505</v>
      </c>
      <c r="G1322" s="143">
        <v>6728</v>
      </c>
      <c r="H1322" s="144" t="s">
        <v>730</v>
      </c>
      <c r="I1322" s="145"/>
      <c r="J1322" s="145"/>
      <c r="K1322" s="146">
        <v>6728</v>
      </c>
    </row>
    <row r="1323" spans="1:11" s="147" customFormat="1" ht="11.25" customHeight="1" x14ac:dyDescent="0.2">
      <c r="A1323" s="795" t="s">
        <v>9317</v>
      </c>
      <c r="B1323" s="138" t="s">
        <v>9604</v>
      </c>
      <c r="C1323" s="139" t="s">
        <v>8107</v>
      </c>
      <c r="D1323" s="140" t="s">
        <v>9657</v>
      </c>
      <c r="E1323" s="141" t="s">
        <v>9320</v>
      </c>
      <c r="F1323" s="142" t="s">
        <v>9505</v>
      </c>
      <c r="G1323" s="143">
        <v>6728</v>
      </c>
      <c r="H1323" s="144" t="s">
        <v>730</v>
      </c>
      <c r="I1323" s="145"/>
      <c r="J1323" s="145"/>
      <c r="K1323" s="146">
        <v>6728</v>
      </c>
    </row>
    <row r="1324" spans="1:11" s="147" customFormat="1" ht="11.25" customHeight="1" x14ac:dyDescent="0.2">
      <c r="A1324" s="795" t="s">
        <v>9352</v>
      </c>
      <c r="B1324" s="138" t="s">
        <v>9604</v>
      </c>
      <c r="C1324" s="139" t="s">
        <v>8087</v>
      </c>
      <c r="D1324" s="140" t="s">
        <v>9658</v>
      </c>
      <c r="E1324" s="141" t="s">
        <v>8162</v>
      </c>
      <c r="F1324" s="142" t="s">
        <v>8159</v>
      </c>
      <c r="G1324" s="143">
        <v>1241.2</v>
      </c>
      <c r="H1324" s="144" t="s">
        <v>730</v>
      </c>
      <c r="I1324" s="145"/>
      <c r="J1324" s="145"/>
      <c r="K1324" s="146">
        <v>1241.2</v>
      </c>
    </row>
    <row r="1325" spans="1:11" s="147" customFormat="1" ht="11.25" customHeight="1" x14ac:dyDescent="0.2">
      <c r="A1325" s="795" t="s">
        <v>9188</v>
      </c>
      <c r="B1325" s="138" t="s">
        <v>9604</v>
      </c>
      <c r="C1325" s="139" t="s">
        <v>9659</v>
      </c>
      <c r="D1325" s="140" t="s">
        <v>9660</v>
      </c>
      <c r="E1325" s="141" t="s">
        <v>9087</v>
      </c>
      <c r="F1325" s="142" t="s">
        <v>8144</v>
      </c>
      <c r="G1325" s="143">
        <v>2424.11</v>
      </c>
      <c r="H1325" s="144" t="s">
        <v>730</v>
      </c>
      <c r="I1325" s="145"/>
      <c r="J1325" s="145"/>
      <c r="K1325" s="146">
        <v>2424.11</v>
      </c>
    </row>
    <row r="1326" spans="1:11" s="147" customFormat="1" ht="11.25" customHeight="1" x14ac:dyDescent="0.2">
      <c r="A1326" s="795" t="s">
        <v>9188</v>
      </c>
      <c r="B1326" s="138" t="s">
        <v>9604</v>
      </c>
      <c r="C1326" s="139" t="s">
        <v>9659</v>
      </c>
      <c r="D1326" s="140" t="s">
        <v>9661</v>
      </c>
      <c r="E1326" s="141" t="s">
        <v>9087</v>
      </c>
      <c r="F1326" s="142" t="s">
        <v>9190</v>
      </c>
      <c r="G1326" s="143">
        <v>2424.11</v>
      </c>
      <c r="H1326" s="144" t="s">
        <v>730</v>
      </c>
      <c r="I1326" s="145"/>
      <c r="J1326" s="145"/>
      <c r="K1326" s="146">
        <v>2424.11</v>
      </c>
    </row>
    <row r="1327" spans="1:11" s="147" customFormat="1" ht="11.25" customHeight="1" x14ac:dyDescent="0.2">
      <c r="A1327" s="795" t="s">
        <v>9662</v>
      </c>
      <c r="B1327" s="138" t="s">
        <v>9604</v>
      </c>
      <c r="C1327" s="139" t="s">
        <v>9663</v>
      </c>
      <c r="D1327" s="140" t="s">
        <v>9664</v>
      </c>
      <c r="E1327" s="141" t="s">
        <v>9333</v>
      </c>
      <c r="F1327" s="142" t="s">
        <v>9665</v>
      </c>
      <c r="G1327" s="143">
        <v>25341.71</v>
      </c>
      <c r="H1327" s="144" t="s">
        <v>730</v>
      </c>
      <c r="I1327" s="145"/>
      <c r="J1327" s="145"/>
      <c r="K1327" s="146">
        <v>25341.71</v>
      </c>
    </row>
    <row r="1328" spans="1:11" s="147" customFormat="1" ht="11.25" customHeight="1" x14ac:dyDescent="0.2">
      <c r="A1328" s="795" t="s">
        <v>9666</v>
      </c>
      <c r="B1328" s="138" t="s">
        <v>9604</v>
      </c>
      <c r="C1328" s="139" t="s">
        <v>8157</v>
      </c>
      <c r="D1328" s="140" t="s">
        <v>9667</v>
      </c>
      <c r="E1328" s="141" t="s">
        <v>9668</v>
      </c>
      <c r="F1328" s="142" t="s">
        <v>9669</v>
      </c>
      <c r="G1328" s="143">
        <v>58000</v>
      </c>
      <c r="H1328" s="144" t="s">
        <v>730</v>
      </c>
      <c r="I1328" s="145"/>
      <c r="J1328" s="145"/>
      <c r="K1328" s="146">
        <v>58000</v>
      </c>
    </row>
    <row r="1329" spans="1:11" s="147" customFormat="1" ht="11.25" customHeight="1" x14ac:dyDescent="0.2">
      <c r="A1329" s="795" t="s">
        <v>9666</v>
      </c>
      <c r="B1329" s="138" t="s">
        <v>9604</v>
      </c>
      <c r="C1329" s="139" t="s">
        <v>8176</v>
      </c>
      <c r="D1329" s="140" t="s">
        <v>9670</v>
      </c>
      <c r="E1329" s="141" t="s">
        <v>9668</v>
      </c>
      <c r="F1329" s="142" t="s">
        <v>9669</v>
      </c>
      <c r="G1329" s="143">
        <v>58000</v>
      </c>
      <c r="H1329" s="144" t="s">
        <v>730</v>
      </c>
      <c r="I1329" s="145"/>
      <c r="J1329" s="145"/>
      <c r="K1329" s="146">
        <v>58000</v>
      </c>
    </row>
    <row r="1330" spans="1:11" s="147" customFormat="1" ht="11.25" customHeight="1" x14ac:dyDescent="0.2">
      <c r="A1330" s="795" t="s">
        <v>9671</v>
      </c>
      <c r="B1330" s="138" t="s">
        <v>9604</v>
      </c>
      <c r="C1330" s="139" t="s">
        <v>9672</v>
      </c>
      <c r="D1330" s="140" t="s">
        <v>9673</v>
      </c>
      <c r="E1330" s="141" t="s">
        <v>9674</v>
      </c>
      <c r="F1330" s="142" t="s">
        <v>9675</v>
      </c>
      <c r="G1330" s="143">
        <v>135595</v>
      </c>
      <c r="H1330" s="144" t="s">
        <v>730</v>
      </c>
      <c r="I1330" s="145"/>
      <c r="J1330" s="145"/>
      <c r="K1330" s="146">
        <v>135595</v>
      </c>
    </row>
    <row r="1331" spans="1:11" s="147" customFormat="1" ht="11.25" customHeight="1" x14ac:dyDescent="0.2">
      <c r="A1331" s="795" t="s">
        <v>9035</v>
      </c>
      <c r="B1331" s="138" t="s">
        <v>9676</v>
      </c>
      <c r="C1331" s="139" t="s">
        <v>9192</v>
      </c>
      <c r="D1331" s="140" t="s">
        <v>9677</v>
      </c>
      <c r="E1331" s="141" t="s">
        <v>8123</v>
      </c>
      <c r="F1331" s="142" t="s">
        <v>9614</v>
      </c>
      <c r="G1331" s="143">
        <v>27.28</v>
      </c>
      <c r="H1331" s="144" t="s">
        <v>730</v>
      </c>
      <c r="I1331" s="145"/>
      <c r="J1331" s="145"/>
      <c r="K1331" s="146">
        <v>27.28</v>
      </c>
    </row>
    <row r="1332" spans="1:11" s="147" customFormat="1" ht="11.25" customHeight="1" x14ac:dyDescent="0.2">
      <c r="A1332" s="795" t="s">
        <v>9035</v>
      </c>
      <c r="B1332" s="138" t="s">
        <v>9676</v>
      </c>
      <c r="C1332" s="139" t="s">
        <v>9192</v>
      </c>
      <c r="D1332" s="140" t="s">
        <v>9678</v>
      </c>
      <c r="E1332" s="141" t="s">
        <v>8123</v>
      </c>
      <c r="F1332" s="142" t="s">
        <v>9614</v>
      </c>
      <c r="G1332" s="143">
        <v>44.06</v>
      </c>
      <c r="H1332" s="144" t="s">
        <v>730</v>
      </c>
      <c r="I1332" s="145"/>
      <c r="J1332" s="145"/>
      <c r="K1332" s="146">
        <v>44.06</v>
      </c>
    </row>
    <row r="1333" spans="1:11" s="147" customFormat="1" ht="11.25" customHeight="1" x14ac:dyDescent="0.2">
      <c r="A1333" s="795" t="s">
        <v>9035</v>
      </c>
      <c r="B1333" s="138" t="s">
        <v>9676</v>
      </c>
      <c r="C1333" s="139" t="s">
        <v>9192</v>
      </c>
      <c r="D1333" s="140" t="s">
        <v>9677</v>
      </c>
      <c r="E1333" s="141" t="s">
        <v>8123</v>
      </c>
      <c r="F1333" s="142" t="s">
        <v>9614</v>
      </c>
      <c r="G1333" s="143">
        <v>70.760000000000005</v>
      </c>
      <c r="H1333" s="144" t="s">
        <v>730</v>
      </c>
      <c r="I1333" s="145"/>
      <c r="J1333" s="145"/>
      <c r="K1333" s="146">
        <v>70.760000000000005</v>
      </c>
    </row>
    <row r="1334" spans="1:11" s="147" customFormat="1" ht="11.25" customHeight="1" x14ac:dyDescent="0.2">
      <c r="A1334" s="795" t="s">
        <v>9035</v>
      </c>
      <c r="B1334" s="138" t="s">
        <v>9676</v>
      </c>
      <c r="C1334" s="139" t="s">
        <v>9192</v>
      </c>
      <c r="D1334" s="140" t="s">
        <v>9678</v>
      </c>
      <c r="E1334" s="141" t="s">
        <v>8123</v>
      </c>
      <c r="F1334" s="142" t="s">
        <v>9614</v>
      </c>
      <c r="G1334" s="143">
        <v>88.16</v>
      </c>
      <c r="H1334" s="144" t="s">
        <v>730</v>
      </c>
      <c r="I1334" s="145"/>
      <c r="J1334" s="145"/>
      <c r="K1334" s="146">
        <v>88.16</v>
      </c>
    </row>
    <row r="1335" spans="1:11" s="147" customFormat="1" ht="11.25" customHeight="1" x14ac:dyDescent="0.2">
      <c r="A1335" s="795" t="s">
        <v>9035</v>
      </c>
      <c r="B1335" s="138" t="s">
        <v>9676</v>
      </c>
      <c r="C1335" s="139" t="s">
        <v>9192</v>
      </c>
      <c r="D1335" s="140" t="s">
        <v>9679</v>
      </c>
      <c r="E1335" s="141" t="s">
        <v>8123</v>
      </c>
      <c r="F1335" s="142" t="s">
        <v>9614</v>
      </c>
      <c r="G1335" s="143">
        <v>88.62</v>
      </c>
      <c r="H1335" s="144" t="s">
        <v>730</v>
      </c>
      <c r="I1335" s="145"/>
      <c r="J1335" s="145"/>
      <c r="K1335" s="146">
        <v>88.62</v>
      </c>
    </row>
    <row r="1336" spans="1:11" s="147" customFormat="1" ht="11.25" customHeight="1" x14ac:dyDescent="0.2">
      <c r="A1336" s="795" t="s">
        <v>9035</v>
      </c>
      <c r="B1336" s="138" t="s">
        <v>9676</v>
      </c>
      <c r="C1336" s="139" t="s">
        <v>9192</v>
      </c>
      <c r="D1336" s="140" t="s">
        <v>9678</v>
      </c>
      <c r="E1336" s="141" t="s">
        <v>8123</v>
      </c>
      <c r="F1336" s="142" t="s">
        <v>9614</v>
      </c>
      <c r="G1336" s="143">
        <v>106.91</v>
      </c>
      <c r="H1336" s="144" t="s">
        <v>730</v>
      </c>
      <c r="I1336" s="145"/>
      <c r="J1336" s="145"/>
      <c r="K1336" s="146">
        <v>106.91</v>
      </c>
    </row>
    <row r="1337" spans="1:11" s="147" customFormat="1" ht="11.25" customHeight="1" x14ac:dyDescent="0.2">
      <c r="A1337" s="795" t="s">
        <v>9035</v>
      </c>
      <c r="B1337" s="138" t="s">
        <v>9676</v>
      </c>
      <c r="C1337" s="139" t="s">
        <v>9192</v>
      </c>
      <c r="D1337" s="140" t="s">
        <v>9677</v>
      </c>
      <c r="E1337" s="141" t="s">
        <v>8123</v>
      </c>
      <c r="F1337" s="142" t="s">
        <v>9614</v>
      </c>
      <c r="G1337" s="143">
        <v>107.29</v>
      </c>
      <c r="H1337" s="144" t="s">
        <v>730</v>
      </c>
      <c r="I1337" s="145"/>
      <c r="J1337" s="145"/>
      <c r="K1337" s="146">
        <v>107.29</v>
      </c>
    </row>
    <row r="1338" spans="1:11" s="147" customFormat="1" ht="11.25" customHeight="1" x14ac:dyDescent="0.2">
      <c r="A1338" s="795" t="s">
        <v>9035</v>
      </c>
      <c r="B1338" s="138" t="s">
        <v>9676</v>
      </c>
      <c r="C1338" s="139" t="s">
        <v>9192</v>
      </c>
      <c r="D1338" s="140" t="s">
        <v>9678</v>
      </c>
      <c r="E1338" s="141" t="s">
        <v>8123</v>
      </c>
      <c r="F1338" s="142" t="s">
        <v>9614</v>
      </c>
      <c r="G1338" s="143">
        <v>125.66</v>
      </c>
      <c r="H1338" s="144" t="s">
        <v>730</v>
      </c>
      <c r="I1338" s="145"/>
      <c r="J1338" s="145"/>
      <c r="K1338" s="146">
        <v>125.66</v>
      </c>
    </row>
    <row r="1339" spans="1:11" s="147" customFormat="1" ht="11.25" customHeight="1" x14ac:dyDescent="0.2">
      <c r="A1339" s="795" t="s">
        <v>9035</v>
      </c>
      <c r="B1339" s="138" t="s">
        <v>9676</v>
      </c>
      <c r="C1339" s="139" t="s">
        <v>9192</v>
      </c>
      <c r="D1339" s="140" t="s">
        <v>9678</v>
      </c>
      <c r="E1339" s="141" t="s">
        <v>8123</v>
      </c>
      <c r="F1339" s="142" t="s">
        <v>9614</v>
      </c>
      <c r="G1339" s="143">
        <v>146.44</v>
      </c>
      <c r="H1339" s="144" t="s">
        <v>730</v>
      </c>
      <c r="I1339" s="145"/>
      <c r="J1339" s="145"/>
      <c r="K1339" s="146">
        <v>146.44</v>
      </c>
    </row>
    <row r="1340" spans="1:11" s="147" customFormat="1" ht="11.25" customHeight="1" x14ac:dyDescent="0.2">
      <c r="A1340" s="795" t="s">
        <v>9035</v>
      </c>
      <c r="B1340" s="138" t="s">
        <v>9676</v>
      </c>
      <c r="C1340" s="139" t="s">
        <v>9192</v>
      </c>
      <c r="D1340" s="140" t="s">
        <v>9677</v>
      </c>
      <c r="E1340" s="141" t="s">
        <v>8123</v>
      </c>
      <c r="F1340" s="142" t="s">
        <v>9614</v>
      </c>
      <c r="G1340" s="143">
        <v>172.72</v>
      </c>
      <c r="H1340" s="144" t="s">
        <v>730</v>
      </c>
      <c r="I1340" s="145"/>
      <c r="J1340" s="145"/>
      <c r="K1340" s="146">
        <v>172.72</v>
      </c>
    </row>
    <row r="1341" spans="1:11" s="147" customFormat="1" ht="11.25" customHeight="1" x14ac:dyDescent="0.2">
      <c r="A1341" s="795" t="s">
        <v>9035</v>
      </c>
      <c r="B1341" s="138" t="s">
        <v>9676</v>
      </c>
      <c r="C1341" s="139" t="s">
        <v>9192</v>
      </c>
      <c r="D1341" s="140" t="s">
        <v>9677</v>
      </c>
      <c r="E1341" s="141" t="s">
        <v>8123</v>
      </c>
      <c r="F1341" s="142" t="s">
        <v>9614</v>
      </c>
      <c r="G1341" s="143">
        <v>175.16</v>
      </c>
      <c r="H1341" s="144" t="s">
        <v>730</v>
      </c>
      <c r="I1341" s="145"/>
      <c r="J1341" s="145"/>
      <c r="K1341" s="146">
        <v>175.16</v>
      </c>
    </row>
    <row r="1342" spans="1:11" s="147" customFormat="1" ht="11.25" customHeight="1" x14ac:dyDescent="0.2">
      <c r="A1342" s="795" t="s">
        <v>9035</v>
      </c>
      <c r="B1342" s="138" t="s">
        <v>9676</v>
      </c>
      <c r="C1342" s="139" t="s">
        <v>9192</v>
      </c>
      <c r="D1342" s="140" t="s">
        <v>9677</v>
      </c>
      <c r="E1342" s="141" t="s">
        <v>8123</v>
      </c>
      <c r="F1342" s="142" t="s">
        <v>9614</v>
      </c>
      <c r="G1342" s="143">
        <v>182.58</v>
      </c>
      <c r="H1342" s="144" t="s">
        <v>730</v>
      </c>
      <c r="I1342" s="145"/>
      <c r="J1342" s="145"/>
      <c r="K1342" s="146">
        <v>182.58</v>
      </c>
    </row>
    <row r="1343" spans="1:11" s="147" customFormat="1" ht="11.25" customHeight="1" x14ac:dyDescent="0.2">
      <c r="A1343" s="795" t="s">
        <v>9035</v>
      </c>
      <c r="B1343" s="138" t="s">
        <v>9676</v>
      </c>
      <c r="C1343" s="139" t="s">
        <v>9192</v>
      </c>
      <c r="D1343" s="140" t="s">
        <v>9678</v>
      </c>
      <c r="E1343" s="141" t="s">
        <v>8123</v>
      </c>
      <c r="F1343" s="142" t="s">
        <v>9614</v>
      </c>
      <c r="G1343" s="143">
        <v>212.28</v>
      </c>
      <c r="H1343" s="144" t="s">
        <v>730</v>
      </c>
      <c r="I1343" s="145"/>
      <c r="J1343" s="145"/>
      <c r="K1343" s="146">
        <v>212.28</v>
      </c>
    </row>
    <row r="1344" spans="1:11" s="147" customFormat="1" ht="11.25" customHeight="1" x14ac:dyDescent="0.2">
      <c r="A1344" s="795" t="s">
        <v>9035</v>
      </c>
      <c r="B1344" s="138" t="s">
        <v>9676</v>
      </c>
      <c r="C1344" s="139" t="s">
        <v>9192</v>
      </c>
      <c r="D1344" s="140" t="s">
        <v>9679</v>
      </c>
      <c r="E1344" s="141" t="s">
        <v>8123</v>
      </c>
      <c r="F1344" s="142" t="s">
        <v>9614</v>
      </c>
      <c r="G1344" s="143">
        <v>227.73</v>
      </c>
      <c r="H1344" s="144" t="s">
        <v>730</v>
      </c>
      <c r="I1344" s="145"/>
      <c r="J1344" s="145"/>
      <c r="K1344" s="146">
        <v>227.73</v>
      </c>
    </row>
    <row r="1345" spans="1:11" s="147" customFormat="1" ht="11.25" customHeight="1" x14ac:dyDescent="0.2">
      <c r="A1345" s="795" t="s">
        <v>9035</v>
      </c>
      <c r="B1345" s="138" t="s">
        <v>9676</v>
      </c>
      <c r="C1345" s="139" t="s">
        <v>9192</v>
      </c>
      <c r="D1345" s="140" t="s">
        <v>9677</v>
      </c>
      <c r="E1345" s="141" t="s">
        <v>8123</v>
      </c>
      <c r="F1345" s="142" t="s">
        <v>9614</v>
      </c>
      <c r="G1345" s="143">
        <v>235.48</v>
      </c>
      <c r="H1345" s="144" t="s">
        <v>730</v>
      </c>
      <c r="I1345" s="145"/>
      <c r="J1345" s="145"/>
      <c r="K1345" s="146">
        <v>235.48</v>
      </c>
    </row>
    <row r="1346" spans="1:11" s="147" customFormat="1" ht="11.25" customHeight="1" x14ac:dyDescent="0.2">
      <c r="A1346" s="795" t="s">
        <v>9035</v>
      </c>
      <c r="B1346" s="138" t="s">
        <v>9676</v>
      </c>
      <c r="C1346" s="139" t="s">
        <v>9192</v>
      </c>
      <c r="D1346" s="140" t="s">
        <v>9679</v>
      </c>
      <c r="E1346" s="141" t="s">
        <v>8123</v>
      </c>
      <c r="F1346" s="142" t="s">
        <v>9614</v>
      </c>
      <c r="G1346" s="143">
        <v>292.88</v>
      </c>
      <c r="H1346" s="144" t="s">
        <v>730</v>
      </c>
      <c r="I1346" s="145"/>
      <c r="J1346" s="145"/>
      <c r="K1346" s="146">
        <v>292.88</v>
      </c>
    </row>
    <row r="1347" spans="1:11" s="147" customFormat="1" ht="11.25" customHeight="1" x14ac:dyDescent="0.2">
      <c r="A1347" s="795" t="s">
        <v>9035</v>
      </c>
      <c r="B1347" s="138" t="s">
        <v>9676</v>
      </c>
      <c r="C1347" s="139" t="s">
        <v>9192</v>
      </c>
      <c r="D1347" s="140" t="s">
        <v>9678</v>
      </c>
      <c r="E1347" s="141" t="s">
        <v>8123</v>
      </c>
      <c r="F1347" s="142" t="s">
        <v>9614</v>
      </c>
      <c r="G1347" s="143">
        <v>306.17</v>
      </c>
      <c r="H1347" s="144" t="s">
        <v>730</v>
      </c>
      <c r="I1347" s="145"/>
      <c r="J1347" s="145"/>
      <c r="K1347" s="146">
        <v>306.17</v>
      </c>
    </row>
    <row r="1348" spans="1:11" s="147" customFormat="1" ht="11.25" customHeight="1" x14ac:dyDescent="0.2">
      <c r="A1348" s="795" t="s">
        <v>9035</v>
      </c>
      <c r="B1348" s="138" t="s">
        <v>9676</v>
      </c>
      <c r="C1348" s="139" t="s">
        <v>9192</v>
      </c>
      <c r="D1348" s="140" t="s">
        <v>9677</v>
      </c>
      <c r="E1348" s="141" t="s">
        <v>8123</v>
      </c>
      <c r="F1348" s="142" t="s">
        <v>9614</v>
      </c>
      <c r="G1348" s="143">
        <v>310.94</v>
      </c>
      <c r="H1348" s="144" t="s">
        <v>730</v>
      </c>
      <c r="I1348" s="145"/>
      <c r="J1348" s="145"/>
      <c r="K1348" s="146">
        <v>310.94</v>
      </c>
    </row>
    <row r="1349" spans="1:11" s="147" customFormat="1" ht="11.25" customHeight="1" x14ac:dyDescent="0.2">
      <c r="A1349" s="795" t="s">
        <v>9035</v>
      </c>
      <c r="B1349" s="138" t="s">
        <v>9676</v>
      </c>
      <c r="C1349" s="139" t="s">
        <v>9192</v>
      </c>
      <c r="D1349" s="140" t="s">
        <v>9678</v>
      </c>
      <c r="E1349" s="141" t="s">
        <v>8123</v>
      </c>
      <c r="F1349" s="142" t="s">
        <v>9614</v>
      </c>
      <c r="G1349" s="143">
        <v>341.78</v>
      </c>
      <c r="H1349" s="144" t="s">
        <v>730</v>
      </c>
      <c r="I1349" s="145"/>
      <c r="J1349" s="145"/>
      <c r="K1349" s="146">
        <v>341.78</v>
      </c>
    </row>
    <row r="1350" spans="1:11" s="147" customFormat="1" ht="11.25" customHeight="1" x14ac:dyDescent="0.2">
      <c r="A1350" s="795" t="s">
        <v>9035</v>
      </c>
      <c r="B1350" s="138" t="s">
        <v>9676</v>
      </c>
      <c r="C1350" s="139" t="s">
        <v>9192</v>
      </c>
      <c r="D1350" s="140" t="s">
        <v>9677</v>
      </c>
      <c r="E1350" s="141" t="s">
        <v>8123</v>
      </c>
      <c r="F1350" s="142" t="s">
        <v>9614</v>
      </c>
      <c r="G1350" s="143">
        <v>372.08</v>
      </c>
      <c r="H1350" s="144" t="s">
        <v>730</v>
      </c>
      <c r="I1350" s="145"/>
      <c r="J1350" s="145"/>
      <c r="K1350" s="146">
        <v>372.08</v>
      </c>
    </row>
    <row r="1351" spans="1:11" s="147" customFormat="1" ht="11.25" customHeight="1" x14ac:dyDescent="0.2">
      <c r="A1351" s="795" t="s">
        <v>9035</v>
      </c>
      <c r="B1351" s="138" t="s">
        <v>9676</v>
      </c>
      <c r="C1351" s="139" t="s">
        <v>9192</v>
      </c>
      <c r="D1351" s="140" t="s">
        <v>9679</v>
      </c>
      <c r="E1351" s="141" t="s">
        <v>8123</v>
      </c>
      <c r="F1351" s="142" t="s">
        <v>9614</v>
      </c>
      <c r="G1351" s="143">
        <v>435.31</v>
      </c>
      <c r="H1351" s="144" t="s">
        <v>730</v>
      </c>
      <c r="I1351" s="145"/>
      <c r="J1351" s="145"/>
      <c r="K1351" s="146">
        <v>435.31</v>
      </c>
    </row>
    <row r="1352" spans="1:11" s="147" customFormat="1" ht="11.25" customHeight="1" x14ac:dyDescent="0.2">
      <c r="A1352" s="795" t="s">
        <v>9035</v>
      </c>
      <c r="B1352" s="138" t="s">
        <v>9676</v>
      </c>
      <c r="C1352" s="139" t="s">
        <v>9192</v>
      </c>
      <c r="D1352" s="140" t="s">
        <v>9679</v>
      </c>
      <c r="E1352" s="141" t="s">
        <v>8123</v>
      </c>
      <c r="F1352" s="142" t="s">
        <v>9614</v>
      </c>
      <c r="G1352" s="143">
        <v>845.33</v>
      </c>
      <c r="H1352" s="144" t="s">
        <v>730</v>
      </c>
      <c r="I1352" s="145"/>
      <c r="J1352" s="145"/>
      <c r="K1352" s="146">
        <v>845.33</v>
      </c>
    </row>
    <row r="1353" spans="1:11" s="147" customFormat="1" ht="11.25" customHeight="1" x14ac:dyDescent="0.2">
      <c r="A1353" s="795" t="s">
        <v>9035</v>
      </c>
      <c r="B1353" s="138" t="s">
        <v>9676</v>
      </c>
      <c r="C1353" s="139" t="s">
        <v>9192</v>
      </c>
      <c r="D1353" s="140" t="s">
        <v>9680</v>
      </c>
      <c r="E1353" s="141" t="s">
        <v>8123</v>
      </c>
      <c r="F1353" s="142" t="s">
        <v>8976</v>
      </c>
      <c r="G1353" s="143">
        <v>1245.1400000000001</v>
      </c>
      <c r="H1353" s="144" t="s">
        <v>730</v>
      </c>
      <c r="I1353" s="145"/>
      <c r="J1353" s="145"/>
      <c r="K1353" s="146">
        <v>1245.1400000000001</v>
      </c>
    </row>
    <row r="1354" spans="1:11" s="147" customFormat="1" ht="11.25" customHeight="1" x14ac:dyDescent="0.2">
      <c r="A1354" s="795" t="s">
        <v>9035</v>
      </c>
      <c r="B1354" s="138" t="s">
        <v>9676</v>
      </c>
      <c r="C1354" s="139" t="s">
        <v>9192</v>
      </c>
      <c r="D1354" s="140" t="s">
        <v>9679</v>
      </c>
      <c r="E1354" s="141" t="s">
        <v>8123</v>
      </c>
      <c r="F1354" s="142" t="s">
        <v>9614</v>
      </c>
      <c r="G1354" s="143">
        <v>1600.8</v>
      </c>
      <c r="H1354" s="144" t="s">
        <v>730</v>
      </c>
      <c r="I1354" s="145"/>
      <c r="J1354" s="145"/>
      <c r="K1354" s="146">
        <v>1600.8</v>
      </c>
    </row>
    <row r="1355" spans="1:11" s="147" customFormat="1" ht="11.25" customHeight="1" x14ac:dyDescent="0.2">
      <c r="A1355" s="795" t="s">
        <v>9035</v>
      </c>
      <c r="B1355" s="138" t="s">
        <v>9676</v>
      </c>
      <c r="C1355" s="139" t="s">
        <v>9192</v>
      </c>
      <c r="D1355" s="140" t="s">
        <v>9679</v>
      </c>
      <c r="E1355" s="141" t="s">
        <v>8123</v>
      </c>
      <c r="F1355" s="142" t="s">
        <v>9614</v>
      </c>
      <c r="G1355" s="143">
        <v>2663.07</v>
      </c>
      <c r="H1355" s="144" t="s">
        <v>730</v>
      </c>
      <c r="I1355" s="145"/>
      <c r="J1355" s="145"/>
      <c r="K1355" s="146">
        <v>2663.07</v>
      </c>
    </row>
    <row r="1356" spans="1:11" s="147" customFormat="1" ht="11.25" customHeight="1" x14ac:dyDescent="0.2">
      <c r="A1356" s="795" t="s">
        <v>9035</v>
      </c>
      <c r="B1356" s="138" t="s">
        <v>9676</v>
      </c>
      <c r="C1356" s="139" t="s">
        <v>9192</v>
      </c>
      <c r="D1356" s="140" t="s">
        <v>9678</v>
      </c>
      <c r="E1356" s="141" t="s">
        <v>8123</v>
      </c>
      <c r="F1356" s="142" t="s">
        <v>9614</v>
      </c>
      <c r="G1356" s="143">
        <v>2861.08</v>
      </c>
      <c r="H1356" s="144" t="s">
        <v>730</v>
      </c>
      <c r="I1356" s="145"/>
      <c r="J1356" s="145"/>
      <c r="K1356" s="146">
        <v>2861.08</v>
      </c>
    </row>
    <row r="1357" spans="1:11" s="147" customFormat="1" ht="11.25" customHeight="1" x14ac:dyDescent="0.2">
      <c r="A1357" s="795" t="s">
        <v>9035</v>
      </c>
      <c r="B1357" s="138" t="s">
        <v>9676</v>
      </c>
      <c r="C1357" s="139" t="s">
        <v>9192</v>
      </c>
      <c r="D1357" s="140" t="s">
        <v>9680</v>
      </c>
      <c r="E1357" s="141" t="s">
        <v>8123</v>
      </c>
      <c r="F1357" s="142" t="s">
        <v>8976</v>
      </c>
      <c r="G1357" s="143">
        <v>2861.26</v>
      </c>
      <c r="H1357" s="144" t="s">
        <v>730</v>
      </c>
      <c r="I1357" s="145"/>
      <c r="J1357" s="145"/>
      <c r="K1357" s="146">
        <v>2861.26</v>
      </c>
    </row>
    <row r="1358" spans="1:11" s="147" customFormat="1" ht="11.25" customHeight="1" x14ac:dyDescent="0.2">
      <c r="A1358" s="795" t="s">
        <v>9035</v>
      </c>
      <c r="B1358" s="138" t="s">
        <v>9676</v>
      </c>
      <c r="C1358" s="139" t="s">
        <v>9192</v>
      </c>
      <c r="D1358" s="140" t="s">
        <v>9679</v>
      </c>
      <c r="E1358" s="141" t="s">
        <v>8123</v>
      </c>
      <c r="F1358" s="142" t="s">
        <v>9614</v>
      </c>
      <c r="G1358" s="143">
        <v>4309.3999999999996</v>
      </c>
      <c r="H1358" s="144" t="s">
        <v>730</v>
      </c>
      <c r="I1358" s="145"/>
      <c r="J1358" s="145"/>
      <c r="K1358" s="146">
        <v>4309.3999999999996</v>
      </c>
    </row>
    <row r="1359" spans="1:11" s="147" customFormat="1" ht="11.25" customHeight="1" x14ac:dyDescent="0.2">
      <c r="A1359" s="795" t="s">
        <v>9035</v>
      </c>
      <c r="B1359" s="138" t="s">
        <v>9676</v>
      </c>
      <c r="C1359" s="139" t="s">
        <v>9192</v>
      </c>
      <c r="D1359" s="140" t="s">
        <v>9679</v>
      </c>
      <c r="E1359" s="141" t="s">
        <v>8123</v>
      </c>
      <c r="F1359" s="142" t="s">
        <v>9614</v>
      </c>
      <c r="G1359" s="143">
        <v>4768.47</v>
      </c>
      <c r="H1359" s="144" t="s">
        <v>730</v>
      </c>
      <c r="I1359" s="145"/>
      <c r="J1359" s="145"/>
      <c r="K1359" s="146">
        <v>4768.47</v>
      </c>
    </row>
    <row r="1360" spans="1:11" s="147" customFormat="1" ht="11.25" customHeight="1" x14ac:dyDescent="0.2">
      <c r="A1360" s="795" t="s">
        <v>9035</v>
      </c>
      <c r="B1360" s="138" t="s">
        <v>9676</v>
      </c>
      <c r="C1360" s="139" t="s">
        <v>9192</v>
      </c>
      <c r="D1360" s="140" t="s">
        <v>9678</v>
      </c>
      <c r="E1360" s="141" t="s">
        <v>8123</v>
      </c>
      <c r="F1360" s="142" t="s">
        <v>9614</v>
      </c>
      <c r="G1360" s="143">
        <v>4980.4399999999996</v>
      </c>
      <c r="H1360" s="144" t="s">
        <v>730</v>
      </c>
      <c r="I1360" s="145"/>
      <c r="J1360" s="145"/>
      <c r="K1360" s="146">
        <v>4980.4399999999996</v>
      </c>
    </row>
    <row r="1361" spans="1:11" s="147" customFormat="1" ht="11.25" customHeight="1" x14ac:dyDescent="0.2">
      <c r="A1361" s="795" t="s">
        <v>9681</v>
      </c>
      <c r="B1361" s="138" t="s">
        <v>9676</v>
      </c>
      <c r="C1361" s="139" t="s">
        <v>9682</v>
      </c>
      <c r="D1361" s="140" t="s">
        <v>9683</v>
      </c>
      <c r="E1361" s="141" t="s">
        <v>8175</v>
      </c>
      <c r="F1361" s="142" t="s">
        <v>9684</v>
      </c>
      <c r="G1361" s="143">
        <v>9280</v>
      </c>
      <c r="H1361" s="144" t="s">
        <v>730</v>
      </c>
      <c r="I1361" s="145"/>
      <c r="J1361" s="145"/>
      <c r="K1361" s="146">
        <v>9280</v>
      </c>
    </row>
    <row r="1362" spans="1:11" s="147" customFormat="1" ht="11.25" customHeight="1" x14ac:dyDescent="0.2">
      <c r="A1362" s="795" t="s">
        <v>9681</v>
      </c>
      <c r="B1362" s="138" t="s">
        <v>9676</v>
      </c>
      <c r="C1362" s="139" t="s">
        <v>9685</v>
      </c>
      <c r="D1362" s="140" t="s">
        <v>9686</v>
      </c>
      <c r="E1362" s="141" t="s">
        <v>8175</v>
      </c>
      <c r="F1362" s="142" t="s">
        <v>9684</v>
      </c>
      <c r="G1362" s="143">
        <v>9280</v>
      </c>
      <c r="H1362" s="144" t="s">
        <v>730</v>
      </c>
      <c r="I1362" s="145"/>
      <c r="J1362" s="145"/>
      <c r="K1362" s="146">
        <v>9280</v>
      </c>
    </row>
    <row r="1363" spans="1:11" s="147" customFormat="1" ht="11.25" customHeight="1" x14ac:dyDescent="0.2">
      <c r="A1363" s="795" t="s">
        <v>9313</v>
      </c>
      <c r="B1363" s="138" t="s">
        <v>9676</v>
      </c>
      <c r="C1363" s="139" t="s">
        <v>9687</v>
      </c>
      <c r="D1363" s="140" t="s">
        <v>9688</v>
      </c>
      <c r="E1363" s="141" t="s">
        <v>8175</v>
      </c>
      <c r="F1363" s="142" t="s">
        <v>8133</v>
      </c>
      <c r="G1363" s="143">
        <v>1392</v>
      </c>
      <c r="H1363" s="144" t="s">
        <v>730</v>
      </c>
      <c r="I1363" s="145"/>
      <c r="J1363" s="145"/>
      <c r="K1363" s="146">
        <v>1392</v>
      </c>
    </row>
    <row r="1364" spans="1:11" s="147" customFormat="1" ht="11.25" customHeight="1" x14ac:dyDescent="0.2">
      <c r="A1364" s="795" t="s">
        <v>9313</v>
      </c>
      <c r="B1364" s="138" t="s">
        <v>9676</v>
      </c>
      <c r="C1364" s="139" t="s">
        <v>9687</v>
      </c>
      <c r="D1364" s="140" t="s">
        <v>9688</v>
      </c>
      <c r="E1364" s="141" t="s">
        <v>8175</v>
      </c>
      <c r="F1364" s="142" t="s">
        <v>8133</v>
      </c>
      <c r="G1364" s="143">
        <v>1392</v>
      </c>
      <c r="H1364" s="144" t="s">
        <v>730</v>
      </c>
      <c r="I1364" s="145"/>
      <c r="J1364" s="145"/>
      <c r="K1364" s="146">
        <v>1392</v>
      </c>
    </row>
    <row r="1365" spans="1:11" s="147" customFormat="1" ht="11.25" customHeight="1" x14ac:dyDescent="0.2">
      <c r="A1365" s="795" t="s">
        <v>9313</v>
      </c>
      <c r="B1365" s="138" t="s">
        <v>9676</v>
      </c>
      <c r="C1365" s="139" t="s">
        <v>9687</v>
      </c>
      <c r="D1365" s="140" t="s">
        <v>9688</v>
      </c>
      <c r="E1365" s="141" t="s">
        <v>8175</v>
      </c>
      <c r="F1365" s="142" t="s">
        <v>8133</v>
      </c>
      <c r="G1365" s="143">
        <v>1682</v>
      </c>
      <c r="H1365" s="144" t="s">
        <v>730</v>
      </c>
      <c r="I1365" s="145"/>
      <c r="J1365" s="145"/>
      <c r="K1365" s="146">
        <v>1682</v>
      </c>
    </row>
    <row r="1366" spans="1:11" s="147" customFormat="1" ht="11.25" customHeight="1" x14ac:dyDescent="0.2">
      <c r="A1366" s="795" t="s">
        <v>9313</v>
      </c>
      <c r="B1366" s="138" t="s">
        <v>9676</v>
      </c>
      <c r="C1366" s="139" t="s">
        <v>9687</v>
      </c>
      <c r="D1366" s="140" t="s">
        <v>9689</v>
      </c>
      <c r="E1366" s="141" t="s">
        <v>8175</v>
      </c>
      <c r="F1366" s="142" t="s">
        <v>9690</v>
      </c>
      <c r="G1366" s="143">
        <v>2088</v>
      </c>
      <c r="H1366" s="144" t="s">
        <v>730</v>
      </c>
      <c r="I1366" s="145"/>
      <c r="J1366" s="145"/>
      <c r="K1366" s="146">
        <v>2088</v>
      </c>
    </row>
    <row r="1367" spans="1:11" s="147" customFormat="1" ht="11.25" customHeight="1" x14ac:dyDescent="0.2">
      <c r="A1367" s="795" t="s">
        <v>9313</v>
      </c>
      <c r="B1367" s="138" t="s">
        <v>9676</v>
      </c>
      <c r="C1367" s="139" t="s">
        <v>9203</v>
      </c>
      <c r="D1367" s="140" t="s">
        <v>9691</v>
      </c>
      <c r="E1367" s="141" t="s">
        <v>8175</v>
      </c>
      <c r="F1367" s="142" t="s">
        <v>9567</v>
      </c>
      <c r="G1367" s="143">
        <v>4872</v>
      </c>
      <c r="H1367" s="144" t="s">
        <v>730</v>
      </c>
      <c r="I1367" s="145"/>
      <c r="J1367" s="145"/>
      <c r="K1367" s="146">
        <v>4872</v>
      </c>
    </row>
    <row r="1368" spans="1:11" s="147" customFormat="1" ht="11.25" customHeight="1" x14ac:dyDescent="0.2">
      <c r="A1368" s="795" t="s">
        <v>9313</v>
      </c>
      <c r="B1368" s="138" t="s">
        <v>9676</v>
      </c>
      <c r="C1368" s="139" t="s">
        <v>9687</v>
      </c>
      <c r="D1368" s="140" t="s">
        <v>9688</v>
      </c>
      <c r="E1368" s="141" t="s">
        <v>8175</v>
      </c>
      <c r="F1368" s="142" t="s">
        <v>8133</v>
      </c>
      <c r="G1368" s="143">
        <v>6670</v>
      </c>
      <c r="H1368" s="144" t="s">
        <v>730</v>
      </c>
      <c r="I1368" s="145"/>
      <c r="J1368" s="145"/>
      <c r="K1368" s="146">
        <v>6670</v>
      </c>
    </row>
    <row r="1369" spans="1:11" s="147" customFormat="1" ht="11.25" customHeight="1" x14ac:dyDescent="0.2">
      <c r="A1369" s="795" t="s">
        <v>9313</v>
      </c>
      <c r="B1369" s="138" t="s">
        <v>9676</v>
      </c>
      <c r="C1369" s="139" t="s">
        <v>9687</v>
      </c>
      <c r="D1369" s="140" t="s">
        <v>9688</v>
      </c>
      <c r="E1369" s="141" t="s">
        <v>8175</v>
      </c>
      <c r="F1369" s="142" t="s">
        <v>8133</v>
      </c>
      <c r="G1369" s="143">
        <v>6670</v>
      </c>
      <c r="H1369" s="144" t="s">
        <v>730</v>
      </c>
      <c r="I1369" s="145"/>
      <c r="J1369" s="145"/>
      <c r="K1369" s="146">
        <v>6670</v>
      </c>
    </row>
    <row r="1370" spans="1:11" s="147" customFormat="1" ht="11.25" customHeight="1" x14ac:dyDescent="0.2">
      <c r="A1370" s="795" t="s">
        <v>9313</v>
      </c>
      <c r="B1370" s="138" t="s">
        <v>9676</v>
      </c>
      <c r="C1370" s="139" t="s">
        <v>9687</v>
      </c>
      <c r="D1370" s="140" t="s">
        <v>9692</v>
      </c>
      <c r="E1370" s="141" t="s">
        <v>8175</v>
      </c>
      <c r="F1370" s="142" t="s">
        <v>9693</v>
      </c>
      <c r="G1370" s="143">
        <v>8352</v>
      </c>
      <c r="H1370" s="144" t="s">
        <v>730</v>
      </c>
      <c r="I1370" s="145"/>
      <c r="J1370" s="145"/>
      <c r="K1370" s="146">
        <v>8352</v>
      </c>
    </row>
    <row r="1371" spans="1:11" s="147" customFormat="1" ht="11.25" customHeight="1" x14ac:dyDescent="0.2">
      <c r="A1371" s="795" t="s">
        <v>9313</v>
      </c>
      <c r="B1371" s="138" t="s">
        <v>9676</v>
      </c>
      <c r="C1371" s="139" t="s">
        <v>9687</v>
      </c>
      <c r="D1371" s="140" t="s">
        <v>9694</v>
      </c>
      <c r="E1371" s="141" t="s">
        <v>8175</v>
      </c>
      <c r="F1371" s="142" t="s">
        <v>8133</v>
      </c>
      <c r="G1371" s="143">
        <v>19082</v>
      </c>
      <c r="H1371" s="144" t="s">
        <v>730</v>
      </c>
      <c r="I1371" s="145"/>
      <c r="J1371" s="145"/>
      <c r="K1371" s="146">
        <v>19082</v>
      </c>
    </row>
    <row r="1372" spans="1:11" s="147" customFormat="1" ht="11.25" customHeight="1" x14ac:dyDescent="0.2">
      <c r="A1372" s="795" t="s">
        <v>9562</v>
      </c>
      <c r="B1372" s="138" t="s">
        <v>9676</v>
      </c>
      <c r="C1372" s="139" t="s">
        <v>9695</v>
      </c>
      <c r="D1372" s="140" t="s">
        <v>8206</v>
      </c>
      <c r="E1372" s="141" t="s">
        <v>9563</v>
      </c>
      <c r="F1372" s="142" t="s">
        <v>9696</v>
      </c>
      <c r="G1372" s="143">
        <v>19140</v>
      </c>
      <c r="H1372" s="144" t="s">
        <v>730</v>
      </c>
      <c r="I1372" s="145"/>
      <c r="J1372" s="145"/>
      <c r="K1372" s="146">
        <v>19140</v>
      </c>
    </row>
    <row r="1373" spans="1:11" s="147" customFormat="1" ht="11.25" customHeight="1" x14ac:dyDescent="0.2">
      <c r="A1373" s="795" t="s">
        <v>9697</v>
      </c>
      <c r="B1373" s="138" t="s">
        <v>9676</v>
      </c>
      <c r="C1373" s="139" t="s">
        <v>9698</v>
      </c>
      <c r="D1373" s="140" t="s">
        <v>9699</v>
      </c>
      <c r="E1373" s="141" t="s">
        <v>9700</v>
      </c>
      <c r="F1373" s="142" t="s">
        <v>8156</v>
      </c>
      <c r="G1373" s="143">
        <v>290</v>
      </c>
      <c r="H1373" s="144" t="s">
        <v>730</v>
      </c>
      <c r="I1373" s="145"/>
      <c r="J1373" s="145"/>
      <c r="K1373" s="146">
        <v>290</v>
      </c>
    </row>
    <row r="1374" spans="1:11" s="147" customFormat="1" ht="11.25" customHeight="1" x14ac:dyDescent="0.2">
      <c r="A1374" s="795" t="s">
        <v>9697</v>
      </c>
      <c r="B1374" s="138" t="s">
        <v>9676</v>
      </c>
      <c r="C1374" s="139" t="s">
        <v>9698</v>
      </c>
      <c r="D1374" s="140" t="s">
        <v>9701</v>
      </c>
      <c r="E1374" s="141" t="s">
        <v>9700</v>
      </c>
      <c r="F1374" s="142" t="s">
        <v>8156</v>
      </c>
      <c r="G1374" s="143">
        <v>638</v>
      </c>
      <c r="H1374" s="144" t="s">
        <v>730</v>
      </c>
      <c r="I1374" s="145"/>
      <c r="J1374" s="145"/>
      <c r="K1374" s="146">
        <v>638</v>
      </c>
    </row>
    <row r="1375" spans="1:11" s="147" customFormat="1" ht="11.25" customHeight="1" x14ac:dyDescent="0.2">
      <c r="A1375" s="795" t="s">
        <v>9697</v>
      </c>
      <c r="B1375" s="138" t="s">
        <v>9676</v>
      </c>
      <c r="C1375" s="139" t="s">
        <v>9698</v>
      </c>
      <c r="D1375" s="140" t="s">
        <v>9701</v>
      </c>
      <c r="E1375" s="141" t="s">
        <v>9700</v>
      </c>
      <c r="F1375" s="142" t="s">
        <v>8156</v>
      </c>
      <c r="G1375" s="143">
        <v>841</v>
      </c>
      <c r="H1375" s="144" t="s">
        <v>730</v>
      </c>
      <c r="I1375" s="145"/>
      <c r="J1375" s="145"/>
      <c r="K1375" s="146">
        <v>841</v>
      </c>
    </row>
    <row r="1376" spans="1:11" s="147" customFormat="1" ht="11.25" customHeight="1" x14ac:dyDescent="0.2">
      <c r="A1376" s="795" t="s">
        <v>9697</v>
      </c>
      <c r="B1376" s="138" t="s">
        <v>9676</v>
      </c>
      <c r="C1376" s="139" t="s">
        <v>9698</v>
      </c>
      <c r="D1376" s="140" t="s">
        <v>9701</v>
      </c>
      <c r="E1376" s="141" t="s">
        <v>9700</v>
      </c>
      <c r="F1376" s="142" t="s">
        <v>8156</v>
      </c>
      <c r="G1376" s="143">
        <v>1015</v>
      </c>
      <c r="H1376" s="144" t="s">
        <v>730</v>
      </c>
      <c r="I1376" s="145"/>
      <c r="J1376" s="145"/>
      <c r="K1376" s="146">
        <v>1015</v>
      </c>
    </row>
    <row r="1377" spans="1:11" s="147" customFormat="1" ht="11.25" customHeight="1" x14ac:dyDescent="0.2">
      <c r="A1377" s="795" t="s">
        <v>9697</v>
      </c>
      <c r="B1377" s="138" t="s">
        <v>9676</v>
      </c>
      <c r="C1377" s="139" t="s">
        <v>9698</v>
      </c>
      <c r="D1377" s="140" t="s">
        <v>9701</v>
      </c>
      <c r="E1377" s="141" t="s">
        <v>9700</v>
      </c>
      <c r="F1377" s="142" t="s">
        <v>8156</v>
      </c>
      <c r="G1377" s="143">
        <v>1073</v>
      </c>
      <c r="H1377" s="144" t="s">
        <v>730</v>
      </c>
      <c r="I1377" s="145"/>
      <c r="J1377" s="145"/>
      <c r="K1377" s="146">
        <v>1073</v>
      </c>
    </row>
    <row r="1378" spans="1:11" s="147" customFormat="1" ht="11.25" customHeight="1" x14ac:dyDescent="0.2">
      <c r="A1378" s="795" t="s">
        <v>9697</v>
      </c>
      <c r="B1378" s="138" t="s">
        <v>9676</v>
      </c>
      <c r="C1378" s="139" t="s">
        <v>9698</v>
      </c>
      <c r="D1378" s="140" t="s">
        <v>9699</v>
      </c>
      <c r="E1378" s="141" t="s">
        <v>9700</v>
      </c>
      <c r="F1378" s="142" t="s">
        <v>8156</v>
      </c>
      <c r="G1378" s="143">
        <v>1885</v>
      </c>
      <c r="H1378" s="144" t="s">
        <v>730</v>
      </c>
      <c r="I1378" s="145"/>
      <c r="J1378" s="145"/>
      <c r="K1378" s="146">
        <v>1885</v>
      </c>
    </row>
    <row r="1379" spans="1:11" s="147" customFormat="1" ht="11.25" customHeight="1" x14ac:dyDescent="0.2">
      <c r="A1379" s="795" t="s">
        <v>9697</v>
      </c>
      <c r="B1379" s="138" t="s">
        <v>9676</v>
      </c>
      <c r="C1379" s="139" t="s">
        <v>9698</v>
      </c>
      <c r="D1379" s="140" t="s">
        <v>9699</v>
      </c>
      <c r="E1379" s="141" t="s">
        <v>9700</v>
      </c>
      <c r="F1379" s="142" t="s">
        <v>8156</v>
      </c>
      <c r="G1379" s="143">
        <v>2291</v>
      </c>
      <c r="H1379" s="144" t="s">
        <v>730</v>
      </c>
      <c r="I1379" s="145"/>
      <c r="J1379" s="145"/>
      <c r="K1379" s="146">
        <v>2291</v>
      </c>
    </row>
    <row r="1380" spans="1:11" s="147" customFormat="1" ht="11.25" customHeight="1" x14ac:dyDescent="0.2">
      <c r="A1380" s="795" t="s">
        <v>9702</v>
      </c>
      <c r="B1380" s="138" t="s">
        <v>9676</v>
      </c>
      <c r="C1380" s="139" t="s">
        <v>9703</v>
      </c>
      <c r="D1380" s="140" t="s">
        <v>9704</v>
      </c>
      <c r="E1380" s="141" t="s">
        <v>8168</v>
      </c>
      <c r="F1380" s="142" t="s">
        <v>9705</v>
      </c>
      <c r="G1380" s="143">
        <v>12694.34</v>
      </c>
      <c r="H1380" s="144" t="s">
        <v>730</v>
      </c>
      <c r="I1380" s="145"/>
      <c r="J1380" s="145"/>
      <c r="K1380" s="146">
        <v>12694.34</v>
      </c>
    </row>
    <row r="1381" spans="1:11" s="147" customFormat="1" ht="11.25" customHeight="1" x14ac:dyDescent="0.2">
      <c r="A1381" s="795" t="s">
        <v>9706</v>
      </c>
      <c r="B1381" s="138" t="s">
        <v>9676</v>
      </c>
      <c r="C1381" s="139" t="s">
        <v>9707</v>
      </c>
      <c r="D1381" s="140" t="s">
        <v>9708</v>
      </c>
      <c r="E1381" s="141" t="s">
        <v>8169</v>
      </c>
      <c r="F1381" s="142" t="s">
        <v>9709</v>
      </c>
      <c r="G1381" s="143">
        <v>32264.240000000002</v>
      </c>
      <c r="H1381" s="144" t="s">
        <v>730</v>
      </c>
      <c r="I1381" s="145"/>
      <c r="J1381" s="145"/>
      <c r="K1381" s="146">
        <v>32264.240000000002</v>
      </c>
    </row>
    <row r="1382" spans="1:11" s="147" customFormat="1" ht="11.25" customHeight="1" x14ac:dyDescent="0.2">
      <c r="A1382" s="795" t="s">
        <v>9710</v>
      </c>
      <c r="B1382" s="138" t="s">
        <v>9676</v>
      </c>
      <c r="C1382" s="139" t="s">
        <v>8155</v>
      </c>
      <c r="D1382" s="140" t="s">
        <v>9711</v>
      </c>
      <c r="E1382" s="141" t="s">
        <v>8170</v>
      </c>
      <c r="F1382" s="142" t="s">
        <v>9712</v>
      </c>
      <c r="G1382" s="143">
        <v>49300</v>
      </c>
      <c r="H1382" s="144" t="s">
        <v>730</v>
      </c>
      <c r="I1382" s="145"/>
      <c r="J1382" s="145"/>
      <c r="K1382" s="146">
        <v>49300</v>
      </c>
    </row>
    <row r="1383" spans="1:11" s="147" customFormat="1" ht="11.25" customHeight="1" x14ac:dyDescent="0.2">
      <c r="A1383" s="795" t="s">
        <v>9713</v>
      </c>
      <c r="B1383" s="138" t="s">
        <v>9676</v>
      </c>
      <c r="C1383" s="139" t="s">
        <v>8137</v>
      </c>
      <c r="D1383" s="140" t="s">
        <v>9714</v>
      </c>
      <c r="E1383" s="141" t="s">
        <v>9715</v>
      </c>
      <c r="F1383" s="142" t="s">
        <v>9716</v>
      </c>
      <c r="G1383" s="143">
        <v>54716.98</v>
      </c>
      <c r="H1383" s="144" t="s">
        <v>730</v>
      </c>
      <c r="I1383" s="145"/>
      <c r="J1383" s="145"/>
      <c r="K1383" s="146">
        <v>54716.98</v>
      </c>
    </row>
    <row r="1384" spans="1:11" s="147" customFormat="1" ht="11.25" customHeight="1" x14ac:dyDescent="0.2">
      <c r="A1384" s="795" t="s">
        <v>9713</v>
      </c>
      <c r="B1384" s="138" t="s">
        <v>9676</v>
      </c>
      <c r="C1384" s="139" t="s">
        <v>8167</v>
      </c>
      <c r="D1384" s="140" t="s">
        <v>9717</v>
      </c>
      <c r="E1384" s="141" t="s">
        <v>9715</v>
      </c>
      <c r="F1384" s="142" t="s">
        <v>9716</v>
      </c>
      <c r="G1384" s="143">
        <v>54716.98</v>
      </c>
      <c r="H1384" s="144" t="s">
        <v>730</v>
      </c>
      <c r="I1384" s="145"/>
      <c r="J1384" s="145"/>
      <c r="K1384" s="146">
        <v>54716.98</v>
      </c>
    </row>
    <row r="1385" spans="1:11" s="147" customFormat="1" ht="11.25" customHeight="1" x14ac:dyDescent="0.2">
      <c r="A1385" s="795" t="s">
        <v>9710</v>
      </c>
      <c r="B1385" s="138" t="s">
        <v>9676</v>
      </c>
      <c r="C1385" s="139" t="s">
        <v>9718</v>
      </c>
      <c r="D1385" s="140" t="s">
        <v>9719</v>
      </c>
      <c r="E1385" s="141" t="s">
        <v>8170</v>
      </c>
      <c r="F1385" s="142" t="s">
        <v>9720</v>
      </c>
      <c r="G1385" s="143">
        <v>56066.67</v>
      </c>
      <c r="H1385" s="144" t="s">
        <v>730</v>
      </c>
      <c r="I1385" s="145"/>
      <c r="J1385" s="145"/>
      <c r="K1385" s="146">
        <v>56066.67</v>
      </c>
    </row>
    <row r="1386" spans="1:11" s="147" customFormat="1" ht="11.25" customHeight="1" x14ac:dyDescent="0.2">
      <c r="A1386" s="795" t="s">
        <v>9721</v>
      </c>
      <c r="B1386" s="138" t="s">
        <v>9676</v>
      </c>
      <c r="C1386" s="139" t="s">
        <v>9722</v>
      </c>
      <c r="D1386" s="140" t="s">
        <v>9723</v>
      </c>
      <c r="E1386" s="141" t="s">
        <v>9724</v>
      </c>
      <c r="F1386" s="142" t="s">
        <v>9705</v>
      </c>
      <c r="G1386" s="143">
        <v>58000</v>
      </c>
      <c r="H1386" s="144" t="s">
        <v>730</v>
      </c>
      <c r="I1386" s="145"/>
      <c r="J1386" s="145"/>
      <c r="K1386" s="146">
        <v>58000</v>
      </c>
    </row>
    <row r="1387" spans="1:11" s="147" customFormat="1" ht="11.25" customHeight="1" x14ac:dyDescent="0.2">
      <c r="A1387" s="795" t="s">
        <v>9073</v>
      </c>
      <c r="B1387" s="138" t="s">
        <v>9676</v>
      </c>
      <c r="C1387" s="139" t="s">
        <v>9725</v>
      </c>
      <c r="D1387" s="140" t="s">
        <v>9726</v>
      </c>
      <c r="E1387" s="141" t="s">
        <v>8093</v>
      </c>
      <c r="F1387" s="142" t="s">
        <v>8171</v>
      </c>
      <c r="G1387" s="143">
        <v>324.8</v>
      </c>
      <c r="H1387" s="144" t="s">
        <v>730</v>
      </c>
      <c r="I1387" s="145"/>
      <c r="J1387" s="145"/>
      <c r="K1387" s="146">
        <v>324.8</v>
      </c>
    </row>
    <row r="1388" spans="1:11" s="147" customFormat="1" ht="11.25" customHeight="1" x14ac:dyDescent="0.2">
      <c r="A1388" s="795" t="s">
        <v>9073</v>
      </c>
      <c r="B1388" s="138" t="s">
        <v>9676</v>
      </c>
      <c r="C1388" s="139" t="s">
        <v>9725</v>
      </c>
      <c r="D1388" s="140" t="s">
        <v>9727</v>
      </c>
      <c r="E1388" s="141" t="s">
        <v>8093</v>
      </c>
      <c r="F1388" s="142" t="s">
        <v>8171</v>
      </c>
      <c r="G1388" s="143">
        <v>371.2</v>
      </c>
      <c r="H1388" s="144" t="s">
        <v>730</v>
      </c>
      <c r="I1388" s="145"/>
      <c r="J1388" s="145"/>
      <c r="K1388" s="146">
        <v>371.2</v>
      </c>
    </row>
    <row r="1389" spans="1:11" s="147" customFormat="1" ht="11.25" customHeight="1" x14ac:dyDescent="0.2">
      <c r="A1389" s="795" t="s">
        <v>9073</v>
      </c>
      <c r="B1389" s="138" t="s">
        <v>9676</v>
      </c>
      <c r="C1389" s="139" t="s">
        <v>9725</v>
      </c>
      <c r="D1389" s="140" t="s">
        <v>9728</v>
      </c>
      <c r="E1389" s="141" t="s">
        <v>8093</v>
      </c>
      <c r="F1389" s="142" t="s">
        <v>8171</v>
      </c>
      <c r="G1389" s="143">
        <v>371.2</v>
      </c>
      <c r="H1389" s="144" t="s">
        <v>730</v>
      </c>
      <c r="I1389" s="145"/>
      <c r="J1389" s="145"/>
      <c r="K1389" s="146">
        <v>371.2</v>
      </c>
    </row>
    <row r="1390" spans="1:11" s="147" customFormat="1" ht="11.25" customHeight="1" x14ac:dyDescent="0.2">
      <c r="A1390" s="795" t="s">
        <v>9073</v>
      </c>
      <c r="B1390" s="138" t="s">
        <v>9676</v>
      </c>
      <c r="C1390" s="139" t="s">
        <v>9725</v>
      </c>
      <c r="D1390" s="140" t="s">
        <v>9726</v>
      </c>
      <c r="E1390" s="141" t="s">
        <v>8093</v>
      </c>
      <c r="F1390" s="142" t="s">
        <v>8171</v>
      </c>
      <c r="G1390" s="143">
        <v>371.2</v>
      </c>
      <c r="H1390" s="144" t="s">
        <v>730</v>
      </c>
      <c r="I1390" s="145"/>
      <c r="J1390" s="145"/>
      <c r="K1390" s="146">
        <v>371.2</v>
      </c>
    </row>
    <row r="1391" spans="1:11" s="147" customFormat="1" ht="11.25" customHeight="1" x14ac:dyDescent="0.2">
      <c r="A1391" s="795" t="s">
        <v>9073</v>
      </c>
      <c r="B1391" s="138" t="s">
        <v>9676</v>
      </c>
      <c r="C1391" s="139" t="s">
        <v>9725</v>
      </c>
      <c r="D1391" s="140" t="s">
        <v>9729</v>
      </c>
      <c r="E1391" s="141" t="s">
        <v>8093</v>
      </c>
      <c r="F1391" s="142" t="s">
        <v>8171</v>
      </c>
      <c r="G1391" s="143">
        <v>556.79999999999995</v>
      </c>
      <c r="H1391" s="144" t="s">
        <v>730</v>
      </c>
      <c r="I1391" s="145"/>
      <c r="J1391" s="145"/>
      <c r="K1391" s="146">
        <v>556.79999999999995</v>
      </c>
    </row>
    <row r="1392" spans="1:11" s="147" customFormat="1" ht="11.25" customHeight="1" x14ac:dyDescent="0.2">
      <c r="A1392" s="795" t="s">
        <v>9073</v>
      </c>
      <c r="B1392" s="138" t="s">
        <v>9676</v>
      </c>
      <c r="C1392" s="139" t="s">
        <v>9725</v>
      </c>
      <c r="D1392" s="140" t="s">
        <v>9726</v>
      </c>
      <c r="E1392" s="141" t="s">
        <v>8093</v>
      </c>
      <c r="F1392" s="142" t="s">
        <v>8171</v>
      </c>
      <c r="G1392" s="143">
        <v>556.79999999999995</v>
      </c>
      <c r="H1392" s="144" t="s">
        <v>730</v>
      </c>
      <c r="I1392" s="145"/>
      <c r="J1392" s="145"/>
      <c r="K1392" s="146">
        <v>556.79999999999995</v>
      </c>
    </row>
    <row r="1393" spans="1:11" s="147" customFormat="1" ht="11.25" customHeight="1" x14ac:dyDescent="0.2">
      <c r="A1393" s="795" t="s">
        <v>9073</v>
      </c>
      <c r="B1393" s="138" t="s">
        <v>9676</v>
      </c>
      <c r="C1393" s="139" t="s">
        <v>9725</v>
      </c>
      <c r="D1393" s="140" t="s">
        <v>9729</v>
      </c>
      <c r="E1393" s="141" t="s">
        <v>8093</v>
      </c>
      <c r="F1393" s="142" t="s">
        <v>8171</v>
      </c>
      <c r="G1393" s="143">
        <v>696</v>
      </c>
      <c r="H1393" s="144" t="s">
        <v>730</v>
      </c>
      <c r="I1393" s="145"/>
      <c r="J1393" s="145"/>
      <c r="K1393" s="146">
        <v>696</v>
      </c>
    </row>
    <row r="1394" spans="1:11" s="147" customFormat="1" ht="11.25" customHeight="1" x14ac:dyDescent="0.2">
      <c r="A1394" s="795" t="s">
        <v>9376</v>
      </c>
      <c r="B1394" s="138" t="s">
        <v>9676</v>
      </c>
      <c r="C1394" s="139" t="s">
        <v>9730</v>
      </c>
      <c r="D1394" s="140" t="s">
        <v>9731</v>
      </c>
      <c r="E1394" s="141" t="s">
        <v>9379</v>
      </c>
      <c r="F1394" s="142" t="s">
        <v>8171</v>
      </c>
      <c r="G1394" s="143">
        <v>1508</v>
      </c>
      <c r="H1394" s="144" t="s">
        <v>730</v>
      </c>
      <c r="I1394" s="145"/>
      <c r="J1394" s="145"/>
      <c r="K1394" s="146">
        <v>1508</v>
      </c>
    </row>
    <row r="1395" spans="1:11" s="147" customFormat="1" ht="11.25" customHeight="1" x14ac:dyDescent="0.2">
      <c r="A1395" s="795" t="s">
        <v>9376</v>
      </c>
      <c r="B1395" s="138" t="s">
        <v>9676</v>
      </c>
      <c r="C1395" s="139" t="s">
        <v>9732</v>
      </c>
      <c r="D1395" s="140" t="s">
        <v>9733</v>
      </c>
      <c r="E1395" s="141" t="s">
        <v>9379</v>
      </c>
      <c r="F1395" s="142" t="s">
        <v>8171</v>
      </c>
      <c r="G1395" s="143">
        <v>1856</v>
      </c>
      <c r="H1395" s="144" t="s">
        <v>730</v>
      </c>
      <c r="I1395" s="145"/>
      <c r="J1395" s="145"/>
      <c r="K1395" s="146">
        <v>1856</v>
      </c>
    </row>
    <row r="1396" spans="1:11" s="147" customFormat="1" ht="11.25" customHeight="1" x14ac:dyDescent="0.2">
      <c r="A1396" s="795" t="s">
        <v>9376</v>
      </c>
      <c r="B1396" s="138" t="s">
        <v>9676</v>
      </c>
      <c r="C1396" s="139" t="s">
        <v>9730</v>
      </c>
      <c r="D1396" s="140" t="s">
        <v>9734</v>
      </c>
      <c r="E1396" s="141" t="s">
        <v>9379</v>
      </c>
      <c r="F1396" s="142" t="s">
        <v>8171</v>
      </c>
      <c r="G1396" s="143">
        <v>2900</v>
      </c>
      <c r="H1396" s="144" t="s">
        <v>730</v>
      </c>
      <c r="I1396" s="145"/>
      <c r="J1396" s="145"/>
      <c r="K1396" s="146">
        <v>2900</v>
      </c>
    </row>
    <row r="1397" spans="1:11" s="147" customFormat="1" ht="11.25" customHeight="1" x14ac:dyDescent="0.2">
      <c r="A1397" s="795" t="s">
        <v>9376</v>
      </c>
      <c r="B1397" s="138" t="s">
        <v>9676</v>
      </c>
      <c r="C1397" s="139" t="s">
        <v>9732</v>
      </c>
      <c r="D1397" s="140" t="s">
        <v>9735</v>
      </c>
      <c r="E1397" s="141" t="s">
        <v>9379</v>
      </c>
      <c r="F1397" s="142" t="s">
        <v>8171</v>
      </c>
      <c r="G1397" s="143">
        <v>5220</v>
      </c>
      <c r="H1397" s="144" t="s">
        <v>730</v>
      </c>
      <c r="I1397" s="145"/>
      <c r="J1397" s="145"/>
      <c r="K1397" s="146">
        <v>5220</v>
      </c>
    </row>
    <row r="1398" spans="1:11" s="147" customFormat="1" ht="11.25" customHeight="1" x14ac:dyDescent="0.2">
      <c r="A1398" s="795" t="s">
        <v>9376</v>
      </c>
      <c r="B1398" s="138" t="s">
        <v>9676</v>
      </c>
      <c r="C1398" s="139" t="s">
        <v>9736</v>
      </c>
      <c r="D1398" s="140" t="s">
        <v>9737</v>
      </c>
      <c r="E1398" s="141" t="s">
        <v>9379</v>
      </c>
      <c r="F1398" s="142" t="s">
        <v>8171</v>
      </c>
      <c r="G1398" s="143">
        <v>5684</v>
      </c>
      <c r="H1398" s="144" t="s">
        <v>730</v>
      </c>
      <c r="I1398" s="145"/>
      <c r="J1398" s="145"/>
      <c r="K1398" s="146">
        <v>5684</v>
      </c>
    </row>
    <row r="1399" spans="1:11" s="147" customFormat="1" ht="11.25" customHeight="1" x14ac:dyDescent="0.2">
      <c r="A1399" s="795" t="s">
        <v>9376</v>
      </c>
      <c r="B1399" s="138" t="s">
        <v>9676</v>
      </c>
      <c r="C1399" s="139" t="s">
        <v>9730</v>
      </c>
      <c r="D1399" s="140" t="s">
        <v>9738</v>
      </c>
      <c r="E1399" s="141" t="s">
        <v>9379</v>
      </c>
      <c r="F1399" s="142" t="s">
        <v>8171</v>
      </c>
      <c r="G1399" s="143">
        <v>5800</v>
      </c>
      <c r="H1399" s="144" t="s">
        <v>730</v>
      </c>
      <c r="I1399" s="145"/>
      <c r="J1399" s="145"/>
      <c r="K1399" s="146">
        <v>5800</v>
      </c>
    </row>
    <row r="1400" spans="1:11" s="147" customFormat="1" ht="11.25" customHeight="1" x14ac:dyDescent="0.2">
      <c r="A1400" s="795" t="s">
        <v>9376</v>
      </c>
      <c r="B1400" s="138" t="s">
        <v>9676</v>
      </c>
      <c r="C1400" s="139" t="s">
        <v>9730</v>
      </c>
      <c r="D1400" s="140" t="s">
        <v>9739</v>
      </c>
      <c r="E1400" s="141" t="s">
        <v>9379</v>
      </c>
      <c r="F1400" s="142" t="s">
        <v>8171</v>
      </c>
      <c r="G1400" s="143">
        <v>5800</v>
      </c>
      <c r="H1400" s="144" t="s">
        <v>730</v>
      </c>
      <c r="I1400" s="145"/>
      <c r="J1400" s="145"/>
      <c r="K1400" s="146">
        <v>5800</v>
      </c>
    </row>
    <row r="1401" spans="1:11" s="147" customFormat="1" ht="11.25" customHeight="1" x14ac:dyDescent="0.2">
      <c r="A1401" s="795" t="s">
        <v>9193</v>
      </c>
      <c r="B1401" s="138" t="s">
        <v>9676</v>
      </c>
      <c r="C1401" s="139" t="s">
        <v>9740</v>
      </c>
      <c r="D1401" s="140" t="s">
        <v>9741</v>
      </c>
      <c r="E1401" s="141" t="s">
        <v>8175</v>
      </c>
      <c r="F1401" s="142" t="s">
        <v>8171</v>
      </c>
      <c r="G1401" s="143">
        <v>6612</v>
      </c>
      <c r="H1401" s="144" t="s">
        <v>730</v>
      </c>
      <c r="I1401" s="145"/>
      <c r="J1401" s="145"/>
      <c r="K1401" s="146">
        <v>6612</v>
      </c>
    </row>
    <row r="1402" spans="1:11" s="147" customFormat="1" ht="11.25" customHeight="1" x14ac:dyDescent="0.2">
      <c r="A1402" s="795" t="s">
        <v>9376</v>
      </c>
      <c r="B1402" s="138" t="s">
        <v>9676</v>
      </c>
      <c r="C1402" s="139" t="s">
        <v>9732</v>
      </c>
      <c r="D1402" s="140" t="s">
        <v>9742</v>
      </c>
      <c r="E1402" s="141" t="s">
        <v>9379</v>
      </c>
      <c r="F1402" s="142" t="s">
        <v>8171</v>
      </c>
      <c r="G1402" s="143">
        <v>6960</v>
      </c>
      <c r="H1402" s="144" t="s">
        <v>730</v>
      </c>
      <c r="I1402" s="145"/>
      <c r="J1402" s="145"/>
      <c r="K1402" s="146">
        <v>6960</v>
      </c>
    </row>
    <row r="1403" spans="1:11" s="147" customFormat="1" ht="11.25" customHeight="1" x14ac:dyDescent="0.2">
      <c r="A1403" s="795" t="s">
        <v>9376</v>
      </c>
      <c r="B1403" s="138" t="s">
        <v>9676</v>
      </c>
      <c r="C1403" s="139" t="s">
        <v>9732</v>
      </c>
      <c r="D1403" s="140" t="s">
        <v>9733</v>
      </c>
      <c r="E1403" s="141" t="s">
        <v>9379</v>
      </c>
      <c r="F1403" s="142" t="s">
        <v>8171</v>
      </c>
      <c r="G1403" s="143">
        <v>8120</v>
      </c>
      <c r="H1403" s="144" t="s">
        <v>730</v>
      </c>
      <c r="I1403" s="145"/>
      <c r="J1403" s="145"/>
      <c r="K1403" s="146">
        <v>8120</v>
      </c>
    </row>
    <row r="1404" spans="1:11" s="147" customFormat="1" ht="11.25" customHeight="1" x14ac:dyDescent="0.2">
      <c r="A1404" s="795" t="s">
        <v>9376</v>
      </c>
      <c r="B1404" s="138" t="s">
        <v>9676</v>
      </c>
      <c r="C1404" s="139" t="s">
        <v>9743</v>
      </c>
      <c r="D1404" s="140" t="s">
        <v>9744</v>
      </c>
      <c r="E1404" s="141" t="s">
        <v>9379</v>
      </c>
      <c r="F1404" s="142" t="s">
        <v>8171</v>
      </c>
      <c r="G1404" s="143">
        <v>26912</v>
      </c>
      <c r="H1404" s="144" t="s">
        <v>730</v>
      </c>
      <c r="I1404" s="145"/>
      <c r="J1404" s="145"/>
      <c r="K1404" s="146">
        <v>26912</v>
      </c>
    </row>
    <row r="1405" spans="1:11" s="147" customFormat="1" ht="11.25" customHeight="1" x14ac:dyDescent="0.2">
      <c r="A1405" s="795" t="s">
        <v>9376</v>
      </c>
      <c r="B1405" s="138" t="s">
        <v>9676</v>
      </c>
      <c r="C1405" s="139" t="s">
        <v>9732</v>
      </c>
      <c r="D1405" s="140" t="s">
        <v>9733</v>
      </c>
      <c r="E1405" s="141" t="s">
        <v>9379</v>
      </c>
      <c r="F1405" s="142" t="s">
        <v>8171</v>
      </c>
      <c r="G1405" s="143">
        <v>30160</v>
      </c>
      <c r="H1405" s="144" t="s">
        <v>730</v>
      </c>
      <c r="I1405" s="145"/>
      <c r="J1405" s="145"/>
      <c r="K1405" s="146">
        <v>30160</v>
      </c>
    </row>
    <row r="1406" spans="1:11" s="147" customFormat="1" ht="11.25" customHeight="1" x14ac:dyDescent="0.2">
      <c r="A1406" s="795" t="s">
        <v>9376</v>
      </c>
      <c r="B1406" s="138" t="s">
        <v>9676</v>
      </c>
      <c r="C1406" s="139" t="s">
        <v>9732</v>
      </c>
      <c r="D1406" s="140" t="s">
        <v>9733</v>
      </c>
      <c r="E1406" s="141" t="s">
        <v>9379</v>
      </c>
      <c r="F1406" s="142" t="s">
        <v>8171</v>
      </c>
      <c r="G1406" s="143">
        <v>37120</v>
      </c>
      <c r="H1406" s="144" t="s">
        <v>730</v>
      </c>
      <c r="I1406" s="145"/>
      <c r="J1406" s="145"/>
      <c r="K1406" s="146">
        <v>37120</v>
      </c>
    </row>
    <row r="1407" spans="1:11" s="147" customFormat="1" ht="11.25" customHeight="1" x14ac:dyDescent="0.2">
      <c r="A1407" s="795" t="s">
        <v>9376</v>
      </c>
      <c r="B1407" s="138" t="s">
        <v>9676</v>
      </c>
      <c r="C1407" s="139" t="s">
        <v>9743</v>
      </c>
      <c r="D1407" s="140" t="s">
        <v>9744</v>
      </c>
      <c r="E1407" s="141" t="s">
        <v>9379</v>
      </c>
      <c r="F1407" s="142" t="s">
        <v>8171</v>
      </c>
      <c r="G1407" s="143">
        <v>83520</v>
      </c>
      <c r="H1407" s="144" t="s">
        <v>730</v>
      </c>
      <c r="I1407" s="145"/>
      <c r="J1407" s="145"/>
      <c r="K1407" s="146">
        <v>83520</v>
      </c>
    </row>
    <row r="1408" spans="1:11" s="147" customFormat="1" ht="11.25" customHeight="1" x14ac:dyDescent="0.2">
      <c r="A1408" s="795" t="s">
        <v>9745</v>
      </c>
      <c r="B1408" s="138" t="s">
        <v>9676</v>
      </c>
      <c r="C1408" s="139" t="s">
        <v>9746</v>
      </c>
      <c r="D1408" s="140" t="s">
        <v>9747</v>
      </c>
      <c r="E1408" s="141" t="s">
        <v>9748</v>
      </c>
      <c r="F1408" s="142" t="s">
        <v>9749</v>
      </c>
      <c r="G1408" s="143">
        <v>229680</v>
      </c>
      <c r="H1408" s="144" t="s">
        <v>730</v>
      </c>
      <c r="I1408" s="145"/>
      <c r="J1408" s="145"/>
      <c r="K1408" s="146">
        <v>229680</v>
      </c>
    </row>
    <row r="1409" spans="1:11" s="147" customFormat="1" ht="11.25" customHeight="1" x14ac:dyDescent="0.2">
      <c r="A1409" s="795" t="s">
        <v>9750</v>
      </c>
      <c r="B1409" s="138" t="s">
        <v>9676</v>
      </c>
      <c r="C1409" s="139" t="s">
        <v>9751</v>
      </c>
      <c r="D1409" s="140" t="s">
        <v>9752</v>
      </c>
      <c r="E1409" s="141" t="s">
        <v>8202</v>
      </c>
      <c r="F1409" s="142" t="s">
        <v>9753</v>
      </c>
      <c r="G1409" s="143">
        <v>290000</v>
      </c>
      <c r="H1409" s="144" t="s">
        <v>730</v>
      </c>
      <c r="I1409" s="145"/>
      <c r="J1409" s="145"/>
      <c r="K1409" s="146">
        <v>290000</v>
      </c>
    </row>
    <row r="1410" spans="1:11" s="147" customFormat="1" ht="11.25" customHeight="1" x14ac:dyDescent="0.2">
      <c r="A1410" s="795" t="s">
        <v>9084</v>
      </c>
      <c r="B1410" s="138" t="s">
        <v>9676</v>
      </c>
      <c r="C1410" s="139" t="s">
        <v>9137</v>
      </c>
      <c r="D1410" s="140" t="s">
        <v>9754</v>
      </c>
      <c r="E1410" s="141" t="s">
        <v>9087</v>
      </c>
      <c r="F1410" s="142" t="s">
        <v>9058</v>
      </c>
      <c r="G1410" s="143">
        <v>105.69</v>
      </c>
      <c r="H1410" s="144" t="s">
        <v>730</v>
      </c>
      <c r="I1410" s="145"/>
      <c r="J1410" s="145"/>
      <c r="K1410" s="146">
        <v>105.69</v>
      </c>
    </row>
    <row r="1411" spans="1:11" s="147" customFormat="1" ht="11.25" customHeight="1" x14ac:dyDescent="0.2">
      <c r="A1411" s="795" t="s">
        <v>9084</v>
      </c>
      <c r="B1411" s="138" t="s">
        <v>9676</v>
      </c>
      <c r="C1411" s="139" t="s">
        <v>9137</v>
      </c>
      <c r="D1411" s="140" t="s">
        <v>9754</v>
      </c>
      <c r="E1411" s="141" t="s">
        <v>9087</v>
      </c>
      <c r="F1411" s="142" t="s">
        <v>9058</v>
      </c>
      <c r="G1411" s="143">
        <v>134.56</v>
      </c>
      <c r="H1411" s="144" t="s">
        <v>730</v>
      </c>
      <c r="I1411" s="145"/>
      <c r="J1411" s="145"/>
      <c r="K1411" s="146">
        <v>134.56</v>
      </c>
    </row>
    <row r="1412" spans="1:11" s="147" customFormat="1" ht="11.25" customHeight="1" x14ac:dyDescent="0.2">
      <c r="A1412" s="795" t="s">
        <v>9084</v>
      </c>
      <c r="B1412" s="138" t="s">
        <v>9676</v>
      </c>
      <c r="C1412" s="139" t="s">
        <v>9755</v>
      </c>
      <c r="D1412" s="140" t="s">
        <v>9756</v>
      </c>
      <c r="E1412" s="141" t="s">
        <v>9087</v>
      </c>
      <c r="F1412" s="142" t="s">
        <v>9757</v>
      </c>
      <c r="G1412" s="143">
        <v>290</v>
      </c>
      <c r="H1412" s="144" t="s">
        <v>730</v>
      </c>
      <c r="I1412" s="145"/>
      <c r="J1412" s="145"/>
      <c r="K1412" s="146">
        <v>290</v>
      </c>
    </row>
    <row r="1413" spans="1:11" s="147" customFormat="1" ht="11.25" customHeight="1" x14ac:dyDescent="0.2">
      <c r="A1413" s="795" t="s">
        <v>9084</v>
      </c>
      <c r="B1413" s="138" t="s">
        <v>9676</v>
      </c>
      <c r="C1413" s="139" t="s">
        <v>9137</v>
      </c>
      <c r="D1413" s="140" t="s">
        <v>9754</v>
      </c>
      <c r="E1413" s="141" t="s">
        <v>9087</v>
      </c>
      <c r="F1413" s="142" t="s">
        <v>9058</v>
      </c>
      <c r="G1413" s="143">
        <v>311.81</v>
      </c>
      <c r="H1413" s="144" t="s">
        <v>730</v>
      </c>
      <c r="I1413" s="145"/>
      <c r="J1413" s="145"/>
      <c r="K1413" s="146">
        <v>311.81</v>
      </c>
    </row>
    <row r="1414" spans="1:11" s="147" customFormat="1" ht="11.25" customHeight="1" x14ac:dyDescent="0.2">
      <c r="A1414" s="795" t="s">
        <v>9084</v>
      </c>
      <c r="B1414" s="138" t="s">
        <v>9676</v>
      </c>
      <c r="C1414" s="139" t="s">
        <v>9137</v>
      </c>
      <c r="D1414" s="140" t="s">
        <v>9754</v>
      </c>
      <c r="E1414" s="141" t="s">
        <v>9087</v>
      </c>
      <c r="F1414" s="142" t="s">
        <v>9058</v>
      </c>
      <c r="G1414" s="143">
        <v>341.41</v>
      </c>
      <c r="H1414" s="144" t="s">
        <v>730</v>
      </c>
      <c r="I1414" s="145"/>
      <c r="J1414" s="145"/>
      <c r="K1414" s="146">
        <v>341.41</v>
      </c>
    </row>
    <row r="1415" spans="1:11" s="147" customFormat="1" ht="11.25" customHeight="1" x14ac:dyDescent="0.2">
      <c r="A1415" s="795" t="s">
        <v>9084</v>
      </c>
      <c r="B1415" s="138" t="s">
        <v>9676</v>
      </c>
      <c r="C1415" s="139" t="s">
        <v>9755</v>
      </c>
      <c r="D1415" s="140" t="s">
        <v>9756</v>
      </c>
      <c r="E1415" s="141" t="s">
        <v>9087</v>
      </c>
      <c r="F1415" s="142" t="s">
        <v>9757</v>
      </c>
      <c r="G1415" s="143">
        <v>367.51</v>
      </c>
      <c r="H1415" s="144" t="s">
        <v>730</v>
      </c>
      <c r="I1415" s="145"/>
      <c r="J1415" s="145"/>
      <c r="K1415" s="146">
        <v>367.51</v>
      </c>
    </row>
    <row r="1416" spans="1:11" s="147" customFormat="1" ht="11.25" customHeight="1" x14ac:dyDescent="0.2">
      <c r="A1416" s="795" t="s">
        <v>9084</v>
      </c>
      <c r="B1416" s="138" t="s">
        <v>9676</v>
      </c>
      <c r="C1416" s="139" t="s">
        <v>9137</v>
      </c>
      <c r="D1416" s="140" t="s">
        <v>9754</v>
      </c>
      <c r="E1416" s="141" t="s">
        <v>9087</v>
      </c>
      <c r="F1416" s="142" t="s">
        <v>9058</v>
      </c>
      <c r="G1416" s="143">
        <v>394.63</v>
      </c>
      <c r="H1416" s="144" t="s">
        <v>730</v>
      </c>
      <c r="I1416" s="145"/>
      <c r="J1416" s="145"/>
      <c r="K1416" s="146">
        <v>394.63</v>
      </c>
    </row>
    <row r="1417" spans="1:11" s="147" customFormat="1" ht="11.25" customHeight="1" x14ac:dyDescent="0.2">
      <c r="A1417" s="795" t="s">
        <v>9084</v>
      </c>
      <c r="B1417" s="138" t="s">
        <v>9676</v>
      </c>
      <c r="C1417" s="139" t="s">
        <v>9755</v>
      </c>
      <c r="D1417" s="140" t="s">
        <v>9758</v>
      </c>
      <c r="E1417" s="141" t="s">
        <v>9087</v>
      </c>
      <c r="F1417" s="142" t="s">
        <v>9436</v>
      </c>
      <c r="G1417" s="143">
        <v>612.94000000000005</v>
      </c>
      <c r="H1417" s="144" t="s">
        <v>730</v>
      </c>
      <c r="I1417" s="145"/>
      <c r="J1417" s="145"/>
      <c r="K1417" s="146">
        <v>612.94000000000005</v>
      </c>
    </row>
    <row r="1418" spans="1:11" s="147" customFormat="1" ht="11.25" customHeight="1" x14ac:dyDescent="0.2">
      <c r="A1418" s="795" t="s">
        <v>9084</v>
      </c>
      <c r="B1418" s="138" t="s">
        <v>9676</v>
      </c>
      <c r="C1418" s="139" t="s">
        <v>9137</v>
      </c>
      <c r="D1418" s="140" t="s">
        <v>9754</v>
      </c>
      <c r="E1418" s="141" t="s">
        <v>9087</v>
      </c>
      <c r="F1418" s="142" t="s">
        <v>9058</v>
      </c>
      <c r="G1418" s="143">
        <v>638</v>
      </c>
      <c r="H1418" s="144" t="s">
        <v>730</v>
      </c>
      <c r="I1418" s="145"/>
      <c r="J1418" s="145"/>
      <c r="K1418" s="146">
        <v>638</v>
      </c>
    </row>
    <row r="1419" spans="1:11" s="147" customFormat="1" ht="11.25" customHeight="1" x14ac:dyDescent="0.2">
      <c r="A1419" s="795" t="s">
        <v>9084</v>
      </c>
      <c r="B1419" s="138" t="s">
        <v>9676</v>
      </c>
      <c r="C1419" s="139" t="s">
        <v>9759</v>
      </c>
      <c r="D1419" s="140" t="s">
        <v>9760</v>
      </c>
      <c r="E1419" s="141" t="s">
        <v>9087</v>
      </c>
      <c r="F1419" s="142" t="s">
        <v>9200</v>
      </c>
      <c r="G1419" s="143">
        <v>718.04</v>
      </c>
      <c r="H1419" s="144" t="s">
        <v>730</v>
      </c>
      <c r="I1419" s="145"/>
      <c r="J1419" s="145"/>
      <c r="K1419" s="146">
        <v>718.04</v>
      </c>
    </row>
    <row r="1420" spans="1:11" s="147" customFormat="1" ht="11.25" customHeight="1" x14ac:dyDescent="0.2">
      <c r="A1420" s="795" t="s">
        <v>9084</v>
      </c>
      <c r="B1420" s="138" t="s">
        <v>9676</v>
      </c>
      <c r="C1420" s="139" t="s">
        <v>9137</v>
      </c>
      <c r="D1420" s="140" t="s">
        <v>9754</v>
      </c>
      <c r="E1420" s="141" t="s">
        <v>9087</v>
      </c>
      <c r="F1420" s="142" t="s">
        <v>9058</v>
      </c>
      <c r="G1420" s="143">
        <v>794.63</v>
      </c>
      <c r="H1420" s="144" t="s">
        <v>730</v>
      </c>
      <c r="I1420" s="145"/>
      <c r="J1420" s="145"/>
      <c r="K1420" s="146">
        <v>794.63</v>
      </c>
    </row>
    <row r="1421" spans="1:11" s="147" customFormat="1" ht="11.25" customHeight="1" x14ac:dyDescent="0.2">
      <c r="A1421" s="795" t="s">
        <v>9084</v>
      </c>
      <c r="B1421" s="138" t="s">
        <v>9676</v>
      </c>
      <c r="C1421" s="139" t="s">
        <v>9755</v>
      </c>
      <c r="D1421" s="140" t="s">
        <v>9758</v>
      </c>
      <c r="E1421" s="141" t="s">
        <v>9087</v>
      </c>
      <c r="F1421" s="142" t="s">
        <v>9436</v>
      </c>
      <c r="G1421" s="143">
        <v>806.57</v>
      </c>
      <c r="H1421" s="144" t="s">
        <v>730</v>
      </c>
      <c r="I1421" s="145"/>
      <c r="J1421" s="145"/>
      <c r="K1421" s="146">
        <v>806.57</v>
      </c>
    </row>
    <row r="1422" spans="1:11" s="147" customFormat="1" ht="11.25" customHeight="1" x14ac:dyDescent="0.2">
      <c r="A1422" s="795" t="s">
        <v>9084</v>
      </c>
      <c r="B1422" s="138" t="s">
        <v>9676</v>
      </c>
      <c r="C1422" s="139" t="s">
        <v>9759</v>
      </c>
      <c r="D1422" s="140" t="s">
        <v>9761</v>
      </c>
      <c r="E1422" s="141" t="s">
        <v>9087</v>
      </c>
      <c r="F1422" s="142" t="s">
        <v>9139</v>
      </c>
      <c r="G1422" s="143">
        <v>870</v>
      </c>
      <c r="H1422" s="144" t="s">
        <v>730</v>
      </c>
      <c r="I1422" s="145"/>
      <c r="J1422" s="145"/>
      <c r="K1422" s="146">
        <v>870</v>
      </c>
    </row>
    <row r="1423" spans="1:11" s="147" customFormat="1" ht="11.25" customHeight="1" x14ac:dyDescent="0.2">
      <c r="A1423" s="795" t="s">
        <v>9084</v>
      </c>
      <c r="B1423" s="138" t="s">
        <v>9676</v>
      </c>
      <c r="C1423" s="139" t="s">
        <v>9755</v>
      </c>
      <c r="D1423" s="140" t="s">
        <v>9758</v>
      </c>
      <c r="E1423" s="141" t="s">
        <v>9087</v>
      </c>
      <c r="F1423" s="142" t="s">
        <v>9436</v>
      </c>
      <c r="G1423" s="143">
        <v>993.42</v>
      </c>
      <c r="H1423" s="144" t="s">
        <v>730</v>
      </c>
      <c r="I1423" s="145"/>
      <c r="J1423" s="145"/>
      <c r="K1423" s="146">
        <v>993.42</v>
      </c>
    </row>
    <row r="1424" spans="1:11" s="147" customFormat="1" ht="11.25" customHeight="1" x14ac:dyDescent="0.2">
      <c r="A1424" s="795" t="s">
        <v>9084</v>
      </c>
      <c r="B1424" s="138" t="s">
        <v>9676</v>
      </c>
      <c r="C1424" s="139" t="s">
        <v>9759</v>
      </c>
      <c r="D1424" s="140" t="s">
        <v>9760</v>
      </c>
      <c r="E1424" s="141" t="s">
        <v>9087</v>
      </c>
      <c r="F1424" s="142" t="s">
        <v>9200</v>
      </c>
      <c r="G1424" s="143">
        <v>1073</v>
      </c>
      <c r="H1424" s="144" t="s">
        <v>730</v>
      </c>
      <c r="I1424" s="145"/>
      <c r="J1424" s="145"/>
      <c r="K1424" s="146">
        <v>1073</v>
      </c>
    </row>
    <row r="1425" spans="1:11" s="147" customFormat="1" ht="11.25" customHeight="1" x14ac:dyDescent="0.2">
      <c r="A1425" s="795" t="s">
        <v>9084</v>
      </c>
      <c r="B1425" s="138" t="s">
        <v>9676</v>
      </c>
      <c r="C1425" s="139" t="s">
        <v>9759</v>
      </c>
      <c r="D1425" s="140" t="s">
        <v>9760</v>
      </c>
      <c r="E1425" s="141" t="s">
        <v>9087</v>
      </c>
      <c r="F1425" s="142" t="s">
        <v>9200</v>
      </c>
      <c r="G1425" s="143">
        <v>1104.32</v>
      </c>
      <c r="H1425" s="144" t="s">
        <v>730</v>
      </c>
      <c r="I1425" s="145"/>
      <c r="J1425" s="145"/>
      <c r="K1425" s="146">
        <v>1104.32</v>
      </c>
    </row>
    <row r="1426" spans="1:11" s="147" customFormat="1" ht="11.25" customHeight="1" x14ac:dyDescent="0.2">
      <c r="A1426" s="795" t="s">
        <v>9084</v>
      </c>
      <c r="B1426" s="138" t="s">
        <v>9676</v>
      </c>
      <c r="C1426" s="139" t="s">
        <v>9759</v>
      </c>
      <c r="D1426" s="140" t="s">
        <v>9760</v>
      </c>
      <c r="E1426" s="141" t="s">
        <v>9087</v>
      </c>
      <c r="F1426" s="142" t="s">
        <v>9200</v>
      </c>
      <c r="G1426" s="143">
        <v>1398.38</v>
      </c>
      <c r="H1426" s="144" t="s">
        <v>730</v>
      </c>
      <c r="I1426" s="145"/>
      <c r="J1426" s="145"/>
      <c r="K1426" s="146">
        <v>1398.38</v>
      </c>
    </row>
    <row r="1427" spans="1:11" s="147" customFormat="1" ht="11.25" customHeight="1" x14ac:dyDescent="0.2">
      <c r="A1427" s="795" t="s">
        <v>9084</v>
      </c>
      <c r="B1427" s="138" t="s">
        <v>9676</v>
      </c>
      <c r="C1427" s="139" t="s">
        <v>9755</v>
      </c>
      <c r="D1427" s="140" t="s">
        <v>9758</v>
      </c>
      <c r="E1427" s="141" t="s">
        <v>9087</v>
      </c>
      <c r="F1427" s="142" t="s">
        <v>9436</v>
      </c>
      <c r="G1427" s="143">
        <v>1601.44</v>
      </c>
      <c r="H1427" s="144" t="s">
        <v>730</v>
      </c>
      <c r="I1427" s="145"/>
      <c r="J1427" s="145"/>
      <c r="K1427" s="146">
        <v>1601.44</v>
      </c>
    </row>
    <row r="1428" spans="1:11" s="147" customFormat="1" ht="11.25" customHeight="1" x14ac:dyDescent="0.2">
      <c r="A1428" s="795" t="s">
        <v>9084</v>
      </c>
      <c r="B1428" s="138" t="s">
        <v>9676</v>
      </c>
      <c r="C1428" s="139" t="s">
        <v>9755</v>
      </c>
      <c r="D1428" s="140" t="s">
        <v>9756</v>
      </c>
      <c r="E1428" s="141" t="s">
        <v>9087</v>
      </c>
      <c r="F1428" s="142" t="s">
        <v>9757</v>
      </c>
      <c r="G1428" s="143">
        <v>1614.72</v>
      </c>
      <c r="H1428" s="144" t="s">
        <v>730</v>
      </c>
      <c r="I1428" s="145"/>
      <c r="J1428" s="145"/>
      <c r="K1428" s="146">
        <v>1614.72</v>
      </c>
    </row>
    <row r="1429" spans="1:11" s="147" customFormat="1" ht="11.25" customHeight="1" x14ac:dyDescent="0.2">
      <c r="A1429" s="795" t="s">
        <v>9084</v>
      </c>
      <c r="B1429" s="138" t="s">
        <v>9676</v>
      </c>
      <c r="C1429" s="139" t="s">
        <v>9759</v>
      </c>
      <c r="D1429" s="140" t="s">
        <v>9760</v>
      </c>
      <c r="E1429" s="141" t="s">
        <v>9087</v>
      </c>
      <c r="F1429" s="142" t="s">
        <v>9200</v>
      </c>
      <c r="G1429" s="143">
        <v>1717.44</v>
      </c>
      <c r="H1429" s="144" t="s">
        <v>730</v>
      </c>
      <c r="I1429" s="145"/>
      <c r="J1429" s="145"/>
      <c r="K1429" s="146">
        <v>1717.44</v>
      </c>
    </row>
    <row r="1430" spans="1:11" s="147" customFormat="1" ht="11.25" customHeight="1" x14ac:dyDescent="0.2">
      <c r="A1430" s="795" t="s">
        <v>9084</v>
      </c>
      <c r="B1430" s="138" t="s">
        <v>9676</v>
      </c>
      <c r="C1430" s="139" t="s">
        <v>9759</v>
      </c>
      <c r="D1430" s="140" t="s">
        <v>9760</v>
      </c>
      <c r="E1430" s="141" t="s">
        <v>9087</v>
      </c>
      <c r="F1430" s="142" t="s">
        <v>9200</v>
      </c>
      <c r="G1430" s="143">
        <v>2032.13</v>
      </c>
      <c r="H1430" s="144" t="s">
        <v>730</v>
      </c>
      <c r="I1430" s="145"/>
      <c r="J1430" s="145"/>
      <c r="K1430" s="146">
        <v>2032.13</v>
      </c>
    </row>
    <row r="1431" spans="1:11" s="147" customFormat="1" ht="11.25" customHeight="1" x14ac:dyDescent="0.2">
      <c r="A1431" s="795" t="s">
        <v>9084</v>
      </c>
      <c r="B1431" s="138" t="s">
        <v>9676</v>
      </c>
      <c r="C1431" s="139" t="s">
        <v>9755</v>
      </c>
      <c r="D1431" s="140" t="s">
        <v>9758</v>
      </c>
      <c r="E1431" s="141" t="s">
        <v>9087</v>
      </c>
      <c r="F1431" s="142" t="s">
        <v>9436</v>
      </c>
      <c r="G1431" s="143">
        <v>2032.13</v>
      </c>
      <c r="H1431" s="144" t="s">
        <v>730</v>
      </c>
      <c r="I1431" s="145"/>
      <c r="J1431" s="145"/>
      <c r="K1431" s="146">
        <v>2032.13</v>
      </c>
    </row>
    <row r="1432" spans="1:11" s="147" customFormat="1" ht="11.25" customHeight="1" x14ac:dyDescent="0.2">
      <c r="A1432" s="795" t="s">
        <v>9084</v>
      </c>
      <c r="B1432" s="138" t="s">
        <v>9676</v>
      </c>
      <c r="C1432" s="139" t="s">
        <v>9759</v>
      </c>
      <c r="D1432" s="140" t="s">
        <v>9760</v>
      </c>
      <c r="E1432" s="141" t="s">
        <v>9087</v>
      </c>
      <c r="F1432" s="142" t="s">
        <v>9200</v>
      </c>
      <c r="G1432" s="143">
        <v>2047.4</v>
      </c>
      <c r="H1432" s="144" t="s">
        <v>730</v>
      </c>
      <c r="I1432" s="145"/>
      <c r="J1432" s="145"/>
      <c r="K1432" s="146">
        <v>2047.4</v>
      </c>
    </row>
    <row r="1433" spans="1:11" s="147" customFormat="1" ht="11.25" customHeight="1" x14ac:dyDescent="0.2">
      <c r="A1433" s="795" t="s">
        <v>9084</v>
      </c>
      <c r="B1433" s="138" t="s">
        <v>9676</v>
      </c>
      <c r="C1433" s="139" t="s">
        <v>9755</v>
      </c>
      <c r="D1433" s="140" t="s">
        <v>9758</v>
      </c>
      <c r="E1433" s="141" t="s">
        <v>9087</v>
      </c>
      <c r="F1433" s="142" t="s">
        <v>9436</v>
      </c>
      <c r="G1433" s="143">
        <v>2122.34</v>
      </c>
      <c r="H1433" s="144" t="s">
        <v>730</v>
      </c>
      <c r="I1433" s="145"/>
      <c r="J1433" s="145"/>
      <c r="K1433" s="146">
        <v>2122.34</v>
      </c>
    </row>
    <row r="1434" spans="1:11" s="147" customFormat="1" ht="11.25" customHeight="1" x14ac:dyDescent="0.2">
      <c r="A1434" s="795" t="s">
        <v>9084</v>
      </c>
      <c r="B1434" s="138" t="s">
        <v>9676</v>
      </c>
      <c r="C1434" s="139" t="s">
        <v>9755</v>
      </c>
      <c r="D1434" s="140" t="s">
        <v>9758</v>
      </c>
      <c r="E1434" s="141" t="s">
        <v>9087</v>
      </c>
      <c r="F1434" s="142" t="s">
        <v>9436</v>
      </c>
      <c r="G1434" s="143">
        <v>2292.5100000000002</v>
      </c>
      <c r="H1434" s="144" t="s">
        <v>730</v>
      </c>
      <c r="I1434" s="145"/>
      <c r="J1434" s="145"/>
      <c r="K1434" s="146">
        <v>2292.5100000000002</v>
      </c>
    </row>
    <row r="1435" spans="1:11" s="147" customFormat="1" ht="11.25" customHeight="1" x14ac:dyDescent="0.2">
      <c r="A1435" s="795" t="s">
        <v>9084</v>
      </c>
      <c r="B1435" s="138" t="s">
        <v>9676</v>
      </c>
      <c r="C1435" s="139" t="s">
        <v>9759</v>
      </c>
      <c r="D1435" s="140" t="s">
        <v>9760</v>
      </c>
      <c r="E1435" s="141" t="s">
        <v>9087</v>
      </c>
      <c r="F1435" s="142" t="s">
        <v>9200</v>
      </c>
      <c r="G1435" s="143">
        <v>2307.2399999999998</v>
      </c>
      <c r="H1435" s="144" t="s">
        <v>730</v>
      </c>
      <c r="I1435" s="145"/>
      <c r="J1435" s="145"/>
      <c r="K1435" s="146">
        <v>2307.2399999999998</v>
      </c>
    </row>
    <row r="1436" spans="1:11" s="147" customFormat="1" ht="11.25" customHeight="1" x14ac:dyDescent="0.2">
      <c r="A1436" s="795" t="s">
        <v>9084</v>
      </c>
      <c r="B1436" s="138" t="s">
        <v>9676</v>
      </c>
      <c r="C1436" s="139" t="s">
        <v>9759</v>
      </c>
      <c r="D1436" s="140" t="s">
        <v>9760</v>
      </c>
      <c r="E1436" s="141" t="s">
        <v>9087</v>
      </c>
      <c r="F1436" s="142" t="s">
        <v>9200</v>
      </c>
      <c r="G1436" s="143">
        <v>2453.98</v>
      </c>
      <c r="H1436" s="144" t="s">
        <v>730</v>
      </c>
      <c r="I1436" s="145"/>
      <c r="J1436" s="145"/>
      <c r="K1436" s="146">
        <v>2453.98</v>
      </c>
    </row>
    <row r="1437" spans="1:11" s="147" customFormat="1" ht="11.25" customHeight="1" x14ac:dyDescent="0.2">
      <c r="A1437" s="795" t="s">
        <v>9084</v>
      </c>
      <c r="B1437" s="138" t="s">
        <v>9676</v>
      </c>
      <c r="C1437" s="139" t="s">
        <v>9137</v>
      </c>
      <c r="D1437" s="140" t="s">
        <v>9762</v>
      </c>
      <c r="E1437" s="141" t="s">
        <v>9087</v>
      </c>
      <c r="F1437" s="142" t="s">
        <v>9058</v>
      </c>
      <c r="G1437" s="143">
        <v>2717.23</v>
      </c>
      <c r="H1437" s="144" t="s">
        <v>730</v>
      </c>
      <c r="I1437" s="145"/>
      <c r="J1437" s="145"/>
      <c r="K1437" s="146">
        <v>2717.23</v>
      </c>
    </row>
    <row r="1438" spans="1:11" s="147" customFormat="1" ht="11.25" customHeight="1" x14ac:dyDescent="0.2">
      <c r="A1438" s="795" t="s">
        <v>9084</v>
      </c>
      <c r="B1438" s="138" t="s">
        <v>9676</v>
      </c>
      <c r="C1438" s="139" t="s">
        <v>9137</v>
      </c>
      <c r="D1438" s="140" t="s">
        <v>9754</v>
      </c>
      <c r="E1438" s="141" t="s">
        <v>9087</v>
      </c>
      <c r="F1438" s="142" t="s">
        <v>9058</v>
      </c>
      <c r="G1438" s="143">
        <v>3039.93</v>
      </c>
      <c r="H1438" s="144" t="s">
        <v>730</v>
      </c>
      <c r="I1438" s="145"/>
      <c r="J1438" s="145"/>
      <c r="K1438" s="146">
        <v>3039.93</v>
      </c>
    </row>
    <row r="1439" spans="1:11" s="147" customFormat="1" ht="11.25" customHeight="1" x14ac:dyDescent="0.2">
      <c r="A1439" s="795" t="s">
        <v>9084</v>
      </c>
      <c r="B1439" s="138" t="s">
        <v>9676</v>
      </c>
      <c r="C1439" s="139" t="s">
        <v>9759</v>
      </c>
      <c r="D1439" s="140" t="s">
        <v>9761</v>
      </c>
      <c r="E1439" s="141" t="s">
        <v>9087</v>
      </c>
      <c r="F1439" s="142" t="s">
        <v>9139</v>
      </c>
      <c r="G1439" s="143">
        <v>5188.91</v>
      </c>
      <c r="H1439" s="144" t="s">
        <v>730</v>
      </c>
      <c r="I1439" s="145"/>
      <c r="J1439" s="145"/>
      <c r="K1439" s="146">
        <v>5188.91</v>
      </c>
    </row>
    <row r="1440" spans="1:11" s="147" customFormat="1" ht="11.25" customHeight="1" x14ac:dyDescent="0.2">
      <c r="A1440" s="795" t="s">
        <v>9084</v>
      </c>
      <c r="B1440" s="138" t="s">
        <v>9676</v>
      </c>
      <c r="C1440" s="139" t="s">
        <v>9755</v>
      </c>
      <c r="D1440" s="140" t="s">
        <v>9758</v>
      </c>
      <c r="E1440" s="141" t="s">
        <v>9087</v>
      </c>
      <c r="F1440" s="142" t="s">
        <v>9436</v>
      </c>
      <c r="G1440" s="143">
        <v>14128.8</v>
      </c>
      <c r="H1440" s="144" t="s">
        <v>730</v>
      </c>
      <c r="I1440" s="145"/>
      <c r="J1440" s="145"/>
      <c r="K1440" s="146">
        <v>14128.8</v>
      </c>
    </row>
    <row r="1441" spans="1:11" s="147" customFormat="1" ht="11.25" customHeight="1" x14ac:dyDescent="0.2">
      <c r="A1441" s="795" t="s">
        <v>9084</v>
      </c>
      <c r="B1441" s="138" t="s">
        <v>9676</v>
      </c>
      <c r="C1441" s="139" t="s">
        <v>9755</v>
      </c>
      <c r="D1441" s="140" t="s">
        <v>9756</v>
      </c>
      <c r="E1441" s="141" t="s">
        <v>9087</v>
      </c>
      <c r="F1441" s="142" t="s">
        <v>9757</v>
      </c>
      <c r="G1441" s="143">
        <v>14442</v>
      </c>
      <c r="H1441" s="144" t="s">
        <v>730</v>
      </c>
      <c r="I1441" s="145"/>
      <c r="J1441" s="145"/>
      <c r="K1441" s="146">
        <v>14442</v>
      </c>
    </row>
    <row r="1442" spans="1:11" s="147" customFormat="1" ht="11.25" customHeight="1" x14ac:dyDescent="0.2">
      <c r="A1442" s="795" t="s">
        <v>9084</v>
      </c>
      <c r="B1442" s="138" t="s">
        <v>9676</v>
      </c>
      <c r="C1442" s="139" t="s">
        <v>9759</v>
      </c>
      <c r="D1442" s="140" t="s">
        <v>9760</v>
      </c>
      <c r="E1442" s="141" t="s">
        <v>9087</v>
      </c>
      <c r="F1442" s="142" t="s">
        <v>9200</v>
      </c>
      <c r="G1442" s="143">
        <v>15070.72</v>
      </c>
      <c r="H1442" s="144" t="s">
        <v>730</v>
      </c>
      <c r="I1442" s="145"/>
      <c r="J1442" s="145"/>
      <c r="K1442" s="146">
        <v>15070.72</v>
      </c>
    </row>
    <row r="1443" spans="1:11" s="147" customFormat="1" ht="11.25" customHeight="1" x14ac:dyDescent="0.2">
      <c r="A1443" s="795" t="s">
        <v>9212</v>
      </c>
      <c r="B1443" s="138" t="s">
        <v>9676</v>
      </c>
      <c r="C1443" s="139" t="s">
        <v>9763</v>
      </c>
      <c r="D1443" s="140" t="s">
        <v>9764</v>
      </c>
      <c r="E1443" s="141" t="s">
        <v>9214</v>
      </c>
      <c r="F1443" s="142" t="s">
        <v>9143</v>
      </c>
      <c r="G1443" s="143">
        <v>2702.8</v>
      </c>
      <c r="H1443" s="144" t="s">
        <v>730</v>
      </c>
      <c r="I1443" s="145"/>
      <c r="J1443" s="145"/>
      <c r="K1443" s="146">
        <v>2702.8</v>
      </c>
    </row>
    <row r="1444" spans="1:11" s="147" customFormat="1" ht="11.25" customHeight="1" x14ac:dyDescent="0.2">
      <c r="A1444" s="795" t="s">
        <v>9212</v>
      </c>
      <c r="B1444" s="138" t="s">
        <v>9676</v>
      </c>
      <c r="C1444" s="139" t="s">
        <v>9763</v>
      </c>
      <c r="D1444" s="140" t="s">
        <v>9765</v>
      </c>
      <c r="E1444" s="141" t="s">
        <v>9214</v>
      </c>
      <c r="F1444" s="142" t="s">
        <v>9143</v>
      </c>
      <c r="G1444" s="143">
        <v>4199.2</v>
      </c>
      <c r="H1444" s="144" t="s">
        <v>730</v>
      </c>
      <c r="I1444" s="145"/>
      <c r="J1444" s="145"/>
      <c r="K1444" s="146">
        <v>4199.2</v>
      </c>
    </row>
    <row r="1445" spans="1:11" s="147" customFormat="1" ht="11.25" customHeight="1" x14ac:dyDescent="0.2">
      <c r="A1445" s="795" t="s">
        <v>9212</v>
      </c>
      <c r="B1445" s="138" t="s">
        <v>9676</v>
      </c>
      <c r="C1445" s="139" t="s">
        <v>9763</v>
      </c>
      <c r="D1445" s="140" t="s">
        <v>9764</v>
      </c>
      <c r="E1445" s="141" t="s">
        <v>9214</v>
      </c>
      <c r="F1445" s="142" t="s">
        <v>9143</v>
      </c>
      <c r="G1445" s="143">
        <v>4234</v>
      </c>
      <c r="H1445" s="144" t="s">
        <v>730</v>
      </c>
      <c r="I1445" s="145"/>
      <c r="J1445" s="145"/>
      <c r="K1445" s="146">
        <v>4234</v>
      </c>
    </row>
    <row r="1446" spans="1:11" s="147" customFormat="1" ht="11.25" customHeight="1" x14ac:dyDescent="0.2">
      <c r="A1446" s="795" t="s">
        <v>9212</v>
      </c>
      <c r="B1446" s="138" t="s">
        <v>9676</v>
      </c>
      <c r="C1446" s="139" t="s">
        <v>9763</v>
      </c>
      <c r="D1446" s="140" t="s">
        <v>9766</v>
      </c>
      <c r="E1446" s="141" t="s">
        <v>9214</v>
      </c>
      <c r="F1446" s="142" t="s">
        <v>9143</v>
      </c>
      <c r="G1446" s="143">
        <v>4477.6000000000004</v>
      </c>
      <c r="H1446" s="144" t="s">
        <v>730</v>
      </c>
      <c r="I1446" s="145"/>
      <c r="J1446" s="145"/>
      <c r="K1446" s="146">
        <v>4477.6000000000004</v>
      </c>
    </row>
    <row r="1447" spans="1:11" s="147" customFormat="1" ht="11.25" customHeight="1" x14ac:dyDescent="0.2">
      <c r="A1447" s="795" t="s">
        <v>9212</v>
      </c>
      <c r="B1447" s="138" t="s">
        <v>9676</v>
      </c>
      <c r="C1447" s="139" t="s">
        <v>9763</v>
      </c>
      <c r="D1447" s="140" t="s">
        <v>9767</v>
      </c>
      <c r="E1447" s="141" t="s">
        <v>9214</v>
      </c>
      <c r="F1447" s="142" t="s">
        <v>9143</v>
      </c>
      <c r="G1447" s="143">
        <v>5301.2</v>
      </c>
      <c r="H1447" s="144" t="s">
        <v>730</v>
      </c>
      <c r="I1447" s="145"/>
      <c r="J1447" s="145"/>
      <c r="K1447" s="146">
        <v>5301.2</v>
      </c>
    </row>
    <row r="1448" spans="1:11" s="147" customFormat="1" ht="11.25" customHeight="1" x14ac:dyDescent="0.2">
      <c r="A1448" s="795" t="s">
        <v>9212</v>
      </c>
      <c r="B1448" s="138" t="s">
        <v>9676</v>
      </c>
      <c r="C1448" s="139" t="s">
        <v>9763</v>
      </c>
      <c r="D1448" s="140" t="s">
        <v>9765</v>
      </c>
      <c r="E1448" s="141" t="s">
        <v>9214</v>
      </c>
      <c r="F1448" s="142" t="s">
        <v>9143</v>
      </c>
      <c r="G1448" s="143">
        <v>5776.8</v>
      </c>
      <c r="H1448" s="144" t="s">
        <v>730</v>
      </c>
      <c r="I1448" s="145"/>
      <c r="J1448" s="145"/>
      <c r="K1448" s="146">
        <v>5776.8</v>
      </c>
    </row>
    <row r="1449" spans="1:11" s="147" customFormat="1" ht="11.25" customHeight="1" x14ac:dyDescent="0.2">
      <c r="A1449" s="795" t="s">
        <v>9212</v>
      </c>
      <c r="B1449" s="138" t="s">
        <v>9676</v>
      </c>
      <c r="C1449" s="139" t="s">
        <v>9763</v>
      </c>
      <c r="D1449" s="140" t="s">
        <v>9766</v>
      </c>
      <c r="E1449" s="141" t="s">
        <v>9214</v>
      </c>
      <c r="F1449" s="142" t="s">
        <v>9143</v>
      </c>
      <c r="G1449" s="143">
        <v>6171.2</v>
      </c>
      <c r="H1449" s="144" t="s">
        <v>730</v>
      </c>
      <c r="I1449" s="145"/>
      <c r="J1449" s="145"/>
      <c r="K1449" s="146">
        <v>6171.2</v>
      </c>
    </row>
    <row r="1450" spans="1:11" s="147" customFormat="1" ht="11.25" customHeight="1" x14ac:dyDescent="0.2">
      <c r="A1450" s="795" t="s">
        <v>9212</v>
      </c>
      <c r="B1450" s="138" t="s">
        <v>9676</v>
      </c>
      <c r="C1450" s="139" t="s">
        <v>9763</v>
      </c>
      <c r="D1450" s="140" t="s">
        <v>9767</v>
      </c>
      <c r="E1450" s="141" t="s">
        <v>9214</v>
      </c>
      <c r="F1450" s="142" t="s">
        <v>9143</v>
      </c>
      <c r="G1450" s="143">
        <v>10672</v>
      </c>
      <c r="H1450" s="144" t="s">
        <v>730</v>
      </c>
      <c r="I1450" s="145"/>
      <c r="J1450" s="145"/>
      <c r="K1450" s="146">
        <v>10672</v>
      </c>
    </row>
    <row r="1451" spans="1:11" s="147" customFormat="1" ht="11.25" customHeight="1" x14ac:dyDescent="0.2">
      <c r="A1451" s="795" t="s">
        <v>9768</v>
      </c>
      <c r="B1451" s="138" t="s">
        <v>9676</v>
      </c>
      <c r="C1451" s="139" t="s">
        <v>9769</v>
      </c>
      <c r="D1451" s="140" t="s">
        <v>9770</v>
      </c>
      <c r="E1451" s="141" t="s">
        <v>9771</v>
      </c>
      <c r="F1451" s="142" t="s">
        <v>9772</v>
      </c>
      <c r="G1451" s="143">
        <v>5800</v>
      </c>
      <c r="H1451" s="144" t="s">
        <v>730</v>
      </c>
      <c r="I1451" s="145"/>
      <c r="J1451" s="145"/>
      <c r="K1451" s="146">
        <v>5800</v>
      </c>
    </row>
    <row r="1452" spans="1:11" s="147" customFormat="1" ht="11.25" customHeight="1" x14ac:dyDescent="0.2">
      <c r="A1452" s="795" t="s">
        <v>9768</v>
      </c>
      <c r="B1452" s="138" t="s">
        <v>9676</v>
      </c>
      <c r="C1452" s="139" t="s">
        <v>9773</v>
      </c>
      <c r="D1452" s="140" t="s">
        <v>9774</v>
      </c>
      <c r="E1452" s="141" t="s">
        <v>9771</v>
      </c>
      <c r="F1452" s="142" t="s">
        <v>9772</v>
      </c>
      <c r="G1452" s="143">
        <v>5800</v>
      </c>
      <c r="H1452" s="144" t="s">
        <v>730</v>
      </c>
      <c r="I1452" s="145"/>
      <c r="J1452" s="145"/>
      <c r="K1452" s="146">
        <v>5800</v>
      </c>
    </row>
    <row r="1453" spans="1:11" s="147" customFormat="1" ht="11.25" customHeight="1" x14ac:dyDescent="0.2">
      <c r="A1453" s="795" t="s">
        <v>9768</v>
      </c>
      <c r="B1453" s="138" t="s">
        <v>9676</v>
      </c>
      <c r="C1453" s="139" t="s">
        <v>9775</v>
      </c>
      <c r="D1453" s="140" t="s">
        <v>9776</v>
      </c>
      <c r="E1453" s="141" t="s">
        <v>9771</v>
      </c>
      <c r="F1453" s="142" t="s">
        <v>9772</v>
      </c>
      <c r="G1453" s="143">
        <v>5800</v>
      </c>
      <c r="H1453" s="144" t="s">
        <v>730</v>
      </c>
      <c r="I1453" s="145"/>
      <c r="J1453" s="145"/>
      <c r="K1453" s="146">
        <v>5800</v>
      </c>
    </row>
    <row r="1454" spans="1:11" s="147" customFormat="1" ht="11.25" customHeight="1" x14ac:dyDescent="0.2">
      <c r="A1454" s="795" t="s">
        <v>9768</v>
      </c>
      <c r="B1454" s="138" t="s">
        <v>9676</v>
      </c>
      <c r="C1454" s="139" t="s">
        <v>9777</v>
      </c>
      <c r="D1454" s="140" t="s">
        <v>9778</v>
      </c>
      <c r="E1454" s="141" t="s">
        <v>9771</v>
      </c>
      <c r="F1454" s="142" t="s">
        <v>9779</v>
      </c>
      <c r="G1454" s="143">
        <v>13920</v>
      </c>
      <c r="H1454" s="144" t="s">
        <v>730</v>
      </c>
      <c r="I1454" s="145"/>
      <c r="J1454" s="145"/>
      <c r="K1454" s="146">
        <v>13920</v>
      </c>
    </row>
    <row r="1455" spans="1:11" s="147" customFormat="1" ht="11.25" customHeight="1" x14ac:dyDescent="0.2">
      <c r="A1455" s="795" t="s">
        <v>9768</v>
      </c>
      <c r="B1455" s="138" t="s">
        <v>9676</v>
      </c>
      <c r="C1455" s="139" t="s">
        <v>8119</v>
      </c>
      <c r="D1455" s="140" t="s">
        <v>9780</v>
      </c>
      <c r="E1455" s="141" t="s">
        <v>9771</v>
      </c>
      <c r="F1455" s="142" t="s">
        <v>9779</v>
      </c>
      <c r="G1455" s="143">
        <v>13920</v>
      </c>
      <c r="H1455" s="144" t="s">
        <v>730</v>
      </c>
      <c r="I1455" s="145"/>
      <c r="J1455" s="145"/>
      <c r="K1455" s="146">
        <v>13920</v>
      </c>
    </row>
    <row r="1456" spans="1:11" s="147" customFormat="1" ht="11.25" customHeight="1" x14ac:dyDescent="0.2">
      <c r="A1456" s="795" t="s">
        <v>9768</v>
      </c>
      <c r="B1456" s="138" t="s">
        <v>9676</v>
      </c>
      <c r="C1456" s="139" t="s">
        <v>9781</v>
      </c>
      <c r="D1456" s="140" t="s">
        <v>9782</v>
      </c>
      <c r="E1456" s="141" t="s">
        <v>9771</v>
      </c>
      <c r="F1456" s="142" t="s">
        <v>9779</v>
      </c>
      <c r="G1456" s="143">
        <v>13920</v>
      </c>
      <c r="H1456" s="144" t="s">
        <v>730</v>
      </c>
      <c r="I1456" s="145"/>
      <c r="J1456" s="145"/>
      <c r="K1456" s="146">
        <v>13920</v>
      </c>
    </row>
    <row r="1457" spans="1:11" s="147" customFormat="1" ht="11.25" customHeight="1" x14ac:dyDescent="0.2">
      <c r="A1457" s="795" t="s">
        <v>9768</v>
      </c>
      <c r="B1457" s="138" t="s">
        <v>9676</v>
      </c>
      <c r="C1457" s="139" t="s">
        <v>9777</v>
      </c>
      <c r="D1457" s="140" t="s">
        <v>9783</v>
      </c>
      <c r="E1457" s="141" t="s">
        <v>9771</v>
      </c>
      <c r="F1457" s="142" t="s">
        <v>9779</v>
      </c>
      <c r="G1457" s="143">
        <v>13920</v>
      </c>
      <c r="H1457" s="144" t="s">
        <v>730</v>
      </c>
      <c r="I1457" s="145"/>
      <c r="J1457" s="145"/>
      <c r="K1457" s="146">
        <v>13920</v>
      </c>
    </row>
    <row r="1458" spans="1:11" s="147" customFormat="1" ht="11.25" customHeight="1" x14ac:dyDescent="0.2">
      <c r="A1458" s="795" t="s">
        <v>9768</v>
      </c>
      <c r="B1458" s="138" t="s">
        <v>9676</v>
      </c>
      <c r="C1458" s="139" t="s">
        <v>8119</v>
      </c>
      <c r="D1458" s="140" t="s">
        <v>9784</v>
      </c>
      <c r="E1458" s="141" t="s">
        <v>9771</v>
      </c>
      <c r="F1458" s="142" t="s">
        <v>9779</v>
      </c>
      <c r="G1458" s="143">
        <v>13920</v>
      </c>
      <c r="H1458" s="144" t="s">
        <v>730</v>
      </c>
      <c r="I1458" s="145"/>
      <c r="J1458" s="145"/>
      <c r="K1458" s="146">
        <v>13920</v>
      </c>
    </row>
    <row r="1459" spans="1:11" s="147" customFormat="1" ht="11.25" customHeight="1" x14ac:dyDescent="0.2">
      <c r="A1459" s="795" t="s">
        <v>9768</v>
      </c>
      <c r="B1459" s="138" t="s">
        <v>9676</v>
      </c>
      <c r="C1459" s="139" t="s">
        <v>9781</v>
      </c>
      <c r="D1459" s="140" t="s">
        <v>9785</v>
      </c>
      <c r="E1459" s="141" t="s">
        <v>9771</v>
      </c>
      <c r="F1459" s="142" t="s">
        <v>9779</v>
      </c>
      <c r="G1459" s="143">
        <v>13920</v>
      </c>
      <c r="H1459" s="144" t="s">
        <v>730</v>
      </c>
      <c r="I1459" s="145"/>
      <c r="J1459" s="145"/>
      <c r="K1459" s="146">
        <v>13920</v>
      </c>
    </row>
    <row r="1460" spans="1:11" s="147" customFormat="1" ht="11.25" customHeight="1" x14ac:dyDescent="0.2">
      <c r="A1460" s="795" t="s">
        <v>9786</v>
      </c>
      <c r="B1460" s="138" t="s">
        <v>9676</v>
      </c>
      <c r="C1460" s="139" t="s">
        <v>9787</v>
      </c>
      <c r="D1460" s="140" t="s">
        <v>9788</v>
      </c>
      <c r="E1460" s="141" t="s">
        <v>9789</v>
      </c>
      <c r="F1460" s="142" t="s">
        <v>9790</v>
      </c>
      <c r="G1460" s="143">
        <v>46400</v>
      </c>
      <c r="H1460" s="144" t="s">
        <v>730</v>
      </c>
      <c r="I1460" s="145"/>
      <c r="J1460" s="145"/>
      <c r="K1460" s="146">
        <v>46400</v>
      </c>
    </row>
    <row r="1461" spans="1:11" s="147" customFormat="1" ht="11.25" customHeight="1" x14ac:dyDescent="0.2">
      <c r="A1461" s="795" t="s">
        <v>9786</v>
      </c>
      <c r="B1461" s="138" t="s">
        <v>9676</v>
      </c>
      <c r="C1461" s="139" t="s">
        <v>9791</v>
      </c>
      <c r="D1461" s="140" t="s">
        <v>9792</v>
      </c>
      <c r="E1461" s="141" t="s">
        <v>9789</v>
      </c>
      <c r="F1461" s="142" t="s">
        <v>9790</v>
      </c>
      <c r="G1461" s="143">
        <v>46400</v>
      </c>
      <c r="H1461" s="144" t="s">
        <v>730</v>
      </c>
      <c r="I1461" s="145"/>
      <c r="J1461" s="145"/>
      <c r="K1461" s="146">
        <v>46400</v>
      </c>
    </row>
    <row r="1462" spans="1:11" s="147" customFormat="1" ht="11.25" customHeight="1" x14ac:dyDescent="0.2">
      <c r="A1462" s="795" t="s">
        <v>9786</v>
      </c>
      <c r="B1462" s="138" t="s">
        <v>9676</v>
      </c>
      <c r="C1462" s="139" t="s">
        <v>9793</v>
      </c>
      <c r="D1462" s="140" t="s">
        <v>9794</v>
      </c>
      <c r="E1462" s="141" t="s">
        <v>9789</v>
      </c>
      <c r="F1462" s="142" t="s">
        <v>9790</v>
      </c>
      <c r="G1462" s="143">
        <v>46400</v>
      </c>
      <c r="H1462" s="144" t="s">
        <v>730</v>
      </c>
      <c r="I1462" s="145"/>
      <c r="J1462" s="145"/>
      <c r="K1462" s="146">
        <v>46400</v>
      </c>
    </row>
    <row r="1463" spans="1:11" s="147" customFormat="1" ht="11.25" customHeight="1" x14ac:dyDescent="0.2">
      <c r="A1463" s="795" t="s">
        <v>9768</v>
      </c>
      <c r="B1463" s="138" t="s">
        <v>9676</v>
      </c>
      <c r="C1463" s="139" t="s">
        <v>9769</v>
      </c>
      <c r="D1463" s="140" t="s">
        <v>9795</v>
      </c>
      <c r="E1463" s="141" t="s">
        <v>9771</v>
      </c>
      <c r="F1463" s="142" t="s">
        <v>9796</v>
      </c>
      <c r="G1463" s="143">
        <v>46400</v>
      </c>
      <c r="H1463" s="144" t="s">
        <v>730</v>
      </c>
      <c r="I1463" s="145"/>
      <c r="J1463" s="145"/>
      <c r="K1463" s="146">
        <v>46400</v>
      </c>
    </row>
    <row r="1464" spans="1:11" s="147" customFormat="1" ht="11.25" customHeight="1" x14ac:dyDescent="0.2">
      <c r="A1464" s="795" t="s">
        <v>9768</v>
      </c>
      <c r="B1464" s="138" t="s">
        <v>9676</v>
      </c>
      <c r="C1464" s="139" t="s">
        <v>9773</v>
      </c>
      <c r="D1464" s="140" t="s">
        <v>9797</v>
      </c>
      <c r="E1464" s="141" t="s">
        <v>9771</v>
      </c>
      <c r="F1464" s="142" t="s">
        <v>9796</v>
      </c>
      <c r="G1464" s="143">
        <v>46400</v>
      </c>
      <c r="H1464" s="144" t="s">
        <v>730</v>
      </c>
      <c r="I1464" s="145"/>
      <c r="J1464" s="145"/>
      <c r="K1464" s="146">
        <v>46400</v>
      </c>
    </row>
    <row r="1465" spans="1:11" s="147" customFormat="1" ht="11.25" customHeight="1" x14ac:dyDescent="0.2">
      <c r="A1465" s="795" t="s">
        <v>9768</v>
      </c>
      <c r="B1465" s="138" t="s">
        <v>9676</v>
      </c>
      <c r="C1465" s="139" t="s">
        <v>9777</v>
      </c>
      <c r="D1465" s="140" t="s">
        <v>9798</v>
      </c>
      <c r="E1465" s="141" t="s">
        <v>9771</v>
      </c>
      <c r="F1465" s="142" t="s">
        <v>9796</v>
      </c>
      <c r="G1465" s="143">
        <v>46400</v>
      </c>
      <c r="H1465" s="144" t="s">
        <v>730</v>
      </c>
      <c r="I1465" s="145"/>
      <c r="J1465" s="145"/>
      <c r="K1465" s="146">
        <v>46400</v>
      </c>
    </row>
    <row r="1466" spans="1:11" s="147" customFormat="1" ht="11.25" customHeight="1" x14ac:dyDescent="0.2">
      <c r="A1466" s="795" t="s">
        <v>9768</v>
      </c>
      <c r="B1466" s="138" t="s">
        <v>9676</v>
      </c>
      <c r="C1466" s="139" t="s">
        <v>9769</v>
      </c>
      <c r="D1466" s="140" t="s">
        <v>9799</v>
      </c>
      <c r="E1466" s="141" t="s">
        <v>9771</v>
      </c>
      <c r="F1466" s="142" t="s">
        <v>9796</v>
      </c>
      <c r="G1466" s="143">
        <v>46400</v>
      </c>
      <c r="H1466" s="144" t="s">
        <v>730</v>
      </c>
      <c r="I1466" s="145"/>
      <c r="J1466" s="145"/>
      <c r="K1466" s="146">
        <v>46400</v>
      </c>
    </row>
    <row r="1467" spans="1:11" s="147" customFormat="1" ht="11.25" customHeight="1" x14ac:dyDescent="0.2">
      <c r="A1467" s="795" t="s">
        <v>9768</v>
      </c>
      <c r="B1467" s="138" t="s">
        <v>9676</v>
      </c>
      <c r="C1467" s="139" t="s">
        <v>9773</v>
      </c>
      <c r="D1467" s="140" t="s">
        <v>9800</v>
      </c>
      <c r="E1467" s="141" t="s">
        <v>9771</v>
      </c>
      <c r="F1467" s="142" t="s">
        <v>9796</v>
      </c>
      <c r="G1467" s="143">
        <v>46400</v>
      </c>
      <c r="H1467" s="144" t="s">
        <v>730</v>
      </c>
      <c r="I1467" s="145"/>
      <c r="J1467" s="145"/>
      <c r="K1467" s="146">
        <v>46400</v>
      </c>
    </row>
    <row r="1468" spans="1:11" s="147" customFormat="1" ht="11.25" customHeight="1" x14ac:dyDescent="0.2">
      <c r="A1468" s="795" t="s">
        <v>9768</v>
      </c>
      <c r="B1468" s="138" t="s">
        <v>9676</v>
      </c>
      <c r="C1468" s="139" t="s">
        <v>9775</v>
      </c>
      <c r="D1468" s="140" t="s">
        <v>9801</v>
      </c>
      <c r="E1468" s="141" t="s">
        <v>9771</v>
      </c>
      <c r="F1468" s="142" t="s">
        <v>9796</v>
      </c>
      <c r="G1468" s="143">
        <v>46400</v>
      </c>
      <c r="H1468" s="144" t="s">
        <v>730</v>
      </c>
      <c r="I1468" s="145"/>
      <c r="J1468" s="145"/>
      <c r="K1468" s="146">
        <v>46400</v>
      </c>
    </row>
    <row r="1469" spans="1:11" s="147" customFormat="1" ht="11.25" customHeight="1" x14ac:dyDescent="0.2">
      <c r="A1469" s="795" t="s">
        <v>9768</v>
      </c>
      <c r="B1469" s="138" t="s">
        <v>9676</v>
      </c>
      <c r="C1469" s="139" t="s">
        <v>8119</v>
      </c>
      <c r="D1469" s="140" t="s">
        <v>9802</v>
      </c>
      <c r="E1469" s="141" t="s">
        <v>9771</v>
      </c>
      <c r="F1469" s="142" t="s">
        <v>9803</v>
      </c>
      <c r="G1469" s="143">
        <v>60320</v>
      </c>
      <c r="H1469" s="144" t="s">
        <v>730</v>
      </c>
      <c r="I1469" s="145"/>
      <c r="J1469" s="145"/>
      <c r="K1469" s="146">
        <v>60320</v>
      </c>
    </row>
    <row r="1470" spans="1:11" s="147" customFormat="1" ht="11.25" customHeight="1" x14ac:dyDescent="0.2">
      <c r="A1470" s="795" t="s">
        <v>9768</v>
      </c>
      <c r="B1470" s="138" t="s">
        <v>9676</v>
      </c>
      <c r="C1470" s="139" t="s">
        <v>9781</v>
      </c>
      <c r="D1470" s="140" t="s">
        <v>9804</v>
      </c>
      <c r="E1470" s="141" t="s">
        <v>9771</v>
      </c>
      <c r="F1470" s="142" t="s">
        <v>9803</v>
      </c>
      <c r="G1470" s="143">
        <v>60320</v>
      </c>
      <c r="H1470" s="144" t="s">
        <v>730</v>
      </c>
      <c r="I1470" s="145"/>
      <c r="J1470" s="145"/>
      <c r="K1470" s="146">
        <v>60320</v>
      </c>
    </row>
    <row r="1471" spans="1:11" s="147" customFormat="1" ht="11.25" customHeight="1" x14ac:dyDescent="0.2">
      <c r="A1471" s="795" t="s">
        <v>9768</v>
      </c>
      <c r="B1471" s="138" t="s">
        <v>9676</v>
      </c>
      <c r="C1471" s="139" t="s">
        <v>9777</v>
      </c>
      <c r="D1471" s="140" t="s">
        <v>9805</v>
      </c>
      <c r="E1471" s="141" t="s">
        <v>9771</v>
      </c>
      <c r="F1471" s="142" t="s">
        <v>9803</v>
      </c>
      <c r="G1471" s="143">
        <v>60320</v>
      </c>
      <c r="H1471" s="144" t="s">
        <v>730</v>
      </c>
      <c r="I1471" s="145"/>
      <c r="J1471" s="145"/>
      <c r="K1471" s="146">
        <v>60320</v>
      </c>
    </row>
    <row r="1472" spans="1:11" s="147" customFormat="1" ht="11.25" customHeight="1" x14ac:dyDescent="0.2">
      <c r="A1472" s="795" t="s">
        <v>9786</v>
      </c>
      <c r="B1472" s="138" t="s">
        <v>9676</v>
      </c>
      <c r="C1472" s="139" t="s">
        <v>9806</v>
      </c>
      <c r="D1472" s="140" t="s">
        <v>9807</v>
      </c>
      <c r="E1472" s="141" t="s">
        <v>9789</v>
      </c>
      <c r="F1472" s="142" t="s">
        <v>9779</v>
      </c>
      <c r="G1472" s="143">
        <v>244899</v>
      </c>
      <c r="H1472" s="144" t="s">
        <v>730</v>
      </c>
      <c r="I1472" s="145"/>
      <c r="J1472" s="145"/>
      <c r="K1472" s="146">
        <v>244899</v>
      </c>
    </row>
    <row r="1473" spans="1:11" s="147" customFormat="1" ht="11.25" customHeight="1" x14ac:dyDescent="0.2">
      <c r="A1473" s="795" t="s">
        <v>9786</v>
      </c>
      <c r="B1473" s="138" t="s">
        <v>9676</v>
      </c>
      <c r="C1473" s="139" t="s">
        <v>9808</v>
      </c>
      <c r="D1473" s="140" t="s">
        <v>9809</v>
      </c>
      <c r="E1473" s="141" t="s">
        <v>9789</v>
      </c>
      <c r="F1473" s="142" t="s">
        <v>9779</v>
      </c>
      <c r="G1473" s="143">
        <v>244899</v>
      </c>
      <c r="H1473" s="144" t="s">
        <v>730</v>
      </c>
      <c r="I1473" s="145"/>
      <c r="J1473" s="145"/>
      <c r="K1473" s="146">
        <v>244899</v>
      </c>
    </row>
    <row r="1474" spans="1:11" s="147" customFormat="1" ht="11.25" customHeight="1" x14ac:dyDescent="0.2">
      <c r="A1474" s="795" t="s">
        <v>9810</v>
      </c>
      <c r="B1474" s="138" t="s">
        <v>9676</v>
      </c>
      <c r="C1474" s="139" t="s">
        <v>9811</v>
      </c>
      <c r="D1474" s="140" t="s">
        <v>9812</v>
      </c>
      <c r="E1474" s="141" t="s">
        <v>9813</v>
      </c>
      <c r="F1474" s="142" t="s">
        <v>9790</v>
      </c>
      <c r="G1474" s="143">
        <v>46400</v>
      </c>
      <c r="H1474" s="144" t="s">
        <v>730</v>
      </c>
      <c r="I1474" s="145"/>
      <c r="J1474" s="145"/>
      <c r="K1474" s="146">
        <v>46400</v>
      </c>
    </row>
    <row r="1475" spans="1:11" s="147" customFormat="1" ht="11.25" customHeight="1" x14ac:dyDescent="0.2">
      <c r="A1475" s="795" t="s">
        <v>9814</v>
      </c>
      <c r="B1475" s="138" t="s">
        <v>9676</v>
      </c>
      <c r="C1475" s="139" t="s">
        <v>9815</v>
      </c>
      <c r="D1475" s="140" t="s">
        <v>8198</v>
      </c>
      <c r="E1475" s="141" t="s">
        <v>9816</v>
      </c>
      <c r="F1475" s="142" t="s">
        <v>9790</v>
      </c>
      <c r="G1475" s="143">
        <v>46400</v>
      </c>
      <c r="H1475" s="144" t="s">
        <v>730</v>
      </c>
      <c r="I1475" s="145"/>
      <c r="J1475" s="145"/>
      <c r="K1475" s="146">
        <v>46400</v>
      </c>
    </row>
    <row r="1476" spans="1:11" s="147" customFormat="1" ht="11.25" customHeight="1" x14ac:dyDescent="0.2">
      <c r="A1476" s="795" t="s">
        <v>9814</v>
      </c>
      <c r="B1476" s="138" t="s">
        <v>9676</v>
      </c>
      <c r="C1476" s="139" t="s">
        <v>8112</v>
      </c>
      <c r="D1476" s="140" t="s">
        <v>9817</v>
      </c>
      <c r="E1476" s="141" t="s">
        <v>9816</v>
      </c>
      <c r="F1476" s="142" t="s">
        <v>9790</v>
      </c>
      <c r="G1476" s="143">
        <v>46400</v>
      </c>
      <c r="H1476" s="144" t="s">
        <v>730</v>
      </c>
      <c r="I1476" s="145"/>
      <c r="J1476" s="145"/>
      <c r="K1476" s="146">
        <v>46400</v>
      </c>
    </row>
    <row r="1477" spans="1:11" s="147" customFormat="1" ht="11.25" customHeight="1" x14ac:dyDescent="0.2">
      <c r="A1477" s="795" t="s">
        <v>9818</v>
      </c>
      <c r="B1477" s="138" t="s">
        <v>9676</v>
      </c>
      <c r="C1477" s="139" t="s">
        <v>9819</v>
      </c>
      <c r="D1477" s="140" t="s">
        <v>9820</v>
      </c>
      <c r="E1477" s="141" t="s">
        <v>9821</v>
      </c>
      <c r="F1477" s="142" t="s">
        <v>9796</v>
      </c>
      <c r="G1477" s="143">
        <v>46400</v>
      </c>
      <c r="H1477" s="144" t="s">
        <v>730</v>
      </c>
      <c r="I1477" s="145"/>
      <c r="J1477" s="145"/>
      <c r="K1477" s="146">
        <v>46400</v>
      </c>
    </row>
    <row r="1478" spans="1:11" s="147" customFormat="1" ht="11.25" customHeight="1" x14ac:dyDescent="0.2">
      <c r="A1478" s="795" t="s">
        <v>9818</v>
      </c>
      <c r="B1478" s="138" t="s">
        <v>9676</v>
      </c>
      <c r="C1478" s="139" t="s">
        <v>9822</v>
      </c>
      <c r="D1478" s="140" t="s">
        <v>9823</v>
      </c>
      <c r="E1478" s="141" t="s">
        <v>9821</v>
      </c>
      <c r="F1478" s="142" t="s">
        <v>9796</v>
      </c>
      <c r="G1478" s="143">
        <v>46400</v>
      </c>
      <c r="H1478" s="144" t="s">
        <v>730</v>
      </c>
      <c r="I1478" s="145"/>
      <c r="J1478" s="145"/>
      <c r="K1478" s="146">
        <v>46400</v>
      </c>
    </row>
    <row r="1479" spans="1:11" s="147" customFormat="1" ht="11.25" customHeight="1" x14ac:dyDescent="0.2">
      <c r="A1479" s="795" t="s">
        <v>9818</v>
      </c>
      <c r="B1479" s="138" t="s">
        <v>9676</v>
      </c>
      <c r="C1479" s="139" t="s">
        <v>9819</v>
      </c>
      <c r="D1479" s="140" t="s">
        <v>9824</v>
      </c>
      <c r="E1479" s="141" t="s">
        <v>9821</v>
      </c>
      <c r="F1479" s="142" t="s">
        <v>9796</v>
      </c>
      <c r="G1479" s="143">
        <v>46400</v>
      </c>
      <c r="H1479" s="144" t="s">
        <v>730</v>
      </c>
      <c r="I1479" s="145"/>
      <c r="J1479" s="145"/>
      <c r="K1479" s="146">
        <v>46400</v>
      </c>
    </row>
    <row r="1480" spans="1:11" s="147" customFormat="1" ht="11.25" customHeight="1" x14ac:dyDescent="0.2">
      <c r="A1480" s="795" t="s">
        <v>9818</v>
      </c>
      <c r="B1480" s="138" t="s">
        <v>9676</v>
      </c>
      <c r="C1480" s="139" t="s">
        <v>9822</v>
      </c>
      <c r="D1480" s="140" t="s">
        <v>9825</v>
      </c>
      <c r="E1480" s="141" t="s">
        <v>9821</v>
      </c>
      <c r="F1480" s="142" t="s">
        <v>9796</v>
      </c>
      <c r="G1480" s="143">
        <v>46400</v>
      </c>
      <c r="H1480" s="144" t="s">
        <v>730</v>
      </c>
      <c r="I1480" s="145"/>
      <c r="J1480" s="145"/>
      <c r="K1480" s="146">
        <v>46400</v>
      </c>
    </row>
    <row r="1481" spans="1:11" s="147" customFormat="1" ht="11.25" customHeight="1" x14ac:dyDescent="0.2">
      <c r="A1481" s="795" t="s">
        <v>9826</v>
      </c>
      <c r="B1481" s="138" t="s">
        <v>9676</v>
      </c>
      <c r="C1481" s="139" t="s">
        <v>8150</v>
      </c>
      <c r="D1481" s="140" t="s">
        <v>9827</v>
      </c>
      <c r="E1481" s="141" t="s">
        <v>9828</v>
      </c>
      <c r="F1481" s="142" t="s">
        <v>9829</v>
      </c>
      <c r="G1481" s="143">
        <v>46400</v>
      </c>
      <c r="H1481" s="144" t="s">
        <v>730</v>
      </c>
      <c r="I1481" s="145"/>
      <c r="J1481" s="145"/>
      <c r="K1481" s="146">
        <v>46400</v>
      </c>
    </row>
    <row r="1482" spans="1:11" s="147" customFormat="1" ht="11.25" customHeight="1" x14ac:dyDescent="0.2">
      <c r="A1482" s="795" t="s">
        <v>9826</v>
      </c>
      <c r="B1482" s="138" t="s">
        <v>9676</v>
      </c>
      <c r="C1482" s="139" t="s">
        <v>9830</v>
      </c>
      <c r="D1482" s="140" t="s">
        <v>9831</v>
      </c>
      <c r="E1482" s="141" t="s">
        <v>9828</v>
      </c>
      <c r="F1482" s="142" t="s">
        <v>9829</v>
      </c>
      <c r="G1482" s="143">
        <v>46400</v>
      </c>
      <c r="H1482" s="144" t="s">
        <v>730</v>
      </c>
      <c r="I1482" s="145"/>
      <c r="J1482" s="145"/>
      <c r="K1482" s="146">
        <v>46400</v>
      </c>
    </row>
    <row r="1483" spans="1:11" s="147" customFormat="1" ht="11.25" customHeight="1" x14ac:dyDescent="0.2">
      <c r="A1483" s="795" t="s">
        <v>9832</v>
      </c>
      <c r="B1483" s="138" t="s">
        <v>9676</v>
      </c>
      <c r="C1483" s="139" t="s">
        <v>9833</v>
      </c>
      <c r="D1483" s="140" t="s">
        <v>9801</v>
      </c>
      <c r="E1483" s="141" t="s">
        <v>9834</v>
      </c>
      <c r="F1483" s="142" t="s">
        <v>9835</v>
      </c>
      <c r="G1483" s="143">
        <v>46400</v>
      </c>
      <c r="H1483" s="144" t="s">
        <v>730</v>
      </c>
      <c r="I1483" s="145"/>
      <c r="J1483" s="145"/>
      <c r="K1483" s="146">
        <v>46400</v>
      </c>
    </row>
    <row r="1484" spans="1:11" s="147" customFormat="1" ht="11.25" customHeight="1" x14ac:dyDescent="0.2">
      <c r="A1484" s="795" t="s">
        <v>9832</v>
      </c>
      <c r="B1484" s="138" t="s">
        <v>9676</v>
      </c>
      <c r="C1484" s="139" t="s">
        <v>9836</v>
      </c>
      <c r="D1484" s="140" t="s">
        <v>9837</v>
      </c>
      <c r="E1484" s="141" t="s">
        <v>9834</v>
      </c>
      <c r="F1484" s="142" t="s">
        <v>9835</v>
      </c>
      <c r="G1484" s="143">
        <v>46400</v>
      </c>
      <c r="H1484" s="144" t="s">
        <v>730</v>
      </c>
      <c r="I1484" s="145"/>
      <c r="J1484" s="145"/>
      <c r="K1484" s="146">
        <v>46400</v>
      </c>
    </row>
    <row r="1485" spans="1:11" s="147" customFormat="1" ht="11.25" customHeight="1" x14ac:dyDescent="0.2">
      <c r="A1485" s="795" t="s">
        <v>9838</v>
      </c>
      <c r="B1485" s="138" t="s">
        <v>9676</v>
      </c>
      <c r="C1485" s="139" t="s">
        <v>9839</v>
      </c>
      <c r="D1485" s="140" t="s">
        <v>9797</v>
      </c>
      <c r="E1485" s="141" t="s">
        <v>9840</v>
      </c>
      <c r="F1485" s="142" t="s">
        <v>9796</v>
      </c>
      <c r="G1485" s="143">
        <v>46400</v>
      </c>
      <c r="H1485" s="144" t="s">
        <v>730</v>
      </c>
      <c r="I1485" s="145"/>
      <c r="J1485" s="145"/>
      <c r="K1485" s="146">
        <v>46400</v>
      </c>
    </row>
    <row r="1486" spans="1:11" s="147" customFormat="1" ht="11.25" customHeight="1" x14ac:dyDescent="0.2">
      <c r="A1486" s="795" t="s">
        <v>9838</v>
      </c>
      <c r="B1486" s="138" t="s">
        <v>9676</v>
      </c>
      <c r="C1486" s="139" t="s">
        <v>9841</v>
      </c>
      <c r="D1486" s="140" t="s">
        <v>9798</v>
      </c>
      <c r="E1486" s="141" t="s">
        <v>9840</v>
      </c>
      <c r="F1486" s="142" t="s">
        <v>9796</v>
      </c>
      <c r="G1486" s="143">
        <v>46400</v>
      </c>
      <c r="H1486" s="144" t="s">
        <v>730</v>
      </c>
      <c r="I1486" s="145"/>
      <c r="J1486" s="145"/>
      <c r="K1486" s="146">
        <v>46400</v>
      </c>
    </row>
    <row r="1487" spans="1:11" s="147" customFormat="1" ht="11.25" customHeight="1" x14ac:dyDescent="0.2">
      <c r="A1487" s="795" t="s">
        <v>9838</v>
      </c>
      <c r="B1487" s="138" t="s">
        <v>9676</v>
      </c>
      <c r="C1487" s="139" t="s">
        <v>9842</v>
      </c>
      <c r="D1487" s="140" t="s">
        <v>9799</v>
      </c>
      <c r="E1487" s="141" t="s">
        <v>9840</v>
      </c>
      <c r="F1487" s="142" t="s">
        <v>9796</v>
      </c>
      <c r="G1487" s="143">
        <v>46400</v>
      </c>
      <c r="H1487" s="144" t="s">
        <v>730</v>
      </c>
      <c r="I1487" s="145"/>
      <c r="J1487" s="145"/>
      <c r="K1487" s="146">
        <v>46400</v>
      </c>
    </row>
    <row r="1488" spans="1:11" s="147" customFormat="1" ht="11.25" customHeight="1" x14ac:dyDescent="0.2">
      <c r="A1488" s="795" t="s">
        <v>9838</v>
      </c>
      <c r="B1488" s="138" t="s">
        <v>9676</v>
      </c>
      <c r="C1488" s="139" t="s">
        <v>9839</v>
      </c>
      <c r="D1488" s="140" t="s">
        <v>9800</v>
      </c>
      <c r="E1488" s="141" t="s">
        <v>9840</v>
      </c>
      <c r="F1488" s="142" t="s">
        <v>9796</v>
      </c>
      <c r="G1488" s="143">
        <v>46400</v>
      </c>
      <c r="H1488" s="144" t="s">
        <v>730</v>
      </c>
      <c r="I1488" s="145"/>
      <c r="J1488" s="145"/>
      <c r="K1488" s="146">
        <v>46400</v>
      </c>
    </row>
    <row r="1489" spans="1:11" s="147" customFormat="1" ht="11.25" customHeight="1" x14ac:dyDescent="0.2">
      <c r="A1489" s="795" t="s">
        <v>9838</v>
      </c>
      <c r="B1489" s="138" t="s">
        <v>9676</v>
      </c>
      <c r="C1489" s="139" t="s">
        <v>9841</v>
      </c>
      <c r="D1489" s="140" t="s">
        <v>9801</v>
      </c>
      <c r="E1489" s="141" t="s">
        <v>9840</v>
      </c>
      <c r="F1489" s="142" t="s">
        <v>9796</v>
      </c>
      <c r="G1489" s="143">
        <v>46400</v>
      </c>
      <c r="H1489" s="144" t="s">
        <v>730</v>
      </c>
      <c r="I1489" s="145"/>
      <c r="J1489" s="145"/>
      <c r="K1489" s="146">
        <v>46400</v>
      </c>
    </row>
    <row r="1490" spans="1:11" s="147" customFormat="1" ht="11.25" customHeight="1" x14ac:dyDescent="0.2">
      <c r="A1490" s="795" t="s">
        <v>9838</v>
      </c>
      <c r="B1490" s="138" t="s">
        <v>9676</v>
      </c>
      <c r="C1490" s="139" t="s">
        <v>9842</v>
      </c>
      <c r="D1490" s="140" t="s">
        <v>9837</v>
      </c>
      <c r="E1490" s="141" t="s">
        <v>9840</v>
      </c>
      <c r="F1490" s="142" t="s">
        <v>9796</v>
      </c>
      <c r="G1490" s="143">
        <v>46400</v>
      </c>
      <c r="H1490" s="144" t="s">
        <v>730</v>
      </c>
      <c r="I1490" s="145"/>
      <c r="J1490" s="145"/>
      <c r="K1490" s="146">
        <v>46400</v>
      </c>
    </row>
    <row r="1491" spans="1:11" s="147" customFormat="1" ht="11.25" customHeight="1" x14ac:dyDescent="0.2">
      <c r="A1491" s="795" t="s">
        <v>9843</v>
      </c>
      <c r="B1491" s="138" t="s">
        <v>9676</v>
      </c>
      <c r="C1491" s="139" t="s">
        <v>9844</v>
      </c>
      <c r="D1491" s="140" t="s">
        <v>9845</v>
      </c>
      <c r="E1491" s="141" t="s">
        <v>9846</v>
      </c>
      <c r="F1491" s="142" t="s">
        <v>9790</v>
      </c>
      <c r="G1491" s="143">
        <v>46400</v>
      </c>
      <c r="H1491" s="144" t="s">
        <v>730</v>
      </c>
      <c r="I1491" s="145"/>
      <c r="J1491" s="145"/>
      <c r="K1491" s="146">
        <v>46400</v>
      </c>
    </row>
    <row r="1492" spans="1:11" s="147" customFormat="1" ht="11.25" customHeight="1" x14ac:dyDescent="0.2">
      <c r="A1492" s="795" t="s">
        <v>9843</v>
      </c>
      <c r="B1492" s="138" t="s">
        <v>9676</v>
      </c>
      <c r="C1492" s="139" t="s">
        <v>9847</v>
      </c>
      <c r="D1492" s="140" t="s">
        <v>9848</v>
      </c>
      <c r="E1492" s="141" t="s">
        <v>9846</v>
      </c>
      <c r="F1492" s="142" t="s">
        <v>9790</v>
      </c>
      <c r="G1492" s="143">
        <v>46400</v>
      </c>
      <c r="H1492" s="144" t="s">
        <v>730</v>
      </c>
      <c r="I1492" s="145"/>
      <c r="J1492" s="145"/>
      <c r="K1492" s="146">
        <v>46400</v>
      </c>
    </row>
    <row r="1493" spans="1:11" s="147" customFormat="1" ht="11.25" customHeight="1" x14ac:dyDescent="0.2">
      <c r="A1493" s="795" t="s">
        <v>9843</v>
      </c>
      <c r="B1493" s="138" t="s">
        <v>9676</v>
      </c>
      <c r="C1493" s="139" t="s">
        <v>9849</v>
      </c>
      <c r="D1493" s="140" t="s">
        <v>9850</v>
      </c>
      <c r="E1493" s="141" t="s">
        <v>9846</v>
      </c>
      <c r="F1493" s="142" t="s">
        <v>9790</v>
      </c>
      <c r="G1493" s="143">
        <v>46400</v>
      </c>
      <c r="H1493" s="144" t="s">
        <v>730</v>
      </c>
      <c r="I1493" s="145"/>
      <c r="J1493" s="145"/>
      <c r="K1493" s="146">
        <v>46400</v>
      </c>
    </row>
    <row r="1494" spans="1:11" s="147" customFormat="1" ht="11.25" customHeight="1" x14ac:dyDescent="0.2">
      <c r="A1494" s="795" t="s">
        <v>9851</v>
      </c>
      <c r="B1494" s="138" t="s">
        <v>9676</v>
      </c>
      <c r="C1494" s="139" t="s">
        <v>9852</v>
      </c>
      <c r="D1494" s="140" t="s">
        <v>9853</v>
      </c>
      <c r="E1494" s="141" t="s">
        <v>9854</v>
      </c>
      <c r="F1494" s="142" t="s">
        <v>9829</v>
      </c>
      <c r="G1494" s="143">
        <v>46400</v>
      </c>
      <c r="H1494" s="144" t="s">
        <v>730</v>
      </c>
      <c r="I1494" s="145"/>
      <c r="J1494" s="145"/>
      <c r="K1494" s="146">
        <v>46400</v>
      </c>
    </row>
    <row r="1495" spans="1:11" s="147" customFormat="1" ht="11.25" customHeight="1" x14ac:dyDescent="0.2">
      <c r="A1495" s="795" t="s">
        <v>9851</v>
      </c>
      <c r="B1495" s="138" t="s">
        <v>9676</v>
      </c>
      <c r="C1495" s="139" t="s">
        <v>8108</v>
      </c>
      <c r="D1495" s="140" t="s">
        <v>8088</v>
      </c>
      <c r="E1495" s="141" t="s">
        <v>9854</v>
      </c>
      <c r="F1495" s="142" t="s">
        <v>9829</v>
      </c>
      <c r="G1495" s="143">
        <v>46400</v>
      </c>
      <c r="H1495" s="144" t="s">
        <v>730</v>
      </c>
      <c r="I1495" s="145"/>
      <c r="J1495" s="145"/>
      <c r="K1495" s="146">
        <v>46400</v>
      </c>
    </row>
    <row r="1496" spans="1:11" s="147" customFormat="1" ht="11.25" customHeight="1" x14ac:dyDescent="0.2">
      <c r="A1496" s="795" t="s">
        <v>9814</v>
      </c>
      <c r="B1496" s="138" t="s">
        <v>9676</v>
      </c>
      <c r="C1496" s="139" t="s">
        <v>9855</v>
      </c>
      <c r="D1496" s="140" t="s">
        <v>8194</v>
      </c>
      <c r="E1496" s="141" t="s">
        <v>9816</v>
      </c>
      <c r="F1496" s="142" t="s">
        <v>9803</v>
      </c>
      <c r="G1496" s="143">
        <v>60320</v>
      </c>
      <c r="H1496" s="144" t="s">
        <v>730</v>
      </c>
      <c r="I1496" s="145"/>
      <c r="J1496" s="145"/>
      <c r="K1496" s="146">
        <v>60320</v>
      </c>
    </row>
    <row r="1497" spans="1:11" s="147" customFormat="1" ht="11.25" customHeight="1" x14ac:dyDescent="0.2">
      <c r="A1497" s="795" t="s">
        <v>9814</v>
      </c>
      <c r="B1497" s="138" t="s">
        <v>9676</v>
      </c>
      <c r="C1497" s="139" t="s">
        <v>8146</v>
      </c>
      <c r="D1497" s="140" t="s">
        <v>8197</v>
      </c>
      <c r="E1497" s="141" t="s">
        <v>9816</v>
      </c>
      <c r="F1497" s="142" t="s">
        <v>9803</v>
      </c>
      <c r="G1497" s="143">
        <v>60320</v>
      </c>
      <c r="H1497" s="144" t="s">
        <v>730</v>
      </c>
      <c r="I1497" s="145"/>
      <c r="J1497" s="145"/>
      <c r="K1497" s="146">
        <v>60320</v>
      </c>
    </row>
    <row r="1498" spans="1:11" s="147" customFormat="1" ht="11.25" customHeight="1" x14ac:dyDescent="0.2">
      <c r="A1498" s="795" t="s">
        <v>9814</v>
      </c>
      <c r="B1498" s="138" t="s">
        <v>9676</v>
      </c>
      <c r="C1498" s="139" t="s">
        <v>2626</v>
      </c>
      <c r="D1498" s="140" t="s">
        <v>9856</v>
      </c>
      <c r="E1498" s="141" t="s">
        <v>9816</v>
      </c>
      <c r="F1498" s="142" t="s">
        <v>9803</v>
      </c>
      <c r="G1498" s="143">
        <v>60320</v>
      </c>
      <c r="H1498" s="144" t="s">
        <v>730</v>
      </c>
      <c r="I1498" s="145"/>
      <c r="J1498" s="145"/>
      <c r="K1498" s="146">
        <v>60320</v>
      </c>
    </row>
    <row r="1499" spans="1:11" s="147" customFormat="1" ht="11.25" customHeight="1" x14ac:dyDescent="0.2">
      <c r="A1499" s="795" t="s">
        <v>9814</v>
      </c>
      <c r="B1499" s="138" t="s">
        <v>9676</v>
      </c>
      <c r="C1499" s="139" t="s">
        <v>8125</v>
      </c>
      <c r="D1499" s="140" t="s">
        <v>9857</v>
      </c>
      <c r="E1499" s="141" t="s">
        <v>9816</v>
      </c>
      <c r="F1499" s="142" t="s">
        <v>9803</v>
      </c>
      <c r="G1499" s="143">
        <v>60320</v>
      </c>
      <c r="H1499" s="144" t="s">
        <v>730</v>
      </c>
      <c r="I1499" s="145"/>
      <c r="J1499" s="145"/>
      <c r="K1499" s="146">
        <v>60320</v>
      </c>
    </row>
    <row r="1500" spans="1:11" s="147" customFormat="1" ht="11.25" customHeight="1" x14ac:dyDescent="0.2">
      <c r="A1500" s="795" t="s">
        <v>9858</v>
      </c>
      <c r="B1500" s="138" t="s">
        <v>9676</v>
      </c>
      <c r="C1500" s="139" t="s">
        <v>9859</v>
      </c>
      <c r="D1500" s="140" t="s">
        <v>9860</v>
      </c>
      <c r="E1500" s="141" t="s">
        <v>9861</v>
      </c>
      <c r="F1500" s="142" t="s">
        <v>9803</v>
      </c>
      <c r="G1500" s="143">
        <v>60320</v>
      </c>
      <c r="H1500" s="144" t="s">
        <v>730</v>
      </c>
      <c r="I1500" s="145"/>
      <c r="J1500" s="145"/>
      <c r="K1500" s="146">
        <v>60320</v>
      </c>
    </row>
    <row r="1501" spans="1:11" s="147" customFormat="1" ht="11.25" customHeight="1" x14ac:dyDescent="0.2">
      <c r="A1501" s="795" t="s">
        <v>9858</v>
      </c>
      <c r="B1501" s="138" t="s">
        <v>9676</v>
      </c>
      <c r="C1501" s="139" t="s">
        <v>9862</v>
      </c>
      <c r="D1501" s="140" t="s">
        <v>9863</v>
      </c>
      <c r="E1501" s="141" t="s">
        <v>9861</v>
      </c>
      <c r="F1501" s="142" t="s">
        <v>9803</v>
      </c>
      <c r="G1501" s="143">
        <v>60320</v>
      </c>
      <c r="H1501" s="144" t="s">
        <v>730</v>
      </c>
      <c r="I1501" s="145"/>
      <c r="J1501" s="145"/>
      <c r="K1501" s="146">
        <v>60320</v>
      </c>
    </row>
    <row r="1502" spans="1:11" s="147" customFormat="1" ht="11.25" customHeight="1" x14ac:dyDescent="0.2">
      <c r="A1502" s="795" t="s">
        <v>9858</v>
      </c>
      <c r="B1502" s="138" t="s">
        <v>9676</v>
      </c>
      <c r="C1502" s="139" t="s">
        <v>8189</v>
      </c>
      <c r="D1502" s="140" t="s">
        <v>9864</v>
      </c>
      <c r="E1502" s="141" t="s">
        <v>9861</v>
      </c>
      <c r="F1502" s="142" t="s">
        <v>9803</v>
      </c>
      <c r="G1502" s="143">
        <v>60320</v>
      </c>
      <c r="H1502" s="144" t="s">
        <v>730</v>
      </c>
      <c r="I1502" s="145"/>
      <c r="J1502" s="145"/>
      <c r="K1502" s="146">
        <v>60320</v>
      </c>
    </row>
    <row r="1503" spans="1:11" s="147" customFormat="1" ht="11.25" customHeight="1" x14ac:dyDescent="0.2">
      <c r="A1503" s="795" t="s">
        <v>9858</v>
      </c>
      <c r="B1503" s="138" t="s">
        <v>9676</v>
      </c>
      <c r="C1503" s="139" t="s">
        <v>8186</v>
      </c>
      <c r="D1503" s="140" t="s">
        <v>9865</v>
      </c>
      <c r="E1503" s="141" t="s">
        <v>9861</v>
      </c>
      <c r="F1503" s="142" t="s">
        <v>9803</v>
      </c>
      <c r="G1503" s="143">
        <v>60320</v>
      </c>
      <c r="H1503" s="144" t="s">
        <v>730</v>
      </c>
      <c r="I1503" s="145"/>
      <c r="J1503" s="145"/>
      <c r="K1503" s="146">
        <v>60320</v>
      </c>
    </row>
    <row r="1504" spans="1:11" s="147" customFormat="1" ht="11.25" customHeight="1" x14ac:dyDescent="0.2">
      <c r="A1504" s="795" t="s">
        <v>9858</v>
      </c>
      <c r="B1504" s="138" t="s">
        <v>9676</v>
      </c>
      <c r="C1504" s="139" t="s">
        <v>8189</v>
      </c>
      <c r="D1504" s="140" t="s">
        <v>9866</v>
      </c>
      <c r="E1504" s="141" t="s">
        <v>9861</v>
      </c>
      <c r="F1504" s="142" t="s">
        <v>9803</v>
      </c>
      <c r="G1504" s="143">
        <v>60320</v>
      </c>
      <c r="H1504" s="144" t="s">
        <v>730</v>
      </c>
      <c r="I1504" s="145"/>
      <c r="J1504" s="145"/>
      <c r="K1504" s="146">
        <v>60320</v>
      </c>
    </row>
    <row r="1505" spans="1:11" s="147" customFormat="1" ht="11.25" customHeight="1" x14ac:dyDescent="0.2">
      <c r="A1505" s="795" t="s">
        <v>9858</v>
      </c>
      <c r="B1505" s="138" t="s">
        <v>9676</v>
      </c>
      <c r="C1505" s="139" t="s">
        <v>8186</v>
      </c>
      <c r="D1505" s="140" t="s">
        <v>9867</v>
      </c>
      <c r="E1505" s="141" t="s">
        <v>9861</v>
      </c>
      <c r="F1505" s="142" t="s">
        <v>9803</v>
      </c>
      <c r="G1505" s="143">
        <v>60320</v>
      </c>
      <c r="H1505" s="144" t="s">
        <v>730</v>
      </c>
      <c r="I1505" s="145"/>
      <c r="J1505" s="145"/>
      <c r="K1505" s="146">
        <v>60320</v>
      </c>
    </row>
    <row r="1506" spans="1:11" s="147" customFormat="1" ht="11.25" customHeight="1" x14ac:dyDescent="0.2">
      <c r="A1506" s="795" t="s">
        <v>9858</v>
      </c>
      <c r="B1506" s="138" t="s">
        <v>9676</v>
      </c>
      <c r="C1506" s="139" t="s">
        <v>8186</v>
      </c>
      <c r="D1506" s="140" t="s">
        <v>9868</v>
      </c>
      <c r="E1506" s="141" t="s">
        <v>9861</v>
      </c>
      <c r="F1506" s="142" t="s">
        <v>9803</v>
      </c>
      <c r="G1506" s="143">
        <v>60320</v>
      </c>
      <c r="H1506" s="144" t="s">
        <v>730</v>
      </c>
      <c r="I1506" s="145"/>
      <c r="J1506" s="145"/>
      <c r="K1506" s="146">
        <v>60320</v>
      </c>
    </row>
    <row r="1507" spans="1:11" s="147" customFormat="1" ht="11.25" customHeight="1" x14ac:dyDescent="0.2">
      <c r="A1507" s="795" t="s">
        <v>9858</v>
      </c>
      <c r="B1507" s="138" t="s">
        <v>9676</v>
      </c>
      <c r="C1507" s="139" t="s">
        <v>9869</v>
      </c>
      <c r="D1507" s="140" t="s">
        <v>9870</v>
      </c>
      <c r="E1507" s="141" t="s">
        <v>9861</v>
      </c>
      <c r="F1507" s="142" t="s">
        <v>9803</v>
      </c>
      <c r="G1507" s="143">
        <v>60320</v>
      </c>
      <c r="H1507" s="144" t="s">
        <v>730</v>
      </c>
      <c r="I1507" s="145"/>
      <c r="J1507" s="145"/>
      <c r="K1507" s="146">
        <v>60320</v>
      </c>
    </row>
    <row r="1508" spans="1:11" s="147" customFormat="1" ht="11.25" customHeight="1" x14ac:dyDescent="0.2">
      <c r="A1508" s="795" t="s">
        <v>9858</v>
      </c>
      <c r="B1508" s="138" t="s">
        <v>9676</v>
      </c>
      <c r="C1508" s="139" t="s">
        <v>8189</v>
      </c>
      <c r="D1508" s="140" t="s">
        <v>9871</v>
      </c>
      <c r="E1508" s="141" t="s">
        <v>9861</v>
      </c>
      <c r="F1508" s="142" t="s">
        <v>9803</v>
      </c>
      <c r="G1508" s="143">
        <v>60320</v>
      </c>
      <c r="H1508" s="144" t="s">
        <v>730</v>
      </c>
      <c r="I1508" s="145"/>
      <c r="J1508" s="145"/>
      <c r="K1508" s="146">
        <v>60320</v>
      </c>
    </row>
    <row r="1509" spans="1:11" s="147" customFormat="1" ht="11.25" customHeight="1" x14ac:dyDescent="0.2">
      <c r="A1509" s="795" t="s">
        <v>9872</v>
      </c>
      <c r="B1509" s="138" t="s">
        <v>9676</v>
      </c>
      <c r="C1509" s="139" t="s">
        <v>8104</v>
      </c>
      <c r="D1509" s="140" t="s">
        <v>9873</v>
      </c>
      <c r="E1509" s="141" t="s">
        <v>9874</v>
      </c>
      <c r="F1509" s="142" t="s">
        <v>9875</v>
      </c>
      <c r="G1509" s="143">
        <v>176133.99</v>
      </c>
      <c r="H1509" s="144" t="s">
        <v>730</v>
      </c>
      <c r="I1509" s="145"/>
      <c r="J1509" s="145"/>
      <c r="K1509" s="146">
        <v>176133.99</v>
      </c>
    </row>
    <row r="1510" spans="1:11" s="147" customFormat="1" ht="11.25" customHeight="1" x14ac:dyDescent="0.2">
      <c r="A1510" s="795" t="s">
        <v>9872</v>
      </c>
      <c r="B1510" s="138" t="s">
        <v>9676</v>
      </c>
      <c r="C1510" s="139" t="s">
        <v>8178</v>
      </c>
      <c r="D1510" s="140" t="s">
        <v>9876</v>
      </c>
      <c r="E1510" s="141" t="s">
        <v>9874</v>
      </c>
      <c r="F1510" s="142" t="s">
        <v>9877</v>
      </c>
      <c r="G1510" s="143">
        <v>176133.99</v>
      </c>
      <c r="H1510" s="144" t="s">
        <v>730</v>
      </c>
      <c r="I1510" s="145"/>
      <c r="J1510" s="145"/>
      <c r="K1510" s="146">
        <v>176133.99</v>
      </c>
    </row>
    <row r="1511" spans="1:11" s="147" customFormat="1" ht="11.25" customHeight="1" x14ac:dyDescent="0.2">
      <c r="A1511" s="795" t="s">
        <v>9814</v>
      </c>
      <c r="B1511" s="138" t="s">
        <v>9676</v>
      </c>
      <c r="C1511" s="139" t="s">
        <v>9459</v>
      </c>
      <c r="D1511" s="140" t="s">
        <v>8201</v>
      </c>
      <c r="E1511" s="141" t="s">
        <v>9816</v>
      </c>
      <c r="F1511" s="142" t="s">
        <v>9877</v>
      </c>
      <c r="G1511" s="143">
        <v>180000</v>
      </c>
      <c r="H1511" s="144" t="s">
        <v>730</v>
      </c>
      <c r="I1511" s="145"/>
      <c r="J1511" s="145"/>
      <c r="K1511" s="146">
        <v>180000</v>
      </c>
    </row>
    <row r="1512" spans="1:11" s="147" customFormat="1" ht="11.25" customHeight="1" x14ac:dyDescent="0.2">
      <c r="A1512" s="795" t="s">
        <v>9814</v>
      </c>
      <c r="B1512" s="138" t="s">
        <v>9676</v>
      </c>
      <c r="C1512" s="139" t="s">
        <v>9878</v>
      </c>
      <c r="D1512" s="140" t="s">
        <v>9574</v>
      </c>
      <c r="E1512" s="141" t="s">
        <v>9816</v>
      </c>
      <c r="F1512" s="142" t="s">
        <v>9877</v>
      </c>
      <c r="G1512" s="143">
        <v>180000</v>
      </c>
      <c r="H1512" s="144" t="s">
        <v>730</v>
      </c>
      <c r="I1512" s="145"/>
      <c r="J1512" s="145"/>
      <c r="K1512" s="146">
        <v>180000</v>
      </c>
    </row>
    <row r="1513" spans="1:11" s="147" customFormat="1" ht="11.25" customHeight="1" x14ac:dyDescent="0.2">
      <c r="A1513" s="795" t="s">
        <v>9810</v>
      </c>
      <c r="B1513" s="138" t="s">
        <v>9676</v>
      </c>
      <c r="C1513" s="139" t="s">
        <v>9879</v>
      </c>
      <c r="D1513" s="140" t="s">
        <v>9880</v>
      </c>
      <c r="E1513" s="141" t="s">
        <v>9813</v>
      </c>
      <c r="F1513" s="142" t="s">
        <v>9875</v>
      </c>
      <c r="G1513" s="143">
        <v>360713.99</v>
      </c>
      <c r="H1513" s="144" t="s">
        <v>730</v>
      </c>
      <c r="I1513" s="145"/>
      <c r="J1513" s="145"/>
      <c r="K1513" s="146">
        <v>360713.99</v>
      </c>
    </row>
    <row r="1514" spans="1:11" s="147" customFormat="1" ht="11.25" customHeight="1" x14ac:dyDescent="0.2">
      <c r="A1514" s="795" t="s">
        <v>9872</v>
      </c>
      <c r="B1514" s="138" t="s">
        <v>9676</v>
      </c>
      <c r="C1514" s="139" t="s">
        <v>8173</v>
      </c>
      <c r="D1514" s="140" t="s">
        <v>9881</v>
      </c>
      <c r="E1514" s="141" t="s">
        <v>9874</v>
      </c>
      <c r="F1514" s="142" t="s">
        <v>9875</v>
      </c>
      <c r="G1514" s="143">
        <v>360713.99</v>
      </c>
      <c r="H1514" s="144" t="s">
        <v>730</v>
      </c>
      <c r="I1514" s="145"/>
      <c r="J1514" s="145"/>
      <c r="K1514" s="146">
        <v>360713.99</v>
      </c>
    </row>
    <row r="1515" spans="1:11" s="147" customFormat="1" ht="11.25" customHeight="1" x14ac:dyDescent="0.2">
      <c r="A1515" s="795" t="s">
        <v>9872</v>
      </c>
      <c r="B1515" s="138" t="s">
        <v>9676</v>
      </c>
      <c r="C1515" s="139" t="s">
        <v>8105</v>
      </c>
      <c r="D1515" s="140" t="s">
        <v>9882</v>
      </c>
      <c r="E1515" s="141" t="s">
        <v>9874</v>
      </c>
      <c r="F1515" s="142" t="s">
        <v>9875</v>
      </c>
      <c r="G1515" s="143">
        <v>360713.99</v>
      </c>
      <c r="H1515" s="144" t="s">
        <v>730</v>
      </c>
      <c r="I1515" s="145"/>
      <c r="J1515" s="145"/>
      <c r="K1515" s="146">
        <v>360713.99</v>
      </c>
    </row>
    <row r="1516" spans="1:11" s="147" customFormat="1" ht="11.25" customHeight="1" x14ac:dyDescent="0.2">
      <c r="A1516" s="795" t="s">
        <v>9883</v>
      </c>
      <c r="B1516" s="138" t="s">
        <v>9676</v>
      </c>
      <c r="C1516" s="139" t="s">
        <v>9884</v>
      </c>
      <c r="D1516" s="140" t="s">
        <v>9885</v>
      </c>
      <c r="E1516" s="141" t="s">
        <v>9886</v>
      </c>
      <c r="F1516" s="142" t="s">
        <v>9887</v>
      </c>
      <c r="G1516" s="143">
        <v>2500</v>
      </c>
      <c r="H1516" s="144" t="s">
        <v>730</v>
      </c>
      <c r="I1516" s="145"/>
      <c r="J1516" s="145"/>
      <c r="K1516" s="146">
        <v>2500</v>
      </c>
    </row>
    <row r="1517" spans="1:11" s="147" customFormat="1" ht="11.25" customHeight="1" x14ac:dyDescent="0.2">
      <c r="A1517" s="795" t="s">
        <v>9888</v>
      </c>
      <c r="B1517" s="138" t="s">
        <v>9676</v>
      </c>
      <c r="C1517" s="139" t="s">
        <v>9756</v>
      </c>
      <c r="D1517" s="140" t="s">
        <v>9889</v>
      </c>
      <c r="E1517" s="141" t="s">
        <v>9563</v>
      </c>
      <c r="F1517" s="142" t="s">
        <v>9890</v>
      </c>
      <c r="G1517" s="143">
        <v>77784.960000000006</v>
      </c>
      <c r="H1517" s="144" t="s">
        <v>730</v>
      </c>
      <c r="I1517" s="145"/>
      <c r="J1517" s="145"/>
      <c r="K1517" s="146">
        <v>77784.960000000006</v>
      </c>
    </row>
    <row r="1518" spans="1:11" s="147" customFormat="1" ht="11.25" customHeight="1" x14ac:dyDescent="0.2">
      <c r="A1518" s="795" t="s">
        <v>9891</v>
      </c>
      <c r="B1518" s="138" t="s">
        <v>9676</v>
      </c>
      <c r="C1518" s="139" t="s">
        <v>9892</v>
      </c>
      <c r="D1518" s="140" t="s">
        <v>9893</v>
      </c>
      <c r="E1518" s="141" t="s">
        <v>9674</v>
      </c>
      <c r="F1518" s="142" t="s">
        <v>9894</v>
      </c>
      <c r="G1518" s="143">
        <v>2030</v>
      </c>
      <c r="H1518" s="144" t="s">
        <v>730</v>
      </c>
      <c r="I1518" s="145"/>
      <c r="J1518" s="145"/>
      <c r="K1518" s="146">
        <v>2030</v>
      </c>
    </row>
    <row r="1519" spans="1:11" s="147" customFormat="1" ht="11.25" customHeight="1" x14ac:dyDescent="0.2">
      <c r="A1519" s="795" t="s">
        <v>9891</v>
      </c>
      <c r="B1519" s="138" t="s">
        <v>9676</v>
      </c>
      <c r="C1519" s="139" t="s">
        <v>9892</v>
      </c>
      <c r="D1519" s="140" t="s">
        <v>9895</v>
      </c>
      <c r="E1519" s="141" t="s">
        <v>9674</v>
      </c>
      <c r="F1519" s="142" t="s">
        <v>9894</v>
      </c>
      <c r="G1519" s="143">
        <v>2030</v>
      </c>
      <c r="H1519" s="144" t="s">
        <v>730</v>
      </c>
      <c r="I1519" s="145"/>
      <c r="J1519" s="145"/>
      <c r="K1519" s="146">
        <v>2030</v>
      </c>
    </row>
    <row r="1520" spans="1:11" s="147" customFormat="1" ht="11.25" customHeight="1" x14ac:dyDescent="0.2">
      <c r="A1520" s="795" t="s">
        <v>9891</v>
      </c>
      <c r="B1520" s="138" t="s">
        <v>9676</v>
      </c>
      <c r="C1520" s="139" t="s">
        <v>9892</v>
      </c>
      <c r="D1520" s="140" t="s">
        <v>8135</v>
      </c>
      <c r="E1520" s="141" t="s">
        <v>9674</v>
      </c>
      <c r="F1520" s="142" t="s">
        <v>9896</v>
      </c>
      <c r="G1520" s="143">
        <v>4152.8</v>
      </c>
      <c r="H1520" s="144" t="s">
        <v>730</v>
      </c>
      <c r="I1520" s="145"/>
      <c r="J1520" s="145"/>
      <c r="K1520" s="146">
        <v>4152.8</v>
      </c>
    </row>
    <row r="1521" spans="1:11" s="147" customFormat="1" ht="11.25" customHeight="1" x14ac:dyDescent="0.2">
      <c r="A1521" s="795" t="s">
        <v>9891</v>
      </c>
      <c r="B1521" s="138" t="s">
        <v>9676</v>
      </c>
      <c r="C1521" s="139" t="s">
        <v>9892</v>
      </c>
      <c r="D1521" s="140" t="s">
        <v>9897</v>
      </c>
      <c r="E1521" s="141" t="s">
        <v>9674</v>
      </c>
      <c r="F1521" s="142" t="s">
        <v>9896</v>
      </c>
      <c r="G1521" s="143">
        <v>4152.8</v>
      </c>
      <c r="H1521" s="144" t="s">
        <v>730</v>
      </c>
      <c r="I1521" s="145"/>
      <c r="J1521" s="145"/>
      <c r="K1521" s="146">
        <v>4152.8</v>
      </c>
    </row>
    <row r="1522" spans="1:11" s="147" customFormat="1" ht="11.25" customHeight="1" x14ac:dyDescent="0.2">
      <c r="A1522" s="795" t="s">
        <v>9898</v>
      </c>
      <c r="B1522" s="138" t="s">
        <v>9676</v>
      </c>
      <c r="C1522" s="139" t="s">
        <v>9899</v>
      </c>
      <c r="D1522" s="140" t="s">
        <v>9900</v>
      </c>
      <c r="E1522" s="141" t="s">
        <v>9901</v>
      </c>
      <c r="F1522" s="142" t="s">
        <v>9803</v>
      </c>
      <c r="G1522" s="143">
        <v>66010.570000000007</v>
      </c>
      <c r="H1522" s="144" t="s">
        <v>730</v>
      </c>
      <c r="I1522" s="145"/>
      <c r="J1522" s="145"/>
      <c r="K1522" s="146">
        <v>66010.570000000007</v>
      </c>
    </row>
    <row r="1523" spans="1:11" s="147" customFormat="1" ht="11.25" customHeight="1" x14ac:dyDescent="0.2">
      <c r="A1523" s="795" t="s">
        <v>9898</v>
      </c>
      <c r="B1523" s="138" t="s">
        <v>9676</v>
      </c>
      <c r="C1523" s="139" t="s">
        <v>9902</v>
      </c>
      <c r="D1523" s="140" t="s">
        <v>9903</v>
      </c>
      <c r="E1523" s="141" t="s">
        <v>9901</v>
      </c>
      <c r="F1523" s="142" t="s">
        <v>9803</v>
      </c>
      <c r="G1523" s="143">
        <v>66010.570000000007</v>
      </c>
      <c r="H1523" s="144" t="s">
        <v>730</v>
      </c>
      <c r="I1523" s="145"/>
      <c r="J1523" s="145"/>
      <c r="K1523" s="146">
        <v>66010.570000000007</v>
      </c>
    </row>
    <row r="1524" spans="1:11" s="147" customFormat="1" ht="11.25" customHeight="1" x14ac:dyDescent="0.2">
      <c r="A1524" s="795" t="s">
        <v>9898</v>
      </c>
      <c r="B1524" s="138" t="s">
        <v>9676</v>
      </c>
      <c r="C1524" s="139" t="s">
        <v>9904</v>
      </c>
      <c r="D1524" s="140" t="s">
        <v>9905</v>
      </c>
      <c r="E1524" s="141" t="s">
        <v>9901</v>
      </c>
      <c r="F1524" s="142" t="s">
        <v>9803</v>
      </c>
      <c r="G1524" s="143">
        <v>66010.570000000007</v>
      </c>
      <c r="H1524" s="144" t="s">
        <v>730</v>
      </c>
      <c r="I1524" s="145"/>
      <c r="J1524" s="145"/>
      <c r="K1524" s="146">
        <v>66010.570000000007</v>
      </c>
    </row>
    <row r="1525" spans="1:11" s="147" customFormat="1" ht="11.25" customHeight="1" x14ac:dyDescent="0.2">
      <c r="A1525" s="795" t="s">
        <v>9898</v>
      </c>
      <c r="B1525" s="138" t="s">
        <v>9676</v>
      </c>
      <c r="C1525" s="139" t="s">
        <v>9904</v>
      </c>
      <c r="D1525" s="140" t="s">
        <v>9906</v>
      </c>
      <c r="E1525" s="141" t="s">
        <v>9901</v>
      </c>
      <c r="F1525" s="142" t="s">
        <v>9779</v>
      </c>
      <c r="G1525" s="143">
        <v>142264.15</v>
      </c>
      <c r="H1525" s="144" t="s">
        <v>730</v>
      </c>
      <c r="I1525" s="145"/>
      <c r="J1525" s="145"/>
      <c r="K1525" s="146">
        <v>142264.15</v>
      </c>
    </row>
    <row r="1526" spans="1:11" s="147" customFormat="1" ht="11.25" customHeight="1" x14ac:dyDescent="0.2">
      <c r="A1526" s="795" t="s">
        <v>9898</v>
      </c>
      <c r="B1526" s="138" t="s">
        <v>9676</v>
      </c>
      <c r="C1526" s="139" t="s">
        <v>9902</v>
      </c>
      <c r="D1526" s="140" t="s">
        <v>9907</v>
      </c>
      <c r="E1526" s="141" t="s">
        <v>9901</v>
      </c>
      <c r="F1526" s="142" t="s">
        <v>9779</v>
      </c>
      <c r="G1526" s="143">
        <v>142264.15</v>
      </c>
      <c r="H1526" s="144" t="s">
        <v>730</v>
      </c>
      <c r="I1526" s="145"/>
      <c r="J1526" s="145"/>
      <c r="K1526" s="146">
        <v>142264.15</v>
      </c>
    </row>
    <row r="1527" spans="1:11" s="147" customFormat="1" ht="11.25" customHeight="1" x14ac:dyDescent="0.2">
      <c r="A1527" s="795" t="s">
        <v>9898</v>
      </c>
      <c r="B1527" s="138" t="s">
        <v>9676</v>
      </c>
      <c r="C1527" s="139" t="s">
        <v>9899</v>
      </c>
      <c r="D1527" s="140" t="s">
        <v>9908</v>
      </c>
      <c r="E1527" s="141" t="s">
        <v>9901</v>
      </c>
      <c r="F1527" s="142" t="s">
        <v>9779</v>
      </c>
      <c r="G1527" s="143">
        <v>142264.15</v>
      </c>
      <c r="H1527" s="144" t="s">
        <v>730</v>
      </c>
      <c r="I1527" s="145"/>
      <c r="J1527" s="145"/>
      <c r="K1527" s="146">
        <v>142264.15</v>
      </c>
    </row>
    <row r="1528" spans="1:11" s="147" customFormat="1" ht="11.25" customHeight="1" x14ac:dyDescent="0.2">
      <c r="A1528" s="795" t="s">
        <v>9909</v>
      </c>
      <c r="B1528" s="138" t="s">
        <v>9676</v>
      </c>
      <c r="C1528" s="139" t="s">
        <v>9910</v>
      </c>
      <c r="D1528" s="140" t="s">
        <v>9911</v>
      </c>
      <c r="E1528" s="141" t="s">
        <v>9912</v>
      </c>
      <c r="F1528" s="142" t="s">
        <v>9790</v>
      </c>
      <c r="G1528" s="143">
        <v>50777.36</v>
      </c>
      <c r="H1528" s="144" t="s">
        <v>730</v>
      </c>
      <c r="I1528" s="145"/>
      <c r="J1528" s="145"/>
      <c r="K1528" s="146">
        <v>50777.36</v>
      </c>
    </row>
    <row r="1529" spans="1:11" s="147" customFormat="1" ht="11.25" customHeight="1" x14ac:dyDescent="0.2">
      <c r="A1529" s="795" t="s">
        <v>9909</v>
      </c>
      <c r="B1529" s="138" t="s">
        <v>9676</v>
      </c>
      <c r="C1529" s="139" t="s">
        <v>9913</v>
      </c>
      <c r="D1529" s="140" t="s">
        <v>9914</v>
      </c>
      <c r="E1529" s="141" t="s">
        <v>9912</v>
      </c>
      <c r="F1529" s="142" t="s">
        <v>9790</v>
      </c>
      <c r="G1529" s="143">
        <v>50777.36</v>
      </c>
      <c r="H1529" s="144" t="s">
        <v>730</v>
      </c>
      <c r="I1529" s="145"/>
      <c r="J1529" s="145"/>
      <c r="K1529" s="146">
        <v>50777.36</v>
      </c>
    </row>
    <row r="1530" spans="1:11" s="147" customFormat="1" ht="11.25" customHeight="1" x14ac:dyDescent="0.2">
      <c r="A1530" s="795" t="s">
        <v>9909</v>
      </c>
      <c r="B1530" s="138" t="s">
        <v>9676</v>
      </c>
      <c r="C1530" s="139" t="s">
        <v>8103</v>
      </c>
      <c r="D1530" s="140" t="s">
        <v>9915</v>
      </c>
      <c r="E1530" s="141" t="s">
        <v>9912</v>
      </c>
      <c r="F1530" s="142" t="s">
        <v>9790</v>
      </c>
      <c r="G1530" s="143">
        <v>50777.36</v>
      </c>
      <c r="H1530" s="144" t="s">
        <v>730</v>
      </c>
      <c r="I1530" s="145"/>
      <c r="J1530" s="145"/>
      <c r="K1530" s="146">
        <v>50777.36</v>
      </c>
    </row>
    <row r="1531" spans="1:11" s="147" customFormat="1" ht="11.25" customHeight="1" x14ac:dyDescent="0.2">
      <c r="A1531" s="795" t="s">
        <v>9909</v>
      </c>
      <c r="B1531" s="138" t="s">
        <v>9676</v>
      </c>
      <c r="C1531" s="139" t="s">
        <v>9910</v>
      </c>
      <c r="D1531" s="140" t="s">
        <v>9916</v>
      </c>
      <c r="E1531" s="141" t="s">
        <v>9912</v>
      </c>
      <c r="F1531" s="142" t="s">
        <v>9790</v>
      </c>
      <c r="G1531" s="143">
        <v>50777.36</v>
      </c>
      <c r="H1531" s="144" t="s">
        <v>730</v>
      </c>
      <c r="I1531" s="145"/>
      <c r="J1531" s="145"/>
      <c r="K1531" s="146">
        <v>50777.36</v>
      </c>
    </row>
    <row r="1532" spans="1:11" s="147" customFormat="1" ht="11.25" customHeight="1" x14ac:dyDescent="0.2">
      <c r="A1532" s="795" t="s">
        <v>9909</v>
      </c>
      <c r="B1532" s="138" t="s">
        <v>9676</v>
      </c>
      <c r="C1532" s="139" t="s">
        <v>8103</v>
      </c>
      <c r="D1532" s="140" t="s">
        <v>9917</v>
      </c>
      <c r="E1532" s="141" t="s">
        <v>9912</v>
      </c>
      <c r="F1532" s="142" t="s">
        <v>9790</v>
      </c>
      <c r="G1532" s="143">
        <v>50777.36</v>
      </c>
      <c r="H1532" s="144" t="s">
        <v>730</v>
      </c>
      <c r="I1532" s="145"/>
      <c r="J1532" s="145"/>
      <c r="K1532" s="146">
        <v>50777.36</v>
      </c>
    </row>
    <row r="1533" spans="1:11" s="147" customFormat="1" ht="11.25" customHeight="1" x14ac:dyDescent="0.2">
      <c r="A1533" s="795" t="s">
        <v>9918</v>
      </c>
      <c r="B1533" s="138" t="s">
        <v>9676</v>
      </c>
      <c r="C1533" s="139" t="s">
        <v>9919</v>
      </c>
      <c r="D1533" s="140" t="s">
        <v>9920</v>
      </c>
      <c r="E1533" s="141" t="s">
        <v>9921</v>
      </c>
      <c r="F1533" s="142" t="s">
        <v>9790</v>
      </c>
      <c r="G1533" s="143">
        <v>50777.36</v>
      </c>
      <c r="H1533" s="144" t="s">
        <v>730</v>
      </c>
      <c r="I1533" s="145"/>
      <c r="J1533" s="145"/>
      <c r="K1533" s="146">
        <v>50777.36</v>
      </c>
    </row>
    <row r="1534" spans="1:11" s="147" customFormat="1" ht="11.25" customHeight="1" x14ac:dyDescent="0.2">
      <c r="A1534" s="795" t="s">
        <v>9918</v>
      </c>
      <c r="B1534" s="138" t="s">
        <v>9676</v>
      </c>
      <c r="C1534" s="139" t="s">
        <v>9919</v>
      </c>
      <c r="D1534" s="140" t="s">
        <v>9922</v>
      </c>
      <c r="E1534" s="141" t="s">
        <v>9921</v>
      </c>
      <c r="F1534" s="142" t="s">
        <v>9790</v>
      </c>
      <c r="G1534" s="143">
        <v>50777.36</v>
      </c>
      <c r="H1534" s="144" t="s">
        <v>730</v>
      </c>
      <c r="I1534" s="145"/>
      <c r="J1534" s="145"/>
      <c r="K1534" s="146">
        <v>50777.36</v>
      </c>
    </row>
    <row r="1535" spans="1:11" s="147" customFormat="1" ht="11.25" customHeight="1" x14ac:dyDescent="0.2">
      <c r="A1535" s="795" t="s">
        <v>9918</v>
      </c>
      <c r="B1535" s="138" t="s">
        <v>9676</v>
      </c>
      <c r="C1535" s="139" t="s">
        <v>9919</v>
      </c>
      <c r="D1535" s="140" t="s">
        <v>9923</v>
      </c>
      <c r="E1535" s="141" t="s">
        <v>9921</v>
      </c>
      <c r="F1535" s="142" t="s">
        <v>9790</v>
      </c>
      <c r="G1535" s="143">
        <v>50777.36</v>
      </c>
      <c r="H1535" s="144" t="s">
        <v>730</v>
      </c>
      <c r="I1535" s="145"/>
      <c r="J1535" s="145"/>
      <c r="K1535" s="146">
        <v>50777.36</v>
      </c>
    </row>
    <row r="1536" spans="1:11" s="147" customFormat="1" ht="11.25" customHeight="1" x14ac:dyDescent="0.2">
      <c r="A1536" s="795" t="s">
        <v>9918</v>
      </c>
      <c r="B1536" s="138" t="s">
        <v>9676</v>
      </c>
      <c r="C1536" s="139" t="s">
        <v>9919</v>
      </c>
      <c r="D1536" s="140" t="s">
        <v>9924</v>
      </c>
      <c r="E1536" s="141" t="s">
        <v>9921</v>
      </c>
      <c r="F1536" s="142" t="s">
        <v>9790</v>
      </c>
      <c r="G1536" s="143">
        <v>50777.36</v>
      </c>
      <c r="H1536" s="144" t="s">
        <v>730</v>
      </c>
      <c r="I1536" s="145"/>
      <c r="J1536" s="145"/>
      <c r="K1536" s="146">
        <v>50777.36</v>
      </c>
    </row>
    <row r="1537" spans="1:11" s="147" customFormat="1" ht="11.25" customHeight="1" x14ac:dyDescent="0.2">
      <c r="A1537" s="795" t="s">
        <v>9925</v>
      </c>
      <c r="B1537" s="138" t="s">
        <v>9926</v>
      </c>
      <c r="C1537" s="139" t="s">
        <v>9927</v>
      </c>
      <c r="D1537" s="140" t="s">
        <v>9928</v>
      </c>
      <c r="E1537" s="141" t="s">
        <v>9929</v>
      </c>
      <c r="F1537" s="142" t="s">
        <v>9930</v>
      </c>
      <c r="G1537" s="143">
        <v>604</v>
      </c>
      <c r="H1537" s="144" t="s">
        <v>730</v>
      </c>
      <c r="I1537" s="145"/>
      <c r="J1537" s="145"/>
      <c r="K1537" s="146">
        <v>604</v>
      </c>
    </row>
    <row r="1538" spans="1:11" s="147" customFormat="1" ht="11.25" customHeight="1" x14ac:dyDescent="0.2">
      <c r="A1538" s="795" t="s">
        <v>8973</v>
      </c>
      <c r="B1538" s="138" t="s">
        <v>9926</v>
      </c>
      <c r="C1538" s="139" t="s">
        <v>9931</v>
      </c>
      <c r="D1538" s="140" t="s">
        <v>9932</v>
      </c>
      <c r="E1538" s="141" t="s">
        <v>8081</v>
      </c>
      <c r="F1538" s="142" t="s">
        <v>8116</v>
      </c>
      <c r="G1538" s="143">
        <v>79.52</v>
      </c>
      <c r="H1538" s="144" t="s">
        <v>730</v>
      </c>
      <c r="I1538" s="145"/>
      <c r="J1538" s="145"/>
      <c r="K1538" s="146">
        <v>79.52</v>
      </c>
    </row>
    <row r="1539" spans="1:11" s="147" customFormat="1" ht="11.25" customHeight="1" x14ac:dyDescent="0.2">
      <c r="A1539" s="795" t="s">
        <v>8973</v>
      </c>
      <c r="B1539" s="138" t="s">
        <v>9926</v>
      </c>
      <c r="C1539" s="139" t="s">
        <v>9931</v>
      </c>
      <c r="D1539" s="140" t="s">
        <v>9932</v>
      </c>
      <c r="E1539" s="141" t="s">
        <v>8081</v>
      </c>
      <c r="F1539" s="142" t="s">
        <v>8116</v>
      </c>
      <c r="G1539" s="143">
        <v>99.06</v>
      </c>
      <c r="H1539" s="144" t="s">
        <v>730</v>
      </c>
      <c r="I1539" s="145"/>
      <c r="J1539" s="145"/>
      <c r="K1539" s="146">
        <v>99.06</v>
      </c>
    </row>
    <row r="1540" spans="1:11" s="147" customFormat="1" ht="11.25" customHeight="1" x14ac:dyDescent="0.2">
      <c r="A1540" s="795" t="s">
        <v>8973</v>
      </c>
      <c r="B1540" s="138" t="s">
        <v>9926</v>
      </c>
      <c r="C1540" s="139" t="s">
        <v>9931</v>
      </c>
      <c r="D1540" s="140" t="s">
        <v>9932</v>
      </c>
      <c r="E1540" s="141" t="s">
        <v>8081</v>
      </c>
      <c r="F1540" s="142" t="s">
        <v>8116</v>
      </c>
      <c r="G1540" s="143">
        <v>135.72</v>
      </c>
      <c r="H1540" s="144" t="s">
        <v>730</v>
      </c>
      <c r="I1540" s="145"/>
      <c r="J1540" s="145"/>
      <c r="K1540" s="146">
        <v>135.72</v>
      </c>
    </row>
    <row r="1541" spans="1:11" s="147" customFormat="1" ht="11.25" customHeight="1" x14ac:dyDescent="0.2">
      <c r="A1541" s="795" t="s">
        <v>8973</v>
      </c>
      <c r="B1541" s="138" t="s">
        <v>9926</v>
      </c>
      <c r="C1541" s="139" t="s">
        <v>9931</v>
      </c>
      <c r="D1541" s="140" t="s">
        <v>9932</v>
      </c>
      <c r="E1541" s="141" t="s">
        <v>8081</v>
      </c>
      <c r="F1541" s="142" t="s">
        <v>8116</v>
      </c>
      <c r="G1541" s="143">
        <v>159.85</v>
      </c>
      <c r="H1541" s="144" t="s">
        <v>730</v>
      </c>
      <c r="I1541" s="145"/>
      <c r="J1541" s="145"/>
      <c r="K1541" s="146">
        <v>159.85</v>
      </c>
    </row>
    <row r="1542" spans="1:11" s="147" customFormat="1" ht="11.25" customHeight="1" x14ac:dyDescent="0.2">
      <c r="A1542" s="795" t="s">
        <v>8973</v>
      </c>
      <c r="B1542" s="138" t="s">
        <v>9926</v>
      </c>
      <c r="C1542" s="139" t="s">
        <v>9931</v>
      </c>
      <c r="D1542" s="140" t="s">
        <v>9932</v>
      </c>
      <c r="E1542" s="141" t="s">
        <v>8081</v>
      </c>
      <c r="F1542" s="142" t="s">
        <v>8116</v>
      </c>
      <c r="G1542" s="143">
        <v>195.34</v>
      </c>
      <c r="H1542" s="144" t="s">
        <v>730</v>
      </c>
      <c r="I1542" s="145"/>
      <c r="J1542" s="145"/>
      <c r="K1542" s="146">
        <v>195.34</v>
      </c>
    </row>
    <row r="1543" spans="1:11" s="147" customFormat="1" ht="11.25" customHeight="1" x14ac:dyDescent="0.2">
      <c r="A1543" s="795" t="s">
        <v>8973</v>
      </c>
      <c r="B1543" s="138" t="s">
        <v>9926</v>
      </c>
      <c r="C1543" s="139" t="s">
        <v>9931</v>
      </c>
      <c r="D1543" s="140" t="s">
        <v>9932</v>
      </c>
      <c r="E1543" s="141" t="s">
        <v>8081</v>
      </c>
      <c r="F1543" s="142" t="s">
        <v>8116</v>
      </c>
      <c r="G1543" s="143">
        <v>202.58</v>
      </c>
      <c r="H1543" s="144" t="s">
        <v>730</v>
      </c>
      <c r="I1543" s="145"/>
      <c r="J1543" s="145"/>
      <c r="K1543" s="146">
        <v>202.58</v>
      </c>
    </row>
    <row r="1544" spans="1:11" s="147" customFormat="1" ht="11.25" customHeight="1" x14ac:dyDescent="0.2">
      <c r="A1544" s="795" t="s">
        <v>8973</v>
      </c>
      <c r="B1544" s="138" t="s">
        <v>9926</v>
      </c>
      <c r="C1544" s="139" t="s">
        <v>9931</v>
      </c>
      <c r="D1544" s="140" t="s">
        <v>9932</v>
      </c>
      <c r="E1544" s="141" t="s">
        <v>8081</v>
      </c>
      <c r="F1544" s="142" t="s">
        <v>8116</v>
      </c>
      <c r="G1544" s="143">
        <v>338.89</v>
      </c>
      <c r="H1544" s="144" t="s">
        <v>730</v>
      </c>
      <c r="I1544" s="145"/>
      <c r="J1544" s="145"/>
      <c r="K1544" s="146">
        <v>338.89</v>
      </c>
    </row>
    <row r="1545" spans="1:11" s="147" customFormat="1" ht="11.25" customHeight="1" x14ac:dyDescent="0.2">
      <c r="A1545" s="795" t="s">
        <v>8973</v>
      </c>
      <c r="B1545" s="138" t="s">
        <v>9926</v>
      </c>
      <c r="C1545" s="139" t="s">
        <v>9931</v>
      </c>
      <c r="D1545" s="140" t="s">
        <v>9932</v>
      </c>
      <c r="E1545" s="141" t="s">
        <v>8081</v>
      </c>
      <c r="F1545" s="142" t="s">
        <v>8116</v>
      </c>
      <c r="G1545" s="143">
        <v>353.57</v>
      </c>
      <c r="H1545" s="144" t="s">
        <v>730</v>
      </c>
      <c r="I1545" s="145"/>
      <c r="J1545" s="145"/>
      <c r="K1545" s="146">
        <v>353.57</v>
      </c>
    </row>
    <row r="1546" spans="1:11" s="147" customFormat="1" ht="11.25" customHeight="1" x14ac:dyDescent="0.2">
      <c r="A1546" s="795" t="s">
        <v>8973</v>
      </c>
      <c r="B1546" s="138" t="s">
        <v>9926</v>
      </c>
      <c r="C1546" s="139" t="s">
        <v>9931</v>
      </c>
      <c r="D1546" s="140" t="s">
        <v>9932</v>
      </c>
      <c r="E1546" s="141" t="s">
        <v>8081</v>
      </c>
      <c r="F1546" s="142" t="s">
        <v>8116</v>
      </c>
      <c r="G1546" s="143">
        <v>364.36</v>
      </c>
      <c r="H1546" s="144" t="s">
        <v>730</v>
      </c>
      <c r="I1546" s="145"/>
      <c r="J1546" s="145"/>
      <c r="K1546" s="146">
        <v>364.36</v>
      </c>
    </row>
    <row r="1547" spans="1:11" s="147" customFormat="1" ht="11.25" customHeight="1" x14ac:dyDescent="0.2">
      <c r="A1547" s="795" t="s">
        <v>8973</v>
      </c>
      <c r="B1547" s="138" t="s">
        <v>9926</v>
      </c>
      <c r="C1547" s="139" t="s">
        <v>9931</v>
      </c>
      <c r="D1547" s="140" t="s">
        <v>9932</v>
      </c>
      <c r="E1547" s="141" t="s">
        <v>8081</v>
      </c>
      <c r="F1547" s="142" t="s">
        <v>8116</v>
      </c>
      <c r="G1547" s="143">
        <v>1414.27</v>
      </c>
      <c r="H1547" s="144" t="s">
        <v>730</v>
      </c>
      <c r="I1547" s="145"/>
      <c r="J1547" s="145"/>
      <c r="K1547" s="146">
        <v>1414.27</v>
      </c>
    </row>
    <row r="1548" spans="1:11" s="147" customFormat="1" ht="11.25" customHeight="1" x14ac:dyDescent="0.2">
      <c r="A1548" s="795" t="s">
        <v>9933</v>
      </c>
      <c r="B1548" s="138" t="s">
        <v>9926</v>
      </c>
      <c r="C1548" s="139" t="s">
        <v>9934</v>
      </c>
      <c r="D1548" s="140" t="s">
        <v>9935</v>
      </c>
      <c r="E1548" s="141" t="s">
        <v>9936</v>
      </c>
      <c r="F1548" s="142" t="s">
        <v>9505</v>
      </c>
      <c r="G1548" s="143">
        <v>62.12</v>
      </c>
      <c r="H1548" s="144" t="s">
        <v>730</v>
      </c>
      <c r="I1548" s="145"/>
      <c r="J1548" s="145"/>
      <c r="K1548" s="146">
        <v>62.12</v>
      </c>
    </row>
    <row r="1549" spans="1:11" s="147" customFormat="1" ht="11.25" customHeight="1" x14ac:dyDescent="0.2">
      <c r="A1549" s="795" t="s">
        <v>9933</v>
      </c>
      <c r="B1549" s="138" t="s">
        <v>9926</v>
      </c>
      <c r="C1549" s="139" t="s">
        <v>9934</v>
      </c>
      <c r="D1549" s="140" t="s">
        <v>9935</v>
      </c>
      <c r="E1549" s="141" t="s">
        <v>9936</v>
      </c>
      <c r="F1549" s="142" t="s">
        <v>9505</v>
      </c>
      <c r="G1549" s="143">
        <v>244.81</v>
      </c>
      <c r="H1549" s="144" t="s">
        <v>730</v>
      </c>
      <c r="I1549" s="145"/>
      <c r="J1549" s="145"/>
      <c r="K1549" s="146">
        <v>244.81</v>
      </c>
    </row>
    <row r="1550" spans="1:11" s="147" customFormat="1" ht="11.25" customHeight="1" x14ac:dyDescent="0.2">
      <c r="A1550" s="795" t="s">
        <v>9933</v>
      </c>
      <c r="B1550" s="138" t="s">
        <v>9926</v>
      </c>
      <c r="C1550" s="139" t="s">
        <v>9934</v>
      </c>
      <c r="D1550" s="140" t="s">
        <v>9935</v>
      </c>
      <c r="E1550" s="141" t="s">
        <v>9936</v>
      </c>
      <c r="F1550" s="142" t="s">
        <v>9505</v>
      </c>
      <c r="G1550" s="143">
        <v>266.06</v>
      </c>
      <c r="H1550" s="144" t="s">
        <v>730</v>
      </c>
      <c r="I1550" s="145"/>
      <c r="J1550" s="145"/>
      <c r="K1550" s="146">
        <v>266.06</v>
      </c>
    </row>
    <row r="1551" spans="1:11" s="147" customFormat="1" ht="11.25" customHeight="1" x14ac:dyDescent="0.2">
      <c r="A1551" s="795" t="s">
        <v>9933</v>
      </c>
      <c r="B1551" s="138" t="s">
        <v>9926</v>
      </c>
      <c r="C1551" s="139" t="s">
        <v>9934</v>
      </c>
      <c r="D1551" s="140" t="s">
        <v>9935</v>
      </c>
      <c r="E1551" s="141" t="s">
        <v>9936</v>
      </c>
      <c r="F1551" s="142" t="s">
        <v>9505</v>
      </c>
      <c r="G1551" s="143">
        <v>269.99</v>
      </c>
      <c r="H1551" s="144" t="s">
        <v>730</v>
      </c>
      <c r="I1551" s="145"/>
      <c r="J1551" s="145"/>
      <c r="K1551" s="146">
        <v>269.99</v>
      </c>
    </row>
    <row r="1552" spans="1:11" s="147" customFormat="1" ht="11.25" customHeight="1" x14ac:dyDescent="0.2">
      <c r="A1552" s="795" t="s">
        <v>9933</v>
      </c>
      <c r="B1552" s="138" t="s">
        <v>9926</v>
      </c>
      <c r="C1552" s="139" t="s">
        <v>9206</v>
      </c>
      <c r="D1552" s="140" t="s">
        <v>9937</v>
      </c>
      <c r="E1552" s="141" t="s">
        <v>9936</v>
      </c>
      <c r="F1552" s="142" t="s">
        <v>8134</v>
      </c>
      <c r="G1552" s="143">
        <v>305.68</v>
      </c>
      <c r="H1552" s="144" t="s">
        <v>730</v>
      </c>
      <c r="I1552" s="145"/>
      <c r="J1552" s="145"/>
      <c r="K1552" s="146">
        <v>305.68</v>
      </c>
    </row>
    <row r="1553" spans="1:11" s="147" customFormat="1" ht="11.25" customHeight="1" x14ac:dyDescent="0.2">
      <c r="A1553" s="795" t="s">
        <v>9933</v>
      </c>
      <c r="B1553" s="138" t="s">
        <v>9926</v>
      </c>
      <c r="C1553" s="139" t="s">
        <v>9206</v>
      </c>
      <c r="D1553" s="140" t="s">
        <v>9937</v>
      </c>
      <c r="E1553" s="141" t="s">
        <v>9936</v>
      </c>
      <c r="F1553" s="142" t="s">
        <v>8134</v>
      </c>
      <c r="G1553" s="143">
        <v>368.88</v>
      </c>
      <c r="H1553" s="144" t="s">
        <v>730</v>
      </c>
      <c r="I1553" s="145"/>
      <c r="J1553" s="145"/>
      <c r="K1553" s="146">
        <v>368.88</v>
      </c>
    </row>
    <row r="1554" spans="1:11" s="147" customFormat="1" ht="11.25" customHeight="1" x14ac:dyDescent="0.2">
      <c r="A1554" s="795" t="s">
        <v>9933</v>
      </c>
      <c r="B1554" s="138" t="s">
        <v>9926</v>
      </c>
      <c r="C1554" s="139" t="s">
        <v>9934</v>
      </c>
      <c r="D1554" s="140" t="s">
        <v>9935</v>
      </c>
      <c r="E1554" s="141" t="s">
        <v>9936</v>
      </c>
      <c r="F1554" s="142" t="s">
        <v>9505</v>
      </c>
      <c r="G1554" s="143">
        <v>371.13</v>
      </c>
      <c r="H1554" s="144" t="s">
        <v>730</v>
      </c>
      <c r="I1554" s="145"/>
      <c r="J1554" s="145"/>
      <c r="K1554" s="146">
        <v>371.13</v>
      </c>
    </row>
    <row r="1555" spans="1:11" s="147" customFormat="1" ht="11.25" customHeight="1" x14ac:dyDescent="0.2">
      <c r="A1555" s="795" t="s">
        <v>9933</v>
      </c>
      <c r="B1555" s="138" t="s">
        <v>9926</v>
      </c>
      <c r="C1555" s="139" t="s">
        <v>9206</v>
      </c>
      <c r="D1555" s="140" t="s">
        <v>9937</v>
      </c>
      <c r="E1555" s="141" t="s">
        <v>9936</v>
      </c>
      <c r="F1555" s="142" t="s">
        <v>8134</v>
      </c>
      <c r="G1555" s="143">
        <v>420.21</v>
      </c>
      <c r="H1555" s="144" t="s">
        <v>730</v>
      </c>
      <c r="I1555" s="145"/>
      <c r="J1555" s="145"/>
      <c r="K1555" s="146">
        <v>420.21</v>
      </c>
    </row>
    <row r="1556" spans="1:11" s="147" customFormat="1" ht="11.25" customHeight="1" x14ac:dyDescent="0.2">
      <c r="A1556" s="795" t="s">
        <v>9933</v>
      </c>
      <c r="B1556" s="138" t="s">
        <v>9926</v>
      </c>
      <c r="C1556" s="139" t="s">
        <v>9206</v>
      </c>
      <c r="D1556" s="140" t="s">
        <v>9937</v>
      </c>
      <c r="E1556" s="141" t="s">
        <v>9936</v>
      </c>
      <c r="F1556" s="142" t="s">
        <v>8134</v>
      </c>
      <c r="G1556" s="143">
        <v>458.9</v>
      </c>
      <c r="H1556" s="144" t="s">
        <v>730</v>
      </c>
      <c r="I1556" s="145"/>
      <c r="J1556" s="145"/>
      <c r="K1556" s="146">
        <v>458.9</v>
      </c>
    </row>
    <row r="1557" spans="1:11" s="147" customFormat="1" ht="11.25" customHeight="1" x14ac:dyDescent="0.2">
      <c r="A1557" s="795" t="s">
        <v>9933</v>
      </c>
      <c r="B1557" s="138" t="s">
        <v>9926</v>
      </c>
      <c r="C1557" s="139" t="s">
        <v>9934</v>
      </c>
      <c r="D1557" s="140" t="s">
        <v>9935</v>
      </c>
      <c r="E1557" s="141" t="s">
        <v>9936</v>
      </c>
      <c r="F1557" s="142" t="s">
        <v>9505</v>
      </c>
      <c r="G1557" s="143">
        <v>488.38</v>
      </c>
      <c r="H1557" s="144" t="s">
        <v>730</v>
      </c>
      <c r="I1557" s="145"/>
      <c r="J1557" s="145"/>
      <c r="K1557" s="146">
        <v>488.38</v>
      </c>
    </row>
    <row r="1558" spans="1:11" s="147" customFormat="1" ht="11.25" customHeight="1" x14ac:dyDescent="0.2">
      <c r="A1558" s="795" t="s">
        <v>9933</v>
      </c>
      <c r="B1558" s="138" t="s">
        <v>9926</v>
      </c>
      <c r="C1558" s="139" t="s">
        <v>9206</v>
      </c>
      <c r="D1558" s="140" t="s">
        <v>9937</v>
      </c>
      <c r="E1558" s="141" t="s">
        <v>9936</v>
      </c>
      <c r="F1558" s="142" t="s">
        <v>8134</v>
      </c>
      <c r="G1558" s="143">
        <v>493.29</v>
      </c>
      <c r="H1558" s="144" t="s">
        <v>730</v>
      </c>
      <c r="I1558" s="145"/>
      <c r="J1558" s="145"/>
      <c r="K1558" s="146">
        <v>493.29</v>
      </c>
    </row>
    <row r="1559" spans="1:11" s="147" customFormat="1" ht="11.25" customHeight="1" x14ac:dyDescent="0.2">
      <c r="A1559" s="795" t="s">
        <v>9933</v>
      </c>
      <c r="B1559" s="138" t="s">
        <v>9926</v>
      </c>
      <c r="C1559" s="139" t="s">
        <v>9934</v>
      </c>
      <c r="D1559" s="140" t="s">
        <v>9935</v>
      </c>
      <c r="E1559" s="141" t="s">
        <v>9936</v>
      </c>
      <c r="F1559" s="142" t="s">
        <v>9505</v>
      </c>
      <c r="G1559" s="143">
        <v>531.91999999999996</v>
      </c>
      <c r="H1559" s="144" t="s">
        <v>730</v>
      </c>
      <c r="I1559" s="145"/>
      <c r="J1559" s="145"/>
      <c r="K1559" s="146">
        <v>531.91999999999996</v>
      </c>
    </row>
    <row r="1560" spans="1:11" s="147" customFormat="1" ht="11.25" customHeight="1" x14ac:dyDescent="0.2">
      <c r="A1560" s="795" t="s">
        <v>9933</v>
      </c>
      <c r="B1560" s="138" t="s">
        <v>9926</v>
      </c>
      <c r="C1560" s="139" t="s">
        <v>9934</v>
      </c>
      <c r="D1560" s="140" t="s">
        <v>9935</v>
      </c>
      <c r="E1560" s="141" t="s">
        <v>9936</v>
      </c>
      <c r="F1560" s="142" t="s">
        <v>9505</v>
      </c>
      <c r="G1560" s="143">
        <v>531.91999999999996</v>
      </c>
      <c r="H1560" s="144" t="s">
        <v>730</v>
      </c>
      <c r="I1560" s="145"/>
      <c r="J1560" s="145"/>
      <c r="K1560" s="146">
        <v>531.91999999999996</v>
      </c>
    </row>
    <row r="1561" spans="1:11" s="147" customFormat="1" ht="11.25" customHeight="1" x14ac:dyDescent="0.2">
      <c r="A1561" s="795" t="s">
        <v>9933</v>
      </c>
      <c r="B1561" s="138" t="s">
        <v>9926</v>
      </c>
      <c r="C1561" s="139" t="s">
        <v>9206</v>
      </c>
      <c r="D1561" s="140" t="s">
        <v>9937</v>
      </c>
      <c r="E1561" s="141" t="s">
        <v>9936</v>
      </c>
      <c r="F1561" s="142" t="s">
        <v>8134</v>
      </c>
      <c r="G1561" s="143">
        <v>832.24</v>
      </c>
      <c r="H1561" s="144" t="s">
        <v>730</v>
      </c>
      <c r="I1561" s="145"/>
      <c r="J1561" s="145"/>
      <c r="K1561" s="146">
        <v>832.24</v>
      </c>
    </row>
    <row r="1562" spans="1:11" s="147" customFormat="1" ht="11.25" customHeight="1" x14ac:dyDescent="0.2">
      <c r="A1562" s="795" t="s">
        <v>9933</v>
      </c>
      <c r="B1562" s="138" t="s">
        <v>9926</v>
      </c>
      <c r="C1562" s="139" t="s">
        <v>9206</v>
      </c>
      <c r="D1562" s="140" t="s">
        <v>9937</v>
      </c>
      <c r="E1562" s="141" t="s">
        <v>9936</v>
      </c>
      <c r="F1562" s="142" t="s">
        <v>8134</v>
      </c>
      <c r="G1562" s="143">
        <v>968.37</v>
      </c>
      <c r="H1562" s="144" t="s">
        <v>730</v>
      </c>
      <c r="I1562" s="145"/>
      <c r="J1562" s="145"/>
      <c r="K1562" s="146">
        <v>968.37</v>
      </c>
    </row>
    <row r="1563" spans="1:11" s="147" customFormat="1" ht="11.25" customHeight="1" x14ac:dyDescent="0.2">
      <c r="A1563" s="795" t="s">
        <v>9933</v>
      </c>
      <c r="B1563" s="138" t="s">
        <v>9926</v>
      </c>
      <c r="C1563" s="139" t="s">
        <v>9934</v>
      </c>
      <c r="D1563" s="140" t="s">
        <v>9935</v>
      </c>
      <c r="E1563" s="141" t="s">
        <v>9936</v>
      </c>
      <c r="F1563" s="142" t="s">
        <v>9505</v>
      </c>
      <c r="G1563" s="143">
        <v>999.92</v>
      </c>
      <c r="H1563" s="144" t="s">
        <v>730</v>
      </c>
      <c r="I1563" s="145"/>
      <c r="J1563" s="145"/>
      <c r="K1563" s="146">
        <v>999.92</v>
      </c>
    </row>
    <row r="1564" spans="1:11" s="147" customFormat="1" ht="11.25" customHeight="1" x14ac:dyDescent="0.2">
      <c r="A1564" s="795" t="s">
        <v>9933</v>
      </c>
      <c r="B1564" s="138" t="s">
        <v>9926</v>
      </c>
      <c r="C1564" s="139" t="s">
        <v>9206</v>
      </c>
      <c r="D1564" s="140" t="s">
        <v>9937</v>
      </c>
      <c r="E1564" s="141" t="s">
        <v>9936</v>
      </c>
      <c r="F1564" s="142" t="s">
        <v>8134</v>
      </c>
      <c r="G1564" s="143">
        <v>1212.43</v>
      </c>
      <c r="H1564" s="144" t="s">
        <v>730</v>
      </c>
      <c r="I1564" s="145"/>
      <c r="J1564" s="145"/>
      <c r="K1564" s="146">
        <v>1212.43</v>
      </c>
    </row>
    <row r="1565" spans="1:11" s="147" customFormat="1" ht="11.25" customHeight="1" x14ac:dyDescent="0.2">
      <c r="A1565" s="795" t="s">
        <v>9933</v>
      </c>
      <c r="B1565" s="138" t="s">
        <v>9926</v>
      </c>
      <c r="C1565" s="139" t="s">
        <v>9206</v>
      </c>
      <c r="D1565" s="140" t="s">
        <v>9937</v>
      </c>
      <c r="E1565" s="141" t="s">
        <v>9936</v>
      </c>
      <c r="F1565" s="142" t="s">
        <v>8134</v>
      </c>
      <c r="G1565" s="143">
        <v>1543.96</v>
      </c>
      <c r="H1565" s="144" t="s">
        <v>730</v>
      </c>
      <c r="I1565" s="145"/>
      <c r="J1565" s="145"/>
      <c r="K1565" s="146">
        <v>1543.96</v>
      </c>
    </row>
    <row r="1566" spans="1:11" s="147" customFormat="1" ht="11.25" customHeight="1" x14ac:dyDescent="0.2">
      <c r="A1566" s="795" t="s">
        <v>9933</v>
      </c>
      <c r="B1566" s="138" t="s">
        <v>9926</v>
      </c>
      <c r="C1566" s="139" t="s">
        <v>9206</v>
      </c>
      <c r="D1566" s="140" t="s">
        <v>9937</v>
      </c>
      <c r="E1566" s="141" t="s">
        <v>9936</v>
      </c>
      <c r="F1566" s="142" t="s">
        <v>8134</v>
      </c>
      <c r="G1566" s="143">
        <v>2020.72</v>
      </c>
      <c r="H1566" s="144" t="s">
        <v>730</v>
      </c>
      <c r="I1566" s="145"/>
      <c r="J1566" s="145"/>
      <c r="K1566" s="146">
        <v>2020.72</v>
      </c>
    </row>
    <row r="1567" spans="1:11" s="147" customFormat="1" ht="11.25" customHeight="1" x14ac:dyDescent="0.2">
      <c r="A1567" s="795" t="s">
        <v>9933</v>
      </c>
      <c r="B1567" s="138" t="s">
        <v>9926</v>
      </c>
      <c r="C1567" s="139" t="s">
        <v>9934</v>
      </c>
      <c r="D1567" s="140" t="s">
        <v>9935</v>
      </c>
      <c r="E1567" s="141" t="s">
        <v>9936</v>
      </c>
      <c r="F1567" s="142" t="s">
        <v>9505</v>
      </c>
      <c r="G1567" s="143">
        <v>2250.4</v>
      </c>
      <c r="H1567" s="144" t="s">
        <v>730</v>
      </c>
      <c r="I1567" s="145"/>
      <c r="J1567" s="145"/>
      <c r="K1567" s="146">
        <v>2250.4</v>
      </c>
    </row>
    <row r="1568" spans="1:11" s="147" customFormat="1" ht="11.25" customHeight="1" x14ac:dyDescent="0.2">
      <c r="A1568" s="795" t="s">
        <v>9938</v>
      </c>
      <c r="B1568" s="138" t="s">
        <v>9926</v>
      </c>
      <c r="C1568" s="139" t="s">
        <v>8166</v>
      </c>
      <c r="D1568" s="140" t="s">
        <v>9939</v>
      </c>
      <c r="E1568" s="141" t="s">
        <v>9940</v>
      </c>
      <c r="F1568" s="142" t="s">
        <v>9941</v>
      </c>
      <c r="G1568" s="143">
        <v>16000</v>
      </c>
      <c r="H1568" s="144" t="s">
        <v>730</v>
      </c>
      <c r="I1568" s="145"/>
      <c r="J1568" s="145"/>
      <c r="K1568" s="146">
        <v>16000</v>
      </c>
    </row>
    <row r="1569" spans="1:11" s="147" customFormat="1" ht="11.25" customHeight="1" x14ac:dyDescent="0.2">
      <c r="A1569" s="795" t="s">
        <v>9063</v>
      </c>
      <c r="B1569" s="138" t="s">
        <v>9926</v>
      </c>
      <c r="C1569" s="139" t="s">
        <v>8207</v>
      </c>
      <c r="D1569" s="140" t="s">
        <v>9942</v>
      </c>
      <c r="E1569" s="141" t="s">
        <v>8172</v>
      </c>
      <c r="F1569" s="142" t="s">
        <v>8171</v>
      </c>
      <c r="G1569" s="143">
        <v>960.48</v>
      </c>
      <c r="H1569" s="144" t="s">
        <v>730</v>
      </c>
      <c r="I1569" s="145"/>
      <c r="J1569" s="145"/>
      <c r="K1569" s="146">
        <v>960.48</v>
      </c>
    </row>
    <row r="1570" spans="1:11" s="147" customFormat="1" ht="11.25" customHeight="1" x14ac:dyDescent="0.2">
      <c r="A1570" s="795" t="s">
        <v>9063</v>
      </c>
      <c r="B1570" s="138" t="s">
        <v>9926</v>
      </c>
      <c r="C1570" s="139" t="s">
        <v>8207</v>
      </c>
      <c r="D1570" s="140" t="s">
        <v>9942</v>
      </c>
      <c r="E1570" s="141" t="s">
        <v>8172</v>
      </c>
      <c r="F1570" s="142" t="s">
        <v>8171</v>
      </c>
      <c r="G1570" s="143">
        <v>1867.6</v>
      </c>
      <c r="H1570" s="144" t="s">
        <v>730</v>
      </c>
      <c r="I1570" s="145"/>
      <c r="J1570" s="145"/>
      <c r="K1570" s="146">
        <v>1867.6</v>
      </c>
    </row>
    <row r="1571" spans="1:11" s="147" customFormat="1" ht="11.25" customHeight="1" x14ac:dyDescent="0.2">
      <c r="A1571" s="795" t="s">
        <v>9063</v>
      </c>
      <c r="B1571" s="138" t="s">
        <v>9926</v>
      </c>
      <c r="C1571" s="139" t="s">
        <v>9943</v>
      </c>
      <c r="D1571" s="140" t="s">
        <v>9944</v>
      </c>
      <c r="E1571" s="141" t="s">
        <v>8172</v>
      </c>
      <c r="F1571" s="142" t="s">
        <v>8171</v>
      </c>
      <c r="G1571" s="143">
        <v>2273.6</v>
      </c>
      <c r="H1571" s="144" t="s">
        <v>730</v>
      </c>
      <c r="I1571" s="145"/>
      <c r="J1571" s="145"/>
      <c r="K1571" s="146">
        <v>2273.6</v>
      </c>
    </row>
    <row r="1572" spans="1:11" s="147" customFormat="1" ht="11.25" customHeight="1" x14ac:dyDescent="0.2">
      <c r="A1572" s="795" t="s">
        <v>9084</v>
      </c>
      <c r="B1572" s="138" t="s">
        <v>9926</v>
      </c>
      <c r="C1572" s="139" t="s">
        <v>9945</v>
      </c>
      <c r="D1572" s="140" t="s">
        <v>9946</v>
      </c>
      <c r="E1572" s="141" t="s">
        <v>9087</v>
      </c>
      <c r="F1572" s="142" t="s">
        <v>9058</v>
      </c>
      <c r="G1572" s="143">
        <v>134.56</v>
      </c>
      <c r="H1572" s="144" t="s">
        <v>730</v>
      </c>
      <c r="I1572" s="145"/>
      <c r="J1572" s="145"/>
      <c r="K1572" s="146">
        <v>134.56</v>
      </c>
    </row>
    <row r="1573" spans="1:11" s="147" customFormat="1" ht="11.25" customHeight="1" x14ac:dyDescent="0.2">
      <c r="A1573" s="795" t="s">
        <v>9084</v>
      </c>
      <c r="B1573" s="138" t="s">
        <v>9926</v>
      </c>
      <c r="C1573" s="139" t="s">
        <v>9945</v>
      </c>
      <c r="D1573" s="140" t="s">
        <v>9946</v>
      </c>
      <c r="E1573" s="141" t="s">
        <v>9087</v>
      </c>
      <c r="F1573" s="142" t="s">
        <v>9058</v>
      </c>
      <c r="G1573" s="143">
        <v>3323.11</v>
      </c>
      <c r="H1573" s="144" t="s">
        <v>730</v>
      </c>
      <c r="I1573" s="145"/>
      <c r="J1573" s="145"/>
      <c r="K1573" s="146">
        <v>3323.11</v>
      </c>
    </row>
    <row r="1574" spans="1:11" s="147" customFormat="1" ht="11.25" customHeight="1" x14ac:dyDescent="0.2">
      <c r="A1574" s="795" t="s">
        <v>9909</v>
      </c>
      <c r="B1574" s="138" t="s">
        <v>9926</v>
      </c>
      <c r="C1574" s="139" t="s">
        <v>9947</v>
      </c>
      <c r="D1574" s="140" t="s">
        <v>9948</v>
      </c>
      <c r="E1574" s="141" t="s">
        <v>9912</v>
      </c>
      <c r="F1574" s="142" t="s">
        <v>9790</v>
      </c>
      <c r="G1574" s="143">
        <v>50777.36</v>
      </c>
      <c r="H1574" s="144" t="s">
        <v>730</v>
      </c>
      <c r="I1574" s="145"/>
      <c r="J1574" s="145"/>
      <c r="K1574" s="146">
        <v>50777.36</v>
      </c>
    </row>
    <row r="1575" spans="1:11" s="147" customFormat="1" ht="11.25" customHeight="1" x14ac:dyDescent="0.2">
      <c r="A1575" s="795" t="s">
        <v>9949</v>
      </c>
      <c r="B1575" s="138" t="s">
        <v>9926</v>
      </c>
      <c r="C1575" s="139" t="s">
        <v>9209</v>
      </c>
      <c r="D1575" s="140" t="s">
        <v>9950</v>
      </c>
      <c r="E1575" s="141" t="s">
        <v>9936</v>
      </c>
      <c r="F1575" s="142" t="s">
        <v>9079</v>
      </c>
      <c r="G1575" s="143">
        <v>102.59</v>
      </c>
      <c r="H1575" s="144" t="s">
        <v>730</v>
      </c>
      <c r="I1575" s="145"/>
      <c r="J1575" s="145"/>
      <c r="K1575" s="146">
        <v>102.59</v>
      </c>
    </row>
    <row r="1576" spans="1:11" s="147" customFormat="1" ht="11.25" customHeight="1" x14ac:dyDescent="0.2">
      <c r="A1576" s="795" t="s">
        <v>9949</v>
      </c>
      <c r="B1576" s="138" t="s">
        <v>9926</v>
      </c>
      <c r="C1576" s="139" t="s">
        <v>9209</v>
      </c>
      <c r="D1576" s="140" t="s">
        <v>9950</v>
      </c>
      <c r="E1576" s="141" t="s">
        <v>9936</v>
      </c>
      <c r="F1576" s="142" t="s">
        <v>9079</v>
      </c>
      <c r="G1576" s="143">
        <v>107.36</v>
      </c>
      <c r="H1576" s="144" t="s">
        <v>730</v>
      </c>
      <c r="I1576" s="145"/>
      <c r="J1576" s="145"/>
      <c r="K1576" s="146">
        <v>107.36</v>
      </c>
    </row>
    <row r="1577" spans="1:11" s="147" customFormat="1" ht="11.25" customHeight="1" x14ac:dyDescent="0.2">
      <c r="A1577" s="795" t="s">
        <v>9949</v>
      </c>
      <c r="B1577" s="138" t="s">
        <v>9926</v>
      </c>
      <c r="C1577" s="139" t="s">
        <v>9951</v>
      </c>
      <c r="D1577" s="140" t="s">
        <v>9952</v>
      </c>
      <c r="E1577" s="141" t="s">
        <v>9936</v>
      </c>
      <c r="F1577" s="142" t="s">
        <v>9079</v>
      </c>
      <c r="G1577" s="143">
        <v>143.93</v>
      </c>
      <c r="H1577" s="144" t="s">
        <v>730</v>
      </c>
      <c r="I1577" s="145"/>
      <c r="J1577" s="145"/>
      <c r="K1577" s="146">
        <v>143.93</v>
      </c>
    </row>
    <row r="1578" spans="1:11" s="147" customFormat="1" ht="11.25" customHeight="1" x14ac:dyDescent="0.2">
      <c r="A1578" s="795" t="s">
        <v>9949</v>
      </c>
      <c r="B1578" s="138" t="s">
        <v>9926</v>
      </c>
      <c r="C1578" s="139" t="s">
        <v>9951</v>
      </c>
      <c r="D1578" s="140" t="s">
        <v>9952</v>
      </c>
      <c r="E1578" s="141" t="s">
        <v>9936</v>
      </c>
      <c r="F1578" s="142" t="s">
        <v>9079</v>
      </c>
      <c r="G1578" s="143">
        <v>208.17</v>
      </c>
      <c r="H1578" s="144" t="s">
        <v>730</v>
      </c>
      <c r="I1578" s="145"/>
      <c r="J1578" s="145"/>
      <c r="K1578" s="146">
        <v>208.17</v>
      </c>
    </row>
    <row r="1579" spans="1:11" s="147" customFormat="1" ht="11.25" customHeight="1" x14ac:dyDescent="0.2">
      <c r="A1579" s="795" t="s">
        <v>9949</v>
      </c>
      <c r="B1579" s="138" t="s">
        <v>9926</v>
      </c>
      <c r="C1579" s="139" t="s">
        <v>9209</v>
      </c>
      <c r="D1579" s="140" t="s">
        <v>9950</v>
      </c>
      <c r="E1579" s="141" t="s">
        <v>9936</v>
      </c>
      <c r="F1579" s="142" t="s">
        <v>9079</v>
      </c>
      <c r="G1579" s="143">
        <v>209.38</v>
      </c>
      <c r="H1579" s="144" t="s">
        <v>730</v>
      </c>
      <c r="I1579" s="145"/>
      <c r="J1579" s="145"/>
      <c r="K1579" s="146">
        <v>209.38</v>
      </c>
    </row>
    <row r="1580" spans="1:11" s="147" customFormat="1" ht="11.25" customHeight="1" x14ac:dyDescent="0.2">
      <c r="A1580" s="795" t="s">
        <v>9949</v>
      </c>
      <c r="B1580" s="138" t="s">
        <v>9926</v>
      </c>
      <c r="C1580" s="139" t="s">
        <v>9209</v>
      </c>
      <c r="D1580" s="140" t="s">
        <v>9950</v>
      </c>
      <c r="E1580" s="141" t="s">
        <v>9936</v>
      </c>
      <c r="F1580" s="142" t="s">
        <v>9079</v>
      </c>
      <c r="G1580" s="143">
        <v>274.75</v>
      </c>
      <c r="H1580" s="144" t="s">
        <v>730</v>
      </c>
      <c r="I1580" s="145"/>
      <c r="J1580" s="145"/>
      <c r="K1580" s="146">
        <v>274.75</v>
      </c>
    </row>
    <row r="1581" spans="1:11" s="147" customFormat="1" ht="11.25" customHeight="1" x14ac:dyDescent="0.2">
      <c r="A1581" s="795" t="s">
        <v>9949</v>
      </c>
      <c r="B1581" s="138" t="s">
        <v>9926</v>
      </c>
      <c r="C1581" s="139" t="s">
        <v>9209</v>
      </c>
      <c r="D1581" s="140" t="s">
        <v>9950</v>
      </c>
      <c r="E1581" s="141" t="s">
        <v>9936</v>
      </c>
      <c r="F1581" s="142" t="s">
        <v>9079</v>
      </c>
      <c r="G1581" s="143">
        <v>278.92</v>
      </c>
      <c r="H1581" s="144" t="s">
        <v>730</v>
      </c>
      <c r="I1581" s="145"/>
      <c r="J1581" s="145"/>
      <c r="K1581" s="146">
        <v>278.92</v>
      </c>
    </row>
    <row r="1582" spans="1:11" s="147" customFormat="1" ht="11.25" customHeight="1" x14ac:dyDescent="0.2">
      <c r="A1582" s="795" t="s">
        <v>9949</v>
      </c>
      <c r="B1582" s="138" t="s">
        <v>9926</v>
      </c>
      <c r="C1582" s="139" t="s">
        <v>9209</v>
      </c>
      <c r="D1582" s="140" t="s">
        <v>9950</v>
      </c>
      <c r="E1582" s="141" t="s">
        <v>9936</v>
      </c>
      <c r="F1582" s="142" t="s">
        <v>9079</v>
      </c>
      <c r="G1582" s="143">
        <v>310.64999999999998</v>
      </c>
      <c r="H1582" s="144" t="s">
        <v>730</v>
      </c>
      <c r="I1582" s="145"/>
      <c r="J1582" s="145"/>
      <c r="K1582" s="146">
        <v>310.64999999999998</v>
      </c>
    </row>
    <row r="1583" spans="1:11" s="147" customFormat="1" ht="11.25" customHeight="1" x14ac:dyDescent="0.2">
      <c r="A1583" s="795" t="s">
        <v>9949</v>
      </c>
      <c r="B1583" s="138" t="s">
        <v>9926</v>
      </c>
      <c r="C1583" s="139" t="s">
        <v>9951</v>
      </c>
      <c r="D1583" s="140" t="s">
        <v>9952</v>
      </c>
      <c r="E1583" s="141" t="s">
        <v>9936</v>
      </c>
      <c r="F1583" s="142" t="s">
        <v>9079</v>
      </c>
      <c r="G1583" s="143">
        <v>323.18</v>
      </c>
      <c r="H1583" s="144" t="s">
        <v>730</v>
      </c>
      <c r="I1583" s="145"/>
      <c r="J1583" s="145"/>
      <c r="K1583" s="146">
        <v>323.18</v>
      </c>
    </row>
    <row r="1584" spans="1:11" s="147" customFormat="1" ht="11.25" customHeight="1" x14ac:dyDescent="0.2">
      <c r="A1584" s="795" t="s">
        <v>9949</v>
      </c>
      <c r="B1584" s="138" t="s">
        <v>9926</v>
      </c>
      <c r="C1584" s="139" t="s">
        <v>9209</v>
      </c>
      <c r="D1584" s="140" t="s">
        <v>9950</v>
      </c>
      <c r="E1584" s="141" t="s">
        <v>9936</v>
      </c>
      <c r="F1584" s="142" t="s">
        <v>9079</v>
      </c>
      <c r="G1584" s="143">
        <v>338.02</v>
      </c>
      <c r="H1584" s="144" t="s">
        <v>730</v>
      </c>
      <c r="I1584" s="145"/>
      <c r="J1584" s="145"/>
      <c r="K1584" s="146">
        <v>338.02</v>
      </c>
    </row>
    <row r="1585" spans="1:11" s="147" customFormat="1" ht="11.25" customHeight="1" x14ac:dyDescent="0.2">
      <c r="A1585" s="795" t="s">
        <v>9949</v>
      </c>
      <c r="B1585" s="138" t="s">
        <v>9926</v>
      </c>
      <c r="C1585" s="139" t="s">
        <v>9951</v>
      </c>
      <c r="D1585" s="140" t="s">
        <v>9952</v>
      </c>
      <c r="E1585" s="141" t="s">
        <v>9936</v>
      </c>
      <c r="F1585" s="142" t="s">
        <v>9079</v>
      </c>
      <c r="G1585" s="143">
        <v>451.15</v>
      </c>
      <c r="H1585" s="144" t="s">
        <v>730</v>
      </c>
      <c r="I1585" s="145"/>
      <c r="J1585" s="145"/>
      <c r="K1585" s="146">
        <v>451.15</v>
      </c>
    </row>
    <row r="1586" spans="1:11" s="147" customFormat="1" ht="11.25" customHeight="1" x14ac:dyDescent="0.2">
      <c r="A1586" s="795" t="s">
        <v>9949</v>
      </c>
      <c r="B1586" s="138" t="s">
        <v>9926</v>
      </c>
      <c r="C1586" s="139" t="s">
        <v>9209</v>
      </c>
      <c r="D1586" s="140" t="s">
        <v>9950</v>
      </c>
      <c r="E1586" s="141" t="s">
        <v>9936</v>
      </c>
      <c r="F1586" s="142" t="s">
        <v>9079</v>
      </c>
      <c r="G1586" s="143">
        <v>519.89</v>
      </c>
      <c r="H1586" s="144" t="s">
        <v>730</v>
      </c>
      <c r="I1586" s="145"/>
      <c r="J1586" s="145"/>
      <c r="K1586" s="146">
        <v>519.89</v>
      </c>
    </row>
    <row r="1587" spans="1:11" s="147" customFormat="1" ht="11.25" customHeight="1" x14ac:dyDescent="0.2">
      <c r="A1587" s="795" t="s">
        <v>9949</v>
      </c>
      <c r="B1587" s="138" t="s">
        <v>9926</v>
      </c>
      <c r="C1587" s="139" t="s">
        <v>9209</v>
      </c>
      <c r="D1587" s="140" t="s">
        <v>9950</v>
      </c>
      <c r="E1587" s="141" t="s">
        <v>9936</v>
      </c>
      <c r="F1587" s="142" t="s">
        <v>9079</v>
      </c>
      <c r="G1587" s="143">
        <v>606.22</v>
      </c>
      <c r="H1587" s="144" t="s">
        <v>730</v>
      </c>
      <c r="I1587" s="145"/>
      <c r="J1587" s="145"/>
      <c r="K1587" s="146">
        <v>606.22</v>
      </c>
    </row>
    <row r="1588" spans="1:11" s="147" customFormat="1" ht="11.25" customHeight="1" x14ac:dyDescent="0.2">
      <c r="A1588" s="795" t="s">
        <v>9949</v>
      </c>
      <c r="B1588" s="138" t="s">
        <v>9926</v>
      </c>
      <c r="C1588" s="139" t="s">
        <v>9209</v>
      </c>
      <c r="D1588" s="140" t="s">
        <v>9950</v>
      </c>
      <c r="E1588" s="141" t="s">
        <v>9936</v>
      </c>
      <c r="F1588" s="142" t="s">
        <v>9079</v>
      </c>
      <c r="G1588" s="143">
        <v>763.28</v>
      </c>
      <c r="H1588" s="144" t="s">
        <v>730</v>
      </c>
      <c r="I1588" s="145"/>
      <c r="J1588" s="145"/>
      <c r="K1588" s="146">
        <v>763.28</v>
      </c>
    </row>
    <row r="1589" spans="1:11" s="147" customFormat="1" ht="11.25" customHeight="1" x14ac:dyDescent="0.2">
      <c r="A1589" s="795" t="s">
        <v>9953</v>
      </c>
      <c r="B1589" s="138" t="s">
        <v>9926</v>
      </c>
      <c r="C1589" s="139" t="s">
        <v>9954</v>
      </c>
      <c r="D1589" s="140" t="s">
        <v>9955</v>
      </c>
      <c r="E1589" s="141" t="s">
        <v>9956</v>
      </c>
      <c r="F1589" s="142" t="s">
        <v>9957</v>
      </c>
      <c r="G1589" s="143">
        <v>202526.77</v>
      </c>
      <c r="H1589" s="144" t="s">
        <v>730</v>
      </c>
      <c r="I1589" s="145"/>
      <c r="J1589" s="145"/>
      <c r="K1589" s="146">
        <v>202526.77</v>
      </c>
    </row>
    <row r="1590" spans="1:11" s="147" customFormat="1" ht="11.25" customHeight="1" x14ac:dyDescent="0.2">
      <c r="A1590" s="795" t="s">
        <v>9953</v>
      </c>
      <c r="B1590" s="138" t="s">
        <v>9926</v>
      </c>
      <c r="C1590" s="139" t="s">
        <v>9958</v>
      </c>
      <c r="D1590" s="140" t="s">
        <v>9959</v>
      </c>
      <c r="E1590" s="141" t="s">
        <v>9956</v>
      </c>
      <c r="F1590" s="142" t="s">
        <v>9960</v>
      </c>
      <c r="G1590" s="143">
        <v>247799.4</v>
      </c>
      <c r="H1590" s="144" t="s">
        <v>730</v>
      </c>
      <c r="I1590" s="145"/>
      <c r="J1590" s="145"/>
      <c r="K1590" s="146">
        <v>247799.4</v>
      </c>
    </row>
    <row r="1591" spans="1:11" s="147" customFormat="1" ht="11.25" customHeight="1" x14ac:dyDescent="0.2">
      <c r="A1591" s="795" t="s">
        <v>9961</v>
      </c>
      <c r="B1591" s="138" t="s">
        <v>9926</v>
      </c>
      <c r="C1591" s="139" t="s">
        <v>9962</v>
      </c>
      <c r="D1591" s="140" t="s">
        <v>9963</v>
      </c>
      <c r="E1591" s="141" t="s">
        <v>9964</v>
      </c>
      <c r="F1591" s="142" t="s">
        <v>9965</v>
      </c>
      <c r="G1591" s="143">
        <v>889128.13</v>
      </c>
      <c r="H1591" s="144" t="s">
        <v>730</v>
      </c>
      <c r="I1591" s="145"/>
      <c r="J1591" s="145"/>
      <c r="K1591" s="146">
        <v>889128.13</v>
      </c>
    </row>
    <row r="1592" spans="1:11" s="147" customFormat="1" ht="11.25" customHeight="1" x14ac:dyDescent="0.2">
      <c r="A1592" s="795" t="s">
        <v>9961</v>
      </c>
      <c r="B1592" s="138" t="s">
        <v>9926</v>
      </c>
      <c r="C1592" s="139" t="s">
        <v>9966</v>
      </c>
      <c r="D1592" s="140" t="s">
        <v>9967</v>
      </c>
      <c r="E1592" s="141" t="s">
        <v>9964</v>
      </c>
      <c r="F1592" s="142" t="s">
        <v>9968</v>
      </c>
      <c r="G1592" s="143">
        <v>890118.95</v>
      </c>
      <c r="H1592" s="144" t="s">
        <v>730</v>
      </c>
      <c r="I1592" s="145"/>
      <c r="J1592" s="145"/>
      <c r="K1592" s="146">
        <v>890118.95</v>
      </c>
    </row>
    <row r="1593" spans="1:11" s="147" customFormat="1" ht="11.25" customHeight="1" x14ac:dyDescent="0.2">
      <c r="A1593" s="795" t="s">
        <v>9961</v>
      </c>
      <c r="B1593" s="138" t="s">
        <v>9926</v>
      </c>
      <c r="C1593" s="139" t="s">
        <v>8164</v>
      </c>
      <c r="D1593" s="140" t="s">
        <v>9969</v>
      </c>
      <c r="E1593" s="141" t="s">
        <v>9964</v>
      </c>
      <c r="F1593" s="142" t="s">
        <v>9970</v>
      </c>
      <c r="G1593" s="143">
        <v>891392.35</v>
      </c>
      <c r="H1593" s="144" t="s">
        <v>730</v>
      </c>
      <c r="I1593" s="145"/>
      <c r="J1593" s="145"/>
      <c r="K1593" s="146">
        <v>891392.35</v>
      </c>
    </row>
    <row r="1594" spans="1:11" s="147" customFormat="1" ht="11.25" customHeight="1" x14ac:dyDescent="0.2">
      <c r="A1594" s="795" t="s">
        <v>9971</v>
      </c>
      <c r="B1594" s="138" t="s">
        <v>9926</v>
      </c>
      <c r="C1594" s="139" t="s">
        <v>9972</v>
      </c>
      <c r="D1594" s="140" t="s">
        <v>8199</v>
      </c>
      <c r="E1594" s="141" t="s">
        <v>9973</v>
      </c>
      <c r="F1594" s="142" t="s">
        <v>9974</v>
      </c>
      <c r="G1594" s="143">
        <v>514072.72</v>
      </c>
      <c r="H1594" s="144" t="s">
        <v>730</v>
      </c>
      <c r="I1594" s="145"/>
      <c r="J1594" s="145"/>
      <c r="K1594" s="146">
        <v>514072.72</v>
      </c>
    </row>
    <row r="1595" spans="1:11" s="147" customFormat="1" ht="11.25" customHeight="1" x14ac:dyDescent="0.2">
      <c r="A1595" s="795" t="s">
        <v>9975</v>
      </c>
      <c r="B1595" s="138" t="s">
        <v>9926</v>
      </c>
      <c r="C1595" s="139" t="s">
        <v>9976</v>
      </c>
      <c r="D1595" s="140" t="s">
        <v>9977</v>
      </c>
      <c r="E1595" s="141" t="s">
        <v>9978</v>
      </c>
      <c r="F1595" s="142" t="s">
        <v>9979</v>
      </c>
      <c r="G1595" s="143">
        <v>888078.59</v>
      </c>
      <c r="H1595" s="144" t="s">
        <v>730</v>
      </c>
      <c r="I1595" s="145"/>
      <c r="J1595" s="145"/>
      <c r="K1595" s="146">
        <v>888078.59</v>
      </c>
    </row>
    <row r="1596" spans="1:11" s="147" customFormat="1" ht="11.25" customHeight="1" x14ac:dyDescent="0.2">
      <c r="A1596" s="795" t="s">
        <v>9980</v>
      </c>
      <c r="B1596" s="138" t="s">
        <v>9926</v>
      </c>
      <c r="C1596" s="139" t="s">
        <v>9981</v>
      </c>
      <c r="D1596" s="140" t="s">
        <v>9982</v>
      </c>
      <c r="E1596" s="141" t="s">
        <v>9956</v>
      </c>
      <c r="F1596" s="142" t="s">
        <v>9983</v>
      </c>
      <c r="G1596" s="143">
        <v>180514.19</v>
      </c>
      <c r="H1596" s="144" t="s">
        <v>730</v>
      </c>
      <c r="I1596" s="145"/>
      <c r="J1596" s="145"/>
      <c r="K1596" s="146">
        <v>180514.19</v>
      </c>
    </row>
    <row r="1597" spans="1:11" s="147" customFormat="1" ht="11.25" customHeight="1" x14ac:dyDescent="0.2">
      <c r="A1597" s="795" t="s">
        <v>9984</v>
      </c>
      <c r="B1597" s="138" t="s">
        <v>9926</v>
      </c>
      <c r="C1597" s="139" t="s">
        <v>8109</v>
      </c>
      <c r="D1597" s="140" t="s">
        <v>9985</v>
      </c>
      <c r="E1597" s="141" t="s">
        <v>9964</v>
      </c>
      <c r="F1597" s="142" t="s">
        <v>9986</v>
      </c>
      <c r="G1597" s="143">
        <v>727390.5</v>
      </c>
      <c r="H1597" s="144" t="s">
        <v>730</v>
      </c>
      <c r="I1597" s="145"/>
      <c r="J1597" s="145"/>
      <c r="K1597" s="146">
        <v>727390.5</v>
      </c>
    </row>
    <row r="1598" spans="1:11" s="147" customFormat="1" ht="11.25" customHeight="1" x14ac:dyDescent="0.2">
      <c r="A1598" s="795" t="s">
        <v>9987</v>
      </c>
      <c r="B1598" s="138" t="s">
        <v>9926</v>
      </c>
      <c r="C1598" s="139" t="s">
        <v>8161</v>
      </c>
      <c r="D1598" s="140" t="s">
        <v>9988</v>
      </c>
      <c r="E1598" s="141" t="s">
        <v>9989</v>
      </c>
      <c r="F1598" s="142" t="s">
        <v>9990</v>
      </c>
      <c r="G1598" s="143">
        <v>27370.55</v>
      </c>
      <c r="H1598" s="144" t="s">
        <v>730</v>
      </c>
      <c r="I1598" s="145"/>
      <c r="J1598" s="145"/>
      <c r="K1598" s="146">
        <v>27370.55</v>
      </c>
    </row>
    <row r="1599" spans="1:11" s="147" customFormat="1" ht="11.25" customHeight="1" x14ac:dyDescent="0.2">
      <c r="A1599" s="795" t="s">
        <v>9987</v>
      </c>
      <c r="B1599" s="138" t="s">
        <v>9926</v>
      </c>
      <c r="C1599" s="139" t="s">
        <v>9991</v>
      </c>
      <c r="D1599" s="140" t="s">
        <v>9992</v>
      </c>
      <c r="E1599" s="141" t="s">
        <v>9989</v>
      </c>
      <c r="F1599" s="142" t="s">
        <v>9993</v>
      </c>
      <c r="G1599" s="143">
        <v>136545.42000000001</v>
      </c>
      <c r="H1599" s="144" t="s">
        <v>730</v>
      </c>
      <c r="I1599" s="145"/>
      <c r="J1599" s="145"/>
      <c r="K1599" s="146">
        <v>136545.42000000001</v>
      </c>
    </row>
    <row r="1600" spans="1:11" s="147" customFormat="1" ht="11.25" customHeight="1" x14ac:dyDescent="0.2">
      <c r="A1600" s="795" t="s">
        <v>9994</v>
      </c>
      <c r="B1600" s="138" t="s">
        <v>9926</v>
      </c>
      <c r="C1600" s="139" t="s">
        <v>9995</v>
      </c>
      <c r="D1600" s="140" t="s">
        <v>9996</v>
      </c>
      <c r="E1600" s="141" t="s">
        <v>9997</v>
      </c>
      <c r="F1600" s="142" t="s">
        <v>9998</v>
      </c>
      <c r="G1600" s="143">
        <v>149886.98000000001</v>
      </c>
      <c r="H1600" s="144" t="s">
        <v>730</v>
      </c>
      <c r="I1600" s="145"/>
      <c r="J1600" s="145"/>
      <c r="K1600" s="146">
        <v>149886.98000000001</v>
      </c>
    </row>
    <row r="1601" spans="1:11" s="147" customFormat="1" ht="11.25" customHeight="1" x14ac:dyDescent="0.2">
      <c r="A1601" s="795" t="s">
        <v>9999</v>
      </c>
      <c r="B1601" s="138" t="s">
        <v>9926</v>
      </c>
      <c r="C1601" s="139" t="s">
        <v>8132</v>
      </c>
      <c r="D1601" s="140" t="s">
        <v>10000</v>
      </c>
      <c r="E1601" s="141" t="s">
        <v>10001</v>
      </c>
      <c r="F1601" s="142" t="s">
        <v>10002</v>
      </c>
      <c r="G1601" s="143">
        <v>310394.21999999997</v>
      </c>
      <c r="H1601" s="144" t="s">
        <v>730</v>
      </c>
      <c r="I1601" s="145"/>
      <c r="J1601" s="145"/>
      <c r="K1601" s="146">
        <v>310394.21999999997</v>
      </c>
    </row>
    <row r="1602" spans="1:11" s="147" customFormat="1" ht="11.25" customHeight="1" x14ac:dyDescent="0.2">
      <c r="A1602" s="795" t="s">
        <v>10003</v>
      </c>
      <c r="B1602" s="138" t="s">
        <v>9926</v>
      </c>
      <c r="C1602" s="139" t="s">
        <v>8165</v>
      </c>
      <c r="D1602" s="140" t="s">
        <v>10004</v>
      </c>
      <c r="E1602" s="141" t="s">
        <v>10005</v>
      </c>
      <c r="F1602" s="142" t="s">
        <v>10006</v>
      </c>
      <c r="G1602" s="143">
        <v>452433.45</v>
      </c>
      <c r="H1602" s="144" t="s">
        <v>730</v>
      </c>
      <c r="I1602" s="145"/>
      <c r="J1602" s="145"/>
      <c r="K1602" s="146">
        <v>452433.45</v>
      </c>
    </row>
    <row r="1603" spans="1:11" s="147" customFormat="1" ht="11.25" customHeight="1" x14ac:dyDescent="0.2">
      <c r="A1603" s="795" t="s">
        <v>10007</v>
      </c>
      <c r="B1603" s="138" t="s">
        <v>9926</v>
      </c>
      <c r="C1603" s="139" t="s">
        <v>10008</v>
      </c>
      <c r="D1603" s="140" t="s">
        <v>10009</v>
      </c>
      <c r="E1603" s="141" t="s">
        <v>10010</v>
      </c>
      <c r="F1603" s="142" t="s">
        <v>10011</v>
      </c>
      <c r="G1603" s="143">
        <v>1385273.11</v>
      </c>
      <c r="H1603" s="144" t="s">
        <v>730</v>
      </c>
      <c r="I1603" s="145"/>
      <c r="J1603" s="145"/>
      <c r="K1603" s="146">
        <v>1385273.11</v>
      </c>
    </row>
    <row r="1604" spans="1:11" s="147" customFormat="1" ht="11.25" customHeight="1" x14ac:dyDescent="0.2">
      <c r="A1604" s="795" t="s">
        <v>10012</v>
      </c>
      <c r="B1604" s="138" t="s">
        <v>9926</v>
      </c>
      <c r="C1604" s="139" t="s">
        <v>8115</v>
      </c>
      <c r="D1604" s="140" t="s">
        <v>10013</v>
      </c>
      <c r="E1604" s="141" t="s">
        <v>10014</v>
      </c>
      <c r="F1604" s="142" t="s">
        <v>10015</v>
      </c>
      <c r="G1604" s="143">
        <v>346756.69</v>
      </c>
      <c r="H1604" s="144" t="s">
        <v>730</v>
      </c>
      <c r="I1604" s="145"/>
      <c r="J1604" s="145"/>
      <c r="K1604" s="146">
        <v>346756.69</v>
      </c>
    </row>
    <row r="1605" spans="1:11" s="147" customFormat="1" ht="11.25" customHeight="1" x14ac:dyDescent="0.2">
      <c r="A1605" s="795" t="s">
        <v>10016</v>
      </c>
      <c r="B1605" s="138" t="s">
        <v>10017</v>
      </c>
      <c r="C1605" s="139" t="s">
        <v>10018</v>
      </c>
      <c r="D1605" s="140" t="s">
        <v>10019</v>
      </c>
      <c r="E1605" s="141" t="s">
        <v>10020</v>
      </c>
      <c r="F1605" s="142" t="s">
        <v>10021</v>
      </c>
      <c r="G1605" s="143">
        <v>15744.46</v>
      </c>
      <c r="H1605" s="144" t="s">
        <v>730</v>
      </c>
      <c r="I1605" s="145"/>
      <c r="J1605" s="145"/>
      <c r="K1605" s="146">
        <v>15744.46</v>
      </c>
    </row>
    <row r="1606" spans="1:11" s="147" customFormat="1" ht="11.25" customHeight="1" x14ac:dyDescent="0.2">
      <c r="A1606" s="795" t="s">
        <v>10022</v>
      </c>
      <c r="B1606" s="138" t="s">
        <v>10017</v>
      </c>
      <c r="C1606" s="139" t="s">
        <v>10023</v>
      </c>
      <c r="D1606" s="140" t="s">
        <v>10024</v>
      </c>
      <c r="E1606" s="141" t="s">
        <v>10025</v>
      </c>
      <c r="F1606" s="142" t="s">
        <v>10026</v>
      </c>
      <c r="G1606" s="143">
        <v>3716.4</v>
      </c>
      <c r="H1606" s="144" t="s">
        <v>730</v>
      </c>
      <c r="I1606" s="145"/>
      <c r="J1606" s="145"/>
      <c r="K1606" s="146">
        <v>3716.4</v>
      </c>
    </row>
    <row r="1607" spans="1:11" s="147" customFormat="1" ht="11.25" customHeight="1" x14ac:dyDescent="0.2">
      <c r="A1607" s="795" t="s">
        <v>10027</v>
      </c>
      <c r="B1607" s="138" t="s">
        <v>10017</v>
      </c>
      <c r="C1607" s="139" t="s">
        <v>10028</v>
      </c>
      <c r="D1607" s="140" t="s">
        <v>10029</v>
      </c>
      <c r="E1607" s="141" t="s">
        <v>10030</v>
      </c>
      <c r="F1607" s="142" t="s">
        <v>10031</v>
      </c>
      <c r="G1607" s="143">
        <v>67423.78</v>
      </c>
      <c r="H1607" s="144" t="s">
        <v>730</v>
      </c>
      <c r="I1607" s="145"/>
      <c r="J1607" s="145"/>
      <c r="K1607" s="146">
        <v>67423.78</v>
      </c>
    </row>
    <row r="1608" spans="1:11" s="147" customFormat="1" ht="11.25" customHeight="1" x14ac:dyDescent="0.2">
      <c r="A1608" s="795" t="s">
        <v>10032</v>
      </c>
      <c r="B1608" s="138" t="s">
        <v>10017</v>
      </c>
      <c r="C1608" s="139" t="s">
        <v>10033</v>
      </c>
      <c r="D1608" s="140" t="s">
        <v>10034</v>
      </c>
      <c r="E1608" s="141" t="s">
        <v>9379</v>
      </c>
      <c r="F1608" s="142" t="s">
        <v>10035</v>
      </c>
      <c r="G1608" s="143">
        <v>43732</v>
      </c>
      <c r="H1608" s="144" t="s">
        <v>730</v>
      </c>
      <c r="I1608" s="145"/>
      <c r="J1608" s="145"/>
      <c r="K1608" s="146">
        <v>43732</v>
      </c>
    </row>
    <row r="1609" spans="1:11" s="147" customFormat="1" ht="11.25" customHeight="1" x14ac:dyDescent="0.2">
      <c r="A1609" s="795" t="s">
        <v>10032</v>
      </c>
      <c r="B1609" s="138" t="s">
        <v>10017</v>
      </c>
      <c r="C1609" s="139" t="s">
        <v>10033</v>
      </c>
      <c r="D1609" s="140" t="s">
        <v>10034</v>
      </c>
      <c r="E1609" s="141" t="s">
        <v>9379</v>
      </c>
      <c r="F1609" s="142" t="s">
        <v>10035</v>
      </c>
      <c r="G1609" s="143">
        <v>86188</v>
      </c>
      <c r="H1609" s="144" t="s">
        <v>730</v>
      </c>
      <c r="I1609" s="145"/>
      <c r="J1609" s="145"/>
      <c r="K1609" s="146">
        <v>86188</v>
      </c>
    </row>
    <row r="1610" spans="1:11" s="147" customFormat="1" ht="11.25" customHeight="1" x14ac:dyDescent="0.2">
      <c r="A1610" s="795" t="s">
        <v>10032</v>
      </c>
      <c r="B1610" s="138" t="s">
        <v>10017</v>
      </c>
      <c r="C1610" s="139" t="s">
        <v>10033</v>
      </c>
      <c r="D1610" s="140" t="s">
        <v>10034</v>
      </c>
      <c r="E1610" s="141" t="s">
        <v>9379</v>
      </c>
      <c r="F1610" s="142" t="s">
        <v>10035</v>
      </c>
      <c r="G1610" s="143">
        <v>212749.8</v>
      </c>
      <c r="H1610" s="144" t="s">
        <v>730</v>
      </c>
      <c r="I1610" s="145"/>
      <c r="J1610" s="145"/>
      <c r="K1610" s="146">
        <v>212749.8</v>
      </c>
    </row>
    <row r="1611" spans="1:11" s="147" customFormat="1" ht="11.25" customHeight="1" x14ac:dyDescent="0.2">
      <c r="A1611" s="795" t="s">
        <v>10036</v>
      </c>
      <c r="B1611" s="138" t="s">
        <v>10017</v>
      </c>
      <c r="C1611" s="139" t="s">
        <v>10037</v>
      </c>
      <c r="D1611" s="140" t="s">
        <v>10038</v>
      </c>
      <c r="E1611" s="141" t="s">
        <v>10039</v>
      </c>
      <c r="F1611" s="142" t="s">
        <v>10035</v>
      </c>
      <c r="G1611" s="143">
        <v>443056.37</v>
      </c>
      <c r="H1611" s="144" t="s">
        <v>730</v>
      </c>
      <c r="I1611" s="145"/>
      <c r="J1611" s="145"/>
      <c r="K1611" s="146">
        <v>443056.37</v>
      </c>
    </row>
    <row r="1612" spans="1:11" s="147" customFormat="1" ht="11.25" customHeight="1" x14ac:dyDescent="0.2">
      <c r="A1612" s="795" t="s">
        <v>10040</v>
      </c>
      <c r="B1612" s="138" t="s">
        <v>10017</v>
      </c>
      <c r="C1612" s="139" t="s">
        <v>10041</v>
      </c>
      <c r="D1612" s="140" t="s">
        <v>10042</v>
      </c>
      <c r="E1612" s="141" t="s">
        <v>10043</v>
      </c>
      <c r="F1612" s="142" t="s">
        <v>10044</v>
      </c>
      <c r="G1612" s="143">
        <v>464000</v>
      </c>
      <c r="H1612" s="144" t="s">
        <v>730</v>
      </c>
      <c r="I1612" s="145"/>
      <c r="J1612" s="145"/>
      <c r="K1612" s="146">
        <v>464000</v>
      </c>
    </row>
    <row r="1613" spans="1:11" s="147" customFormat="1" ht="11.25" customHeight="1" x14ac:dyDescent="0.2">
      <c r="A1613" s="795" t="s">
        <v>9888</v>
      </c>
      <c r="B1613" s="138" t="s">
        <v>10017</v>
      </c>
      <c r="C1613" s="139" t="s">
        <v>10045</v>
      </c>
      <c r="D1613" s="140" t="s">
        <v>10046</v>
      </c>
      <c r="E1613" s="141" t="s">
        <v>9563</v>
      </c>
      <c r="F1613" s="142" t="s">
        <v>10047</v>
      </c>
      <c r="G1613" s="143">
        <v>1856000</v>
      </c>
      <c r="H1613" s="144" t="s">
        <v>730</v>
      </c>
      <c r="I1613" s="145"/>
      <c r="J1613" s="145"/>
      <c r="K1613" s="146">
        <v>1856000</v>
      </c>
    </row>
    <row r="1614" spans="1:11" s="147" customFormat="1" ht="11.25" customHeight="1" x14ac:dyDescent="0.2">
      <c r="A1614" s="795" t="s">
        <v>10048</v>
      </c>
      <c r="B1614" s="138" t="s">
        <v>10017</v>
      </c>
      <c r="C1614" s="139" t="s">
        <v>10049</v>
      </c>
      <c r="D1614" s="140" t="s">
        <v>10050</v>
      </c>
      <c r="E1614" s="141" t="s">
        <v>10051</v>
      </c>
      <c r="F1614" s="142" t="s">
        <v>10052</v>
      </c>
      <c r="G1614" s="143">
        <v>2320000</v>
      </c>
      <c r="H1614" s="144" t="s">
        <v>730</v>
      </c>
      <c r="I1614" s="145"/>
      <c r="J1614" s="145"/>
      <c r="K1614" s="146">
        <v>2320000</v>
      </c>
    </row>
    <row r="1615" spans="1:11" s="147" customFormat="1" ht="11.25" customHeight="1" x14ac:dyDescent="0.2">
      <c r="A1615" s="795" t="s">
        <v>10053</v>
      </c>
      <c r="B1615" s="138" t="s">
        <v>10054</v>
      </c>
      <c r="C1615" s="139" t="s">
        <v>10055</v>
      </c>
      <c r="D1615" s="140" t="s">
        <v>8102</v>
      </c>
      <c r="E1615" s="141" t="s">
        <v>10056</v>
      </c>
      <c r="F1615" s="142" t="s">
        <v>10057</v>
      </c>
      <c r="G1615" s="143">
        <v>84775</v>
      </c>
      <c r="H1615" s="144" t="s">
        <v>730</v>
      </c>
      <c r="I1615" s="145"/>
      <c r="J1615" s="145"/>
      <c r="K1615" s="146">
        <v>84775</v>
      </c>
    </row>
    <row r="1616" spans="1:11" s="147" customFormat="1" ht="11.25" customHeight="1" x14ac:dyDescent="0.2">
      <c r="A1616" s="795" t="s">
        <v>10053</v>
      </c>
      <c r="B1616" s="138" t="s">
        <v>10054</v>
      </c>
      <c r="C1616" s="139" t="s">
        <v>10058</v>
      </c>
      <c r="D1616" s="140" t="s">
        <v>10059</v>
      </c>
      <c r="E1616" s="141" t="s">
        <v>10056</v>
      </c>
      <c r="F1616" s="142" t="s">
        <v>10057</v>
      </c>
      <c r="G1616" s="143">
        <v>115300</v>
      </c>
      <c r="H1616" s="144" t="s">
        <v>730</v>
      </c>
      <c r="I1616" s="145"/>
      <c r="J1616" s="145"/>
      <c r="K1616" s="146">
        <v>115300</v>
      </c>
    </row>
    <row r="1617" spans="1:11" s="147" customFormat="1" ht="11.25" customHeight="1" x14ac:dyDescent="0.2">
      <c r="A1617" s="795" t="s">
        <v>10053</v>
      </c>
      <c r="B1617" s="138" t="s">
        <v>10054</v>
      </c>
      <c r="C1617" s="139" t="s">
        <v>10060</v>
      </c>
      <c r="D1617" s="140" t="s">
        <v>10061</v>
      </c>
      <c r="E1617" s="141" t="s">
        <v>10056</v>
      </c>
      <c r="F1617" s="142" t="s">
        <v>10057</v>
      </c>
      <c r="G1617" s="143">
        <v>139200</v>
      </c>
      <c r="H1617" s="144" t="s">
        <v>730</v>
      </c>
      <c r="I1617" s="145"/>
      <c r="J1617" s="145"/>
      <c r="K1617" s="146">
        <v>139200</v>
      </c>
    </row>
    <row r="1618" spans="1:11" s="147" customFormat="1" ht="11.25" customHeight="1" x14ac:dyDescent="0.2">
      <c r="A1618" s="795" t="s">
        <v>10062</v>
      </c>
      <c r="B1618" s="138" t="s">
        <v>10054</v>
      </c>
      <c r="C1618" s="139" t="s">
        <v>10063</v>
      </c>
      <c r="D1618" s="140" t="s">
        <v>10064</v>
      </c>
      <c r="E1618" s="141" t="s">
        <v>8096</v>
      </c>
      <c r="F1618" s="142" t="s">
        <v>8099</v>
      </c>
      <c r="G1618" s="143">
        <v>400</v>
      </c>
      <c r="H1618" s="144" t="s">
        <v>730</v>
      </c>
      <c r="I1618" s="145"/>
      <c r="J1618" s="145"/>
      <c r="K1618" s="146">
        <v>400</v>
      </c>
    </row>
    <row r="1619" spans="1:11" s="147" customFormat="1" ht="11.25" customHeight="1" x14ac:dyDescent="0.2">
      <c r="A1619" s="795" t="s">
        <v>9335</v>
      </c>
      <c r="B1619" s="138" t="s">
        <v>10054</v>
      </c>
      <c r="C1619" s="139" t="s">
        <v>8086</v>
      </c>
      <c r="D1619" s="140" t="s">
        <v>10065</v>
      </c>
      <c r="E1619" s="141" t="s">
        <v>9338</v>
      </c>
      <c r="F1619" s="142" t="s">
        <v>8099</v>
      </c>
      <c r="G1619" s="143">
        <v>500</v>
      </c>
      <c r="H1619" s="144" t="s">
        <v>730</v>
      </c>
      <c r="I1619" s="145"/>
      <c r="J1619" s="145"/>
      <c r="K1619" s="146">
        <v>500</v>
      </c>
    </row>
    <row r="1620" spans="1:11" s="147" customFormat="1" ht="11.25" customHeight="1" x14ac:dyDescent="0.2">
      <c r="A1620" s="795" t="s">
        <v>9335</v>
      </c>
      <c r="B1620" s="138" t="s">
        <v>10054</v>
      </c>
      <c r="C1620" s="139" t="s">
        <v>10066</v>
      </c>
      <c r="D1620" s="140" t="s">
        <v>10067</v>
      </c>
      <c r="E1620" s="141" t="s">
        <v>9338</v>
      </c>
      <c r="F1620" s="142" t="s">
        <v>9339</v>
      </c>
      <c r="G1620" s="143">
        <v>500</v>
      </c>
      <c r="H1620" s="144" t="s">
        <v>730</v>
      </c>
      <c r="I1620" s="145"/>
      <c r="J1620" s="145"/>
      <c r="K1620" s="146">
        <v>500</v>
      </c>
    </row>
    <row r="1621" spans="1:11" s="147" customFormat="1" ht="11.25" customHeight="1" x14ac:dyDescent="0.2">
      <c r="A1621" s="795" t="s">
        <v>9335</v>
      </c>
      <c r="B1621" s="138" t="s">
        <v>10054</v>
      </c>
      <c r="C1621" s="139" t="s">
        <v>10068</v>
      </c>
      <c r="D1621" s="140" t="s">
        <v>10069</v>
      </c>
      <c r="E1621" s="141" t="s">
        <v>9338</v>
      </c>
      <c r="F1621" s="142" t="s">
        <v>8097</v>
      </c>
      <c r="G1621" s="143">
        <v>700</v>
      </c>
      <c r="H1621" s="144" t="s">
        <v>730</v>
      </c>
      <c r="I1621" s="145"/>
      <c r="J1621" s="145"/>
      <c r="K1621" s="146">
        <v>700</v>
      </c>
    </row>
    <row r="1622" spans="1:11" s="147" customFormat="1" ht="11.25" customHeight="1" x14ac:dyDescent="0.2">
      <c r="A1622" s="795" t="s">
        <v>9335</v>
      </c>
      <c r="B1622" s="138" t="s">
        <v>10054</v>
      </c>
      <c r="C1622" s="139" t="s">
        <v>10068</v>
      </c>
      <c r="D1622" s="140" t="s">
        <v>10070</v>
      </c>
      <c r="E1622" s="141" t="s">
        <v>9338</v>
      </c>
      <c r="F1622" s="142" t="s">
        <v>8097</v>
      </c>
      <c r="G1622" s="143">
        <v>700</v>
      </c>
      <c r="H1622" s="144" t="s">
        <v>730</v>
      </c>
      <c r="I1622" s="145"/>
      <c r="J1622" s="145"/>
      <c r="K1622" s="146">
        <v>700</v>
      </c>
    </row>
    <row r="1623" spans="1:11" s="147" customFormat="1" ht="11.25" customHeight="1" x14ac:dyDescent="0.2">
      <c r="A1623" s="795" t="s">
        <v>9335</v>
      </c>
      <c r="B1623" s="138" t="s">
        <v>10054</v>
      </c>
      <c r="C1623" s="139" t="s">
        <v>8086</v>
      </c>
      <c r="D1623" s="140" t="s">
        <v>10071</v>
      </c>
      <c r="E1623" s="141" t="s">
        <v>9338</v>
      </c>
      <c r="F1623" s="142" t="s">
        <v>8097</v>
      </c>
      <c r="G1623" s="143">
        <v>800</v>
      </c>
      <c r="H1623" s="144" t="s">
        <v>730</v>
      </c>
      <c r="I1623" s="145"/>
      <c r="J1623" s="145"/>
      <c r="K1623" s="146">
        <v>800</v>
      </c>
    </row>
    <row r="1624" spans="1:11" s="147" customFormat="1" ht="11.25" customHeight="1" x14ac:dyDescent="0.2">
      <c r="A1624" s="795" t="s">
        <v>9335</v>
      </c>
      <c r="B1624" s="138" t="s">
        <v>10054</v>
      </c>
      <c r="C1624" s="139" t="s">
        <v>8086</v>
      </c>
      <c r="D1624" s="140" t="s">
        <v>10072</v>
      </c>
      <c r="E1624" s="141" t="s">
        <v>9338</v>
      </c>
      <c r="F1624" s="142" t="s">
        <v>8097</v>
      </c>
      <c r="G1624" s="143">
        <v>900</v>
      </c>
      <c r="H1624" s="144" t="s">
        <v>730</v>
      </c>
      <c r="I1624" s="145"/>
      <c r="J1624" s="145"/>
      <c r="K1624" s="146">
        <v>900</v>
      </c>
    </row>
    <row r="1625" spans="1:11" s="147" customFormat="1" ht="11.25" customHeight="1" x14ac:dyDescent="0.2">
      <c r="A1625" s="795" t="s">
        <v>9335</v>
      </c>
      <c r="B1625" s="138" t="s">
        <v>10054</v>
      </c>
      <c r="C1625" s="139" t="s">
        <v>10068</v>
      </c>
      <c r="D1625" s="140" t="s">
        <v>10073</v>
      </c>
      <c r="E1625" s="141" t="s">
        <v>9338</v>
      </c>
      <c r="F1625" s="142" t="s">
        <v>8097</v>
      </c>
      <c r="G1625" s="143">
        <v>1000</v>
      </c>
      <c r="H1625" s="144" t="s">
        <v>730</v>
      </c>
      <c r="I1625" s="145"/>
      <c r="J1625" s="145"/>
      <c r="K1625" s="146">
        <v>1000</v>
      </c>
    </row>
    <row r="1626" spans="1:11" s="147" customFormat="1" ht="11.25" customHeight="1" x14ac:dyDescent="0.2">
      <c r="A1626" s="795" t="s">
        <v>9335</v>
      </c>
      <c r="B1626" s="138" t="s">
        <v>10054</v>
      </c>
      <c r="C1626" s="139" t="s">
        <v>8086</v>
      </c>
      <c r="D1626" s="140" t="s">
        <v>10074</v>
      </c>
      <c r="E1626" s="141" t="s">
        <v>9338</v>
      </c>
      <c r="F1626" s="142" t="s">
        <v>8097</v>
      </c>
      <c r="G1626" s="143">
        <v>1000</v>
      </c>
      <c r="H1626" s="144" t="s">
        <v>730</v>
      </c>
      <c r="I1626" s="145"/>
      <c r="J1626" s="145"/>
      <c r="K1626" s="146">
        <v>1000</v>
      </c>
    </row>
    <row r="1627" spans="1:11" s="147" customFormat="1" ht="11.25" customHeight="1" x14ac:dyDescent="0.2">
      <c r="A1627" s="795" t="s">
        <v>9335</v>
      </c>
      <c r="B1627" s="138" t="s">
        <v>10054</v>
      </c>
      <c r="C1627" s="139" t="s">
        <v>10075</v>
      </c>
      <c r="D1627" s="140" t="s">
        <v>10076</v>
      </c>
      <c r="E1627" s="141" t="s">
        <v>9338</v>
      </c>
      <c r="F1627" s="142" t="s">
        <v>8097</v>
      </c>
      <c r="G1627" s="143">
        <v>1100</v>
      </c>
      <c r="H1627" s="144" t="s">
        <v>730</v>
      </c>
      <c r="I1627" s="145"/>
      <c r="J1627" s="145"/>
      <c r="K1627" s="146">
        <v>1100</v>
      </c>
    </row>
    <row r="1628" spans="1:11" s="147" customFormat="1" ht="11.25" customHeight="1" x14ac:dyDescent="0.2">
      <c r="A1628" s="795" t="s">
        <v>9335</v>
      </c>
      <c r="B1628" s="138" t="s">
        <v>10054</v>
      </c>
      <c r="C1628" s="139" t="s">
        <v>10066</v>
      </c>
      <c r="D1628" s="140" t="s">
        <v>10077</v>
      </c>
      <c r="E1628" s="141" t="s">
        <v>9338</v>
      </c>
      <c r="F1628" s="142" t="s">
        <v>8097</v>
      </c>
      <c r="G1628" s="143">
        <v>1200</v>
      </c>
      <c r="H1628" s="144" t="s">
        <v>730</v>
      </c>
      <c r="I1628" s="145"/>
      <c r="J1628" s="145"/>
      <c r="K1628" s="146">
        <v>1200</v>
      </c>
    </row>
    <row r="1629" spans="1:11" s="147" customFormat="1" ht="11.25" customHeight="1" x14ac:dyDescent="0.2">
      <c r="A1629" s="795" t="s">
        <v>9335</v>
      </c>
      <c r="B1629" s="138" t="s">
        <v>10054</v>
      </c>
      <c r="C1629" s="139" t="s">
        <v>10066</v>
      </c>
      <c r="D1629" s="140" t="s">
        <v>10078</v>
      </c>
      <c r="E1629" s="141" t="s">
        <v>9338</v>
      </c>
      <c r="F1629" s="142" t="s">
        <v>8099</v>
      </c>
      <c r="G1629" s="143">
        <v>1200</v>
      </c>
      <c r="H1629" s="144" t="s">
        <v>730</v>
      </c>
      <c r="I1629" s="145"/>
      <c r="J1629" s="145"/>
      <c r="K1629" s="146">
        <v>1200</v>
      </c>
    </row>
    <row r="1630" spans="1:11" s="147" customFormat="1" ht="11.25" customHeight="1" x14ac:dyDescent="0.2">
      <c r="A1630" s="795" t="s">
        <v>9335</v>
      </c>
      <c r="B1630" s="138" t="s">
        <v>10054</v>
      </c>
      <c r="C1630" s="139" t="s">
        <v>10075</v>
      </c>
      <c r="D1630" s="140" t="s">
        <v>10079</v>
      </c>
      <c r="E1630" s="141" t="s">
        <v>9338</v>
      </c>
      <c r="F1630" s="142" t="s">
        <v>9339</v>
      </c>
      <c r="G1630" s="143">
        <v>1400</v>
      </c>
      <c r="H1630" s="144" t="s">
        <v>730</v>
      </c>
      <c r="I1630" s="145"/>
      <c r="J1630" s="145"/>
      <c r="K1630" s="146">
        <v>1400</v>
      </c>
    </row>
    <row r="1631" spans="1:11" s="147" customFormat="1" ht="11.25" customHeight="1" x14ac:dyDescent="0.2">
      <c r="A1631" s="795" t="s">
        <v>10062</v>
      </c>
      <c r="B1631" s="138" t="s">
        <v>10054</v>
      </c>
      <c r="C1631" s="139" t="s">
        <v>10063</v>
      </c>
      <c r="D1631" s="140" t="s">
        <v>10080</v>
      </c>
      <c r="E1631" s="141" t="s">
        <v>8096</v>
      </c>
      <c r="F1631" s="142" t="s">
        <v>8097</v>
      </c>
      <c r="G1631" s="143">
        <v>1600</v>
      </c>
      <c r="H1631" s="144" t="s">
        <v>730</v>
      </c>
      <c r="I1631" s="145"/>
      <c r="J1631" s="145"/>
      <c r="K1631" s="146">
        <v>1600</v>
      </c>
    </row>
    <row r="1632" spans="1:11" s="147" customFormat="1" ht="11.25" customHeight="1" x14ac:dyDescent="0.2">
      <c r="A1632" s="795" t="s">
        <v>9335</v>
      </c>
      <c r="B1632" s="138" t="s">
        <v>10054</v>
      </c>
      <c r="C1632" s="139" t="s">
        <v>10068</v>
      </c>
      <c r="D1632" s="140" t="s">
        <v>10081</v>
      </c>
      <c r="E1632" s="141" t="s">
        <v>9338</v>
      </c>
      <c r="F1632" s="142" t="s">
        <v>9339</v>
      </c>
      <c r="G1632" s="143">
        <v>1600</v>
      </c>
      <c r="H1632" s="144" t="s">
        <v>730</v>
      </c>
      <c r="I1632" s="145"/>
      <c r="J1632" s="145"/>
      <c r="K1632" s="146">
        <v>1600</v>
      </c>
    </row>
    <row r="1633" spans="1:11" s="147" customFormat="1" ht="11.25" customHeight="1" x14ac:dyDescent="0.2">
      <c r="A1633" s="795" t="s">
        <v>9335</v>
      </c>
      <c r="B1633" s="138" t="s">
        <v>10054</v>
      </c>
      <c r="C1633" s="139" t="s">
        <v>8086</v>
      </c>
      <c r="D1633" s="140" t="s">
        <v>10082</v>
      </c>
      <c r="E1633" s="141" t="s">
        <v>9338</v>
      </c>
      <c r="F1633" s="142" t="s">
        <v>9339</v>
      </c>
      <c r="G1633" s="143">
        <v>1800</v>
      </c>
      <c r="H1633" s="144" t="s">
        <v>730</v>
      </c>
      <c r="I1633" s="145"/>
      <c r="J1633" s="145"/>
      <c r="K1633" s="146">
        <v>1800</v>
      </c>
    </row>
    <row r="1634" spans="1:11" s="147" customFormat="1" ht="11.25" customHeight="1" x14ac:dyDescent="0.2">
      <c r="A1634" s="795" t="s">
        <v>9335</v>
      </c>
      <c r="B1634" s="138" t="s">
        <v>10054</v>
      </c>
      <c r="C1634" s="139" t="s">
        <v>10066</v>
      </c>
      <c r="D1634" s="140" t="s">
        <v>10083</v>
      </c>
      <c r="E1634" s="141" t="s">
        <v>9338</v>
      </c>
      <c r="F1634" s="142" t="s">
        <v>8097</v>
      </c>
      <c r="G1634" s="143">
        <v>1800</v>
      </c>
      <c r="H1634" s="144" t="s">
        <v>730</v>
      </c>
      <c r="I1634" s="145"/>
      <c r="J1634" s="145"/>
      <c r="K1634" s="146">
        <v>1800</v>
      </c>
    </row>
    <row r="1635" spans="1:11" s="147" customFormat="1" ht="11.25" customHeight="1" x14ac:dyDescent="0.2">
      <c r="A1635" s="795" t="s">
        <v>9335</v>
      </c>
      <c r="B1635" s="138" t="s">
        <v>10054</v>
      </c>
      <c r="C1635" s="139" t="s">
        <v>8086</v>
      </c>
      <c r="D1635" s="140" t="s">
        <v>10084</v>
      </c>
      <c r="E1635" s="141" t="s">
        <v>9338</v>
      </c>
      <c r="F1635" s="142" t="s">
        <v>8097</v>
      </c>
      <c r="G1635" s="143">
        <v>2000</v>
      </c>
      <c r="H1635" s="144" t="s">
        <v>730</v>
      </c>
      <c r="I1635" s="145"/>
      <c r="J1635" s="145"/>
      <c r="K1635" s="146">
        <v>2000</v>
      </c>
    </row>
    <row r="1636" spans="1:11" s="147" customFormat="1" ht="11.25" customHeight="1" x14ac:dyDescent="0.2">
      <c r="A1636" s="795" t="s">
        <v>9335</v>
      </c>
      <c r="B1636" s="138" t="s">
        <v>10054</v>
      </c>
      <c r="C1636" s="139" t="s">
        <v>10075</v>
      </c>
      <c r="D1636" s="140" t="s">
        <v>10085</v>
      </c>
      <c r="E1636" s="141" t="s">
        <v>9338</v>
      </c>
      <c r="F1636" s="142" t="s">
        <v>8097</v>
      </c>
      <c r="G1636" s="143">
        <v>2000</v>
      </c>
      <c r="H1636" s="144" t="s">
        <v>730</v>
      </c>
      <c r="I1636" s="145"/>
      <c r="J1636" s="145"/>
      <c r="K1636" s="146">
        <v>2000</v>
      </c>
    </row>
    <row r="1637" spans="1:11" s="147" customFormat="1" ht="11.25" customHeight="1" x14ac:dyDescent="0.2">
      <c r="A1637" s="795" t="s">
        <v>9335</v>
      </c>
      <c r="B1637" s="138" t="s">
        <v>10054</v>
      </c>
      <c r="C1637" s="139" t="s">
        <v>10066</v>
      </c>
      <c r="D1637" s="140" t="s">
        <v>10086</v>
      </c>
      <c r="E1637" s="141" t="s">
        <v>9338</v>
      </c>
      <c r="F1637" s="142" t="s">
        <v>8097</v>
      </c>
      <c r="G1637" s="143">
        <v>2000</v>
      </c>
      <c r="H1637" s="144" t="s">
        <v>730</v>
      </c>
      <c r="I1637" s="145"/>
      <c r="J1637" s="145"/>
      <c r="K1637" s="146">
        <v>2000</v>
      </c>
    </row>
    <row r="1638" spans="1:11" s="147" customFormat="1" ht="11.25" customHeight="1" x14ac:dyDescent="0.2">
      <c r="A1638" s="795" t="s">
        <v>9335</v>
      </c>
      <c r="B1638" s="138" t="s">
        <v>10054</v>
      </c>
      <c r="C1638" s="139" t="s">
        <v>10075</v>
      </c>
      <c r="D1638" s="140" t="s">
        <v>10087</v>
      </c>
      <c r="E1638" s="141" t="s">
        <v>9338</v>
      </c>
      <c r="F1638" s="142" t="s">
        <v>8097</v>
      </c>
      <c r="G1638" s="143">
        <v>2100</v>
      </c>
      <c r="H1638" s="144" t="s">
        <v>730</v>
      </c>
      <c r="I1638" s="145"/>
      <c r="J1638" s="145"/>
      <c r="K1638" s="146">
        <v>2100</v>
      </c>
    </row>
    <row r="1639" spans="1:11" s="147" customFormat="1" ht="11.25" customHeight="1" x14ac:dyDescent="0.2">
      <c r="A1639" s="795" t="s">
        <v>9335</v>
      </c>
      <c r="B1639" s="138" t="s">
        <v>10054</v>
      </c>
      <c r="C1639" s="139" t="s">
        <v>8086</v>
      </c>
      <c r="D1639" s="140" t="s">
        <v>10088</v>
      </c>
      <c r="E1639" s="141" t="s">
        <v>9338</v>
      </c>
      <c r="F1639" s="142" t="s">
        <v>8099</v>
      </c>
      <c r="G1639" s="143">
        <v>2200</v>
      </c>
      <c r="H1639" s="144" t="s">
        <v>730</v>
      </c>
      <c r="I1639" s="145"/>
      <c r="J1639" s="145"/>
      <c r="K1639" s="146">
        <v>2200</v>
      </c>
    </row>
    <row r="1640" spans="1:11" s="147" customFormat="1" ht="11.25" customHeight="1" x14ac:dyDescent="0.2">
      <c r="A1640" s="795" t="s">
        <v>9335</v>
      </c>
      <c r="B1640" s="138" t="s">
        <v>10054</v>
      </c>
      <c r="C1640" s="139" t="s">
        <v>10068</v>
      </c>
      <c r="D1640" s="140" t="s">
        <v>10089</v>
      </c>
      <c r="E1640" s="141" t="s">
        <v>9338</v>
      </c>
      <c r="F1640" s="142" t="s">
        <v>8097</v>
      </c>
      <c r="G1640" s="143">
        <v>2400</v>
      </c>
      <c r="H1640" s="144" t="s">
        <v>730</v>
      </c>
      <c r="I1640" s="145"/>
      <c r="J1640" s="145"/>
      <c r="K1640" s="146">
        <v>2400</v>
      </c>
    </row>
    <row r="1641" spans="1:11" s="147" customFormat="1" ht="11.25" customHeight="1" x14ac:dyDescent="0.2">
      <c r="A1641" s="795" t="s">
        <v>9335</v>
      </c>
      <c r="B1641" s="138" t="s">
        <v>10054</v>
      </c>
      <c r="C1641" s="139" t="s">
        <v>10068</v>
      </c>
      <c r="D1641" s="140" t="s">
        <v>10090</v>
      </c>
      <c r="E1641" s="141" t="s">
        <v>9338</v>
      </c>
      <c r="F1641" s="142" t="s">
        <v>8097</v>
      </c>
      <c r="G1641" s="143">
        <v>2400</v>
      </c>
      <c r="H1641" s="144" t="s">
        <v>730</v>
      </c>
      <c r="I1641" s="145"/>
      <c r="J1641" s="145"/>
      <c r="K1641" s="146">
        <v>2400</v>
      </c>
    </row>
    <row r="1642" spans="1:11" s="147" customFormat="1" ht="11.25" customHeight="1" x14ac:dyDescent="0.2">
      <c r="A1642" s="795" t="s">
        <v>9335</v>
      </c>
      <c r="B1642" s="138" t="s">
        <v>10054</v>
      </c>
      <c r="C1642" s="139" t="s">
        <v>8086</v>
      </c>
      <c r="D1642" s="140" t="s">
        <v>10091</v>
      </c>
      <c r="E1642" s="141" t="s">
        <v>9338</v>
      </c>
      <c r="F1642" s="142" t="s">
        <v>8097</v>
      </c>
      <c r="G1642" s="143">
        <v>2400</v>
      </c>
      <c r="H1642" s="144" t="s">
        <v>730</v>
      </c>
      <c r="I1642" s="145"/>
      <c r="J1642" s="145"/>
      <c r="K1642" s="146">
        <v>2400</v>
      </c>
    </row>
    <row r="1643" spans="1:11" s="147" customFormat="1" ht="11.25" customHeight="1" x14ac:dyDescent="0.2">
      <c r="A1643" s="795" t="s">
        <v>9335</v>
      </c>
      <c r="B1643" s="138" t="s">
        <v>10054</v>
      </c>
      <c r="C1643" s="139" t="s">
        <v>10075</v>
      </c>
      <c r="D1643" s="140" t="s">
        <v>10092</v>
      </c>
      <c r="E1643" s="141" t="s">
        <v>9338</v>
      </c>
      <c r="F1643" s="142" t="s">
        <v>8097</v>
      </c>
      <c r="G1643" s="143">
        <v>2400</v>
      </c>
      <c r="H1643" s="144" t="s">
        <v>730</v>
      </c>
      <c r="I1643" s="145"/>
      <c r="J1643" s="145"/>
      <c r="K1643" s="146">
        <v>2400</v>
      </c>
    </row>
    <row r="1644" spans="1:11" s="147" customFormat="1" ht="11.25" customHeight="1" x14ac:dyDescent="0.2">
      <c r="A1644" s="795" t="s">
        <v>9335</v>
      </c>
      <c r="B1644" s="138" t="s">
        <v>10054</v>
      </c>
      <c r="C1644" s="139" t="s">
        <v>10066</v>
      </c>
      <c r="D1644" s="140" t="s">
        <v>10093</v>
      </c>
      <c r="E1644" s="141" t="s">
        <v>9338</v>
      </c>
      <c r="F1644" s="142" t="s">
        <v>8097</v>
      </c>
      <c r="G1644" s="143">
        <v>2400</v>
      </c>
      <c r="H1644" s="144" t="s">
        <v>730</v>
      </c>
      <c r="I1644" s="145"/>
      <c r="J1644" s="145"/>
      <c r="K1644" s="146">
        <v>2400</v>
      </c>
    </row>
    <row r="1645" spans="1:11" s="147" customFormat="1" ht="11.25" customHeight="1" x14ac:dyDescent="0.2">
      <c r="A1645" s="795" t="s">
        <v>9335</v>
      </c>
      <c r="B1645" s="138" t="s">
        <v>10054</v>
      </c>
      <c r="C1645" s="139" t="s">
        <v>10075</v>
      </c>
      <c r="D1645" s="140" t="s">
        <v>10094</v>
      </c>
      <c r="E1645" s="141" t="s">
        <v>9338</v>
      </c>
      <c r="F1645" s="142" t="s">
        <v>8099</v>
      </c>
      <c r="G1645" s="143">
        <v>2500</v>
      </c>
      <c r="H1645" s="144" t="s">
        <v>730</v>
      </c>
      <c r="I1645" s="145"/>
      <c r="J1645" s="145"/>
      <c r="K1645" s="146">
        <v>2500</v>
      </c>
    </row>
    <row r="1646" spans="1:11" s="147" customFormat="1" ht="11.25" customHeight="1" x14ac:dyDescent="0.2">
      <c r="A1646" s="795" t="s">
        <v>9335</v>
      </c>
      <c r="B1646" s="138" t="s">
        <v>10054</v>
      </c>
      <c r="C1646" s="139" t="s">
        <v>10075</v>
      </c>
      <c r="D1646" s="140" t="s">
        <v>10095</v>
      </c>
      <c r="E1646" s="141" t="s">
        <v>9338</v>
      </c>
      <c r="F1646" s="142" t="s">
        <v>8097</v>
      </c>
      <c r="G1646" s="143">
        <v>2600</v>
      </c>
      <c r="H1646" s="144" t="s">
        <v>730</v>
      </c>
      <c r="I1646" s="145"/>
      <c r="J1646" s="145"/>
      <c r="K1646" s="146">
        <v>2600</v>
      </c>
    </row>
    <row r="1647" spans="1:11" s="147" customFormat="1" ht="11.25" customHeight="1" x14ac:dyDescent="0.2">
      <c r="A1647" s="795" t="s">
        <v>9335</v>
      </c>
      <c r="B1647" s="138" t="s">
        <v>10054</v>
      </c>
      <c r="C1647" s="139" t="s">
        <v>10066</v>
      </c>
      <c r="D1647" s="140" t="s">
        <v>10096</v>
      </c>
      <c r="E1647" s="141" t="s">
        <v>9338</v>
      </c>
      <c r="F1647" s="142" t="s">
        <v>8097</v>
      </c>
      <c r="G1647" s="143">
        <v>3000</v>
      </c>
      <c r="H1647" s="144" t="s">
        <v>730</v>
      </c>
      <c r="I1647" s="145"/>
      <c r="J1647" s="145"/>
      <c r="K1647" s="146">
        <v>3000</v>
      </c>
    </row>
    <row r="1648" spans="1:11" s="147" customFormat="1" ht="11.25" customHeight="1" x14ac:dyDescent="0.2">
      <c r="A1648" s="795" t="s">
        <v>9335</v>
      </c>
      <c r="B1648" s="138" t="s">
        <v>10054</v>
      </c>
      <c r="C1648" s="139" t="s">
        <v>8086</v>
      </c>
      <c r="D1648" s="140" t="s">
        <v>10097</v>
      </c>
      <c r="E1648" s="141" t="s">
        <v>9338</v>
      </c>
      <c r="F1648" s="142" t="s">
        <v>8097</v>
      </c>
      <c r="G1648" s="143">
        <v>3200</v>
      </c>
      <c r="H1648" s="144" t="s">
        <v>730</v>
      </c>
      <c r="I1648" s="145"/>
      <c r="J1648" s="145"/>
      <c r="K1648" s="146">
        <v>3200</v>
      </c>
    </row>
    <row r="1649" spans="1:11" s="147" customFormat="1" ht="11.25" customHeight="1" x14ac:dyDescent="0.2">
      <c r="A1649" s="795" t="s">
        <v>9335</v>
      </c>
      <c r="B1649" s="138" t="s">
        <v>10054</v>
      </c>
      <c r="C1649" s="139" t="s">
        <v>10068</v>
      </c>
      <c r="D1649" s="140" t="s">
        <v>10098</v>
      </c>
      <c r="E1649" s="141" t="s">
        <v>9338</v>
      </c>
      <c r="F1649" s="142" t="s">
        <v>8099</v>
      </c>
      <c r="G1649" s="143">
        <v>3400</v>
      </c>
      <c r="H1649" s="144" t="s">
        <v>730</v>
      </c>
      <c r="I1649" s="145"/>
      <c r="J1649" s="145"/>
      <c r="K1649" s="146">
        <v>3400</v>
      </c>
    </row>
    <row r="1650" spans="1:11" s="147" customFormat="1" ht="11.25" customHeight="1" x14ac:dyDescent="0.2">
      <c r="A1650" s="795" t="s">
        <v>9335</v>
      </c>
      <c r="B1650" s="138" t="s">
        <v>10054</v>
      </c>
      <c r="C1650" s="139" t="s">
        <v>10066</v>
      </c>
      <c r="D1650" s="140" t="s">
        <v>10099</v>
      </c>
      <c r="E1650" s="141" t="s">
        <v>9338</v>
      </c>
      <c r="F1650" s="142" t="s">
        <v>8099</v>
      </c>
      <c r="G1650" s="143">
        <v>3700</v>
      </c>
      <c r="H1650" s="144" t="s">
        <v>730</v>
      </c>
      <c r="I1650" s="145"/>
      <c r="J1650" s="145"/>
      <c r="K1650" s="146">
        <v>3700</v>
      </c>
    </row>
    <row r="1651" spans="1:11" s="147" customFormat="1" ht="11.25" customHeight="1" x14ac:dyDescent="0.2">
      <c r="A1651" s="795" t="s">
        <v>9335</v>
      </c>
      <c r="B1651" s="138" t="s">
        <v>10054</v>
      </c>
      <c r="C1651" s="139" t="s">
        <v>10066</v>
      </c>
      <c r="D1651" s="140" t="s">
        <v>10100</v>
      </c>
      <c r="E1651" s="141" t="s">
        <v>9338</v>
      </c>
      <c r="F1651" s="142" t="s">
        <v>8099</v>
      </c>
      <c r="G1651" s="143">
        <v>4500</v>
      </c>
      <c r="H1651" s="144" t="s">
        <v>730</v>
      </c>
      <c r="I1651" s="145"/>
      <c r="J1651" s="145"/>
      <c r="K1651" s="146">
        <v>4500</v>
      </c>
    </row>
    <row r="1652" spans="1:11" s="147" customFormat="1" ht="11.25" customHeight="1" x14ac:dyDescent="0.2">
      <c r="A1652" s="795" t="s">
        <v>9335</v>
      </c>
      <c r="B1652" s="138" t="s">
        <v>10054</v>
      </c>
      <c r="C1652" s="139" t="s">
        <v>10068</v>
      </c>
      <c r="D1652" s="140" t="s">
        <v>10101</v>
      </c>
      <c r="E1652" s="141" t="s">
        <v>9338</v>
      </c>
      <c r="F1652" s="142" t="s">
        <v>8099</v>
      </c>
      <c r="G1652" s="143">
        <v>5500</v>
      </c>
      <c r="H1652" s="144" t="s">
        <v>730</v>
      </c>
      <c r="I1652" s="145"/>
      <c r="J1652" s="145"/>
      <c r="K1652" s="146">
        <v>5500</v>
      </c>
    </row>
    <row r="1653" spans="1:11" s="147" customFormat="1" ht="11.25" customHeight="1" x14ac:dyDescent="0.2">
      <c r="A1653" s="795" t="s">
        <v>9335</v>
      </c>
      <c r="B1653" s="138" t="s">
        <v>10054</v>
      </c>
      <c r="C1653" s="139" t="s">
        <v>10075</v>
      </c>
      <c r="D1653" s="140" t="s">
        <v>10102</v>
      </c>
      <c r="E1653" s="141" t="s">
        <v>9338</v>
      </c>
      <c r="F1653" s="142" t="s">
        <v>9339</v>
      </c>
      <c r="G1653" s="143">
        <v>6000</v>
      </c>
      <c r="H1653" s="144" t="s">
        <v>730</v>
      </c>
      <c r="I1653" s="145"/>
      <c r="J1653" s="145"/>
      <c r="K1653" s="146">
        <v>6000</v>
      </c>
    </row>
    <row r="1654" spans="1:11" s="147" customFormat="1" ht="11.25" customHeight="1" x14ac:dyDescent="0.2">
      <c r="A1654" s="795" t="s">
        <v>9335</v>
      </c>
      <c r="B1654" s="138" t="s">
        <v>10054</v>
      </c>
      <c r="C1654" s="139" t="s">
        <v>10068</v>
      </c>
      <c r="D1654" s="140" t="s">
        <v>10103</v>
      </c>
      <c r="E1654" s="141" t="s">
        <v>9338</v>
      </c>
      <c r="F1654" s="142" t="s">
        <v>8099</v>
      </c>
      <c r="G1654" s="143">
        <v>7000</v>
      </c>
      <c r="H1654" s="144" t="s">
        <v>730</v>
      </c>
      <c r="I1654" s="145"/>
      <c r="J1654" s="145"/>
      <c r="K1654" s="146">
        <v>7000</v>
      </c>
    </row>
    <row r="1655" spans="1:11" s="147" customFormat="1" ht="11.25" customHeight="1" x14ac:dyDescent="0.2">
      <c r="A1655" s="795" t="s">
        <v>10062</v>
      </c>
      <c r="B1655" s="138" t="s">
        <v>10054</v>
      </c>
      <c r="C1655" s="139" t="s">
        <v>10063</v>
      </c>
      <c r="D1655" s="140" t="s">
        <v>10104</v>
      </c>
      <c r="E1655" s="141" t="s">
        <v>8096</v>
      </c>
      <c r="F1655" s="142" t="s">
        <v>8099</v>
      </c>
      <c r="G1655" s="143">
        <v>8000</v>
      </c>
      <c r="H1655" s="144" t="s">
        <v>730</v>
      </c>
      <c r="I1655" s="145"/>
      <c r="J1655" s="145"/>
      <c r="K1655" s="146">
        <v>8000</v>
      </c>
    </row>
    <row r="1656" spans="1:11" s="147" customFormat="1" ht="11.25" customHeight="1" x14ac:dyDescent="0.2">
      <c r="A1656" s="795" t="s">
        <v>9335</v>
      </c>
      <c r="B1656" s="138" t="s">
        <v>10054</v>
      </c>
      <c r="C1656" s="139" t="s">
        <v>8086</v>
      </c>
      <c r="D1656" s="140" t="s">
        <v>10105</v>
      </c>
      <c r="E1656" s="141" t="s">
        <v>9338</v>
      </c>
      <c r="F1656" s="142" t="s">
        <v>8099</v>
      </c>
      <c r="G1656" s="143">
        <v>9000</v>
      </c>
      <c r="H1656" s="144" t="s">
        <v>730</v>
      </c>
      <c r="I1656" s="145"/>
      <c r="J1656" s="145"/>
      <c r="K1656" s="146">
        <v>9000</v>
      </c>
    </row>
    <row r="1657" spans="1:11" s="147" customFormat="1" ht="11.25" customHeight="1" x14ac:dyDescent="0.2">
      <c r="A1657" s="795" t="s">
        <v>9335</v>
      </c>
      <c r="B1657" s="138" t="s">
        <v>10054</v>
      </c>
      <c r="C1657" s="139" t="s">
        <v>10075</v>
      </c>
      <c r="D1657" s="140" t="s">
        <v>10106</v>
      </c>
      <c r="E1657" s="141" t="s">
        <v>9338</v>
      </c>
      <c r="F1657" s="142" t="s">
        <v>8099</v>
      </c>
      <c r="G1657" s="143">
        <v>9000</v>
      </c>
      <c r="H1657" s="144" t="s">
        <v>730</v>
      </c>
      <c r="I1657" s="145"/>
      <c r="J1657" s="145"/>
      <c r="K1657" s="146">
        <v>9000</v>
      </c>
    </row>
    <row r="1658" spans="1:11" s="147" customFormat="1" ht="11.25" customHeight="1" x14ac:dyDescent="0.2">
      <c r="A1658" s="795" t="s">
        <v>9335</v>
      </c>
      <c r="B1658" s="138" t="s">
        <v>10054</v>
      </c>
      <c r="C1658" s="139" t="s">
        <v>10075</v>
      </c>
      <c r="D1658" s="140" t="s">
        <v>10107</v>
      </c>
      <c r="E1658" s="141" t="s">
        <v>9338</v>
      </c>
      <c r="F1658" s="142" t="s">
        <v>8099</v>
      </c>
      <c r="G1658" s="143">
        <v>9600</v>
      </c>
      <c r="H1658" s="144" t="s">
        <v>730</v>
      </c>
      <c r="I1658" s="145"/>
      <c r="J1658" s="145"/>
      <c r="K1658" s="146">
        <v>9600</v>
      </c>
    </row>
    <row r="1659" spans="1:11" s="147" customFormat="1" ht="11.25" customHeight="1" x14ac:dyDescent="0.2">
      <c r="A1659" s="795" t="s">
        <v>9335</v>
      </c>
      <c r="B1659" s="138" t="s">
        <v>10054</v>
      </c>
      <c r="C1659" s="139" t="s">
        <v>10075</v>
      </c>
      <c r="D1659" s="140" t="s">
        <v>10108</v>
      </c>
      <c r="E1659" s="141" t="s">
        <v>9338</v>
      </c>
      <c r="F1659" s="142" t="s">
        <v>8099</v>
      </c>
      <c r="G1659" s="143">
        <v>11300</v>
      </c>
      <c r="H1659" s="144" t="s">
        <v>730</v>
      </c>
      <c r="I1659" s="145"/>
      <c r="J1659" s="145"/>
      <c r="K1659" s="146">
        <v>11300</v>
      </c>
    </row>
    <row r="1660" spans="1:11" s="147" customFormat="1" ht="11.25" customHeight="1" x14ac:dyDescent="0.2">
      <c r="A1660" s="795" t="s">
        <v>9335</v>
      </c>
      <c r="B1660" s="138" t="s">
        <v>10054</v>
      </c>
      <c r="C1660" s="139" t="s">
        <v>10068</v>
      </c>
      <c r="D1660" s="140" t="s">
        <v>10109</v>
      </c>
      <c r="E1660" s="141" t="s">
        <v>9338</v>
      </c>
      <c r="F1660" s="142" t="s">
        <v>8097</v>
      </c>
      <c r="G1660" s="143">
        <v>12300</v>
      </c>
      <c r="H1660" s="144" t="s">
        <v>730</v>
      </c>
      <c r="I1660" s="145"/>
      <c r="J1660" s="145"/>
      <c r="K1660" s="146">
        <v>12300</v>
      </c>
    </row>
    <row r="1661" spans="1:11" s="147" customFormat="1" ht="11.25" customHeight="1" x14ac:dyDescent="0.2">
      <c r="A1661" s="795" t="s">
        <v>9335</v>
      </c>
      <c r="B1661" s="138" t="s">
        <v>10054</v>
      </c>
      <c r="C1661" s="139" t="s">
        <v>8086</v>
      </c>
      <c r="D1661" s="140" t="s">
        <v>10110</v>
      </c>
      <c r="E1661" s="141" t="s">
        <v>9338</v>
      </c>
      <c r="F1661" s="142" t="s">
        <v>8099</v>
      </c>
      <c r="G1661" s="143">
        <v>12600</v>
      </c>
      <c r="H1661" s="144" t="s">
        <v>730</v>
      </c>
      <c r="I1661" s="145"/>
      <c r="J1661" s="145"/>
      <c r="K1661" s="146">
        <v>12600</v>
      </c>
    </row>
    <row r="1662" spans="1:11" s="147" customFormat="1" ht="11.25" customHeight="1" x14ac:dyDescent="0.2">
      <c r="A1662" s="795" t="s">
        <v>9335</v>
      </c>
      <c r="B1662" s="138" t="s">
        <v>10054</v>
      </c>
      <c r="C1662" s="139" t="s">
        <v>10068</v>
      </c>
      <c r="D1662" s="140" t="s">
        <v>10111</v>
      </c>
      <c r="E1662" s="141" t="s">
        <v>9338</v>
      </c>
      <c r="F1662" s="142" t="s">
        <v>8097</v>
      </c>
      <c r="G1662" s="143">
        <v>13000</v>
      </c>
      <c r="H1662" s="144" t="s">
        <v>730</v>
      </c>
      <c r="I1662" s="145"/>
      <c r="J1662" s="145"/>
      <c r="K1662" s="146">
        <v>13000</v>
      </c>
    </row>
    <row r="1663" spans="1:11" s="147" customFormat="1" ht="11.25" customHeight="1" x14ac:dyDescent="0.2">
      <c r="A1663" s="795" t="s">
        <v>9335</v>
      </c>
      <c r="B1663" s="138" t="s">
        <v>10054</v>
      </c>
      <c r="C1663" s="139" t="s">
        <v>8086</v>
      </c>
      <c r="D1663" s="140" t="s">
        <v>10112</v>
      </c>
      <c r="E1663" s="141" t="s">
        <v>9338</v>
      </c>
      <c r="F1663" s="142" t="s">
        <v>8099</v>
      </c>
      <c r="G1663" s="143">
        <v>13600</v>
      </c>
      <c r="H1663" s="144" t="s">
        <v>730</v>
      </c>
      <c r="I1663" s="145"/>
      <c r="J1663" s="145"/>
      <c r="K1663" s="146">
        <v>13600</v>
      </c>
    </row>
    <row r="1664" spans="1:11" s="147" customFormat="1" ht="11.25" customHeight="1" x14ac:dyDescent="0.2">
      <c r="A1664" s="795" t="s">
        <v>9335</v>
      </c>
      <c r="B1664" s="138" t="s">
        <v>10054</v>
      </c>
      <c r="C1664" s="139" t="s">
        <v>10066</v>
      </c>
      <c r="D1664" s="140" t="s">
        <v>10113</v>
      </c>
      <c r="E1664" s="141" t="s">
        <v>9338</v>
      </c>
      <c r="F1664" s="142" t="s">
        <v>8099</v>
      </c>
      <c r="G1664" s="143">
        <v>14000</v>
      </c>
      <c r="H1664" s="144" t="s">
        <v>730</v>
      </c>
      <c r="I1664" s="145"/>
      <c r="J1664" s="145"/>
      <c r="K1664" s="146">
        <v>14000</v>
      </c>
    </row>
    <row r="1665" spans="1:11" s="147" customFormat="1" ht="11.25" customHeight="1" x14ac:dyDescent="0.2">
      <c r="A1665" s="795" t="s">
        <v>9335</v>
      </c>
      <c r="B1665" s="138" t="s">
        <v>10054</v>
      </c>
      <c r="C1665" s="139" t="s">
        <v>10066</v>
      </c>
      <c r="D1665" s="140" t="s">
        <v>10114</v>
      </c>
      <c r="E1665" s="141" t="s">
        <v>9338</v>
      </c>
      <c r="F1665" s="142" t="s">
        <v>8099</v>
      </c>
      <c r="G1665" s="143">
        <v>15700</v>
      </c>
      <c r="H1665" s="144" t="s">
        <v>730</v>
      </c>
      <c r="I1665" s="145"/>
      <c r="J1665" s="145"/>
      <c r="K1665" s="146">
        <v>15700</v>
      </c>
    </row>
    <row r="1666" spans="1:11" s="147" customFormat="1" ht="11.25" customHeight="1" x14ac:dyDescent="0.2">
      <c r="A1666" s="795" t="s">
        <v>10115</v>
      </c>
      <c r="B1666" s="138" t="s">
        <v>10054</v>
      </c>
      <c r="C1666" s="139" t="s">
        <v>10116</v>
      </c>
      <c r="D1666" s="140" t="s">
        <v>10117</v>
      </c>
      <c r="E1666" s="141" t="s">
        <v>10118</v>
      </c>
      <c r="F1666" s="142" t="s">
        <v>10119</v>
      </c>
      <c r="G1666" s="143">
        <v>583414</v>
      </c>
      <c r="H1666" s="144" t="s">
        <v>730</v>
      </c>
      <c r="I1666" s="145"/>
      <c r="J1666" s="145"/>
      <c r="K1666" s="146">
        <v>583414</v>
      </c>
    </row>
    <row r="1667" spans="1:11" s="147" customFormat="1" ht="11.25" customHeight="1" x14ac:dyDescent="0.2">
      <c r="A1667" s="795" t="s">
        <v>10120</v>
      </c>
      <c r="B1667" s="138" t="s">
        <v>10121</v>
      </c>
      <c r="C1667" s="139" t="s">
        <v>10122</v>
      </c>
      <c r="D1667" s="140" t="s">
        <v>10123</v>
      </c>
      <c r="E1667" s="141" t="s">
        <v>8098</v>
      </c>
      <c r="F1667" s="142" t="s">
        <v>10124</v>
      </c>
      <c r="G1667" s="143">
        <v>623.4</v>
      </c>
      <c r="H1667" s="144" t="s">
        <v>730</v>
      </c>
      <c r="I1667" s="145"/>
      <c r="J1667" s="145"/>
      <c r="K1667" s="146">
        <v>623.4</v>
      </c>
    </row>
    <row r="1668" spans="1:11" s="147" customFormat="1" ht="11.25" customHeight="1" x14ac:dyDescent="0.2">
      <c r="A1668" s="795" t="s">
        <v>9335</v>
      </c>
      <c r="B1668" s="138" t="s">
        <v>10121</v>
      </c>
      <c r="C1668" s="139" t="s">
        <v>10125</v>
      </c>
      <c r="D1668" s="140" t="s">
        <v>10126</v>
      </c>
      <c r="E1668" s="141" t="s">
        <v>9338</v>
      </c>
      <c r="F1668" s="142" t="s">
        <v>9339</v>
      </c>
      <c r="G1668" s="143">
        <v>700</v>
      </c>
      <c r="H1668" s="144" t="s">
        <v>730</v>
      </c>
      <c r="I1668" s="145"/>
      <c r="J1668" s="145"/>
      <c r="K1668" s="146">
        <v>700</v>
      </c>
    </row>
    <row r="1669" spans="1:11" s="147" customFormat="1" ht="11.25" customHeight="1" x14ac:dyDescent="0.2">
      <c r="A1669" s="795" t="s">
        <v>10120</v>
      </c>
      <c r="B1669" s="138" t="s">
        <v>10121</v>
      </c>
      <c r="C1669" s="139" t="s">
        <v>10127</v>
      </c>
      <c r="D1669" s="140" t="s">
        <v>10128</v>
      </c>
      <c r="E1669" s="141" t="s">
        <v>8098</v>
      </c>
      <c r="F1669" s="142" t="s">
        <v>10124</v>
      </c>
      <c r="G1669" s="143">
        <v>757.6</v>
      </c>
      <c r="H1669" s="144" t="s">
        <v>730</v>
      </c>
      <c r="I1669" s="145"/>
      <c r="J1669" s="145"/>
      <c r="K1669" s="146">
        <v>757.6</v>
      </c>
    </row>
    <row r="1670" spans="1:11" s="147" customFormat="1" ht="11.25" customHeight="1" x14ac:dyDescent="0.2">
      <c r="A1670" s="795" t="s">
        <v>10120</v>
      </c>
      <c r="B1670" s="138" t="s">
        <v>10121</v>
      </c>
      <c r="C1670" s="139" t="s">
        <v>10129</v>
      </c>
      <c r="D1670" s="140" t="s">
        <v>10130</v>
      </c>
      <c r="E1670" s="141" t="s">
        <v>8098</v>
      </c>
      <c r="F1670" s="142" t="s">
        <v>10124</v>
      </c>
      <c r="G1670" s="143">
        <v>834.4</v>
      </c>
      <c r="H1670" s="144" t="s">
        <v>730</v>
      </c>
      <c r="I1670" s="145"/>
      <c r="J1670" s="145"/>
      <c r="K1670" s="146">
        <v>834.4</v>
      </c>
    </row>
    <row r="1671" spans="1:11" s="147" customFormat="1" ht="11.25" customHeight="1" x14ac:dyDescent="0.2">
      <c r="A1671" s="795" t="s">
        <v>9335</v>
      </c>
      <c r="B1671" s="138" t="s">
        <v>10121</v>
      </c>
      <c r="C1671" s="139" t="s">
        <v>10125</v>
      </c>
      <c r="D1671" s="140" t="s">
        <v>10131</v>
      </c>
      <c r="E1671" s="141" t="s">
        <v>9338</v>
      </c>
      <c r="F1671" s="142" t="s">
        <v>10132</v>
      </c>
      <c r="G1671" s="143">
        <v>2310</v>
      </c>
      <c r="H1671" s="144" t="s">
        <v>730</v>
      </c>
      <c r="I1671" s="145"/>
      <c r="J1671" s="145"/>
      <c r="K1671" s="146">
        <v>2310</v>
      </c>
    </row>
    <row r="1672" spans="1:11" s="147" customFormat="1" ht="11.25" customHeight="1" x14ac:dyDescent="0.2">
      <c r="A1672" s="795" t="s">
        <v>9335</v>
      </c>
      <c r="B1672" s="138" t="s">
        <v>10121</v>
      </c>
      <c r="C1672" s="139" t="s">
        <v>10125</v>
      </c>
      <c r="D1672" s="140" t="s">
        <v>10133</v>
      </c>
      <c r="E1672" s="141" t="s">
        <v>9338</v>
      </c>
      <c r="F1672" s="142" t="s">
        <v>10134</v>
      </c>
      <c r="G1672" s="143">
        <v>10026</v>
      </c>
      <c r="H1672" s="144" t="s">
        <v>730</v>
      </c>
      <c r="I1672" s="145"/>
      <c r="J1672" s="145"/>
      <c r="K1672" s="146">
        <v>10026</v>
      </c>
    </row>
    <row r="1673" spans="1:11" s="147" customFormat="1" ht="11.25" customHeight="1" x14ac:dyDescent="0.2">
      <c r="A1673" s="795" t="s">
        <v>9335</v>
      </c>
      <c r="B1673" s="138" t="s">
        <v>10121</v>
      </c>
      <c r="C1673" s="139" t="s">
        <v>10125</v>
      </c>
      <c r="D1673" s="140" t="s">
        <v>10135</v>
      </c>
      <c r="E1673" s="141" t="s">
        <v>9338</v>
      </c>
      <c r="F1673" s="142" t="s">
        <v>9339</v>
      </c>
      <c r="G1673" s="143">
        <v>20329</v>
      </c>
      <c r="H1673" s="144" t="s">
        <v>730</v>
      </c>
      <c r="I1673" s="145"/>
      <c r="J1673" s="145"/>
      <c r="K1673" s="146">
        <v>20329</v>
      </c>
    </row>
    <row r="1674" spans="1:11" s="147" customFormat="1" ht="11.25" customHeight="1" x14ac:dyDescent="0.2">
      <c r="A1674" s="795" t="s">
        <v>9590</v>
      </c>
      <c r="B1674" s="138" t="s">
        <v>10121</v>
      </c>
      <c r="C1674" s="139" t="s">
        <v>10136</v>
      </c>
      <c r="D1674" s="140" t="s">
        <v>10137</v>
      </c>
      <c r="E1674" s="141" t="s">
        <v>8208</v>
      </c>
      <c r="F1674" s="142" t="s">
        <v>8210</v>
      </c>
      <c r="G1674" s="143">
        <v>522</v>
      </c>
      <c r="H1674" s="144" t="s">
        <v>730</v>
      </c>
      <c r="I1674" s="145"/>
      <c r="J1674" s="145"/>
      <c r="K1674" s="146">
        <v>522</v>
      </c>
    </row>
    <row r="1675" spans="1:11" s="147" customFormat="1" ht="11.25" customHeight="1" x14ac:dyDescent="0.2">
      <c r="A1675" s="795" t="s">
        <v>9590</v>
      </c>
      <c r="B1675" s="138" t="s">
        <v>10121</v>
      </c>
      <c r="C1675" s="139" t="s">
        <v>10136</v>
      </c>
      <c r="D1675" s="140" t="s">
        <v>10138</v>
      </c>
      <c r="E1675" s="141" t="s">
        <v>8208</v>
      </c>
      <c r="F1675" s="142" t="s">
        <v>8210</v>
      </c>
      <c r="G1675" s="143">
        <v>3270</v>
      </c>
      <c r="H1675" s="144" t="s">
        <v>730</v>
      </c>
      <c r="I1675" s="145"/>
      <c r="J1675" s="145"/>
      <c r="K1675" s="146">
        <v>3270</v>
      </c>
    </row>
    <row r="1676" spans="1:11" s="147" customFormat="1" ht="11.25" customHeight="1" x14ac:dyDescent="0.2">
      <c r="A1676" s="795" t="s">
        <v>10139</v>
      </c>
      <c r="B1676" s="138" t="s">
        <v>10140</v>
      </c>
      <c r="C1676" s="139" t="s">
        <v>10141</v>
      </c>
      <c r="D1676" s="140" t="s">
        <v>10142</v>
      </c>
      <c r="E1676" s="141" t="s">
        <v>10143</v>
      </c>
      <c r="F1676" s="142" t="s">
        <v>10144</v>
      </c>
      <c r="G1676" s="143">
        <v>2952</v>
      </c>
      <c r="H1676" s="144" t="s">
        <v>730</v>
      </c>
      <c r="I1676" s="145"/>
      <c r="J1676" s="145"/>
      <c r="K1676" s="146">
        <v>2952</v>
      </c>
    </row>
    <row r="1677" spans="1:11" s="147" customFormat="1" ht="11.25" customHeight="1" x14ac:dyDescent="0.2">
      <c r="A1677" s="795" t="s">
        <v>9224</v>
      </c>
      <c r="B1677" s="138" t="s">
        <v>10140</v>
      </c>
      <c r="C1677" s="139" t="s">
        <v>10145</v>
      </c>
      <c r="D1677" s="140" t="s">
        <v>10146</v>
      </c>
      <c r="E1677" s="141" t="s">
        <v>731</v>
      </c>
      <c r="F1677" s="142" t="s">
        <v>9227</v>
      </c>
      <c r="G1677" s="143">
        <v>1360</v>
      </c>
      <c r="H1677" s="144" t="s">
        <v>730</v>
      </c>
      <c r="I1677" s="145"/>
      <c r="J1677" s="145"/>
      <c r="K1677" s="146">
        <v>1360</v>
      </c>
    </row>
    <row r="1678" spans="1:11" s="147" customFormat="1" ht="11.25" customHeight="1" x14ac:dyDescent="0.2">
      <c r="A1678" s="795" t="s">
        <v>9224</v>
      </c>
      <c r="B1678" s="138" t="s">
        <v>10140</v>
      </c>
      <c r="C1678" s="139" t="s">
        <v>8129</v>
      </c>
      <c r="D1678" s="140" t="s">
        <v>10147</v>
      </c>
      <c r="E1678" s="141" t="s">
        <v>731</v>
      </c>
      <c r="F1678" s="142" t="s">
        <v>9227</v>
      </c>
      <c r="G1678" s="143">
        <v>2720</v>
      </c>
      <c r="H1678" s="144" t="s">
        <v>730</v>
      </c>
      <c r="I1678" s="145"/>
      <c r="J1678" s="145"/>
      <c r="K1678" s="146">
        <v>2720</v>
      </c>
    </row>
    <row r="1679" spans="1:11" s="147" customFormat="1" ht="11.25" customHeight="1" x14ac:dyDescent="0.2">
      <c r="A1679" s="795" t="s">
        <v>9224</v>
      </c>
      <c r="B1679" s="138" t="s">
        <v>10140</v>
      </c>
      <c r="C1679" s="139" t="s">
        <v>8129</v>
      </c>
      <c r="D1679" s="140" t="s">
        <v>10148</v>
      </c>
      <c r="E1679" s="141" t="s">
        <v>731</v>
      </c>
      <c r="F1679" s="142" t="s">
        <v>9227</v>
      </c>
      <c r="G1679" s="143">
        <v>2720</v>
      </c>
      <c r="H1679" s="144" t="s">
        <v>730</v>
      </c>
      <c r="I1679" s="145"/>
      <c r="J1679" s="145"/>
      <c r="K1679" s="146">
        <v>2720</v>
      </c>
    </row>
    <row r="1680" spans="1:11" s="147" customFormat="1" ht="11.25" customHeight="1" x14ac:dyDescent="0.2">
      <c r="A1680" s="795" t="s">
        <v>9224</v>
      </c>
      <c r="B1680" s="138" t="s">
        <v>10140</v>
      </c>
      <c r="C1680" s="139" t="s">
        <v>10149</v>
      </c>
      <c r="D1680" s="140" t="s">
        <v>10150</v>
      </c>
      <c r="E1680" s="141" t="s">
        <v>731</v>
      </c>
      <c r="F1680" s="142" t="s">
        <v>9227</v>
      </c>
      <c r="G1680" s="143">
        <v>3400</v>
      </c>
      <c r="H1680" s="144" t="s">
        <v>730</v>
      </c>
      <c r="I1680" s="145"/>
      <c r="J1680" s="145"/>
      <c r="K1680" s="146">
        <v>3400</v>
      </c>
    </row>
    <row r="1681" spans="1:11" s="147" customFormat="1" ht="11.25" customHeight="1" x14ac:dyDescent="0.2">
      <c r="A1681" s="795" t="s">
        <v>9224</v>
      </c>
      <c r="B1681" s="138" t="s">
        <v>10140</v>
      </c>
      <c r="C1681" s="139" t="s">
        <v>10145</v>
      </c>
      <c r="D1681" s="140" t="s">
        <v>10151</v>
      </c>
      <c r="E1681" s="141" t="s">
        <v>731</v>
      </c>
      <c r="F1681" s="142" t="s">
        <v>9227</v>
      </c>
      <c r="G1681" s="143">
        <v>6120</v>
      </c>
      <c r="H1681" s="144" t="s">
        <v>730</v>
      </c>
      <c r="I1681" s="145"/>
      <c r="J1681" s="145"/>
      <c r="K1681" s="146">
        <v>6120</v>
      </c>
    </row>
    <row r="1682" spans="1:11" s="147" customFormat="1" ht="11.25" customHeight="1" x14ac:dyDescent="0.2">
      <c r="A1682" s="795" t="s">
        <v>9224</v>
      </c>
      <c r="B1682" s="138" t="s">
        <v>10140</v>
      </c>
      <c r="C1682" s="139" t="s">
        <v>10149</v>
      </c>
      <c r="D1682" s="140" t="s">
        <v>10152</v>
      </c>
      <c r="E1682" s="141" t="s">
        <v>731</v>
      </c>
      <c r="F1682" s="142" t="s">
        <v>9227</v>
      </c>
      <c r="G1682" s="143">
        <v>6340</v>
      </c>
      <c r="H1682" s="144" t="s">
        <v>730</v>
      </c>
      <c r="I1682" s="145"/>
      <c r="J1682" s="145"/>
      <c r="K1682" s="146">
        <v>6340</v>
      </c>
    </row>
    <row r="1683" spans="1:11" s="147" customFormat="1" ht="11.25" customHeight="1" x14ac:dyDescent="0.2">
      <c r="A1683" s="795" t="s">
        <v>9224</v>
      </c>
      <c r="B1683" s="138" t="s">
        <v>10140</v>
      </c>
      <c r="C1683" s="139" t="s">
        <v>10153</v>
      </c>
      <c r="D1683" s="140" t="s">
        <v>10154</v>
      </c>
      <c r="E1683" s="141" t="s">
        <v>731</v>
      </c>
      <c r="F1683" s="142" t="s">
        <v>9227</v>
      </c>
      <c r="G1683" s="143">
        <v>6800</v>
      </c>
      <c r="H1683" s="144" t="s">
        <v>730</v>
      </c>
      <c r="I1683" s="145"/>
      <c r="J1683" s="145"/>
      <c r="K1683" s="146">
        <v>6800</v>
      </c>
    </row>
    <row r="1684" spans="1:11" s="147" customFormat="1" ht="11.25" customHeight="1" x14ac:dyDescent="0.2">
      <c r="A1684" s="795" t="s">
        <v>9224</v>
      </c>
      <c r="B1684" s="138" t="s">
        <v>10140</v>
      </c>
      <c r="C1684" s="139" t="s">
        <v>8129</v>
      </c>
      <c r="D1684" s="140" t="s">
        <v>10155</v>
      </c>
      <c r="E1684" s="141" t="s">
        <v>731</v>
      </c>
      <c r="F1684" s="142" t="s">
        <v>9227</v>
      </c>
      <c r="G1684" s="143">
        <v>6800</v>
      </c>
      <c r="H1684" s="144" t="s">
        <v>730</v>
      </c>
      <c r="I1684" s="145"/>
      <c r="J1684" s="145"/>
      <c r="K1684" s="146">
        <v>6800</v>
      </c>
    </row>
    <row r="1685" spans="1:11" s="147" customFormat="1" ht="11.25" customHeight="1" x14ac:dyDescent="0.2">
      <c r="A1685" s="795" t="s">
        <v>9224</v>
      </c>
      <c r="B1685" s="138" t="s">
        <v>10140</v>
      </c>
      <c r="C1685" s="139" t="s">
        <v>10156</v>
      </c>
      <c r="D1685" s="140" t="s">
        <v>10157</v>
      </c>
      <c r="E1685" s="141" t="s">
        <v>731</v>
      </c>
      <c r="F1685" s="142" t="s">
        <v>8111</v>
      </c>
      <c r="G1685" s="143">
        <v>10120</v>
      </c>
      <c r="H1685" s="144" t="s">
        <v>730</v>
      </c>
      <c r="I1685" s="145"/>
      <c r="J1685" s="145"/>
      <c r="K1685" s="146">
        <v>10120</v>
      </c>
    </row>
    <row r="1686" spans="1:11" s="147" customFormat="1" ht="11.25" customHeight="1" x14ac:dyDescent="0.2">
      <c r="A1686" s="795" t="s">
        <v>9224</v>
      </c>
      <c r="B1686" s="138" t="s">
        <v>10140</v>
      </c>
      <c r="C1686" s="139" t="s">
        <v>8129</v>
      </c>
      <c r="D1686" s="140" t="s">
        <v>10158</v>
      </c>
      <c r="E1686" s="141" t="s">
        <v>731</v>
      </c>
      <c r="F1686" s="142" t="s">
        <v>9227</v>
      </c>
      <c r="G1686" s="143">
        <v>11180</v>
      </c>
      <c r="H1686" s="144" t="s">
        <v>730</v>
      </c>
      <c r="I1686" s="145"/>
      <c r="J1686" s="145"/>
      <c r="K1686" s="146">
        <v>11180</v>
      </c>
    </row>
    <row r="1687" spans="1:11" s="147" customFormat="1" ht="11.25" customHeight="1" x14ac:dyDescent="0.2">
      <c r="A1687" s="795" t="s">
        <v>9224</v>
      </c>
      <c r="B1687" s="138" t="s">
        <v>10140</v>
      </c>
      <c r="C1687" s="139" t="s">
        <v>8129</v>
      </c>
      <c r="D1687" s="140" t="s">
        <v>10159</v>
      </c>
      <c r="E1687" s="141" t="s">
        <v>731</v>
      </c>
      <c r="F1687" s="142" t="s">
        <v>9227</v>
      </c>
      <c r="G1687" s="143">
        <v>12240</v>
      </c>
      <c r="H1687" s="144" t="s">
        <v>730</v>
      </c>
      <c r="I1687" s="145"/>
      <c r="J1687" s="145"/>
      <c r="K1687" s="146">
        <v>12240</v>
      </c>
    </row>
    <row r="1688" spans="1:11" s="147" customFormat="1" ht="11.25" customHeight="1" x14ac:dyDescent="0.2">
      <c r="A1688" s="795" t="s">
        <v>9224</v>
      </c>
      <c r="B1688" s="138" t="s">
        <v>10140</v>
      </c>
      <c r="C1688" s="139" t="s">
        <v>10156</v>
      </c>
      <c r="D1688" s="140" t="s">
        <v>10160</v>
      </c>
      <c r="E1688" s="141" t="s">
        <v>731</v>
      </c>
      <c r="F1688" s="142" t="s">
        <v>9227</v>
      </c>
      <c r="G1688" s="143">
        <v>13565</v>
      </c>
      <c r="H1688" s="144" t="s">
        <v>730</v>
      </c>
      <c r="I1688" s="145"/>
      <c r="J1688" s="145"/>
      <c r="K1688" s="146">
        <v>13565</v>
      </c>
    </row>
    <row r="1689" spans="1:11" s="147" customFormat="1" ht="11.25" customHeight="1" x14ac:dyDescent="0.2">
      <c r="A1689" s="795" t="s">
        <v>9224</v>
      </c>
      <c r="B1689" s="138" t="s">
        <v>10140</v>
      </c>
      <c r="C1689" s="139" t="s">
        <v>8129</v>
      </c>
      <c r="D1689" s="140" t="s">
        <v>10161</v>
      </c>
      <c r="E1689" s="141" t="s">
        <v>731</v>
      </c>
      <c r="F1689" s="142" t="s">
        <v>9227</v>
      </c>
      <c r="G1689" s="143">
        <v>13650</v>
      </c>
      <c r="H1689" s="144" t="s">
        <v>730</v>
      </c>
      <c r="I1689" s="145"/>
      <c r="J1689" s="145"/>
      <c r="K1689" s="146">
        <v>13650</v>
      </c>
    </row>
    <row r="1690" spans="1:11" s="147" customFormat="1" ht="11.25" customHeight="1" x14ac:dyDescent="0.2">
      <c r="A1690" s="795" t="s">
        <v>9224</v>
      </c>
      <c r="B1690" s="138" t="s">
        <v>10140</v>
      </c>
      <c r="C1690" s="139" t="s">
        <v>10162</v>
      </c>
      <c r="D1690" s="140" t="s">
        <v>10163</v>
      </c>
      <c r="E1690" s="141" t="s">
        <v>731</v>
      </c>
      <c r="F1690" s="142" t="s">
        <v>9238</v>
      </c>
      <c r="G1690" s="143">
        <v>18835</v>
      </c>
      <c r="H1690" s="144" t="s">
        <v>730</v>
      </c>
      <c r="I1690" s="145"/>
      <c r="J1690" s="145"/>
      <c r="K1690" s="146">
        <v>18835</v>
      </c>
    </row>
    <row r="1691" spans="1:11" s="147" customFormat="1" ht="11.25" customHeight="1" x14ac:dyDescent="0.2">
      <c r="A1691" s="795" t="s">
        <v>9224</v>
      </c>
      <c r="B1691" s="138" t="s">
        <v>10140</v>
      </c>
      <c r="C1691" s="139" t="s">
        <v>10153</v>
      </c>
      <c r="D1691" s="140" t="s">
        <v>10164</v>
      </c>
      <c r="E1691" s="141" t="s">
        <v>731</v>
      </c>
      <c r="F1691" s="142" t="s">
        <v>8111</v>
      </c>
      <c r="G1691" s="143">
        <v>19640</v>
      </c>
      <c r="H1691" s="144" t="s">
        <v>730</v>
      </c>
      <c r="I1691" s="145"/>
      <c r="J1691" s="145"/>
      <c r="K1691" s="146">
        <v>19640</v>
      </c>
    </row>
    <row r="1692" spans="1:11" s="147" customFormat="1" ht="11.25" customHeight="1" x14ac:dyDescent="0.2">
      <c r="A1692" s="795" t="s">
        <v>9224</v>
      </c>
      <c r="B1692" s="138" t="s">
        <v>10140</v>
      </c>
      <c r="C1692" s="139" t="s">
        <v>10165</v>
      </c>
      <c r="D1692" s="140" t="s">
        <v>10166</v>
      </c>
      <c r="E1692" s="141" t="s">
        <v>731</v>
      </c>
      <c r="F1692" s="142" t="s">
        <v>9227</v>
      </c>
      <c r="G1692" s="143">
        <v>20660</v>
      </c>
      <c r="H1692" s="144" t="s">
        <v>730</v>
      </c>
      <c r="I1692" s="145"/>
      <c r="J1692" s="145"/>
      <c r="K1692" s="146">
        <v>20660</v>
      </c>
    </row>
    <row r="1693" spans="1:11" s="147" customFormat="1" ht="11.25" customHeight="1" x14ac:dyDescent="0.2">
      <c r="A1693" s="795" t="s">
        <v>9224</v>
      </c>
      <c r="B1693" s="138" t="s">
        <v>10140</v>
      </c>
      <c r="C1693" s="139" t="s">
        <v>8129</v>
      </c>
      <c r="D1693" s="140" t="s">
        <v>10167</v>
      </c>
      <c r="E1693" s="141" t="s">
        <v>731</v>
      </c>
      <c r="F1693" s="142" t="s">
        <v>9227</v>
      </c>
      <c r="G1693" s="143">
        <v>23545</v>
      </c>
      <c r="H1693" s="144" t="s">
        <v>730</v>
      </c>
      <c r="I1693" s="145"/>
      <c r="J1693" s="145"/>
      <c r="K1693" s="146">
        <v>23545</v>
      </c>
    </row>
    <row r="1694" spans="1:11" s="147" customFormat="1" ht="11.25" customHeight="1" x14ac:dyDescent="0.2">
      <c r="A1694" s="795" t="s">
        <v>9224</v>
      </c>
      <c r="B1694" s="138" t="s">
        <v>10140</v>
      </c>
      <c r="C1694" s="139" t="s">
        <v>10153</v>
      </c>
      <c r="D1694" s="140" t="s">
        <v>10168</v>
      </c>
      <c r="E1694" s="141" t="s">
        <v>731</v>
      </c>
      <c r="F1694" s="142" t="s">
        <v>9227</v>
      </c>
      <c r="G1694" s="143">
        <v>26275</v>
      </c>
      <c r="H1694" s="144" t="s">
        <v>730</v>
      </c>
      <c r="I1694" s="145"/>
      <c r="J1694" s="145"/>
      <c r="K1694" s="146">
        <v>26275</v>
      </c>
    </row>
    <row r="1695" spans="1:11" s="147" customFormat="1" ht="11.25" customHeight="1" x14ac:dyDescent="0.2">
      <c r="A1695" s="795" t="s">
        <v>9224</v>
      </c>
      <c r="B1695" s="138" t="s">
        <v>10140</v>
      </c>
      <c r="C1695" s="139" t="s">
        <v>10153</v>
      </c>
      <c r="D1695" s="140" t="s">
        <v>10169</v>
      </c>
      <c r="E1695" s="141" t="s">
        <v>731</v>
      </c>
      <c r="F1695" s="142" t="s">
        <v>9238</v>
      </c>
      <c r="G1695" s="143">
        <v>37195</v>
      </c>
      <c r="H1695" s="144" t="s">
        <v>730</v>
      </c>
      <c r="I1695" s="145"/>
      <c r="J1695" s="145"/>
      <c r="K1695" s="146">
        <v>37195</v>
      </c>
    </row>
    <row r="1696" spans="1:11" s="147" customFormat="1" ht="11.25" customHeight="1" x14ac:dyDescent="0.2">
      <c r="A1696" s="795" t="s">
        <v>9224</v>
      </c>
      <c r="B1696" s="138" t="s">
        <v>10140</v>
      </c>
      <c r="C1696" s="139" t="s">
        <v>10170</v>
      </c>
      <c r="D1696" s="140" t="s">
        <v>10171</v>
      </c>
      <c r="E1696" s="141" t="s">
        <v>731</v>
      </c>
      <c r="F1696" s="142" t="s">
        <v>9227</v>
      </c>
      <c r="G1696" s="143">
        <v>39620</v>
      </c>
      <c r="H1696" s="144" t="s">
        <v>730</v>
      </c>
      <c r="I1696" s="145"/>
      <c r="J1696" s="145"/>
      <c r="K1696" s="146">
        <v>39620</v>
      </c>
    </row>
    <row r="1697" spans="1:11" s="147" customFormat="1" ht="11.25" customHeight="1" x14ac:dyDescent="0.2">
      <c r="A1697" s="795" t="s">
        <v>9224</v>
      </c>
      <c r="B1697" s="138" t="s">
        <v>10140</v>
      </c>
      <c r="C1697" s="139" t="s">
        <v>10153</v>
      </c>
      <c r="D1697" s="140" t="s">
        <v>10172</v>
      </c>
      <c r="E1697" s="141" t="s">
        <v>731</v>
      </c>
      <c r="F1697" s="142" t="s">
        <v>8113</v>
      </c>
      <c r="G1697" s="143">
        <v>46000</v>
      </c>
      <c r="H1697" s="144" t="s">
        <v>730</v>
      </c>
      <c r="I1697" s="145"/>
      <c r="J1697" s="145"/>
      <c r="K1697" s="146">
        <v>46000</v>
      </c>
    </row>
    <row r="1698" spans="1:11" s="147" customFormat="1" ht="11.25" customHeight="1" x14ac:dyDescent="0.2">
      <c r="A1698" s="795" t="s">
        <v>9224</v>
      </c>
      <c r="B1698" s="138" t="s">
        <v>10140</v>
      </c>
      <c r="C1698" s="139" t="s">
        <v>10156</v>
      </c>
      <c r="D1698" s="140" t="s">
        <v>10173</v>
      </c>
      <c r="E1698" s="141" t="s">
        <v>731</v>
      </c>
      <c r="F1698" s="142" t="s">
        <v>9244</v>
      </c>
      <c r="G1698" s="143">
        <v>46680</v>
      </c>
      <c r="H1698" s="144" t="s">
        <v>730</v>
      </c>
      <c r="I1698" s="145"/>
      <c r="J1698" s="145"/>
      <c r="K1698" s="146">
        <v>46680</v>
      </c>
    </row>
    <row r="1699" spans="1:11" s="147" customFormat="1" ht="11.25" customHeight="1" x14ac:dyDescent="0.2">
      <c r="A1699" s="795" t="s">
        <v>9224</v>
      </c>
      <c r="B1699" s="138" t="s">
        <v>10140</v>
      </c>
      <c r="C1699" s="139" t="s">
        <v>10165</v>
      </c>
      <c r="D1699" s="140" t="s">
        <v>10174</v>
      </c>
      <c r="E1699" s="141" t="s">
        <v>731</v>
      </c>
      <c r="F1699" s="142" t="s">
        <v>9227</v>
      </c>
      <c r="G1699" s="143">
        <v>47738</v>
      </c>
      <c r="H1699" s="144" t="s">
        <v>730</v>
      </c>
      <c r="I1699" s="145"/>
      <c r="J1699" s="145"/>
      <c r="K1699" s="146">
        <v>47738</v>
      </c>
    </row>
    <row r="1700" spans="1:11" s="147" customFormat="1" ht="11.25" customHeight="1" x14ac:dyDescent="0.2">
      <c r="A1700" s="795" t="s">
        <v>9224</v>
      </c>
      <c r="B1700" s="138" t="s">
        <v>10140</v>
      </c>
      <c r="C1700" s="139" t="s">
        <v>10162</v>
      </c>
      <c r="D1700" s="140" t="s">
        <v>10175</v>
      </c>
      <c r="E1700" s="141" t="s">
        <v>731</v>
      </c>
      <c r="F1700" s="142" t="s">
        <v>9227</v>
      </c>
      <c r="G1700" s="143">
        <v>68020</v>
      </c>
      <c r="H1700" s="144" t="s">
        <v>730</v>
      </c>
      <c r="I1700" s="145"/>
      <c r="J1700" s="145"/>
      <c r="K1700" s="146">
        <v>68020</v>
      </c>
    </row>
    <row r="1701" spans="1:11" s="147" customFormat="1" ht="11.25" customHeight="1" x14ac:dyDescent="0.2">
      <c r="A1701" s="795" t="s">
        <v>9224</v>
      </c>
      <c r="B1701" s="138" t="s">
        <v>10140</v>
      </c>
      <c r="C1701" s="139" t="s">
        <v>8129</v>
      </c>
      <c r="D1701" s="140" t="s">
        <v>10176</v>
      </c>
      <c r="E1701" s="141" t="s">
        <v>731</v>
      </c>
      <c r="F1701" s="142" t="s">
        <v>9227</v>
      </c>
      <c r="G1701" s="143">
        <v>77430</v>
      </c>
      <c r="H1701" s="144" t="s">
        <v>730</v>
      </c>
      <c r="I1701" s="145"/>
      <c r="J1701" s="145"/>
      <c r="K1701" s="146">
        <v>77430</v>
      </c>
    </row>
    <row r="1702" spans="1:11" s="147" customFormat="1" ht="11.25" customHeight="1" x14ac:dyDescent="0.2">
      <c r="A1702" s="795" t="s">
        <v>9224</v>
      </c>
      <c r="B1702" s="138" t="s">
        <v>10140</v>
      </c>
      <c r="C1702" s="139" t="s">
        <v>10162</v>
      </c>
      <c r="D1702" s="140" t="s">
        <v>10177</v>
      </c>
      <c r="E1702" s="141" t="s">
        <v>731</v>
      </c>
      <c r="F1702" s="142" t="s">
        <v>9227</v>
      </c>
      <c r="G1702" s="143">
        <v>86410</v>
      </c>
      <c r="H1702" s="144" t="s">
        <v>730</v>
      </c>
      <c r="I1702" s="145"/>
      <c r="J1702" s="145"/>
      <c r="K1702" s="146">
        <v>86410</v>
      </c>
    </row>
    <row r="1703" spans="1:11" s="147" customFormat="1" ht="11.25" customHeight="1" x14ac:dyDescent="0.2">
      <c r="A1703" s="795" t="s">
        <v>9224</v>
      </c>
      <c r="B1703" s="138" t="s">
        <v>10140</v>
      </c>
      <c r="C1703" s="139" t="s">
        <v>10153</v>
      </c>
      <c r="D1703" s="140" t="s">
        <v>10178</v>
      </c>
      <c r="E1703" s="141" t="s">
        <v>731</v>
      </c>
      <c r="F1703" s="142" t="s">
        <v>9227</v>
      </c>
      <c r="G1703" s="143">
        <v>90236</v>
      </c>
      <c r="H1703" s="144" t="s">
        <v>730</v>
      </c>
      <c r="I1703" s="145"/>
      <c r="J1703" s="145"/>
      <c r="K1703" s="146">
        <v>90236</v>
      </c>
    </row>
    <row r="1704" spans="1:11" s="147" customFormat="1" ht="11.25" customHeight="1" x14ac:dyDescent="0.2">
      <c r="A1704" s="795" t="s">
        <v>9224</v>
      </c>
      <c r="B1704" s="138" t="s">
        <v>10140</v>
      </c>
      <c r="C1704" s="139" t="s">
        <v>10153</v>
      </c>
      <c r="D1704" s="140" t="s">
        <v>10179</v>
      </c>
      <c r="E1704" s="141" t="s">
        <v>731</v>
      </c>
      <c r="F1704" s="142" t="s">
        <v>9244</v>
      </c>
      <c r="G1704" s="143">
        <v>91080</v>
      </c>
      <c r="H1704" s="144" t="s">
        <v>730</v>
      </c>
      <c r="I1704" s="145"/>
      <c r="J1704" s="145"/>
      <c r="K1704" s="146">
        <v>91080</v>
      </c>
    </row>
    <row r="1705" spans="1:11" s="147" customFormat="1" ht="11.25" customHeight="1" x14ac:dyDescent="0.2">
      <c r="A1705" s="795" t="s">
        <v>9224</v>
      </c>
      <c r="B1705" s="138" t="s">
        <v>10140</v>
      </c>
      <c r="C1705" s="139" t="s">
        <v>8129</v>
      </c>
      <c r="D1705" s="140" t="s">
        <v>10180</v>
      </c>
      <c r="E1705" s="141" t="s">
        <v>731</v>
      </c>
      <c r="F1705" s="142" t="s">
        <v>9227</v>
      </c>
      <c r="G1705" s="143">
        <v>91155</v>
      </c>
      <c r="H1705" s="144" t="s">
        <v>730</v>
      </c>
      <c r="I1705" s="145"/>
      <c r="J1705" s="145"/>
      <c r="K1705" s="146">
        <v>91155</v>
      </c>
    </row>
    <row r="1706" spans="1:11" s="147" customFormat="1" ht="11.25" customHeight="1" x14ac:dyDescent="0.2">
      <c r="A1706" s="795" t="s">
        <v>9224</v>
      </c>
      <c r="B1706" s="138" t="s">
        <v>10140</v>
      </c>
      <c r="C1706" s="139" t="s">
        <v>10153</v>
      </c>
      <c r="D1706" s="140" t="s">
        <v>10181</v>
      </c>
      <c r="E1706" s="141" t="s">
        <v>731</v>
      </c>
      <c r="F1706" s="142" t="s">
        <v>9227</v>
      </c>
      <c r="G1706" s="143">
        <v>131360</v>
      </c>
      <c r="H1706" s="144" t="s">
        <v>730</v>
      </c>
      <c r="I1706" s="145"/>
      <c r="J1706" s="145"/>
      <c r="K1706" s="146">
        <v>131360</v>
      </c>
    </row>
    <row r="1707" spans="1:11" s="147" customFormat="1" ht="11.25" customHeight="1" x14ac:dyDescent="0.2">
      <c r="A1707" s="795" t="s">
        <v>9224</v>
      </c>
      <c r="B1707" s="138" t="s">
        <v>10140</v>
      </c>
      <c r="C1707" s="139" t="s">
        <v>8129</v>
      </c>
      <c r="D1707" s="140" t="s">
        <v>10182</v>
      </c>
      <c r="E1707" s="141" t="s">
        <v>731</v>
      </c>
      <c r="F1707" s="142" t="s">
        <v>9227</v>
      </c>
      <c r="G1707" s="143">
        <v>147650</v>
      </c>
      <c r="H1707" s="144" t="s">
        <v>730</v>
      </c>
      <c r="I1707" s="145"/>
      <c r="J1707" s="145"/>
      <c r="K1707" s="146">
        <v>147650</v>
      </c>
    </row>
    <row r="1708" spans="1:11" s="147" customFormat="1" ht="11.25" customHeight="1" x14ac:dyDescent="0.2">
      <c r="A1708" s="795" t="s">
        <v>9224</v>
      </c>
      <c r="B1708" s="138" t="s">
        <v>10140</v>
      </c>
      <c r="C1708" s="139" t="s">
        <v>8129</v>
      </c>
      <c r="D1708" s="140" t="s">
        <v>10183</v>
      </c>
      <c r="E1708" s="141" t="s">
        <v>731</v>
      </c>
      <c r="F1708" s="142" t="s">
        <v>9227</v>
      </c>
      <c r="G1708" s="143">
        <v>147650</v>
      </c>
      <c r="H1708" s="144" t="s">
        <v>730</v>
      </c>
      <c r="I1708" s="145"/>
      <c r="J1708" s="145"/>
      <c r="K1708" s="146">
        <v>147650</v>
      </c>
    </row>
    <row r="1709" spans="1:11" s="147" customFormat="1" ht="11.25" customHeight="1" x14ac:dyDescent="0.2">
      <c r="A1709" s="795" t="s">
        <v>9224</v>
      </c>
      <c r="B1709" s="138" t="s">
        <v>10140</v>
      </c>
      <c r="C1709" s="139" t="s">
        <v>10184</v>
      </c>
      <c r="D1709" s="140" t="s">
        <v>10185</v>
      </c>
      <c r="E1709" s="141" t="s">
        <v>731</v>
      </c>
      <c r="F1709" s="142" t="s">
        <v>8110</v>
      </c>
      <c r="G1709" s="143">
        <v>151926</v>
      </c>
      <c r="H1709" s="144" t="s">
        <v>730</v>
      </c>
      <c r="I1709" s="145"/>
      <c r="J1709" s="145"/>
      <c r="K1709" s="146">
        <v>151926</v>
      </c>
    </row>
    <row r="1710" spans="1:11" s="147" customFormat="1" ht="11.25" customHeight="1" x14ac:dyDescent="0.2">
      <c r="A1710" s="795" t="s">
        <v>9224</v>
      </c>
      <c r="B1710" s="138" t="s">
        <v>10140</v>
      </c>
      <c r="C1710" s="139" t="s">
        <v>10184</v>
      </c>
      <c r="D1710" s="140" t="s">
        <v>10186</v>
      </c>
      <c r="E1710" s="141" t="s">
        <v>731</v>
      </c>
      <c r="F1710" s="142" t="s">
        <v>8110</v>
      </c>
      <c r="G1710" s="143">
        <v>151926</v>
      </c>
      <c r="H1710" s="144" t="s">
        <v>730</v>
      </c>
      <c r="I1710" s="145"/>
      <c r="J1710" s="145"/>
      <c r="K1710" s="146">
        <v>151926</v>
      </c>
    </row>
    <row r="1711" spans="1:11" s="147" customFormat="1" ht="11.25" customHeight="1" x14ac:dyDescent="0.2">
      <c r="A1711" s="795" t="s">
        <v>9224</v>
      </c>
      <c r="B1711" s="138" t="s">
        <v>10140</v>
      </c>
      <c r="C1711" s="139" t="s">
        <v>10184</v>
      </c>
      <c r="D1711" s="140" t="s">
        <v>10187</v>
      </c>
      <c r="E1711" s="141" t="s">
        <v>731</v>
      </c>
      <c r="F1711" s="142" t="s">
        <v>8110</v>
      </c>
      <c r="G1711" s="143">
        <v>151926</v>
      </c>
      <c r="H1711" s="144" t="s">
        <v>730</v>
      </c>
      <c r="I1711" s="145"/>
      <c r="J1711" s="145"/>
      <c r="K1711" s="146">
        <v>151926</v>
      </c>
    </row>
    <row r="1712" spans="1:11" s="147" customFormat="1" ht="11.25" customHeight="1" x14ac:dyDescent="0.2">
      <c r="A1712" s="795" t="s">
        <v>9224</v>
      </c>
      <c r="B1712" s="138" t="s">
        <v>10140</v>
      </c>
      <c r="C1712" s="139" t="s">
        <v>10165</v>
      </c>
      <c r="D1712" s="140" t="s">
        <v>10188</v>
      </c>
      <c r="E1712" s="141" t="s">
        <v>731</v>
      </c>
      <c r="F1712" s="142" t="s">
        <v>9227</v>
      </c>
      <c r="G1712" s="143">
        <v>159250</v>
      </c>
      <c r="H1712" s="144" t="s">
        <v>730</v>
      </c>
      <c r="I1712" s="145"/>
      <c r="J1712" s="145"/>
      <c r="K1712" s="146">
        <v>159250</v>
      </c>
    </row>
    <row r="1713" spans="1:11" s="147" customFormat="1" ht="11.25" customHeight="1" x14ac:dyDescent="0.2">
      <c r="A1713" s="795" t="s">
        <v>9224</v>
      </c>
      <c r="B1713" s="138" t="s">
        <v>10140</v>
      </c>
      <c r="C1713" s="139" t="s">
        <v>10153</v>
      </c>
      <c r="D1713" s="140" t="s">
        <v>10189</v>
      </c>
      <c r="E1713" s="141" t="s">
        <v>731</v>
      </c>
      <c r="F1713" s="142" t="s">
        <v>9227</v>
      </c>
      <c r="G1713" s="143">
        <v>160670</v>
      </c>
      <c r="H1713" s="144" t="s">
        <v>730</v>
      </c>
      <c r="I1713" s="145"/>
      <c r="J1713" s="145"/>
      <c r="K1713" s="146">
        <v>160670</v>
      </c>
    </row>
    <row r="1714" spans="1:11" s="147" customFormat="1" ht="11.25" customHeight="1" x14ac:dyDescent="0.2">
      <c r="A1714" s="795" t="s">
        <v>9224</v>
      </c>
      <c r="B1714" s="138" t="s">
        <v>10140</v>
      </c>
      <c r="C1714" s="139" t="s">
        <v>8129</v>
      </c>
      <c r="D1714" s="140" t="s">
        <v>10190</v>
      </c>
      <c r="E1714" s="141" t="s">
        <v>731</v>
      </c>
      <c r="F1714" s="142" t="s">
        <v>8110</v>
      </c>
      <c r="G1714" s="143">
        <v>190930</v>
      </c>
      <c r="H1714" s="144" t="s">
        <v>730</v>
      </c>
      <c r="I1714" s="145"/>
      <c r="J1714" s="145"/>
      <c r="K1714" s="146">
        <v>190930</v>
      </c>
    </row>
    <row r="1715" spans="1:11" s="147" customFormat="1" ht="11.25" customHeight="1" x14ac:dyDescent="0.2">
      <c r="A1715" s="795" t="s">
        <v>9224</v>
      </c>
      <c r="B1715" s="138" t="s">
        <v>10140</v>
      </c>
      <c r="C1715" s="139" t="s">
        <v>10170</v>
      </c>
      <c r="D1715" s="140" t="s">
        <v>10191</v>
      </c>
      <c r="E1715" s="141" t="s">
        <v>731</v>
      </c>
      <c r="F1715" s="142" t="s">
        <v>1210</v>
      </c>
      <c r="G1715" s="143">
        <v>251859</v>
      </c>
      <c r="H1715" s="144" t="s">
        <v>730</v>
      </c>
      <c r="I1715" s="145"/>
      <c r="J1715" s="145"/>
      <c r="K1715" s="146">
        <v>251859</v>
      </c>
    </row>
    <row r="1716" spans="1:11" s="147" customFormat="1" ht="11.25" customHeight="1" x14ac:dyDescent="0.2">
      <c r="A1716" s="795" t="s">
        <v>9224</v>
      </c>
      <c r="B1716" s="138" t="s">
        <v>10140</v>
      </c>
      <c r="C1716" s="139" t="s">
        <v>10170</v>
      </c>
      <c r="D1716" s="140" t="s">
        <v>10192</v>
      </c>
      <c r="E1716" s="141" t="s">
        <v>731</v>
      </c>
      <c r="F1716" s="142" t="s">
        <v>1210</v>
      </c>
      <c r="G1716" s="143">
        <v>251859</v>
      </c>
      <c r="H1716" s="144" t="s">
        <v>730</v>
      </c>
      <c r="I1716" s="145"/>
      <c r="J1716" s="145"/>
      <c r="K1716" s="146">
        <v>251859</v>
      </c>
    </row>
    <row r="1717" spans="1:11" s="147" customFormat="1" ht="11.25" customHeight="1" x14ac:dyDescent="0.2">
      <c r="A1717" s="795" t="s">
        <v>9224</v>
      </c>
      <c r="B1717" s="138" t="s">
        <v>10140</v>
      </c>
      <c r="C1717" s="139" t="s">
        <v>10149</v>
      </c>
      <c r="D1717" s="140" t="s">
        <v>10193</v>
      </c>
      <c r="E1717" s="141" t="s">
        <v>731</v>
      </c>
      <c r="F1717" s="142" t="s">
        <v>8110</v>
      </c>
      <c r="G1717" s="143">
        <v>277249</v>
      </c>
      <c r="H1717" s="144" t="s">
        <v>730</v>
      </c>
      <c r="I1717" s="145"/>
      <c r="J1717" s="145"/>
      <c r="K1717" s="146">
        <v>277249</v>
      </c>
    </row>
    <row r="1718" spans="1:11" s="147" customFormat="1" ht="11.25" customHeight="1" x14ac:dyDescent="0.2">
      <c r="A1718" s="795" t="s">
        <v>9224</v>
      </c>
      <c r="B1718" s="138" t="s">
        <v>10140</v>
      </c>
      <c r="C1718" s="139" t="s">
        <v>10145</v>
      </c>
      <c r="D1718" s="140" t="s">
        <v>10194</v>
      </c>
      <c r="E1718" s="141" t="s">
        <v>731</v>
      </c>
      <c r="F1718" s="142" t="s">
        <v>8110</v>
      </c>
      <c r="G1718" s="143">
        <v>291819</v>
      </c>
      <c r="H1718" s="144" t="s">
        <v>730</v>
      </c>
      <c r="I1718" s="145"/>
      <c r="J1718" s="145"/>
      <c r="K1718" s="146">
        <v>291819</v>
      </c>
    </row>
    <row r="1719" spans="1:11" s="147" customFormat="1" ht="11.25" customHeight="1" x14ac:dyDescent="0.2">
      <c r="A1719" s="795" t="s">
        <v>10120</v>
      </c>
      <c r="B1719" s="138" t="s">
        <v>10140</v>
      </c>
      <c r="C1719" s="139" t="s">
        <v>10195</v>
      </c>
      <c r="D1719" s="140" t="s">
        <v>10196</v>
      </c>
      <c r="E1719" s="141" t="s">
        <v>8098</v>
      </c>
      <c r="F1719" s="142" t="s">
        <v>10124</v>
      </c>
      <c r="G1719" s="143">
        <v>192.4</v>
      </c>
      <c r="H1719" s="144" t="s">
        <v>730</v>
      </c>
      <c r="I1719" s="145"/>
      <c r="J1719" s="145"/>
      <c r="K1719" s="146">
        <v>192.4</v>
      </c>
    </row>
    <row r="1720" spans="1:11" s="147" customFormat="1" ht="11.25" customHeight="1" x14ac:dyDescent="0.2">
      <c r="A1720" s="795" t="s">
        <v>10120</v>
      </c>
      <c r="B1720" s="138" t="s">
        <v>10140</v>
      </c>
      <c r="C1720" s="139" t="s">
        <v>10195</v>
      </c>
      <c r="D1720" s="140" t="s">
        <v>10197</v>
      </c>
      <c r="E1720" s="141" t="s">
        <v>8098</v>
      </c>
      <c r="F1720" s="142" t="s">
        <v>10124</v>
      </c>
      <c r="G1720" s="143">
        <v>192.4</v>
      </c>
      <c r="H1720" s="144" t="s">
        <v>730</v>
      </c>
      <c r="I1720" s="145"/>
      <c r="J1720" s="145"/>
      <c r="K1720" s="146">
        <v>192.4</v>
      </c>
    </row>
    <row r="1721" spans="1:11" s="147" customFormat="1" ht="11.25" customHeight="1" x14ac:dyDescent="0.2">
      <c r="A1721" s="795" t="s">
        <v>10120</v>
      </c>
      <c r="B1721" s="138" t="s">
        <v>10140</v>
      </c>
      <c r="C1721" s="139" t="s">
        <v>10195</v>
      </c>
      <c r="D1721" s="140" t="s">
        <v>10198</v>
      </c>
      <c r="E1721" s="141" t="s">
        <v>8098</v>
      </c>
      <c r="F1721" s="142" t="s">
        <v>10124</v>
      </c>
      <c r="G1721" s="143">
        <v>192.4</v>
      </c>
      <c r="H1721" s="144" t="s">
        <v>730</v>
      </c>
      <c r="I1721" s="145"/>
      <c r="J1721" s="145"/>
      <c r="K1721" s="146">
        <v>192.4</v>
      </c>
    </row>
    <row r="1722" spans="1:11" s="147" customFormat="1" ht="11.25" customHeight="1" x14ac:dyDescent="0.2">
      <c r="A1722" s="795" t="s">
        <v>10120</v>
      </c>
      <c r="B1722" s="138" t="s">
        <v>10140</v>
      </c>
      <c r="C1722" s="139" t="s">
        <v>8185</v>
      </c>
      <c r="D1722" s="140" t="s">
        <v>10199</v>
      </c>
      <c r="E1722" s="141" t="s">
        <v>8098</v>
      </c>
      <c r="F1722" s="142" t="s">
        <v>10124</v>
      </c>
      <c r="G1722" s="143">
        <v>192.4</v>
      </c>
      <c r="H1722" s="144" t="s">
        <v>730</v>
      </c>
      <c r="I1722" s="145"/>
      <c r="J1722" s="145"/>
      <c r="K1722" s="146">
        <v>192.4</v>
      </c>
    </row>
    <row r="1723" spans="1:11" s="147" customFormat="1" ht="11.25" customHeight="1" x14ac:dyDescent="0.2">
      <c r="A1723" s="795" t="s">
        <v>10120</v>
      </c>
      <c r="B1723" s="138" t="s">
        <v>10140</v>
      </c>
      <c r="C1723" s="139" t="s">
        <v>8185</v>
      </c>
      <c r="D1723" s="140" t="s">
        <v>10200</v>
      </c>
      <c r="E1723" s="141" t="s">
        <v>8098</v>
      </c>
      <c r="F1723" s="142" t="s">
        <v>10124</v>
      </c>
      <c r="G1723" s="143">
        <v>192.4</v>
      </c>
      <c r="H1723" s="144" t="s">
        <v>730</v>
      </c>
      <c r="I1723" s="145"/>
      <c r="J1723" s="145"/>
      <c r="K1723" s="146">
        <v>192.4</v>
      </c>
    </row>
    <row r="1724" spans="1:11" s="147" customFormat="1" ht="11.25" customHeight="1" x14ac:dyDescent="0.2">
      <c r="A1724" s="795" t="s">
        <v>10120</v>
      </c>
      <c r="B1724" s="138" t="s">
        <v>10140</v>
      </c>
      <c r="C1724" s="139" t="s">
        <v>8185</v>
      </c>
      <c r="D1724" s="140" t="s">
        <v>10201</v>
      </c>
      <c r="E1724" s="141" t="s">
        <v>8098</v>
      </c>
      <c r="F1724" s="142" t="s">
        <v>10124</v>
      </c>
      <c r="G1724" s="143">
        <v>192.4</v>
      </c>
      <c r="H1724" s="144" t="s">
        <v>730</v>
      </c>
      <c r="I1724" s="145"/>
      <c r="J1724" s="145"/>
      <c r="K1724" s="146">
        <v>192.4</v>
      </c>
    </row>
    <row r="1725" spans="1:11" s="147" customFormat="1" ht="11.25" customHeight="1" x14ac:dyDescent="0.2">
      <c r="A1725" s="795" t="s">
        <v>10120</v>
      </c>
      <c r="B1725" s="138" t="s">
        <v>10140</v>
      </c>
      <c r="C1725" s="139" t="s">
        <v>8185</v>
      </c>
      <c r="D1725" s="140" t="s">
        <v>10202</v>
      </c>
      <c r="E1725" s="141" t="s">
        <v>8098</v>
      </c>
      <c r="F1725" s="142" t="s">
        <v>10124</v>
      </c>
      <c r="G1725" s="143">
        <v>192.4</v>
      </c>
      <c r="H1725" s="144" t="s">
        <v>730</v>
      </c>
      <c r="I1725" s="145"/>
      <c r="J1725" s="145"/>
      <c r="K1725" s="146">
        <v>192.4</v>
      </c>
    </row>
    <row r="1726" spans="1:11" s="147" customFormat="1" ht="11.25" customHeight="1" x14ac:dyDescent="0.2">
      <c r="A1726" s="795" t="s">
        <v>10120</v>
      </c>
      <c r="B1726" s="138" t="s">
        <v>10140</v>
      </c>
      <c r="C1726" s="139" t="s">
        <v>8185</v>
      </c>
      <c r="D1726" s="140" t="s">
        <v>10203</v>
      </c>
      <c r="E1726" s="141" t="s">
        <v>8098</v>
      </c>
      <c r="F1726" s="142" t="s">
        <v>10124</v>
      </c>
      <c r="G1726" s="143">
        <v>192.4</v>
      </c>
      <c r="H1726" s="144" t="s">
        <v>730</v>
      </c>
      <c r="I1726" s="145"/>
      <c r="J1726" s="145"/>
      <c r="K1726" s="146">
        <v>192.4</v>
      </c>
    </row>
    <row r="1727" spans="1:11" s="147" customFormat="1" ht="11.25" customHeight="1" x14ac:dyDescent="0.2">
      <c r="A1727" s="795" t="s">
        <v>10120</v>
      </c>
      <c r="B1727" s="138" t="s">
        <v>10140</v>
      </c>
      <c r="C1727" s="139" t="s">
        <v>10195</v>
      </c>
      <c r="D1727" s="140" t="s">
        <v>10204</v>
      </c>
      <c r="E1727" s="141" t="s">
        <v>8098</v>
      </c>
      <c r="F1727" s="142" t="s">
        <v>10124</v>
      </c>
      <c r="G1727" s="143">
        <v>199.1</v>
      </c>
      <c r="H1727" s="144" t="s">
        <v>730</v>
      </c>
      <c r="I1727" s="145"/>
      <c r="J1727" s="145"/>
      <c r="K1727" s="146">
        <v>199.1</v>
      </c>
    </row>
    <row r="1728" spans="1:11" s="147" customFormat="1" ht="11.25" customHeight="1" x14ac:dyDescent="0.2">
      <c r="A1728" s="795" t="s">
        <v>10120</v>
      </c>
      <c r="B1728" s="138" t="s">
        <v>10140</v>
      </c>
      <c r="C1728" s="139" t="s">
        <v>10205</v>
      </c>
      <c r="D1728" s="140" t="s">
        <v>10206</v>
      </c>
      <c r="E1728" s="141" t="s">
        <v>8098</v>
      </c>
      <c r="F1728" s="142" t="s">
        <v>10124</v>
      </c>
      <c r="G1728" s="143">
        <v>199.1</v>
      </c>
      <c r="H1728" s="144" t="s">
        <v>730</v>
      </c>
      <c r="I1728" s="145"/>
      <c r="J1728" s="145"/>
      <c r="K1728" s="146">
        <v>199.1</v>
      </c>
    </row>
    <row r="1729" spans="1:11" s="147" customFormat="1" ht="11.25" customHeight="1" x14ac:dyDescent="0.2">
      <c r="A1729" s="795" t="s">
        <v>10062</v>
      </c>
      <c r="B1729" s="138" t="s">
        <v>10140</v>
      </c>
      <c r="C1729" s="139" t="s">
        <v>10207</v>
      </c>
      <c r="D1729" s="140" t="s">
        <v>10208</v>
      </c>
      <c r="E1729" s="141" t="s">
        <v>8096</v>
      </c>
      <c r="F1729" s="142" t="s">
        <v>10209</v>
      </c>
      <c r="G1729" s="143">
        <v>419</v>
      </c>
      <c r="H1729" s="144" t="s">
        <v>730</v>
      </c>
      <c r="I1729" s="145"/>
      <c r="J1729" s="145"/>
      <c r="K1729" s="146">
        <v>419</v>
      </c>
    </row>
    <row r="1730" spans="1:11" s="147" customFormat="1" ht="11.25" customHeight="1" x14ac:dyDescent="0.2">
      <c r="A1730" s="795" t="s">
        <v>10120</v>
      </c>
      <c r="B1730" s="138" t="s">
        <v>10140</v>
      </c>
      <c r="C1730" s="139" t="s">
        <v>10210</v>
      </c>
      <c r="D1730" s="140" t="s">
        <v>10211</v>
      </c>
      <c r="E1730" s="141" t="s">
        <v>8098</v>
      </c>
      <c r="F1730" s="142" t="s">
        <v>10124</v>
      </c>
      <c r="G1730" s="143">
        <v>431.08</v>
      </c>
      <c r="H1730" s="144" t="s">
        <v>730</v>
      </c>
      <c r="I1730" s="145"/>
      <c r="J1730" s="145"/>
      <c r="K1730" s="146">
        <v>431.08</v>
      </c>
    </row>
    <row r="1731" spans="1:11" s="147" customFormat="1" ht="11.25" customHeight="1" x14ac:dyDescent="0.2">
      <c r="A1731" s="795" t="s">
        <v>10120</v>
      </c>
      <c r="B1731" s="138" t="s">
        <v>10140</v>
      </c>
      <c r="C1731" s="139" t="s">
        <v>10212</v>
      </c>
      <c r="D1731" s="140" t="s">
        <v>10213</v>
      </c>
      <c r="E1731" s="141" t="s">
        <v>8098</v>
      </c>
      <c r="F1731" s="142" t="s">
        <v>10124</v>
      </c>
      <c r="G1731" s="143">
        <v>577.20000000000005</v>
      </c>
      <c r="H1731" s="144" t="s">
        <v>730</v>
      </c>
      <c r="I1731" s="145"/>
      <c r="J1731" s="145"/>
      <c r="K1731" s="146">
        <v>577.20000000000005</v>
      </c>
    </row>
    <row r="1732" spans="1:11" s="147" customFormat="1" ht="11.25" customHeight="1" x14ac:dyDescent="0.2">
      <c r="A1732" s="795" t="s">
        <v>10120</v>
      </c>
      <c r="B1732" s="138" t="s">
        <v>10140</v>
      </c>
      <c r="C1732" s="139" t="s">
        <v>8090</v>
      </c>
      <c r="D1732" s="140" t="s">
        <v>10214</v>
      </c>
      <c r="E1732" s="141" t="s">
        <v>8098</v>
      </c>
      <c r="F1732" s="142" t="s">
        <v>10124</v>
      </c>
      <c r="G1732" s="143">
        <v>577.20000000000005</v>
      </c>
      <c r="H1732" s="144" t="s">
        <v>730</v>
      </c>
      <c r="I1732" s="145"/>
      <c r="J1732" s="145"/>
      <c r="K1732" s="146">
        <v>577.20000000000005</v>
      </c>
    </row>
    <row r="1733" spans="1:11" s="147" customFormat="1" ht="11.25" customHeight="1" x14ac:dyDescent="0.2">
      <c r="A1733" s="795" t="s">
        <v>10120</v>
      </c>
      <c r="B1733" s="138" t="s">
        <v>10140</v>
      </c>
      <c r="C1733" s="139" t="s">
        <v>10195</v>
      </c>
      <c r="D1733" s="140" t="s">
        <v>10215</v>
      </c>
      <c r="E1733" s="141" t="s">
        <v>8098</v>
      </c>
      <c r="F1733" s="142" t="s">
        <v>10124</v>
      </c>
      <c r="G1733" s="143">
        <v>624.44000000000005</v>
      </c>
      <c r="H1733" s="144" t="s">
        <v>730</v>
      </c>
      <c r="I1733" s="145"/>
      <c r="J1733" s="145"/>
      <c r="K1733" s="146">
        <v>624.44000000000005</v>
      </c>
    </row>
    <row r="1734" spans="1:11" s="147" customFormat="1" ht="11.25" customHeight="1" x14ac:dyDescent="0.2">
      <c r="A1734" s="795" t="s">
        <v>10120</v>
      </c>
      <c r="B1734" s="138" t="s">
        <v>10140</v>
      </c>
      <c r="C1734" s="139" t="s">
        <v>8185</v>
      </c>
      <c r="D1734" s="140" t="s">
        <v>10216</v>
      </c>
      <c r="E1734" s="141" t="s">
        <v>8098</v>
      </c>
      <c r="F1734" s="142" t="s">
        <v>10124</v>
      </c>
      <c r="G1734" s="143">
        <v>624.44000000000005</v>
      </c>
      <c r="H1734" s="144" t="s">
        <v>730</v>
      </c>
      <c r="I1734" s="145"/>
      <c r="J1734" s="145"/>
      <c r="K1734" s="146">
        <v>624.44000000000005</v>
      </c>
    </row>
    <row r="1735" spans="1:11" s="147" customFormat="1" ht="11.25" customHeight="1" x14ac:dyDescent="0.2">
      <c r="A1735" s="795" t="s">
        <v>10120</v>
      </c>
      <c r="B1735" s="138" t="s">
        <v>10140</v>
      </c>
      <c r="C1735" s="139" t="s">
        <v>10217</v>
      </c>
      <c r="D1735" s="140" t="s">
        <v>10218</v>
      </c>
      <c r="E1735" s="141" t="s">
        <v>8098</v>
      </c>
      <c r="F1735" s="142" t="s">
        <v>10124</v>
      </c>
      <c r="G1735" s="143">
        <v>645</v>
      </c>
      <c r="H1735" s="144" t="s">
        <v>730</v>
      </c>
      <c r="I1735" s="145"/>
      <c r="J1735" s="145"/>
      <c r="K1735" s="146">
        <v>645</v>
      </c>
    </row>
    <row r="1736" spans="1:11" s="147" customFormat="1" ht="11.25" customHeight="1" x14ac:dyDescent="0.2">
      <c r="A1736" s="795" t="s">
        <v>10120</v>
      </c>
      <c r="B1736" s="138" t="s">
        <v>10140</v>
      </c>
      <c r="C1736" s="139" t="s">
        <v>10210</v>
      </c>
      <c r="D1736" s="140" t="s">
        <v>10219</v>
      </c>
      <c r="E1736" s="141" t="s">
        <v>8098</v>
      </c>
      <c r="F1736" s="142" t="s">
        <v>10124</v>
      </c>
      <c r="G1736" s="143">
        <v>645</v>
      </c>
      <c r="H1736" s="144" t="s">
        <v>730</v>
      </c>
      <c r="I1736" s="145"/>
      <c r="J1736" s="145"/>
      <c r="K1736" s="146">
        <v>645</v>
      </c>
    </row>
    <row r="1737" spans="1:11" s="147" customFormat="1" ht="11.25" customHeight="1" x14ac:dyDescent="0.2">
      <c r="A1737" s="795" t="s">
        <v>10120</v>
      </c>
      <c r="B1737" s="138" t="s">
        <v>10140</v>
      </c>
      <c r="C1737" s="139" t="s">
        <v>10195</v>
      </c>
      <c r="D1737" s="140" t="s">
        <v>10220</v>
      </c>
      <c r="E1737" s="141" t="s">
        <v>8098</v>
      </c>
      <c r="F1737" s="142" t="s">
        <v>10124</v>
      </c>
      <c r="G1737" s="143">
        <v>645</v>
      </c>
      <c r="H1737" s="144" t="s">
        <v>730</v>
      </c>
      <c r="I1737" s="145"/>
      <c r="J1737" s="145"/>
      <c r="K1737" s="146">
        <v>645</v>
      </c>
    </row>
    <row r="1738" spans="1:11" s="147" customFormat="1" ht="11.25" customHeight="1" x14ac:dyDescent="0.2">
      <c r="A1738" s="795" t="s">
        <v>9335</v>
      </c>
      <c r="B1738" s="138" t="s">
        <v>10140</v>
      </c>
      <c r="C1738" s="139" t="s">
        <v>10221</v>
      </c>
      <c r="D1738" s="140" t="s">
        <v>10222</v>
      </c>
      <c r="E1738" s="141" t="s">
        <v>9338</v>
      </c>
      <c r="F1738" s="142" t="s">
        <v>9339</v>
      </c>
      <c r="G1738" s="143">
        <v>700</v>
      </c>
      <c r="H1738" s="144" t="s">
        <v>730</v>
      </c>
      <c r="I1738" s="145"/>
      <c r="J1738" s="145"/>
      <c r="K1738" s="146">
        <v>700</v>
      </c>
    </row>
    <row r="1739" spans="1:11" s="147" customFormat="1" ht="11.25" customHeight="1" x14ac:dyDescent="0.2">
      <c r="A1739" s="795" t="s">
        <v>10120</v>
      </c>
      <c r="B1739" s="138" t="s">
        <v>10140</v>
      </c>
      <c r="C1739" s="139" t="s">
        <v>10195</v>
      </c>
      <c r="D1739" s="140" t="s">
        <v>10223</v>
      </c>
      <c r="E1739" s="141" t="s">
        <v>8098</v>
      </c>
      <c r="F1739" s="142" t="s">
        <v>10124</v>
      </c>
      <c r="G1739" s="143">
        <v>827.04</v>
      </c>
      <c r="H1739" s="144" t="s">
        <v>730</v>
      </c>
      <c r="I1739" s="145"/>
      <c r="J1739" s="145"/>
      <c r="K1739" s="146">
        <v>827.04</v>
      </c>
    </row>
    <row r="1740" spans="1:11" s="147" customFormat="1" ht="11.25" customHeight="1" x14ac:dyDescent="0.2">
      <c r="A1740" s="795" t="s">
        <v>10120</v>
      </c>
      <c r="B1740" s="138" t="s">
        <v>10140</v>
      </c>
      <c r="C1740" s="139" t="s">
        <v>10195</v>
      </c>
      <c r="D1740" s="140" t="s">
        <v>10224</v>
      </c>
      <c r="E1740" s="141" t="s">
        <v>8098</v>
      </c>
      <c r="F1740" s="142" t="s">
        <v>10225</v>
      </c>
      <c r="G1740" s="143">
        <v>831.2</v>
      </c>
      <c r="H1740" s="144" t="s">
        <v>730</v>
      </c>
      <c r="I1740" s="145"/>
      <c r="J1740" s="145"/>
      <c r="K1740" s="146">
        <v>831.2</v>
      </c>
    </row>
    <row r="1741" spans="1:11" s="147" customFormat="1" ht="11.25" customHeight="1" x14ac:dyDescent="0.2">
      <c r="A1741" s="795" t="s">
        <v>10120</v>
      </c>
      <c r="B1741" s="138" t="s">
        <v>10140</v>
      </c>
      <c r="C1741" s="139" t="s">
        <v>8211</v>
      </c>
      <c r="D1741" s="140" t="s">
        <v>10226</v>
      </c>
      <c r="E1741" s="141" t="s">
        <v>8098</v>
      </c>
      <c r="F1741" s="142" t="s">
        <v>10124</v>
      </c>
      <c r="G1741" s="143">
        <v>831.2</v>
      </c>
      <c r="H1741" s="144" t="s">
        <v>730</v>
      </c>
      <c r="I1741" s="145"/>
      <c r="J1741" s="145"/>
      <c r="K1741" s="146">
        <v>831.2</v>
      </c>
    </row>
    <row r="1742" spans="1:11" s="147" customFormat="1" ht="11.25" customHeight="1" x14ac:dyDescent="0.2">
      <c r="A1742" s="795" t="s">
        <v>10120</v>
      </c>
      <c r="B1742" s="138" t="s">
        <v>10140</v>
      </c>
      <c r="C1742" s="139" t="s">
        <v>10227</v>
      </c>
      <c r="D1742" s="140" t="s">
        <v>10228</v>
      </c>
      <c r="E1742" s="141" t="s">
        <v>8098</v>
      </c>
      <c r="F1742" s="142" t="s">
        <v>10225</v>
      </c>
      <c r="G1742" s="143">
        <v>832.23</v>
      </c>
      <c r="H1742" s="144" t="s">
        <v>730</v>
      </c>
      <c r="I1742" s="145"/>
      <c r="J1742" s="145"/>
      <c r="K1742" s="146">
        <v>832.23</v>
      </c>
    </row>
    <row r="1743" spans="1:11" s="147" customFormat="1" ht="11.25" customHeight="1" x14ac:dyDescent="0.2">
      <c r="A1743" s="795" t="s">
        <v>10120</v>
      </c>
      <c r="B1743" s="138" t="s">
        <v>10140</v>
      </c>
      <c r="C1743" s="139" t="s">
        <v>10229</v>
      </c>
      <c r="D1743" s="140" t="s">
        <v>10230</v>
      </c>
      <c r="E1743" s="141" t="s">
        <v>8098</v>
      </c>
      <c r="F1743" s="142" t="s">
        <v>10225</v>
      </c>
      <c r="G1743" s="143">
        <v>832.24</v>
      </c>
      <c r="H1743" s="144" t="s">
        <v>730</v>
      </c>
      <c r="I1743" s="145"/>
      <c r="J1743" s="145"/>
      <c r="K1743" s="146">
        <v>832.24</v>
      </c>
    </row>
    <row r="1744" spans="1:11" s="147" customFormat="1" ht="11.25" customHeight="1" x14ac:dyDescent="0.2">
      <c r="A1744" s="795" t="s">
        <v>10120</v>
      </c>
      <c r="B1744" s="138" t="s">
        <v>10140</v>
      </c>
      <c r="C1744" s="139" t="s">
        <v>10231</v>
      </c>
      <c r="D1744" s="140" t="s">
        <v>10232</v>
      </c>
      <c r="E1744" s="141" t="s">
        <v>8098</v>
      </c>
      <c r="F1744" s="142" t="s">
        <v>10225</v>
      </c>
      <c r="G1744" s="143">
        <v>832.24</v>
      </c>
      <c r="H1744" s="144" t="s">
        <v>730</v>
      </c>
      <c r="I1744" s="145"/>
      <c r="J1744" s="145"/>
      <c r="K1744" s="146">
        <v>832.24</v>
      </c>
    </row>
    <row r="1745" spans="1:11" s="147" customFormat="1" ht="11.25" customHeight="1" x14ac:dyDescent="0.2">
      <c r="A1745" s="795" t="s">
        <v>10120</v>
      </c>
      <c r="B1745" s="138" t="s">
        <v>10140</v>
      </c>
      <c r="C1745" s="139" t="s">
        <v>8124</v>
      </c>
      <c r="D1745" s="140" t="s">
        <v>10233</v>
      </c>
      <c r="E1745" s="141" t="s">
        <v>8098</v>
      </c>
      <c r="F1745" s="142" t="s">
        <v>10225</v>
      </c>
      <c r="G1745" s="143">
        <v>833.28</v>
      </c>
      <c r="H1745" s="144" t="s">
        <v>730</v>
      </c>
      <c r="I1745" s="145"/>
      <c r="J1745" s="145"/>
      <c r="K1745" s="146">
        <v>833.28</v>
      </c>
    </row>
    <row r="1746" spans="1:11" s="147" customFormat="1" ht="11.25" customHeight="1" x14ac:dyDescent="0.2">
      <c r="A1746" s="795" t="s">
        <v>10120</v>
      </c>
      <c r="B1746" s="138" t="s">
        <v>10140</v>
      </c>
      <c r="C1746" s="139" t="s">
        <v>10234</v>
      </c>
      <c r="D1746" s="140" t="s">
        <v>10235</v>
      </c>
      <c r="E1746" s="141" t="s">
        <v>8098</v>
      </c>
      <c r="F1746" s="142" t="s">
        <v>10124</v>
      </c>
      <c r="G1746" s="143">
        <v>835.36</v>
      </c>
      <c r="H1746" s="144" t="s">
        <v>730</v>
      </c>
      <c r="I1746" s="145"/>
      <c r="J1746" s="145"/>
      <c r="K1746" s="146">
        <v>835.36</v>
      </c>
    </row>
    <row r="1747" spans="1:11" s="147" customFormat="1" ht="11.25" customHeight="1" x14ac:dyDescent="0.2">
      <c r="A1747" s="795" t="s">
        <v>10120</v>
      </c>
      <c r="B1747" s="138" t="s">
        <v>10140</v>
      </c>
      <c r="C1747" s="139" t="s">
        <v>10195</v>
      </c>
      <c r="D1747" s="140" t="s">
        <v>10236</v>
      </c>
      <c r="E1747" s="141" t="s">
        <v>8098</v>
      </c>
      <c r="F1747" s="142" t="s">
        <v>10225</v>
      </c>
      <c r="G1747" s="143">
        <v>845.75</v>
      </c>
      <c r="H1747" s="144" t="s">
        <v>730</v>
      </c>
      <c r="I1747" s="145"/>
      <c r="J1747" s="145"/>
      <c r="K1747" s="146">
        <v>845.75</v>
      </c>
    </row>
    <row r="1748" spans="1:11" s="147" customFormat="1" ht="11.25" customHeight="1" x14ac:dyDescent="0.2">
      <c r="A1748" s="795" t="s">
        <v>10120</v>
      </c>
      <c r="B1748" s="138" t="s">
        <v>10140</v>
      </c>
      <c r="C1748" s="139" t="s">
        <v>10237</v>
      </c>
      <c r="D1748" s="140" t="s">
        <v>10238</v>
      </c>
      <c r="E1748" s="141" t="s">
        <v>8098</v>
      </c>
      <c r="F1748" s="142" t="s">
        <v>10124</v>
      </c>
      <c r="G1748" s="143">
        <v>856</v>
      </c>
      <c r="H1748" s="144" t="s">
        <v>730</v>
      </c>
      <c r="I1748" s="145"/>
      <c r="J1748" s="145"/>
      <c r="K1748" s="146">
        <v>856</v>
      </c>
    </row>
    <row r="1749" spans="1:11" s="147" customFormat="1" ht="11.25" customHeight="1" x14ac:dyDescent="0.2">
      <c r="A1749" s="795" t="s">
        <v>10120</v>
      </c>
      <c r="B1749" s="138" t="s">
        <v>10140</v>
      </c>
      <c r="C1749" s="139" t="s">
        <v>10205</v>
      </c>
      <c r="D1749" s="140" t="s">
        <v>10239</v>
      </c>
      <c r="E1749" s="141" t="s">
        <v>8098</v>
      </c>
      <c r="F1749" s="142" t="s">
        <v>10225</v>
      </c>
      <c r="G1749" s="143">
        <v>856</v>
      </c>
      <c r="H1749" s="144" t="s">
        <v>730</v>
      </c>
      <c r="I1749" s="145"/>
      <c r="J1749" s="145"/>
      <c r="K1749" s="146">
        <v>856</v>
      </c>
    </row>
    <row r="1750" spans="1:11" s="147" customFormat="1" ht="11.25" customHeight="1" x14ac:dyDescent="0.2">
      <c r="A1750" s="795" t="s">
        <v>10120</v>
      </c>
      <c r="B1750" s="138" t="s">
        <v>10140</v>
      </c>
      <c r="C1750" s="139" t="s">
        <v>10195</v>
      </c>
      <c r="D1750" s="140" t="s">
        <v>10240</v>
      </c>
      <c r="E1750" s="141" t="s">
        <v>8098</v>
      </c>
      <c r="F1750" s="142" t="s">
        <v>10225</v>
      </c>
      <c r="G1750" s="143">
        <v>856.14</v>
      </c>
      <c r="H1750" s="144" t="s">
        <v>730</v>
      </c>
      <c r="I1750" s="145"/>
      <c r="J1750" s="145"/>
      <c r="K1750" s="146">
        <v>856.14</v>
      </c>
    </row>
    <row r="1751" spans="1:11" s="147" customFormat="1" ht="11.25" customHeight="1" x14ac:dyDescent="0.2">
      <c r="A1751" s="795" t="s">
        <v>10120</v>
      </c>
      <c r="B1751" s="138" t="s">
        <v>10140</v>
      </c>
      <c r="C1751" s="139" t="s">
        <v>10241</v>
      </c>
      <c r="D1751" s="140" t="s">
        <v>10242</v>
      </c>
      <c r="E1751" s="141" t="s">
        <v>8098</v>
      </c>
      <c r="F1751" s="142" t="s">
        <v>10225</v>
      </c>
      <c r="G1751" s="143">
        <v>858.14</v>
      </c>
      <c r="H1751" s="144" t="s">
        <v>730</v>
      </c>
      <c r="I1751" s="145"/>
      <c r="J1751" s="145"/>
      <c r="K1751" s="146">
        <v>858.14</v>
      </c>
    </row>
    <row r="1752" spans="1:11" s="147" customFormat="1" ht="11.25" customHeight="1" x14ac:dyDescent="0.2">
      <c r="A1752" s="795" t="s">
        <v>10120</v>
      </c>
      <c r="B1752" s="138" t="s">
        <v>10140</v>
      </c>
      <c r="C1752" s="139" t="s">
        <v>10210</v>
      </c>
      <c r="D1752" s="140" t="s">
        <v>10243</v>
      </c>
      <c r="E1752" s="141" t="s">
        <v>8098</v>
      </c>
      <c r="F1752" s="142" t="s">
        <v>10225</v>
      </c>
      <c r="G1752" s="143">
        <v>860</v>
      </c>
      <c r="H1752" s="144" t="s">
        <v>730</v>
      </c>
      <c r="I1752" s="145"/>
      <c r="J1752" s="145"/>
      <c r="K1752" s="146">
        <v>860</v>
      </c>
    </row>
    <row r="1753" spans="1:11" s="147" customFormat="1" ht="11.25" customHeight="1" x14ac:dyDescent="0.2">
      <c r="A1753" s="795" t="s">
        <v>10120</v>
      </c>
      <c r="B1753" s="138" t="s">
        <v>10140</v>
      </c>
      <c r="C1753" s="139" t="s">
        <v>10195</v>
      </c>
      <c r="D1753" s="140" t="s">
        <v>10244</v>
      </c>
      <c r="E1753" s="141" t="s">
        <v>8098</v>
      </c>
      <c r="F1753" s="142" t="s">
        <v>10225</v>
      </c>
      <c r="G1753" s="143">
        <v>860</v>
      </c>
      <c r="H1753" s="144" t="s">
        <v>730</v>
      </c>
      <c r="I1753" s="145"/>
      <c r="J1753" s="145"/>
      <c r="K1753" s="146">
        <v>860</v>
      </c>
    </row>
    <row r="1754" spans="1:11" s="147" customFormat="1" ht="11.25" customHeight="1" x14ac:dyDescent="0.2">
      <c r="A1754" s="795" t="s">
        <v>10120</v>
      </c>
      <c r="B1754" s="138" t="s">
        <v>10140</v>
      </c>
      <c r="C1754" s="139" t="s">
        <v>10205</v>
      </c>
      <c r="D1754" s="140" t="s">
        <v>10245</v>
      </c>
      <c r="E1754" s="141" t="s">
        <v>8098</v>
      </c>
      <c r="F1754" s="142" t="s">
        <v>10225</v>
      </c>
      <c r="G1754" s="143">
        <v>860</v>
      </c>
      <c r="H1754" s="144" t="s">
        <v>730</v>
      </c>
      <c r="I1754" s="145"/>
      <c r="J1754" s="145"/>
      <c r="K1754" s="146">
        <v>860</v>
      </c>
    </row>
    <row r="1755" spans="1:11" s="147" customFormat="1" ht="11.25" customHeight="1" x14ac:dyDescent="0.2">
      <c r="A1755" s="795" t="s">
        <v>10120</v>
      </c>
      <c r="B1755" s="138" t="s">
        <v>10140</v>
      </c>
      <c r="C1755" s="139" t="s">
        <v>10195</v>
      </c>
      <c r="D1755" s="140" t="s">
        <v>10246</v>
      </c>
      <c r="E1755" s="141" t="s">
        <v>8098</v>
      </c>
      <c r="F1755" s="142" t="s">
        <v>10225</v>
      </c>
      <c r="G1755" s="143">
        <v>861.08</v>
      </c>
      <c r="H1755" s="144" t="s">
        <v>730</v>
      </c>
      <c r="I1755" s="145"/>
      <c r="J1755" s="145"/>
      <c r="K1755" s="146">
        <v>861.08</v>
      </c>
    </row>
    <row r="1756" spans="1:11" s="147" customFormat="1" ht="11.25" customHeight="1" x14ac:dyDescent="0.2">
      <c r="A1756" s="795" t="s">
        <v>10120</v>
      </c>
      <c r="B1756" s="138" t="s">
        <v>10140</v>
      </c>
      <c r="C1756" s="139" t="s">
        <v>10247</v>
      </c>
      <c r="D1756" s="140" t="s">
        <v>10248</v>
      </c>
      <c r="E1756" s="141" t="s">
        <v>8098</v>
      </c>
      <c r="F1756" s="142" t="s">
        <v>10124</v>
      </c>
      <c r="G1756" s="143">
        <v>862.15</v>
      </c>
      <c r="H1756" s="144" t="s">
        <v>730</v>
      </c>
      <c r="I1756" s="145"/>
      <c r="J1756" s="145"/>
      <c r="K1756" s="146">
        <v>862.15</v>
      </c>
    </row>
    <row r="1757" spans="1:11" s="147" customFormat="1" ht="11.25" customHeight="1" x14ac:dyDescent="0.2">
      <c r="A1757" s="795" t="s">
        <v>10120</v>
      </c>
      <c r="B1757" s="138" t="s">
        <v>10140</v>
      </c>
      <c r="C1757" s="139" t="s">
        <v>10195</v>
      </c>
      <c r="D1757" s="140" t="s">
        <v>10249</v>
      </c>
      <c r="E1757" s="141" t="s">
        <v>8098</v>
      </c>
      <c r="F1757" s="142" t="s">
        <v>10225</v>
      </c>
      <c r="G1757" s="143">
        <v>862.15</v>
      </c>
      <c r="H1757" s="144" t="s">
        <v>730</v>
      </c>
      <c r="I1757" s="145"/>
      <c r="J1757" s="145"/>
      <c r="K1757" s="146">
        <v>862.15</v>
      </c>
    </row>
    <row r="1758" spans="1:11" s="147" customFormat="1" ht="11.25" customHeight="1" x14ac:dyDescent="0.2">
      <c r="A1758" s="795" t="s">
        <v>10120</v>
      </c>
      <c r="B1758" s="138" t="s">
        <v>10140</v>
      </c>
      <c r="C1758" s="139" t="s">
        <v>10195</v>
      </c>
      <c r="D1758" s="140" t="s">
        <v>10250</v>
      </c>
      <c r="E1758" s="141" t="s">
        <v>8098</v>
      </c>
      <c r="F1758" s="142" t="s">
        <v>10124</v>
      </c>
      <c r="G1758" s="143">
        <v>862.15</v>
      </c>
      <c r="H1758" s="144" t="s">
        <v>730</v>
      </c>
      <c r="I1758" s="145"/>
      <c r="J1758" s="145"/>
      <c r="K1758" s="146">
        <v>862.15</v>
      </c>
    </row>
    <row r="1759" spans="1:11" s="147" customFormat="1" ht="11.25" customHeight="1" x14ac:dyDescent="0.2">
      <c r="A1759" s="795" t="s">
        <v>10120</v>
      </c>
      <c r="B1759" s="138" t="s">
        <v>10140</v>
      </c>
      <c r="C1759" s="139" t="s">
        <v>10205</v>
      </c>
      <c r="D1759" s="140" t="s">
        <v>10251</v>
      </c>
      <c r="E1759" s="141" t="s">
        <v>8098</v>
      </c>
      <c r="F1759" s="142" t="s">
        <v>10225</v>
      </c>
      <c r="G1759" s="143">
        <v>898.7</v>
      </c>
      <c r="H1759" s="144" t="s">
        <v>730</v>
      </c>
      <c r="I1759" s="145"/>
      <c r="J1759" s="145"/>
      <c r="K1759" s="146">
        <v>898.7</v>
      </c>
    </row>
    <row r="1760" spans="1:11" s="147" customFormat="1" ht="11.25" customHeight="1" x14ac:dyDescent="0.2">
      <c r="A1760" s="795" t="s">
        <v>10062</v>
      </c>
      <c r="B1760" s="138" t="s">
        <v>10140</v>
      </c>
      <c r="C1760" s="139" t="s">
        <v>10252</v>
      </c>
      <c r="D1760" s="140" t="s">
        <v>10253</v>
      </c>
      <c r="E1760" s="141" t="s">
        <v>8096</v>
      </c>
      <c r="F1760" s="142" t="s">
        <v>10209</v>
      </c>
      <c r="G1760" s="143">
        <v>1038</v>
      </c>
      <c r="H1760" s="144" t="s">
        <v>730</v>
      </c>
      <c r="I1760" s="145"/>
      <c r="J1760" s="145"/>
      <c r="K1760" s="146">
        <v>1038</v>
      </c>
    </row>
    <row r="1761" spans="1:11" s="147" customFormat="1" ht="11.25" customHeight="1" x14ac:dyDescent="0.2">
      <c r="A1761" s="795" t="s">
        <v>9335</v>
      </c>
      <c r="B1761" s="138" t="s">
        <v>10140</v>
      </c>
      <c r="C1761" s="139" t="s">
        <v>10221</v>
      </c>
      <c r="D1761" s="140" t="s">
        <v>10254</v>
      </c>
      <c r="E1761" s="141" t="s">
        <v>9338</v>
      </c>
      <c r="F1761" s="142" t="s">
        <v>9339</v>
      </c>
      <c r="G1761" s="143">
        <v>1041</v>
      </c>
      <c r="H1761" s="144" t="s">
        <v>730</v>
      </c>
      <c r="I1761" s="145"/>
      <c r="J1761" s="145"/>
      <c r="K1761" s="146">
        <v>1041</v>
      </c>
    </row>
    <row r="1762" spans="1:11" s="147" customFormat="1" ht="11.25" customHeight="1" x14ac:dyDescent="0.2">
      <c r="A1762" s="795" t="s">
        <v>10062</v>
      </c>
      <c r="B1762" s="138" t="s">
        <v>10140</v>
      </c>
      <c r="C1762" s="139" t="s">
        <v>10255</v>
      </c>
      <c r="D1762" s="140" t="s">
        <v>10256</v>
      </c>
      <c r="E1762" s="141" t="s">
        <v>8096</v>
      </c>
      <c r="F1762" s="142" t="s">
        <v>10209</v>
      </c>
      <c r="G1762" s="143">
        <v>1042.5</v>
      </c>
      <c r="H1762" s="144" t="s">
        <v>730</v>
      </c>
      <c r="I1762" s="145"/>
      <c r="J1762" s="145"/>
      <c r="K1762" s="146">
        <v>1042.5</v>
      </c>
    </row>
    <row r="1763" spans="1:11" s="147" customFormat="1" ht="11.25" customHeight="1" x14ac:dyDescent="0.2">
      <c r="A1763" s="795" t="s">
        <v>9335</v>
      </c>
      <c r="B1763" s="138" t="s">
        <v>10140</v>
      </c>
      <c r="C1763" s="139" t="s">
        <v>10257</v>
      </c>
      <c r="D1763" s="140" t="s">
        <v>10258</v>
      </c>
      <c r="E1763" s="141" t="s">
        <v>9338</v>
      </c>
      <c r="F1763" s="142" t="s">
        <v>9339</v>
      </c>
      <c r="G1763" s="143">
        <v>1178</v>
      </c>
      <c r="H1763" s="144" t="s">
        <v>730</v>
      </c>
      <c r="I1763" s="145"/>
      <c r="J1763" s="145"/>
      <c r="K1763" s="146">
        <v>1178</v>
      </c>
    </row>
    <row r="1764" spans="1:11" s="147" customFormat="1" ht="11.25" customHeight="1" x14ac:dyDescent="0.2">
      <c r="A1764" s="795" t="s">
        <v>10062</v>
      </c>
      <c r="B1764" s="138" t="s">
        <v>10140</v>
      </c>
      <c r="C1764" s="139" t="s">
        <v>10255</v>
      </c>
      <c r="D1764" s="140" t="s">
        <v>10259</v>
      </c>
      <c r="E1764" s="141" t="s">
        <v>8096</v>
      </c>
      <c r="F1764" s="142" t="s">
        <v>10260</v>
      </c>
      <c r="G1764" s="143">
        <v>1660.8</v>
      </c>
      <c r="H1764" s="144" t="s">
        <v>730</v>
      </c>
      <c r="I1764" s="145"/>
      <c r="J1764" s="145"/>
      <c r="K1764" s="146">
        <v>1660.8</v>
      </c>
    </row>
    <row r="1765" spans="1:11" s="147" customFormat="1" ht="11.25" customHeight="1" x14ac:dyDescent="0.2">
      <c r="A1765" s="795" t="s">
        <v>10062</v>
      </c>
      <c r="B1765" s="138" t="s">
        <v>10140</v>
      </c>
      <c r="C1765" s="139" t="s">
        <v>10252</v>
      </c>
      <c r="D1765" s="140" t="s">
        <v>10261</v>
      </c>
      <c r="E1765" s="141" t="s">
        <v>8096</v>
      </c>
      <c r="F1765" s="142" t="s">
        <v>10260</v>
      </c>
      <c r="G1765" s="143">
        <v>1660.8</v>
      </c>
      <c r="H1765" s="144" t="s">
        <v>730</v>
      </c>
      <c r="I1765" s="145"/>
      <c r="J1765" s="145"/>
      <c r="K1765" s="146">
        <v>1660.8</v>
      </c>
    </row>
    <row r="1766" spans="1:11" s="147" customFormat="1" ht="11.25" customHeight="1" x14ac:dyDescent="0.2">
      <c r="A1766" s="795" t="s">
        <v>10062</v>
      </c>
      <c r="B1766" s="138" t="s">
        <v>10140</v>
      </c>
      <c r="C1766" s="139" t="s">
        <v>10207</v>
      </c>
      <c r="D1766" s="140" t="s">
        <v>10262</v>
      </c>
      <c r="E1766" s="141" t="s">
        <v>8096</v>
      </c>
      <c r="F1766" s="142" t="s">
        <v>10132</v>
      </c>
      <c r="G1766" s="143">
        <v>2095</v>
      </c>
      <c r="H1766" s="144" t="s">
        <v>730</v>
      </c>
      <c r="I1766" s="145"/>
      <c r="J1766" s="145"/>
      <c r="K1766" s="146">
        <v>2095</v>
      </c>
    </row>
    <row r="1767" spans="1:11" s="147" customFormat="1" ht="11.25" customHeight="1" x14ac:dyDescent="0.2">
      <c r="A1767" s="795" t="s">
        <v>9335</v>
      </c>
      <c r="B1767" s="138" t="s">
        <v>10140</v>
      </c>
      <c r="C1767" s="139" t="s">
        <v>10221</v>
      </c>
      <c r="D1767" s="140" t="s">
        <v>10263</v>
      </c>
      <c r="E1767" s="141" t="s">
        <v>9338</v>
      </c>
      <c r="F1767" s="142" t="s">
        <v>9339</v>
      </c>
      <c r="G1767" s="143">
        <v>2310</v>
      </c>
      <c r="H1767" s="144" t="s">
        <v>730</v>
      </c>
      <c r="I1767" s="145"/>
      <c r="J1767" s="145"/>
      <c r="K1767" s="146">
        <v>2310</v>
      </c>
    </row>
    <row r="1768" spans="1:11" s="147" customFormat="1" ht="11.25" customHeight="1" x14ac:dyDescent="0.2">
      <c r="A1768" s="795" t="s">
        <v>10062</v>
      </c>
      <c r="B1768" s="138" t="s">
        <v>10140</v>
      </c>
      <c r="C1768" s="139" t="s">
        <v>10207</v>
      </c>
      <c r="D1768" s="140" t="s">
        <v>10264</v>
      </c>
      <c r="E1768" s="141" t="s">
        <v>8096</v>
      </c>
      <c r="F1768" s="142" t="s">
        <v>10260</v>
      </c>
      <c r="G1768" s="143">
        <v>3352</v>
      </c>
      <c r="H1768" s="144" t="s">
        <v>730</v>
      </c>
      <c r="I1768" s="145"/>
      <c r="J1768" s="145"/>
      <c r="K1768" s="146">
        <v>3352</v>
      </c>
    </row>
    <row r="1769" spans="1:11" s="147" customFormat="1" ht="11.25" customHeight="1" x14ac:dyDescent="0.2">
      <c r="A1769" s="795" t="s">
        <v>10062</v>
      </c>
      <c r="B1769" s="138" t="s">
        <v>10140</v>
      </c>
      <c r="C1769" s="139" t="s">
        <v>10252</v>
      </c>
      <c r="D1769" s="140" t="s">
        <v>10265</v>
      </c>
      <c r="E1769" s="141" t="s">
        <v>8096</v>
      </c>
      <c r="F1769" s="142" t="s">
        <v>10132</v>
      </c>
      <c r="G1769" s="143">
        <v>4567.2</v>
      </c>
      <c r="H1769" s="144" t="s">
        <v>730</v>
      </c>
      <c r="I1769" s="145"/>
      <c r="J1769" s="145"/>
      <c r="K1769" s="146">
        <v>4567.2</v>
      </c>
    </row>
    <row r="1770" spans="1:11" s="147" customFormat="1" ht="11.25" customHeight="1" x14ac:dyDescent="0.2">
      <c r="A1770" s="795" t="s">
        <v>10062</v>
      </c>
      <c r="B1770" s="138" t="s">
        <v>10140</v>
      </c>
      <c r="C1770" s="139" t="s">
        <v>10255</v>
      </c>
      <c r="D1770" s="140" t="s">
        <v>10266</v>
      </c>
      <c r="E1770" s="141" t="s">
        <v>8096</v>
      </c>
      <c r="F1770" s="142" t="s">
        <v>10260</v>
      </c>
      <c r="G1770" s="143">
        <v>4729.6000000000004</v>
      </c>
      <c r="H1770" s="144" t="s">
        <v>730</v>
      </c>
      <c r="I1770" s="145"/>
      <c r="J1770" s="145"/>
      <c r="K1770" s="146">
        <v>4729.6000000000004</v>
      </c>
    </row>
    <row r="1771" spans="1:11" s="147" customFormat="1" ht="11.25" customHeight="1" x14ac:dyDescent="0.2">
      <c r="A1771" s="795" t="s">
        <v>9335</v>
      </c>
      <c r="B1771" s="138" t="s">
        <v>10140</v>
      </c>
      <c r="C1771" s="139" t="s">
        <v>10267</v>
      </c>
      <c r="D1771" s="140" t="s">
        <v>10268</v>
      </c>
      <c r="E1771" s="141" t="s">
        <v>9338</v>
      </c>
      <c r="F1771" s="142" t="s">
        <v>9339</v>
      </c>
      <c r="G1771" s="143">
        <v>5106</v>
      </c>
      <c r="H1771" s="144" t="s">
        <v>730</v>
      </c>
      <c r="I1771" s="145"/>
      <c r="J1771" s="145"/>
      <c r="K1771" s="146">
        <v>5106</v>
      </c>
    </row>
    <row r="1772" spans="1:11" s="147" customFormat="1" ht="11.25" customHeight="1" x14ac:dyDescent="0.2">
      <c r="A1772" s="795" t="s">
        <v>9335</v>
      </c>
      <c r="B1772" s="138" t="s">
        <v>10140</v>
      </c>
      <c r="C1772" s="139" t="s">
        <v>10221</v>
      </c>
      <c r="D1772" s="140" t="s">
        <v>10269</v>
      </c>
      <c r="E1772" s="141" t="s">
        <v>9338</v>
      </c>
      <c r="F1772" s="142" t="s">
        <v>9339</v>
      </c>
      <c r="G1772" s="143">
        <v>5744</v>
      </c>
      <c r="H1772" s="144" t="s">
        <v>730</v>
      </c>
      <c r="I1772" s="145"/>
      <c r="J1772" s="145"/>
      <c r="K1772" s="146">
        <v>5744</v>
      </c>
    </row>
    <row r="1773" spans="1:11" s="147" customFormat="1" ht="11.25" customHeight="1" x14ac:dyDescent="0.2">
      <c r="A1773" s="795" t="s">
        <v>10062</v>
      </c>
      <c r="B1773" s="138" t="s">
        <v>10140</v>
      </c>
      <c r="C1773" s="139" t="s">
        <v>10255</v>
      </c>
      <c r="D1773" s="140" t="s">
        <v>10270</v>
      </c>
      <c r="E1773" s="141" t="s">
        <v>8096</v>
      </c>
      <c r="F1773" s="142" t="s">
        <v>10132</v>
      </c>
      <c r="G1773" s="143">
        <v>5812.8</v>
      </c>
      <c r="H1773" s="144" t="s">
        <v>730</v>
      </c>
      <c r="I1773" s="145"/>
      <c r="J1773" s="145"/>
      <c r="K1773" s="146">
        <v>5812.8</v>
      </c>
    </row>
    <row r="1774" spans="1:11" s="147" customFormat="1" ht="11.25" customHeight="1" x14ac:dyDescent="0.2">
      <c r="A1774" s="795" t="s">
        <v>10062</v>
      </c>
      <c r="B1774" s="138" t="s">
        <v>10140</v>
      </c>
      <c r="C1774" s="139" t="s">
        <v>10255</v>
      </c>
      <c r="D1774" s="140" t="s">
        <v>10271</v>
      </c>
      <c r="E1774" s="141" t="s">
        <v>8096</v>
      </c>
      <c r="F1774" s="142" t="s">
        <v>10132</v>
      </c>
      <c r="G1774" s="143">
        <v>5832.5</v>
      </c>
      <c r="H1774" s="144" t="s">
        <v>730</v>
      </c>
      <c r="I1774" s="145"/>
      <c r="J1774" s="145"/>
      <c r="K1774" s="146">
        <v>5832.5</v>
      </c>
    </row>
    <row r="1775" spans="1:11" s="147" customFormat="1" ht="11.25" customHeight="1" x14ac:dyDescent="0.2">
      <c r="A1775" s="795" t="s">
        <v>10062</v>
      </c>
      <c r="B1775" s="138" t="s">
        <v>10140</v>
      </c>
      <c r="C1775" s="139" t="s">
        <v>10272</v>
      </c>
      <c r="D1775" s="140" t="s">
        <v>10273</v>
      </c>
      <c r="E1775" s="141" t="s">
        <v>8096</v>
      </c>
      <c r="F1775" s="142" t="s">
        <v>10274</v>
      </c>
      <c r="G1775" s="143">
        <v>5833.56</v>
      </c>
      <c r="H1775" s="144" t="s">
        <v>730</v>
      </c>
      <c r="I1775" s="145"/>
      <c r="J1775" s="145"/>
      <c r="K1775" s="146">
        <v>5833.56</v>
      </c>
    </row>
    <row r="1776" spans="1:11" s="147" customFormat="1" ht="11.25" customHeight="1" x14ac:dyDescent="0.2">
      <c r="A1776" s="795" t="s">
        <v>9335</v>
      </c>
      <c r="B1776" s="138" t="s">
        <v>10140</v>
      </c>
      <c r="C1776" s="139" t="s">
        <v>10275</v>
      </c>
      <c r="D1776" s="140" t="s">
        <v>10276</v>
      </c>
      <c r="E1776" s="141" t="s">
        <v>9338</v>
      </c>
      <c r="F1776" s="142" t="s">
        <v>8099</v>
      </c>
      <c r="G1776" s="143">
        <v>5904</v>
      </c>
      <c r="H1776" s="144" t="s">
        <v>730</v>
      </c>
      <c r="I1776" s="145"/>
      <c r="J1776" s="145"/>
      <c r="K1776" s="146">
        <v>5904</v>
      </c>
    </row>
    <row r="1777" spans="1:11" s="147" customFormat="1" ht="11.25" customHeight="1" x14ac:dyDescent="0.2">
      <c r="A1777" s="795" t="s">
        <v>10062</v>
      </c>
      <c r="B1777" s="138" t="s">
        <v>10140</v>
      </c>
      <c r="C1777" s="139" t="s">
        <v>10255</v>
      </c>
      <c r="D1777" s="140" t="s">
        <v>10277</v>
      </c>
      <c r="E1777" s="141" t="s">
        <v>8096</v>
      </c>
      <c r="F1777" s="142" t="s">
        <v>10274</v>
      </c>
      <c r="G1777" s="143">
        <v>6227.9</v>
      </c>
      <c r="H1777" s="144" t="s">
        <v>730</v>
      </c>
      <c r="I1777" s="145"/>
      <c r="J1777" s="145"/>
      <c r="K1777" s="146">
        <v>6227.9</v>
      </c>
    </row>
    <row r="1778" spans="1:11" s="147" customFormat="1" ht="11.25" customHeight="1" x14ac:dyDescent="0.2">
      <c r="A1778" s="795" t="s">
        <v>9335</v>
      </c>
      <c r="B1778" s="138" t="s">
        <v>10140</v>
      </c>
      <c r="C1778" s="139" t="s">
        <v>10221</v>
      </c>
      <c r="D1778" s="140" t="s">
        <v>10278</v>
      </c>
      <c r="E1778" s="141" t="s">
        <v>9338</v>
      </c>
      <c r="F1778" s="142" t="s">
        <v>8099</v>
      </c>
      <c r="G1778" s="143">
        <v>6375</v>
      </c>
      <c r="H1778" s="144" t="s">
        <v>730</v>
      </c>
      <c r="I1778" s="145"/>
      <c r="J1778" s="145"/>
      <c r="K1778" s="146">
        <v>6375</v>
      </c>
    </row>
    <row r="1779" spans="1:11" s="147" customFormat="1" ht="11.25" customHeight="1" x14ac:dyDescent="0.2">
      <c r="A1779" s="795" t="s">
        <v>10062</v>
      </c>
      <c r="B1779" s="138" t="s">
        <v>10140</v>
      </c>
      <c r="C1779" s="139" t="s">
        <v>10255</v>
      </c>
      <c r="D1779" s="140" t="s">
        <v>10279</v>
      </c>
      <c r="E1779" s="141" t="s">
        <v>8096</v>
      </c>
      <c r="F1779" s="142" t="s">
        <v>10274</v>
      </c>
      <c r="G1779" s="143">
        <v>7811.3</v>
      </c>
      <c r="H1779" s="144" t="s">
        <v>730</v>
      </c>
      <c r="I1779" s="145"/>
      <c r="J1779" s="145"/>
      <c r="K1779" s="146">
        <v>7811.3</v>
      </c>
    </row>
    <row r="1780" spans="1:11" s="147" customFormat="1" ht="11.25" customHeight="1" x14ac:dyDescent="0.2">
      <c r="A1780" s="795" t="s">
        <v>9335</v>
      </c>
      <c r="B1780" s="138" t="s">
        <v>10140</v>
      </c>
      <c r="C1780" s="139" t="s">
        <v>10221</v>
      </c>
      <c r="D1780" s="140" t="s">
        <v>10280</v>
      </c>
      <c r="E1780" s="141" t="s">
        <v>9338</v>
      </c>
      <c r="F1780" s="142" t="s">
        <v>10134</v>
      </c>
      <c r="G1780" s="143">
        <v>8260</v>
      </c>
      <c r="H1780" s="144" t="s">
        <v>730</v>
      </c>
      <c r="I1780" s="145"/>
      <c r="J1780" s="145"/>
      <c r="K1780" s="146">
        <v>8260</v>
      </c>
    </row>
    <row r="1781" spans="1:11" s="147" customFormat="1" ht="11.25" customHeight="1" x14ac:dyDescent="0.2">
      <c r="A1781" s="795" t="s">
        <v>9335</v>
      </c>
      <c r="B1781" s="138" t="s">
        <v>10140</v>
      </c>
      <c r="C1781" s="139" t="s">
        <v>10267</v>
      </c>
      <c r="D1781" s="140" t="s">
        <v>10281</v>
      </c>
      <c r="E1781" s="141" t="s">
        <v>9338</v>
      </c>
      <c r="F1781" s="142" t="s">
        <v>10282</v>
      </c>
      <c r="G1781" s="143">
        <v>8580</v>
      </c>
      <c r="H1781" s="144" t="s">
        <v>730</v>
      </c>
      <c r="I1781" s="145"/>
      <c r="J1781" s="145"/>
      <c r="K1781" s="146">
        <v>8580</v>
      </c>
    </row>
    <row r="1782" spans="1:11" s="147" customFormat="1" ht="11.25" customHeight="1" x14ac:dyDescent="0.2">
      <c r="A1782" s="795" t="s">
        <v>9335</v>
      </c>
      <c r="B1782" s="138" t="s">
        <v>10140</v>
      </c>
      <c r="C1782" s="139" t="s">
        <v>10221</v>
      </c>
      <c r="D1782" s="140" t="s">
        <v>10283</v>
      </c>
      <c r="E1782" s="141" t="s">
        <v>9338</v>
      </c>
      <c r="F1782" s="142" t="s">
        <v>8099</v>
      </c>
      <c r="G1782" s="143">
        <v>8650</v>
      </c>
      <c r="H1782" s="144" t="s">
        <v>730</v>
      </c>
      <c r="I1782" s="145"/>
      <c r="J1782" s="145"/>
      <c r="K1782" s="146">
        <v>8650</v>
      </c>
    </row>
    <row r="1783" spans="1:11" s="147" customFormat="1" ht="11.25" customHeight="1" x14ac:dyDescent="0.2">
      <c r="A1783" s="795" t="s">
        <v>9335</v>
      </c>
      <c r="B1783" s="138" t="s">
        <v>10140</v>
      </c>
      <c r="C1783" s="139" t="s">
        <v>10284</v>
      </c>
      <c r="D1783" s="140" t="s">
        <v>10285</v>
      </c>
      <c r="E1783" s="141" t="s">
        <v>9338</v>
      </c>
      <c r="F1783" s="142" t="s">
        <v>9339</v>
      </c>
      <c r="G1783" s="143">
        <v>13124</v>
      </c>
      <c r="H1783" s="144" t="s">
        <v>730</v>
      </c>
      <c r="I1783" s="145"/>
      <c r="J1783" s="145"/>
      <c r="K1783" s="146">
        <v>13124</v>
      </c>
    </row>
    <row r="1784" spans="1:11" s="147" customFormat="1" ht="11.25" customHeight="1" x14ac:dyDescent="0.2">
      <c r="A1784" s="795" t="s">
        <v>9335</v>
      </c>
      <c r="B1784" s="138" t="s">
        <v>10140</v>
      </c>
      <c r="C1784" s="139" t="s">
        <v>10221</v>
      </c>
      <c r="D1784" s="140" t="s">
        <v>10286</v>
      </c>
      <c r="E1784" s="141" t="s">
        <v>9338</v>
      </c>
      <c r="F1784" s="142" t="s">
        <v>9339</v>
      </c>
      <c r="G1784" s="143">
        <v>15407</v>
      </c>
      <c r="H1784" s="144" t="s">
        <v>730</v>
      </c>
      <c r="I1784" s="145"/>
      <c r="J1784" s="145"/>
      <c r="K1784" s="146">
        <v>15407</v>
      </c>
    </row>
    <row r="1785" spans="1:11" s="147" customFormat="1" ht="11.25" customHeight="1" x14ac:dyDescent="0.2">
      <c r="A1785" s="795" t="s">
        <v>9335</v>
      </c>
      <c r="B1785" s="138" t="s">
        <v>10140</v>
      </c>
      <c r="C1785" s="139" t="s">
        <v>10221</v>
      </c>
      <c r="D1785" s="140" t="s">
        <v>10287</v>
      </c>
      <c r="E1785" s="141" t="s">
        <v>9338</v>
      </c>
      <c r="F1785" s="142" t="s">
        <v>9339</v>
      </c>
      <c r="G1785" s="143">
        <v>18267</v>
      </c>
      <c r="H1785" s="144" t="s">
        <v>730</v>
      </c>
      <c r="I1785" s="145"/>
      <c r="J1785" s="145"/>
      <c r="K1785" s="146">
        <v>18267</v>
      </c>
    </row>
    <row r="1786" spans="1:11" s="147" customFormat="1" ht="11.25" customHeight="1" x14ac:dyDescent="0.2">
      <c r="A1786" s="795" t="s">
        <v>9335</v>
      </c>
      <c r="B1786" s="138" t="s">
        <v>10140</v>
      </c>
      <c r="C1786" s="139" t="s">
        <v>10284</v>
      </c>
      <c r="D1786" s="140" t="s">
        <v>10288</v>
      </c>
      <c r="E1786" s="141" t="s">
        <v>9338</v>
      </c>
      <c r="F1786" s="142" t="s">
        <v>8097</v>
      </c>
      <c r="G1786" s="143">
        <v>27003</v>
      </c>
      <c r="H1786" s="144" t="s">
        <v>730</v>
      </c>
      <c r="I1786" s="145"/>
      <c r="J1786" s="145"/>
      <c r="K1786" s="146">
        <v>27003</v>
      </c>
    </row>
    <row r="1787" spans="1:11" s="147" customFormat="1" ht="11.25" customHeight="1" x14ac:dyDescent="0.2">
      <c r="A1787" s="795" t="s">
        <v>9335</v>
      </c>
      <c r="B1787" s="138" t="s">
        <v>10140</v>
      </c>
      <c r="C1787" s="139" t="s">
        <v>10221</v>
      </c>
      <c r="D1787" s="140" t="s">
        <v>10289</v>
      </c>
      <c r="E1787" s="141" t="s">
        <v>9338</v>
      </c>
      <c r="F1787" s="142" t="s">
        <v>8097</v>
      </c>
      <c r="G1787" s="143">
        <v>28439</v>
      </c>
      <c r="H1787" s="144" t="s">
        <v>730</v>
      </c>
      <c r="I1787" s="145"/>
      <c r="J1787" s="145"/>
      <c r="K1787" s="146">
        <v>28439</v>
      </c>
    </row>
    <row r="1788" spans="1:11" s="147" customFormat="1" ht="11.25" customHeight="1" x14ac:dyDescent="0.2">
      <c r="A1788" s="795" t="s">
        <v>9335</v>
      </c>
      <c r="B1788" s="138" t="s">
        <v>10140</v>
      </c>
      <c r="C1788" s="139" t="s">
        <v>10221</v>
      </c>
      <c r="D1788" s="140" t="s">
        <v>10290</v>
      </c>
      <c r="E1788" s="141" t="s">
        <v>9338</v>
      </c>
      <c r="F1788" s="142" t="s">
        <v>8099</v>
      </c>
      <c r="G1788" s="143">
        <v>83281</v>
      </c>
      <c r="H1788" s="144" t="s">
        <v>730</v>
      </c>
      <c r="I1788" s="145"/>
      <c r="J1788" s="145"/>
      <c r="K1788" s="146">
        <v>83281</v>
      </c>
    </row>
    <row r="1789" spans="1:11" s="147" customFormat="1" ht="11.25" customHeight="1" x14ac:dyDescent="0.2">
      <c r="A1789" s="795" t="s">
        <v>9335</v>
      </c>
      <c r="B1789" s="138" t="s">
        <v>10140</v>
      </c>
      <c r="C1789" s="139" t="s">
        <v>10291</v>
      </c>
      <c r="D1789" s="140" t="s">
        <v>10292</v>
      </c>
      <c r="E1789" s="141" t="s">
        <v>9338</v>
      </c>
      <c r="F1789" s="142" t="s">
        <v>8099</v>
      </c>
      <c r="G1789" s="143">
        <v>88333</v>
      </c>
      <c r="H1789" s="144" t="s">
        <v>730</v>
      </c>
      <c r="I1789" s="145"/>
      <c r="J1789" s="145"/>
      <c r="K1789" s="146">
        <v>88333</v>
      </c>
    </row>
    <row r="1790" spans="1:11" s="147" customFormat="1" ht="11.25" customHeight="1" x14ac:dyDescent="0.2">
      <c r="A1790" s="795" t="s">
        <v>10062</v>
      </c>
      <c r="B1790" s="138" t="s">
        <v>10140</v>
      </c>
      <c r="C1790" s="139" t="s">
        <v>10293</v>
      </c>
      <c r="D1790" s="140" t="s">
        <v>10294</v>
      </c>
      <c r="E1790" s="141" t="s">
        <v>8096</v>
      </c>
      <c r="F1790" s="142" t="s">
        <v>10274</v>
      </c>
      <c r="G1790" s="143">
        <v>95496</v>
      </c>
      <c r="H1790" s="144" t="s">
        <v>730</v>
      </c>
      <c r="I1790" s="145"/>
      <c r="J1790" s="145"/>
      <c r="K1790" s="146">
        <v>95496</v>
      </c>
    </row>
    <row r="1791" spans="1:11" s="147" customFormat="1" ht="11.25" customHeight="1" x14ac:dyDescent="0.2">
      <c r="A1791" s="795" t="s">
        <v>10062</v>
      </c>
      <c r="B1791" s="138" t="s">
        <v>10140</v>
      </c>
      <c r="C1791" s="139" t="s">
        <v>10295</v>
      </c>
      <c r="D1791" s="140" t="s">
        <v>10296</v>
      </c>
      <c r="E1791" s="141" t="s">
        <v>8096</v>
      </c>
      <c r="F1791" s="142" t="s">
        <v>10274</v>
      </c>
      <c r="G1791" s="143">
        <v>165073</v>
      </c>
      <c r="H1791" s="144" t="s">
        <v>730</v>
      </c>
      <c r="I1791" s="145"/>
      <c r="J1791" s="145"/>
      <c r="K1791" s="146">
        <v>165073</v>
      </c>
    </row>
    <row r="1792" spans="1:11" s="147" customFormat="1" ht="11.25" customHeight="1" x14ac:dyDescent="0.2">
      <c r="A1792" s="795" t="s">
        <v>10062</v>
      </c>
      <c r="B1792" s="138" t="s">
        <v>10140</v>
      </c>
      <c r="C1792" s="139" t="s">
        <v>10297</v>
      </c>
      <c r="D1792" s="140" t="s">
        <v>10298</v>
      </c>
      <c r="E1792" s="141" t="s">
        <v>8096</v>
      </c>
      <c r="F1792" s="142" t="s">
        <v>10274</v>
      </c>
      <c r="G1792" s="143">
        <v>182688</v>
      </c>
      <c r="H1792" s="144" t="s">
        <v>730</v>
      </c>
      <c r="I1792" s="145"/>
      <c r="J1792" s="145"/>
      <c r="K1792" s="146">
        <v>182688</v>
      </c>
    </row>
    <row r="1793" spans="1:11" s="147" customFormat="1" ht="11.25" customHeight="1" x14ac:dyDescent="0.2">
      <c r="A1793" s="795" t="s">
        <v>10062</v>
      </c>
      <c r="B1793" s="138" t="s">
        <v>10140</v>
      </c>
      <c r="C1793" s="139" t="s">
        <v>10299</v>
      </c>
      <c r="D1793" s="140" t="s">
        <v>10300</v>
      </c>
      <c r="E1793" s="141" t="s">
        <v>8096</v>
      </c>
      <c r="F1793" s="142" t="s">
        <v>10274</v>
      </c>
      <c r="G1793" s="143">
        <v>186840</v>
      </c>
      <c r="H1793" s="144" t="s">
        <v>730</v>
      </c>
      <c r="I1793" s="145"/>
      <c r="J1793" s="145"/>
      <c r="K1793" s="146">
        <v>186840</v>
      </c>
    </row>
    <row r="1794" spans="1:11" s="147" customFormat="1" ht="11.25" customHeight="1" x14ac:dyDescent="0.2">
      <c r="A1794" s="795" t="s">
        <v>10062</v>
      </c>
      <c r="B1794" s="138" t="s">
        <v>10140</v>
      </c>
      <c r="C1794" s="139" t="s">
        <v>8121</v>
      </c>
      <c r="D1794" s="140" t="s">
        <v>10301</v>
      </c>
      <c r="E1794" s="141" t="s">
        <v>8096</v>
      </c>
      <c r="F1794" s="142" t="s">
        <v>10274</v>
      </c>
      <c r="G1794" s="143">
        <v>187365</v>
      </c>
      <c r="H1794" s="144" t="s">
        <v>730</v>
      </c>
      <c r="I1794" s="145"/>
      <c r="J1794" s="145"/>
      <c r="K1794" s="146">
        <v>187365</v>
      </c>
    </row>
    <row r="1795" spans="1:11" s="147" customFormat="1" ht="11.25" customHeight="1" x14ac:dyDescent="0.2">
      <c r="A1795" s="795" t="s">
        <v>10062</v>
      </c>
      <c r="B1795" s="138" t="s">
        <v>10140</v>
      </c>
      <c r="C1795" s="139" t="s">
        <v>10302</v>
      </c>
      <c r="D1795" s="140" t="s">
        <v>10303</v>
      </c>
      <c r="E1795" s="141" t="s">
        <v>8096</v>
      </c>
      <c r="F1795" s="142" t="s">
        <v>10274</v>
      </c>
      <c r="G1795" s="143">
        <v>187528.59</v>
      </c>
      <c r="H1795" s="144" t="s">
        <v>730</v>
      </c>
      <c r="I1795" s="145"/>
      <c r="J1795" s="145"/>
      <c r="K1795" s="146">
        <v>187528.59</v>
      </c>
    </row>
    <row r="1796" spans="1:11" s="147" customFormat="1" ht="11.25" customHeight="1" x14ac:dyDescent="0.2">
      <c r="A1796" s="795" t="s">
        <v>10062</v>
      </c>
      <c r="B1796" s="138" t="s">
        <v>10140</v>
      </c>
      <c r="C1796" s="139" t="s">
        <v>10299</v>
      </c>
      <c r="D1796" s="140" t="s">
        <v>10304</v>
      </c>
      <c r="E1796" s="141" t="s">
        <v>8096</v>
      </c>
      <c r="F1796" s="142" t="s">
        <v>10274</v>
      </c>
      <c r="G1796" s="143">
        <v>284888.3</v>
      </c>
      <c r="H1796" s="144" t="s">
        <v>730</v>
      </c>
      <c r="I1796" s="145"/>
      <c r="J1796" s="145"/>
      <c r="K1796" s="146">
        <v>284888.3</v>
      </c>
    </row>
    <row r="1797" spans="1:11" s="147" customFormat="1" ht="11.25" customHeight="1" x14ac:dyDescent="0.2">
      <c r="A1797" s="795" t="s">
        <v>10062</v>
      </c>
      <c r="B1797" s="138" t="s">
        <v>10140</v>
      </c>
      <c r="C1797" s="139" t="s">
        <v>8121</v>
      </c>
      <c r="D1797" s="140" t="s">
        <v>10305</v>
      </c>
      <c r="E1797" s="141" t="s">
        <v>8096</v>
      </c>
      <c r="F1797" s="142" t="s">
        <v>10274</v>
      </c>
      <c r="G1797" s="143">
        <v>315910.3</v>
      </c>
      <c r="H1797" s="144" t="s">
        <v>730</v>
      </c>
      <c r="I1797" s="145"/>
      <c r="J1797" s="145"/>
      <c r="K1797" s="146">
        <v>315910.3</v>
      </c>
    </row>
    <row r="1798" spans="1:11" s="147" customFormat="1" ht="11.25" customHeight="1" x14ac:dyDescent="0.2">
      <c r="A1798" s="795" t="s">
        <v>10062</v>
      </c>
      <c r="B1798" s="138" t="s">
        <v>10140</v>
      </c>
      <c r="C1798" s="139" t="s">
        <v>10297</v>
      </c>
      <c r="D1798" s="140" t="s">
        <v>10306</v>
      </c>
      <c r="E1798" s="141" t="s">
        <v>8096</v>
      </c>
      <c r="F1798" s="142" t="s">
        <v>10274</v>
      </c>
      <c r="G1798" s="143">
        <v>318014.40000000002</v>
      </c>
      <c r="H1798" s="144" t="s">
        <v>730</v>
      </c>
      <c r="I1798" s="145"/>
      <c r="J1798" s="145"/>
      <c r="K1798" s="146">
        <v>318014.40000000002</v>
      </c>
    </row>
    <row r="1799" spans="1:11" s="147" customFormat="1" ht="11.25" customHeight="1" x14ac:dyDescent="0.2">
      <c r="A1799" s="795" t="s">
        <v>10062</v>
      </c>
      <c r="B1799" s="138" t="s">
        <v>10140</v>
      </c>
      <c r="C1799" s="139" t="s">
        <v>10302</v>
      </c>
      <c r="D1799" s="140" t="s">
        <v>10307</v>
      </c>
      <c r="E1799" s="141" t="s">
        <v>8096</v>
      </c>
      <c r="F1799" s="142" t="s">
        <v>10274</v>
      </c>
      <c r="G1799" s="143">
        <v>328050.40999999997</v>
      </c>
      <c r="H1799" s="144" t="s">
        <v>730</v>
      </c>
      <c r="I1799" s="145"/>
      <c r="J1799" s="145"/>
      <c r="K1799" s="146">
        <v>328050.40999999997</v>
      </c>
    </row>
    <row r="1800" spans="1:11" s="147" customFormat="1" ht="11.25" customHeight="1" x14ac:dyDescent="0.2">
      <c r="A1800" s="795" t="s">
        <v>10062</v>
      </c>
      <c r="B1800" s="138" t="s">
        <v>10140</v>
      </c>
      <c r="C1800" s="139" t="s">
        <v>10295</v>
      </c>
      <c r="D1800" s="140" t="s">
        <v>10308</v>
      </c>
      <c r="E1800" s="141" t="s">
        <v>8096</v>
      </c>
      <c r="F1800" s="142" t="s">
        <v>10274</v>
      </c>
      <c r="G1800" s="143">
        <v>328645.5</v>
      </c>
      <c r="H1800" s="144" t="s">
        <v>730</v>
      </c>
      <c r="I1800" s="145"/>
      <c r="J1800" s="145"/>
      <c r="K1800" s="146">
        <v>328645.5</v>
      </c>
    </row>
    <row r="1801" spans="1:11" s="147" customFormat="1" ht="11.25" customHeight="1" x14ac:dyDescent="0.2">
      <c r="A1801" s="795" t="s">
        <v>10309</v>
      </c>
      <c r="B1801" s="138" t="s">
        <v>10140</v>
      </c>
      <c r="C1801" s="139" t="s">
        <v>10310</v>
      </c>
      <c r="D1801" s="140" t="s">
        <v>10311</v>
      </c>
      <c r="E1801" s="141" t="s">
        <v>8154</v>
      </c>
      <c r="F1801" s="142" t="s">
        <v>10312</v>
      </c>
      <c r="G1801" s="143">
        <v>537393.19999999995</v>
      </c>
      <c r="H1801" s="144" t="s">
        <v>730</v>
      </c>
      <c r="I1801" s="145"/>
      <c r="J1801" s="145"/>
      <c r="K1801" s="146">
        <v>537393.19999999995</v>
      </c>
    </row>
    <row r="1802" spans="1:11" s="147" customFormat="1" ht="11.25" customHeight="1" x14ac:dyDescent="0.2">
      <c r="A1802" s="795" t="s">
        <v>10313</v>
      </c>
      <c r="B1802" s="138" t="s">
        <v>10140</v>
      </c>
      <c r="C1802" s="139" t="s">
        <v>10314</v>
      </c>
      <c r="D1802" s="140" t="s">
        <v>8112</v>
      </c>
      <c r="E1802" s="141" t="s">
        <v>10315</v>
      </c>
      <c r="F1802" s="142" t="s">
        <v>10316</v>
      </c>
      <c r="G1802" s="143">
        <v>348000</v>
      </c>
      <c r="H1802" s="144" t="s">
        <v>730</v>
      </c>
      <c r="I1802" s="145"/>
      <c r="J1802" s="145"/>
      <c r="K1802" s="146">
        <v>348000</v>
      </c>
    </row>
    <row r="1803" spans="1:11" s="147" customFormat="1" ht="11.25" customHeight="1" x14ac:dyDescent="0.2">
      <c r="A1803" s="795" t="s">
        <v>10317</v>
      </c>
      <c r="B1803" s="138" t="s">
        <v>10140</v>
      </c>
      <c r="C1803" s="139" t="s">
        <v>10318</v>
      </c>
      <c r="D1803" s="140" t="s">
        <v>10319</v>
      </c>
      <c r="E1803" s="141" t="s">
        <v>10320</v>
      </c>
      <c r="F1803" s="142" t="s">
        <v>10321</v>
      </c>
      <c r="G1803" s="143">
        <v>140650</v>
      </c>
      <c r="H1803" s="144" t="s">
        <v>730</v>
      </c>
      <c r="I1803" s="145"/>
      <c r="J1803" s="145"/>
      <c r="K1803" s="146">
        <v>140650</v>
      </c>
    </row>
    <row r="1804" spans="1:11" s="147" customFormat="1" ht="11.25" customHeight="1" x14ac:dyDescent="0.2">
      <c r="A1804" s="795" t="s">
        <v>10317</v>
      </c>
      <c r="B1804" s="138" t="s">
        <v>10140</v>
      </c>
      <c r="C1804" s="139" t="s">
        <v>10318</v>
      </c>
      <c r="D1804" s="140" t="s">
        <v>10319</v>
      </c>
      <c r="E1804" s="141" t="s">
        <v>10320</v>
      </c>
      <c r="F1804" s="142" t="s">
        <v>10321</v>
      </c>
      <c r="G1804" s="143">
        <v>879860</v>
      </c>
      <c r="H1804" s="144" t="s">
        <v>730</v>
      </c>
      <c r="I1804" s="145"/>
      <c r="J1804" s="145"/>
      <c r="K1804" s="146">
        <v>879860</v>
      </c>
    </row>
    <row r="1805" spans="1:11" s="147" customFormat="1" ht="11.25" customHeight="1" x14ac:dyDescent="0.2">
      <c r="A1805" s="795" t="s">
        <v>10322</v>
      </c>
      <c r="B1805" s="138" t="s">
        <v>10140</v>
      </c>
      <c r="C1805" s="139" t="s">
        <v>10323</v>
      </c>
      <c r="D1805" s="140" t="s">
        <v>10324</v>
      </c>
      <c r="E1805" s="141" t="s">
        <v>10325</v>
      </c>
      <c r="F1805" s="142" t="s">
        <v>10326</v>
      </c>
      <c r="G1805" s="143">
        <v>21886.79</v>
      </c>
      <c r="H1805" s="144" t="s">
        <v>730</v>
      </c>
      <c r="I1805" s="145"/>
      <c r="J1805" s="145"/>
      <c r="K1805" s="146">
        <v>21886.79</v>
      </c>
    </row>
    <row r="1806" spans="1:11" s="147" customFormat="1" ht="11.25" customHeight="1" x14ac:dyDescent="0.2">
      <c r="A1806" s="795" t="s">
        <v>10036</v>
      </c>
      <c r="B1806" s="138" t="s">
        <v>10140</v>
      </c>
      <c r="C1806" s="139" t="s">
        <v>10327</v>
      </c>
      <c r="D1806" s="140" t="s">
        <v>10328</v>
      </c>
      <c r="E1806" s="141" t="s">
        <v>10039</v>
      </c>
      <c r="F1806" s="142" t="s">
        <v>10035</v>
      </c>
      <c r="G1806" s="143">
        <v>189881.33</v>
      </c>
      <c r="H1806" s="144" t="s">
        <v>730</v>
      </c>
      <c r="I1806" s="145"/>
      <c r="J1806" s="145"/>
      <c r="K1806" s="146">
        <v>189881.33</v>
      </c>
    </row>
    <row r="1807" spans="1:11" s="147" customFormat="1" ht="11.25" customHeight="1" x14ac:dyDescent="0.2">
      <c r="A1807" s="795" t="s">
        <v>10329</v>
      </c>
      <c r="B1807" s="138" t="s">
        <v>10330</v>
      </c>
      <c r="C1807" s="139" t="s">
        <v>10331</v>
      </c>
      <c r="D1807" s="140" t="s">
        <v>10332</v>
      </c>
      <c r="E1807" s="141" t="s">
        <v>10320</v>
      </c>
      <c r="F1807" s="142" t="s">
        <v>10333</v>
      </c>
      <c r="G1807" s="143">
        <v>1152214.72</v>
      </c>
      <c r="H1807" s="144" t="s">
        <v>730</v>
      </c>
      <c r="I1807" s="145"/>
      <c r="J1807" s="145"/>
      <c r="K1807" s="146">
        <v>1152214.72</v>
      </c>
    </row>
    <row r="1808" spans="1:11" s="147" customFormat="1" ht="11.25" customHeight="1" x14ac:dyDescent="0.2">
      <c r="A1808" s="795" t="s">
        <v>9980</v>
      </c>
      <c r="B1808" s="138" t="s">
        <v>10334</v>
      </c>
      <c r="C1808" s="139" t="s">
        <v>10335</v>
      </c>
      <c r="D1808" s="140" t="s">
        <v>10336</v>
      </c>
      <c r="E1808" s="141" t="s">
        <v>9956</v>
      </c>
      <c r="F1808" s="142" t="s">
        <v>10337</v>
      </c>
      <c r="G1808" s="143">
        <v>244140.29</v>
      </c>
      <c r="H1808" s="144" t="s">
        <v>730</v>
      </c>
      <c r="I1808" s="145"/>
      <c r="J1808" s="145"/>
      <c r="K1808" s="146">
        <v>244140.29</v>
      </c>
    </row>
    <row r="1809" spans="1:15" s="147" customFormat="1" ht="11.25" customHeight="1" x14ac:dyDescent="0.2">
      <c r="A1809" s="795" t="s">
        <v>10338</v>
      </c>
      <c r="B1809" s="138" t="s">
        <v>10334</v>
      </c>
      <c r="C1809" s="139" t="s">
        <v>10339</v>
      </c>
      <c r="D1809" s="140" t="s">
        <v>10340</v>
      </c>
      <c r="E1809" s="141" t="s">
        <v>10341</v>
      </c>
      <c r="F1809" s="142" t="s">
        <v>10342</v>
      </c>
      <c r="G1809" s="143">
        <v>119994.92</v>
      </c>
      <c r="H1809" s="144" t="s">
        <v>730</v>
      </c>
      <c r="I1809" s="145"/>
      <c r="J1809" s="145"/>
      <c r="K1809" s="146">
        <v>119994.92</v>
      </c>
    </row>
    <row r="1810" spans="1:15" s="147" customFormat="1" ht="11.25" customHeight="1" x14ac:dyDescent="0.2">
      <c r="A1810" s="795" t="s">
        <v>10120</v>
      </c>
      <c r="B1810" s="138" t="s">
        <v>10343</v>
      </c>
      <c r="C1810" s="139" t="s">
        <v>10344</v>
      </c>
      <c r="D1810" s="140" t="s">
        <v>10345</v>
      </c>
      <c r="E1810" s="141" t="s">
        <v>8098</v>
      </c>
      <c r="F1810" s="142" t="s">
        <v>10225</v>
      </c>
      <c r="G1810" s="143">
        <v>832.24</v>
      </c>
      <c r="H1810" s="144" t="s">
        <v>730</v>
      </c>
      <c r="I1810" s="145"/>
      <c r="J1810" s="145"/>
      <c r="K1810" s="146">
        <v>832.24</v>
      </c>
    </row>
    <row r="1811" spans="1:15" s="147" customFormat="1" ht="11.25" customHeight="1" x14ac:dyDescent="0.2">
      <c r="A1811" s="795" t="s">
        <v>10346</v>
      </c>
      <c r="B1811" s="138" t="s">
        <v>10347</v>
      </c>
      <c r="C1811" s="139" t="s">
        <v>10348</v>
      </c>
      <c r="D1811" s="140" t="s">
        <v>10349</v>
      </c>
      <c r="E1811" s="141" t="s">
        <v>10001</v>
      </c>
      <c r="F1811" s="142" t="s">
        <v>10350</v>
      </c>
      <c r="G1811" s="143">
        <v>174000</v>
      </c>
      <c r="H1811" s="144" t="s">
        <v>730</v>
      </c>
      <c r="I1811" s="145"/>
      <c r="J1811" s="145"/>
      <c r="K1811" s="146">
        <v>174000</v>
      </c>
    </row>
    <row r="1812" spans="1:15" s="147" customFormat="1" ht="11.25" customHeight="1" x14ac:dyDescent="0.2">
      <c r="A1812" s="795" t="s">
        <v>10346</v>
      </c>
      <c r="B1812" s="138" t="s">
        <v>10347</v>
      </c>
      <c r="C1812" s="139" t="s">
        <v>10351</v>
      </c>
      <c r="D1812" s="140" t="s">
        <v>10352</v>
      </c>
      <c r="E1812" s="141" t="s">
        <v>10001</v>
      </c>
      <c r="F1812" s="142" t="s">
        <v>10350</v>
      </c>
      <c r="G1812" s="143">
        <v>174000</v>
      </c>
      <c r="H1812" s="144" t="s">
        <v>730</v>
      </c>
      <c r="I1812" s="145"/>
      <c r="J1812" s="145"/>
      <c r="K1812" s="146">
        <v>174000</v>
      </c>
    </row>
    <row r="1813" spans="1:15" s="147" customFormat="1" ht="11.25" customHeight="1" x14ac:dyDescent="0.2">
      <c r="A1813" s="795" t="s">
        <v>10346</v>
      </c>
      <c r="B1813" s="138" t="s">
        <v>10347</v>
      </c>
      <c r="C1813" s="139" t="s">
        <v>10353</v>
      </c>
      <c r="D1813" s="140" t="s">
        <v>10354</v>
      </c>
      <c r="E1813" s="141" t="s">
        <v>10001</v>
      </c>
      <c r="F1813" s="142" t="s">
        <v>10350</v>
      </c>
      <c r="G1813" s="143">
        <v>174000</v>
      </c>
      <c r="H1813" s="144" t="s">
        <v>730</v>
      </c>
      <c r="I1813" s="145"/>
      <c r="J1813" s="145"/>
      <c r="K1813" s="146">
        <v>174000</v>
      </c>
    </row>
    <row r="1814" spans="1:15" s="147" customFormat="1" ht="11.25" customHeight="1" x14ac:dyDescent="0.2">
      <c r="A1814" s="795" t="s">
        <v>10355</v>
      </c>
      <c r="B1814" s="138" t="s">
        <v>10347</v>
      </c>
      <c r="C1814" s="139" t="s">
        <v>8149</v>
      </c>
      <c r="D1814" s="140" t="s">
        <v>8100</v>
      </c>
      <c r="E1814" s="141" t="s">
        <v>8175</v>
      </c>
      <c r="F1814" s="142" t="s">
        <v>10356</v>
      </c>
      <c r="G1814" s="143">
        <v>3445.2</v>
      </c>
      <c r="H1814" s="144" t="s">
        <v>730</v>
      </c>
      <c r="I1814" s="145"/>
      <c r="J1814" s="145"/>
      <c r="K1814" s="146">
        <v>3445.2</v>
      </c>
    </row>
    <row r="1815" spans="1:15" s="147" customFormat="1" ht="11.25" customHeight="1" x14ac:dyDescent="0.2">
      <c r="A1815" s="794" t="s">
        <v>7466</v>
      </c>
      <c r="B1815" s="697">
        <v>43465</v>
      </c>
      <c r="C1815" s="139" t="s">
        <v>7467</v>
      </c>
      <c r="D1815" s="139" t="s">
        <v>7467</v>
      </c>
      <c r="E1815" s="141" t="s">
        <v>7468</v>
      </c>
      <c r="F1815" s="142" t="s">
        <v>7469</v>
      </c>
      <c r="G1815" s="143">
        <v>8675144.4900000002</v>
      </c>
      <c r="H1815" s="144" t="s">
        <v>10357</v>
      </c>
      <c r="I1815" s="145"/>
      <c r="J1815" s="143"/>
      <c r="K1815" s="146">
        <v>8675144.4900000002</v>
      </c>
    </row>
    <row r="1816" spans="1:15" s="147" customFormat="1" ht="11.25" customHeight="1" x14ac:dyDescent="0.2">
      <c r="A1816" s="794" t="s">
        <v>7466</v>
      </c>
      <c r="B1816" s="697">
        <v>43465</v>
      </c>
      <c r="C1816" s="139" t="s">
        <v>7467</v>
      </c>
      <c r="D1816" s="139" t="s">
        <v>7467</v>
      </c>
      <c r="E1816" s="141" t="s">
        <v>10358</v>
      </c>
      <c r="F1816" s="142" t="s">
        <v>10359</v>
      </c>
      <c r="G1816" s="143">
        <v>258886.8</v>
      </c>
      <c r="H1816" s="144" t="s">
        <v>730</v>
      </c>
      <c r="I1816" s="145"/>
      <c r="J1816" s="143"/>
      <c r="K1816" s="146">
        <v>258886.8</v>
      </c>
    </row>
    <row r="1817" spans="1:15" s="147" customFormat="1" ht="11.25" customHeight="1" x14ac:dyDescent="0.2">
      <c r="A1817" s="794" t="s">
        <v>7470</v>
      </c>
      <c r="B1817" s="697">
        <v>43465</v>
      </c>
      <c r="C1817" s="139" t="s">
        <v>7467</v>
      </c>
      <c r="D1817" s="139" t="s">
        <v>7467</v>
      </c>
      <c r="E1817" s="141" t="s">
        <v>7471</v>
      </c>
      <c r="F1817" s="142" t="s">
        <v>7472</v>
      </c>
      <c r="G1817" s="143">
        <v>1120408.46</v>
      </c>
      <c r="H1817" s="144" t="s">
        <v>730</v>
      </c>
      <c r="I1817" s="145"/>
      <c r="J1817" s="143"/>
      <c r="K1817" s="146">
        <v>1120408.46</v>
      </c>
    </row>
    <row r="1818" spans="1:15" s="147" customFormat="1" ht="11.25" customHeight="1" x14ac:dyDescent="0.2">
      <c r="A1818" s="794" t="s">
        <v>7581</v>
      </c>
      <c r="B1818" s="697">
        <v>43465</v>
      </c>
      <c r="C1818" s="139" t="s">
        <v>7467</v>
      </c>
      <c r="D1818" s="139" t="s">
        <v>7467</v>
      </c>
      <c r="E1818" s="141" t="s">
        <v>7582</v>
      </c>
      <c r="F1818" s="142" t="s">
        <v>7583</v>
      </c>
      <c r="G1818" s="143">
        <v>50000000</v>
      </c>
      <c r="H1818" s="144" t="s">
        <v>10360</v>
      </c>
      <c r="I1818" s="145"/>
      <c r="J1818" s="143"/>
      <c r="K1818" s="146">
        <v>9999999.6899999995</v>
      </c>
      <c r="M1818" s="927"/>
      <c r="N1818" s="927"/>
    </row>
    <row r="1819" spans="1:15" s="147" customFormat="1" ht="11.25" customHeight="1" x14ac:dyDescent="0.2">
      <c r="A1819" s="796"/>
      <c r="B1819" s="797"/>
      <c r="C1819" s="798"/>
      <c r="D1819" s="799"/>
      <c r="E1819" s="159"/>
      <c r="F1819" s="800" t="s">
        <v>188</v>
      </c>
      <c r="G1819" s="801"/>
      <c r="H1819" s="802"/>
      <c r="I1819" s="803"/>
      <c r="J1819" s="801"/>
      <c r="K1819" s="804">
        <f>SUM(K7:K1818)</f>
        <v>57712195.880000003</v>
      </c>
      <c r="M1819" s="927"/>
      <c r="N1819" s="927"/>
      <c r="O1819" s="927"/>
    </row>
    <row r="1820" spans="1:15" s="147" customFormat="1" ht="11.25" customHeight="1" thickBot="1" x14ac:dyDescent="0.25">
      <c r="A1820" s="805"/>
      <c r="B1820" s="148"/>
      <c r="C1820" s="149"/>
      <c r="D1820" s="150"/>
      <c r="E1820" s="151"/>
      <c r="F1820" s="152"/>
      <c r="G1820" s="153"/>
      <c r="H1820" s="154"/>
      <c r="I1820" s="155"/>
      <c r="J1820" s="153"/>
      <c r="K1820" s="156"/>
    </row>
    <row r="1821" spans="1:15" s="147" customFormat="1" ht="11.25" customHeight="1" x14ac:dyDescent="0.2">
      <c r="A1821" s="159"/>
      <c r="B1821" s="158"/>
      <c r="C1821" s="157"/>
      <c r="D1821" s="157"/>
      <c r="E1821" s="159"/>
      <c r="F1821" s="160"/>
      <c r="G1821" s="161"/>
      <c r="H1821" s="162"/>
      <c r="I1821" s="161"/>
      <c r="J1821" s="161"/>
      <c r="K1821" s="161"/>
    </row>
    <row r="1822" spans="1:15" s="147" customFormat="1" ht="11.25" customHeight="1" x14ac:dyDescent="0.2">
      <c r="A1822" s="159"/>
      <c r="B1822" s="158"/>
      <c r="C1822" s="157"/>
      <c r="D1822" s="157"/>
      <c r="E1822" s="159"/>
      <c r="F1822" s="160"/>
      <c r="G1822" s="161"/>
      <c r="H1822" s="162"/>
      <c r="I1822" s="161"/>
      <c r="J1822" s="161"/>
      <c r="K1822" s="161"/>
    </row>
    <row r="1823" spans="1:15" s="147" customFormat="1" ht="11.25" customHeight="1" x14ac:dyDescent="0.2">
      <c r="A1823" s="159"/>
      <c r="B1823" s="158"/>
      <c r="C1823" s="157"/>
      <c r="D1823" s="157"/>
      <c r="E1823" s="159"/>
      <c r="F1823" s="160"/>
      <c r="G1823" s="161"/>
      <c r="H1823" s="162"/>
      <c r="I1823" s="161"/>
      <c r="J1823" s="161"/>
      <c r="K1823" s="161"/>
    </row>
    <row r="1824" spans="1:15" s="147" customFormat="1" ht="11.25" customHeight="1" x14ac:dyDescent="0.2">
      <c r="A1824" s="159"/>
      <c r="B1824" s="158"/>
      <c r="C1824" s="157"/>
      <c r="D1824" s="157"/>
      <c r="E1824" s="159"/>
      <c r="F1824" s="160"/>
      <c r="G1824" s="161"/>
      <c r="H1824" s="162"/>
      <c r="I1824" s="161"/>
      <c r="J1824" s="161"/>
      <c r="K1824" s="161"/>
    </row>
    <row r="1825" spans="1:11" s="147" customFormat="1" ht="11.25" customHeight="1" x14ac:dyDescent="0.2">
      <c r="A1825" s="159"/>
      <c r="B1825" s="158"/>
      <c r="C1825" s="157"/>
      <c r="D1825" s="157"/>
      <c r="E1825" s="159"/>
      <c r="F1825" s="160"/>
      <c r="G1825" s="161"/>
      <c r="H1825" s="162"/>
      <c r="I1825" s="161"/>
      <c r="J1825" s="161"/>
      <c r="K1825" s="161"/>
    </row>
    <row r="1826" spans="1:11" s="147" customFormat="1" ht="11.25" customHeight="1" x14ac:dyDescent="0.2">
      <c r="A1826" s="159"/>
      <c r="B1826" s="158"/>
      <c r="C1826" s="157"/>
      <c r="D1826" s="157"/>
      <c r="E1826" s="159"/>
      <c r="F1826" s="160"/>
      <c r="G1826" s="161"/>
      <c r="H1826" s="162"/>
      <c r="I1826" s="161"/>
      <c r="J1826" s="161"/>
      <c r="K1826" s="161"/>
    </row>
    <row r="1827" spans="1:11" s="147" customFormat="1" ht="11.25" customHeight="1" x14ac:dyDescent="0.2">
      <c r="A1827" s="159"/>
      <c r="B1827" s="158"/>
      <c r="C1827" s="157"/>
      <c r="D1827" s="157"/>
      <c r="E1827" s="159"/>
      <c r="F1827" s="160"/>
      <c r="G1827" s="161"/>
      <c r="H1827" s="162"/>
      <c r="I1827" s="161"/>
      <c r="J1827" s="161"/>
      <c r="K1827" s="161"/>
    </row>
    <row r="1828" spans="1:11" s="147" customFormat="1" ht="11.25" customHeight="1" x14ac:dyDescent="0.2">
      <c r="A1828" s="159"/>
      <c r="B1828" s="158"/>
      <c r="C1828" s="157"/>
      <c r="D1828" s="157"/>
      <c r="E1828" s="159"/>
      <c r="F1828" s="160"/>
      <c r="G1828" s="161"/>
      <c r="H1828" s="162"/>
      <c r="I1828" s="161"/>
      <c r="J1828" s="161"/>
      <c r="K1828" s="161"/>
    </row>
    <row r="1829" spans="1:11" s="147" customFormat="1" ht="11.25" customHeight="1" x14ac:dyDescent="0.2">
      <c r="A1829" s="159"/>
      <c r="B1829" s="158"/>
      <c r="C1829" s="157"/>
      <c r="D1829" s="157"/>
      <c r="E1829" s="159"/>
      <c r="F1829" s="160"/>
      <c r="G1829" s="161"/>
      <c r="H1829" s="162"/>
      <c r="I1829" s="161"/>
      <c r="J1829" s="161"/>
      <c r="K1829" s="161"/>
    </row>
    <row r="1830" spans="1:11" s="147" customFormat="1" ht="11.25" customHeight="1" x14ac:dyDescent="0.2">
      <c r="A1830" s="159"/>
      <c r="B1830" s="158"/>
      <c r="C1830" s="157"/>
      <c r="D1830" s="157"/>
      <c r="E1830" s="159"/>
      <c r="F1830" s="160"/>
      <c r="G1830" s="161"/>
      <c r="H1830" s="162"/>
      <c r="I1830" s="161"/>
      <c r="J1830" s="161"/>
      <c r="K1830" s="161"/>
    </row>
    <row r="1831" spans="1:11" s="147" customFormat="1" ht="11.25" customHeight="1" x14ac:dyDescent="0.2">
      <c r="A1831" s="159"/>
      <c r="B1831" s="158"/>
      <c r="C1831" s="157"/>
      <c r="D1831" s="157"/>
      <c r="E1831" s="159"/>
      <c r="F1831" s="160"/>
      <c r="G1831" s="161"/>
      <c r="H1831" s="162"/>
      <c r="I1831" s="161"/>
      <c r="J1831" s="161"/>
      <c r="K1831" s="161"/>
    </row>
    <row r="1832" spans="1:11" s="147" customFormat="1" ht="11.25" customHeight="1" x14ac:dyDescent="0.2">
      <c r="A1832" s="159"/>
      <c r="B1832" s="158"/>
      <c r="C1832" s="157"/>
      <c r="D1832" s="157"/>
      <c r="E1832" s="159"/>
      <c r="F1832" s="160"/>
      <c r="G1832" s="161"/>
      <c r="H1832" s="162"/>
      <c r="I1832" s="161"/>
      <c r="J1832" s="161"/>
      <c r="K1832" s="161"/>
    </row>
    <row r="1833" spans="1:11" s="147" customFormat="1" ht="11.25" customHeight="1" x14ac:dyDescent="0.2">
      <c r="A1833" s="159"/>
      <c r="B1833" s="158"/>
      <c r="C1833" s="157"/>
      <c r="D1833" s="157"/>
      <c r="E1833" s="159"/>
      <c r="F1833" s="160"/>
      <c r="G1833" s="161"/>
      <c r="H1833" s="162"/>
      <c r="I1833" s="161"/>
      <c r="J1833" s="161"/>
      <c r="K1833" s="161"/>
    </row>
    <row r="1834" spans="1:11" s="147" customFormat="1" ht="11.25" customHeight="1" x14ac:dyDescent="0.2">
      <c r="A1834" s="159"/>
      <c r="B1834" s="158"/>
      <c r="C1834" s="157"/>
      <c r="D1834" s="157"/>
      <c r="E1834" s="159"/>
      <c r="F1834" s="160"/>
      <c r="G1834" s="161"/>
      <c r="H1834" s="162"/>
      <c r="I1834" s="161"/>
      <c r="J1834" s="161"/>
      <c r="K1834" s="161"/>
    </row>
    <row r="1835" spans="1:11" s="147" customFormat="1" ht="11.25" customHeight="1" x14ac:dyDescent="0.2">
      <c r="A1835" s="159"/>
      <c r="B1835" s="158"/>
      <c r="C1835" s="157"/>
      <c r="D1835" s="157"/>
      <c r="E1835" s="159"/>
      <c r="F1835" s="160"/>
      <c r="G1835" s="161"/>
      <c r="H1835" s="162"/>
      <c r="I1835" s="161"/>
      <c r="J1835" s="161"/>
      <c r="K1835" s="161"/>
    </row>
    <row r="1836" spans="1:11" s="147" customFormat="1" ht="11.25" customHeight="1" x14ac:dyDescent="0.2">
      <c r="A1836" s="159"/>
      <c r="B1836" s="158"/>
      <c r="C1836" s="157"/>
      <c r="D1836" s="157"/>
      <c r="E1836" s="159"/>
      <c r="F1836" s="160"/>
      <c r="G1836" s="161"/>
      <c r="H1836" s="162"/>
      <c r="I1836" s="161"/>
      <c r="J1836" s="161"/>
      <c r="K1836" s="161"/>
    </row>
    <row r="1837" spans="1:11" s="147" customFormat="1" ht="11.25" customHeight="1" x14ac:dyDescent="0.2">
      <c r="A1837" s="159"/>
      <c r="B1837" s="158"/>
      <c r="C1837" s="157"/>
      <c r="D1837" s="157"/>
      <c r="E1837" s="159"/>
      <c r="F1837" s="160"/>
      <c r="G1837" s="161"/>
      <c r="H1837" s="162"/>
      <c r="I1837" s="161"/>
      <c r="J1837" s="161"/>
      <c r="K1837" s="161"/>
    </row>
    <row r="1838" spans="1:11" s="147" customFormat="1" ht="11.25" customHeight="1" x14ac:dyDescent="0.2">
      <c r="A1838" s="159"/>
      <c r="B1838" s="158"/>
      <c r="C1838" s="157"/>
      <c r="D1838" s="157"/>
      <c r="E1838" s="159"/>
      <c r="F1838" s="160"/>
      <c r="G1838" s="161"/>
      <c r="H1838" s="162"/>
      <c r="I1838" s="161"/>
      <c r="J1838" s="161"/>
      <c r="K1838" s="161"/>
    </row>
    <row r="1839" spans="1:11" s="147" customFormat="1" ht="11.25" customHeight="1" x14ac:dyDescent="0.2">
      <c r="A1839" s="159"/>
      <c r="B1839" s="158"/>
      <c r="C1839" s="157"/>
      <c r="D1839" s="157"/>
      <c r="E1839" s="159"/>
      <c r="F1839" s="160"/>
      <c r="G1839" s="161"/>
      <c r="H1839" s="162"/>
      <c r="I1839" s="161"/>
      <c r="J1839" s="161"/>
      <c r="K1839" s="161"/>
    </row>
    <row r="1840" spans="1:11" s="147" customFormat="1" ht="11.25" customHeight="1" x14ac:dyDescent="0.2">
      <c r="A1840" s="159"/>
      <c r="B1840" s="158"/>
      <c r="C1840" s="157"/>
      <c r="D1840" s="157"/>
      <c r="E1840" s="159"/>
      <c r="F1840" s="160"/>
      <c r="G1840" s="161"/>
      <c r="H1840" s="162"/>
      <c r="I1840" s="161"/>
      <c r="J1840" s="161"/>
      <c r="K1840" s="161"/>
    </row>
    <row r="1841" spans="1:11" s="147" customFormat="1" ht="11.25" customHeight="1" x14ac:dyDescent="0.2">
      <c r="A1841" s="159"/>
      <c r="B1841" s="158"/>
      <c r="C1841" s="157"/>
      <c r="D1841" s="157"/>
      <c r="E1841" s="159"/>
      <c r="F1841" s="160"/>
      <c r="G1841" s="161"/>
      <c r="H1841" s="162"/>
      <c r="I1841" s="161"/>
      <c r="J1841" s="161"/>
      <c r="K1841" s="161"/>
    </row>
    <row r="1842" spans="1:11" s="147" customFormat="1" ht="11.25" customHeight="1" x14ac:dyDescent="0.2">
      <c r="A1842" s="159"/>
      <c r="B1842" s="158"/>
      <c r="C1842" s="157"/>
      <c r="D1842" s="157"/>
      <c r="E1842" s="159"/>
      <c r="F1842" s="160"/>
      <c r="G1842" s="161"/>
      <c r="H1842" s="162"/>
      <c r="I1842" s="161"/>
      <c r="J1842" s="161"/>
      <c r="K1842" s="161"/>
    </row>
    <row r="1843" spans="1:11" s="147" customFormat="1" ht="11.25" customHeight="1" x14ac:dyDescent="0.2">
      <c r="A1843" s="159"/>
      <c r="B1843" s="158"/>
      <c r="C1843" s="157"/>
      <c r="D1843" s="157"/>
      <c r="E1843" s="159"/>
      <c r="F1843" s="160"/>
      <c r="G1843" s="161"/>
      <c r="H1843" s="162"/>
      <c r="I1843" s="161"/>
      <c r="J1843" s="161"/>
      <c r="K1843" s="161"/>
    </row>
    <row r="1844" spans="1:11" s="147" customFormat="1" ht="11.25" customHeight="1" x14ac:dyDescent="0.2">
      <c r="A1844" s="159"/>
      <c r="B1844" s="158"/>
      <c r="C1844" s="157"/>
      <c r="D1844" s="157"/>
      <c r="E1844" s="159"/>
      <c r="F1844" s="160"/>
      <c r="G1844" s="161"/>
      <c r="H1844" s="162"/>
      <c r="I1844" s="161"/>
      <c r="J1844" s="161"/>
      <c r="K1844" s="161"/>
    </row>
    <row r="1845" spans="1:11" s="147" customFormat="1" ht="11.25" customHeight="1" x14ac:dyDescent="0.2">
      <c r="A1845" s="159"/>
      <c r="B1845" s="158"/>
      <c r="C1845" s="157"/>
      <c r="D1845" s="157"/>
      <c r="E1845" s="159"/>
      <c r="F1845" s="160"/>
      <c r="G1845" s="161"/>
      <c r="H1845" s="162"/>
      <c r="I1845" s="161"/>
      <c r="J1845" s="161"/>
      <c r="K1845" s="161"/>
    </row>
    <row r="1846" spans="1:11" s="147" customFormat="1" ht="11.25" customHeight="1" x14ac:dyDescent="0.2">
      <c r="A1846" s="159"/>
      <c r="B1846" s="158"/>
      <c r="C1846" s="157"/>
      <c r="D1846" s="157"/>
      <c r="E1846" s="159"/>
      <c r="F1846" s="160"/>
      <c r="G1846" s="161"/>
      <c r="H1846" s="162"/>
      <c r="I1846" s="161"/>
      <c r="J1846" s="161"/>
      <c r="K1846" s="161"/>
    </row>
    <row r="1847" spans="1:11" s="147" customFormat="1" ht="11.25" customHeight="1" x14ac:dyDescent="0.2">
      <c r="A1847" s="159"/>
      <c r="B1847" s="158"/>
      <c r="C1847" s="157"/>
      <c r="D1847" s="157"/>
      <c r="E1847" s="159"/>
      <c r="F1847" s="160"/>
      <c r="G1847" s="161"/>
      <c r="H1847" s="162"/>
      <c r="I1847" s="161"/>
      <c r="J1847" s="161"/>
      <c r="K1847" s="161"/>
    </row>
    <row r="1848" spans="1:11" s="147" customFormat="1" ht="11.25" customHeight="1" x14ac:dyDescent="0.2">
      <c r="A1848" s="159"/>
      <c r="B1848" s="158"/>
      <c r="C1848" s="157"/>
      <c r="D1848" s="157"/>
      <c r="E1848" s="159"/>
      <c r="F1848" s="160"/>
      <c r="G1848" s="161"/>
      <c r="H1848" s="162"/>
      <c r="I1848" s="161"/>
      <c r="J1848" s="161"/>
      <c r="K1848" s="161"/>
    </row>
    <row r="1849" spans="1:11" s="147" customFormat="1" ht="11.25" customHeight="1" x14ac:dyDescent="0.2">
      <c r="A1849" s="159"/>
      <c r="B1849" s="158"/>
      <c r="C1849" s="157"/>
      <c r="D1849" s="157"/>
      <c r="E1849" s="159"/>
      <c r="F1849" s="160"/>
      <c r="G1849" s="161"/>
      <c r="H1849" s="162"/>
      <c r="I1849" s="161"/>
      <c r="J1849" s="161"/>
      <c r="K1849" s="161"/>
    </row>
    <row r="1850" spans="1:11" s="147" customFormat="1" ht="11.25" customHeight="1" x14ac:dyDescent="0.2">
      <c r="A1850" s="159"/>
      <c r="B1850" s="158"/>
      <c r="C1850" s="157"/>
      <c r="D1850" s="157"/>
      <c r="E1850" s="159"/>
      <c r="F1850" s="160"/>
      <c r="G1850" s="161"/>
      <c r="H1850" s="162"/>
      <c r="I1850" s="161"/>
      <c r="J1850" s="161"/>
      <c r="K1850" s="161"/>
    </row>
    <row r="1851" spans="1:11" s="90" customFormat="1" ht="15" x14ac:dyDescent="0.25">
      <c r="A1851" s="806"/>
    </row>
    <row r="1852" spans="1:11" s="90" customFormat="1" ht="15" x14ac:dyDescent="0.25">
      <c r="A1852" s="806"/>
    </row>
    <row r="1853" spans="1:11" s="90" customFormat="1" ht="15" x14ac:dyDescent="0.25">
      <c r="A1853" s="806"/>
    </row>
    <row r="1854" spans="1:11" s="90" customFormat="1" ht="15" x14ac:dyDescent="0.25">
      <c r="A1854" s="806"/>
    </row>
    <row r="1855" spans="1:11" s="90" customFormat="1" ht="15" x14ac:dyDescent="0.25">
      <c r="A1855" s="806"/>
    </row>
  </sheetData>
  <mergeCells count="14">
    <mergeCell ref="H5:H6"/>
    <mergeCell ref="I5:I6"/>
    <mergeCell ref="J5:J6"/>
    <mergeCell ref="K5:K6"/>
    <mergeCell ref="A1:K1"/>
    <mergeCell ref="A2:K2"/>
    <mergeCell ref="A3:K3"/>
    <mergeCell ref="I4:K4"/>
    <mergeCell ref="A5:A6"/>
    <mergeCell ref="B5:C5"/>
    <mergeCell ref="D5:D6"/>
    <mergeCell ref="E5:E6"/>
    <mergeCell ref="F5:F6"/>
    <mergeCell ref="G5:G6"/>
  </mergeCells>
  <printOptions horizontalCentered="1"/>
  <pageMargins left="0.27559055118110237" right="0.35433070866141736" top="0.39370078740157483" bottom="0.39370078740157483" header="0.31496062992125984" footer="0.31496062992125984"/>
  <pageSetup scale="86" fitToHeight="0"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view="pageBreakPreview" zoomScale="60" zoomScaleNormal="100" workbookViewId="0">
      <selection sqref="A1:H1"/>
    </sheetView>
  </sheetViews>
  <sheetFormatPr baseColWidth="10" defaultRowHeight="15" x14ac:dyDescent="0.25"/>
  <cols>
    <col min="1" max="1" width="13.28515625" customWidth="1"/>
    <col min="3" max="3" width="14.42578125" customWidth="1"/>
    <col min="5" max="5" width="14.28515625" customWidth="1"/>
    <col min="7" max="7" width="13.85546875" customWidth="1"/>
  </cols>
  <sheetData>
    <row r="1" spans="1:8" x14ac:dyDescent="0.25">
      <c r="A1" s="1294" t="s">
        <v>566</v>
      </c>
      <c r="B1" s="1294"/>
      <c r="C1" s="1294"/>
      <c r="D1" s="1294"/>
      <c r="E1" s="1294"/>
      <c r="F1" s="1294"/>
      <c r="G1" s="1294"/>
      <c r="H1" s="1294"/>
    </row>
    <row r="2" spans="1:8" x14ac:dyDescent="0.25">
      <c r="A2" s="1294" t="s">
        <v>2424</v>
      </c>
      <c r="B2" s="1294"/>
      <c r="C2" s="1294"/>
      <c r="D2" s="1294"/>
      <c r="E2" s="1294"/>
      <c r="F2" s="1294"/>
      <c r="G2" s="1294"/>
      <c r="H2" s="1294"/>
    </row>
    <row r="3" spans="1:8" x14ac:dyDescent="0.25">
      <c r="A3" s="1294" t="s">
        <v>8966</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608"/>
      <c r="B6" s="609"/>
      <c r="C6" s="609"/>
      <c r="D6" s="609"/>
      <c r="E6" s="609"/>
      <c r="F6" s="609"/>
      <c r="G6" s="609"/>
      <c r="H6" s="610"/>
    </row>
    <row r="7" spans="1:8" x14ac:dyDescent="0.25">
      <c r="A7" s="608"/>
      <c r="B7" s="609"/>
      <c r="C7" s="609"/>
      <c r="D7" s="609"/>
      <c r="E7" s="609"/>
      <c r="F7" s="609"/>
      <c r="G7" s="609"/>
      <c r="H7" s="610"/>
    </row>
    <row r="8" spans="1:8" x14ac:dyDescent="0.25">
      <c r="A8" s="608"/>
      <c r="B8" s="609"/>
      <c r="C8" s="609"/>
      <c r="D8" s="609"/>
      <c r="E8" s="609"/>
      <c r="F8" s="609"/>
      <c r="G8" s="609"/>
      <c r="H8" s="610"/>
    </row>
    <row r="9" spans="1:8" x14ac:dyDescent="0.25">
      <c r="A9" s="608"/>
      <c r="B9" s="609"/>
      <c r="C9" s="609"/>
      <c r="D9" s="609"/>
      <c r="E9" s="609"/>
      <c r="F9" s="609"/>
      <c r="G9" s="609"/>
      <c r="H9" s="610"/>
    </row>
    <row r="10" spans="1:8" x14ac:dyDescent="0.25">
      <c r="A10" s="608"/>
      <c r="B10" s="609"/>
      <c r="C10" s="609"/>
      <c r="D10" s="609"/>
      <c r="E10" s="609"/>
      <c r="F10" s="609"/>
      <c r="G10" s="609"/>
      <c r="H10" s="610"/>
    </row>
    <row r="11" spans="1:8" x14ac:dyDescent="0.25">
      <c r="A11" s="608"/>
      <c r="B11" s="609"/>
      <c r="C11" s="609"/>
      <c r="D11" s="609"/>
      <c r="E11" s="609"/>
      <c r="F11" s="609"/>
      <c r="G11" s="609"/>
      <c r="H11" s="610"/>
    </row>
    <row r="12" spans="1:8" x14ac:dyDescent="0.25">
      <c r="A12" s="608"/>
      <c r="B12" s="609"/>
      <c r="C12" s="609"/>
      <c r="D12" s="609"/>
      <c r="E12" s="609"/>
      <c r="F12" s="609"/>
      <c r="G12" s="609"/>
      <c r="H12" s="610"/>
    </row>
    <row r="13" spans="1:8" x14ac:dyDescent="0.25">
      <c r="A13" s="608"/>
      <c r="B13" s="609"/>
      <c r="C13" s="609"/>
      <c r="D13" s="609"/>
      <c r="E13" s="609"/>
      <c r="F13" s="609"/>
      <c r="G13" s="609"/>
      <c r="H13" s="610"/>
    </row>
    <row r="14" spans="1:8" x14ac:dyDescent="0.25">
      <c r="A14" s="608"/>
      <c r="B14" s="609"/>
      <c r="C14" s="609"/>
      <c r="D14" s="609"/>
      <c r="E14" s="609"/>
      <c r="F14" s="609"/>
      <c r="G14" s="609"/>
      <c r="H14" s="610"/>
    </row>
    <row r="15" spans="1:8" x14ac:dyDescent="0.25">
      <c r="A15" s="608"/>
      <c r="B15" s="609"/>
      <c r="C15" s="609"/>
      <c r="D15" s="609"/>
      <c r="E15" s="609"/>
      <c r="F15" s="609"/>
      <c r="G15" s="609"/>
      <c r="H15" s="610"/>
    </row>
    <row r="16" spans="1:8" x14ac:dyDescent="0.25">
      <c r="A16" s="608"/>
      <c r="B16" s="609"/>
      <c r="C16" s="609"/>
      <c r="D16" s="609"/>
      <c r="E16" s="609"/>
      <c r="F16" s="609"/>
      <c r="G16" s="609"/>
      <c r="H16" s="610"/>
    </row>
    <row r="17" spans="1:8" x14ac:dyDescent="0.25">
      <c r="A17" s="608"/>
      <c r="B17" s="609"/>
      <c r="C17" s="609"/>
      <c r="D17" s="609"/>
      <c r="E17" s="609"/>
      <c r="F17" s="609"/>
      <c r="G17" s="609"/>
      <c r="H17" s="610"/>
    </row>
    <row r="18" spans="1:8" x14ac:dyDescent="0.25">
      <c r="A18" s="608"/>
      <c r="B18" s="609"/>
      <c r="C18" s="609"/>
      <c r="D18" s="609"/>
      <c r="E18" s="609"/>
      <c r="F18" s="609"/>
      <c r="G18" s="609"/>
      <c r="H18" s="610"/>
    </row>
    <row r="19" spans="1:8" x14ac:dyDescent="0.25">
      <c r="A19" s="608"/>
      <c r="B19" s="609"/>
      <c r="C19" s="609"/>
      <c r="D19" s="609"/>
      <c r="E19" s="609"/>
      <c r="F19" s="609"/>
      <c r="G19" s="609"/>
      <c r="H19" s="610"/>
    </row>
    <row r="20" spans="1:8" x14ac:dyDescent="0.25">
      <c r="A20" s="608"/>
      <c r="B20" s="609"/>
      <c r="C20" s="609"/>
      <c r="D20" s="609"/>
      <c r="E20" s="609"/>
      <c r="F20" s="609"/>
      <c r="G20" s="609"/>
      <c r="H20" s="610"/>
    </row>
    <row r="21" spans="1:8" x14ac:dyDescent="0.25">
      <c r="A21" s="608"/>
      <c r="B21" s="609"/>
      <c r="C21" s="609"/>
      <c r="D21" s="609"/>
      <c r="E21" s="609"/>
      <c r="F21" s="609"/>
      <c r="G21" s="609"/>
      <c r="H21" s="610"/>
    </row>
    <row r="22" spans="1:8" x14ac:dyDescent="0.25">
      <c r="A22" s="608"/>
      <c r="B22" s="609"/>
      <c r="C22" s="609"/>
      <c r="D22" s="609"/>
      <c r="E22" s="609"/>
      <c r="F22" s="609"/>
      <c r="G22" s="609"/>
      <c r="H22" s="610"/>
    </row>
    <row r="23" spans="1:8" x14ac:dyDescent="0.25">
      <c r="A23" s="608"/>
      <c r="B23" s="609"/>
      <c r="C23" s="609"/>
      <c r="D23" s="609"/>
      <c r="E23" s="609"/>
      <c r="F23" s="609"/>
      <c r="G23" s="609"/>
      <c r="H23" s="610"/>
    </row>
    <row r="24" spans="1:8" x14ac:dyDescent="0.25">
      <c r="A24" s="608"/>
      <c r="B24" s="609"/>
      <c r="C24" s="609"/>
      <c r="D24" s="609"/>
      <c r="E24" s="609"/>
      <c r="F24" s="609"/>
      <c r="G24" s="609"/>
      <c r="H24" s="610"/>
    </row>
    <row r="25" spans="1:8" x14ac:dyDescent="0.25">
      <c r="A25" s="608"/>
      <c r="B25" s="609"/>
      <c r="C25" s="609"/>
      <c r="D25" s="609"/>
      <c r="E25" s="609"/>
      <c r="F25" s="609"/>
      <c r="G25" s="609"/>
      <c r="H25" s="610"/>
    </row>
    <row r="26" spans="1:8" x14ac:dyDescent="0.25">
      <c r="A26" s="608"/>
      <c r="B26" s="609"/>
      <c r="C26" s="609"/>
      <c r="D26" s="609"/>
      <c r="E26" s="609"/>
      <c r="F26" s="609"/>
      <c r="G26" s="609"/>
      <c r="H26" s="610"/>
    </row>
    <row r="27" spans="1:8" x14ac:dyDescent="0.25">
      <c r="A27" s="608"/>
      <c r="B27" s="609"/>
      <c r="C27" s="609"/>
      <c r="D27" s="609"/>
      <c r="E27" s="609"/>
      <c r="F27" s="609"/>
      <c r="G27" s="609"/>
      <c r="H27" s="610"/>
    </row>
    <row r="28" spans="1:8" x14ac:dyDescent="0.25">
      <c r="A28" s="608"/>
      <c r="B28" s="609"/>
      <c r="C28" s="609"/>
      <c r="D28" s="609"/>
      <c r="E28" s="609"/>
      <c r="F28" s="609"/>
      <c r="G28" s="609"/>
      <c r="H28" s="610"/>
    </row>
    <row r="29" spans="1:8" x14ac:dyDescent="0.25">
      <c r="A29" s="608"/>
      <c r="B29" s="609"/>
      <c r="C29" s="609"/>
      <c r="D29" s="609"/>
      <c r="E29" s="609"/>
      <c r="F29" s="609"/>
      <c r="G29" s="609"/>
      <c r="H29" s="610"/>
    </row>
    <row r="30" spans="1:8" x14ac:dyDescent="0.25">
      <c r="A30" s="608"/>
      <c r="B30" s="609"/>
      <c r="C30" s="609"/>
      <c r="D30" s="609"/>
      <c r="E30" s="609"/>
      <c r="F30" s="609"/>
      <c r="G30" s="609"/>
      <c r="H30" s="610"/>
    </row>
    <row r="31" spans="1:8" x14ac:dyDescent="0.25">
      <c r="A31" s="608"/>
      <c r="B31" s="609"/>
      <c r="C31" s="609"/>
      <c r="D31" s="609"/>
      <c r="E31" s="609"/>
      <c r="F31" s="609"/>
      <c r="G31" s="609"/>
      <c r="H31" s="610"/>
    </row>
    <row r="32" spans="1:8" x14ac:dyDescent="0.25">
      <c r="A32" s="608"/>
      <c r="B32" s="609"/>
      <c r="C32" s="609"/>
      <c r="D32" s="609"/>
      <c r="E32" s="609"/>
      <c r="F32" s="609"/>
      <c r="G32" s="609"/>
      <c r="H32" s="610"/>
    </row>
    <row r="33" spans="1:8" x14ac:dyDescent="0.25">
      <c r="A33" s="608"/>
      <c r="B33" s="609"/>
      <c r="C33" s="609"/>
      <c r="D33" s="609"/>
      <c r="E33" s="609"/>
      <c r="F33" s="609"/>
      <c r="G33" s="609"/>
      <c r="H33" s="610"/>
    </row>
    <row r="34" spans="1:8" x14ac:dyDescent="0.25">
      <c r="A34" s="608"/>
      <c r="B34" s="609"/>
      <c r="C34" s="609"/>
      <c r="D34" s="609"/>
      <c r="E34" s="609"/>
      <c r="F34" s="609"/>
      <c r="G34" s="609"/>
      <c r="H34" s="610"/>
    </row>
    <row r="35" spans="1:8" x14ac:dyDescent="0.25">
      <c r="A35" s="608"/>
      <c r="B35" s="609"/>
      <c r="C35" s="609"/>
      <c r="D35" s="609"/>
      <c r="E35" s="609"/>
      <c r="F35" s="609"/>
      <c r="G35" s="609"/>
      <c r="H35" s="610"/>
    </row>
    <row r="36" spans="1:8" x14ac:dyDescent="0.25">
      <c r="A36" s="608"/>
      <c r="B36" s="609"/>
      <c r="C36" s="609"/>
      <c r="D36" s="609"/>
      <c r="E36" s="609"/>
      <c r="F36" s="609"/>
      <c r="G36" s="609"/>
      <c r="H36" s="610"/>
    </row>
    <row r="37" spans="1:8" x14ac:dyDescent="0.25">
      <c r="A37" s="608"/>
      <c r="B37" s="609"/>
      <c r="C37" s="609"/>
      <c r="D37" s="609"/>
      <c r="E37" s="609"/>
      <c r="F37" s="609"/>
      <c r="G37" s="609"/>
      <c r="H37" s="610"/>
    </row>
    <row r="38" spans="1:8" x14ac:dyDescent="0.25">
      <c r="A38" s="608"/>
      <c r="B38" s="609"/>
      <c r="C38" s="609"/>
      <c r="D38" s="609"/>
      <c r="E38" s="609"/>
      <c r="F38" s="609"/>
      <c r="G38" s="609"/>
      <c r="H38" s="610"/>
    </row>
    <row r="39" spans="1:8" ht="15.75" thickBot="1" x14ac:dyDescent="0.3">
      <c r="A39" s="611"/>
      <c r="B39" s="612"/>
      <c r="C39" s="612"/>
      <c r="D39" s="612"/>
      <c r="E39" s="612"/>
      <c r="F39" s="612"/>
      <c r="G39" s="612"/>
      <c r="H39" s="613"/>
    </row>
    <row r="41" spans="1:8" s="90" customFormat="1" x14ac:dyDescent="0.25">
      <c r="A41" s="371"/>
      <c r="B41" s="371"/>
      <c r="C41" s="371"/>
      <c r="D41" s="372"/>
      <c r="E41" s="373"/>
    </row>
    <row r="42" spans="1:8" s="90" customFormat="1" x14ac:dyDescent="0.25">
      <c r="A42" s="371"/>
      <c r="B42" s="371"/>
      <c r="C42" s="371"/>
      <c r="D42" s="372"/>
      <c r="E42" s="373"/>
    </row>
    <row r="43" spans="1:8" s="90" customFormat="1" x14ac:dyDescent="0.25">
      <c r="A43" s="371"/>
      <c r="B43" s="371"/>
      <c r="C43" s="371"/>
      <c r="D43" s="372"/>
      <c r="E43" s="373"/>
    </row>
    <row r="44" spans="1:8" s="90" customFormat="1" x14ac:dyDescent="0.25">
      <c r="A44" s="371"/>
      <c r="B44" s="371"/>
      <c r="C44" s="371"/>
      <c r="D44" s="372"/>
      <c r="E44" s="373"/>
    </row>
    <row r="45" spans="1:8" s="90" customFormat="1" x14ac:dyDescent="0.25"/>
  </sheetData>
  <mergeCells count="3">
    <mergeCell ref="A1:H1"/>
    <mergeCell ref="A2:H2"/>
    <mergeCell ref="A3:H3"/>
  </mergeCells>
  <printOptions horizontalCentered="1"/>
  <pageMargins left="0.19685039370078741" right="0.19685039370078741" top="0.74803149606299213" bottom="0.74803149606299213" header="0.31496062992125984" footer="0.31496062992125984"/>
  <pageSetup fitToHeight="0" orientation="portrait" r:id="rId1"/>
  <headerFooter>
    <oddHeader>&amp;L&amp;"Arial,Normal"&amp;8Estados e Información Contable
Notas de Desglose&amp;R&amp;"Arial,Normal"&amp;8 7.I.13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view="pageBreakPreview" zoomScale="60" zoomScaleNormal="100" workbookViewId="0">
      <selection activeCell="A41" sqref="A41:XFD41"/>
    </sheetView>
  </sheetViews>
  <sheetFormatPr baseColWidth="10" defaultRowHeight="15" x14ac:dyDescent="0.25"/>
  <cols>
    <col min="1" max="1" width="13.28515625" customWidth="1"/>
    <col min="3" max="3" width="14.42578125" customWidth="1"/>
    <col min="5" max="5" width="14.28515625" customWidth="1"/>
    <col min="7" max="7" width="13.85546875" customWidth="1"/>
  </cols>
  <sheetData>
    <row r="1" spans="1:8" x14ac:dyDescent="0.25">
      <c r="A1" s="1294" t="s">
        <v>566</v>
      </c>
      <c r="B1" s="1294"/>
      <c r="C1" s="1294"/>
      <c r="D1" s="1294"/>
      <c r="E1" s="1294"/>
      <c r="F1" s="1294"/>
      <c r="G1" s="1294"/>
      <c r="H1" s="1294"/>
    </row>
    <row r="2" spans="1:8" x14ac:dyDescent="0.25">
      <c r="A2" s="1294" t="s">
        <v>2425</v>
      </c>
      <c r="B2" s="1294"/>
      <c r="C2" s="1294"/>
      <c r="D2" s="1294"/>
      <c r="E2" s="1294"/>
      <c r="F2" s="1294"/>
      <c r="G2" s="1294"/>
      <c r="H2" s="1294"/>
    </row>
    <row r="3" spans="1:8" x14ac:dyDescent="0.25">
      <c r="A3" s="1294" t="s">
        <v>8966</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608"/>
      <c r="B6" s="609"/>
      <c r="C6" s="609"/>
      <c r="D6" s="609"/>
      <c r="E6" s="609"/>
      <c r="F6" s="609"/>
      <c r="G6" s="609"/>
      <c r="H6" s="610"/>
    </row>
    <row r="7" spans="1:8" x14ac:dyDescent="0.25">
      <c r="A7" s="608"/>
      <c r="B7" s="609"/>
      <c r="C7" s="609"/>
      <c r="D7" s="609"/>
      <c r="E7" s="609"/>
      <c r="F7" s="609"/>
      <c r="G7" s="609"/>
      <c r="H7" s="610"/>
    </row>
    <row r="8" spans="1:8" x14ac:dyDescent="0.25">
      <c r="A8" s="608"/>
      <c r="B8" s="609"/>
      <c r="C8" s="609"/>
      <c r="D8" s="609"/>
      <c r="E8" s="609"/>
      <c r="F8" s="609"/>
      <c r="G8" s="609"/>
      <c r="H8" s="610"/>
    </row>
    <row r="9" spans="1:8" x14ac:dyDescent="0.25">
      <c r="A9" s="608"/>
      <c r="B9" s="609"/>
      <c r="C9" s="609"/>
      <c r="D9" s="609"/>
      <c r="E9" s="609"/>
      <c r="F9" s="609"/>
      <c r="G9" s="609"/>
      <c r="H9" s="610"/>
    </row>
    <row r="10" spans="1:8" x14ac:dyDescent="0.25">
      <c r="A10" s="608"/>
      <c r="B10" s="609"/>
      <c r="C10" s="609"/>
      <c r="D10" s="609"/>
      <c r="E10" s="609"/>
      <c r="F10" s="609"/>
      <c r="G10" s="609"/>
      <c r="H10" s="610"/>
    </row>
    <row r="11" spans="1:8" x14ac:dyDescent="0.25">
      <c r="A11" s="608"/>
      <c r="B11" s="609"/>
      <c r="C11" s="609"/>
      <c r="D11" s="609"/>
      <c r="E11" s="609"/>
      <c r="F11" s="609"/>
      <c r="G11" s="609"/>
      <c r="H11" s="610"/>
    </row>
    <row r="12" spans="1:8" x14ac:dyDescent="0.25">
      <c r="A12" s="608"/>
      <c r="B12" s="609"/>
      <c r="C12" s="609"/>
      <c r="D12" s="609"/>
      <c r="E12" s="609"/>
      <c r="F12" s="609"/>
      <c r="G12" s="609"/>
      <c r="H12" s="610"/>
    </row>
    <row r="13" spans="1:8" x14ac:dyDescent="0.25">
      <c r="A13" s="608"/>
      <c r="B13" s="609"/>
      <c r="C13" s="609"/>
      <c r="D13" s="609"/>
      <c r="E13" s="609"/>
      <c r="F13" s="609"/>
      <c r="G13" s="609"/>
      <c r="H13" s="610"/>
    </row>
    <row r="14" spans="1:8" x14ac:dyDescent="0.25">
      <c r="A14" s="608"/>
      <c r="B14" s="609"/>
      <c r="C14" s="609"/>
      <c r="D14" s="609"/>
      <c r="E14" s="609"/>
      <c r="F14" s="609"/>
      <c r="G14" s="609"/>
      <c r="H14" s="610"/>
    </row>
    <row r="15" spans="1:8" x14ac:dyDescent="0.25">
      <c r="A15" s="608"/>
      <c r="B15" s="609"/>
      <c r="C15" s="609"/>
      <c r="D15" s="609"/>
      <c r="E15" s="609"/>
      <c r="F15" s="609"/>
      <c r="G15" s="609"/>
      <c r="H15" s="610"/>
    </row>
    <row r="16" spans="1:8" x14ac:dyDescent="0.25">
      <c r="A16" s="608"/>
      <c r="B16" s="609"/>
      <c r="C16" s="609"/>
      <c r="D16" s="609"/>
      <c r="E16" s="609"/>
      <c r="F16" s="609"/>
      <c r="G16" s="609"/>
      <c r="H16" s="610"/>
    </row>
    <row r="17" spans="1:8" x14ac:dyDescent="0.25">
      <c r="A17" s="608"/>
      <c r="B17" s="609"/>
      <c r="C17" s="609"/>
      <c r="D17" s="609"/>
      <c r="E17" s="609"/>
      <c r="F17" s="609"/>
      <c r="G17" s="609"/>
      <c r="H17" s="610"/>
    </row>
    <row r="18" spans="1:8" x14ac:dyDescent="0.25">
      <c r="A18" s="608"/>
      <c r="B18" s="609"/>
      <c r="C18" s="609"/>
      <c r="D18" s="609"/>
      <c r="E18" s="609"/>
      <c r="F18" s="609"/>
      <c r="G18" s="609"/>
      <c r="H18" s="610"/>
    </row>
    <row r="19" spans="1:8" x14ac:dyDescent="0.25">
      <c r="A19" s="608"/>
      <c r="B19" s="609"/>
      <c r="C19" s="609"/>
      <c r="D19" s="609"/>
      <c r="E19" s="609"/>
      <c r="F19" s="609"/>
      <c r="G19" s="609"/>
      <c r="H19" s="610"/>
    </row>
    <row r="20" spans="1:8" x14ac:dyDescent="0.25">
      <c r="A20" s="608"/>
      <c r="B20" s="609"/>
      <c r="C20" s="609"/>
      <c r="D20" s="609"/>
      <c r="E20" s="609"/>
      <c r="F20" s="609"/>
      <c r="G20" s="609"/>
      <c r="H20" s="610"/>
    </row>
    <row r="21" spans="1:8" x14ac:dyDescent="0.25">
      <c r="A21" s="608"/>
      <c r="B21" s="609"/>
      <c r="C21" s="609"/>
      <c r="D21" s="609"/>
      <c r="E21" s="609"/>
      <c r="F21" s="609"/>
      <c r="G21" s="609"/>
      <c r="H21" s="610"/>
    </row>
    <row r="22" spans="1:8" x14ac:dyDescent="0.25">
      <c r="A22" s="608"/>
      <c r="B22" s="609"/>
      <c r="C22" s="609"/>
      <c r="D22" s="609"/>
      <c r="E22" s="609"/>
      <c r="F22" s="609"/>
      <c r="G22" s="609"/>
      <c r="H22" s="610"/>
    </row>
    <row r="23" spans="1:8" x14ac:dyDescent="0.25">
      <c r="A23" s="608"/>
      <c r="B23" s="609"/>
      <c r="C23" s="609"/>
      <c r="D23" s="609"/>
      <c r="E23" s="609"/>
      <c r="F23" s="609"/>
      <c r="G23" s="609"/>
      <c r="H23" s="610"/>
    </row>
    <row r="24" spans="1:8" x14ac:dyDescent="0.25">
      <c r="A24" s="608"/>
      <c r="B24" s="609"/>
      <c r="C24" s="609"/>
      <c r="D24" s="609"/>
      <c r="E24" s="609"/>
      <c r="F24" s="609"/>
      <c r="G24" s="609"/>
      <c r="H24" s="610"/>
    </row>
    <row r="25" spans="1:8" x14ac:dyDescent="0.25">
      <c r="A25" s="608"/>
      <c r="B25" s="609"/>
      <c r="C25" s="609"/>
      <c r="D25" s="609"/>
      <c r="E25" s="609"/>
      <c r="F25" s="609"/>
      <c r="G25" s="609"/>
      <c r="H25" s="610"/>
    </row>
    <row r="26" spans="1:8" x14ac:dyDescent="0.25">
      <c r="A26" s="608"/>
      <c r="B26" s="609"/>
      <c r="C26" s="609"/>
      <c r="D26" s="609"/>
      <c r="E26" s="609"/>
      <c r="F26" s="609"/>
      <c r="G26" s="609"/>
      <c r="H26" s="610"/>
    </row>
    <row r="27" spans="1:8" x14ac:dyDescent="0.25">
      <c r="A27" s="608"/>
      <c r="B27" s="609"/>
      <c r="C27" s="609"/>
      <c r="D27" s="609"/>
      <c r="E27" s="609"/>
      <c r="F27" s="609"/>
      <c r="G27" s="609"/>
      <c r="H27" s="610"/>
    </row>
    <row r="28" spans="1:8" x14ac:dyDescent="0.25">
      <c r="A28" s="608"/>
      <c r="B28" s="609"/>
      <c r="C28" s="609"/>
      <c r="D28" s="609"/>
      <c r="E28" s="609"/>
      <c r="F28" s="609"/>
      <c r="G28" s="609"/>
      <c r="H28" s="610"/>
    </row>
    <row r="29" spans="1:8" x14ac:dyDescent="0.25">
      <c r="A29" s="608"/>
      <c r="B29" s="609"/>
      <c r="C29" s="609"/>
      <c r="D29" s="609"/>
      <c r="E29" s="609"/>
      <c r="F29" s="609"/>
      <c r="G29" s="609"/>
      <c r="H29" s="610"/>
    </row>
    <row r="30" spans="1:8" x14ac:dyDescent="0.25">
      <c r="A30" s="608"/>
      <c r="B30" s="609"/>
      <c r="C30" s="609"/>
      <c r="D30" s="609"/>
      <c r="E30" s="609"/>
      <c r="F30" s="609"/>
      <c r="G30" s="609"/>
      <c r="H30" s="610"/>
    </row>
    <row r="31" spans="1:8" x14ac:dyDescent="0.25">
      <c r="A31" s="608"/>
      <c r="B31" s="609"/>
      <c r="C31" s="609"/>
      <c r="D31" s="609"/>
      <c r="E31" s="609"/>
      <c r="F31" s="609"/>
      <c r="G31" s="609"/>
      <c r="H31" s="610"/>
    </row>
    <row r="32" spans="1:8" x14ac:dyDescent="0.25">
      <c r="A32" s="608"/>
      <c r="B32" s="609"/>
      <c r="C32" s="609"/>
      <c r="D32" s="609"/>
      <c r="E32" s="609"/>
      <c r="F32" s="609"/>
      <c r="G32" s="609"/>
      <c r="H32" s="610"/>
    </row>
    <row r="33" spans="1:8" x14ac:dyDescent="0.25">
      <c r="A33" s="608"/>
      <c r="B33" s="609"/>
      <c r="C33" s="609"/>
      <c r="D33" s="609"/>
      <c r="E33" s="609"/>
      <c r="F33" s="609"/>
      <c r="G33" s="609"/>
      <c r="H33" s="610"/>
    </row>
    <row r="34" spans="1:8" x14ac:dyDescent="0.25">
      <c r="A34" s="608"/>
      <c r="B34" s="609"/>
      <c r="C34" s="609"/>
      <c r="D34" s="609"/>
      <c r="E34" s="609"/>
      <c r="F34" s="609"/>
      <c r="G34" s="609"/>
      <c r="H34" s="610"/>
    </row>
    <row r="35" spans="1:8" x14ac:dyDescent="0.25">
      <c r="A35" s="608"/>
      <c r="B35" s="609"/>
      <c r="C35" s="609"/>
      <c r="D35" s="609"/>
      <c r="E35" s="609"/>
      <c r="F35" s="609"/>
      <c r="G35" s="609"/>
      <c r="H35" s="610"/>
    </row>
    <row r="36" spans="1:8" x14ac:dyDescent="0.25">
      <c r="A36" s="608"/>
      <c r="B36" s="609"/>
      <c r="C36" s="609"/>
      <c r="D36" s="609"/>
      <c r="E36" s="609"/>
      <c r="F36" s="609"/>
      <c r="G36" s="609"/>
      <c r="H36" s="610"/>
    </row>
    <row r="37" spans="1:8" x14ac:dyDescent="0.25">
      <c r="A37" s="608"/>
      <c r="B37" s="609"/>
      <c r="C37" s="609"/>
      <c r="D37" s="609"/>
      <c r="E37" s="609"/>
      <c r="F37" s="609"/>
      <c r="G37" s="609"/>
      <c r="H37" s="610"/>
    </row>
    <row r="38" spans="1:8" x14ac:dyDescent="0.25">
      <c r="A38" s="608"/>
      <c r="B38" s="609"/>
      <c r="C38" s="609"/>
      <c r="D38" s="609"/>
      <c r="E38" s="609"/>
      <c r="F38" s="609"/>
      <c r="G38" s="609"/>
      <c r="H38" s="610"/>
    </row>
    <row r="39" spans="1:8" ht="15.75" thickBot="1" x14ac:dyDescent="0.3">
      <c r="A39" s="611"/>
      <c r="B39" s="612"/>
      <c r="C39" s="612"/>
      <c r="D39" s="612"/>
      <c r="E39" s="612"/>
      <c r="F39" s="612"/>
      <c r="G39" s="612"/>
      <c r="H39" s="613"/>
    </row>
    <row r="41" spans="1:8" s="90" customFormat="1" x14ac:dyDescent="0.25">
      <c r="A41" s="371"/>
      <c r="B41" s="371"/>
      <c r="C41" s="371"/>
      <c r="D41" s="372"/>
      <c r="E41" s="373"/>
    </row>
    <row r="42" spans="1:8" s="90" customFormat="1" x14ac:dyDescent="0.25">
      <c r="A42" s="371"/>
      <c r="B42" s="371"/>
      <c r="C42" s="371"/>
      <c r="D42" s="372"/>
      <c r="E42" s="373"/>
    </row>
    <row r="43" spans="1:8" s="90" customFormat="1" x14ac:dyDescent="0.25">
      <c r="A43" s="371"/>
      <c r="B43" s="371"/>
      <c r="C43" s="371"/>
      <c r="D43" s="372"/>
      <c r="E43" s="373"/>
    </row>
    <row r="44" spans="1:8" s="90" customFormat="1" x14ac:dyDescent="0.25">
      <c r="A44" s="371"/>
      <c r="B44" s="371"/>
      <c r="C44" s="371"/>
      <c r="D44" s="372"/>
      <c r="E44" s="373"/>
    </row>
    <row r="45" spans="1:8" s="90" customFormat="1" x14ac:dyDescent="0.25"/>
  </sheetData>
  <mergeCells count="3">
    <mergeCell ref="A1:H1"/>
    <mergeCell ref="A2:H2"/>
    <mergeCell ref="A3:H3"/>
  </mergeCells>
  <printOptions horizontalCentered="1"/>
  <pageMargins left="0.19685039370078741" right="0.19685039370078741" top="0.74803149606299213" bottom="0.74803149606299213" header="0.31496062992125984" footer="0.31496062992125984"/>
  <pageSetup fitToHeight="0" orientation="portrait" r:id="rId1"/>
  <headerFooter>
    <oddHeader>&amp;L&amp;"Arial,Normal"&amp;8Estados e Información Contable
Notas de Desglose&amp;R&amp;"Arial,Normal"&amp;8 7.I.14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8"/>
  <sheetViews>
    <sheetView view="pageBreakPreview" topLeftCell="A40" zoomScale="60" zoomScaleNormal="100" workbookViewId="0">
      <selection activeCell="A86" sqref="A86:XFD86"/>
    </sheetView>
  </sheetViews>
  <sheetFormatPr baseColWidth="10" defaultRowHeight="15" x14ac:dyDescent="0.25"/>
  <cols>
    <col min="1" max="1" width="11.85546875" style="178" customWidth="1"/>
    <col min="2" max="2" width="68.28515625" style="179" customWidth="1"/>
    <col min="3" max="3" width="18.28515625" style="180" customWidth="1"/>
    <col min="5" max="5" width="17.85546875" customWidth="1"/>
  </cols>
  <sheetData>
    <row r="1" spans="1:9" s="35" customFormat="1" ht="14.25" x14ac:dyDescent="0.2">
      <c r="A1" s="167"/>
      <c r="B1" s="167"/>
      <c r="C1" s="168"/>
      <c r="D1" s="34"/>
      <c r="E1" s="34"/>
      <c r="F1" s="34"/>
      <c r="G1" s="34"/>
      <c r="H1" s="34"/>
    </row>
    <row r="2" spans="1:9" s="35" customFormat="1" x14ac:dyDescent="0.25">
      <c r="A2" s="1314" t="s">
        <v>732</v>
      </c>
      <c r="B2" s="1314"/>
      <c r="C2" s="1314"/>
      <c r="D2" s="36"/>
      <c r="E2" s="36"/>
      <c r="F2" s="36"/>
      <c r="G2" s="36"/>
      <c r="H2" s="36"/>
      <c r="I2" s="36"/>
    </row>
    <row r="3" spans="1:9" s="35" customFormat="1" x14ac:dyDescent="0.25">
      <c r="A3" s="1314" t="s">
        <v>481</v>
      </c>
      <c r="B3" s="1314"/>
      <c r="C3" s="1314"/>
      <c r="D3" s="36"/>
      <c r="E3" s="36"/>
      <c r="F3" s="36"/>
      <c r="G3" s="36"/>
      <c r="H3" s="36"/>
      <c r="I3" s="36"/>
    </row>
    <row r="4" spans="1:9" s="35" customFormat="1" x14ac:dyDescent="0.25">
      <c r="A4" s="1314" t="s">
        <v>10361</v>
      </c>
      <c r="B4" s="1314"/>
      <c r="C4" s="1314"/>
      <c r="D4" s="36"/>
      <c r="E4" s="36"/>
      <c r="F4" s="36"/>
      <c r="G4" s="36"/>
      <c r="H4" s="36"/>
      <c r="I4" s="36"/>
    </row>
    <row r="5" spans="1:9" s="35" customFormat="1" ht="14.25" x14ac:dyDescent="0.2">
      <c r="A5" s="167"/>
      <c r="B5" s="167"/>
      <c r="C5" s="168"/>
    </row>
    <row r="7" spans="1:9" x14ac:dyDescent="0.25">
      <c r="A7" s="169" t="s">
        <v>453</v>
      </c>
      <c r="B7" s="170" t="s">
        <v>201</v>
      </c>
      <c r="C7" s="171" t="s">
        <v>541</v>
      </c>
    </row>
    <row r="8" spans="1:9" x14ac:dyDescent="0.25">
      <c r="A8" s="172">
        <v>1</v>
      </c>
      <c r="B8" s="181" t="s">
        <v>454</v>
      </c>
      <c r="C8" s="182">
        <f>C9+C11+C14+C16+C19</f>
        <v>84649950.230000004</v>
      </c>
    </row>
    <row r="9" spans="1:9" x14ac:dyDescent="0.25">
      <c r="A9" s="263">
        <v>1.1000000000000001</v>
      </c>
      <c r="B9" s="173" t="s">
        <v>1211</v>
      </c>
      <c r="C9" s="174">
        <f>SUM(C10)</f>
        <v>62327</v>
      </c>
    </row>
    <row r="10" spans="1:9" x14ac:dyDescent="0.25">
      <c r="A10" s="263" t="s">
        <v>5</v>
      </c>
      <c r="B10" s="173" t="s">
        <v>1212</v>
      </c>
      <c r="C10" s="174">
        <v>62327</v>
      </c>
    </row>
    <row r="11" spans="1:9" x14ac:dyDescent="0.25">
      <c r="A11" s="263">
        <v>1.2</v>
      </c>
      <c r="B11" s="173" t="s">
        <v>455</v>
      </c>
      <c r="C11" s="174">
        <f>SUM(C12:C13)</f>
        <v>38503274.079999998</v>
      </c>
    </row>
    <row r="12" spans="1:9" x14ac:dyDescent="0.25">
      <c r="A12" s="263" t="s">
        <v>33</v>
      </c>
      <c r="B12" s="173" t="s">
        <v>1213</v>
      </c>
      <c r="C12" s="174">
        <v>38044101.759999998</v>
      </c>
    </row>
    <row r="13" spans="1:9" x14ac:dyDescent="0.25">
      <c r="A13" s="263" t="s">
        <v>37</v>
      </c>
      <c r="B13" s="173" t="s">
        <v>1214</v>
      </c>
      <c r="C13" s="174">
        <v>459172.32</v>
      </c>
    </row>
    <row r="14" spans="1:9" x14ac:dyDescent="0.25">
      <c r="A14" s="263">
        <v>1.3</v>
      </c>
      <c r="B14" s="173" t="s">
        <v>1252</v>
      </c>
      <c r="C14" s="174">
        <f>SUM(C15)</f>
        <v>29677072</v>
      </c>
    </row>
    <row r="15" spans="1:9" x14ac:dyDescent="0.25">
      <c r="A15" s="263" t="s">
        <v>1215</v>
      </c>
      <c r="B15" s="173" t="s">
        <v>1216</v>
      </c>
      <c r="C15" s="174">
        <v>29677072</v>
      </c>
    </row>
    <row r="16" spans="1:9" x14ac:dyDescent="0.25">
      <c r="A16" s="263">
        <v>1.7</v>
      </c>
      <c r="B16" s="173" t="s">
        <v>456</v>
      </c>
      <c r="C16" s="174">
        <f>SUM(C17:C18)</f>
        <v>3232596.9000000004</v>
      </c>
    </row>
    <row r="17" spans="1:3" x14ac:dyDescent="0.25">
      <c r="A17" s="263" t="s">
        <v>457</v>
      </c>
      <c r="B17" s="173" t="s">
        <v>1218</v>
      </c>
      <c r="C17" s="174">
        <v>10984198.41</v>
      </c>
    </row>
    <row r="18" spans="1:3" x14ac:dyDescent="0.25">
      <c r="A18" s="263" t="s">
        <v>1217</v>
      </c>
      <c r="B18" s="173" t="s">
        <v>1219</v>
      </c>
      <c r="C18" s="174">
        <v>-7751601.5099999998</v>
      </c>
    </row>
    <row r="19" spans="1:3" x14ac:dyDescent="0.25">
      <c r="A19" s="263">
        <v>1.9</v>
      </c>
      <c r="B19" s="259" t="s">
        <v>1251</v>
      </c>
      <c r="C19" s="174">
        <f>SUM(C20)</f>
        <v>13174680.25</v>
      </c>
    </row>
    <row r="20" spans="1:3" x14ac:dyDescent="0.25">
      <c r="A20" s="263" t="s">
        <v>1249</v>
      </c>
      <c r="B20" s="173" t="s">
        <v>1250</v>
      </c>
      <c r="C20" s="174">
        <v>13174680.25</v>
      </c>
    </row>
    <row r="21" spans="1:3" x14ac:dyDescent="0.25">
      <c r="A21" s="263"/>
      <c r="B21" s="173"/>
      <c r="C21" s="174"/>
    </row>
    <row r="22" spans="1:3" x14ac:dyDescent="0.25">
      <c r="A22" s="263"/>
      <c r="B22" s="173"/>
      <c r="C22" s="174"/>
    </row>
    <row r="23" spans="1:3" x14ac:dyDescent="0.25">
      <c r="A23" s="172">
        <v>4</v>
      </c>
      <c r="B23" s="181" t="s">
        <v>460</v>
      </c>
      <c r="C23" s="182">
        <f>C24+C27+C40</f>
        <v>40684787.939999998</v>
      </c>
    </row>
    <row r="24" spans="1:3" ht="24" x14ac:dyDescent="0.25">
      <c r="A24" s="263">
        <v>4.0999999999999996</v>
      </c>
      <c r="B24" s="173" t="s">
        <v>461</v>
      </c>
      <c r="C24" s="174">
        <f>SUM(C25:C26)</f>
        <v>4833792.34</v>
      </c>
    </row>
    <row r="25" spans="1:3" x14ac:dyDescent="0.25">
      <c r="A25" s="263" t="s">
        <v>106</v>
      </c>
      <c r="B25" s="173" t="s">
        <v>1220</v>
      </c>
      <c r="C25" s="174">
        <v>2328500.3400000003</v>
      </c>
    </row>
    <row r="26" spans="1:3" x14ac:dyDescent="0.25">
      <c r="A26" s="263" t="s">
        <v>108</v>
      </c>
      <c r="B26" s="173" t="s">
        <v>1221</v>
      </c>
      <c r="C26" s="174">
        <v>2505292</v>
      </c>
    </row>
    <row r="27" spans="1:3" x14ac:dyDescent="0.25">
      <c r="A27" s="263">
        <v>4.3</v>
      </c>
      <c r="B27" s="173" t="s">
        <v>462</v>
      </c>
      <c r="C27" s="174">
        <f>SUM(C28:C39)</f>
        <v>35795329.659999996</v>
      </c>
    </row>
    <row r="28" spans="1:3" x14ac:dyDescent="0.25">
      <c r="A28" s="263" t="s">
        <v>124</v>
      </c>
      <c r="B28" s="173" t="s">
        <v>1230</v>
      </c>
      <c r="C28" s="174">
        <v>757726.28</v>
      </c>
    </row>
    <row r="29" spans="1:3" x14ac:dyDescent="0.25">
      <c r="A29" s="263" t="s">
        <v>126</v>
      </c>
      <c r="B29" s="173" t="s">
        <v>1231</v>
      </c>
      <c r="C29" s="174">
        <v>8582725</v>
      </c>
    </row>
    <row r="30" spans="1:3" x14ac:dyDescent="0.25">
      <c r="A30" s="263" t="s">
        <v>129</v>
      </c>
      <c r="B30" s="173" t="s">
        <v>1232</v>
      </c>
      <c r="C30" s="174">
        <v>606528.93999999994</v>
      </c>
    </row>
    <row r="31" spans="1:3" x14ac:dyDescent="0.25">
      <c r="A31" s="263" t="s">
        <v>1222</v>
      </c>
      <c r="B31" s="173" t="s">
        <v>1233</v>
      </c>
      <c r="C31" s="174">
        <v>782205.3</v>
      </c>
    </row>
    <row r="32" spans="1:3" x14ac:dyDescent="0.25">
      <c r="A32" s="263" t="s">
        <v>1223</v>
      </c>
      <c r="B32" s="173" t="s">
        <v>1234</v>
      </c>
      <c r="C32" s="174">
        <v>156599.20000000001</v>
      </c>
    </row>
    <row r="33" spans="1:3" x14ac:dyDescent="0.25">
      <c r="A33" s="263" t="s">
        <v>1224</v>
      </c>
      <c r="B33" s="173" t="s">
        <v>1235</v>
      </c>
      <c r="C33" s="174">
        <v>3573780</v>
      </c>
    </row>
    <row r="34" spans="1:3" x14ac:dyDescent="0.25">
      <c r="A34" s="263" t="s">
        <v>1225</v>
      </c>
      <c r="B34" s="173" t="s">
        <v>1236</v>
      </c>
      <c r="C34" s="174">
        <v>568205.4</v>
      </c>
    </row>
    <row r="35" spans="1:3" x14ac:dyDescent="0.25">
      <c r="A35" s="263" t="s">
        <v>1226</v>
      </c>
      <c r="B35" s="173" t="s">
        <v>1237</v>
      </c>
      <c r="C35" s="174">
        <v>6866554.9400000004</v>
      </c>
    </row>
    <row r="36" spans="1:3" x14ac:dyDescent="0.25">
      <c r="A36" s="263" t="s">
        <v>1227</v>
      </c>
      <c r="B36" s="173" t="s">
        <v>1238</v>
      </c>
      <c r="C36" s="174">
        <v>893558.04</v>
      </c>
    </row>
    <row r="37" spans="1:3" x14ac:dyDescent="0.25">
      <c r="A37" s="263" t="s">
        <v>1228</v>
      </c>
      <c r="B37" s="173" t="s">
        <v>8217</v>
      </c>
      <c r="C37" s="174">
        <v>2043689.89</v>
      </c>
    </row>
    <row r="38" spans="1:3" x14ac:dyDescent="0.25">
      <c r="A38" s="263" t="s">
        <v>1229</v>
      </c>
      <c r="B38" s="173" t="s">
        <v>8216</v>
      </c>
      <c r="C38" s="174">
        <v>9129656.2699999996</v>
      </c>
    </row>
    <row r="39" spans="1:3" x14ac:dyDescent="0.25">
      <c r="A39" s="263" t="s">
        <v>10362</v>
      </c>
      <c r="B39" s="173" t="s">
        <v>10363</v>
      </c>
      <c r="C39" s="174">
        <v>1834100.4</v>
      </c>
    </row>
    <row r="40" spans="1:3" x14ac:dyDescent="0.25">
      <c r="A40" s="263">
        <v>4.5</v>
      </c>
      <c r="B40" s="173" t="s">
        <v>456</v>
      </c>
      <c r="C40" s="174">
        <f>SUM(C41)</f>
        <v>55665.94</v>
      </c>
    </row>
    <row r="41" spans="1:3" x14ac:dyDescent="0.25">
      <c r="A41" s="263" t="s">
        <v>1239</v>
      </c>
      <c r="B41" s="173" t="s">
        <v>1240</v>
      </c>
      <c r="C41" s="174">
        <v>55665.94</v>
      </c>
    </row>
    <row r="42" spans="1:3" x14ac:dyDescent="0.25">
      <c r="A42" s="263"/>
      <c r="B42" s="173"/>
      <c r="C42" s="174"/>
    </row>
    <row r="43" spans="1:3" x14ac:dyDescent="0.25">
      <c r="A43" s="172">
        <v>5</v>
      </c>
      <c r="B43" s="181" t="s">
        <v>463</v>
      </c>
      <c r="C43" s="182">
        <f>C44+C47</f>
        <v>10596505.640000001</v>
      </c>
    </row>
    <row r="44" spans="1:3" x14ac:dyDescent="0.25">
      <c r="A44" s="263">
        <v>5.0999999999999996</v>
      </c>
      <c r="B44" s="173" t="s">
        <v>464</v>
      </c>
      <c r="C44" s="174">
        <f>SUM(C45:C46)</f>
        <v>3182445.13</v>
      </c>
    </row>
    <row r="45" spans="1:3" x14ac:dyDescent="0.25">
      <c r="A45" s="263" t="s">
        <v>134</v>
      </c>
      <c r="B45" s="173" t="s">
        <v>1253</v>
      </c>
      <c r="C45" s="174">
        <v>1918097</v>
      </c>
    </row>
    <row r="46" spans="1:3" x14ac:dyDescent="0.25">
      <c r="A46" s="263" t="s">
        <v>136</v>
      </c>
      <c r="B46" s="173" t="s">
        <v>1266</v>
      </c>
      <c r="C46" s="174">
        <v>1264348.1299999999</v>
      </c>
    </row>
    <row r="47" spans="1:3" x14ac:dyDescent="0.25">
      <c r="A47" s="263">
        <v>5.2</v>
      </c>
      <c r="B47" s="173" t="s">
        <v>465</v>
      </c>
      <c r="C47" s="174">
        <f>C48</f>
        <v>7414060.5099999998</v>
      </c>
    </row>
    <row r="48" spans="1:3" x14ac:dyDescent="0.25">
      <c r="A48" s="263" t="s">
        <v>141</v>
      </c>
      <c r="B48" s="173" t="s">
        <v>1267</v>
      </c>
      <c r="C48" s="174">
        <v>7414060.5099999998</v>
      </c>
    </row>
    <row r="49" spans="1:5" x14ac:dyDescent="0.25">
      <c r="A49" s="263"/>
      <c r="B49" s="173"/>
      <c r="C49" s="174"/>
    </row>
    <row r="50" spans="1:5" x14ac:dyDescent="0.25">
      <c r="A50" s="172">
        <v>6</v>
      </c>
      <c r="B50" s="181" t="s">
        <v>466</v>
      </c>
      <c r="C50" s="182">
        <f>C51</f>
        <v>10278752.630000001</v>
      </c>
    </row>
    <row r="51" spans="1:5" x14ac:dyDescent="0.25">
      <c r="A51" s="263">
        <v>6.1</v>
      </c>
      <c r="B51" s="173" t="s">
        <v>467</v>
      </c>
      <c r="C51" s="174">
        <f>SUM(C52:C56)</f>
        <v>10278752.630000001</v>
      </c>
    </row>
    <row r="52" spans="1:5" x14ac:dyDescent="0.25">
      <c r="A52" s="263" t="s">
        <v>1241</v>
      </c>
      <c r="B52" s="173" t="s">
        <v>1245</v>
      </c>
      <c r="C52" s="174">
        <v>748129</v>
      </c>
    </row>
    <row r="53" spans="1:5" x14ac:dyDescent="0.25">
      <c r="A53" s="263" t="s">
        <v>1242</v>
      </c>
      <c r="B53" s="173" t="s">
        <v>1246</v>
      </c>
      <c r="C53" s="174">
        <v>9032436.0500000007</v>
      </c>
    </row>
    <row r="54" spans="1:5" x14ac:dyDescent="0.25">
      <c r="A54" s="263" t="s">
        <v>1243</v>
      </c>
      <c r="B54" s="173" t="s">
        <v>1247</v>
      </c>
      <c r="C54" s="174">
        <v>44462.26</v>
      </c>
    </row>
    <row r="55" spans="1:5" x14ac:dyDescent="0.25">
      <c r="A55" s="263" t="s">
        <v>1244</v>
      </c>
      <c r="B55" s="173" t="s">
        <v>1248</v>
      </c>
      <c r="C55" s="174">
        <v>16545.32</v>
      </c>
    </row>
    <row r="56" spans="1:5" x14ac:dyDescent="0.25">
      <c r="A56" s="263" t="s">
        <v>2628</v>
      </c>
      <c r="B56" s="173" t="s">
        <v>2629</v>
      </c>
      <c r="C56" s="174">
        <v>437180</v>
      </c>
    </row>
    <row r="57" spans="1:5" x14ac:dyDescent="0.25">
      <c r="A57" s="263"/>
      <c r="B57" s="173"/>
      <c r="C57" s="174"/>
    </row>
    <row r="58" spans="1:5" x14ac:dyDescent="0.25">
      <c r="A58" s="172">
        <v>8</v>
      </c>
      <c r="B58" s="181" t="s">
        <v>468</v>
      </c>
      <c r="C58" s="182">
        <f>C59+C66+C69</f>
        <v>932597435.62</v>
      </c>
      <c r="E58" s="166"/>
    </row>
    <row r="59" spans="1:5" x14ac:dyDescent="0.25">
      <c r="A59" s="263">
        <v>8.1</v>
      </c>
      <c r="B59" s="173" t="s">
        <v>469</v>
      </c>
      <c r="C59" s="174">
        <f>SUM(C60:C65)</f>
        <v>496513744.37</v>
      </c>
    </row>
    <row r="60" spans="1:5" x14ac:dyDescent="0.25">
      <c r="A60" s="263" t="s">
        <v>80</v>
      </c>
      <c r="B60" s="173" t="s">
        <v>1254</v>
      </c>
      <c r="C60" s="174">
        <v>422302103.94</v>
      </c>
    </row>
    <row r="61" spans="1:5" x14ac:dyDescent="0.25">
      <c r="A61" s="263" t="s">
        <v>84</v>
      </c>
      <c r="B61" s="173" t="s">
        <v>1257</v>
      </c>
      <c r="C61" s="174">
        <v>759400.28</v>
      </c>
    </row>
    <row r="62" spans="1:5" x14ac:dyDescent="0.25">
      <c r="A62" s="263" t="s">
        <v>88</v>
      </c>
      <c r="B62" s="173" t="s">
        <v>1258</v>
      </c>
      <c r="C62" s="174">
        <v>4357962.04</v>
      </c>
    </row>
    <row r="63" spans="1:5" x14ac:dyDescent="0.25">
      <c r="A63" s="263" t="s">
        <v>92</v>
      </c>
      <c r="B63" s="173" t="s">
        <v>1259</v>
      </c>
      <c r="C63" s="174">
        <v>14473762.109999999</v>
      </c>
    </row>
    <row r="64" spans="1:5" x14ac:dyDescent="0.25">
      <c r="A64" s="263" t="s">
        <v>1255</v>
      </c>
      <c r="B64" s="173" t="s">
        <v>1260</v>
      </c>
      <c r="C64" s="174">
        <v>0</v>
      </c>
    </row>
    <row r="65" spans="1:5" x14ac:dyDescent="0.25">
      <c r="A65" s="263" t="s">
        <v>1256</v>
      </c>
      <c r="B65" s="173" t="s">
        <v>1261</v>
      </c>
      <c r="C65" s="174">
        <v>54620516</v>
      </c>
    </row>
    <row r="66" spans="1:5" x14ac:dyDescent="0.25">
      <c r="A66" s="263">
        <v>8.1999999999999993</v>
      </c>
      <c r="B66" s="173" t="s">
        <v>649</v>
      </c>
      <c r="C66" s="174">
        <f>C67+C68</f>
        <v>253505327</v>
      </c>
    </row>
    <row r="67" spans="1:5" x14ac:dyDescent="0.25">
      <c r="A67" s="263" t="s">
        <v>82</v>
      </c>
      <c r="B67" s="173" t="s">
        <v>1173</v>
      </c>
      <c r="C67" s="174">
        <v>37244919</v>
      </c>
    </row>
    <row r="68" spans="1:5" x14ac:dyDescent="0.25">
      <c r="A68" s="263" t="s">
        <v>86</v>
      </c>
      <c r="B68" s="173" t="s">
        <v>1172</v>
      </c>
      <c r="C68" s="174">
        <v>216260408</v>
      </c>
    </row>
    <row r="69" spans="1:5" x14ac:dyDescent="0.25">
      <c r="A69" s="263">
        <v>8.3000000000000007</v>
      </c>
      <c r="B69" s="173" t="s">
        <v>470</v>
      </c>
      <c r="C69" s="174">
        <f>SUM(C70:C71)</f>
        <v>182578364.25</v>
      </c>
    </row>
    <row r="70" spans="1:5" x14ac:dyDescent="0.25">
      <c r="A70" s="263" t="s">
        <v>1262</v>
      </c>
      <c r="B70" s="173" t="s">
        <v>1264</v>
      </c>
      <c r="C70" s="174">
        <v>182578364.25</v>
      </c>
    </row>
    <row r="71" spans="1:5" x14ac:dyDescent="0.25">
      <c r="A71" s="263" t="s">
        <v>1263</v>
      </c>
      <c r="B71" s="173" t="s">
        <v>1265</v>
      </c>
      <c r="C71" s="174">
        <v>0</v>
      </c>
      <c r="E71" s="166"/>
    </row>
    <row r="72" spans="1:5" hidden="1" x14ac:dyDescent="0.25">
      <c r="A72" s="172">
        <v>9</v>
      </c>
      <c r="B72" s="173" t="s">
        <v>471</v>
      </c>
      <c r="C72" s="174"/>
    </row>
    <row r="73" spans="1:5" hidden="1" x14ac:dyDescent="0.25">
      <c r="A73" s="175">
        <v>9.1</v>
      </c>
      <c r="B73" s="173" t="s">
        <v>472</v>
      </c>
      <c r="C73" s="174"/>
    </row>
    <row r="74" spans="1:5" hidden="1" x14ac:dyDescent="0.25">
      <c r="A74" s="175">
        <v>9.1999999999999993</v>
      </c>
      <c r="B74" s="173" t="s">
        <v>473</v>
      </c>
      <c r="C74" s="174"/>
    </row>
    <row r="75" spans="1:5" hidden="1" x14ac:dyDescent="0.25">
      <c r="A75" s="175">
        <v>9.3000000000000007</v>
      </c>
      <c r="B75" s="173" t="s">
        <v>474</v>
      </c>
      <c r="C75" s="174"/>
    </row>
    <row r="76" spans="1:5" hidden="1" x14ac:dyDescent="0.25">
      <c r="A76" s="175">
        <v>9.4</v>
      </c>
      <c r="B76" s="173" t="s">
        <v>475</v>
      </c>
      <c r="C76" s="174"/>
    </row>
    <row r="77" spans="1:5" hidden="1" x14ac:dyDescent="0.25">
      <c r="A77" s="175">
        <v>9.5</v>
      </c>
      <c r="B77" s="173" t="s">
        <v>476</v>
      </c>
      <c r="C77" s="174"/>
    </row>
    <row r="78" spans="1:5" hidden="1" x14ac:dyDescent="0.25">
      <c r="A78" s="175">
        <v>9.6</v>
      </c>
      <c r="B78" s="173" t="s">
        <v>477</v>
      </c>
      <c r="C78" s="174"/>
    </row>
    <row r="79" spans="1:5" hidden="1" x14ac:dyDescent="0.25">
      <c r="A79" s="172">
        <v>0</v>
      </c>
      <c r="B79" s="173" t="s">
        <v>478</v>
      </c>
      <c r="C79" s="174"/>
    </row>
    <row r="80" spans="1:5" hidden="1" x14ac:dyDescent="0.25">
      <c r="A80" s="175">
        <v>0.1</v>
      </c>
      <c r="B80" s="173" t="s">
        <v>479</v>
      </c>
      <c r="C80" s="174"/>
    </row>
    <row r="81" spans="1:5" hidden="1" x14ac:dyDescent="0.25">
      <c r="A81" s="175">
        <v>0.2</v>
      </c>
      <c r="B81" s="173" t="s">
        <v>480</v>
      </c>
      <c r="C81" s="174"/>
    </row>
    <row r="82" spans="1:5" x14ac:dyDescent="0.25">
      <c r="A82" s="175"/>
      <c r="B82" s="176" t="s">
        <v>188</v>
      </c>
      <c r="C82" s="177">
        <f>C8+C23+C43+C50+C58</f>
        <v>1078807432.0599999</v>
      </c>
    </row>
    <row r="93" spans="1:5" s="90" customFormat="1" x14ac:dyDescent="0.25">
      <c r="A93" s="371"/>
      <c r="B93" s="371"/>
      <c r="C93" s="371"/>
      <c r="D93" s="372"/>
      <c r="E93" s="373"/>
    </row>
    <row r="94" spans="1:5" s="90" customFormat="1" x14ac:dyDescent="0.25">
      <c r="A94" s="371"/>
      <c r="B94" s="371"/>
      <c r="C94" s="371"/>
      <c r="D94" s="372"/>
      <c r="E94" s="373"/>
    </row>
    <row r="95" spans="1:5" s="90" customFormat="1" x14ac:dyDescent="0.25">
      <c r="A95" s="371"/>
      <c r="B95" s="371"/>
      <c r="C95" s="371"/>
      <c r="D95" s="372"/>
      <c r="E95" s="373"/>
    </row>
    <row r="96" spans="1:5" s="90" customFormat="1" x14ac:dyDescent="0.25">
      <c r="A96" s="371"/>
      <c r="B96" s="371"/>
      <c r="C96" s="371"/>
      <c r="D96" s="372"/>
      <c r="E96" s="373"/>
    </row>
    <row r="97" spans="1:3" s="90" customFormat="1" x14ac:dyDescent="0.25"/>
    <row r="98" spans="1:3" x14ac:dyDescent="0.25">
      <c r="A98"/>
      <c r="B98"/>
      <c r="C98"/>
    </row>
  </sheetData>
  <mergeCells count="3">
    <mergeCell ref="A2:C2"/>
    <mergeCell ref="A3:C3"/>
    <mergeCell ref="A4:C4"/>
  </mergeCells>
  <printOptions horizontalCentered="1"/>
  <pageMargins left="0.19685039370078741" right="0.19685039370078741" top="0.47244094488188981" bottom="0.74803149606299213" header="0.31496062992125984" footer="0.31496062992125984"/>
  <pageSetup fitToHeight="0" orientation="portrait" verticalDpi="300" r:id="rId1"/>
  <headerFooter>
    <oddHeader>&amp;R&amp;"Arial,Normal"&amp;8 07.II.1</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8"/>
  <sheetViews>
    <sheetView view="pageBreakPreview" zoomScale="60" zoomScaleNormal="100" workbookViewId="0">
      <selection sqref="A1:D1"/>
    </sheetView>
  </sheetViews>
  <sheetFormatPr baseColWidth="10" defaultRowHeight="15" x14ac:dyDescent="0.25"/>
  <cols>
    <col min="1" max="1" width="16.28515625" style="178" customWidth="1"/>
    <col min="2" max="2" width="38.85546875" style="179" customWidth="1"/>
    <col min="3" max="3" width="35.140625" style="179" customWidth="1"/>
    <col min="4" max="4" width="16.140625" style="180" customWidth="1"/>
    <col min="5" max="5" width="12.5703125" style="425" bestFit="1" customWidth="1"/>
    <col min="6" max="16384" width="11.42578125" style="425"/>
  </cols>
  <sheetData>
    <row r="1" spans="1:6" s="423" customFormat="1" x14ac:dyDescent="0.25">
      <c r="A1" s="1314" t="s">
        <v>732</v>
      </c>
      <c r="B1" s="1314"/>
      <c r="C1" s="1314"/>
      <c r="D1" s="1314"/>
      <c r="E1" s="424"/>
      <c r="F1" s="424"/>
    </row>
    <row r="2" spans="1:6" s="423" customFormat="1" x14ac:dyDescent="0.25">
      <c r="A2" s="1314" t="s">
        <v>2426</v>
      </c>
      <c r="B2" s="1314"/>
      <c r="C2" s="1314"/>
      <c r="D2" s="1314"/>
      <c r="E2" s="424"/>
      <c r="F2" s="424"/>
    </row>
    <row r="3" spans="1:6" s="423" customFormat="1" x14ac:dyDescent="0.25">
      <c r="A3" s="1314" t="s">
        <v>10364</v>
      </c>
      <c r="B3" s="1314"/>
      <c r="C3" s="1314"/>
      <c r="D3" s="1314"/>
      <c r="E3" s="424"/>
      <c r="F3" s="424"/>
    </row>
    <row r="4" spans="1:6" s="423" customFormat="1" x14ac:dyDescent="0.25">
      <c r="A4" s="279"/>
      <c r="B4" s="279"/>
      <c r="C4" s="279"/>
      <c r="D4" s="279"/>
      <c r="E4" s="424"/>
      <c r="F4" s="424"/>
    </row>
    <row r="5" spans="1:6" s="423" customFormat="1" x14ac:dyDescent="0.25">
      <c r="A5" s="717"/>
      <c r="B5" s="717"/>
      <c r="C5" s="717"/>
      <c r="D5" s="717"/>
      <c r="E5" s="424"/>
      <c r="F5" s="424"/>
    </row>
    <row r="6" spans="1:6" s="423" customFormat="1" x14ac:dyDescent="0.25">
      <c r="A6" s="717"/>
      <c r="B6" s="717"/>
      <c r="C6" s="717"/>
      <c r="D6" s="717"/>
      <c r="E6" s="424"/>
      <c r="F6" s="424"/>
    </row>
    <row r="7" spans="1:6" x14ac:dyDescent="0.25">
      <c r="A7" s="169" t="s">
        <v>436</v>
      </c>
      <c r="B7" s="170" t="s">
        <v>201</v>
      </c>
      <c r="C7" s="170" t="s">
        <v>1170</v>
      </c>
      <c r="D7" s="171" t="s">
        <v>541</v>
      </c>
    </row>
    <row r="8" spans="1:6" s="426" customFormat="1" ht="13.5" customHeight="1" x14ac:dyDescent="0.25">
      <c r="A8" s="261">
        <v>4319</v>
      </c>
      <c r="B8" s="173" t="s">
        <v>1171</v>
      </c>
      <c r="C8" s="173" t="s">
        <v>10379</v>
      </c>
      <c r="D8" s="260">
        <v>-28.34</v>
      </c>
    </row>
    <row r="9" spans="1:6" s="426" customFormat="1" ht="13.5" customHeight="1" x14ac:dyDescent="0.25">
      <c r="A9" s="261">
        <v>4319</v>
      </c>
      <c r="B9" s="173" t="s">
        <v>1171</v>
      </c>
      <c r="C9" s="173" t="s">
        <v>8218</v>
      </c>
      <c r="D9" s="260">
        <v>-484.28</v>
      </c>
    </row>
    <row r="10" spans="1:6" s="426" customFormat="1" ht="13.5" customHeight="1" x14ac:dyDescent="0.25">
      <c r="A10" s="261">
        <v>4319</v>
      </c>
      <c r="B10" s="173" t="s">
        <v>1171</v>
      </c>
      <c r="C10" s="173" t="s">
        <v>8219</v>
      </c>
      <c r="D10" s="260">
        <v>-92.39</v>
      </c>
    </row>
    <row r="11" spans="1:6" s="426" customFormat="1" ht="13.5" customHeight="1" x14ac:dyDescent="0.25">
      <c r="A11" s="261">
        <v>4319</v>
      </c>
      <c r="B11" s="173" t="s">
        <v>1171</v>
      </c>
      <c r="C11" s="173" t="s">
        <v>8220</v>
      </c>
      <c r="D11" s="260">
        <v>10682.92</v>
      </c>
    </row>
    <row r="12" spans="1:6" s="426" customFormat="1" ht="13.5" customHeight="1" x14ac:dyDescent="0.25">
      <c r="A12" s="261">
        <v>4319</v>
      </c>
      <c r="B12" s="173" t="s">
        <v>1171</v>
      </c>
      <c r="C12" s="173" t="s">
        <v>8221</v>
      </c>
      <c r="D12" s="260">
        <v>269554.2</v>
      </c>
    </row>
    <row r="13" spans="1:6" s="426" customFormat="1" ht="13.5" customHeight="1" x14ac:dyDescent="0.25">
      <c r="A13" s="261">
        <v>4319</v>
      </c>
      <c r="B13" s="173" t="s">
        <v>1171</v>
      </c>
      <c r="C13" s="173" t="s">
        <v>7590</v>
      </c>
      <c r="D13" s="260">
        <v>1045.48</v>
      </c>
    </row>
    <row r="14" spans="1:6" s="426" customFormat="1" ht="13.5" customHeight="1" x14ac:dyDescent="0.25">
      <c r="A14" s="261">
        <v>4319</v>
      </c>
      <c r="B14" s="173" t="s">
        <v>1171</v>
      </c>
      <c r="C14" s="173" t="s">
        <v>7592</v>
      </c>
      <c r="D14" s="260">
        <v>-0.02</v>
      </c>
    </row>
    <row r="15" spans="1:6" s="426" customFormat="1" ht="13.5" customHeight="1" x14ac:dyDescent="0.25">
      <c r="A15" s="261">
        <v>4319</v>
      </c>
      <c r="B15" s="173" t="s">
        <v>1171</v>
      </c>
      <c r="C15" s="173" t="s">
        <v>10365</v>
      </c>
      <c r="D15" s="260">
        <v>91148.57</v>
      </c>
    </row>
    <row r="16" spans="1:6" s="426" customFormat="1" ht="13.5" customHeight="1" x14ac:dyDescent="0.25">
      <c r="A16" s="261">
        <v>4319</v>
      </c>
      <c r="B16" s="173" t="s">
        <v>1171</v>
      </c>
      <c r="C16" s="173" t="s">
        <v>8222</v>
      </c>
      <c r="D16" s="260">
        <v>249497.21</v>
      </c>
    </row>
    <row r="17" spans="1:4" s="426" customFormat="1" ht="13.5" customHeight="1" x14ac:dyDescent="0.25">
      <c r="A17" s="261">
        <v>4319</v>
      </c>
      <c r="B17" s="173" t="s">
        <v>1171</v>
      </c>
      <c r="C17" s="173" t="s">
        <v>8223</v>
      </c>
      <c r="D17" s="260">
        <v>54143.15</v>
      </c>
    </row>
    <row r="18" spans="1:4" s="426" customFormat="1" ht="13.5" customHeight="1" x14ac:dyDescent="0.25">
      <c r="A18" s="261">
        <v>4319</v>
      </c>
      <c r="B18" s="173" t="s">
        <v>1171</v>
      </c>
      <c r="C18" s="173" t="s">
        <v>10380</v>
      </c>
      <c r="D18" s="260">
        <v>46160.56</v>
      </c>
    </row>
    <row r="19" spans="1:4" s="426" customFormat="1" ht="13.5" customHeight="1" x14ac:dyDescent="0.25">
      <c r="A19" s="261">
        <v>4319</v>
      </c>
      <c r="B19" s="173" t="s">
        <v>1171</v>
      </c>
      <c r="C19" s="173" t="s">
        <v>8224</v>
      </c>
      <c r="D19" s="260">
        <v>1189852.54</v>
      </c>
    </row>
    <row r="20" spans="1:4" s="426" customFormat="1" ht="13.5" customHeight="1" x14ac:dyDescent="0.25">
      <c r="A20" s="261">
        <v>4319</v>
      </c>
      <c r="B20" s="173" t="s">
        <v>1171</v>
      </c>
      <c r="C20" s="173" t="s">
        <v>10366</v>
      </c>
      <c r="D20" s="260">
        <v>164118.88</v>
      </c>
    </row>
    <row r="21" spans="1:4" s="426" customFormat="1" ht="13.5" customHeight="1" x14ac:dyDescent="0.25">
      <c r="A21" s="261">
        <v>4319</v>
      </c>
      <c r="B21" s="173" t="s">
        <v>1171</v>
      </c>
      <c r="C21" s="173" t="s">
        <v>8225</v>
      </c>
      <c r="D21" s="260">
        <v>270033.12</v>
      </c>
    </row>
    <row r="22" spans="1:4" s="426" customFormat="1" ht="13.5" customHeight="1" x14ac:dyDescent="0.25">
      <c r="A22" s="261">
        <v>4319</v>
      </c>
      <c r="B22" s="173" t="s">
        <v>1171</v>
      </c>
      <c r="C22" s="173" t="s">
        <v>7606</v>
      </c>
      <c r="D22" s="260">
        <v>346904.31</v>
      </c>
    </row>
    <row r="23" spans="1:4" s="426" customFormat="1" ht="13.5" customHeight="1" x14ac:dyDescent="0.25">
      <c r="A23" s="261">
        <v>4319</v>
      </c>
      <c r="B23" s="173" t="s">
        <v>1171</v>
      </c>
      <c r="C23" s="173" t="s">
        <v>7607</v>
      </c>
      <c r="D23" s="260">
        <v>115446.3</v>
      </c>
    </row>
    <row r="24" spans="1:4" s="426" customFormat="1" ht="13.5" customHeight="1" x14ac:dyDescent="0.25">
      <c r="A24" s="261">
        <v>4319</v>
      </c>
      <c r="B24" s="173" t="s">
        <v>1171</v>
      </c>
      <c r="C24" s="173" t="s">
        <v>10367</v>
      </c>
      <c r="D24" s="260">
        <v>118456.23</v>
      </c>
    </row>
    <row r="25" spans="1:4" s="426" customFormat="1" ht="13.5" customHeight="1" x14ac:dyDescent="0.25">
      <c r="A25" s="261">
        <v>4319</v>
      </c>
      <c r="B25" s="173" t="s">
        <v>1171</v>
      </c>
      <c r="C25" s="173" t="s">
        <v>10368</v>
      </c>
      <c r="D25" s="260">
        <v>1221952.3500000001</v>
      </c>
    </row>
    <row r="26" spans="1:4" s="426" customFormat="1" ht="13.5" customHeight="1" x14ac:dyDescent="0.25">
      <c r="A26" s="261">
        <v>4319</v>
      </c>
      <c r="B26" s="173" t="s">
        <v>1171</v>
      </c>
      <c r="C26" s="173" t="s">
        <v>10369</v>
      </c>
      <c r="D26" s="260">
        <v>87.01</v>
      </c>
    </row>
    <row r="27" spans="1:4" s="426" customFormat="1" ht="13.5" customHeight="1" x14ac:dyDescent="0.25">
      <c r="A27" s="261">
        <v>4319</v>
      </c>
      <c r="B27" s="173" t="s">
        <v>1171</v>
      </c>
      <c r="C27" s="173" t="s">
        <v>7595</v>
      </c>
      <c r="D27" s="260">
        <v>866617.46</v>
      </c>
    </row>
    <row r="28" spans="1:4" s="426" customFormat="1" ht="13.5" customHeight="1" x14ac:dyDescent="0.25">
      <c r="A28" s="261">
        <v>4319</v>
      </c>
      <c r="B28" s="173" t="s">
        <v>1171</v>
      </c>
      <c r="C28" s="173" t="s">
        <v>10370</v>
      </c>
      <c r="D28" s="260">
        <v>527398.88</v>
      </c>
    </row>
    <row r="29" spans="1:4" s="426" customFormat="1" ht="13.5" customHeight="1" x14ac:dyDescent="0.25">
      <c r="A29" s="261">
        <v>4319</v>
      </c>
      <c r="B29" s="173" t="s">
        <v>1171</v>
      </c>
      <c r="C29" s="173" t="s">
        <v>7596</v>
      </c>
      <c r="D29" s="260">
        <v>331044.06</v>
      </c>
    </row>
    <row r="30" spans="1:4" s="426" customFormat="1" ht="13.5" customHeight="1" x14ac:dyDescent="0.25">
      <c r="A30" s="261">
        <v>4319</v>
      </c>
      <c r="B30" s="173" t="s">
        <v>1171</v>
      </c>
      <c r="C30" s="173" t="s">
        <v>10371</v>
      </c>
      <c r="D30" s="260">
        <v>2038</v>
      </c>
    </row>
    <row r="31" spans="1:4" s="426" customFormat="1" ht="13.5" customHeight="1" x14ac:dyDescent="0.25">
      <c r="A31" s="261">
        <v>4319</v>
      </c>
      <c r="B31" s="173" t="s">
        <v>1171</v>
      </c>
      <c r="C31" s="173" t="s">
        <v>10372</v>
      </c>
      <c r="D31" s="260">
        <v>22889.73</v>
      </c>
    </row>
    <row r="32" spans="1:4" s="426" customFormat="1" ht="13.5" customHeight="1" x14ac:dyDescent="0.25">
      <c r="A32" s="261">
        <v>4319</v>
      </c>
      <c r="B32" s="173" t="s">
        <v>1171</v>
      </c>
      <c r="C32" s="173" t="s">
        <v>10373</v>
      </c>
      <c r="D32" s="260">
        <v>108.89</v>
      </c>
    </row>
    <row r="33" spans="1:4" s="426" customFormat="1" ht="13.5" customHeight="1" x14ac:dyDescent="0.25">
      <c r="A33" s="261">
        <v>4319</v>
      </c>
      <c r="B33" s="173" t="s">
        <v>1171</v>
      </c>
      <c r="C33" s="173" t="s">
        <v>10374</v>
      </c>
      <c r="D33" s="260">
        <v>89890.43</v>
      </c>
    </row>
    <row r="34" spans="1:4" s="426" customFormat="1" ht="13.5" customHeight="1" x14ac:dyDescent="0.25">
      <c r="A34" s="261">
        <v>4319</v>
      </c>
      <c r="B34" s="173" t="s">
        <v>1171</v>
      </c>
      <c r="C34" s="173" t="s">
        <v>10381</v>
      </c>
      <c r="D34" s="260">
        <v>17066.95</v>
      </c>
    </row>
    <row r="35" spans="1:4" s="426" customFormat="1" ht="13.5" customHeight="1" x14ac:dyDescent="0.25">
      <c r="A35" s="261">
        <v>4319</v>
      </c>
      <c r="B35" s="173" t="s">
        <v>1171</v>
      </c>
      <c r="C35" s="173" t="s">
        <v>10375</v>
      </c>
      <c r="D35" s="260">
        <v>1600340.09</v>
      </c>
    </row>
    <row r="36" spans="1:4" s="426" customFormat="1" ht="13.5" customHeight="1" x14ac:dyDescent="0.25">
      <c r="A36" s="261">
        <v>4319</v>
      </c>
      <c r="B36" s="173" t="s">
        <v>1171</v>
      </c>
      <c r="C36" s="173" t="s">
        <v>10376</v>
      </c>
      <c r="D36" s="260">
        <v>197712.9</v>
      </c>
    </row>
    <row r="37" spans="1:4" s="426" customFormat="1" ht="13.5" customHeight="1" x14ac:dyDescent="0.25">
      <c r="A37" s="261">
        <v>4319</v>
      </c>
      <c r="B37" s="173" t="s">
        <v>1171</v>
      </c>
      <c r="C37" s="173" t="s">
        <v>10377</v>
      </c>
      <c r="D37" s="260">
        <v>13765</v>
      </c>
    </row>
    <row r="38" spans="1:4" s="426" customFormat="1" ht="13.5" customHeight="1" x14ac:dyDescent="0.25">
      <c r="A38" s="261">
        <v>4319</v>
      </c>
      <c r="B38" s="173" t="s">
        <v>1171</v>
      </c>
      <c r="C38" s="173" t="s">
        <v>8785</v>
      </c>
      <c r="D38" s="260">
        <v>784194.28</v>
      </c>
    </row>
    <row r="39" spans="1:4" s="426" customFormat="1" ht="13.5" customHeight="1" x14ac:dyDescent="0.25">
      <c r="A39" s="261">
        <v>4319</v>
      </c>
      <c r="B39" s="173" t="s">
        <v>1171</v>
      </c>
      <c r="C39" s="173" t="s">
        <v>8769</v>
      </c>
      <c r="D39" s="260">
        <v>19098.849999999999</v>
      </c>
    </row>
    <row r="40" spans="1:4" s="426" customFormat="1" ht="13.5" customHeight="1" x14ac:dyDescent="0.25">
      <c r="A40" s="261">
        <v>4319</v>
      </c>
      <c r="B40" s="173" t="s">
        <v>1171</v>
      </c>
      <c r="C40" s="173" t="s">
        <v>10378</v>
      </c>
      <c r="D40" s="260">
        <v>10141</v>
      </c>
    </row>
    <row r="41" spans="1:4" s="426" customFormat="1" ht="13.5" customHeight="1" x14ac:dyDescent="0.25">
      <c r="A41" s="261">
        <v>4319</v>
      </c>
      <c r="B41" s="173" t="s">
        <v>1171</v>
      </c>
      <c r="C41" s="173" t="s">
        <v>8761</v>
      </c>
      <c r="D41" s="260">
        <v>47479.360000000001</v>
      </c>
    </row>
    <row r="42" spans="1:4" s="426" customFormat="1" ht="13.5" customHeight="1" x14ac:dyDescent="0.25">
      <c r="A42" s="261">
        <v>4319</v>
      </c>
      <c r="B42" s="173" t="s">
        <v>1171</v>
      </c>
      <c r="C42" s="173" t="s">
        <v>10382</v>
      </c>
      <c r="D42" s="260">
        <v>144.96</v>
      </c>
    </row>
    <row r="43" spans="1:4" s="426" customFormat="1" ht="13.5" customHeight="1" x14ac:dyDescent="0.25">
      <c r="A43" s="261"/>
      <c r="B43" s="173"/>
      <c r="C43" s="173"/>
      <c r="D43" s="260"/>
    </row>
    <row r="44" spans="1:4" s="426" customFormat="1" ht="13.5" customHeight="1" x14ac:dyDescent="0.25">
      <c r="A44" s="261"/>
      <c r="B44" s="173"/>
      <c r="C44" s="173"/>
      <c r="D44" s="260"/>
    </row>
    <row r="45" spans="1:4" s="426" customFormat="1" ht="13.5" customHeight="1" x14ac:dyDescent="0.25">
      <c r="A45" s="261"/>
      <c r="B45" s="173"/>
      <c r="C45" s="173"/>
      <c r="D45" s="260"/>
    </row>
    <row r="46" spans="1:4" x14ac:dyDescent="0.25">
      <c r="A46" s="1315" t="s">
        <v>188</v>
      </c>
      <c r="B46" s="1315"/>
      <c r="C46" s="1315"/>
      <c r="D46" s="177">
        <f>SUM(D8:D45)</f>
        <v>8678408.6399999987</v>
      </c>
    </row>
    <row r="47" spans="1:4" x14ac:dyDescent="0.25">
      <c r="A47" s="428"/>
      <c r="B47" s="428"/>
      <c r="C47" s="428"/>
      <c r="D47" s="427"/>
    </row>
    <row r="48" spans="1:4" x14ac:dyDescent="0.25">
      <c r="A48" s="428"/>
      <c r="B48" s="428"/>
      <c r="C48" s="428"/>
      <c r="D48" s="427"/>
    </row>
    <row r="49" spans="1:5" x14ac:dyDescent="0.25">
      <c r="A49" s="428"/>
      <c r="B49" s="428"/>
      <c r="C49" s="428"/>
      <c r="D49" s="427"/>
    </row>
    <row r="50" spans="1:5" x14ac:dyDescent="0.25">
      <c r="A50" s="428"/>
      <c r="B50" s="428"/>
      <c r="C50" s="428"/>
      <c r="D50" s="427"/>
    </row>
    <row r="53" spans="1:5" s="90" customFormat="1" x14ac:dyDescent="0.25">
      <c r="A53" s="371"/>
      <c r="B53" s="371"/>
      <c r="C53" s="371"/>
      <c r="D53" s="372"/>
      <c r="E53" s="373"/>
    </row>
    <row r="54" spans="1:5" s="90" customFormat="1" x14ac:dyDescent="0.25">
      <c r="A54" s="371"/>
      <c r="B54" s="371"/>
      <c r="C54" s="371"/>
      <c r="D54" s="372"/>
      <c r="E54" s="373"/>
    </row>
    <row r="55" spans="1:5" s="90" customFormat="1" x14ac:dyDescent="0.25">
      <c r="A55" s="371"/>
      <c r="B55" s="371"/>
      <c r="C55" s="371"/>
      <c r="D55" s="372"/>
      <c r="E55" s="373"/>
    </row>
    <row r="56" spans="1:5" s="90" customFormat="1" x14ac:dyDescent="0.25">
      <c r="A56" s="371"/>
      <c r="B56" s="371"/>
      <c r="C56" s="371"/>
      <c r="D56" s="372"/>
      <c r="E56" s="373"/>
    </row>
    <row r="57" spans="1:5" s="90" customFormat="1" x14ac:dyDescent="0.25">
      <c r="A57" s="371"/>
      <c r="B57" s="371"/>
      <c r="C57" s="371"/>
      <c r="D57" s="372"/>
      <c r="E57" s="373"/>
    </row>
    <row r="58" spans="1:5" s="90" customFormat="1" x14ac:dyDescent="0.25"/>
  </sheetData>
  <sortState ref="A9:F79">
    <sortCondition ref="C9:C79"/>
  </sortState>
  <mergeCells count="4">
    <mergeCell ref="A1:D1"/>
    <mergeCell ref="A2:D2"/>
    <mergeCell ref="A3:D3"/>
    <mergeCell ref="A46:C46"/>
  </mergeCells>
  <printOptions horizontalCentered="1"/>
  <pageMargins left="0.39370078740157483" right="0.39370078740157483" top="0.47244094488188981" bottom="0.19685039370078741" header="0.31496062992125984" footer="0.31496062992125984"/>
  <pageSetup scale="92" fitToHeight="0" orientation="portrait" verticalDpi="300" r:id="rId1"/>
  <headerFooter>
    <oddHeader>&amp;R&amp;"Arial,Normal"&amp;8 07.II.2</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view="pageBreakPreview" topLeftCell="A13" zoomScale="85" zoomScaleNormal="100" zoomScaleSheetLayoutView="85" workbookViewId="0">
      <selection activeCell="A13" sqref="A1:XFD1048576"/>
    </sheetView>
  </sheetViews>
  <sheetFormatPr baseColWidth="10" defaultRowHeight="15" x14ac:dyDescent="0.25"/>
  <cols>
    <col min="1" max="1" width="13.28515625" customWidth="1"/>
    <col min="3" max="3" width="14.42578125" customWidth="1"/>
    <col min="5" max="5" width="14.28515625" customWidth="1"/>
    <col min="7" max="7" width="13.85546875" customWidth="1"/>
  </cols>
  <sheetData>
    <row r="1" spans="1:8" x14ac:dyDescent="0.25">
      <c r="A1" s="1294" t="s">
        <v>566</v>
      </c>
      <c r="B1" s="1294"/>
      <c r="C1" s="1294"/>
      <c r="D1" s="1294"/>
      <c r="E1" s="1294"/>
      <c r="F1" s="1294"/>
      <c r="G1" s="1294"/>
      <c r="H1" s="1294"/>
    </row>
    <row r="2" spans="1:8" x14ac:dyDescent="0.25">
      <c r="A2" s="1294" t="s">
        <v>2427</v>
      </c>
      <c r="B2" s="1294"/>
      <c r="C2" s="1294"/>
      <c r="D2" s="1294"/>
      <c r="E2" s="1294"/>
      <c r="F2" s="1294"/>
      <c r="G2" s="1294"/>
      <c r="H2" s="1294"/>
    </row>
    <row r="3" spans="1:8" x14ac:dyDescent="0.25">
      <c r="A3" s="1294" t="s">
        <v>10364</v>
      </c>
      <c r="B3" s="1294"/>
      <c r="C3" s="1294"/>
      <c r="D3" s="1294"/>
      <c r="E3" s="1294"/>
      <c r="F3" s="1294"/>
      <c r="G3" s="1294"/>
      <c r="H3" s="1294"/>
    </row>
    <row r="4" spans="1:8" ht="15.75" thickBot="1" x14ac:dyDescent="0.3">
      <c r="A4" s="604"/>
      <c r="B4" s="604"/>
      <c r="C4" s="604"/>
      <c r="D4" s="604"/>
      <c r="E4" s="604"/>
      <c r="F4" s="604"/>
      <c r="G4" s="604"/>
      <c r="H4" s="604"/>
    </row>
    <row r="5" spans="1:8" ht="15.75" x14ac:dyDescent="0.25">
      <c r="A5" s="1130" t="s">
        <v>12251</v>
      </c>
      <c r="B5" s="1125"/>
      <c r="C5" s="1125"/>
      <c r="D5" s="1125"/>
      <c r="E5" s="1125"/>
      <c r="F5" s="1125"/>
      <c r="G5" s="1125"/>
      <c r="H5" s="1126"/>
    </row>
    <row r="6" spans="1:8" x14ac:dyDescent="0.25">
      <c r="A6" s="1316" t="s">
        <v>12252</v>
      </c>
      <c r="B6" s="1317"/>
      <c r="C6" s="1317"/>
      <c r="D6" s="1317"/>
      <c r="E6" s="1317"/>
      <c r="F6" s="1317"/>
      <c r="G6" s="1317"/>
      <c r="H6" s="1318"/>
    </row>
    <row r="7" spans="1:8" x14ac:dyDescent="0.25">
      <c r="A7" s="1316"/>
      <c r="B7" s="1317"/>
      <c r="C7" s="1317"/>
      <c r="D7" s="1317"/>
      <c r="E7" s="1317"/>
      <c r="F7" s="1317"/>
      <c r="G7" s="1317"/>
      <c r="H7" s="1318"/>
    </row>
    <row r="8" spans="1:8" x14ac:dyDescent="0.25">
      <c r="A8" s="1316"/>
      <c r="B8" s="1317"/>
      <c r="C8" s="1317"/>
      <c r="D8" s="1317"/>
      <c r="E8" s="1317"/>
      <c r="F8" s="1317"/>
      <c r="G8" s="1317"/>
      <c r="H8" s="1318"/>
    </row>
    <row r="9" spans="1:8" x14ac:dyDescent="0.25">
      <c r="A9" s="1316"/>
      <c r="B9" s="1317"/>
      <c r="C9" s="1317"/>
      <c r="D9" s="1317"/>
      <c r="E9" s="1317"/>
      <c r="F9" s="1317"/>
      <c r="G9" s="1317"/>
      <c r="H9" s="1318"/>
    </row>
    <row r="10" spans="1:8" x14ac:dyDescent="0.25">
      <c r="A10" s="1316"/>
      <c r="B10" s="1317"/>
      <c r="C10" s="1317"/>
      <c r="D10" s="1317"/>
      <c r="E10" s="1317"/>
      <c r="F10" s="1317"/>
      <c r="G10" s="1317"/>
      <c r="H10" s="1318"/>
    </row>
    <row r="11" spans="1:8" x14ac:dyDescent="0.25">
      <c r="A11" s="1316"/>
      <c r="B11" s="1317"/>
      <c r="C11" s="1317"/>
      <c r="D11" s="1317"/>
      <c r="E11" s="1317"/>
      <c r="F11" s="1317"/>
      <c r="G11" s="1317"/>
      <c r="H11" s="1318"/>
    </row>
    <row r="12" spans="1:8" x14ac:dyDescent="0.25">
      <c r="A12" s="1316"/>
      <c r="B12" s="1317"/>
      <c r="C12" s="1317"/>
      <c r="D12" s="1317"/>
      <c r="E12" s="1317"/>
      <c r="F12" s="1317"/>
      <c r="G12" s="1317"/>
      <c r="H12" s="1318"/>
    </row>
    <row r="13" spans="1:8" x14ac:dyDescent="0.25">
      <c r="A13" s="1127"/>
      <c r="B13" s="1128"/>
      <c r="C13" s="1128"/>
      <c r="D13" s="1128"/>
      <c r="E13" s="1128"/>
      <c r="F13" s="1128"/>
      <c r="G13" s="1128"/>
      <c r="H13" s="1129"/>
    </row>
    <row r="14" spans="1:8" x14ac:dyDescent="0.25">
      <c r="A14" s="1127"/>
      <c r="B14" s="1128"/>
      <c r="C14" s="1128"/>
      <c r="D14" s="1128"/>
      <c r="E14" s="1128"/>
      <c r="F14" s="1128"/>
      <c r="G14" s="1128"/>
      <c r="H14" s="1129"/>
    </row>
    <row r="15" spans="1:8" x14ac:dyDescent="0.25">
      <c r="A15" s="1127"/>
      <c r="B15" s="1128"/>
      <c r="C15" s="1128"/>
      <c r="D15" s="1128"/>
      <c r="E15" s="1128"/>
      <c r="F15" s="1128"/>
      <c r="G15" s="1128"/>
      <c r="H15" s="1129"/>
    </row>
    <row r="16" spans="1:8" x14ac:dyDescent="0.25">
      <c r="A16" s="1127"/>
      <c r="B16" s="1128"/>
      <c r="C16" s="1128"/>
      <c r="D16" s="1128"/>
      <c r="E16" s="1128"/>
      <c r="F16" s="1128"/>
      <c r="G16" s="1128"/>
      <c r="H16" s="1129"/>
    </row>
    <row r="17" spans="1:8" x14ac:dyDescent="0.25">
      <c r="A17" s="1127"/>
      <c r="B17" s="1128"/>
      <c r="C17" s="1128"/>
      <c r="D17" s="1128"/>
      <c r="E17" s="1128"/>
      <c r="F17" s="1128"/>
      <c r="G17" s="1128"/>
      <c r="H17" s="1129"/>
    </row>
    <row r="18" spans="1:8" x14ac:dyDescent="0.25">
      <c r="A18" s="1316" t="s">
        <v>12253</v>
      </c>
      <c r="B18" s="1317"/>
      <c r="C18" s="1317"/>
      <c r="D18" s="1317"/>
      <c r="E18" s="1317"/>
      <c r="F18" s="1317"/>
      <c r="G18" s="1317"/>
      <c r="H18" s="1318"/>
    </row>
    <row r="19" spans="1:8" x14ac:dyDescent="0.25">
      <c r="A19" s="1316"/>
      <c r="B19" s="1317"/>
      <c r="C19" s="1317"/>
      <c r="D19" s="1317"/>
      <c r="E19" s="1317"/>
      <c r="F19" s="1317"/>
      <c r="G19" s="1317"/>
      <c r="H19" s="1318"/>
    </row>
    <row r="20" spans="1:8" x14ac:dyDescent="0.25">
      <c r="A20" s="1316"/>
      <c r="B20" s="1317"/>
      <c r="C20" s="1317"/>
      <c r="D20" s="1317"/>
      <c r="E20" s="1317"/>
      <c r="F20" s="1317"/>
      <c r="G20" s="1317"/>
      <c r="H20" s="1318"/>
    </row>
    <row r="21" spans="1:8" x14ac:dyDescent="0.25">
      <c r="A21" s="1316"/>
      <c r="B21" s="1317"/>
      <c r="C21" s="1317"/>
      <c r="D21" s="1317"/>
      <c r="E21" s="1317"/>
      <c r="F21" s="1317"/>
      <c r="G21" s="1317"/>
      <c r="H21" s="1318"/>
    </row>
    <row r="22" spans="1:8" x14ac:dyDescent="0.25">
      <c r="A22" s="1316"/>
      <c r="B22" s="1317"/>
      <c r="C22" s="1317"/>
      <c r="D22" s="1317"/>
      <c r="E22" s="1317"/>
      <c r="F22" s="1317"/>
      <c r="G22" s="1317"/>
      <c r="H22" s="1318"/>
    </row>
    <row r="23" spans="1:8" x14ac:dyDescent="0.25">
      <c r="A23" s="1316"/>
      <c r="B23" s="1317"/>
      <c r="C23" s="1317"/>
      <c r="D23" s="1317"/>
      <c r="E23" s="1317"/>
      <c r="F23" s="1317"/>
      <c r="G23" s="1317"/>
      <c r="H23" s="1318"/>
    </row>
    <row r="24" spans="1:8" x14ac:dyDescent="0.25">
      <c r="A24" s="1316"/>
      <c r="B24" s="1317"/>
      <c r="C24" s="1317"/>
      <c r="D24" s="1317"/>
      <c r="E24" s="1317"/>
      <c r="F24" s="1317"/>
      <c r="G24" s="1317"/>
      <c r="H24" s="1318"/>
    </row>
    <row r="25" spans="1:8" x14ac:dyDescent="0.25">
      <c r="A25" s="1127"/>
      <c r="B25" s="1128"/>
      <c r="C25" s="1128"/>
      <c r="D25" s="1128"/>
      <c r="E25" s="1128"/>
      <c r="F25" s="1128"/>
      <c r="G25" s="1128"/>
      <c r="H25" s="1129"/>
    </row>
    <row r="26" spans="1:8" x14ac:dyDescent="0.25">
      <c r="A26" s="1127"/>
      <c r="B26" s="1128"/>
      <c r="C26" s="1128"/>
      <c r="D26" s="1128"/>
      <c r="E26" s="1128"/>
      <c r="F26" s="1128"/>
      <c r="G26" s="1128"/>
      <c r="H26" s="1129"/>
    </row>
    <row r="27" spans="1:8" x14ac:dyDescent="0.25">
      <c r="A27" s="1127"/>
      <c r="B27" s="1128"/>
      <c r="C27" s="1128"/>
      <c r="D27" s="1128"/>
      <c r="E27" s="1128"/>
      <c r="F27" s="1128"/>
      <c r="G27" s="1128"/>
      <c r="H27" s="1129"/>
    </row>
    <row r="28" spans="1:8" x14ac:dyDescent="0.25">
      <c r="A28" s="1127"/>
      <c r="B28" s="1128"/>
      <c r="C28" s="1128"/>
      <c r="D28" s="1128"/>
      <c r="E28" s="1128"/>
      <c r="F28" s="1128"/>
      <c r="G28" s="1128"/>
      <c r="H28" s="1129"/>
    </row>
    <row r="29" spans="1:8" x14ac:dyDescent="0.25">
      <c r="A29" s="1127"/>
      <c r="B29" s="1128"/>
      <c r="C29" s="1128"/>
      <c r="D29" s="1128"/>
      <c r="E29" s="1128"/>
      <c r="F29" s="1128"/>
      <c r="G29" s="1128"/>
      <c r="H29" s="1129"/>
    </row>
    <row r="30" spans="1:8" x14ac:dyDescent="0.25">
      <c r="A30" s="608"/>
      <c r="B30" s="609"/>
      <c r="C30" s="609"/>
      <c r="D30" s="609"/>
      <c r="E30" s="609"/>
      <c r="F30" s="609"/>
      <c r="G30" s="609"/>
      <c r="H30" s="610"/>
    </row>
    <row r="31" spans="1:8" x14ac:dyDescent="0.25">
      <c r="A31" s="608"/>
      <c r="B31" s="609"/>
      <c r="C31" s="609"/>
      <c r="D31" s="609"/>
      <c r="E31" s="609"/>
      <c r="F31" s="609"/>
      <c r="G31" s="609"/>
      <c r="H31" s="610"/>
    </row>
    <row r="32" spans="1:8" x14ac:dyDescent="0.25">
      <c r="A32" s="608"/>
      <c r="B32" s="609"/>
      <c r="C32" s="609"/>
      <c r="D32" s="609"/>
      <c r="E32" s="609"/>
      <c r="F32" s="609"/>
      <c r="G32" s="609"/>
      <c r="H32" s="610"/>
    </row>
    <row r="33" spans="1:8" x14ac:dyDescent="0.25">
      <c r="A33" s="608"/>
      <c r="B33" s="609"/>
      <c r="C33" s="609"/>
      <c r="D33" s="609"/>
      <c r="E33" s="609"/>
      <c r="F33" s="609"/>
      <c r="G33" s="609"/>
      <c r="H33" s="610"/>
    </row>
    <row r="34" spans="1:8" x14ac:dyDescent="0.25">
      <c r="A34" s="608"/>
      <c r="B34" s="609"/>
      <c r="C34" s="609"/>
      <c r="D34" s="609"/>
      <c r="E34" s="609"/>
      <c r="F34" s="609"/>
      <c r="G34" s="609"/>
      <c r="H34" s="610"/>
    </row>
    <row r="35" spans="1:8" x14ac:dyDescent="0.25">
      <c r="A35" s="608"/>
      <c r="B35" s="609"/>
      <c r="C35" s="609"/>
      <c r="D35" s="609"/>
      <c r="E35" s="609"/>
      <c r="F35" s="609"/>
      <c r="G35" s="609"/>
      <c r="H35" s="610"/>
    </row>
    <row r="36" spans="1:8" x14ac:dyDescent="0.25">
      <c r="A36" s="608"/>
      <c r="B36" s="609"/>
      <c r="C36" s="609"/>
      <c r="D36" s="609"/>
      <c r="E36" s="609"/>
      <c r="F36" s="609"/>
      <c r="G36" s="609"/>
      <c r="H36" s="610"/>
    </row>
    <row r="37" spans="1:8" x14ac:dyDescent="0.25">
      <c r="A37" s="608"/>
      <c r="B37" s="609"/>
      <c r="C37" s="609"/>
      <c r="D37" s="609"/>
      <c r="E37" s="609"/>
      <c r="F37" s="609"/>
      <c r="G37" s="609"/>
      <c r="H37" s="610"/>
    </row>
    <row r="38" spans="1:8" ht="15.75" thickBot="1" x14ac:dyDescent="0.3">
      <c r="A38" s="611"/>
      <c r="B38" s="612"/>
      <c r="C38" s="612"/>
      <c r="D38" s="612"/>
      <c r="E38" s="612"/>
      <c r="F38" s="612"/>
      <c r="G38" s="612"/>
      <c r="H38" s="613"/>
    </row>
    <row r="40" spans="1:8" s="1124" customFormat="1" x14ac:dyDescent="0.25"/>
    <row r="41" spans="1:8" s="90" customFormat="1" x14ac:dyDescent="0.25">
      <c r="A41" s="371"/>
      <c r="B41" s="371"/>
      <c r="C41" s="371"/>
      <c r="D41" s="372"/>
      <c r="E41" s="373"/>
    </row>
    <row r="42" spans="1:8" s="90" customFormat="1" x14ac:dyDescent="0.25">
      <c r="A42" s="371"/>
      <c r="B42" s="371"/>
      <c r="C42" s="371"/>
      <c r="D42" s="372"/>
      <c r="E42" s="373"/>
    </row>
    <row r="43" spans="1:8" s="90" customFormat="1" x14ac:dyDescent="0.25">
      <c r="A43" s="371"/>
      <c r="B43" s="371"/>
      <c r="C43" s="371"/>
      <c r="D43" s="372"/>
      <c r="E43" s="373"/>
    </row>
    <row r="44" spans="1:8" s="90" customFormat="1" x14ac:dyDescent="0.25">
      <c r="A44" s="371"/>
      <c r="B44" s="371"/>
      <c r="C44" s="371"/>
      <c r="D44" s="372"/>
      <c r="E44" s="373"/>
    </row>
    <row r="45" spans="1:8" s="90" customFormat="1" x14ac:dyDescent="0.25"/>
  </sheetData>
  <mergeCells count="5">
    <mergeCell ref="A1:H1"/>
    <mergeCell ref="A2:H2"/>
    <mergeCell ref="A3:H3"/>
    <mergeCell ref="A18:H24"/>
    <mergeCell ref="A6:H12"/>
  </mergeCells>
  <printOptions horizontalCentered="1"/>
  <pageMargins left="0.19685039370078741" right="0.19685039370078741" top="0.74803149606299213" bottom="0.74803149606299213" header="0.31496062992125984" footer="0.31496062992125984"/>
  <pageSetup fitToHeight="0" orientation="portrait" r:id="rId1"/>
  <headerFooter>
    <oddHeader>&amp;L&amp;"Arial,Normal"&amp;8Estados e Información Contable
Notas de Desglose&amp;R&amp;"Arial,Normal"&amp;8 7.I.4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L44"/>
  <sheetViews>
    <sheetView view="pageBreakPreview" zoomScale="60" zoomScaleNormal="100" workbookViewId="0">
      <selection activeCell="R55" sqref="R55"/>
    </sheetView>
  </sheetViews>
  <sheetFormatPr baseColWidth="10" defaultRowHeight="15" x14ac:dyDescent="0.25"/>
  <cols>
    <col min="1" max="1" width="7.85546875" style="425" bestFit="1" customWidth="1"/>
    <col min="2" max="2" width="8.42578125" style="425" bestFit="1" customWidth="1"/>
    <col min="3" max="3" width="20" style="425" bestFit="1" customWidth="1"/>
    <col min="4" max="4" width="31.85546875" style="425" bestFit="1" customWidth="1"/>
    <col min="5" max="7" width="12.85546875" style="425" bestFit="1" customWidth="1"/>
    <col min="8" max="8" width="13.42578125" style="425" customWidth="1"/>
    <col min="9" max="9" width="23.42578125" style="425" bestFit="1" customWidth="1"/>
    <col min="10" max="16384" width="11.42578125" style="425"/>
  </cols>
  <sheetData>
    <row r="1" spans="1:10" s="423" customFormat="1" x14ac:dyDescent="0.25">
      <c r="A1" s="422"/>
      <c r="B1" s="422"/>
      <c r="C1" s="422"/>
      <c r="D1" s="422"/>
      <c r="E1" s="422"/>
      <c r="F1" s="422"/>
      <c r="G1" s="422"/>
      <c r="H1" s="422"/>
    </row>
    <row r="2" spans="1:10" s="423" customFormat="1" ht="15" customHeight="1" x14ac:dyDescent="0.25">
      <c r="A2" s="1319" t="s">
        <v>732</v>
      </c>
      <c r="B2" s="1319"/>
      <c r="C2" s="1319"/>
      <c r="D2" s="1319"/>
      <c r="E2" s="1319"/>
      <c r="F2" s="1319"/>
      <c r="G2" s="1319"/>
      <c r="H2" s="1319"/>
      <c r="I2" s="1319"/>
    </row>
    <row r="3" spans="1:10" s="423" customFormat="1" ht="15" customHeight="1" x14ac:dyDescent="0.25">
      <c r="A3" s="1319" t="s">
        <v>482</v>
      </c>
      <c r="B3" s="1319"/>
      <c r="C3" s="1319"/>
      <c r="D3" s="1319"/>
      <c r="E3" s="1319"/>
      <c r="F3" s="1319"/>
      <c r="G3" s="1319"/>
      <c r="H3" s="1319"/>
      <c r="I3" s="1319"/>
    </row>
    <row r="4" spans="1:10" s="423" customFormat="1" ht="15" customHeight="1" x14ac:dyDescent="0.25">
      <c r="A4" s="1319" t="s">
        <v>10383</v>
      </c>
      <c r="B4" s="1319"/>
      <c r="C4" s="1319"/>
      <c r="D4" s="1319"/>
      <c r="E4" s="1319"/>
      <c r="F4" s="1319"/>
      <c r="G4" s="1319"/>
      <c r="H4" s="1319"/>
      <c r="I4" s="1319"/>
    </row>
    <row r="5" spans="1:10" s="423" customFormat="1" x14ac:dyDescent="0.25"/>
    <row r="6" spans="1:10" ht="15.75" thickBot="1" x14ac:dyDescent="0.3"/>
    <row r="7" spans="1:10" x14ac:dyDescent="0.25">
      <c r="A7" s="429" t="s">
        <v>540</v>
      </c>
      <c r="B7" s="430" t="s">
        <v>542</v>
      </c>
      <c r="C7" s="431" t="s">
        <v>441</v>
      </c>
      <c r="D7" s="431" t="s">
        <v>543</v>
      </c>
      <c r="E7" s="432" t="s">
        <v>544</v>
      </c>
      <c r="F7" s="432" t="s">
        <v>545</v>
      </c>
      <c r="G7" s="433" t="s">
        <v>439</v>
      </c>
      <c r="H7" s="434" t="s">
        <v>546</v>
      </c>
      <c r="I7" s="435" t="s">
        <v>547</v>
      </c>
    </row>
    <row r="8" spans="1:10" x14ac:dyDescent="0.25">
      <c r="A8" s="436"/>
      <c r="B8" s="437"/>
      <c r="C8" s="438"/>
      <c r="D8" s="438"/>
      <c r="E8" s="439"/>
      <c r="F8" s="439"/>
      <c r="G8" s="439"/>
      <c r="H8" s="440"/>
      <c r="I8" s="441"/>
    </row>
    <row r="9" spans="1:10" ht="22.5" x14ac:dyDescent="0.25">
      <c r="A9" s="442">
        <v>43373</v>
      </c>
      <c r="B9" s="443">
        <v>3048</v>
      </c>
      <c r="C9" s="444" t="s">
        <v>10483</v>
      </c>
      <c r="D9" s="444" t="s">
        <v>10484</v>
      </c>
      <c r="E9" s="658">
        <v>99826150.269999996</v>
      </c>
      <c r="F9" s="658">
        <v>0</v>
      </c>
      <c r="G9" s="658">
        <v>268060820.13</v>
      </c>
      <c r="H9" s="445">
        <v>12350</v>
      </c>
      <c r="I9" s="446" t="s">
        <v>10485</v>
      </c>
      <c r="J9" s="90"/>
    </row>
    <row r="10" spans="1:10" x14ac:dyDescent="0.25">
      <c r="A10" s="442"/>
      <c r="B10" s="443"/>
      <c r="C10" s="444"/>
      <c r="D10" s="444"/>
      <c r="E10" s="658"/>
      <c r="F10" s="658"/>
      <c r="G10" s="658"/>
      <c r="H10" s="445"/>
      <c r="I10" s="446"/>
    </row>
    <row r="11" spans="1:10" x14ac:dyDescent="0.25">
      <c r="A11" s="442"/>
      <c r="B11" s="443"/>
      <c r="C11" s="444"/>
      <c r="D11" s="444"/>
      <c r="E11" s="658"/>
      <c r="F11" s="658"/>
      <c r="G11" s="658"/>
      <c r="H11" s="445"/>
      <c r="I11" s="446"/>
    </row>
    <row r="12" spans="1:10" x14ac:dyDescent="0.25">
      <c r="A12" s="442"/>
      <c r="B12" s="443"/>
      <c r="C12" s="444"/>
      <c r="D12" s="444"/>
      <c r="E12" s="658"/>
      <c r="F12" s="658"/>
      <c r="G12" s="658"/>
      <c r="H12" s="445"/>
      <c r="I12" s="446"/>
    </row>
    <row r="13" spans="1:10" x14ac:dyDescent="0.25">
      <c r="A13" s="442"/>
      <c r="B13" s="443"/>
      <c r="C13" s="444"/>
      <c r="D13" s="444"/>
      <c r="E13" s="658"/>
      <c r="F13" s="658"/>
      <c r="G13" s="658"/>
      <c r="H13" s="445"/>
      <c r="I13" s="446"/>
    </row>
    <row r="14" spans="1:10" x14ac:dyDescent="0.25">
      <c r="A14" s="442"/>
      <c r="B14" s="443"/>
      <c r="C14" s="444"/>
      <c r="D14" s="444"/>
      <c r="E14" s="658"/>
      <c r="F14" s="658"/>
      <c r="G14" s="658"/>
      <c r="H14" s="445"/>
      <c r="I14" s="446"/>
    </row>
    <row r="15" spans="1:10" x14ac:dyDescent="0.25">
      <c r="A15" s="442"/>
      <c r="B15" s="443"/>
      <c r="C15" s="444"/>
      <c r="D15" s="444"/>
      <c r="E15" s="658"/>
      <c r="F15" s="658"/>
      <c r="G15" s="658"/>
      <c r="H15" s="445"/>
      <c r="I15" s="446"/>
    </row>
    <row r="16" spans="1:10" x14ac:dyDescent="0.25">
      <c r="A16" s="442"/>
      <c r="B16" s="443"/>
      <c r="C16" s="444"/>
      <c r="D16" s="444"/>
      <c r="E16" s="658"/>
      <c r="F16" s="658"/>
      <c r="G16" s="658"/>
      <c r="H16" s="445"/>
      <c r="I16" s="446"/>
    </row>
    <row r="17" spans="1:9" x14ac:dyDescent="0.25">
      <c r="A17" s="442"/>
      <c r="B17" s="443"/>
      <c r="C17" s="444"/>
      <c r="D17" s="444"/>
      <c r="E17" s="658"/>
      <c r="F17" s="658"/>
      <c r="G17" s="658"/>
      <c r="H17" s="445"/>
      <c r="I17" s="446"/>
    </row>
    <row r="18" spans="1:9" x14ac:dyDescent="0.25">
      <c r="A18" s="442"/>
      <c r="B18" s="443"/>
      <c r="C18" s="444"/>
      <c r="D18" s="444"/>
      <c r="E18" s="658"/>
      <c r="F18" s="658"/>
      <c r="G18" s="658"/>
      <c r="H18" s="445"/>
      <c r="I18" s="446"/>
    </row>
    <row r="19" spans="1:9" x14ac:dyDescent="0.25">
      <c r="A19" s="442"/>
      <c r="B19" s="443"/>
      <c r="C19" s="444"/>
      <c r="D19" s="444"/>
      <c r="E19" s="658"/>
      <c r="F19" s="658"/>
      <c r="G19" s="658"/>
      <c r="H19" s="445"/>
      <c r="I19" s="446"/>
    </row>
    <row r="20" spans="1:9" x14ac:dyDescent="0.25">
      <c r="A20" s="442"/>
      <c r="B20" s="443"/>
      <c r="C20" s="444"/>
      <c r="D20" s="444"/>
      <c r="E20" s="658"/>
      <c r="F20" s="658"/>
      <c r="G20" s="658"/>
      <c r="H20" s="445"/>
      <c r="I20" s="446"/>
    </row>
    <row r="21" spans="1:9" x14ac:dyDescent="0.25">
      <c r="A21" s="442"/>
      <c r="B21" s="443"/>
      <c r="C21" s="444"/>
      <c r="D21" s="444"/>
      <c r="E21" s="658"/>
      <c r="F21" s="658"/>
      <c r="G21" s="658"/>
      <c r="H21" s="445"/>
      <c r="I21" s="446"/>
    </row>
    <row r="22" spans="1:9" x14ac:dyDescent="0.25">
      <c r="A22" s="442"/>
      <c r="B22" s="443"/>
      <c r="C22" s="444"/>
      <c r="D22" s="444"/>
      <c r="E22" s="658"/>
      <c r="F22" s="658"/>
      <c r="G22" s="658"/>
      <c r="H22" s="445"/>
      <c r="I22" s="446"/>
    </row>
    <row r="23" spans="1:9" x14ac:dyDescent="0.25">
      <c r="A23" s="442"/>
      <c r="B23" s="443"/>
      <c r="C23" s="444"/>
      <c r="D23" s="444"/>
      <c r="E23" s="658"/>
      <c r="F23" s="658"/>
      <c r="G23" s="658"/>
      <c r="H23" s="445"/>
      <c r="I23" s="446"/>
    </row>
    <row r="24" spans="1:9" ht="15.75" thickBot="1" x14ac:dyDescent="0.3">
      <c r="A24" s="447"/>
      <c r="B24" s="448"/>
      <c r="C24" s="449"/>
      <c r="D24" s="449"/>
      <c r="E24" s="450"/>
      <c r="F24" s="450"/>
      <c r="G24" s="450"/>
      <c r="H24" s="451"/>
      <c r="I24" s="452"/>
    </row>
    <row r="25" spans="1:9" x14ac:dyDescent="0.25">
      <c r="A25" s="453"/>
      <c r="B25" s="454"/>
      <c r="C25" s="455"/>
      <c r="D25" s="455"/>
      <c r="E25" s="456"/>
      <c r="F25" s="456"/>
      <c r="G25" s="456"/>
      <c r="H25" s="457"/>
      <c r="I25" s="458"/>
    </row>
    <row r="26" spans="1:9" x14ac:dyDescent="0.25">
      <c r="A26" s="453"/>
      <c r="B26" s="454"/>
      <c r="C26" s="455"/>
      <c r="D26" s="455"/>
      <c r="E26" s="456"/>
      <c r="F26" s="456"/>
      <c r="G26" s="456"/>
      <c r="H26" s="457"/>
      <c r="I26" s="458"/>
    </row>
    <row r="27" spans="1:9" x14ac:dyDescent="0.25">
      <c r="A27" s="453"/>
      <c r="B27" s="454"/>
      <c r="C27" s="455"/>
      <c r="D27" s="455"/>
      <c r="E27" s="456"/>
      <c r="F27" s="456"/>
      <c r="G27" s="456"/>
      <c r="H27" s="457"/>
      <c r="I27" s="458"/>
    </row>
    <row r="28" spans="1:9" x14ac:dyDescent="0.25">
      <c r="A28" s="453"/>
      <c r="B28" s="454"/>
      <c r="C28" s="455"/>
      <c r="D28" s="455"/>
      <c r="E28" s="456"/>
      <c r="F28" s="456"/>
      <c r="G28" s="456"/>
      <c r="H28" s="457"/>
      <c r="I28" s="458"/>
    </row>
    <row r="29" spans="1:9" x14ac:dyDescent="0.25">
      <c r="A29" s="453"/>
      <c r="B29" s="454"/>
      <c r="C29" s="455"/>
      <c r="D29" s="455"/>
      <c r="E29" s="456"/>
      <c r="F29" s="456"/>
      <c r="G29" s="456"/>
      <c r="H29" s="457"/>
      <c r="I29" s="458"/>
    </row>
    <row r="30" spans="1:9" x14ac:dyDescent="0.25">
      <c r="A30" s="453"/>
      <c r="B30" s="454"/>
      <c r="C30" s="455"/>
      <c r="D30" s="455"/>
      <c r="E30" s="456"/>
      <c r="F30" s="456"/>
      <c r="G30" s="456"/>
      <c r="H30" s="457"/>
      <c r="I30" s="458"/>
    </row>
    <row r="31" spans="1:9" x14ac:dyDescent="0.25">
      <c r="A31" s="453"/>
      <c r="B31" s="454"/>
      <c r="C31" s="455"/>
      <c r="D31" s="455"/>
      <c r="E31" s="456"/>
      <c r="F31" s="456"/>
      <c r="G31" s="456"/>
      <c r="H31" s="457"/>
      <c r="I31" s="458"/>
    </row>
    <row r="32" spans="1:9" x14ac:dyDescent="0.25">
      <c r="A32" s="453"/>
      <c r="B32" s="454"/>
      <c r="C32" s="455"/>
      <c r="D32" s="455"/>
      <c r="E32" s="456"/>
      <c r="F32" s="456"/>
      <c r="G32" s="456"/>
      <c r="H32" s="457"/>
      <c r="I32" s="458"/>
    </row>
    <row r="33" spans="1:64" x14ac:dyDescent="0.25">
      <c r="A33" s="453"/>
      <c r="B33" s="454"/>
      <c r="C33" s="455"/>
      <c r="D33" s="455"/>
      <c r="E33" s="456"/>
      <c r="F33" s="456"/>
      <c r="G33" s="456"/>
      <c r="H33" s="457"/>
      <c r="I33" s="458"/>
    </row>
    <row r="34" spans="1:64" x14ac:dyDescent="0.25">
      <c r="A34" s="453"/>
      <c r="B34" s="454"/>
      <c r="C34" s="455"/>
      <c r="D34" s="455"/>
      <c r="E34" s="456"/>
      <c r="F34" s="456"/>
      <c r="G34" s="456"/>
      <c r="H34" s="457"/>
      <c r="I34" s="458"/>
    </row>
    <row r="35" spans="1:64" x14ac:dyDescent="0.25">
      <c r="A35" s="453"/>
      <c r="B35" s="454"/>
      <c r="C35" s="455"/>
      <c r="D35" s="455"/>
      <c r="E35" s="456"/>
      <c r="F35" s="456"/>
      <c r="G35" s="456"/>
      <c r="H35" s="457"/>
      <c r="I35" s="458"/>
    </row>
    <row r="36" spans="1:64" x14ac:dyDescent="0.25">
      <c r="A36" s="453"/>
      <c r="B36" s="454"/>
      <c r="C36" s="455"/>
      <c r="D36" s="455"/>
      <c r="E36" s="456"/>
      <c r="F36" s="456"/>
      <c r="G36" s="456"/>
      <c r="H36" s="457"/>
      <c r="I36" s="458"/>
    </row>
    <row r="37" spans="1:64" x14ac:dyDescent="0.25">
      <c r="A37" s="453"/>
      <c r="B37" s="454"/>
      <c r="C37" s="455"/>
      <c r="D37" s="455"/>
      <c r="E37" s="456"/>
      <c r="F37" s="456"/>
      <c r="G37" s="456"/>
      <c r="H37" s="457"/>
      <c r="I37" s="458"/>
    </row>
    <row r="38" spans="1:64" s="287" customFormat="1" ht="8.25" customHeight="1" x14ac:dyDescent="0.2">
      <c r="A38" s="294"/>
      <c r="B38" s="295"/>
      <c r="C38" s="295"/>
      <c r="D38" s="295"/>
      <c r="E38" s="295"/>
      <c r="F38" s="295"/>
      <c r="G38" s="295"/>
      <c r="H38" s="295"/>
      <c r="I38" s="295"/>
      <c r="J38" s="295"/>
      <c r="K38" s="295"/>
    </row>
    <row r="39" spans="1:64" s="287" customFormat="1" ht="10.5" customHeight="1" x14ac:dyDescent="0.2">
      <c r="A39" s="294"/>
      <c r="B39" s="295"/>
      <c r="C39" s="295"/>
      <c r="D39" s="295"/>
      <c r="E39" s="295"/>
      <c r="F39" s="295"/>
      <c r="G39" s="295"/>
      <c r="H39" s="295"/>
      <c r="I39" s="295"/>
      <c r="J39" s="295"/>
      <c r="K39" s="295"/>
    </row>
    <row r="40" spans="1:64" s="301" customFormat="1" x14ac:dyDescent="0.25">
      <c r="A40" s="296"/>
      <c r="B40" s="297"/>
      <c r="C40" s="298"/>
      <c r="D40" s="297"/>
      <c r="E40" s="299"/>
      <c r="F40" s="299"/>
      <c r="G40" s="280"/>
      <c r="H40" s="280"/>
      <c r="I40" s="280"/>
      <c r="J40" s="300"/>
      <c r="K40" s="300"/>
      <c r="L40" s="300"/>
      <c r="M40" s="300"/>
      <c r="N40" s="300"/>
      <c r="O40" s="300"/>
      <c r="P40" s="300"/>
      <c r="Q40" s="300"/>
      <c r="R40" s="300"/>
      <c r="S40" s="300"/>
      <c r="T40" s="300"/>
      <c r="U40" s="300"/>
      <c r="V40" s="300"/>
      <c r="W40" s="300"/>
      <c r="X40" s="300"/>
      <c r="Y40" s="300"/>
      <c r="Z40" s="300"/>
      <c r="AA40" s="300"/>
      <c r="AB40" s="300"/>
      <c r="AC40" s="300"/>
      <c r="AD40" s="300"/>
      <c r="AE40" s="300"/>
      <c r="AF40" s="300"/>
      <c r="AG40" s="300"/>
      <c r="AH40" s="300"/>
      <c r="AI40" s="300"/>
      <c r="AJ40" s="300"/>
      <c r="AK40" s="300"/>
      <c r="AL40" s="300"/>
      <c r="AM40" s="300"/>
      <c r="AN40" s="300"/>
      <c r="AO40" s="300"/>
      <c r="AP40" s="300"/>
      <c r="AQ40" s="300"/>
      <c r="AR40" s="300"/>
      <c r="AS40" s="300"/>
      <c r="AT40" s="300"/>
      <c r="AU40" s="300"/>
      <c r="AV40" s="300"/>
      <c r="AW40" s="300"/>
      <c r="AX40" s="300"/>
      <c r="AY40" s="300"/>
      <c r="AZ40" s="300"/>
      <c r="BA40" s="300"/>
      <c r="BB40" s="300"/>
      <c r="BC40" s="300"/>
      <c r="BD40" s="300"/>
      <c r="BE40" s="300"/>
      <c r="BF40" s="300"/>
      <c r="BG40" s="300"/>
      <c r="BH40" s="300"/>
      <c r="BI40" s="300"/>
      <c r="BJ40" s="300"/>
      <c r="BK40" s="300"/>
      <c r="BL40" s="300"/>
    </row>
    <row r="41" spans="1:64" s="301" customFormat="1" x14ac:dyDescent="0.25">
      <c r="A41" s="296"/>
      <c r="B41" s="297"/>
      <c r="C41" s="298"/>
      <c r="D41" s="297"/>
      <c r="E41" s="299"/>
      <c r="F41" s="299"/>
      <c r="G41" s="297"/>
      <c r="H41" s="280"/>
      <c r="I41" s="280"/>
      <c r="J41" s="300"/>
      <c r="K41" s="300"/>
      <c r="L41" s="300"/>
      <c r="M41" s="300"/>
      <c r="N41" s="300"/>
      <c r="O41" s="300"/>
      <c r="P41" s="300"/>
      <c r="Q41" s="300"/>
      <c r="R41" s="300"/>
      <c r="S41" s="300"/>
      <c r="T41" s="300"/>
      <c r="U41" s="300"/>
      <c r="V41" s="300"/>
      <c r="W41" s="300"/>
      <c r="X41" s="300"/>
      <c r="Y41" s="300"/>
      <c r="Z41" s="300"/>
      <c r="AA41" s="300"/>
      <c r="AB41" s="300"/>
      <c r="AC41" s="300"/>
      <c r="AD41" s="300"/>
      <c r="AE41" s="300"/>
      <c r="AF41" s="300"/>
      <c r="AG41" s="300"/>
      <c r="AH41" s="300"/>
      <c r="AI41" s="300"/>
      <c r="AJ41" s="300"/>
      <c r="AK41" s="300"/>
      <c r="AL41" s="300"/>
      <c r="AM41" s="300"/>
      <c r="AN41" s="300"/>
      <c r="AO41" s="300"/>
      <c r="AP41" s="300"/>
      <c r="AQ41" s="300"/>
      <c r="AR41" s="300"/>
      <c r="AS41" s="300"/>
      <c r="AT41" s="300"/>
      <c r="AU41" s="300"/>
      <c r="AV41" s="300"/>
      <c r="AW41" s="300"/>
      <c r="AX41" s="300"/>
      <c r="AY41" s="300"/>
      <c r="AZ41" s="300"/>
      <c r="BA41" s="300"/>
      <c r="BB41" s="300"/>
      <c r="BC41" s="300"/>
      <c r="BD41" s="300"/>
      <c r="BE41" s="300"/>
      <c r="BF41" s="300"/>
      <c r="BG41" s="300"/>
      <c r="BH41" s="300"/>
      <c r="BI41" s="300"/>
      <c r="BJ41" s="300"/>
      <c r="BK41" s="300"/>
      <c r="BL41" s="300"/>
    </row>
    <row r="42" spans="1:64" s="301" customFormat="1" x14ac:dyDescent="0.25">
      <c r="A42" s="296"/>
      <c r="B42" s="297"/>
      <c r="C42" s="298"/>
      <c r="D42" s="297"/>
      <c r="E42" s="299"/>
      <c r="F42" s="299"/>
      <c r="G42" s="297"/>
      <c r="H42" s="280"/>
      <c r="I42" s="280"/>
      <c r="J42" s="300"/>
      <c r="K42" s="300"/>
      <c r="L42" s="300"/>
      <c r="M42" s="300"/>
      <c r="N42" s="300"/>
      <c r="O42" s="300"/>
      <c r="P42" s="300"/>
      <c r="Q42" s="300"/>
      <c r="R42" s="300"/>
      <c r="S42" s="300"/>
      <c r="T42" s="300"/>
      <c r="U42" s="300"/>
      <c r="V42" s="300"/>
      <c r="W42" s="300"/>
      <c r="X42" s="300"/>
      <c r="Y42" s="300"/>
      <c r="Z42" s="300"/>
      <c r="AA42" s="300"/>
      <c r="AB42" s="300"/>
      <c r="AC42" s="300"/>
      <c r="AD42" s="300"/>
      <c r="AE42" s="300"/>
      <c r="AF42" s="300"/>
      <c r="AG42" s="300"/>
      <c r="AH42" s="300"/>
      <c r="AI42" s="300"/>
      <c r="AJ42" s="300"/>
      <c r="AK42" s="300"/>
      <c r="AL42" s="300"/>
      <c r="AM42" s="300"/>
      <c r="AN42" s="300"/>
      <c r="AO42" s="300"/>
      <c r="AP42" s="300"/>
      <c r="AQ42" s="300"/>
      <c r="AR42" s="300"/>
      <c r="AS42" s="300"/>
      <c r="AT42" s="300"/>
      <c r="AU42" s="300"/>
      <c r="AV42" s="300"/>
      <c r="AW42" s="300"/>
      <c r="AX42" s="300"/>
      <c r="AY42" s="300"/>
      <c r="AZ42" s="300"/>
      <c r="BA42" s="300"/>
      <c r="BB42" s="300"/>
      <c r="BC42" s="300"/>
      <c r="BD42" s="300"/>
      <c r="BE42" s="300"/>
      <c r="BF42" s="300"/>
      <c r="BG42" s="300"/>
      <c r="BH42" s="300"/>
      <c r="BI42" s="300"/>
      <c r="BJ42" s="300"/>
      <c r="BK42" s="300"/>
      <c r="BL42" s="300"/>
    </row>
    <row r="43" spans="1:64" s="301" customFormat="1" x14ac:dyDescent="0.25">
      <c r="A43" s="296"/>
      <c r="B43" s="297"/>
      <c r="C43" s="298"/>
      <c r="D43" s="297"/>
      <c r="E43" s="299"/>
      <c r="F43" s="299"/>
      <c r="G43" s="297"/>
      <c r="H43" s="280"/>
      <c r="I43" s="280"/>
      <c r="J43" s="300"/>
      <c r="K43" s="300"/>
      <c r="L43" s="300"/>
      <c r="M43" s="300"/>
      <c r="N43" s="300"/>
      <c r="O43" s="300"/>
      <c r="P43" s="300"/>
      <c r="Q43" s="300"/>
      <c r="R43" s="300"/>
      <c r="S43" s="300"/>
      <c r="T43" s="300"/>
      <c r="U43" s="300"/>
      <c r="V43" s="300"/>
      <c r="W43" s="300"/>
      <c r="X43" s="300"/>
      <c r="Y43" s="300"/>
      <c r="Z43" s="300"/>
      <c r="AA43" s="300"/>
      <c r="AB43" s="300"/>
      <c r="AC43" s="300"/>
      <c r="AD43" s="300"/>
      <c r="AE43" s="300"/>
      <c r="AF43" s="300"/>
      <c r="AG43" s="300"/>
      <c r="AH43" s="300"/>
      <c r="AI43" s="300"/>
      <c r="AJ43" s="300"/>
      <c r="AK43" s="300"/>
      <c r="AL43" s="300"/>
      <c r="AM43" s="300"/>
      <c r="AN43" s="300"/>
      <c r="AO43" s="300"/>
      <c r="AP43" s="300"/>
      <c r="AQ43" s="300"/>
      <c r="AR43" s="300"/>
      <c r="AS43" s="300"/>
      <c r="AT43" s="300"/>
      <c r="AU43" s="300"/>
      <c r="AV43" s="300"/>
      <c r="AW43" s="300"/>
      <c r="AX43" s="300"/>
      <c r="AY43" s="300"/>
      <c r="AZ43" s="300"/>
      <c r="BA43" s="300"/>
      <c r="BB43" s="300"/>
      <c r="BC43" s="300"/>
      <c r="BD43" s="300"/>
      <c r="BE43" s="300"/>
      <c r="BF43" s="300"/>
      <c r="BG43" s="300"/>
      <c r="BH43" s="300"/>
      <c r="BI43" s="300"/>
      <c r="BJ43" s="300"/>
      <c r="BK43" s="300"/>
      <c r="BL43" s="300"/>
    </row>
    <row r="44" spans="1:64" s="301" customFormat="1" ht="12.75" x14ac:dyDescent="0.2">
      <c r="A44" s="296"/>
      <c r="B44" s="297"/>
      <c r="C44" s="302"/>
      <c r="D44" s="302"/>
      <c r="E44" s="302"/>
      <c r="F44" s="297"/>
      <c r="G44" s="297"/>
      <c r="H44" s="302"/>
      <c r="I44" s="302"/>
      <c r="J44" s="300"/>
      <c r="K44" s="300"/>
      <c r="L44" s="300"/>
      <c r="M44" s="300"/>
      <c r="N44" s="300"/>
      <c r="O44" s="300"/>
      <c r="P44" s="300"/>
      <c r="Q44" s="300"/>
      <c r="R44" s="300"/>
      <c r="S44" s="300"/>
      <c r="T44" s="300"/>
      <c r="U44" s="300"/>
      <c r="V44" s="300"/>
      <c r="W44" s="300"/>
      <c r="X44" s="300"/>
      <c r="Y44" s="300"/>
      <c r="Z44" s="300"/>
      <c r="AA44" s="300"/>
      <c r="AB44" s="300"/>
      <c r="AC44" s="300"/>
      <c r="AD44" s="300"/>
      <c r="AE44" s="300"/>
      <c r="AF44" s="300"/>
      <c r="AG44" s="300"/>
      <c r="AH44" s="300"/>
      <c r="AI44" s="300"/>
      <c r="AJ44" s="300"/>
      <c r="AK44" s="300"/>
      <c r="AL44" s="300"/>
      <c r="AM44" s="300"/>
      <c r="AN44" s="300"/>
      <c r="AO44" s="300"/>
      <c r="AP44" s="300"/>
      <c r="AQ44" s="300"/>
      <c r="AR44" s="300"/>
      <c r="AS44" s="300"/>
      <c r="AT44" s="300"/>
      <c r="AU44" s="300"/>
      <c r="AV44" s="300"/>
      <c r="AW44" s="300"/>
      <c r="AX44" s="300"/>
      <c r="AY44" s="300"/>
      <c r="AZ44" s="300"/>
      <c r="BA44" s="300"/>
      <c r="BB44" s="300"/>
      <c r="BC44" s="300"/>
      <c r="BD44" s="300"/>
      <c r="BE44" s="300"/>
      <c r="BF44" s="300"/>
      <c r="BG44" s="300"/>
      <c r="BH44" s="300"/>
      <c r="BI44" s="300"/>
      <c r="BJ44" s="300"/>
      <c r="BK44" s="300"/>
      <c r="BL44" s="300"/>
    </row>
  </sheetData>
  <mergeCells count="3">
    <mergeCell ref="A2:I2"/>
    <mergeCell ref="A3:I3"/>
    <mergeCell ref="A4:I4"/>
  </mergeCells>
  <printOptions horizontalCentered="1"/>
  <pageMargins left="0.55118110236220474" right="0.47244094488188981" top="0.51181102362204722" bottom="0.19685039370078741" header="0.31496062992125984" footer="0.31496062992125984"/>
  <pageSetup scale="88" fitToHeight="0" orientation="landscape" verticalDpi="300" r:id="rId1"/>
  <headerFooter>
    <oddHeader>&amp;R&amp;"Arial,Normal"&amp;8 07.III.2</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1"/>
  <sheetViews>
    <sheetView view="pageBreakPreview" zoomScale="60" zoomScaleNormal="100" workbookViewId="0">
      <selection sqref="A1:H1"/>
    </sheetView>
  </sheetViews>
  <sheetFormatPr baseColWidth="10" defaultColWidth="11.42578125" defaultRowHeight="12.75" customHeight="1" x14ac:dyDescent="0.2"/>
  <cols>
    <col min="1" max="1" width="6.7109375" style="306" customWidth="1"/>
    <col min="2" max="2" width="36.140625" style="306" customWidth="1"/>
    <col min="3" max="3" width="14.140625" style="306" bestFit="1" customWidth="1"/>
    <col min="4" max="4" width="13" style="306" bestFit="1" customWidth="1"/>
    <col min="5" max="5" width="13" style="306" customWidth="1"/>
    <col min="6" max="6" width="13.42578125" style="306" customWidth="1"/>
    <col min="7" max="7" width="14" style="306" bestFit="1" customWidth="1"/>
    <col min="8" max="8" width="14.42578125" style="306" customWidth="1"/>
    <col min="9" max="9" width="14.5703125" style="306" customWidth="1"/>
    <col min="10" max="10" width="11.85546875" style="306" customWidth="1"/>
    <col min="11" max="11" width="12.140625" style="306" customWidth="1"/>
    <col min="12" max="12" width="15.5703125" style="306" bestFit="1" customWidth="1"/>
    <col min="13" max="16384" width="11.42578125" style="306"/>
  </cols>
  <sheetData>
    <row r="1" spans="1:12" ht="12.75" customHeight="1" x14ac:dyDescent="0.2">
      <c r="L1" s="317"/>
    </row>
    <row r="2" spans="1:12" ht="12.75" customHeight="1" x14ac:dyDescent="0.2">
      <c r="A2" s="1141" t="s">
        <v>566</v>
      </c>
      <c r="B2" s="1141"/>
      <c r="C2" s="1141"/>
      <c r="D2" s="1141"/>
      <c r="E2" s="1141"/>
      <c r="F2" s="1141"/>
      <c r="G2" s="1141"/>
      <c r="H2" s="391"/>
      <c r="I2" s="391"/>
      <c r="J2" s="391"/>
      <c r="K2" s="391"/>
      <c r="L2" s="375"/>
    </row>
    <row r="3" spans="1:12" ht="12.75" customHeight="1" x14ac:dyDescent="0.2">
      <c r="A3" s="1141" t="s">
        <v>2428</v>
      </c>
      <c r="B3" s="1141"/>
      <c r="C3" s="1141"/>
      <c r="D3" s="1141"/>
      <c r="E3" s="1141"/>
      <c r="F3" s="1141"/>
      <c r="G3" s="1141"/>
      <c r="H3" s="392"/>
      <c r="I3" s="392"/>
      <c r="J3" s="392"/>
      <c r="K3" s="392"/>
      <c r="L3" s="375"/>
    </row>
    <row r="4" spans="1:12" ht="12.75" customHeight="1" x14ac:dyDescent="0.2">
      <c r="A4" s="1141" t="s">
        <v>10384</v>
      </c>
      <c r="B4" s="1141"/>
      <c r="C4" s="1141"/>
      <c r="D4" s="1141"/>
      <c r="E4" s="1141"/>
      <c r="F4" s="1141"/>
      <c r="G4" s="1141"/>
      <c r="H4" s="391"/>
      <c r="I4" s="391"/>
      <c r="J4" s="391"/>
      <c r="K4" s="391"/>
      <c r="L4" s="391"/>
    </row>
    <row r="5" spans="1:12" ht="6.75" customHeight="1" x14ac:dyDescent="0.25">
      <c r="A5" s="393"/>
      <c r="B5" s="393"/>
      <c r="C5" s="393"/>
      <c r="D5" s="393"/>
      <c r="E5" s="393"/>
      <c r="F5" s="393"/>
      <c r="G5" s="393"/>
      <c r="H5" s="393"/>
      <c r="I5" s="393"/>
      <c r="J5" s="393"/>
      <c r="K5" s="393"/>
      <c r="L5" s="393"/>
    </row>
    <row r="6" spans="1:12" ht="6.75" customHeight="1" x14ac:dyDescent="0.25">
      <c r="A6" s="393"/>
      <c r="B6" s="393"/>
      <c r="C6" s="393"/>
      <c r="D6" s="393"/>
      <c r="E6" s="393"/>
      <c r="F6" s="393"/>
      <c r="G6" s="393"/>
      <c r="H6" s="393"/>
      <c r="I6" s="393"/>
      <c r="J6" s="393"/>
      <c r="K6" s="393"/>
      <c r="L6" s="393"/>
    </row>
    <row r="7" spans="1:12" ht="6.75" customHeight="1" x14ac:dyDescent="0.25">
      <c r="A7" s="393"/>
      <c r="B7" s="393"/>
      <c r="C7" s="393"/>
      <c r="D7" s="393"/>
      <c r="E7" s="393"/>
      <c r="F7" s="393"/>
      <c r="G7" s="393"/>
      <c r="H7" s="393"/>
      <c r="I7" s="393"/>
      <c r="J7" s="393"/>
      <c r="K7" s="393"/>
      <c r="L7" s="393"/>
    </row>
    <row r="8" spans="1:12" ht="6.75" customHeight="1" x14ac:dyDescent="0.25">
      <c r="A8" s="393"/>
      <c r="B8" s="393"/>
      <c r="C8" s="393"/>
      <c r="D8" s="393"/>
      <c r="E8" s="393"/>
      <c r="F8" s="393"/>
      <c r="G8" s="393"/>
      <c r="H8" s="393"/>
      <c r="I8" s="393"/>
      <c r="J8" s="393"/>
      <c r="K8" s="393"/>
      <c r="L8" s="393"/>
    </row>
    <row r="9" spans="1:12" ht="6.75" customHeight="1" x14ac:dyDescent="0.25">
      <c r="A9" s="393"/>
      <c r="B9" s="393"/>
      <c r="C9" s="393"/>
      <c r="D9" s="393"/>
      <c r="E9" s="393"/>
      <c r="F9" s="393"/>
      <c r="G9" s="393"/>
      <c r="H9" s="393"/>
      <c r="I9" s="393"/>
      <c r="J9" s="393"/>
      <c r="K9" s="393"/>
      <c r="L9" s="393"/>
    </row>
    <row r="10" spans="1:12" ht="6.75" customHeight="1" x14ac:dyDescent="0.25">
      <c r="A10" s="393"/>
      <c r="B10" s="393"/>
      <c r="C10" s="393"/>
      <c r="D10" s="393"/>
      <c r="E10" s="393"/>
      <c r="F10" s="393"/>
      <c r="G10" s="393"/>
      <c r="H10" s="393"/>
      <c r="I10" s="393"/>
      <c r="J10" s="393"/>
      <c r="K10" s="393"/>
      <c r="L10" s="393"/>
    </row>
    <row r="11" spans="1:12" ht="6.75" customHeight="1" x14ac:dyDescent="0.25">
      <c r="A11" s="393"/>
      <c r="B11" s="393"/>
      <c r="C11" s="393"/>
      <c r="D11" s="393"/>
      <c r="E11" s="393"/>
      <c r="F11" s="393"/>
      <c r="G11" s="393"/>
      <c r="H11" s="393"/>
      <c r="I11" s="393"/>
      <c r="J11" s="393"/>
      <c r="K11" s="393"/>
      <c r="L11" s="393"/>
    </row>
    <row r="12" spans="1:12" ht="6.75" customHeight="1" x14ac:dyDescent="0.25">
      <c r="A12" s="393"/>
      <c r="B12" s="393"/>
      <c r="C12" s="393"/>
      <c r="D12" s="393"/>
      <c r="E12" s="393"/>
      <c r="F12" s="393"/>
      <c r="G12" s="393"/>
      <c r="H12" s="393"/>
      <c r="I12" s="393"/>
      <c r="J12" s="393"/>
      <c r="K12" s="393"/>
      <c r="L12" s="393"/>
    </row>
    <row r="13" spans="1:12" ht="6.75" customHeight="1" x14ac:dyDescent="0.25">
      <c r="A13" s="393"/>
      <c r="B13" s="393"/>
      <c r="C13" s="393"/>
      <c r="D13" s="393"/>
      <c r="E13" s="393"/>
      <c r="F13" s="393"/>
      <c r="G13" s="393"/>
      <c r="H13" s="393"/>
      <c r="I13" s="393"/>
      <c r="J13" s="393"/>
      <c r="K13" s="393"/>
      <c r="L13" s="393"/>
    </row>
    <row r="14" spans="1:12" ht="6.75" customHeight="1" x14ac:dyDescent="0.25">
      <c r="A14" s="393"/>
      <c r="B14" s="393"/>
      <c r="C14" s="393"/>
      <c r="D14" s="393"/>
      <c r="E14" s="393"/>
      <c r="F14" s="393"/>
      <c r="G14" s="393"/>
      <c r="H14" s="393"/>
      <c r="I14" s="393"/>
      <c r="J14" s="393"/>
      <c r="K14" s="393"/>
      <c r="L14" s="393"/>
    </row>
    <row r="15" spans="1:12" ht="6.75" customHeight="1" x14ac:dyDescent="0.25">
      <c r="A15" s="393"/>
      <c r="B15" s="393"/>
      <c r="C15" s="393"/>
      <c r="D15" s="393"/>
      <c r="E15" s="393"/>
      <c r="F15" s="393"/>
      <c r="G15" s="393"/>
      <c r="H15" s="393"/>
      <c r="I15" s="393"/>
      <c r="J15" s="393"/>
      <c r="K15" s="393"/>
      <c r="L15" s="393"/>
    </row>
    <row r="16" spans="1:12" ht="12.75" customHeight="1" x14ac:dyDescent="0.2">
      <c r="G16" s="317"/>
    </row>
    <row r="17" spans="1:12" s="281" customFormat="1" ht="9.75" customHeight="1" x14ac:dyDescent="0.2">
      <c r="A17" s="1320" t="s">
        <v>664</v>
      </c>
      <c r="B17" s="1321"/>
      <c r="C17" s="1324">
        <v>2017</v>
      </c>
      <c r="D17" s="1324" t="s">
        <v>666</v>
      </c>
      <c r="E17" s="1324" t="s">
        <v>667</v>
      </c>
      <c r="F17" s="1324">
        <v>2018</v>
      </c>
      <c r="G17" s="1324" t="s">
        <v>669</v>
      </c>
      <c r="H17" s="1144"/>
      <c r="I17" s="1144"/>
      <c r="J17" s="1144"/>
      <c r="K17" s="1144"/>
      <c r="L17" s="1144"/>
    </row>
    <row r="18" spans="1:12" s="281" customFormat="1" ht="9.75" customHeight="1" x14ac:dyDescent="0.2">
      <c r="A18" s="1322"/>
      <c r="B18" s="1323"/>
      <c r="C18" s="1325"/>
      <c r="D18" s="1325"/>
      <c r="E18" s="1325"/>
      <c r="F18" s="1325"/>
      <c r="G18" s="1325"/>
      <c r="H18" s="1144"/>
      <c r="I18" s="1144"/>
      <c r="J18" s="1144"/>
      <c r="K18" s="1144"/>
      <c r="L18" s="1144"/>
    </row>
    <row r="19" spans="1:12" s="281" customFormat="1" ht="9.75" customHeight="1" x14ac:dyDescent="0.2">
      <c r="A19" s="1322"/>
      <c r="B19" s="1323"/>
      <c r="C19" s="1325"/>
      <c r="D19" s="1325"/>
      <c r="E19" s="1325"/>
      <c r="F19" s="1325"/>
      <c r="G19" s="1325"/>
      <c r="H19" s="1144"/>
      <c r="I19" s="1144"/>
      <c r="J19" s="1144"/>
      <c r="K19" s="1144"/>
      <c r="L19" s="1144"/>
    </row>
    <row r="20" spans="1:12" s="401" customFormat="1" ht="14.25" customHeight="1" x14ac:dyDescent="0.25">
      <c r="A20" s="459" t="s">
        <v>5</v>
      </c>
      <c r="B20" s="460" t="s">
        <v>6</v>
      </c>
      <c r="C20" s="461">
        <f>SUM(C21:C27)</f>
        <v>67285761.389999986</v>
      </c>
      <c r="D20" s="461">
        <f>SUM(D21:D27)</f>
        <v>195821259.73000002</v>
      </c>
      <c r="E20" s="461">
        <f>SUM(E21:E27)</f>
        <v>233135505.13000003</v>
      </c>
      <c r="F20" s="461">
        <f>SUM(F21:F27)</f>
        <v>29971515.99000001</v>
      </c>
      <c r="G20" s="461">
        <f>SUM(G21:G27)</f>
        <v>-37314245.399999976</v>
      </c>
      <c r="H20" s="400"/>
      <c r="I20" s="400"/>
      <c r="J20" s="400"/>
      <c r="K20" s="400"/>
      <c r="L20" s="396"/>
    </row>
    <row r="21" spans="1:12" s="401" customFormat="1" ht="14.25" customHeight="1" x14ac:dyDescent="0.25">
      <c r="A21" s="462" t="s">
        <v>569</v>
      </c>
      <c r="B21" s="463" t="s">
        <v>570</v>
      </c>
      <c r="C21" s="464">
        <v>72000</v>
      </c>
      <c r="D21" s="464">
        <v>25000.3</v>
      </c>
      <c r="E21" s="464">
        <v>59000.3</v>
      </c>
      <c r="F21" s="464">
        <f t="shared" ref="F21:F27" si="0">+C21+D21-E21</f>
        <v>38000</v>
      </c>
      <c r="G21" s="464">
        <f>F21-C21</f>
        <v>-34000</v>
      </c>
      <c r="H21" s="400"/>
      <c r="I21" s="400"/>
      <c r="J21" s="400"/>
      <c r="K21" s="400"/>
      <c r="L21" s="396"/>
    </row>
    <row r="22" spans="1:12" s="401" customFormat="1" ht="14.25" customHeight="1" x14ac:dyDescent="0.25">
      <c r="A22" s="462" t="s">
        <v>573</v>
      </c>
      <c r="B22" s="463" t="s">
        <v>574</v>
      </c>
      <c r="C22" s="464">
        <v>3937761.3900000155</v>
      </c>
      <c r="D22" s="464">
        <v>195796259.43000001</v>
      </c>
      <c r="E22" s="464">
        <v>169800504.83000001</v>
      </c>
      <c r="F22" s="464">
        <f t="shared" si="0"/>
        <v>29933515.99000001</v>
      </c>
      <c r="G22" s="464">
        <f t="shared" ref="G22:G24" si="1">F22-C22</f>
        <v>25995754.599999994</v>
      </c>
      <c r="H22" s="400"/>
      <c r="I22" s="400"/>
      <c r="J22" s="400"/>
      <c r="K22" s="400"/>
      <c r="L22" s="396"/>
    </row>
    <row r="23" spans="1:12" s="401" customFormat="1" ht="14.25" customHeight="1" x14ac:dyDescent="0.25">
      <c r="A23" s="462" t="s">
        <v>674</v>
      </c>
      <c r="B23" s="463" t="s">
        <v>675</v>
      </c>
      <c r="C23" s="464">
        <v>0</v>
      </c>
      <c r="D23" s="464">
        <v>0</v>
      </c>
      <c r="E23" s="464">
        <v>0</v>
      </c>
      <c r="F23" s="464">
        <f t="shared" si="0"/>
        <v>0</v>
      </c>
      <c r="G23" s="464">
        <f t="shared" si="1"/>
        <v>0</v>
      </c>
      <c r="H23" s="400"/>
      <c r="I23" s="400"/>
      <c r="J23" s="400"/>
      <c r="K23" s="400"/>
      <c r="L23" s="396"/>
    </row>
    <row r="24" spans="1:12" s="397" customFormat="1" ht="14.25" customHeight="1" x14ac:dyDescent="0.25">
      <c r="A24" s="462" t="s">
        <v>577</v>
      </c>
      <c r="B24" s="463" t="s">
        <v>578</v>
      </c>
      <c r="C24" s="464">
        <v>63275999.99999997</v>
      </c>
      <c r="D24" s="464">
        <v>0</v>
      </c>
      <c r="E24" s="464">
        <v>63276000</v>
      </c>
      <c r="F24" s="464">
        <f t="shared" si="0"/>
        <v>0</v>
      </c>
      <c r="G24" s="464">
        <f t="shared" si="1"/>
        <v>-63275999.99999997</v>
      </c>
      <c r="H24" s="396"/>
      <c r="I24" s="396"/>
      <c r="J24" s="396"/>
      <c r="K24" s="396"/>
      <c r="L24" s="396"/>
    </row>
    <row r="25" spans="1:12" s="401" customFormat="1" ht="14.25" customHeight="1" x14ac:dyDescent="0.25">
      <c r="A25" s="462" t="s">
        <v>676</v>
      </c>
      <c r="B25" s="463" t="s">
        <v>677</v>
      </c>
      <c r="C25" s="464">
        <v>0</v>
      </c>
      <c r="D25" s="464">
        <v>0</v>
      </c>
      <c r="E25" s="464">
        <v>0</v>
      </c>
      <c r="F25" s="464">
        <f t="shared" si="0"/>
        <v>0</v>
      </c>
      <c r="G25" s="464">
        <f t="shared" ref="G25:G27" si="2">+C25-F25</f>
        <v>0</v>
      </c>
      <c r="H25" s="400"/>
      <c r="I25" s="400"/>
      <c r="J25" s="400"/>
      <c r="K25" s="400"/>
      <c r="L25" s="396"/>
    </row>
    <row r="26" spans="1:12" s="401" customFormat="1" ht="24.75" customHeight="1" x14ac:dyDescent="0.25">
      <c r="A26" s="462" t="s">
        <v>678</v>
      </c>
      <c r="B26" s="463" t="s">
        <v>679</v>
      </c>
      <c r="C26" s="464">
        <v>0</v>
      </c>
      <c r="D26" s="464">
        <v>0</v>
      </c>
      <c r="E26" s="464">
        <v>0</v>
      </c>
      <c r="F26" s="464">
        <f t="shared" si="0"/>
        <v>0</v>
      </c>
      <c r="G26" s="464">
        <f t="shared" si="2"/>
        <v>0</v>
      </c>
      <c r="H26" s="400"/>
      <c r="I26" s="400"/>
      <c r="J26" s="400"/>
      <c r="K26" s="400"/>
      <c r="L26" s="396"/>
    </row>
    <row r="27" spans="1:12" s="401" customFormat="1" ht="12" customHeight="1" x14ac:dyDescent="0.25">
      <c r="A27" s="462" t="s">
        <v>680</v>
      </c>
      <c r="B27" s="463" t="s">
        <v>681</v>
      </c>
      <c r="C27" s="464">
        <v>0</v>
      </c>
      <c r="D27" s="464">
        <v>0</v>
      </c>
      <c r="E27" s="464">
        <v>0</v>
      </c>
      <c r="F27" s="464">
        <f t="shared" si="0"/>
        <v>0</v>
      </c>
      <c r="G27" s="464">
        <f t="shared" si="2"/>
        <v>0</v>
      </c>
      <c r="H27" s="400"/>
      <c r="I27" s="400"/>
      <c r="J27" s="400"/>
      <c r="K27" s="400"/>
      <c r="L27" s="396"/>
    </row>
    <row r="28" spans="1:12" ht="12.75" customHeight="1" x14ac:dyDescent="0.2">
      <c r="A28" s="465"/>
      <c r="B28" s="414"/>
      <c r="C28" s="295"/>
      <c r="D28" s="307"/>
      <c r="E28" s="307"/>
      <c r="F28" s="307"/>
      <c r="G28" s="307"/>
    </row>
    <row r="29" spans="1:12" ht="12.75" customHeight="1" x14ac:dyDescent="0.2">
      <c r="A29" s="465"/>
      <c r="B29" s="414"/>
      <c r="C29" s="295"/>
      <c r="D29" s="307"/>
      <c r="E29" s="307"/>
      <c r="F29" s="307"/>
      <c r="G29" s="307"/>
    </row>
    <row r="30" spans="1:12" ht="12.75" customHeight="1" x14ac:dyDescent="0.2">
      <c r="A30" s="465"/>
      <c r="B30" s="414"/>
      <c r="C30" s="295"/>
      <c r="D30" s="307"/>
      <c r="E30" s="307"/>
      <c r="F30" s="307"/>
      <c r="G30" s="307"/>
    </row>
    <row r="31" spans="1:12" ht="12.75" customHeight="1" x14ac:dyDescent="0.2">
      <c r="A31" s="465"/>
      <c r="B31" s="414"/>
      <c r="C31" s="295"/>
      <c r="D31" s="307"/>
      <c r="E31" s="307"/>
      <c r="F31" s="307"/>
      <c r="G31" s="307"/>
    </row>
    <row r="32" spans="1:12" ht="12.75" customHeight="1" x14ac:dyDescent="0.2">
      <c r="A32" s="465"/>
      <c r="B32" s="414"/>
      <c r="C32" s="295"/>
      <c r="D32" s="307"/>
      <c r="E32" s="307"/>
      <c r="F32" s="307"/>
      <c r="G32" s="307"/>
    </row>
    <row r="33" spans="1:7" ht="12.75" customHeight="1" x14ac:dyDescent="0.2">
      <c r="A33" s="465"/>
      <c r="B33" s="414"/>
      <c r="C33" s="295"/>
      <c r="D33" s="307"/>
      <c r="E33" s="307"/>
      <c r="F33" s="307"/>
      <c r="G33" s="307"/>
    </row>
    <row r="34" spans="1:7" ht="12.75" customHeight="1" x14ac:dyDescent="0.2">
      <c r="A34" s="465"/>
      <c r="B34" s="414"/>
      <c r="C34" s="295"/>
      <c r="D34" s="307"/>
      <c r="E34" s="307"/>
      <c r="F34" s="307"/>
      <c r="G34" s="307"/>
    </row>
    <row r="35" spans="1:7" ht="12.75" customHeight="1" x14ac:dyDescent="0.2">
      <c r="A35" s="465"/>
      <c r="B35" s="414"/>
      <c r="C35" s="295"/>
      <c r="D35" s="307"/>
      <c r="E35" s="307"/>
      <c r="F35" s="307"/>
      <c r="G35" s="307"/>
    </row>
    <row r="36" spans="1:7" ht="12.75" customHeight="1" x14ac:dyDescent="0.2">
      <c r="A36" s="465"/>
      <c r="B36" s="414"/>
      <c r="C36" s="295"/>
      <c r="D36" s="307"/>
      <c r="E36" s="307"/>
      <c r="F36" s="307"/>
      <c r="G36" s="307"/>
    </row>
    <row r="37" spans="1:7" ht="12.75" customHeight="1" x14ac:dyDescent="0.2">
      <c r="A37" s="465"/>
      <c r="B37" s="414"/>
      <c r="C37" s="295"/>
      <c r="D37" s="307"/>
      <c r="E37" s="307"/>
      <c r="F37" s="307"/>
      <c r="G37" s="307"/>
    </row>
    <row r="38" spans="1:7" ht="12.75" customHeight="1" x14ac:dyDescent="0.2">
      <c r="A38" s="465"/>
      <c r="B38" s="414"/>
      <c r="C38" s="295"/>
      <c r="D38" s="307"/>
      <c r="E38" s="307"/>
      <c r="F38" s="307"/>
      <c r="G38" s="307"/>
    </row>
    <row r="39" spans="1:7" ht="12.75" customHeight="1" x14ac:dyDescent="0.2">
      <c r="A39" s="465"/>
      <c r="B39" s="414"/>
      <c r="C39" s="295"/>
      <c r="D39" s="307"/>
      <c r="E39" s="307"/>
      <c r="F39" s="307"/>
      <c r="G39" s="307"/>
    </row>
    <row r="40" spans="1:7" ht="12.75" customHeight="1" x14ac:dyDescent="0.2">
      <c r="A40" s="465"/>
      <c r="B40" s="414"/>
      <c r="C40" s="295"/>
      <c r="D40" s="307"/>
      <c r="E40" s="307"/>
      <c r="F40" s="307"/>
      <c r="G40" s="307"/>
    </row>
    <row r="41" spans="1:7" ht="12.75" customHeight="1" x14ac:dyDescent="0.2">
      <c r="A41" s="465"/>
      <c r="B41" s="414"/>
      <c r="C41" s="295"/>
      <c r="D41" s="307"/>
      <c r="E41" s="307"/>
      <c r="F41" s="307"/>
      <c r="G41" s="307"/>
    </row>
    <row r="42" spans="1:7" ht="12.75" customHeight="1" x14ac:dyDescent="0.2">
      <c r="A42" s="465"/>
      <c r="B42" s="414"/>
      <c r="C42" s="295"/>
      <c r="D42" s="307"/>
      <c r="E42" s="307"/>
      <c r="F42" s="307"/>
      <c r="G42" s="307"/>
    </row>
    <row r="43" spans="1:7" ht="12.75" customHeight="1" x14ac:dyDescent="0.2">
      <c r="A43" s="465"/>
      <c r="B43" s="414"/>
      <c r="C43" s="295"/>
      <c r="D43" s="307"/>
      <c r="E43" s="307"/>
      <c r="F43" s="307"/>
      <c r="G43" s="307"/>
    </row>
    <row r="44" spans="1:7" ht="12.75" customHeight="1" x14ac:dyDescent="0.2">
      <c r="A44" s="465"/>
      <c r="B44" s="414"/>
      <c r="C44" s="295"/>
      <c r="D44" s="307"/>
      <c r="E44" s="307"/>
      <c r="F44" s="307"/>
      <c r="G44" s="307"/>
    </row>
    <row r="45" spans="1:7" ht="12.75" customHeight="1" x14ac:dyDescent="0.2">
      <c r="A45" s="465"/>
      <c r="B45" s="414"/>
      <c r="C45" s="295"/>
      <c r="D45" s="307"/>
      <c r="E45" s="307"/>
      <c r="F45" s="307"/>
      <c r="G45" s="307"/>
    </row>
    <row r="46" spans="1:7" ht="12.75" customHeight="1" x14ac:dyDescent="0.2">
      <c r="A46" s="465"/>
      <c r="B46" s="414"/>
      <c r="C46" s="295"/>
      <c r="D46" s="307"/>
      <c r="E46" s="307"/>
      <c r="F46" s="307"/>
      <c r="G46" s="307"/>
    </row>
    <row r="47" spans="1:7" ht="12.75" customHeight="1" x14ac:dyDescent="0.2">
      <c r="A47" s="465"/>
      <c r="B47" s="414"/>
      <c r="C47" s="295"/>
      <c r="D47" s="307"/>
      <c r="E47" s="307"/>
      <c r="F47" s="307"/>
      <c r="G47" s="307"/>
    </row>
    <row r="48" spans="1:7" ht="12.75" customHeight="1" x14ac:dyDescent="0.2">
      <c r="A48" s="465"/>
      <c r="B48" s="414"/>
      <c r="C48" s="295"/>
      <c r="D48" s="307"/>
      <c r="E48" s="307"/>
      <c r="F48" s="307"/>
      <c r="G48" s="307"/>
    </row>
    <row r="49" spans="1:7" ht="12.75" customHeight="1" x14ac:dyDescent="0.2">
      <c r="A49" s="465"/>
      <c r="B49" s="414"/>
      <c r="C49" s="295"/>
      <c r="D49" s="307"/>
      <c r="E49" s="307"/>
      <c r="F49" s="307"/>
      <c r="G49" s="307"/>
    </row>
    <row r="50" spans="1:7" ht="12.75" customHeight="1" x14ac:dyDescent="0.2">
      <c r="A50" s="465"/>
      <c r="B50" s="414"/>
      <c r="C50" s="295"/>
      <c r="D50" s="307"/>
      <c r="E50" s="307"/>
      <c r="F50" s="307"/>
      <c r="G50" s="307"/>
    </row>
    <row r="51" spans="1:7" ht="12.75" customHeight="1" x14ac:dyDescent="0.2">
      <c r="A51" s="465"/>
      <c r="B51" s="414"/>
      <c r="C51" s="295"/>
      <c r="D51" s="307"/>
      <c r="E51" s="307"/>
      <c r="F51" s="307"/>
      <c r="G51" s="307"/>
    </row>
    <row r="52" spans="1:7" ht="12.75" customHeight="1" x14ac:dyDescent="0.2">
      <c r="A52" s="465"/>
      <c r="B52" s="414"/>
      <c r="C52" s="295"/>
      <c r="D52" s="307"/>
      <c r="E52" s="307"/>
      <c r="F52" s="307"/>
      <c r="G52" s="307"/>
    </row>
    <row r="53" spans="1:7" ht="12.75" customHeight="1" x14ac:dyDescent="0.2">
      <c r="A53" s="465"/>
      <c r="B53" s="414"/>
      <c r="C53" s="295"/>
      <c r="D53" s="307"/>
      <c r="E53" s="307"/>
      <c r="F53" s="307"/>
      <c r="G53" s="307"/>
    </row>
    <row r="54" spans="1:7" ht="12.75" customHeight="1" x14ac:dyDescent="0.2">
      <c r="A54" s="465"/>
      <c r="B54" s="414"/>
      <c r="C54" s="295"/>
      <c r="D54" s="307"/>
      <c r="E54" s="307"/>
      <c r="F54" s="307"/>
      <c r="G54" s="307"/>
    </row>
    <row r="55" spans="1:7" ht="12.75" customHeight="1" x14ac:dyDescent="0.2">
      <c r="A55" s="465"/>
      <c r="B55" s="414"/>
      <c r="C55" s="295"/>
      <c r="D55" s="307"/>
      <c r="E55" s="307"/>
      <c r="F55" s="307"/>
      <c r="G55" s="307"/>
    </row>
    <row r="56" spans="1:7" ht="12.75" customHeight="1" x14ac:dyDescent="0.2">
      <c r="A56" s="465"/>
      <c r="B56" s="414"/>
      <c r="C56" s="295"/>
      <c r="D56" s="307"/>
      <c r="E56" s="307"/>
      <c r="F56" s="307"/>
      <c r="G56" s="307"/>
    </row>
    <row r="57" spans="1:7" ht="12.75" customHeight="1" x14ac:dyDescent="0.2">
      <c r="A57" s="465"/>
      <c r="B57" s="414"/>
      <c r="C57" s="295"/>
      <c r="D57" s="307"/>
      <c r="E57" s="307"/>
      <c r="F57" s="307"/>
      <c r="G57" s="307"/>
    </row>
    <row r="58" spans="1:7" ht="12.75" customHeight="1" x14ac:dyDescent="0.2">
      <c r="A58" s="465"/>
      <c r="B58" s="414"/>
      <c r="C58" s="295"/>
      <c r="D58" s="307"/>
      <c r="E58" s="307"/>
      <c r="F58" s="307"/>
      <c r="G58" s="307"/>
    </row>
    <row r="59" spans="1:7" s="5" customFormat="1" ht="12.75" customHeight="1" x14ac:dyDescent="0.2">
      <c r="A59" s="847"/>
      <c r="B59" s="848"/>
      <c r="C59" s="3"/>
      <c r="D59" s="849"/>
      <c r="E59" s="849"/>
      <c r="F59" s="849"/>
      <c r="G59" s="849"/>
    </row>
    <row r="60" spans="1:7" s="5" customFormat="1" ht="12.75" customHeight="1" x14ac:dyDescent="0.2">
      <c r="A60" s="847"/>
      <c r="B60" s="848"/>
      <c r="C60" s="3"/>
      <c r="D60" s="849"/>
      <c r="E60" s="849"/>
      <c r="F60" s="849"/>
      <c r="G60" s="849"/>
    </row>
    <row r="61" spans="1:7" s="5" customFormat="1" ht="12.75" customHeight="1" x14ac:dyDescent="0.2">
      <c r="A61" s="847"/>
      <c r="B61" s="848"/>
      <c r="C61" s="3"/>
      <c r="D61" s="849"/>
      <c r="E61" s="849"/>
      <c r="F61" s="849"/>
      <c r="G61" s="849"/>
    </row>
    <row r="62" spans="1:7" s="5" customFormat="1" ht="12.75" customHeight="1" x14ac:dyDescent="0.2">
      <c r="A62" s="847"/>
      <c r="B62" s="848"/>
      <c r="C62" s="3"/>
      <c r="D62" s="849"/>
      <c r="E62" s="849"/>
      <c r="F62" s="849"/>
      <c r="G62" s="849"/>
    </row>
    <row r="63" spans="1:7" s="5" customFormat="1" ht="12.75" customHeight="1" x14ac:dyDescent="0.2">
      <c r="A63" s="847"/>
      <c r="B63" s="848"/>
      <c r="C63" s="3"/>
      <c r="D63" s="849"/>
      <c r="E63" s="849"/>
      <c r="F63" s="849"/>
      <c r="G63" s="849"/>
    </row>
    <row r="64" spans="1:7" s="5" customFormat="1" ht="12.75" customHeight="1" x14ac:dyDescent="0.2">
      <c r="A64" s="847"/>
      <c r="B64" s="848"/>
      <c r="C64" s="3"/>
      <c r="D64" s="849"/>
      <c r="E64" s="849"/>
      <c r="F64" s="849"/>
      <c r="G64" s="849"/>
    </row>
    <row r="65" spans="1:2" ht="26.25" customHeight="1" x14ac:dyDescent="0.2">
      <c r="A65" s="416"/>
      <c r="B65" s="415"/>
    </row>
    <row r="66" spans="1:2" ht="24" customHeight="1" x14ac:dyDescent="0.2">
      <c r="A66" s="416"/>
      <c r="B66" s="416"/>
    </row>
    <row r="67" spans="1:2" ht="12.75" customHeight="1" x14ac:dyDescent="0.2">
      <c r="A67" s="416"/>
      <c r="B67" s="416"/>
    </row>
    <row r="68" spans="1:2" ht="12.75" customHeight="1" x14ac:dyDescent="0.2">
      <c r="A68" s="416"/>
      <c r="B68" s="416"/>
    </row>
    <row r="69" spans="1:2" ht="12.75" customHeight="1" x14ac:dyDescent="0.2">
      <c r="A69" s="416"/>
      <c r="B69" s="416"/>
    </row>
    <row r="70" spans="1:2" ht="12.75" customHeight="1" x14ac:dyDescent="0.2">
      <c r="A70" s="416"/>
      <c r="B70" s="416"/>
    </row>
    <row r="71" spans="1:2" ht="12.75" customHeight="1" x14ac:dyDescent="0.2">
      <c r="A71" s="416"/>
      <c r="B71" s="416"/>
    </row>
    <row r="72" spans="1:2" ht="12.75" customHeight="1" x14ac:dyDescent="0.2">
      <c r="A72" s="416"/>
      <c r="B72" s="416"/>
    </row>
    <row r="73" spans="1:2" ht="12.75" customHeight="1" x14ac:dyDescent="0.2">
      <c r="A73" s="416"/>
      <c r="B73" s="416"/>
    </row>
    <row r="74" spans="1:2" ht="12.75" customHeight="1" x14ac:dyDescent="0.2">
      <c r="A74" s="416"/>
      <c r="B74" s="416"/>
    </row>
    <row r="75" spans="1:2" ht="12.75" customHeight="1" x14ac:dyDescent="0.2">
      <c r="A75" s="416"/>
      <c r="B75" s="416"/>
    </row>
    <row r="76" spans="1:2" ht="12.75" customHeight="1" x14ac:dyDescent="0.2">
      <c r="A76" s="416"/>
      <c r="B76" s="416"/>
    </row>
    <row r="77" spans="1:2" ht="12.75" customHeight="1" x14ac:dyDescent="0.2">
      <c r="A77" s="416"/>
      <c r="B77" s="416"/>
    </row>
    <row r="78" spans="1:2" ht="12.75" customHeight="1" x14ac:dyDescent="0.2">
      <c r="A78" s="416"/>
      <c r="B78" s="416"/>
    </row>
    <row r="79" spans="1:2" ht="12.75" customHeight="1" x14ac:dyDescent="0.2">
      <c r="A79" s="416"/>
      <c r="B79" s="416"/>
    </row>
    <row r="80" spans="1:2" ht="12.75" customHeight="1" x14ac:dyDescent="0.2">
      <c r="A80" s="416"/>
      <c r="B80" s="416"/>
    </row>
    <row r="81" spans="1:2" ht="12.75" customHeight="1" x14ac:dyDescent="0.2">
      <c r="A81" s="416"/>
      <c r="B81" s="416"/>
    </row>
    <row r="82" spans="1:2" ht="12.75" customHeight="1" x14ac:dyDescent="0.2">
      <c r="A82" s="416"/>
      <c r="B82" s="416"/>
    </row>
    <row r="83" spans="1:2" ht="12.75" customHeight="1" x14ac:dyDescent="0.2">
      <c r="A83" s="416"/>
      <c r="B83" s="416"/>
    </row>
    <row r="84" spans="1:2" ht="12.75" customHeight="1" x14ac:dyDescent="0.2">
      <c r="A84" s="416"/>
      <c r="B84" s="416"/>
    </row>
    <row r="85" spans="1:2" ht="12.75" customHeight="1" x14ac:dyDescent="0.2">
      <c r="A85" s="416"/>
      <c r="B85" s="416"/>
    </row>
    <row r="86" spans="1:2" ht="12.75" customHeight="1" x14ac:dyDescent="0.2">
      <c r="A86" s="416"/>
      <c r="B86" s="416"/>
    </row>
    <row r="87" spans="1:2" ht="12.75" customHeight="1" x14ac:dyDescent="0.2">
      <c r="A87" s="416"/>
      <c r="B87" s="416"/>
    </row>
    <row r="88" spans="1:2" ht="12.75" customHeight="1" x14ac:dyDescent="0.2">
      <c r="A88" s="416"/>
      <c r="B88" s="416"/>
    </row>
    <row r="89" spans="1:2" ht="12.75" customHeight="1" x14ac:dyDescent="0.2">
      <c r="A89" s="416"/>
      <c r="B89" s="416"/>
    </row>
    <row r="90" spans="1:2" ht="12.75" customHeight="1" x14ac:dyDescent="0.2">
      <c r="A90" s="416"/>
      <c r="B90" s="416"/>
    </row>
    <row r="91" spans="1:2" ht="12.75" customHeight="1" x14ac:dyDescent="0.2">
      <c r="A91" s="416"/>
      <c r="B91" s="416"/>
    </row>
    <row r="92" spans="1:2" ht="12.75" customHeight="1" x14ac:dyDescent="0.2">
      <c r="A92" s="416"/>
      <c r="B92" s="416"/>
    </row>
    <row r="93" spans="1:2" ht="12.75" customHeight="1" x14ac:dyDescent="0.2">
      <c r="A93" s="416"/>
      <c r="B93" s="416"/>
    </row>
    <row r="94" spans="1:2" ht="12.75" customHeight="1" x14ac:dyDescent="0.2">
      <c r="A94" s="416"/>
      <c r="B94" s="416"/>
    </row>
    <row r="95" spans="1:2" ht="12.75" customHeight="1" x14ac:dyDescent="0.2">
      <c r="A95" s="416"/>
      <c r="B95" s="416"/>
    </row>
    <row r="96" spans="1:2" ht="12.75" customHeight="1" x14ac:dyDescent="0.2">
      <c r="A96" s="416"/>
      <c r="B96" s="416"/>
    </row>
    <row r="97" spans="1:2" ht="12.75" customHeight="1" x14ac:dyDescent="0.2">
      <c r="A97" s="416"/>
      <c r="B97" s="416"/>
    </row>
    <row r="98" spans="1:2" ht="12.75" customHeight="1" x14ac:dyDescent="0.2">
      <c r="A98" s="416"/>
      <c r="B98" s="416"/>
    </row>
    <row r="99" spans="1:2" ht="12.75" customHeight="1" x14ac:dyDescent="0.2">
      <c r="A99" s="416"/>
      <c r="B99" s="416"/>
    </row>
    <row r="100" spans="1:2" ht="12.75" customHeight="1" x14ac:dyDescent="0.2">
      <c r="A100" s="416"/>
      <c r="B100" s="416"/>
    </row>
    <row r="101" spans="1:2" ht="12.75" customHeight="1" x14ac:dyDescent="0.2">
      <c r="A101" s="416"/>
      <c r="B101" s="416"/>
    </row>
    <row r="102" spans="1:2" ht="12.75" customHeight="1" x14ac:dyDescent="0.2">
      <c r="A102" s="416"/>
      <c r="B102" s="416"/>
    </row>
    <row r="103" spans="1:2" ht="12.75" customHeight="1" x14ac:dyDescent="0.2">
      <c r="A103" s="416"/>
      <c r="B103" s="416"/>
    </row>
    <row r="104" spans="1:2" ht="12.75" customHeight="1" x14ac:dyDescent="0.2">
      <c r="A104" s="416"/>
      <c r="B104" s="416"/>
    </row>
    <row r="105" spans="1:2" ht="12.75" customHeight="1" x14ac:dyDescent="0.2">
      <c r="A105" s="416"/>
      <c r="B105" s="416"/>
    </row>
    <row r="106" spans="1:2" ht="12.75" customHeight="1" x14ac:dyDescent="0.2">
      <c r="A106" s="416"/>
      <c r="B106" s="416"/>
    </row>
    <row r="107" spans="1:2" ht="12.75" customHeight="1" x14ac:dyDescent="0.2">
      <c r="A107" s="416"/>
      <c r="B107" s="416"/>
    </row>
    <row r="108" spans="1:2" ht="12.75" customHeight="1" x14ac:dyDescent="0.2">
      <c r="A108" s="416"/>
      <c r="B108" s="416"/>
    </row>
    <row r="109" spans="1:2" ht="12.75" customHeight="1" x14ac:dyDescent="0.2">
      <c r="A109" s="416"/>
      <c r="B109" s="416"/>
    </row>
    <row r="110" spans="1:2" ht="12.75" customHeight="1" x14ac:dyDescent="0.2">
      <c r="A110" s="416"/>
      <c r="B110" s="416"/>
    </row>
    <row r="111" spans="1:2" ht="12.75" customHeight="1" x14ac:dyDescent="0.2">
      <c r="A111" s="416"/>
      <c r="B111" s="416"/>
    </row>
    <row r="112" spans="1:2" ht="12.75" customHeight="1" x14ac:dyDescent="0.2">
      <c r="A112" s="416"/>
      <c r="B112" s="416"/>
    </row>
    <row r="113" spans="1:2" ht="12.75" customHeight="1" x14ac:dyDescent="0.2">
      <c r="A113" s="416"/>
      <c r="B113" s="416"/>
    </row>
    <row r="114" spans="1:2" ht="12.75" customHeight="1" x14ac:dyDescent="0.2">
      <c r="A114" s="416"/>
      <c r="B114" s="416"/>
    </row>
    <row r="115" spans="1:2" ht="12.75" customHeight="1" x14ac:dyDescent="0.2">
      <c r="A115" s="416"/>
      <c r="B115" s="416"/>
    </row>
    <row r="116" spans="1:2" ht="12.75" customHeight="1" x14ac:dyDescent="0.2">
      <c r="A116" s="416"/>
      <c r="B116" s="416"/>
    </row>
    <row r="117" spans="1:2" ht="12.75" customHeight="1" x14ac:dyDescent="0.2">
      <c r="A117" s="416"/>
      <c r="B117" s="416"/>
    </row>
    <row r="118" spans="1:2" ht="12.75" customHeight="1" x14ac:dyDescent="0.2">
      <c r="A118" s="416"/>
      <c r="B118" s="416"/>
    </row>
    <row r="119" spans="1:2" ht="12.75" customHeight="1" x14ac:dyDescent="0.2">
      <c r="A119" s="416"/>
      <c r="B119" s="416"/>
    </row>
    <row r="120" spans="1:2" ht="12.75" customHeight="1" x14ac:dyDescent="0.2">
      <c r="A120" s="416"/>
      <c r="B120" s="416"/>
    </row>
    <row r="121" spans="1:2" ht="12.75" customHeight="1" x14ac:dyDescent="0.2">
      <c r="A121" s="416"/>
      <c r="B121" s="416"/>
    </row>
    <row r="122" spans="1:2" ht="12.75" customHeight="1" x14ac:dyDescent="0.2">
      <c r="A122" s="416"/>
      <c r="B122" s="416"/>
    </row>
    <row r="123" spans="1:2" ht="12.75" customHeight="1" x14ac:dyDescent="0.2">
      <c r="A123" s="416"/>
      <c r="B123" s="416"/>
    </row>
    <row r="124" spans="1:2" ht="12.75" customHeight="1" x14ac:dyDescent="0.2">
      <c r="A124" s="416"/>
      <c r="B124" s="416"/>
    </row>
    <row r="125" spans="1:2" ht="12.75" customHeight="1" x14ac:dyDescent="0.2">
      <c r="A125" s="416"/>
      <c r="B125" s="416"/>
    </row>
    <row r="126" spans="1:2" ht="12.75" customHeight="1" x14ac:dyDescent="0.2">
      <c r="A126" s="416"/>
      <c r="B126" s="416"/>
    </row>
    <row r="127" spans="1:2" ht="12.75" customHeight="1" x14ac:dyDescent="0.2">
      <c r="A127" s="416"/>
      <c r="B127" s="416"/>
    </row>
    <row r="128" spans="1:2" ht="12.75" customHeight="1" x14ac:dyDescent="0.2">
      <c r="A128" s="416"/>
      <c r="B128" s="416"/>
    </row>
    <row r="129" spans="1:2" ht="12.75" customHeight="1" x14ac:dyDescent="0.2">
      <c r="A129" s="416"/>
      <c r="B129" s="416"/>
    </row>
    <row r="130" spans="1:2" ht="12.75" customHeight="1" x14ac:dyDescent="0.2">
      <c r="A130" s="416"/>
      <c r="B130" s="416"/>
    </row>
    <row r="131" spans="1:2" ht="12.75" customHeight="1" x14ac:dyDescent="0.2">
      <c r="A131" s="416"/>
      <c r="B131" s="416"/>
    </row>
    <row r="132" spans="1:2" ht="12.75" customHeight="1" x14ac:dyDescent="0.2">
      <c r="A132" s="416"/>
      <c r="B132" s="416"/>
    </row>
    <row r="133" spans="1:2" ht="12.75" customHeight="1" x14ac:dyDescent="0.2">
      <c r="A133" s="416"/>
      <c r="B133" s="416"/>
    </row>
    <row r="134" spans="1:2" ht="12.75" customHeight="1" x14ac:dyDescent="0.2">
      <c r="A134" s="416"/>
      <c r="B134" s="416"/>
    </row>
    <row r="135" spans="1:2" ht="12.75" customHeight="1" x14ac:dyDescent="0.2">
      <c r="A135" s="416"/>
      <c r="B135" s="416"/>
    </row>
    <row r="136" spans="1:2" ht="12.75" customHeight="1" x14ac:dyDescent="0.2">
      <c r="A136" s="416"/>
      <c r="B136" s="416"/>
    </row>
    <row r="137" spans="1:2" ht="12.75" customHeight="1" x14ac:dyDescent="0.2">
      <c r="A137" s="416"/>
      <c r="B137" s="416"/>
    </row>
    <row r="138" spans="1:2" ht="12.75" customHeight="1" x14ac:dyDescent="0.2">
      <c r="A138" s="416"/>
      <c r="B138" s="416"/>
    </row>
    <row r="139" spans="1:2" ht="12.75" customHeight="1" x14ac:dyDescent="0.2">
      <c r="A139" s="416"/>
      <c r="B139" s="416"/>
    </row>
    <row r="140" spans="1:2" ht="12.75" customHeight="1" x14ac:dyDescent="0.2">
      <c r="A140" s="416"/>
      <c r="B140" s="416"/>
    </row>
    <row r="141" spans="1:2" ht="12.75" customHeight="1" x14ac:dyDescent="0.2">
      <c r="A141" s="416"/>
      <c r="B141" s="416"/>
    </row>
    <row r="142" spans="1:2" ht="12.75" customHeight="1" x14ac:dyDescent="0.2">
      <c r="A142" s="416"/>
      <c r="B142" s="416"/>
    </row>
    <row r="143" spans="1:2" ht="12.75" customHeight="1" x14ac:dyDescent="0.2">
      <c r="A143" s="416"/>
      <c r="B143" s="416"/>
    </row>
    <row r="144" spans="1:2" ht="12.75" customHeight="1" x14ac:dyDescent="0.2">
      <c r="A144" s="416"/>
      <c r="B144" s="416"/>
    </row>
    <row r="145" spans="1:2" ht="12.75" customHeight="1" x14ac:dyDescent="0.2">
      <c r="A145" s="416"/>
      <c r="B145" s="416"/>
    </row>
    <row r="146" spans="1:2" ht="12.75" customHeight="1" x14ac:dyDescent="0.2">
      <c r="A146" s="416"/>
      <c r="B146" s="416"/>
    </row>
    <row r="147" spans="1:2" ht="12.75" customHeight="1" x14ac:dyDescent="0.2">
      <c r="A147" s="416"/>
      <c r="B147" s="416"/>
    </row>
    <row r="148" spans="1:2" ht="12.75" customHeight="1" x14ac:dyDescent="0.2">
      <c r="A148" s="416"/>
      <c r="B148" s="416"/>
    </row>
    <row r="149" spans="1:2" ht="12.75" customHeight="1" x14ac:dyDescent="0.2">
      <c r="A149" s="416"/>
      <c r="B149" s="416"/>
    </row>
    <row r="150" spans="1:2" ht="12.75" customHeight="1" x14ac:dyDescent="0.2">
      <c r="A150" s="416"/>
      <c r="B150" s="416"/>
    </row>
    <row r="151" spans="1:2" ht="12.75" customHeight="1" x14ac:dyDescent="0.2">
      <c r="A151" s="416"/>
      <c r="B151" s="416"/>
    </row>
  </sheetData>
  <mergeCells count="14">
    <mergeCell ref="H17:H19"/>
    <mergeCell ref="I17:I19"/>
    <mergeCell ref="J17:J19"/>
    <mergeCell ref="K17:K19"/>
    <mergeCell ref="L17:L19"/>
    <mergeCell ref="A2:G2"/>
    <mergeCell ref="A3:G3"/>
    <mergeCell ref="A4:G4"/>
    <mergeCell ref="A17:B19"/>
    <mergeCell ref="C17:C19"/>
    <mergeCell ref="D17:D19"/>
    <mergeCell ref="E17:E19"/>
    <mergeCell ref="F17:F19"/>
    <mergeCell ref="G17:G19"/>
  </mergeCells>
  <printOptions horizontalCentered="1"/>
  <pageMargins left="0.19685039370078741" right="0.19685039370078741" top="0.74803149606299213" bottom="0.74803149606299213" header="0.31496062992125984" footer="0.31496062992125984"/>
  <pageSetup scale="90" orientation="portrait" r:id="rId1"/>
  <headerFooter>
    <oddHeader xml:space="preserve">&amp;R07.IV.1
</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05"/>
  <sheetViews>
    <sheetView view="pageBreakPreview" topLeftCell="A125" zoomScale="115" zoomScaleNormal="100" zoomScaleSheetLayoutView="115" workbookViewId="0">
      <selection activeCell="D126" sqref="D126"/>
    </sheetView>
  </sheetViews>
  <sheetFormatPr baseColWidth="10" defaultRowHeight="15" x14ac:dyDescent="0.25"/>
  <cols>
    <col min="1" max="1" width="17.140625" customWidth="1"/>
    <col min="2" max="2" width="19.140625" style="44" customWidth="1"/>
    <col min="3" max="3" width="72" style="33" customWidth="1"/>
    <col min="4" max="4" width="17.85546875" customWidth="1"/>
    <col min="6" max="6" width="21.5703125" customWidth="1"/>
    <col min="8" max="8" width="12" bestFit="1" customWidth="1"/>
  </cols>
  <sheetData>
    <row r="1" spans="1:9" s="35" customFormat="1" ht="14.25" x14ac:dyDescent="0.2">
      <c r="A1" s="34"/>
      <c r="B1" s="133"/>
      <c r="C1" s="793"/>
      <c r="D1" s="34"/>
      <c r="E1" s="34"/>
      <c r="F1" s="34"/>
      <c r="G1" s="34"/>
      <c r="H1" s="34"/>
    </row>
    <row r="2" spans="1:9" s="35" customFormat="1" ht="15" customHeight="1" x14ac:dyDescent="0.2">
      <c r="A2" s="1326" t="s">
        <v>732</v>
      </c>
      <c r="B2" s="1326"/>
      <c r="C2" s="1326"/>
      <c r="D2" s="1326"/>
      <c r="E2" s="37"/>
      <c r="F2" s="37"/>
      <c r="G2" s="37"/>
      <c r="H2" s="37"/>
      <c r="I2" s="37"/>
    </row>
    <row r="3" spans="1:9" s="35" customFormat="1" ht="12.75" customHeight="1" x14ac:dyDescent="0.2">
      <c r="A3" s="1326" t="s">
        <v>503</v>
      </c>
      <c r="B3" s="1326"/>
      <c r="C3" s="1326"/>
      <c r="D3" s="1326"/>
      <c r="E3" s="37"/>
      <c r="F3" s="37"/>
      <c r="G3" s="37"/>
      <c r="H3" s="37"/>
      <c r="I3" s="37"/>
    </row>
    <row r="4" spans="1:9" s="35" customFormat="1" ht="15" hidden="1" customHeight="1" x14ac:dyDescent="0.2">
      <c r="A4" s="1326" t="s">
        <v>12179</v>
      </c>
      <c r="B4" s="1326"/>
      <c r="C4" s="1326"/>
      <c r="D4" s="1326"/>
      <c r="E4" s="37"/>
      <c r="F4" s="37"/>
      <c r="G4" s="37"/>
      <c r="H4" s="37"/>
      <c r="I4" s="37"/>
    </row>
    <row r="5" spans="1:9" s="35" customFormat="1" ht="14.25" hidden="1" x14ac:dyDescent="0.2">
      <c r="B5" s="163"/>
      <c r="C5" s="200"/>
    </row>
    <row r="6" spans="1:9" s="35" customFormat="1" ht="14.25" x14ac:dyDescent="0.2">
      <c r="A6" s="1326" t="s">
        <v>12178</v>
      </c>
      <c r="B6" s="1326"/>
      <c r="C6" s="1326"/>
      <c r="D6" s="1326"/>
    </row>
    <row r="7" spans="1:9" s="35" customFormat="1" ht="14.25" x14ac:dyDescent="0.2">
      <c r="B7" s="163"/>
      <c r="C7" s="200"/>
    </row>
    <row r="9" spans="1:9" ht="32.25" customHeight="1" x14ac:dyDescent="0.25">
      <c r="A9" s="198" t="s">
        <v>483</v>
      </c>
      <c r="B9" s="198" t="s">
        <v>484</v>
      </c>
      <c r="C9" s="198" t="s">
        <v>485</v>
      </c>
      <c r="D9" s="198" t="s">
        <v>486</v>
      </c>
    </row>
    <row r="10" spans="1:9" s="199" customFormat="1" ht="25.5" customHeight="1" x14ac:dyDescent="0.25">
      <c r="A10" s="201" t="s">
        <v>617</v>
      </c>
      <c r="B10" s="202" t="s">
        <v>10399</v>
      </c>
      <c r="C10" s="203" t="s">
        <v>8687</v>
      </c>
      <c r="D10" s="204">
        <v>1508</v>
      </c>
    </row>
    <row r="11" spans="1:9" s="199" customFormat="1" ht="25.5" customHeight="1" x14ac:dyDescent="0.25">
      <c r="A11" s="201" t="s">
        <v>617</v>
      </c>
      <c r="B11" s="202" t="s">
        <v>10400</v>
      </c>
      <c r="C11" s="203" t="s">
        <v>8688</v>
      </c>
      <c r="D11" s="204">
        <v>4402.2</v>
      </c>
    </row>
    <row r="12" spans="1:9" s="199" customFormat="1" ht="25.5" customHeight="1" x14ac:dyDescent="0.25">
      <c r="A12" s="201" t="s">
        <v>617</v>
      </c>
      <c r="B12" s="202" t="s">
        <v>10400</v>
      </c>
      <c r="C12" s="203" t="s">
        <v>8689</v>
      </c>
      <c r="D12" s="204">
        <v>694.83999999999992</v>
      </c>
    </row>
    <row r="13" spans="1:9" s="199" customFormat="1" ht="25.5" customHeight="1" x14ac:dyDescent="0.25">
      <c r="A13" s="201" t="s">
        <v>617</v>
      </c>
      <c r="B13" s="202" t="s">
        <v>10400</v>
      </c>
      <c r="C13" s="203" t="s">
        <v>8689</v>
      </c>
      <c r="D13" s="204">
        <v>694.83999999999992</v>
      </c>
    </row>
    <row r="14" spans="1:9" s="199" customFormat="1" ht="25.5" customHeight="1" x14ac:dyDescent="0.25">
      <c r="A14" s="201" t="s">
        <v>617</v>
      </c>
      <c r="B14" s="202" t="s">
        <v>10400</v>
      </c>
      <c r="C14" s="203" t="s">
        <v>8689</v>
      </c>
      <c r="D14" s="204">
        <v>694.83999999999992</v>
      </c>
    </row>
    <row r="15" spans="1:9" s="199" customFormat="1" ht="25.5" customHeight="1" x14ac:dyDescent="0.25">
      <c r="A15" s="201" t="s">
        <v>617</v>
      </c>
      <c r="B15" s="202" t="s">
        <v>10400</v>
      </c>
      <c r="C15" s="203" t="s">
        <v>8689</v>
      </c>
      <c r="D15" s="204">
        <v>694.83999999999992</v>
      </c>
    </row>
    <row r="16" spans="1:9" s="199" customFormat="1" ht="25.5" customHeight="1" x14ac:dyDescent="0.25">
      <c r="A16" s="201" t="s">
        <v>617</v>
      </c>
      <c r="B16" s="202" t="s">
        <v>10400</v>
      </c>
      <c r="C16" s="203" t="s">
        <v>8689</v>
      </c>
      <c r="D16" s="204">
        <v>694.83999999999992</v>
      </c>
    </row>
    <row r="17" spans="1:4" s="199" customFormat="1" ht="25.5" customHeight="1" x14ac:dyDescent="0.25">
      <c r="A17" s="201" t="s">
        <v>617</v>
      </c>
      <c r="B17" s="202" t="s">
        <v>10400</v>
      </c>
      <c r="C17" s="203" t="s">
        <v>8689</v>
      </c>
      <c r="D17" s="204">
        <v>694.83999999999992</v>
      </c>
    </row>
    <row r="18" spans="1:4" s="199" customFormat="1" ht="25.5" customHeight="1" x14ac:dyDescent="0.25">
      <c r="A18" s="201" t="s">
        <v>617</v>
      </c>
      <c r="B18" s="202" t="s">
        <v>10400</v>
      </c>
      <c r="C18" s="203" t="s">
        <v>8690</v>
      </c>
      <c r="D18" s="204">
        <f>1270*1.16</f>
        <v>1473.1999999999998</v>
      </c>
    </row>
    <row r="19" spans="1:4" s="199" customFormat="1" ht="25.5" customHeight="1" x14ac:dyDescent="0.25">
      <c r="A19" s="201" t="s">
        <v>617</v>
      </c>
      <c r="B19" s="202" t="s">
        <v>10400</v>
      </c>
      <c r="C19" s="203" t="s">
        <v>8690</v>
      </c>
      <c r="D19" s="204">
        <v>1473.1999999999998</v>
      </c>
    </row>
    <row r="20" spans="1:4" s="199" customFormat="1" ht="25.5" customHeight="1" x14ac:dyDescent="0.25">
      <c r="A20" s="201" t="s">
        <v>617</v>
      </c>
      <c r="B20" s="202" t="s">
        <v>10400</v>
      </c>
      <c r="C20" s="203" t="s">
        <v>8690</v>
      </c>
      <c r="D20" s="204">
        <v>1473.1999999999998</v>
      </c>
    </row>
    <row r="21" spans="1:4" s="199" customFormat="1" ht="25.5" customHeight="1" x14ac:dyDescent="0.25">
      <c r="A21" s="201" t="s">
        <v>617</v>
      </c>
      <c r="B21" s="202" t="s">
        <v>10400</v>
      </c>
      <c r="C21" s="203" t="s">
        <v>8690</v>
      </c>
      <c r="D21" s="204">
        <v>1473.1999999999998</v>
      </c>
    </row>
    <row r="22" spans="1:4" s="199" customFormat="1" ht="25.5" customHeight="1" x14ac:dyDescent="0.25">
      <c r="A22" s="201" t="s">
        <v>617</v>
      </c>
      <c r="B22" s="202" t="s">
        <v>10400</v>
      </c>
      <c r="C22" s="203" t="s">
        <v>8690</v>
      </c>
      <c r="D22" s="204">
        <v>1473.1999999999998</v>
      </c>
    </row>
    <row r="23" spans="1:4" s="199" customFormat="1" ht="25.5" customHeight="1" x14ac:dyDescent="0.25">
      <c r="A23" s="201" t="s">
        <v>617</v>
      </c>
      <c r="B23" s="202" t="s">
        <v>10400</v>
      </c>
      <c r="C23" s="203" t="s">
        <v>8690</v>
      </c>
      <c r="D23" s="204">
        <f>1355*1.16</f>
        <v>1571.8</v>
      </c>
    </row>
    <row r="24" spans="1:4" s="199" customFormat="1" ht="25.5" customHeight="1" x14ac:dyDescent="0.25">
      <c r="A24" s="201" t="s">
        <v>617</v>
      </c>
      <c r="B24" s="202" t="s">
        <v>10400</v>
      </c>
      <c r="C24" s="203" t="s">
        <v>8690</v>
      </c>
      <c r="D24" s="204">
        <v>1571.8</v>
      </c>
    </row>
    <row r="25" spans="1:4" s="199" customFormat="1" ht="25.5" customHeight="1" x14ac:dyDescent="0.25">
      <c r="A25" s="201" t="s">
        <v>617</v>
      </c>
      <c r="B25" s="202" t="s">
        <v>10400</v>
      </c>
      <c r="C25" s="203" t="s">
        <v>8690</v>
      </c>
      <c r="D25" s="204">
        <v>1571.8</v>
      </c>
    </row>
    <row r="26" spans="1:4" s="199" customFormat="1" ht="25.5" customHeight="1" x14ac:dyDescent="0.25">
      <c r="A26" s="201" t="s">
        <v>617</v>
      </c>
      <c r="B26" s="202" t="s">
        <v>10400</v>
      </c>
      <c r="C26" s="203" t="s">
        <v>8690</v>
      </c>
      <c r="D26" s="204">
        <v>1571.8</v>
      </c>
    </row>
    <row r="27" spans="1:4" s="199" customFormat="1" ht="25.5" customHeight="1" x14ac:dyDescent="0.25">
      <c r="A27" s="201" t="s">
        <v>617</v>
      </c>
      <c r="B27" s="202" t="s">
        <v>10400</v>
      </c>
      <c r="C27" s="203" t="s">
        <v>8691</v>
      </c>
      <c r="D27" s="204">
        <f>1762*1.16</f>
        <v>2043.9199999999998</v>
      </c>
    </row>
    <row r="28" spans="1:4" s="199" customFormat="1" ht="25.5" customHeight="1" x14ac:dyDescent="0.25">
      <c r="A28" s="201" t="s">
        <v>617</v>
      </c>
      <c r="B28" s="202" t="s">
        <v>10400</v>
      </c>
      <c r="C28" s="203" t="s">
        <v>8692</v>
      </c>
      <c r="D28" s="204">
        <v>4234</v>
      </c>
    </row>
    <row r="29" spans="1:4" s="199" customFormat="1" ht="25.5" customHeight="1" x14ac:dyDescent="0.25">
      <c r="A29" s="201" t="s">
        <v>617</v>
      </c>
      <c r="B29" s="202" t="s">
        <v>10400</v>
      </c>
      <c r="C29" s="203" t="s">
        <v>8692</v>
      </c>
      <c r="D29" s="204">
        <v>4234</v>
      </c>
    </row>
    <row r="30" spans="1:4" s="199" customFormat="1" ht="25.5" customHeight="1" x14ac:dyDescent="0.25">
      <c r="A30" s="201" t="s">
        <v>617</v>
      </c>
      <c r="B30" s="202" t="s">
        <v>10400</v>
      </c>
      <c r="C30" s="203" t="s">
        <v>8692</v>
      </c>
      <c r="D30" s="204">
        <v>4234</v>
      </c>
    </row>
    <row r="31" spans="1:4" s="199" customFormat="1" ht="25.5" customHeight="1" x14ac:dyDescent="0.25">
      <c r="A31" s="201" t="s">
        <v>617</v>
      </c>
      <c r="B31" s="202" t="s">
        <v>10400</v>
      </c>
      <c r="C31" s="203" t="s">
        <v>8693</v>
      </c>
      <c r="D31" s="204">
        <v>5127.2</v>
      </c>
    </row>
    <row r="32" spans="1:4" s="199" customFormat="1" ht="25.5" customHeight="1" x14ac:dyDescent="0.25">
      <c r="A32" s="201" t="s">
        <v>617</v>
      </c>
      <c r="B32" s="202" t="s">
        <v>10400</v>
      </c>
      <c r="C32" s="203" t="s">
        <v>8694</v>
      </c>
      <c r="D32" s="204">
        <f>1800*1.16</f>
        <v>2088</v>
      </c>
    </row>
    <row r="33" spans="1:4" s="199" customFormat="1" ht="25.5" customHeight="1" x14ac:dyDescent="0.25">
      <c r="A33" s="201" t="s">
        <v>617</v>
      </c>
      <c r="B33" s="202" t="s">
        <v>10400</v>
      </c>
      <c r="C33" s="203" t="s">
        <v>8694</v>
      </c>
      <c r="D33" s="204">
        <v>2088</v>
      </c>
    </row>
    <row r="34" spans="1:4" s="199" customFormat="1" ht="25.5" customHeight="1" x14ac:dyDescent="0.25">
      <c r="A34" s="201" t="s">
        <v>617</v>
      </c>
      <c r="B34" s="202" t="s">
        <v>10400</v>
      </c>
      <c r="C34" s="203" t="s">
        <v>8695</v>
      </c>
      <c r="D34" s="204">
        <v>3653.9999999999995</v>
      </c>
    </row>
    <row r="35" spans="1:4" s="199" customFormat="1" ht="25.5" customHeight="1" x14ac:dyDescent="0.25">
      <c r="A35" s="201" t="s">
        <v>617</v>
      </c>
      <c r="B35" s="202" t="s">
        <v>10400</v>
      </c>
      <c r="C35" s="203" t="s">
        <v>8695</v>
      </c>
      <c r="D35" s="204">
        <v>3653.9999999999995</v>
      </c>
    </row>
    <row r="36" spans="1:4" s="199" customFormat="1" ht="25.5" customHeight="1" x14ac:dyDescent="0.25">
      <c r="A36" s="201" t="s">
        <v>617</v>
      </c>
      <c r="B36" s="202" t="s">
        <v>10400</v>
      </c>
      <c r="C36" s="203" t="s">
        <v>8695</v>
      </c>
      <c r="D36" s="204">
        <v>3653.9999999999995</v>
      </c>
    </row>
    <row r="37" spans="1:4" s="199" customFormat="1" ht="25.5" customHeight="1" x14ac:dyDescent="0.25">
      <c r="A37" s="201" t="s">
        <v>617</v>
      </c>
      <c r="B37" s="202" t="s">
        <v>10400</v>
      </c>
      <c r="C37" s="203" t="s">
        <v>8696</v>
      </c>
      <c r="D37" s="204">
        <v>1469.7199999999998</v>
      </c>
    </row>
    <row r="38" spans="1:4" s="199" customFormat="1" ht="25.5" customHeight="1" x14ac:dyDescent="0.25">
      <c r="A38" s="201" t="s">
        <v>617</v>
      </c>
      <c r="B38" s="202" t="s">
        <v>10400</v>
      </c>
      <c r="C38" s="203" t="s">
        <v>8696</v>
      </c>
      <c r="D38" s="204">
        <v>1469.7199999999998</v>
      </c>
    </row>
    <row r="39" spans="1:4" s="199" customFormat="1" ht="25.5" customHeight="1" x14ac:dyDescent="0.25">
      <c r="A39" s="201" t="s">
        <v>617</v>
      </c>
      <c r="B39" s="202" t="s">
        <v>10400</v>
      </c>
      <c r="C39" s="203" t="s">
        <v>8696</v>
      </c>
      <c r="D39" s="204">
        <v>1469.7199999999998</v>
      </c>
    </row>
    <row r="40" spans="1:4" s="199" customFormat="1" ht="25.5" customHeight="1" x14ac:dyDescent="0.25">
      <c r="A40" s="201" t="s">
        <v>617</v>
      </c>
      <c r="B40" s="202" t="s">
        <v>10400</v>
      </c>
      <c r="C40" s="203" t="s">
        <v>8697</v>
      </c>
      <c r="D40" s="204">
        <v>2378</v>
      </c>
    </row>
    <row r="41" spans="1:4" s="199" customFormat="1" ht="25.5" customHeight="1" x14ac:dyDescent="0.25">
      <c r="A41" s="201" t="s">
        <v>617</v>
      </c>
      <c r="B41" s="202" t="s">
        <v>10400</v>
      </c>
      <c r="C41" s="203" t="s">
        <v>8698</v>
      </c>
      <c r="D41" s="204">
        <v>4100.5999999999995</v>
      </c>
    </row>
    <row r="42" spans="1:4" s="199" customFormat="1" ht="25.5" customHeight="1" x14ac:dyDescent="0.25">
      <c r="A42" s="201" t="s">
        <v>617</v>
      </c>
      <c r="B42" s="202" t="s">
        <v>10400</v>
      </c>
      <c r="C42" s="203" t="s">
        <v>8699</v>
      </c>
      <c r="D42" s="204">
        <v>696</v>
      </c>
    </row>
    <row r="43" spans="1:4" s="199" customFormat="1" ht="25.5" customHeight="1" x14ac:dyDescent="0.25">
      <c r="A43" s="201" t="s">
        <v>617</v>
      </c>
      <c r="B43" s="202" t="s">
        <v>10400</v>
      </c>
      <c r="C43" s="203" t="s">
        <v>8699</v>
      </c>
      <c r="D43" s="204">
        <v>696</v>
      </c>
    </row>
    <row r="44" spans="1:4" s="199" customFormat="1" ht="25.5" customHeight="1" x14ac:dyDescent="0.25">
      <c r="A44" s="201" t="s">
        <v>617</v>
      </c>
      <c r="B44" s="202" t="s">
        <v>10400</v>
      </c>
      <c r="C44" s="203" t="s">
        <v>8699</v>
      </c>
      <c r="D44" s="204">
        <v>696</v>
      </c>
    </row>
    <row r="45" spans="1:4" s="199" customFormat="1" ht="25.5" customHeight="1" x14ac:dyDescent="0.25">
      <c r="A45" s="201" t="s">
        <v>617</v>
      </c>
      <c r="B45" s="202" t="s">
        <v>10400</v>
      </c>
      <c r="C45" s="203" t="s">
        <v>8699</v>
      </c>
      <c r="D45" s="204">
        <v>696</v>
      </c>
    </row>
    <row r="46" spans="1:4" s="199" customFormat="1" ht="25.5" customHeight="1" x14ac:dyDescent="0.25">
      <c r="A46" s="201" t="s">
        <v>617</v>
      </c>
      <c r="B46" s="202" t="s">
        <v>10400</v>
      </c>
      <c r="C46" s="203" t="s">
        <v>8700</v>
      </c>
      <c r="D46" s="204">
        <v>5220</v>
      </c>
    </row>
    <row r="47" spans="1:4" s="199" customFormat="1" ht="25.5" customHeight="1" x14ac:dyDescent="0.25">
      <c r="A47" s="201" t="s">
        <v>617</v>
      </c>
      <c r="B47" s="202" t="s">
        <v>10400</v>
      </c>
      <c r="C47" s="203" t="s">
        <v>8701</v>
      </c>
      <c r="D47" s="204">
        <v>31204</v>
      </c>
    </row>
    <row r="48" spans="1:4" s="199" customFormat="1" ht="25.5" customHeight="1" x14ac:dyDescent="0.25">
      <c r="A48" s="201" t="s">
        <v>617</v>
      </c>
      <c r="B48" s="202" t="s">
        <v>10400</v>
      </c>
      <c r="C48" s="203" t="s">
        <v>12177</v>
      </c>
      <c r="D48" s="204">
        <v>17420.88</v>
      </c>
    </row>
    <row r="49" spans="1:4" s="199" customFormat="1" ht="25.5" customHeight="1" x14ac:dyDescent="0.25">
      <c r="A49" s="201" t="s">
        <v>617</v>
      </c>
      <c r="B49" s="202" t="s">
        <v>10400</v>
      </c>
      <c r="C49" s="203" t="s">
        <v>8705</v>
      </c>
      <c r="D49" s="204">
        <v>10100.120000000001</v>
      </c>
    </row>
    <row r="50" spans="1:4" s="199" customFormat="1" ht="25.5" customHeight="1" x14ac:dyDescent="0.25">
      <c r="A50" s="201" t="s">
        <v>617</v>
      </c>
      <c r="B50" s="202" t="s">
        <v>10401</v>
      </c>
      <c r="C50" s="203" t="s">
        <v>8706</v>
      </c>
      <c r="D50" s="204">
        <v>1390</v>
      </c>
    </row>
    <row r="51" spans="1:4" s="199" customFormat="1" ht="25.5" customHeight="1" x14ac:dyDescent="0.25">
      <c r="A51" s="201" t="s">
        <v>617</v>
      </c>
      <c r="B51" s="202" t="s">
        <v>10401</v>
      </c>
      <c r="C51" s="203" t="s">
        <v>8707</v>
      </c>
      <c r="D51" s="204">
        <v>7957.6</v>
      </c>
    </row>
    <row r="52" spans="1:4" s="199" customFormat="1" ht="25.5" customHeight="1" x14ac:dyDescent="0.25">
      <c r="A52" s="201" t="s">
        <v>617</v>
      </c>
      <c r="B52" s="202" t="s">
        <v>10401</v>
      </c>
      <c r="C52" s="203" t="s">
        <v>8707</v>
      </c>
      <c r="D52" s="204">
        <v>7957.6</v>
      </c>
    </row>
    <row r="53" spans="1:4" s="199" customFormat="1" ht="25.5" customHeight="1" x14ac:dyDescent="0.25">
      <c r="A53" s="201" t="s">
        <v>617</v>
      </c>
      <c r="B53" s="202" t="s">
        <v>10401</v>
      </c>
      <c r="C53" s="203" t="s">
        <v>8708</v>
      </c>
      <c r="D53" s="204">
        <v>9744</v>
      </c>
    </row>
    <row r="54" spans="1:4" s="199" customFormat="1" ht="25.5" customHeight="1" x14ac:dyDescent="0.25">
      <c r="A54" s="201" t="s">
        <v>617</v>
      </c>
      <c r="B54" s="202" t="s">
        <v>10401</v>
      </c>
      <c r="C54" s="203" t="s">
        <v>8708</v>
      </c>
      <c r="D54" s="204">
        <v>9744</v>
      </c>
    </row>
    <row r="55" spans="1:4" s="199" customFormat="1" ht="25.5" customHeight="1" x14ac:dyDescent="0.25">
      <c r="A55" s="201" t="s">
        <v>617</v>
      </c>
      <c r="B55" s="202" t="s">
        <v>10401</v>
      </c>
      <c r="C55" s="203" t="s">
        <v>8708</v>
      </c>
      <c r="D55" s="204">
        <v>9744</v>
      </c>
    </row>
    <row r="56" spans="1:4" s="199" customFormat="1" ht="25.5" customHeight="1" x14ac:dyDescent="0.25">
      <c r="A56" s="201" t="s">
        <v>617</v>
      </c>
      <c r="B56" s="202" t="s">
        <v>10401</v>
      </c>
      <c r="C56" s="203" t="s">
        <v>8709</v>
      </c>
      <c r="D56" s="204">
        <v>8710.44</v>
      </c>
    </row>
    <row r="57" spans="1:4" s="199" customFormat="1" ht="25.5" customHeight="1" x14ac:dyDescent="0.25">
      <c r="A57" s="201" t="s">
        <v>617</v>
      </c>
      <c r="B57" s="202" t="s">
        <v>10401</v>
      </c>
      <c r="C57" s="203" t="s">
        <v>8709</v>
      </c>
      <c r="D57" s="204">
        <v>8710.44</v>
      </c>
    </row>
    <row r="58" spans="1:4" s="199" customFormat="1" ht="25.5" customHeight="1" x14ac:dyDescent="0.25">
      <c r="A58" s="201" t="s">
        <v>621</v>
      </c>
      <c r="B58" s="202" t="s">
        <v>10401</v>
      </c>
      <c r="C58" s="203" t="s">
        <v>8710</v>
      </c>
      <c r="D58" s="204">
        <v>25500</v>
      </c>
    </row>
    <row r="59" spans="1:4" s="199" customFormat="1" ht="25.5" customHeight="1" x14ac:dyDescent="0.25">
      <c r="A59" s="201" t="s">
        <v>617</v>
      </c>
      <c r="B59" s="202" t="s">
        <v>10402</v>
      </c>
      <c r="C59" s="203" t="s">
        <v>8711</v>
      </c>
      <c r="D59" s="204">
        <v>7748.8</v>
      </c>
    </row>
    <row r="60" spans="1:4" s="199" customFormat="1" ht="25.5" customHeight="1" x14ac:dyDescent="0.25">
      <c r="A60" s="201" t="s">
        <v>617</v>
      </c>
      <c r="B60" s="202" t="s">
        <v>10402</v>
      </c>
      <c r="C60" s="203" t="s">
        <v>8712</v>
      </c>
      <c r="D60" s="204">
        <v>6960</v>
      </c>
    </row>
    <row r="61" spans="1:4" s="199" customFormat="1" ht="25.5" customHeight="1" x14ac:dyDescent="0.25">
      <c r="A61" s="201" t="s">
        <v>622</v>
      </c>
      <c r="B61" s="202" t="s">
        <v>10402</v>
      </c>
      <c r="C61" s="203" t="s">
        <v>8713</v>
      </c>
      <c r="D61" s="204">
        <v>17499.009999999998</v>
      </c>
    </row>
    <row r="62" spans="1:4" s="199" customFormat="1" ht="25.5" customHeight="1" x14ac:dyDescent="0.25">
      <c r="A62" s="201" t="s">
        <v>622</v>
      </c>
      <c r="B62" s="202" t="s">
        <v>10402</v>
      </c>
      <c r="C62" s="203" t="s">
        <v>8713</v>
      </c>
      <c r="D62" s="204">
        <v>17499.009999999998</v>
      </c>
    </row>
    <row r="63" spans="1:4" s="199" customFormat="1" ht="25.5" customHeight="1" x14ac:dyDescent="0.25">
      <c r="A63" s="201" t="s">
        <v>622</v>
      </c>
      <c r="B63" s="202" t="s">
        <v>10403</v>
      </c>
      <c r="C63" s="203" t="s">
        <v>8714</v>
      </c>
      <c r="D63" s="204">
        <v>6264</v>
      </c>
    </row>
    <row r="64" spans="1:4" s="199" customFormat="1" ht="25.5" customHeight="1" x14ac:dyDescent="0.25">
      <c r="A64" s="201" t="s">
        <v>622</v>
      </c>
      <c r="B64" s="202" t="s">
        <v>10403</v>
      </c>
      <c r="C64" s="203" t="s">
        <v>8714</v>
      </c>
      <c r="D64" s="204">
        <v>6264</v>
      </c>
    </row>
    <row r="65" spans="1:4" s="199" customFormat="1" ht="25.5" customHeight="1" x14ac:dyDescent="0.25">
      <c r="A65" s="201" t="s">
        <v>622</v>
      </c>
      <c r="B65" s="202" t="s">
        <v>10403</v>
      </c>
      <c r="C65" s="203" t="s">
        <v>8714</v>
      </c>
      <c r="D65" s="204">
        <v>6264</v>
      </c>
    </row>
    <row r="66" spans="1:4" s="199" customFormat="1" ht="25.5" customHeight="1" x14ac:dyDescent="0.25">
      <c r="A66" s="201" t="s">
        <v>622</v>
      </c>
      <c r="B66" s="202" t="s">
        <v>10403</v>
      </c>
      <c r="C66" s="203" t="s">
        <v>8714</v>
      </c>
      <c r="D66" s="204">
        <v>6264</v>
      </c>
    </row>
    <row r="67" spans="1:4" s="199" customFormat="1" ht="25.5" customHeight="1" x14ac:dyDescent="0.25">
      <c r="A67" s="201" t="s">
        <v>622</v>
      </c>
      <c r="B67" s="202" t="s">
        <v>10403</v>
      </c>
      <c r="C67" s="203" t="s">
        <v>8714</v>
      </c>
      <c r="D67" s="204">
        <v>6264</v>
      </c>
    </row>
    <row r="68" spans="1:4" s="199" customFormat="1" ht="25.5" customHeight="1" x14ac:dyDescent="0.25">
      <c r="A68" s="201" t="s">
        <v>622</v>
      </c>
      <c r="B68" s="202" t="s">
        <v>10403</v>
      </c>
      <c r="C68" s="203" t="s">
        <v>8714</v>
      </c>
      <c r="D68" s="204">
        <v>6264</v>
      </c>
    </row>
    <row r="69" spans="1:4" s="199" customFormat="1" ht="25.5" customHeight="1" x14ac:dyDescent="0.25">
      <c r="A69" s="201" t="s">
        <v>622</v>
      </c>
      <c r="B69" s="202" t="s">
        <v>10403</v>
      </c>
      <c r="C69" s="203" t="s">
        <v>8714</v>
      </c>
      <c r="D69" s="204">
        <v>6264</v>
      </c>
    </row>
    <row r="70" spans="1:4" s="199" customFormat="1" ht="25.5" customHeight="1" x14ac:dyDescent="0.25">
      <c r="A70" s="201" t="s">
        <v>622</v>
      </c>
      <c r="B70" s="202" t="s">
        <v>10403</v>
      </c>
      <c r="C70" s="203" t="s">
        <v>8714</v>
      </c>
      <c r="D70" s="204">
        <v>6264</v>
      </c>
    </row>
    <row r="71" spans="1:4" s="199" customFormat="1" ht="25.5" customHeight="1" x14ac:dyDescent="0.25">
      <c r="A71" s="201" t="s">
        <v>622</v>
      </c>
      <c r="B71" s="202" t="s">
        <v>10403</v>
      </c>
      <c r="C71" s="203" t="s">
        <v>8714</v>
      </c>
      <c r="D71" s="204">
        <v>6264</v>
      </c>
    </row>
    <row r="72" spans="1:4" s="199" customFormat="1" ht="25.5" customHeight="1" x14ac:dyDescent="0.25">
      <c r="A72" s="201" t="s">
        <v>622</v>
      </c>
      <c r="B72" s="202" t="s">
        <v>10403</v>
      </c>
      <c r="C72" s="203" t="s">
        <v>8714</v>
      </c>
      <c r="D72" s="204">
        <v>6264</v>
      </c>
    </row>
    <row r="73" spans="1:4" s="199" customFormat="1" ht="25.5" customHeight="1" x14ac:dyDescent="0.25">
      <c r="A73" s="201" t="s">
        <v>622</v>
      </c>
      <c r="B73" s="202" t="s">
        <v>10403</v>
      </c>
      <c r="C73" s="203" t="s">
        <v>8714</v>
      </c>
      <c r="D73" s="204">
        <v>6264</v>
      </c>
    </row>
    <row r="74" spans="1:4" s="199" customFormat="1" ht="25.5" customHeight="1" x14ac:dyDescent="0.25">
      <c r="A74" s="201" t="s">
        <v>622</v>
      </c>
      <c r="B74" s="202" t="s">
        <v>10403</v>
      </c>
      <c r="C74" s="203" t="s">
        <v>8714</v>
      </c>
      <c r="D74" s="204">
        <v>6264</v>
      </c>
    </row>
    <row r="75" spans="1:4" s="199" customFormat="1" ht="25.5" customHeight="1" x14ac:dyDescent="0.25">
      <c r="A75" s="201" t="s">
        <v>622</v>
      </c>
      <c r="B75" s="202" t="s">
        <v>10403</v>
      </c>
      <c r="C75" s="203" t="s">
        <v>8714</v>
      </c>
      <c r="D75" s="204">
        <v>6264</v>
      </c>
    </row>
    <row r="76" spans="1:4" s="199" customFormat="1" ht="25.5" customHeight="1" x14ac:dyDescent="0.25">
      <c r="A76" s="201" t="s">
        <v>622</v>
      </c>
      <c r="B76" s="202" t="s">
        <v>10403</v>
      </c>
      <c r="C76" s="203" t="s">
        <v>8714</v>
      </c>
      <c r="D76" s="204">
        <v>6264</v>
      </c>
    </row>
    <row r="77" spans="1:4" s="199" customFormat="1" ht="25.5" customHeight="1" x14ac:dyDescent="0.25">
      <c r="A77" s="201" t="s">
        <v>622</v>
      </c>
      <c r="B77" s="202" t="s">
        <v>10403</v>
      </c>
      <c r="C77" s="203" t="s">
        <v>8715</v>
      </c>
      <c r="D77" s="204">
        <v>24882</v>
      </c>
    </row>
    <row r="78" spans="1:4" s="199" customFormat="1" ht="25.5" customHeight="1" x14ac:dyDescent="0.25">
      <c r="A78" s="201" t="s">
        <v>622</v>
      </c>
      <c r="B78" s="202" t="s">
        <v>10403</v>
      </c>
      <c r="C78" s="203" t="s">
        <v>8716</v>
      </c>
      <c r="D78" s="204">
        <v>4364.9986666666673</v>
      </c>
    </row>
    <row r="79" spans="1:4" s="199" customFormat="1" ht="25.5" customHeight="1" x14ac:dyDescent="0.25">
      <c r="A79" s="201" t="s">
        <v>622</v>
      </c>
      <c r="B79" s="202" t="s">
        <v>10403</v>
      </c>
      <c r="C79" s="203" t="s">
        <v>8716</v>
      </c>
      <c r="D79" s="204">
        <v>4364.9986666666673</v>
      </c>
    </row>
    <row r="80" spans="1:4" s="199" customFormat="1" ht="25.5" customHeight="1" x14ac:dyDescent="0.25">
      <c r="A80" s="201" t="s">
        <v>622</v>
      </c>
      <c r="B80" s="202" t="s">
        <v>10403</v>
      </c>
      <c r="C80" s="203" t="s">
        <v>8716</v>
      </c>
      <c r="D80" s="204">
        <v>4364.9986666666673</v>
      </c>
    </row>
    <row r="81" spans="1:4" s="199" customFormat="1" ht="25.5" customHeight="1" x14ac:dyDescent="0.25">
      <c r="A81" s="201" t="s">
        <v>622</v>
      </c>
      <c r="B81" s="202" t="s">
        <v>10403</v>
      </c>
      <c r="C81" s="203" t="s">
        <v>8716</v>
      </c>
      <c r="D81" s="204">
        <v>4364.9986666666673</v>
      </c>
    </row>
    <row r="82" spans="1:4" s="199" customFormat="1" ht="25.5" customHeight="1" x14ac:dyDescent="0.25">
      <c r="A82" s="201" t="s">
        <v>622</v>
      </c>
      <c r="B82" s="202" t="s">
        <v>10403</v>
      </c>
      <c r="C82" s="203" t="s">
        <v>8716</v>
      </c>
      <c r="D82" s="204">
        <v>4364.9986666666673</v>
      </c>
    </row>
    <row r="83" spans="1:4" s="199" customFormat="1" ht="25.5" customHeight="1" x14ac:dyDescent="0.25">
      <c r="A83" s="201" t="s">
        <v>622</v>
      </c>
      <c r="B83" s="202" t="s">
        <v>10403</v>
      </c>
      <c r="C83" s="203" t="s">
        <v>8716</v>
      </c>
      <c r="D83" s="204">
        <v>4364.9986666666673</v>
      </c>
    </row>
    <row r="84" spans="1:4" s="199" customFormat="1" ht="25.5" customHeight="1" x14ac:dyDescent="0.25">
      <c r="A84" s="201" t="s">
        <v>622</v>
      </c>
      <c r="B84" s="202" t="s">
        <v>10403</v>
      </c>
      <c r="C84" s="203" t="s">
        <v>8716</v>
      </c>
      <c r="D84" s="204">
        <v>4364.9986666666673</v>
      </c>
    </row>
    <row r="85" spans="1:4" s="199" customFormat="1" ht="25.5" customHeight="1" x14ac:dyDescent="0.25">
      <c r="A85" s="201" t="s">
        <v>622</v>
      </c>
      <c r="B85" s="202" t="s">
        <v>10403</v>
      </c>
      <c r="C85" s="203" t="s">
        <v>8716</v>
      </c>
      <c r="D85" s="204">
        <v>4364.9986666666673</v>
      </c>
    </row>
    <row r="86" spans="1:4" s="199" customFormat="1" ht="25.5" customHeight="1" x14ac:dyDescent="0.25">
      <c r="A86" s="201" t="s">
        <v>622</v>
      </c>
      <c r="B86" s="202" t="s">
        <v>10403</v>
      </c>
      <c r="C86" s="203" t="s">
        <v>8716</v>
      </c>
      <c r="D86" s="204">
        <v>4364.9986666666673</v>
      </c>
    </row>
    <row r="87" spans="1:4" s="199" customFormat="1" ht="25.5" customHeight="1" x14ac:dyDescent="0.25">
      <c r="A87" s="201" t="s">
        <v>622</v>
      </c>
      <c r="B87" s="202" t="s">
        <v>10403</v>
      </c>
      <c r="C87" s="203" t="s">
        <v>8716</v>
      </c>
      <c r="D87" s="204">
        <v>4364.9986666666673</v>
      </c>
    </row>
    <row r="88" spans="1:4" s="199" customFormat="1" ht="25.5" customHeight="1" x14ac:dyDescent="0.25">
      <c r="A88" s="201" t="s">
        <v>622</v>
      </c>
      <c r="B88" s="202" t="s">
        <v>10403</v>
      </c>
      <c r="C88" s="203" t="s">
        <v>8716</v>
      </c>
      <c r="D88" s="204">
        <v>4364.9986666666673</v>
      </c>
    </row>
    <row r="89" spans="1:4" s="199" customFormat="1" ht="25.5" customHeight="1" x14ac:dyDescent="0.25">
      <c r="A89" s="201" t="s">
        <v>622</v>
      </c>
      <c r="B89" s="202" t="s">
        <v>10403</v>
      </c>
      <c r="C89" s="203" t="s">
        <v>8716</v>
      </c>
      <c r="D89" s="204">
        <v>4364.9986666666673</v>
      </c>
    </row>
    <row r="90" spans="1:4" s="199" customFormat="1" ht="25.5" customHeight="1" x14ac:dyDescent="0.25">
      <c r="A90" s="201" t="s">
        <v>622</v>
      </c>
      <c r="B90" s="202" t="s">
        <v>10403</v>
      </c>
      <c r="C90" s="203" t="s">
        <v>8716</v>
      </c>
      <c r="D90" s="204">
        <v>4364.9986666666673</v>
      </c>
    </row>
    <row r="91" spans="1:4" s="199" customFormat="1" ht="25.5" customHeight="1" x14ac:dyDescent="0.25">
      <c r="A91" s="201" t="s">
        <v>622</v>
      </c>
      <c r="B91" s="202" t="s">
        <v>10403</v>
      </c>
      <c r="C91" s="203" t="s">
        <v>8716</v>
      </c>
      <c r="D91" s="204">
        <v>4364.9986666666673</v>
      </c>
    </row>
    <row r="92" spans="1:4" s="199" customFormat="1" ht="25.5" customHeight="1" x14ac:dyDescent="0.25">
      <c r="A92" s="201" t="s">
        <v>622</v>
      </c>
      <c r="B92" s="202" t="s">
        <v>10403</v>
      </c>
      <c r="C92" s="203" t="s">
        <v>8716</v>
      </c>
      <c r="D92" s="204">
        <v>4364.9986666666673</v>
      </c>
    </row>
    <row r="93" spans="1:4" s="199" customFormat="1" ht="25.5" customHeight="1" x14ac:dyDescent="0.25">
      <c r="A93" s="201" t="s">
        <v>622</v>
      </c>
      <c r="B93" s="202" t="s">
        <v>10403</v>
      </c>
      <c r="C93" s="203" t="s">
        <v>8716</v>
      </c>
      <c r="D93" s="204">
        <v>4364.9986666666673</v>
      </c>
    </row>
    <row r="94" spans="1:4" s="199" customFormat="1" ht="25.5" customHeight="1" x14ac:dyDescent="0.25">
      <c r="A94" s="201" t="s">
        <v>622</v>
      </c>
      <c r="B94" s="202" t="s">
        <v>10403</v>
      </c>
      <c r="C94" s="203" t="s">
        <v>8716</v>
      </c>
      <c r="D94" s="204">
        <v>4364.9986666666673</v>
      </c>
    </row>
    <row r="95" spans="1:4" s="199" customFormat="1" ht="25.5" customHeight="1" x14ac:dyDescent="0.25">
      <c r="A95" s="201" t="s">
        <v>622</v>
      </c>
      <c r="B95" s="202" t="s">
        <v>10403</v>
      </c>
      <c r="C95" s="203" t="s">
        <v>8716</v>
      </c>
      <c r="D95" s="204">
        <v>4364.9986666666673</v>
      </c>
    </row>
    <row r="96" spans="1:4" s="199" customFormat="1" ht="25.5" customHeight="1" x14ac:dyDescent="0.25">
      <c r="A96" s="201" t="s">
        <v>622</v>
      </c>
      <c r="B96" s="202" t="s">
        <v>10403</v>
      </c>
      <c r="C96" s="203" t="s">
        <v>8716</v>
      </c>
      <c r="D96" s="204">
        <v>4364.9986666666673</v>
      </c>
    </row>
    <row r="97" spans="1:4" s="199" customFormat="1" ht="25.5" customHeight="1" x14ac:dyDescent="0.25">
      <c r="A97" s="201" t="s">
        <v>622</v>
      </c>
      <c r="B97" s="202" t="s">
        <v>10403</v>
      </c>
      <c r="C97" s="203" t="s">
        <v>8716</v>
      </c>
      <c r="D97" s="204">
        <v>4364.9986666666673</v>
      </c>
    </row>
    <row r="98" spans="1:4" s="199" customFormat="1" ht="25.5" customHeight="1" x14ac:dyDescent="0.25">
      <c r="A98" s="201" t="s">
        <v>622</v>
      </c>
      <c r="B98" s="202" t="s">
        <v>10403</v>
      </c>
      <c r="C98" s="203" t="s">
        <v>8716</v>
      </c>
      <c r="D98" s="204">
        <v>4364.9986666666673</v>
      </c>
    </row>
    <row r="99" spans="1:4" s="199" customFormat="1" ht="25.5" customHeight="1" x14ac:dyDescent="0.25">
      <c r="A99" s="201" t="s">
        <v>622</v>
      </c>
      <c r="B99" s="202" t="s">
        <v>10403</v>
      </c>
      <c r="C99" s="203" t="s">
        <v>8716</v>
      </c>
      <c r="D99" s="204">
        <v>4364.9986666666673</v>
      </c>
    </row>
    <row r="100" spans="1:4" s="199" customFormat="1" ht="25.5" customHeight="1" x14ac:dyDescent="0.25">
      <c r="A100" s="201" t="s">
        <v>622</v>
      </c>
      <c r="B100" s="202" t="s">
        <v>10403</v>
      </c>
      <c r="C100" s="203" t="s">
        <v>8716</v>
      </c>
      <c r="D100" s="204">
        <v>4364.9986666666673</v>
      </c>
    </row>
    <row r="101" spans="1:4" s="199" customFormat="1" ht="25.5" customHeight="1" x14ac:dyDescent="0.25">
      <c r="A101" s="201" t="s">
        <v>622</v>
      </c>
      <c r="B101" s="202" t="s">
        <v>10403</v>
      </c>
      <c r="C101" s="203" t="s">
        <v>8716</v>
      </c>
      <c r="D101" s="204">
        <v>4364.9986666666673</v>
      </c>
    </row>
    <row r="102" spans="1:4" s="199" customFormat="1" ht="25.5" customHeight="1" x14ac:dyDescent="0.25">
      <c r="A102" s="201" t="s">
        <v>622</v>
      </c>
      <c r="B102" s="202" t="s">
        <v>10403</v>
      </c>
      <c r="C102" s="203" t="s">
        <v>8716</v>
      </c>
      <c r="D102" s="204">
        <v>4364.9986666666673</v>
      </c>
    </row>
    <row r="103" spans="1:4" s="199" customFormat="1" ht="25.5" customHeight="1" x14ac:dyDescent="0.25">
      <c r="A103" s="201" t="s">
        <v>622</v>
      </c>
      <c r="B103" s="202" t="s">
        <v>10403</v>
      </c>
      <c r="C103" s="203" t="s">
        <v>8716</v>
      </c>
      <c r="D103" s="204">
        <v>4364.9986666666673</v>
      </c>
    </row>
    <row r="104" spans="1:4" s="199" customFormat="1" ht="25.5" customHeight="1" x14ac:dyDescent="0.25">
      <c r="A104" s="201" t="s">
        <v>622</v>
      </c>
      <c r="B104" s="202" t="s">
        <v>10403</v>
      </c>
      <c r="C104" s="203" t="s">
        <v>8716</v>
      </c>
      <c r="D104" s="204">
        <v>4364.9986666666673</v>
      </c>
    </row>
    <row r="105" spans="1:4" s="199" customFormat="1" ht="25.5" customHeight="1" x14ac:dyDescent="0.25">
      <c r="A105" s="201" t="s">
        <v>622</v>
      </c>
      <c r="B105" s="202" t="s">
        <v>10403</v>
      </c>
      <c r="C105" s="203" t="s">
        <v>8716</v>
      </c>
      <c r="D105" s="204">
        <v>4364.9986666666673</v>
      </c>
    </row>
    <row r="106" spans="1:4" s="199" customFormat="1" ht="25.5" customHeight="1" x14ac:dyDescent="0.25">
      <c r="A106" s="201" t="s">
        <v>622</v>
      </c>
      <c r="B106" s="202" t="s">
        <v>10403</v>
      </c>
      <c r="C106" s="203" t="s">
        <v>8716</v>
      </c>
      <c r="D106" s="204">
        <v>4364.9986666666673</v>
      </c>
    </row>
    <row r="107" spans="1:4" s="199" customFormat="1" ht="25.5" customHeight="1" x14ac:dyDescent="0.25">
      <c r="A107" s="201" t="s">
        <v>622</v>
      </c>
      <c r="B107" s="202" t="s">
        <v>10403</v>
      </c>
      <c r="C107" s="203" t="s">
        <v>8716</v>
      </c>
      <c r="D107" s="204">
        <v>4364.9986666666673</v>
      </c>
    </row>
    <row r="108" spans="1:4" s="199" customFormat="1" ht="25.5" customHeight="1" x14ac:dyDescent="0.25">
      <c r="A108" s="201" t="s">
        <v>622</v>
      </c>
      <c r="B108" s="202" t="s">
        <v>10403</v>
      </c>
      <c r="C108" s="203" t="s">
        <v>8717</v>
      </c>
      <c r="D108" s="204">
        <v>6677.03</v>
      </c>
    </row>
    <row r="109" spans="1:4" s="199" customFormat="1" ht="25.5" customHeight="1" x14ac:dyDescent="0.25">
      <c r="A109" s="201" t="s">
        <v>622</v>
      </c>
      <c r="B109" s="202" t="s">
        <v>10403</v>
      </c>
      <c r="C109" s="203" t="s">
        <v>8717</v>
      </c>
      <c r="D109" s="204">
        <v>6677.03</v>
      </c>
    </row>
    <row r="110" spans="1:4" s="199" customFormat="1" ht="25.5" customHeight="1" x14ac:dyDescent="0.25">
      <c r="A110" s="201" t="s">
        <v>617</v>
      </c>
      <c r="B110" s="202" t="s">
        <v>10404</v>
      </c>
      <c r="C110" s="203" t="s">
        <v>8718</v>
      </c>
      <c r="D110" s="204">
        <f>11635*1.16</f>
        <v>13496.599999999999</v>
      </c>
    </row>
    <row r="111" spans="1:4" s="199" customFormat="1" ht="25.5" customHeight="1" x14ac:dyDescent="0.25">
      <c r="A111" s="201" t="s">
        <v>617</v>
      </c>
      <c r="B111" s="202" t="s">
        <v>10404</v>
      </c>
      <c r="C111" s="203" t="s">
        <v>8719</v>
      </c>
      <c r="D111" s="204">
        <f>3000*1.16</f>
        <v>3479.9999999999995</v>
      </c>
    </row>
    <row r="112" spans="1:4" s="199" customFormat="1" ht="25.5" customHeight="1" x14ac:dyDescent="0.25">
      <c r="A112" s="201" t="s">
        <v>617</v>
      </c>
      <c r="B112" s="202" t="s">
        <v>10404</v>
      </c>
      <c r="C112" s="203" t="s">
        <v>8720</v>
      </c>
      <c r="D112" s="204">
        <f>3432*1.16</f>
        <v>3981.12</v>
      </c>
    </row>
    <row r="113" spans="1:4" s="199" customFormat="1" ht="25.5" customHeight="1" x14ac:dyDescent="0.25">
      <c r="A113" s="201" t="s">
        <v>617</v>
      </c>
      <c r="B113" s="202" t="s">
        <v>10404</v>
      </c>
      <c r="C113" s="203" t="s">
        <v>8721</v>
      </c>
      <c r="D113" s="204">
        <f>2795*1.16</f>
        <v>3242.2</v>
      </c>
    </row>
    <row r="114" spans="1:4" s="199" customFormat="1" ht="25.5" customHeight="1" x14ac:dyDescent="0.25">
      <c r="A114" s="201" t="s">
        <v>617</v>
      </c>
      <c r="B114" s="202" t="s">
        <v>10404</v>
      </c>
      <c r="C114" s="203" t="s">
        <v>8722</v>
      </c>
      <c r="D114" s="204">
        <v>2390.9225000000001</v>
      </c>
    </row>
    <row r="115" spans="1:4" s="199" customFormat="1" ht="25.5" customHeight="1" x14ac:dyDescent="0.25">
      <c r="A115" s="201" t="s">
        <v>617</v>
      </c>
      <c r="B115" s="202" t="s">
        <v>10404</v>
      </c>
      <c r="C115" s="203" t="s">
        <v>8722</v>
      </c>
      <c r="D115" s="204">
        <v>2390.9225000000001</v>
      </c>
    </row>
    <row r="116" spans="1:4" s="199" customFormat="1" ht="25.5" customHeight="1" x14ac:dyDescent="0.25">
      <c r="A116" s="201" t="s">
        <v>617</v>
      </c>
      <c r="B116" s="202" t="s">
        <v>10404</v>
      </c>
      <c r="C116" s="203" t="s">
        <v>8722</v>
      </c>
      <c r="D116" s="204">
        <v>2390.9225000000001</v>
      </c>
    </row>
    <row r="117" spans="1:4" s="199" customFormat="1" ht="25.5" customHeight="1" x14ac:dyDescent="0.25">
      <c r="A117" s="201" t="s">
        <v>617</v>
      </c>
      <c r="B117" s="202" t="s">
        <v>10404</v>
      </c>
      <c r="C117" s="203" t="s">
        <v>8722</v>
      </c>
      <c r="D117" s="204">
        <v>2390.9225000000001</v>
      </c>
    </row>
    <row r="118" spans="1:4" s="199" customFormat="1" ht="25.5" customHeight="1" x14ac:dyDescent="0.25">
      <c r="A118" s="201" t="s">
        <v>617</v>
      </c>
      <c r="B118" s="202" t="s">
        <v>10404</v>
      </c>
      <c r="C118" s="203" t="s">
        <v>8722</v>
      </c>
      <c r="D118" s="204">
        <v>2390.9225000000001</v>
      </c>
    </row>
    <row r="119" spans="1:4" s="199" customFormat="1" ht="25.5" customHeight="1" x14ac:dyDescent="0.25">
      <c r="A119" s="201" t="s">
        <v>617</v>
      </c>
      <c r="B119" s="202" t="s">
        <v>10404</v>
      </c>
      <c r="C119" s="203" t="s">
        <v>8722</v>
      </c>
      <c r="D119" s="204">
        <v>2390.9225000000001</v>
      </c>
    </row>
    <row r="120" spans="1:4" s="199" customFormat="1" ht="25.5" customHeight="1" x14ac:dyDescent="0.25">
      <c r="A120" s="201" t="s">
        <v>617</v>
      </c>
      <c r="B120" s="202" t="s">
        <v>10404</v>
      </c>
      <c r="C120" s="203" t="s">
        <v>8722</v>
      </c>
      <c r="D120" s="204">
        <v>2390.9225000000001</v>
      </c>
    </row>
    <row r="121" spans="1:4" s="199" customFormat="1" ht="25.5" customHeight="1" x14ac:dyDescent="0.25">
      <c r="A121" s="201" t="s">
        <v>617</v>
      </c>
      <c r="B121" s="202" t="s">
        <v>10404</v>
      </c>
      <c r="C121" s="203" t="s">
        <v>8722</v>
      </c>
      <c r="D121" s="204">
        <v>2390.9225000000001</v>
      </c>
    </row>
    <row r="122" spans="1:4" s="199" customFormat="1" ht="25.5" customHeight="1" x14ac:dyDescent="0.25">
      <c r="A122" s="201" t="s">
        <v>617</v>
      </c>
      <c r="B122" s="202" t="s">
        <v>10404</v>
      </c>
      <c r="C122" s="203" t="s">
        <v>8722</v>
      </c>
      <c r="D122" s="204">
        <v>2390.9225000000001</v>
      </c>
    </row>
    <row r="123" spans="1:4" s="199" customFormat="1" ht="25.5" customHeight="1" x14ac:dyDescent="0.25">
      <c r="A123" s="201" t="s">
        <v>617</v>
      </c>
      <c r="B123" s="202" t="s">
        <v>10404</v>
      </c>
      <c r="C123" s="203" t="s">
        <v>8722</v>
      </c>
      <c r="D123" s="204">
        <v>2390.9225000000001</v>
      </c>
    </row>
    <row r="124" spans="1:4" s="199" customFormat="1" ht="25.5" customHeight="1" x14ac:dyDescent="0.25">
      <c r="A124" s="201" t="s">
        <v>617</v>
      </c>
      <c r="B124" s="202" t="s">
        <v>10404</v>
      </c>
      <c r="C124" s="203" t="s">
        <v>8722</v>
      </c>
      <c r="D124" s="204">
        <v>2390.9225000000001</v>
      </c>
    </row>
    <row r="125" spans="1:4" s="199" customFormat="1" ht="25.5" customHeight="1" x14ac:dyDescent="0.25">
      <c r="A125" s="201" t="s">
        <v>617</v>
      </c>
      <c r="B125" s="202" t="s">
        <v>10404</v>
      </c>
      <c r="C125" s="203" t="s">
        <v>8722</v>
      </c>
      <c r="D125" s="204">
        <v>2390.9225000000001</v>
      </c>
    </row>
    <row r="126" spans="1:4" s="199" customFormat="1" ht="25.5" customHeight="1" x14ac:dyDescent="0.25">
      <c r="A126" s="201" t="s">
        <v>617</v>
      </c>
      <c r="B126" s="202" t="s">
        <v>10405</v>
      </c>
      <c r="C126" s="203" t="s">
        <v>8723</v>
      </c>
      <c r="D126" s="204">
        <v>1999</v>
      </c>
    </row>
    <row r="127" spans="1:4" s="199" customFormat="1" ht="25.5" customHeight="1" x14ac:dyDescent="0.25">
      <c r="A127" s="201" t="s">
        <v>617</v>
      </c>
      <c r="B127" s="202" t="s">
        <v>10406</v>
      </c>
      <c r="C127" s="203" t="s">
        <v>8724</v>
      </c>
      <c r="D127" s="204">
        <f>793.1*1.16</f>
        <v>919.99599999999998</v>
      </c>
    </row>
    <row r="128" spans="1:4" s="199" customFormat="1" ht="25.5" customHeight="1" x14ac:dyDescent="0.25">
      <c r="A128" s="201" t="s">
        <v>617</v>
      </c>
      <c r="B128" s="202" t="s">
        <v>10406</v>
      </c>
      <c r="C128" s="203" t="s">
        <v>8725</v>
      </c>
      <c r="D128" s="204">
        <v>1185</v>
      </c>
    </row>
    <row r="129" spans="1:4" s="199" customFormat="1" ht="25.5" customHeight="1" x14ac:dyDescent="0.25">
      <c r="A129" s="201" t="s">
        <v>617</v>
      </c>
      <c r="B129" s="202" t="s">
        <v>10407</v>
      </c>
      <c r="C129" s="203" t="s">
        <v>8726</v>
      </c>
      <c r="D129" s="204">
        <v>3959.08</v>
      </c>
    </row>
    <row r="130" spans="1:4" s="199" customFormat="1" ht="25.5" customHeight="1" x14ac:dyDescent="0.25">
      <c r="A130" s="201" t="s">
        <v>617</v>
      </c>
      <c r="B130" s="202" t="s">
        <v>10407</v>
      </c>
      <c r="C130" s="203" t="s">
        <v>8727</v>
      </c>
      <c r="D130" s="204">
        <v>5098.99</v>
      </c>
    </row>
    <row r="131" spans="1:4" s="199" customFormat="1" ht="25.5" customHeight="1" x14ac:dyDescent="0.25">
      <c r="A131" s="201" t="s">
        <v>617</v>
      </c>
      <c r="B131" s="202" t="s">
        <v>10407</v>
      </c>
      <c r="C131" s="203" t="s">
        <v>8728</v>
      </c>
      <c r="D131" s="204">
        <v>2989</v>
      </c>
    </row>
    <row r="132" spans="1:4" s="199" customFormat="1" ht="25.5" customHeight="1" x14ac:dyDescent="0.25">
      <c r="A132" s="201" t="s">
        <v>617</v>
      </c>
      <c r="B132" s="202" t="s">
        <v>10407</v>
      </c>
      <c r="C132" s="203" t="s">
        <v>8729</v>
      </c>
      <c r="D132" s="204">
        <v>5100.01</v>
      </c>
    </row>
    <row r="133" spans="1:4" s="199" customFormat="1" ht="25.5" customHeight="1" x14ac:dyDescent="0.25">
      <c r="A133" s="201" t="s">
        <v>617</v>
      </c>
      <c r="B133" s="202" t="s">
        <v>10407</v>
      </c>
      <c r="C133" s="203" t="s">
        <v>8730</v>
      </c>
      <c r="D133" s="204">
        <v>3120.4</v>
      </c>
    </row>
    <row r="134" spans="1:4" s="199" customFormat="1" ht="25.5" customHeight="1" x14ac:dyDescent="0.25">
      <c r="A134" s="201" t="s">
        <v>617</v>
      </c>
      <c r="B134" s="202" t="s">
        <v>10407</v>
      </c>
      <c r="C134" s="203" t="s">
        <v>867</v>
      </c>
      <c r="D134" s="204">
        <f>660*1.16</f>
        <v>765.59999999999991</v>
      </c>
    </row>
    <row r="135" spans="1:4" s="199" customFormat="1" ht="25.5" customHeight="1" x14ac:dyDescent="0.25">
      <c r="A135" s="201" t="s">
        <v>617</v>
      </c>
      <c r="B135" s="202" t="s">
        <v>10407</v>
      </c>
      <c r="C135" s="203" t="s">
        <v>8731</v>
      </c>
      <c r="D135" s="204">
        <f>1992*1.16</f>
        <v>2310.7199999999998</v>
      </c>
    </row>
    <row r="136" spans="1:4" s="199" customFormat="1" ht="25.5" customHeight="1" x14ac:dyDescent="0.25">
      <c r="A136" s="201" t="s">
        <v>617</v>
      </c>
      <c r="B136" s="202" t="s">
        <v>10407</v>
      </c>
      <c r="C136" s="203" t="s">
        <v>8732</v>
      </c>
      <c r="D136" s="204">
        <v>2399.25</v>
      </c>
    </row>
    <row r="137" spans="1:4" s="199" customFormat="1" ht="25.5" customHeight="1" x14ac:dyDescent="0.25">
      <c r="A137" s="201" t="s">
        <v>617</v>
      </c>
      <c r="B137" s="202" t="s">
        <v>10408</v>
      </c>
      <c r="C137" s="203" t="s">
        <v>8733</v>
      </c>
      <c r="D137" s="204">
        <v>3410.4</v>
      </c>
    </row>
    <row r="138" spans="1:4" s="199" customFormat="1" ht="25.5" customHeight="1" x14ac:dyDescent="0.25">
      <c r="A138" s="201" t="s">
        <v>617</v>
      </c>
      <c r="B138" s="202" t="s">
        <v>10408</v>
      </c>
      <c r="C138" s="203" t="s">
        <v>8734</v>
      </c>
      <c r="D138" s="204">
        <v>2030</v>
      </c>
    </row>
    <row r="139" spans="1:4" s="199" customFormat="1" ht="25.5" customHeight="1" x14ac:dyDescent="0.25">
      <c r="A139" s="201" t="s">
        <v>617</v>
      </c>
      <c r="B139" s="202" t="s">
        <v>10408</v>
      </c>
      <c r="C139" s="203" t="s">
        <v>8734</v>
      </c>
      <c r="D139" s="204">
        <v>2030</v>
      </c>
    </row>
    <row r="140" spans="1:4" s="199" customFormat="1" ht="25.5" customHeight="1" x14ac:dyDescent="0.25">
      <c r="A140" s="201" t="s">
        <v>617</v>
      </c>
      <c r="B140" s="202" t="s">
        <v>10408</v>
      </c>
      <c r="C140" s="203" t="s">
        <v>8735</v>
      </c>
      <c r="D140" s="204">
        <v>13920</v>
      </c>
    </row>
    <row r="141" spans="1:4" s="199" customFormat="1" ht="25.5" customHeight="1" x14ac:dyDescent="0.25">
      <c r="A141" s="201" t="s">
        <v>617</v>
      </c>
      <c r="B141" s="202" t="s">
        <v>10408</v>
      </c>
      <c r="C141" s="203" t="s">
        <v>8736</v>
      </c>
      <c r="D141" s="204">
        <v>4152.8</v>
      </c>
    </row>
    <row r="142" spans="1:4" s="199" customFormat="1" ht="25.5" customHeight="1" x14ac:dyDescent="0.25">
      <c r="A142" s="201" t="s">
        <v>617</v>
      </c>
      <c r="B142" s="202" t="s">
        <v>10408</v>
      </c>
      <c r="C142" s="203" t="s">
        <v>8736</v>
      </c>
      <c r="D142" s="204">
        <v>4152.8</v>
      </c>
    </row>
    <row r="143" spans="1:4" s="199" customFormat="1" ht="25.5" customHeight="1" x14ac:dyDescent="0.25">
      <c r="A143" s="205"/>
      <c r="B143" s="202"/>
      <c r="C143" s="206" t="s">
        <v>188</v>
      </c>
      <c r="D143" s="207">
        <f>SUM(D10:D142)</f>
        <v>644841.2760000003</v>
      </c>
    </row>
    <row r="144" spans="1:4" s="199" customFormat="1" ht="25.5" customHeight="1" x14ac:dyDescent="0.25">
      <c r="A144" s="1327" t="s">
        <v>487</v>
      </c>
      <c r="B144" s="1327"/>
      <c r="C144" s="1327"/>
      <c r="D144" s="264">
        <v>0</v>
      </c>
    </row>
    <row r="145" spans="1:4" s="199" customFormat="1" ht="25.5" customHeight="1" x14ac:dyDescent="0.25">
      <c r="A145" s="265"/>
      <c r="B145" s="265"/>
      <c r="C145" s="265"/>
      <c r="D145" s="266"/>
    </row>
    <row r="146" spans="1:4" s="199" customFormat="1" ht="25.5" customHeight="1" x14ac:dyDescent="0.25">
      <c r="A146" s="265"/>
      <c r="B146" s="265"/>
      <c r="C146" s="265"/>
      <c r="D146" s="266"/>
    </row>
    <row r="147" spans="1:4" s="199" customFormat="1" ht="25.5" customHeight="1" x14ac:dyDescent="0.25">
      <c r="A147" s="265"/>
      <c r="B147" s="265"/>
      <c r="C147" s="265"/>
      <c r="D147" s="266"/>
    </row>
    <row r="148" spans="1:4" s="199" customFormat="1" ht="25.5" customHeight="1" x14ac:dyDescent="0.25">
      <c r="A148" s="265"/>
      <c r="B148" s="265"/>
      <c r="C148" s="265"/>
      <c r="D148" s="266"/>
    </row>
    <row r="149" spans="1:4" s="199" customFormat="1" ht="25.5" customHeight="1" x14ac:dyDescent="0.25">
      <c r="A149" s="265"/>
      <c r="B149" s="265"/>
      <c r="C149" s="265"/>
      <c r="D149" s="266"/>
    </row>
    <row r="150" spans="1:4" s="199" customFormat="1" ht="25.5" customHeight="1" x14ac:dyDescent="0.25">
      <c r="A150" s="265"/>
      <c r="B150" s="265"/>
      <c r="C150" s="265"/>
      <c r="D150" s="266"/>
    </row>
    <row r="151" spans="1:4" s="199" customFormat="1" ht="25.5" customHeight="1" x14ac:dyDescent="0.25">
      <c r="A151" s="265"/>
      <c r="B151" s="265"/>
      <c r="C151" s="265"/>
      <c r="D151" s="266"/>
    </row>
    <row r="152" spans="1:4" s="199" customFormat="1" ht="25.5" customHeight="1" x14ac:dyDescent="0.25">
      <c r="A152" s="265"/>
      <c r="B152" s="265"/>
      <c r="C152" s="265"/>
      <c r="D152" s="266"/>
    </row>
    <row r="153" spans="1:4" s="199" customFormat="1" ht="25.5" customHeight="1" x14ac:dyDescent="0.25">
      <c r="A153" s="265"/>
      <c r="B153" s="265"/>
      <c r="C153" s="265"/>
      <c r="D153" s="266"/>
    </row>
    <row r="154" spans="1:4" s="199" customFormat="1" ht="25.5" customHeight="1" x14ac:dyDescent="0.25">
      <c r="A154" s="265"/>
      <c r="B154" s="265"/>
      <c r="C154" s="265"/>
      <c r="D154" s="266"/>
    </row>
    <row r="155" spans="1:4" s="199" customFormat="1" ht="25.5" customHeight="1" x14ac:dyDescent="0.25">
      <c r="A155" s="265"/>
      <c r="B155" s="265"/>
      <c r="C155" s="265"/>
      <c r="D155" s="266"/>
    </row>
    <row r="156" spans="1:4" s="199" customFormat="1" ht="25.5" customHeight="1" x14ac:dyDescent="0.25">
      <c r="A156" s="265"/>
      <c r="B156" s="265"/>
      <c r="C156" s="265"/>
      <c r="D156" s="266"/>
    </row>
    <row r="157" spans="1:4" s="199" customFormat="1" ht="25.5" customHeight="1" x14ac:dyDescent="0.25">
      <c r="A157" s="265"/>
      <c r="B157" s="265"/>
      <c r="C157" s="265"/>
      <c r="D157" s="266"/>
    </row>
    <row r="158" spans="1:4" s="199" customFormat="1" ht="25.5" customHeight="1" x14ac:dyDescent="0.25">
      <c r="A158" s="265"/>
      <c r="B158" s="265"/>
      <c r="C158" s="265"/>
      <c r="D158" s="266"/>
    </row>
    <row r="159" spans="1:4" s="199" customFormat="1" ht="25.5" customHeight="1" x14ac:dyDescent="0.25">
      <c r="A159" s="265"/>
      <c r="B159" s="265"/>
      <c r="C159" s="265"/>
      <c r="D159" s="266"/>
    </row>
    <row r="160" spans="1:4" s="199" customFormat="1" ht="25.5" customHeight="1" x14ac:dyDescent="0.25">
      <c r="A160" s="265"/>
      <c r="B160" s="265"/>
      <c r="C160" s="265"/>
      <c r="D160" s="266"/>
    </row>
    <row r="161" spans="1:8" s="199" customFormat="1" ht="25.5" customHeight="1" x14ac:dyDescent="0.25">
      <c r="A161" s="265"/>
      <c r="B161" s="265"/>
      <c r="C161" s="265"/>
      <c r="D161" s="266"/>
    </row>
    <row r="162" spans="1:8" s="199" customFormat="1" ht="25.5" customHeight="1" x14ac:dyDescent="0.25">
      <c r="A162" s="265"/>
      <c r="B162" s="265"/>
      <c r="C162" s="265"/>
      <c r="D162" s="266"/>
    </row>
    <row r="163" spans="1:8" s="199" customFormat="1" x14ac:dyDescent="0.25">
      <c r="A163" s="265"/>
      <c r="B163" s="265"/>
      <c r="C163" s="265"/>
      <c r="D163" s="266"/>
    </row>
    <row r="164" spans="1:8" s="199" customFormat="1" ht="25.5" customHeight="1" x14ac:dyDescent="0.25">
      <c r="A164" s="265"/>
      <c r="B164" s="265"/>
      <c r="C164" s="265"/>
      <c r="D164" s="266"/>
    </row>
    <row r="165" spans="1:8" s="199" customFormat="1" ht="25.5" customHeight="1" x14ac:dyDescent="0.25">
      <c r="A165" s="265"/>
      <c r="B165" s="265"/>
      <c r="C165" s="265"/>
      <c r="D165" s="266"/>
    </row>
    <row r="166" spans="1:8" s="199" customFormat="1" ht="25.5" customHeight="1" x14ac:dyDescent="0.25">
      <c r="A166" s="265"/>
      <c r="B166" s="265"/>
      <c r="C166" s="265"/>
      <c r="D166" s="266"/>
    </row>
    <row r="167" spans="1:8" s="199" customFormat="1" ht="25.5" customHeight="1" x14ac:dyDescent="0.25">
      <c r="A167" s="265"/>
      <c r="B167" s="265"/>
      <c r="C167" s="265"/>
      <c r="D167" s="266"/>
    </row>
    <row r="168" spans="1:8" s="199" customFormat="1" ht="25.5" customHeight="1" x14ac:dyDescent="0.25">
      <c r="A168" s="265"/>
      <c r="B168" s="265"/>
      <c r="C168" s="265"/>
      <c r="D168" s="266"/>
    </row>
    <row r="169" spans="1:8" s="199" customFormat="1" ht="25.5" customHeight="1" x14ac:dyDescent="0.25">
      <c r="A169" s="265"/>
      <c r="B169" s="265"/>
      <c r="C169" s="265"/>
      <c r="D169" s="266"/>
    </row>
    <row r="170" spans="1:8" s="199" customFormat="1" ht="25.5" customHeight="1" x14ac:dyDescent="0.25">
      <c r="A170" s="265"/>
      <c r="B170" s="265"/>
      <c r="C170" s="265"/>
      <c r="D170" s="266"/>
    </row>
    <row r="171" spans="1:8" s="199" customFormat="1" ht="25.5" customHeight="1" x14ac:dyDescent="0.25">
      <c r="A171" s="265"/>
      <c r="B171" s="265"/>
      <c r="C171" s="265"/>
      <c r="D171" s="266"/>
    </row>
    <row r="172" spans="1:8" s="199" customFormat="1" ht="25.5" customHeight="1" x14ac:dyDescent="0.25">
      <c r="A172" s="265"/>
      <c r="B172" s="265"/>
      <c r="C172" s="265"/>
      <c r="D172" s="266"/>
    </row>
    <row r="173" spans="1:8" s="199" customFormat="1" ht="25.5" customHeight="1" x14ac:dyDescent="0.25">
      <c r="A173" s="265"/>
      <c r="B173" s="265"/>
      <c r="C173" s="265"/>
      <c r="D173" s="266"/>
    </row>
    <row r="174" spans="1:8" s="199" customFormat="1" ht="21.75" customHeight="1" x14ac:dyDescent="0.25">
      <c r="A174" s="265"/>
      <c r="B174" s="265"/>
      <c r="C174" s="265"/>
      <c r="D174" s="266"/>
      <c r="F174" s="1102"/>
    </row>
    <row r="175" spans="1:8" s="199" customFormat="1" x14ac:dyDescent="0.25">
      <c r="A175" s="265"/>
      <c r="B175" s="265"/>
      <c r="C175" s="265"/>
      <c r="D175" s="266"/>
      <c r="F175" s="1102"/>
      <c r="H175" s="699"/>
    </row>
    <row r="176" spans="1:8" x14ac:dyDescent="0.25">
      <c r="A176" s="265"/>
      <c r="B176" s="265"/>
      <c r="C176" s="265"/>
      <c r="D176" s="266"/>
      <c r="F176" s="1101"/>
    </row>
    <row r="177" spans="1:6" x14ac:dyDescent="0.25">
      <c r="A177" s="265"/>
      <c r="B177" s="265"/>
      <c r="C177" s="265"/>
      <c r="D177" s="266"/>
      <c r="F177" s="1101"/>
    </row>
    <row r="178" spans="1:6" x14ac:dyDescent="0.25">
      <c r="A178" s="265"/>
      <c r="B178" s="265"/>
      <c r="C178" s="265"/>
      <c r="D178" s="266"/>
      <c r="F178" s="1101"/>
    </row>
    <row r="179" spans="1:6" x14ac:dyDescent="0.25">
      <c r="A179" s="265"/>
      <c r="B179" s="265"/>
      <c r="C179" s="265"/>
      <c r="D179" s="266"/>
      <c r="F179" s="1101"/>
    </row>
    <row r="180" spans="1:6" x14ac:dyDescent="0.25">
      <c r="A180" s="265"/>
      <c r="B180" s="265"/>
      <c r="C180" s="265"/>
      <c r="D180" s="266"/>
      <c r="F180" s="1101"/>
    </row>
    <row r="181" spans="1:6" x14ac:dyDescent="0.25">
      <c r="A181" s="265"/>
      <c r="B181" s="265"/>
      <c r="C181" s="265"/>
      <c r="D181" s="266"/>
      <c r="F181" s="1101"/>
    </row>
    <row r="182" spans="1:6" x14ac:dyDescent="0.25">
      <c r="A182" s="265"/>
      <c r="B182" s="265"/>
      <c r="C182" s="265"/>
      <c r="D182" s="266"/>
      <c r="F182" s="1101"/>
    </row>
    <row r="183" spans="1:6" x14ac:dyDescent="0.25">
      <c r="A183" s="265"/>
      <c r="B183" s="265"/>
      <c r="C183" s="265"/>
      <c r="D183" s="266"/>
      <c r="F183" s="1101"/>
    </row>
    <row r="184" spans="1:6" x14ac:dyDescent="0.25">
      <c r="A184" s="265"/>
      <c r="B184" s="265"/>
      <c r="C184" s="265"/>
      <c r="D184" s="266"/>
      <c r="F184" s="1101"/>
    </row>
    <row r="185" spans="1:6" x14ac:dyDescent="0.25">
      <c r="A185" s="265"/>
      <c r="B185" s="265"/>
      <c r="C185" s="265"/>
      <c r="D185" s="266"/>
      <c r="F185" s="1101"/>
    </row>
    <row r="186" spans="1:6" x14ac:dyDescent="0.25">
      <c r="A186" s="265"/>
      <c r="B186" s="265"/>
      <c r="C186" s="265"/>
      <c r="D186" s="266"/>
      <c r="F186" s="1101"/>
    </row>
    <row r="187" spans="1:6" x14ac:dyDescent="0.25">
      <c r="A187" s="265"/>
      <c r="B187" s="265"/>
      <c r="C187" s="265"/>
      <c r="D187" s="266"/>
      <c r="F187" s="1101"/>
    </row>
    <row r="188" spans="1:6" x14ac:dyDescent="0.25">
      <c r="A188" s="265"/>
      <c r="B188" s="265"/>
      <c r="C188" s="265"/>
      <c r="D188" s="266"/>
      <c r="F188" s="1101"/>
    </row>
    <row r="189" spans="1:6" x14ac:dyDescent="0.25">
      <c r="F189" s="1101"/>
    </row>
    <row r="190" spans="1:6" x14ac:dyDescent="0.25">
      <c r="F190" s="1101"/>
    </row>
    <row r="191" spans="1:6" x14ac:dyDescent="0.25">
      <c r="F191" s="1101"/>
    </row>
    <row r="192" spans="1:6" x14ac:dyDescent="0.25">
      <c r="F192" s="1101"/>
    </row>
    <row r="193" spans="6:8" x14ac:dyDescent="0.25">
      <c r="F193" s="1101"/>
    </row>
    <row r="194" spans="6:8" x14ac:dyDescent="0.25">
      <c r="F194" s="1101"/>
    </row>
    <row r="195" spans="6:8" x14ac:dyDescent="0.25">
      <c r="F195" s="1101"/>
    </row>
    <row r="196" spans="6:8" x14ac:dyDescent="0.25">
      <c r="F196" s="1101"/>
    </row>
    <row r="197" spans="6:8" x14ac:dyDescent="0.25">
      <c r="F197" s="1101"/>
    </row>
    <row r="198" spans="6:8" x14ac:dyDescent="0.25">
      <c r="F198" s="1101"/>
    </row>
    <row r="199" spans="6:8" x14ac:dyDescent="0.25">
      <c r="F199" s="1101"/>
    </row>
    <row r="200" spans="6:8" x14ac:dyDescent="0.25">
      <c r="F200" s="1101"/>
    </row>
    <row r="201" spans="6:8" x14ac:dyDescent="0.25">
      <c r="F201" s="1101"/>
    </row>
    <row r="204" spans="6:8" x14ac:dyDescent="0.25">
      <c r="H204" s="698"/>
    </row>
    <row r="205" spans="6:8" x14ac:dyDescent="0.25">
      <c r="F205" s="698"/>
    </row>
  </sheetData>
  <mergeCells count="5">
    <mergeCell ref="A2:D2"/>
    <mergeCell ref="A3:D3"/>
    <mergeCell ref="A4:D4"/>
    <mergeCell ref="A6:D6"/>
    <mergeCell ref="A144:C144"/>
  </mergeCells>
  <pageMargins left="0.70866141732283472" right="0.70866141732283472" top="0.74803149606299213" bottom="0.74803149606299213" header="0.31496062992125984" footer="0.31496062992125984"/>
  <pageSetup scale="70" orientation="portrait" r:id="rId1"/>
  <headerFooter>
    <oddHeader>&amp;R&amp;"Arial,Normal"&amp;8 7.IV.2</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55"/>
  <sheetViews>
    <sheetView view="pageBreakPreview" zoomScale="60" zoomScaleNormal="100" workbookViewId="0"/>
  </sheetViews>
  <sheetFormatPr baseColWidth="10" defaultRowHeight="12.75" x14ac:dyDescent="0.2"/>
  <cols>
    <col min="1" max="1" width="61.5703125" style="306" customWidth="1"/>
    <col min="2" max="4" width="19.140625" style="306" customWidth="1"/>
    <col min="5" max="6" width="16.85546875" style="306" customWidth="1"/>
    <col min="7" max="7" width="17.85546875" style="306" customWidth="1"/>
    <col min="8" max="8" width="14.42578125" style="306" bestFit="1" customWidth="1"/>
    <col min="9" max="9" width="13.42578125" style="306" bestFit="1" customWidth="1"/>
    <col min="10" max="10" width="12" style="306" bestFit="1" customWidth="1"/>
    <col min="11" max="16384" width="11.42578125" style="306"/>
  </cols>
  <sheetData>
    <row r="2" spans="1:8" ht="17.25" x14ac:dyDescent="0.3">
      <c r="A2" s="1134" t="s">
        <v>566</v>
      </c>
      <c r="B2" s="1134"/>
      <c r="C2" s="1134"/>
      <c r="D2" s="1134"/>
      <c r="E2" s="1134"/>
      <c r="F2" s="1134"/>
      <c r="G2" s="374"/>
    </row>
    <row r="3" spans="1:8" ht="17.25" x14ac:dyDescent="0.3">
      <c r="A3" s="817"/>
      <c r="B3" s="817"/>
      <c r="C3" s="817"/>
      <c r="D3" s="817"/>
      <c r="E3" s="817"/>
      <c r="F3" s="817"/>
      <c r="G3" s="374"/>
    </row>
    <row r="4" spans="1:8" ht="17.25" x14ac:dyDescent="0.2">
      <c r="A4" s="1141" t="s">
        <v>186</v>
      </c>
      <c r="B4" s="1141"/>
      <c r="C4" s="1141"/>
      <c r="D4" s="1141"/>
      <c r="E4" s="1141"/>
      <c r="F4" s="1141"/>
      <c r="G4" s="375"/>
      <c r="H4" s="375"/>
    </row>
    <row r="5" spans="1:8" ht="17.25" x14ac:dyDescent="0.3">
      <c r="A5" s="1142" t="s">
        <v>8660</v>
      </c>
      <c r="B5" s="1142"/>
      <c r="C5" s="1142"/>
      <c r="D5" s="1142"/>
      <c r="E5" s="1142"/>
      <c r="F5" s="1142"/>
      <c r="G5" s="376"/>
    </row>
    <row r="7" spans="1:8" x14ac:dyDescent="0.2">
      <c r="F7" s="317"/>
    </row>
    <row r="8" spans="1:8" s="281" customFormat="1" ht="12.75" customHeight="1" x14ac:dyDescent="0.2">
      <c r="A8" s="1143" t="s">
        <v>201</v>
      </c>
      <c r="B8" s="1135" t="s">
        <v>57</v>
      </c>
      <c r="C8" s="1135" t="s">
        <v>537</v>
      </c>
      <c r="D8" s="1135" t="s">
        <v>538</v>
      </c>
      <c r="E8" s="1135" t="s">
        <v>539</v>
      </c>
      <c r="F8" s="1135" t="s">
        <v>234</v>
      </c>
    </row>
    <row r="9" spans="1:8" s="281" customFormat="1" ht="13.5" customHeight="1" x14ac:dyDescent="0.2">
      <c r="A9" s="1143"/>
      <c r="B9" s="1136"/>
      <c r="C9" s="1136"/>
      <c r="D9" s="1136"/>
      <c r="E9" s="1136"/>
      <c r="F9" s="1136"/>
    </row>
    <row r="10" spans="1:8" s="281" customFormat="1" ht="33" customHeight="1" x14ac:dyDescent="0.2">
      <c r="A10" s="1143"/>
      <c r="B10" s="1137"/>
      <c r="C10" s="1137"/>
      <c r="D10" s="1137"/>
      <c r="E10" s="1137"/>
      <c r="F10" s="1137"/>
    </row>
    <row r="11" spans="1:8" s="380" customFormat="1" ht="14.25" customHeight="1" x14ac:dyDescent="0.2">
      <c r="A11" s="377" t="s">
        <v>74</v>
      </c>
      <c r="B11" s="378">
        <v>0</v>
      </c>
      <c r="C11" s="379">
        <v>0</v>
      </c>
      <c r="D11" s="379"/>
      <c r="E11" s="378">
        <v>0</v>
      </c>
      <c r="F11" s="379">
        <f t="shared" ref="F11:F16" si="0">B11+C11+D11+E11</f>
        <v>0</v>
      </c>
    </row>
    <row r="12" spans="1:8" s="380" customFormat="1" ht="12" customHeight="1" x14ac:dyDescent="0.2">
      <c r="A12" s="381"/>
      <c r="B12" s="382"/>
      <c r="C12" s="383"/>
      <c r="D12" s="383"/>
      <c r="E12" s="382"/>
      <c r="F12" s="383">
        <f t="shared" si="0"/>
        <v>0</v>
      </c>
    </row>
    <row r="13" spans="1:8" s="380" customFormat="1" ht="14.25" customHeight="1" x14ac:dyDescent="0.2">
      <c r="A13" s="384" t="s">
        <v>189</v>
      </c>
      <c r="B13" s="382">
        <v>0</v>
      </c>
      <c r="C13" s="383">
        <v>0</v>
      </c>
      <c r="D13" s="383"/>
      <c r="E13" s="382">
        <v>0</v>
      </c>
      <c r="F13" s="383">
        <f t="shared" si="0"/>
        <v>0</v>
      </c>
    </row>
    <row r="14" spans="1:8" s="380" customFormat="1" ht="12" customHeight="1" x14ac:dyDescent="0.2">
      <c r="A14" s="381" t="s">
        <v>59</v>
      </c>
      <c r="B14" s="382">
        <v>0</v>
      </c>
      <c r="C14" s="383">
        <v>0</v>
      </c>
      <c r="D14" s="383"/>
      <c r="E14" s="382">
        <v>0</v>
      </c>
      <c r="F14" s="383">
        <f t="shared" si="0"/>
        <v>0</v>
      </c>
    </row>
    <row r="15" spans="1:8" s="380" customFormat="1" ht="12" customHeight="1" x14ac:dyDescent="0.2">
      <c r="A15" s="381" t="s">
        <v>61</v>
      </c>
      <c r="B15" s="382">
        <v>0</v>
      </c>
      <c r="C15" s="383">
        <v>0</v>
      </c>
      <c r="D15" s="383"/>
      <c r="E15" s="382">
        <v>0</v>
      </c>
      <c r="F15" s="383">
        <f t="shared" si="0"/>
        <v>0</v>
      </c>
    </row>
    <row r="16" spans="1:8" s="380" customFormat="1" ht="12" customHeight="1" x14ac:dyDescent="0.2">
      <c r="A16" s="381" t="s">
        <v>190</v>
      </c>
      <c r="B16" s="382">
        <v>0</v>
      </c>
      <c r="C16" s="383">
        <v>0</v>
      </c>
      <c r="D16" s="383"/>
      <c r="E16" s="382">
        <v>0</v>
      </c>
      <c r="F16" s="383">
        <f t="shared" si="0"/>
        <v>0</v>
      </c>
    </row>
    <row r="17" spans="1:6" s="380" customFormat="1" ht="12" customHeight="1" x14ac:dyDescent="0.2">
      <c r="A17" s="381"/>
      <c r="B17" s="382"/>
      <c r="C17" s="383"/>
      <c r="D17" s="383"/>
      <c r="E17" s="382">
        <v>0</v>
      </c>
      <c r="F17" s="383"/>
    </row>
    <row r="18" spans="1:6" s="380" customFormat="1" ht="15.75" customHeight="1" x14ac:dyDescent="0.2">
      <c r="A18" s="384" t="s">
        <v>191</v>
      </c>
      <c r="B18" s="382">
        <v>0</v>
      </c>
      <c r="C18" s="383">
        <v>0</v>
      </c>
      <c r="D18" s="383"/>
      <c r="E18" s="382">
        <v>0</v>
      </c>
      <c r="F18" s="383">
        <f>B18+C18+D18+E18</f>
        <v>0</v>
      </c>
    </row>
    <row r="19" spans="1:6" s="380" customFormat="1" ht="12" customHeight="1" x14ac:dyDescent="0.2">
      <c r="A19" s="381" t="s">
        <v>192</v>
      </c>
      <c r="B19" s="382">
        <v>0</v>
      </c>
      <c r="C19" s="383">
        <v>0</v>
      </c>
      <c r="D19" s="383">
        <v>179816003.83999997</v>
      </c>
      <c r="E19" s="382">
        <v>0</v>
      </c>
      <c r="F19" s="383">
        <f>B19+C19+D19+E19</f>
        <v>179816003.83999997</v>
      </c>
    </row>
    <row r="20" spans="1:6" s="380" customFormat="1" ht="12" customHeight="1" x14ac:dyDescent="0.2">
      <c r="A20" s="381" t="s">
        <v>193</v>
      </c>
      <c r="B20" s="382">
        <v>0</v>
      </c>
      <c r="C20" s="383">
        <v>188070966.55999997</v>
      </c>
      <c r="D20" s="383">
        <v>0</v>
      </c>
      <c r="E20" s="382">
        <v>0</v>
      </c>
      <c r="F20" s="383">
        <f>B20+C20+D20+E20</f>
        <v>188070966.55999997</v>
      </c>
    </row>
    <row r="21" spans="1:6" s="380" customFormat="1" ht="12" customHeight="1" x14ac:dyDescent="0.2">
      <c r="A21" s="381" t="s">
        <v>70</v>
      </c>
      <c r="B21" s="382">
        <v>0</v>
      </c>
      <c r="C21" s="383">
        <v>0</v>
      </c>
      <c r="D21" s="383">
        <v>0</v>
      </c>
      <c r="E21" s="382">
        <v>824874928.95000005</v>
      </c>
      <c r="F21" s="383">
        <f>B21+C21+D21+E21</f>
        <v>824874928.95000005</v>
      </c>
    </row>
    <row r="22" spans="1:6" s="380" customFormat="1" ht="12" customHeight="1" x14ac:dyDescent="0.2">
      <c r="A22" s="381" t="s">
        <v>72</v>
      </c>
      <c r="B22" s="382">
        <v>0</v>
      </c>
      <c r="C22" s="383">
        <v>0</v>
      </c>
      <c r="D22" s="383">
        <v>0</v>
      </c>
      <c r="E22" s="382">
        <v>0</v>
      </c>
      <c r="F22" s="383">
        <f>B22+C22+D22+E22</f>
        <v>0</v>
      </c>
    </row>
    <row r="23" spans="1:6" s="380" customFormat="1" ht="12" customHeight="1" x14ac:dyDescent="0.2">
      <c r="A23" s="381"/>
      <c r="B23" s="382"/>
      <c r="C23" s="383"/>
      <c r="D23" s="383"/>
      <c r="E23" s="382"/>
      <c r="F23" s="383"/>
    </row>
    <row r="24" spans="1:6" s="380" customFormat="1" x14ac:dyDescent="0.2">
      <c r="A24" s="384" t="s">
        <v>8663</v>
      </c>
      <c r="B24" s="382">
        <v>0</v>
      </c>
      <c r="C24" s="383">
        <f>SUM(C14:C22)</f>
        <v>188070966.55999997</v>
      </c>
      <c r="D24" s="383">
        <f>SUM(D14:D22)</f>
        <v>179816003.83999997</v>
      </c>
      <c r="E24" s="383">
        <f>SUM(E14:E22)</f>
        <v>824874928.95000005</v>
      </c>
      <c r="F24" s="383">
        <f>SUM(F14:F22)</f>
        <v>1192761899.3499999</v>
      </c>
    </row>
    <row r="25" spans="1:6" s="380" customFormat="1" x14ac:dyDescent="0.2">
      <c r="A25" s="384"/>
      <c r="B25" s="382"/>
      <c r="C25" s="383"/>
      <c r="D25" s="383"/>
      <c r="E25" s="382"/>
      <c r="F25" s="383"/>
    </row>
    <row r="26" spans="1:6" s="380" customFormat="1" x14ac:dyDescent="0.2">
      <c r="A26" s="384" t="s">
        <v>8662</v>
      </c>
      <c r="B26" s="382">
        <v>0</v>
      </c>
      <c r="C26" s="383">
        <v>0</v>
      </c>
      <c r="D26" s="383">
        <v>0</v>
      </c>
      <c r="E26" s="382">
        <v>0</v>
      </c>
      <c r="F26" s="383">
        <f>B26+C26+D26+E26</f>
        <v>0</v>
      </c>
    </row>
    <row r="27" spans="1:6" s="380" customFormat="1" ht="12" customHeight="1" x14ac:dyDescent="0.2">
      <c r="A27" s="381" t="s">
        <v>59</v>
      </c>
      <c r="B27" s="382">
        <v>0</v>
      </c>
      <c r="C27" s="383">
        <v>0</v>
      </c>
      <c r="D27" s="383">
        <v>0</v>
      </c>
      <c r="E27" s="382">
        <v>0</v>
      </c>
      <c r="F27" s="383">
        <f>B27+C27+D27+E27</f>
        <v>0</v>
      </c>
    </row>
    <row r="28" spans="1:6" s="380" customFormat="1" ht="12" customHeight="1" x14ac:dyDescent="0.2">
      <c r="A28" s="381" t="s">
        <v>61</v>
      </c>
      <c r="B28" s="382">
        <v>0</v>
      </c>
      <c r="C28" s="383">
        <v>0</v>
      </c>
      <c r="D28" s="383">
        <v>0</v>
      </c>
      <c r="E28" s="382">
        <v>0</v>
      </c>
      <c r="F28" s="383">
        <f>B28+C28+D28+E28</f>
        <v>0</v>
      </c>
    </row>
    <row r="29" spans="1:6" s="380" customFormat="1" ht="12" customHeight="1" x14ac:dyDescent="0.2">
      <c r="A29" s="381" t="s">
        <v>190</v>
      </c>
      <c r="B29" s="382">
        <v>0</v>
      </c>
      <c r="C29" s="383">
        <v>0</v>
      </c>
      <c r="D29" s="383">
        <v>0</v>
      </c>
      <c r="E29" s="382">
        <v>0</v>
      </c>
      <c r="F29" s="383">
        <f>B29+C29+D29+E29</f>
        <v>0</v>
      </c>
    </row>
    <row r="30" spans="1:6" s="380" customFormat="1" ht="12" customHeight="1" x14ac:dyDescent="0.2">
      <c r="A30" s="381"/>
      <c r="B30" s="382"/>
      <c r="C30" s="383"/>
      <c r="D30" s="383"/>
      <c r="E30" s="382"/>
      <c r="F30" s="383"/>
    </row>
    <row r="31" spans="1:6" s="380" customFormat="1" ht="12" customHeight="1" x14ac:dyDescent="0.2">
      <c r="A31" s="384" t="s">
        <v>191</v>
      </c>
      <c r="B31" s="382">
        <v>0</v>
      </c>
      <c r="C31" s="383">
        <v>0</v>
      </c>
      <c r="D31" s="383">
        <v>0</v>
      </c>
      <c r="E31" s="382">
        <v>0</v>
      </c>
      <c r="F31" s="383">
        <f t="shared" ref="F31:F36" si="1">B31+C31+D31+E31</f>
        <v>0</v>
      </c>
    </row>
    <row r="32" spans="1:6" s="380" customFormat="1" ht="12" customHeight="1" x14ac:dyDescent="0.2">
      <c r="A32" s="381" t="s">
        <v>192</v>
      </c>
      <c r="B32" s="382">
        <v>0</v>
      </c>
      <c r="C32" s="383"/>
      <c r="D32" s="383">
        <v>-308610389.25999999</v>
      </c>
      <c r="E32" s="382">
        <v>0</v>
      </c>
      <c r="F32" s="383">
        <f t="shared" si="1"/>
        <v>-308610389.25999999</v>
      </c>
    </row>
    <row r="33" spans="1:10" s="380" customFormat="1" ht="12" customHeight="1" x14ac:dyDescent="0.2">
      <c r="A33" s="381" t="s">
        <v>193</v>
      </c>
      <c r="B33" s="382">
        <v>0</v>
      </c>
      <c r="C33" s="383">
        <v>79989853.569999993</v>
      </c>
      <c r="D33" s="383">
        <v>0</v>
      </c>
      <c r="E33" s="382">
        <v>0</v>
      </c>
      <c r="F33" s="383">
        <f t="shared" si="1"/>
        <v>79989853.569999993</v>
      </c>
    </row>
    <row r="34" spans="1:10" s="380" customFormat="1" ht="12" customHeight="1" x14ac:dyDescent="0.2">
      <c r="A34" s="381" t="s">
        <v>70</v>
      </c>
      <c r="B34" s="382">
        <v>0</v>
      </c>
      <c r="C34" s="383">
        <v>0</v>
      </c>
      <c r="D34" s="383">
        <v>0</v>
      </c>
      <c r="E34" s="382">
        <v>0</v>
      </c>
      <c r="F34" s="383">
        <f t="shared" si="1"/>
        <v>0</v>
      </c>
    </row>
    <row r="35" spans="1:10" s="380" customFormat="1" ht="12" customHeight="1" x14ac:dyDescent="0.2">
      <c r="A35" s="381" t="s">
        <v>72</v>
      </c>
      <c r="B35" s="382">
        <v>0</v>
      </c>
      <c r="C35" s="383">
        <v>0</v>
      </c>
      <c r="D35" s="383">
        <v>0</v>
      </c>
      <c r="E35" s="382">
        <v>0</v>
      </c>
      <c r="F35" s="383">
        <f t="shared" si="1"/>
        <v>0</v>
      </c>
    </row>
    <row r="36" spans="1:10" s="380" customFormat="1" ht="12" customHeight="1" x14ac:dyDescent="0.2">
      <c r="A36" s="381"/>
      <c r="B36" s="382"/>
      <c r="C36" s="383"/>
      <c r="D36" s="383"/>
      <c r="E36" s="382"/>
      <c r="F36" s="383">
        <f t="shared" si="1"/>
        <v>0</v>
      </c>
    </row>
    <row r="37" spans="1:10" s="380" customFormat="1" ht="14.25" customHeight="1" x14ac:dyDescent="0.2">
      <c r="A37" s="385" t="s">
        <v>8661</v>
      </c>
      <c r="B37" s="386">
        <v>0</v>
      </c>
      <c r="C37" s="387">
        <f>C24+C33</f>
        <v>268060820.12999997</v>
      </c>
      <c r="D37" s="387">
        <f>D24+D32</f>
        <v>-128794385.42000002</v>
      </c>
      <c r="E37" s="387">
        <f>E24+E34</f>
        <v>824874928.95000005</v>
      </c>
      <c r="F37" s="387">
        <f>F24+F32+F33+F34</f>
        <v>964141363.65999985</v>
      </c>
      <c r="G37" s="388"/>
      <c r="I37" s="388"/>
      <c r="J37" s="388"/>
    </row>
    <row r="38" spans="1:10" s="380" customFormat="1" ht="12" customHeight="1" x14ac:dyDescent="0.2">
      <c r="A38" s="306"/>
      <c r="B38" s="497"/>
      <c r="C38" s="497"/>
      <c r="D38" s="306"/>
      <c r="E38" s="306"/>
      <c r="F38" s="306"/>
      <c r="G38" s="306"/>
      <c r="H38" s="497"/>
      <c r="I38" s="497"/>
      <c r="J38" s="497"/>
    </row>
    <row r="39" spans="1:10" x14ac:dyDescent="0.2">
      <c r="C39" s="497"/>
      <c r="D39" s="497"/>
    </row>
    <row r="40" spans="1:10" s="390" customFormat="1" ht="22.5" customHeight="1" x14ac:dyDescent="0.2">
      <c r="A40" s="1138"/>
      <c r="B40" s="1138"/>
      <c r="C40" s="1138"/>
      <c r="D40" s="1138"/>
      <c r="E40" s="1138"/>
      <c r="F40" s="1138"/>
      <c r="G40" s="389"/>
      <c r="H40" s="389"/>
      <c r="I40" s="389"/>
      <c r="J40" s="306"/>
    </row>
    <row r="50" spans="1:8" ht="24" customHeight="1" x14ac:dyDescent="0.2"/>
    <row r="54" spans="1:8" ht="25.5" customHeight="1" x14ac:dyDescent="0.2">
      <c r="A54" s="1139"/>
      <c r="B54" s="1139"/>
      <c r="C54" s="1139"/>
      <c r="D54" s="1139"/>
      <c r="E54" s="1139"/>
      <c r="F54" s="1139"/>
      <c r="G54" s="1139"/>
      <c r="H54" s="1139"/>
    </row>
    <row r="55" spans="1:8" ht="15.75" customHeight="1" x14ac:dyDescent="0.2">
      <c r="A55" s="1140"/>
      <c r="B55" s="1140"/>
      <c r="C55" s="1140"/>
      <c r="D55" s="1140"/>
      <c r="E55" s="1140"/>
      <c r="F55" s="1140"/>
      <c r="G55" s="1140"/>
      <c r="H55" s="1140"/>
    </row>
  </sheetData>
  <mergeCells count="12">
    <mergeCell ref="F8:F10"/>
    <mergeCell ref="A40:F40"/>
    <mergeCell ref="A54:H54"/>
    <mergeCell ref="A55:H55"/>
    <mergeCell ref="A2:F2"/>
    <mergeCell ref="A4:F4"/>
    <mergeCell ref="A5:F5"/>
    <mergeCell ref="A8:A10"/>
    <mergeCell ref="B8:B10"/>
    <mergeCell ref="C8:C10"/>
    <mergeCell ref="D8:D10"/>
    <mergeCell ref="E8:E10"/>
  </mergeCells>
  <pageMargins left="0.3" right="0.33" top="0.53" bottom="0.67" header="0.31496062992125984" footer="0.31496062992125984"/>
  <pageSetup scale="86" fitToHeight="0" orientation="landscape" r:id="rId1"/>
  <headerFooter>
    <oddHeader>&amp;R&amp;"Arial,Normal"&amp;8 03</oddHeader>
    <oddFooter>&amp;C&amp;"Arial,Normal"&amp;9“Bajo protesta de decir verdad declaramos que los Estados Financieros y sus notas, son razonablemente correctos y son responsabilidad del emisor”</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8"/>
  <sheetViews>
    <sheetView view="pageBreakPreview" zoomScale="60" zoomScaleNormal="100" workbookViewId="0">
      <selection sqref="A1:H1"/>
    </sheetView>
  </sheetViews>
  <sheetFormatPr baseColWidth="10" defaultRowHeight="15" x14ac:dyDescent="0.25"/>
  <cols>
    <col min="1" max="1" width="76.5703125" bestFit="1" customWidth="1"/>
    <col min="2" max="2" width="11.5703125" style="166" bestFit="1" customWidth="1"/>
    <col min="3" max="3" width="15.140625" style="166" bestFit="1" customWidth="1"/>
  </cols>
  <sheetData>
    <row r="1" spans="1:9" s="35" customFormat="1" ht="14.25" x14ac:dyDescent="0.2">
      <c r="A1" s="34"/>
      <c r="B1" s="165"/>
      <c r="C1" s="165"/>
      <c r="D1" s="34"/>
      <c r="E1" s="34"/>
      <c r="F1" s="34"/>
      <c r="G1" s="34"/>
      <c r="H1" s="34"/>
    </row>
    <row r="2" spans="1:9" s="35" customFormat="1" x14ac:dyDescent="0.25">
      <c r="A2" s="1326" t="s">
        <v>732</v>
      </c>
      <c r="B2" s="1326"/>
      <c r="C2" s="1326"/>
      <c r="D2" s="36"/>
      <c r="E2" s="36"/>
      <c r="F2" s="36"/>
      <c r="G2" s="36"/>
      <c r="H2" s="36"/>
      <c r="I2" s="36"/>
    </row>
    <row r="3" spans="1:9" s="35" customFormat="1" x14ac:dyDescent="0.25">
      <c r="A3" s="1328" t="s">
        <v>2630</v>
      </c>
      <c r="B3" s="1328"/>
      <c r="C3" s="1328"/>
      <c r="D3" s="36"/>
      <c r="E3" s="36"/>
      <c r="F3" s="36"/>
      <c r="G3" s="36"/>
      <c r="H3" s="36"/>
      <c r="I3" s="36"/>
    </row>
    <row r="4" spans="1:9" s="35" customFormat="1" x14ac:dyDescent="0.25">
      <c r="A4" s="1328" t="s">
        <v>2631</v>
      </c>
      <c r="B4" s="1328"/>
      <c r="C4" s="1328"/>
      <c r="D4" s="36"/>
      <c r="E4" s="36"/>
      <c r="F4" s="36"/>
      <c r="G4" s="36"/>
      <c r="H4" s="36"/>
      <c r="I4" s="36"/>
    </row>
    <row r="5" spans="1:9" s="35" customFormat="1" ht="15.75" customHeight="1" x14ac:dyDescent="0.25">
      <c r="A5" s="1326" t="s">
        <v>8660</v>
      </c>
      <c r="B5" s="1326"/>
      <c r="C5" s="1326"/>
      <c r="D5" s="36"/>
      <c r="E5" s="36"/>
      <c r="F5" s="36"/>
      <c r="G5" s="36"/>
      <c r="H5" s="36"/>
      <c r="I5" s="36"/>
    </row>
    <row r="6" spans="1:9" s="35" customFormat="1" ht="18.75" customHeight="1" x14ac:dyDescent="0.25">
      <c r="A6" s="1326"/>
      <c r="B6" s="1326"/>
      <c r="C6" s="1326"/>
      <c r="D6" s="36"/>
      <c r="E6" s="36"/>
      <c r="F6" s="36"/>
      <c r="G6" s="36"/>
      <c r="H6" s="36"/>
      <c r="I6" s="36"/>
    </row>
    <row r="7" spans="1:9" s="35" customFormat="1" ht="14.25" x14ac:dyDescent="0.2">
      <c r="A7" s="255"/>
      <c r="B7" s="255"/>
      <c r="C7" s="255"/>
    </row>
    <row r="8" spans="1:9" s="35" customFormat="1" ht="14.25" x14ac:dyDescent="0.2">
      <c r="A8" s="256"/>
      <c r="B8" s="256"/>
      <c r="C8" s="256"/>
    </row>
    <row r="9" spans="1:9" s="35" customFormat="1" ht="14.25" x14ac:dyDescent="0.2">
      <c r="A9" s="256"/>
      <c r="B9" s="256"/>
      <c r="C9" s="256"/>
    </row>
    <row r="10" spans="1:9" s="35" customFormat="1" ht="14.25" x14ac:dyDescent="0.2">
      <c r="A10" s="255"/>
      <c r="B10" s="255"/>
      <c r="C10" s="255"/>
    </row>
    <row r="12" spans="1:9" x14ac:dyDescent="0.25">
      <c r="A12" s="1329" t="s">
        <v>187</v>
      </c>
      <c r="B12" s="1329"/>
      <c r="C12" s="185" t="s">
        <v>1174</v>
      </c>
    </row>
    <row r="13" spans="1:9" x14ac:dyDescent="0.25">
      <c r="A13" s="1330"/>
      <c r="B13" s="1330"/>
      <c r="C13" s="184"/>
    </row>
    <row r="14" spans="1:9" x14ac:dyDescent="0.25">
      <c r="A14" s="1331" t="s">
        <v>1175</v>
      </c>
      <c r="B14" s="1331"/>
      <c r="C14" s="928">
        <v>-128794385.42</v>
      </c>
    </row>
    <row r="15" spans="1:9" x14ac:dyDescent="0.25">
      <c r="A15" s="1332"/>
      <c r="B15" s="1332"/>
      <c r="C15" s="184"/>
    </row>
    <row r="16" spans="1:9" x14ac:dyDescent="0.25">
      <c r="A16" s="1332"/>
      <c r="B16" s="1332"/>
      <c r="C16" s="184"/>
    </row>
    <row r="17" spans="1:3" x14ac:dyDescent="0.25">
      <c r="A17" s="1332" t="s">
        <v>1178</v>
      </c>
      <c r="B17" s="1332"/>
      <c r="C17" s="184">
        <f>C19</f>
        <v>22053126.48</v>
      </c>
    </row>
    <row r="18" spans="1:3" x14ac:dyDescent="0.25">
      <c r="A18" s="1332"/>
      <c r="B18" s="1332"/>
      <c r="C18" s="184"/>
    </row>
    <row r="19" spans="1:3" x14ac:dyDescent="0.25">
      <c r="A19" s="1333" t="s">
        <v>1176</v>
      </c>
      <c r="B19" s="1333"/>
      <c r="C19" s="262">
        <v>22053126.48</v>
      </c>
    </row>
    <row r="20" spans="1:3" x14ac:dyDescent="0.25">
      <c r="A20" s="1332"/>
      <c r="B20" s="1332"/>
      <c r="C20" s="184"/>
    </row>
    <row r="21" spans="1:3" x14ac:dyDescent="0.25">
      <c r="A21" s="1332"/>
      <c r="B21" s="1332"/>
      <c r="C21" s="184"/>
    </row>
    <row r="22" spans="1:3" x14ac:dyDescent="0.25">
      <c r="A22" s="1332"/>
      <c r="B22" s="1332"/>
      <c r="C22" s="184"/>
    </row>
    <row r="23" spans="1:3" x14ac:dyDescent="0.25">
      <c r="A23" s="1331" t="s">
        <v>1177</v>
      </c>
      <c r="B23" s="1331"/>
      <c r="C23" s="928">
        <f>C14+C17</f>
        <v>-106741258.94</v>
      </c>
    </row>
    <row r="43" spans="1:5" s="90" customFormat="1" x14ac:dyDescent="0.25">
      <c r="A43" s="371"/>
      <c r="B43" s="371"/>
      <c r="C43" s="371"/>
      <c r="D43" s="372"/>
      <c r="E43" s="373"/>
    </row>
    <row r="44" spans="1:5" s="90" customFormat="1" x14ac:dyDescent="0.25">
      <c r="A44" s="371"/>
      <c r="B44" s="371"/>
      <c r="C44" s="371"/>
      <c r="D44" s="372"/>
      <c r="E44" s="373"/>
    </row>
    <row r="45" spans="1:5" s="90" customFormat="1" x14ac:dyDescent="0.25">
      <c r="A45" s="371"/>
      <c r="B45" s="371"/>
      <c r="C45" s="371"/>
      <c r="D45" s="372"/>
      <c r="E45" s="373"/>
    </row>
    <row r="46" spans="1:5" s="90" customFormat="1" x14ac:dyDescent="0.25">
      <c r="A46" s="371"/>
      <c r="B46" s="371"/>
      <c r="C46" s="371"/>
      <c r="D46" s="372"/>
      <c r="E46" s="373"/>
    </row>
    <row r="47" spans="1:5" s="90" customFormat="1" x14ac:dyDescent="0.25"/>
    <row r="48" spans="1:5" x14ac:dyDescent="0.25">
      <c r="B48"/>
      <c r="C48"/>
    </row>
  </sheetData>
  <mergeCells count="17">
    <mergeCell ref="A22:B22"/>
    <mergeCell ref="A23:B23"/>
    <mergeCell ref="A16:B16"/>
    <mergeCell ref="A18:B18"/>
    <mergeCell ref="A15:B15"/>
    <mergeCell ref="A21:B21"/>
    <mergeCell ref="A13:B13"/>
    <mergeCell ref="A14:B14"/>
    <mergeCell ref="A17:B17"/>
    <mergeCell ref="A19:B19"/>
    <mergeCell ref="A20:B20"/>
    <mergeCell ref="A2:C2"/>
    <mergeCell ref="A4:C4"/>
    <mergeCell ref="A6:C6"/>
    <mergeCell ref="A5:C5"/>
    <mergeCell ref="A12:B12"/>
    <mergeCell ref="A3:C3"/>
  </mergeCells>
  <printOptions horizontalCentered="1"/>
  <pageMargins left="0.23622047244094491" right="0.23622047244094491" top="0.55118110236220474" bottom="0.39370078740157483" header="0.31496062992125984" footer="0.31496062992125984"/>
  <pageSetup scale="99" fitToHeight="0" orientation="portrait" verticalDpi="300" r:id="rId1"/>
  <headerFooter>
    <oddHeader>&amp;R&amp;"Arial,Normal"&amp;8 07.IV.3</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4"/>
  <sheetViews>
    <sheetView view="pageBreakPreview" zoomScale="60" zoomScaleNormal="100" workbookViewId="0">
      <selection sqref="A1:H1"/>
    </sheetView>
  </sheetViews>
  <sheetFormatPr baseColWidth="10" defaultRowHeight="15" x14ac:dyDescent="0.25"/>
  <cols>
    <col min="1" max="1" width="76.5703125" bestFit="1" customWidth="1"/>
    <col min="2" max="2" width="11.5703125" style="166" bestFit="1" customWidth="1"/>
    <col min="3" max="3" width="15.140625" style="166" bestFit="1" customWidth="1"/>
  </cols>
  <sheetData>
    <row r="1" spans="1:9" s="35" customFormat="1" ht="14.25" x14ac:dyDescent="0.2">
      <c r="A1" s="34"/>
      <c r="B1" s="165"/>
      <c r="C1" s="165"/>
      <c r="D1" s="34"/>
      <c r="E1" s="34"/>
      <c r="F1" s="34"/>
      <c r="G1" s="34"/>
      <c r="H1" s="34"/>
    </row>
    <row r="2" spans="1:9" s="35" customFormat="1" x14ac:dyDescent="0.25">
      <c r="A2" s="1326" t="s">
        <v>732</v>
      </c>
      <c r="B2" s="1326"/>
      <c r="C2" s="1326"/>
      <c r="D2" s="36"/>
      <c r="E2" s="36"/>
      <c r="F2" s="36"/>
      <c r="G2" s="36"/>
      <c r="H2" s="36"/>
      <c r="I2" s="36"/>
    </row>
    <row r="3" spans="1:9" s="35" customFormat="1" x14ac:dyDescent="0.25">
      <c r="A3" s="1326" t="s">
        <v>488</v>
      </c>
      <c r="B3" s="1326"/>
      <c r="C3" s="1326"/>
      <c r="D3" s="36"/>
      <c r="E3" s="36"/>
      <c r="F3" s="36"/>
      <c r="G3" s="36"/>
      <c r="H3" s="36"/>
      <c r="I3" s="36"/>
    </row>
    <row r="4" spans="1:9" s="35" customFormat="1" x14ac:dyDescent="0.25">
      <c r="A4" s="1326" t="s">
        <v>8660</v>
      </c>
      <c r="B4" s="1326"/>
      <c r="C4" s="1326"/>
      <c r="D4" s="36"/>
      <c r="E4" s="36"/>
      <c r="F4" s="36"/>
      <c r="G4" s="36"/>
      <c r="H4" s="36"/>
      <c r="I4" s="36"/>
    </row>
    <row r="5" spans="1:9" s="35" customFormat="1" ht="14.25" x14ac:dyDescent="0.2">
      <c r="A5" s="1334"/>
      <c r="B5" s="1334"/>
      <c r="C5" s="1334"/>
    </row>
    <row r="6" spans="1:9" s="35" customFormat="1" ht="14.25" x14ac:dyDescent="0.2">
      <c r="A6" s="830"/>
      <c r="B6" s="830"/>
      <c r="C6" s="830"/>
    </row>
    <row r="7" spans="1:9" s="35" customFormat="1" ht="14.25" x14ac:dyDescent="0.2">
      <c r="A7" s="830"/>
      <c r="B7" s="830"/>
      <c r="C7" s="830"/>
    </row>
    <row r="9" spans="1:9" x14ac:dyDescent="0.25">
      <c r="A9" s="47" t="s">
        <v>490</v>
      </c>
      <c r="B9" s="183"/>
      <c r="C9" s="185">
        <v>1012432667.65</v>
      </c>
    </row>
    <row r="10" spans="1:9" x14ac:dyDescent="0.25">
      <c r="A10" s="46"/>
      <c r="B10" s="184"/>
      <c r="C10" s="184"/>
    </row>
    <row r="11" spans="1:9" x14ac:dyDescent="0.25">
      <c r="A11" s="48" t="s">
        <v>491</v>
      </c>
      <c r="B11" s="184"/>
      <c r="C11" s="183">
        <v>0</v>
      </c>
    </row>
    <row r="12" spans="1:9" x14ac:dyDescent="0.25">
      <c r="A12" s="49" t="s">
        <v>492</v>
      </c>
      <c r="B12" s="184">
        <v>0</v>
      </c>
      <c r="C12" s="184"/>
    </row>
    <row r="13" spans="1:9" x14ac:dyDescent="0.25">
      <c r="A13" s="49" t="s">
        <v>493</v>
      </c>
      <c r="B13" s="184">
        <v>0</v>
      </c>
      <c r="C13" s="184"/>
    </row>
    <row r="14" spans="1:9" x14ac:dyDescent="0.25">
      <c r="A14" s="49" t="s">
        <v>494</v>
      </c>
      <c r="B14" s="184">
        <v>0</v>
      </c>
      <c r="C14" s="184"/>
    </row>
    <row r="15" spans="1:9" x14ac:dyDescent="0.25">
      <c r="A15" s="49" t="s">
        <v>495</v>
      </c>
      <c r="B15" s="184">
        <v>0</v>
      </c>
      <c r="C15" s="184"/>
    </row>
    <row r="16" spans="1:9" x14ac:dyDescent="0.25">
      <c r="A16" s="49" t="s">
        <v>496</v>
      </c>
      <c r="B16" s="184">
        <v>0</v>
      </c>
      <c r="C16" s="184"/>
    </row>
    <row r="17" spans="1:3" x14ac:dyDescent="0.25">
      <c r="A17" s="46"/>
      <c r="B17" s="184"/>
      <c r="C17" s="184"/>
    </row>
    <row r="18" spans="1:3" x14ac:dyDescent="0.25">
      <c r="A18" s="48" t="s">
        <v>497</v>
      </c>
      <c r="B18" s="184"/>
      <c r="C18" s="183">
        <v>0</v>
      </c>
    </row>
    <row r="19" spans="1:3" x14ac:dyDescent="0.25">
      <c r="A19" s="49" t="s">
        <v>498</v>
      </c>
      <c r="B19" s="184">
        <v>0</v>
      </c>
      <c r="C19" s="184"/>
    </row>
    <row r="20" spans="1:3" x14ac:dyDescent="0.25">
      <c r="A20" s="49" t="s">
        <v>499</v>
      </c>
      <c r="B20" s="184">
        <v>0</v>
      </c>
      <c r="C20" s="184"/>
    </row>
    <row r="21" spans="1:3" x14ac:dyDescent="0.25">
      <c r="A21" s="49" t="s">
        <v>500</v>
      </c>
      <c r="B21" s="184">
        <v>0</v>
      </c>
      <c r="C21" s="184"/>
    </row>
    <row r="22" spans="1:3" x14ac:dyDescent="0.25">
      <c r="A22" s="49" t="s">
        <v>501</v>
      </c>
      <c r="B22" s="184">
        <v>0</v>
      </c>
      <c r="C22" s="184"/>
    </row>
    <row r="23" spans="1:3" x14ac:dyDescent="0.25">
      <c r="A23" s="46"/>
      <c r="B23" s="184"/>
      <c r="C23" s="184"/>
    </row>
    <row r="24" spans="1:3" x14ac:dyDescent="0.25">
      <c r="A24" s="47" t="s">
        <v>502</v>
      </c>
      <c r="B24" s="183"/>
      <c r="C24" s="185">
        <f>C9+C11-C18</f>
        <v>1012432667.65</v>
      </c>
    </row>
    <row r="49" spans="1:5" s="90" customFormat="1" x14ac:dyDescent="0.25">
      <c r="A49" s="371"/>
      <c r="B49" s="371"/>
      <c r="C49" s="371"/>
      <c r="D49" s="372"/>
      <c r="E49" s="373"/>
    </row>
    <row r="50" spans="1:5" s="90" customFormat="1" x14ac:dyDescent="0.25">
      <c r="A50" s="371"/>
      <c r="B50" s="371"/>
      <c r="C50" s="371"/>
      <c r="D50" s="372"/>
      <c r="E50" s="373"/>
    </row>
    <row r="51" spans="1:5" s="90" customFormat="1" x14ac:dyDescent="0.25">
      <c r="A51" s="371"/>
      <c r="B51" s="371"/>
      <c r="C51" s="371"/>
      <c r="D51" s="372"/>
      <c r="E51" s="373"/>
    </row>
    <row r="52" spans="1:5" s="90" customFormat="1" x14ac:dyDescent="0.25">
      <c r="A52" s="371"/>
      <c r="B52" s="371"/>
      <c r="C52" s="371"/>
      <c r="D52" s="372"/>
      <c r="E52" s="373"/>
    </row>
    <row r="53" spans="1:5" s="90" customFormat="1" x14ac:dyDescent="0.25"/>
    <row r="54" spans="1:5" x14ac:dyDescent="0.25">
      <c r="B54"/>
      <c r="C54"/>
    </row>
  </sheetData>
  <mergeCells count="4">
    <mergeCell ref="A2:C2"/>
    <mergeCell ref="A3:C3"/>
    <mergeCell ref="A4:C4"/>
    <mergeCell ref="A5:C5"/>
  </mergeCells>
  <printOptions horizontalCentered="1"/>
  <pageMargins left="0.47244094488188981" right="0.43307086614173229" top="0.55118110236220474" bottom="0.19685039370078741" header="0.31496062992125984" footer="0.31496062992125984"/>
  <pageSetup scale="93" fitToHeight="0" orientation="portrait" verticalDpi="300" r:id="rId1"/>
  <headerFooter>
    <oddHeader>&amp;R&amp;"Arial,Normal"&amp;8 07.V.1</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4"/>
  <sheetViews>
    <sheetView view="pageBreakPreview" zoomScale="60" zoomScaleNormal="100" workbookViewId="0">
      <selection sqref="A1:H1"/>
    </sheetView>
  </sheetViews>
  <sheetFormatPr baseColWidth="10" defaultRowHeight="15" x14ac:dyDescent="0.25"/>
  <cols>
    <col min="1" max="1" width="76.5703125" bestFit="1" customWidth="1"/>
    <col min="2" max="2" width="14.28515625" style="187" bestFit="1" customWidth="1"/>
    <col min="3" max="3" width="15.42578125" style="187" bestFit="1" customWidth="1"/>
    <col min="5" max="5" width="12.5703125" bestFit="1" customWidth="1"/>
    <col min="7" max="8" width="15.140625" bestFit="1" customWidth="1"/>
  </cols>
  <sheetData>
    <row r="1" spans="1:9" s="35" customFormat="1" ht="14.25" x14ac:dyDescent="0.2">
      <c r="A1" s="34"/>
      <c r="B1" s="186"/>
      <c r="C1" s="186"/>
      <c r="D1" s="34"/>
      <c r="E1" s="34"/>
      <c r="F1" s="34"/>
      <c r="G1" s="34"/>
      <c r="H1" s="34"/>
    </row>
    <row r="2" spans="1:9" s="35" customFormat="1" x14ac:dyDescent="0.25">
      <c r="A2" s="1326" t="s">
        <v>732</v>
      </c>
      <c r="B2" s="1326"/>
      <c r="C2" s="1326"/>
      <c r="D2" s="36"/>
      <c r="E2" s="36"/>
      <c r="F2" s="36"/>
      <c r="G2" s="36"/>
      <c r="H2" s="36"/>
      <c r="I2" s="36"/>
    </row>
    <row r="3" spans="1:9" s="35" customFormat="1" x14ac:dyDescent="0.25">
      <c r="A3" s="1326" t="s">
        <v>504</v>
      </c>
      <c r="B3" s="1326"/>
      <c r="C3" s="1326"/>
      <c r="D3" s="36"/>
      <c r="E3" s="36"/>
      <c r="F3" s="36"/>
      <c r="G3" s="36"/>
      <c r="H3" s="36"/>
      <c r="I3" s="36"/>
    </row>
    <row r="4" spans="1:9" s="35" customFormat="1" x14ac:dyDescent="0.25">
      <c r="A4" s="1326" t="s">
        <v>8660</v>
      </c>
      <c r="B4" s="1326"/>
      <c r="C4" s="1326"/>
      <c r="D4" s="36"/>
      <c r="E4" s="36"/>
      <c r="F4" s="36"/>
      <c r="G4" s="36"/>
      <c r="H4" s="36"/>
      <c r="I4" s="36"/>
    </row>
    <row r="5" spans="1:9" s="35" customFormat="1" ht="14.25" x14ac:dyDescent="0.2">
      <c r="A5" s="1334" t="s">
        <v>489</v>
      </c>
      <c r="B5" s="1334"/>
      <c r="C5" s="1334"/>
    </row>
    <row r="7" spans="1:9" ht="15.75" thickBot="1" x14ac:dyDescent="0.3"/>
    <row r="8" spans="1:9" x14ac:dyDescent="0.25">
      <c r="A8" s="38" t="s">
        <v>505</v>
      </c>
      <c r="B8" s="188"/>
      <c r="C8" s="189">
        <v>1236028556.8000002</v>
      </c>
    </row>
    <row r="9" spans="1:9" x14ac:dyDescent="0.25">
      <c r="A9" s="39"/>
      <c r="B9" s="190"/>
      <c r="C9" s="191"/>
    </row>
    <row r="10" spans="1:9" x14ac:dyDescent="0.25">
      <c r="A10" s="40" t="s">
        <v>506</v>
      </c>
      <c r="B10" s="190"/>
      <c r="C10" s="192">
        <f>SUM(B11:B27)</f>
        <v>50479865.800000042</v>
      </c>
    </row>
    <row r="11" spans="1:9" x14ac:dyDescent="0.25">
      <c r="A11" s="41" t="s">
        <v>507</v>
      </c>
      <c r="B11" s="190">
        <v>316756.39</v>
      </c>
      <c r="C11" s="191"/>
    </row>
    <row r="12" spans="1:9" x14ac:dyDescent="0.25">
      <c r="A12" s="41" t="s">
        <v>508</v>
      </c>
      <c r="B12" s="190">
        <v>10704.85</v>
      </c>
      <c r="C12" s="191"/>
    </row>
    <row r="13" spans="1:9" x14ac:dyDescent="0.25">
      <c r="A13" s="41" t="s">
        <v>509</v>
      </c>
      <c r="B13" s="190">
        <v>0</v>
      </c>
      <c r="C13" s="191"/>
    </row>
    <row r="14" spans="1:9" x14ac:dyDescent="0.25">
      <c r="A14" s="41" t="s">
        <v>510</v>
      </c>
      <c r="B14" s="190">
        <v>25500</v>
      </c>
      <c r="C14" s="191"/>
    </row>
    <row r="15" spans="1:9" x14ac:dyDescent="0.25">
      <c r="A15" s="41" t="s">
        <v>511</v>
      </c>
      <c r="B15" s="190">
        <v>0</v>
      </c>
      <c r="C15" s="191"/>
    </row>
    <row r="16" spans="1:9" x14ac:dyDescent="0.25">
      <c r="A16" s="41" t="s">
        <v>512</v>
      </c>
      <c r="B16" s="190">
        <v>291880.03999999998</v>
      </c>
      <c r="C16" s="191"/>
    </row>
    <row r="17" spans="1:7" x14ac:dyDescent="0.25">
      <c r="A17" s="41" t="s">
        <v>513</v>
      </c>
      <c r="B17" s="190">
        <v>0</v>
      </c>
      <c r="C17" s="191"/>
    </row>
    <row r="18" spans="1:7" x14ac:dyDescent="0.25">
      <c r="A18" s="41" t="s">
        <v>514</v>
      </c>
      <c r="B18" s="190">
        <v>0</v>
      </c>
      <c r="C18" s="191"/>
    </row>
    <row r="19" spans="1:7" x14ac:dyDescent="0.25">
      <c r="A19" s="41" t="s">
        <v>515</v>
      </c>
      <c r="B19" s="190">
        <v>0</v>
      </c>
      <c r="C19" s="191"/>
    </row>
    <row r="20" spans="1:7" x14ac:dyDescent="0.25">
      <c r="A20" s="41" t="s">
        <v>516</v>
      </c>
      <c r="B20" s="190">
        <v>0</v>
      </c>
      <c r="C20" s="191"/>
    </row>
    <row r="21" spans="1:7" x14ac:dyDescent="0.25">
      <c r="A21" s="41" t="s">
        <v>517</v>
      </c>
      <c r="B21" s="190">
        <v>17665353</v>
      </c>
      <c r="C21" s="191"/>
    </row>
    <row r="22" spans="1:7" x14ac:dyDescent="0.25">
      <c r="A22" s="41" t="s">
        <v>518</v>
      </c>
      <c r="B22" s="190">
        <v>0</v>
      </c>
      <c r="C22" s="191"/>
    </row>
    <row r="23" spans="1:7" x14ac:dyDescent="0.25">
      <c r="A23" s="41" t="s">
        <v>519</v>
      </c>
      <c r="B23" s="190">
        <v>0</v>
      </c>
      <c r="C23" s="191"/>
    </row>
    <row r="24" spans="1:7" x14ac:dyDescent="0.25">
      <c r="A24" s="41" t="s">
        <v>520</v>
      </c>
      <c r="B24" s="190">
        <v>0</v>
      </c>
      <c r="C24" s="191"/>
    </row>
    <row r="25" spans="1:7" x14ac:dyDescent="0.25">
      <c r="A25" s="41" t="s">
        <v>521</v>
      </c>
      <c r="B25" s="190">
        <v>5000000.04</v>
      </c>
      <c r="C25" s="191"/>
    </row>
    <row r="26" spans="1:7" x14ac:dyDescent="0.25">
      <c r="A26" s="41" t="s">
        <v>522</v>
      </c>
      <c r="B26" s="190">
        <v>24382995.770000003</v>
      </c>
      <c r="C26" s="191"/>
    </row>
    <row r="27" spans="1:7" x14ac:dyDescent="0.25">
      <c r="A27" s="41" t="s">
        <v>523</v>
      </c>
      <c r="B27" s="190">
        <v>2786675.7100000381</v>
      </c>
      <c r="C27" s="191"/>
      <c r="G27" s="187"/>
    </row>
    <row r="28" spans="1:7" x14ac:dyDescent="0.25">
      <c r="A28" s="39"/>
      <c r="B28" s="190"/>
      <c r="C28" s="191"/>
    </row>
    <row r="29" spans="1:7" x14ac:dyDescent="0.25">
      <c r="A29" s="40" t="s">
        <v>524</v>
      </c>
      <c r="B29" s="190"/>
      <c r="C29" s="192">
        <f>SUM(B30:B36)</f>
        <v>22053126.48</v>
      </c>
    </row>
    <row r="30" spans="1:7" x14ac:dyDescent="0.25">
      <c r="A30" s="41" t="s">
        <v>525</v>
      </c>
      <c r="B30" s="318">
        <v>22053126.48</v>
      </c>
      <c r="C30" s="191"/>
      <c r="G30" s="187"/>
    </row>
    <row r="31" spans="1:7" x14ac:dyDescent="0.25">
      <c r="A31" s="41" t="s">
        <v>175</v>
      </c>
      <c r="B31" s="190">
        <v>0</v>
      </c>
      <c r="C31" s="191"/>
    </row>
    <row r="32" spans="1:7" x14ac:dyDescent="0.25">
      <c r="A32" s="41" t="s">
        <v>526</v>
      </c>
      <c r="B32" s="190">
        <v>0</v>
      </c>
      <c r="C32" s="191"/>
    </row>
    <row r="33" spans="1:8" x14ac:dyDescent="0.25">
      <c r="A33" s="41" t="s">
        <v>527</v>
      </c>
      <c r="B33" s="190">
        <v>0</v>
      </c>
      <c r="C33" s="191"/>
    </row>
    <row r="34" spans="1:8" x14ac:dyDescent="0.25">
      <c r="A34" s="41" t="s">
        <v>528</v>
      </c>
      <c r="B34" s="190">
        <v>0</v>
      </c>
      <c r="C34" s="191"/>
    </row>
    <row r="35" spans="1:8" x14ac:dyDescent="0.25">
      <c r="A35" s="41" t="s">
        <v>182</v>
      </c>
      <c r="B35" s="190">
        <v>0</v>
      </c>
      <c r="C35" s="191"/>
    </row>
    <row r="36" spans="1:8" x14ac:dyDescent="0.25">
      <c r="A36" s="41" t="s">
        <v>529</v>
      </c>
      <c r="B36" s="190">
        <v>0</v>
      </c>
      <c r="C36" s="191"/>
    </row>
    <row r="37" spans="1:8" x14ac:dyDescent="0.25">
      <c r="A37" s="43"/>
      <c r="B37" s="193"/>
      <c r="C37" s="194"/>
    </row>
    <row r="38" spans="1:8" ht="15.75" thickBot="1" x14ac:dyDescent="0.3">
      <c r="A38" s="42" t="s">
        <v>530</v>
      </c>
      <c r="B38" s="195"/>
      <c r="C38" s="196">
        <f>C8-C10+C29</f>
        <v>1207601817.4800003</v>
      </c>
      <c r="E38" s="187"/>
    </row>
    <row r="41" spans="1:8" x14ac:dyDescent="0.25">
      <c r="E41" s="187"/>
    </row>
    <row r="43" spans="1:8" x14ac:dyDescent="0.25">
      <c r="D43" s="187"/>
    </row>
    <row r="46" spans="1:8" s="90" customFormat="1" x14ac:dyDescent="0.25">
      <c r="A46" s="371"/>
      <c r="B46" s="659"/>
      <c r="C46" s="659"/>
      <c r="D46" s="372"/>
      <c r="E46" s="373"/>
      <c r="G46" s="786"/>
      <c r="H46" s="786"/>
    </row>
    <row r="47" spans="1:8" s="90" customFormat="1" x14ac:dyDescent="0.25">
      <c r="A47" s="371"/>
      <c r="B47" s="659"/>
      <c r="C47" s="659"/>
      <c r="D47" s="372"/>
      <c r="E47" s="373"/>
      <c r="G47" s="786"/>
      <c r="H47" s="786"/>
    </row>
    <row r="48" spans="1:8" s="90" customFormat="1" x14ac:dyDescent="0.25">
      <c r="A48" s="371"/>
      <c r="B48" s="659"/>
      <c r="C48" s="659"/>
      <c r="D48" s="372"/>
      <c r="E48" s="373"/>
      <c r="G48" s="786"/>
      <c r="H48" s="786"/>
    </row>
    <row r="49" spans="1:8" s="90" customFormat="1" x14ac:dyDescent="0.25">
      <c r="B49" s="660"/>
      <c r="C49" s="660"/>
      <c r="G49" s="786"/>
      <c r="H49" s="786"/>
    </row>
    <row r="54" spans="1:8" x14ac:dyDescent="0.25">
      <c r="A54" t="s">
        <v>559</v>
      </c>
    </row>
  </sheetData>
  <mergeCells count="4">
    <mergeCell ref="A4:C4"/>
    <mergeCell ref="A5:C5"/>
    <mergeCell ref="A2:C2"/>
    <mergeCell ref="A3:C3"/>
  </mergeCells>
  <printOptions horizontalCentered="1"/>
  <pageMargins left="0.23622047244094491" right="0.23622047244094491" top="0.51181102362204722" bottom="0.19685039370078741" header="0.31496062992125984" footer="0.31496062992125984"/>
  <pageSetup scale="96" fitToHeight="0" orientation="portrait" verticalDpi="300" r:id="rId1"/>
  <headerFooter>
    <oddHeader>&amp;R&amp;"Arial,Normal"&amp;8 07.V.2</oddHead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view="pageBreakPreview" zoomScale="60" zoomScaleNormal="100" workbookViewId="0">
      <selection sqref="A1:H1"/>
    </sheetView>
  </sheetViews>
  <sheetFormatPr baseColWidth="10" defaultRowHeight="15" x14ac:dyDescent="0.25"/>
  <sheetData>
    <row r="1" spans="1:8" x14ac:dyDescent="0.25">
      <c r="A1" s="1294" t="s">
        <v>566</v>
      </c>
      <c r="B1" s="1294"/>
      <c r="C1" s="1294"/>
      <c r="D1" s="1294"/>
      <c r="E1" s="1294"/>
      <c r="F1" s="1294"/>
      <c r="G1" s="1294"/>
      <c r="H1" s="1294"/>
    </row>
    <row r="2" spans="1:8" x14ac:dyDescent="0.25">
      <c r="A2" s="1294" t="s">
        <v>2429</v>
      </c>
      <c r="B2" s="1294"/>
      <c r="C2" s="1294"/>
      <c r="D2" s="1294"/>
      <c r="E2" s="1294"/>
      <c r="F2" s="1294"/>
      <c r="G2" s="1294"/>
      <c r="H2" s="1294"/>
    </row>
    <row r="3" spans="1:8" x14ac:dyDescent="0.25">
      <c r="A3" s="1294" t="s">
        <v>2430</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608"/>
      <c r="B6" s="609"/>
      <c r="C6" s="609"/>
      <c r="D6" s="609"/>
      <c r="E6" s="609"/>
      <c r="F6" s="609"/>
      <c r="G6" s="609"/>
      <c r="H6" s="610"/>
    </row>
    <row r="7" spans="1:8" x14ac:dyDescent="0.25">
      <c r="A7" s="608"/>
      <c r="B7" s="609"/>
      <c r="C7" s="609"/>
      <c r="D7" s="609"/>
      <c r="E7" s="609"/>
      <c r="F7" s="609"/>
      <c r="G7" s="609"/>
      <c r="H7" s="610"/>
    </row>
    <row r="8" spans="1:8" ht="45" customHeight="1" x14ac:dyDescent="0.25">
      <c r="A8" s="1335" t="s">
        <v>7486</v>
      </c>
      <c r="B8" s="1336"/>
      <c r="C8" s="1336"/>
      <c r="D8" s="1336"/>
      <c r="E8" s="1336"/>
      <c r="F8" s="1336"/>
      <c r="G8" s="1336"/>
      <c r="H8" s="1337"/>
    </row>
    <row r="9" spans="1:8" ht="45" customHeight="1" x14ac:dyDescent="0.25">
      <c r="A9" s="1335" t="s">
        <v>7487</v>
      </c>
      <c r="B9" s="1336"/>
      <c r="C9" s="1336"/>
      <c r="D9" s="1336"/>
      <c r="E9" s="1336"/>
      <c r="F9" s="1336"/>
      <c r="G9" s="1336"/>
      <c r="H9" s="1337"/>
    </row>
    <row r="10" spans="1:8" ht="45" customHeight="1" x14ac:dyDescent="0.25">
      <c r="A10" s="1335" t="s">
        <v>7488</v>
      </c>
      <c r="B10" s="1336"/>
      <c r="C10" s="1336"/>
      <c r="D10" s="1336"/>
      <c r="E10" s="1336"/>
      <c r="F10" s="1336"/>
      <c r="G10" s="1336"/>
      <c r="H10" s="1337"/>
    </row>
    <row r="11" spans="1:8" x14ac:dyDescent="0.25">
      <c r="A11" s="747"/>
      <c r="B11" s="748"/>
      <c r="C11" s="748"/>
      <c r="D11" s="748"/>
      <c r="E11" s="748"/>
      <c r="F11" s="748"/>
      <c r="G11" s="748"/>
      <c r="H11" s="746"/>
    </row>
    <row r="12" spans="1:8" x14ac:dyDescent="0.25">
      <c r="A12" s="747"/>
      <c r="B12" s="748"/>
      <c r="C12" s="748"/>
      <c r="D12" s="748"/>
      <c r="E12" s="748"/>
      <c r="F12" s="748"/>
      <c r="G12" s="748"/>
      <c r="H12" s="746"/>
    </row>
    <row r="13" spans="1:8" x14ac:dyDescent="0.25">
      <c r="A13" s="747"/>
      <c r="B13" s="748"/>
      <c r="C13" s="748"/>
      <c r="D13" s="748"/>
      <c r="E13" s="748"/>
      <c r="F13" s="748"/>
      <c r="G13" s="748"/>
      <c r="H13" s="746"/>
    </row>
    <row r="14" spans="1:8" x14ac:dyDescent="0.25">
      <c r="A14" s="747"/>
      <c r="B14" s="748"/>
      <c r="C14" s="748"/>
      <c r="D14" s="748"/>
      <c r="E14" s="748"/>
      <c r="F14" s="748"/>
      <c r="G14" s="748"/>
      <c r="H14" s="746"/>
    </row>
    <row r="15" spans="1:8" x14ac:dyDescent="0.25">
      <c r="A15" s="747"/>
      <c r="B15" s="748"/>
      <c r="C15" s="748"/>
      <c r="D15" s="748"/>
      <c r="E15" s="748"/>
      <c r="F15" s="748"/>
      <c r="G15" s="748"/>
      <c r="H15" s="746"/>
    </row>
    <row r="16" spans="1:8" x14ac:dyDescent="0.25">
      <c r="A16" s="747"/>
      <c r="B16" s="748"/>
      <c r="C16" s="748"/>
      <c r="D16" s="748"/>
      <c r="E16" s="748"/>
      <c r="F16" s="748"/>
      <c r="G16" s="748"/>
      <c r="H16" s="746"/>
    </row>
    <row r="17" spans="1:8" x14ac:dyDescent="0.25">
      <c r="A17" s="747"/>
      <c r="B17" s="748"/>
      <c r="C17" s="748"/>
      <c r="D17" s="748"/>
      <c r="E17" s="748"/>
      <c r="F17" s="748"/>
      <c r="G17" s="748"/>
      <c r="H17" s="746"/>
    </row>
    <row r="18" spans="1:8" x14ac:dyDescent="0.25">
      <c r="A18" s="747"/>
      <c r="B18" s="748"/>
      <c r="C18" s="748"/>
      <c r="D18" s="748"/>
      <c r="E18" s="748"/>
      <c r="F18" s="748"/>
      <c r="G18" s="748"/>
      <c r="H18" s="746"/>
    </row>
    <row r="19" spans="1:8" x14ac:dyDescent="0.25">
      <c r="A19" s="747"/>
      <c r="B19" s="748"/>
      <c r="C19" s="748"/>
      <c r="D19" s="748"/>
      <c r="E19" s="748"/>
      <c r="F19" s="748"/>
      <c r="G19" s="748"/>
      <c r="H19" s="746"/>
    </row>
    <row r="20" spans="1:8" x14ac:dyDescent="0.25">
      <c r="A20" s="747"/>
      <c r="B20" s="748"/>
      <c r="C20" s="748"/>
      <c r="D20" s="748"/>
      <c r="E20" s="748"/>
      <c r="F20" s="748"/>
      <c r="G20" s="748"/>
      <c r="H20" s="746"/>
    </row>
    <row r="21" spans="1:8" x14ac:dyDescent="0.25">
      <c r="A21" s="747"/>
      <c r="B21" s="748"/>
      <c r="C21" s="748"/>
      <c r="D21" s="748"/>
      <c r="E21" s="748"/>
      <c r="F21" s="748"/>
      <c r="G21" s="748"/>
      <c r="H21" s="746"/>
    </row>
    <row r="22" spans="1:8" x14ac:dyDescent="0.25">
      <c r="A22" s="747"/>
      <c r="B22" s="748"/>
      <c r="C22" s="748"/>
      <c r="D22" s="748"/>
      <c r="E22" s="748"/>
      <c r="F22" s="748"/>
      <c r="G22" s="748"/>
      <c r="H22" s="746"/>
    </row>
    <row r="23" spans="1:8" x14ac:dyDescent="0.25">
      <c r="A23" s="747"/>
      <c r="B23" s="748"/>
      <c r="C23" s="748"/>
      <c r="D23" s="748"/>
      <c r="E23" s="748"/>
      <c r="F23" s="748"/>
      <c r="G23" s="748"/>
      <c r="H23" s="746"/>
    </row>
    <row r="24" spans="1:8" x14ac:dyDescent="0.25">
      <c r="A24" s="747"/>
      <c r="B24" s="748"/>
      <c r="C24" s="748"/>
      <c r="D24" s="748"/>
      <c r="E24" s="748"/>
      <c r="F24" s="748"/>
      <c r="G24" s="748"/>
      <c r="H24" s="746"/>
    </row>
    <row r="25" spans="1:8" x14ac:dyDescent="0.25">
      <c r="A25" s="747"/>
      <c r="B25" s="748"/>
      <c r="C25" s="748"/>
      <c r="D25" s="748"/>
      <c r="E25" s="748"/>
      <c r="F25" s="748"/>
      <c r="G25" s="748"/>
      <c r="H25" s="746"/>
    </row>
    <row r="26" spans="1:8" x14ac:dyDescent="0.25">
      <c r="A26" s="747"/>
      <c r="B26" s="748"/>
      <c r="C26" s="748"/>
      <c r="D26" s="748"/>
      <c r="E26" s="748"/>
      <c r="F26" s="748"/>
      <c r="G26" s="748"/>
      <c r="H26" s="746"/>
    </row>
    <row r="27" spans="1:8" x14ac:dyDescent="0.25">
      <c r="A27" s="747"/>
      <c r="B27" s="748"/>
      <c r="C27" s="748"/>
      <c r="D27" s="748"/>
      <c r="E27" s="748"/>
      <c r="F27" s="748"/>
      <c r="G27" s="748"/>
      <c r="H27" s="746"/>
    </row>
    <row r="28" spans="1:8" x14ac:dyDescent="0.25">
      <c r="A28" s="608"/>
      <c r="B28" s="609"/>
      <c r="C28" s="609"/>
      <c r="D28" s="609"/>
      <c r="E28" s="609"/>
      <c r="F28" s="609"/>
      <c r="G28" s="609"/>
      <c r="H28" s="610"/>
    </row>
    <row r="29" spans="1:8" x14ac:dyDescent="0.25">
      <c r="A29" s="608"/>
      <c r="B29" s="609"/>
      <c r="C29" s="609"/>
      <c r="D29" s="609"/>
      <c r="E29" s="609"/>
      <c r="F29" s="609"/>
      <c r="G29" s="609"/>
      <c r="H29" s="610"/>
    </row>
    <row r="30" spans="1:8" x14ac:dyDescent="0.25">
      <c r="A30" s="608"/>
      <c r="B30" s="609"/>
      <c r="C30" s="609"/>
      <c r="D30" s="609"/>
      <c r="E30" s="609"/>
      <c r="F30" s="609"/>
      <c r="G30" s="609"/>
      <c r="H30" s="610"/>
    </row>
    <row r="31" spans="1:8" x14ac:dyDescent="0.25">
      <c r="A31" s="608"/>
      <c r="B31" s="609"/>
      <c r="C31" s="609"/>
      <c r="D31" s="609"/>
      <c r="E31" s="609"/>
      <c r="F31" s="609"/>
      <c r="G31" s="609"/>
      <c r="H31" s="610"/>
    </row>
    <row r="32" spans="1:8" x14ac:dyDescent="0.25">
      <c r="A32" s="608"/>
      <c r="B32" s="609"/>
      <c r="C32" s="609"/>
      <c r="D32" s="609"/>
      <c r="E32" s="609"/>
      <c r="F32" s="609"/>
      <c r="G32" s="609"/>
      <c r="H32" s="610"/>
    </row>
    <row r="33" spans="1:8" x14ac:dyDescent="0.25">
      <c r="A33" s="608"/>
      <c r="B33" s="609"/>
      <c r="C33" s="609"/>
      <c r="D33" s="609"/>
      <c r="E33" s="609"/>
      <c r="F33" s="609"/>
      <c r="G33" s="609"/>
      <c r="H33" s="610"/>
    </row>
    <row r="34" spans="1:8" x14ac:dyDescent="0.25">
      <c r="A34" s="608"/>
      <c r="B34" s="609"/>
      <c r="C34" s="609"/>
      <c r="D34" s="609"/>
      <c r="E34" s="609"/>
      <c r="F34" s="609"/>
      <c r="G34" s="609"/>
      <c r="H34" s="610"/>
    </row>
    <row r="35" spans="1:8" ht="15.75" thickBot="1" x14ac:dyDescent="0.3">
      <c r="A35" s="611"/>
      <c r="B35" s="612"/>
      <c r="C35" s="612"/>
      <c r="D35" s="612"/>
      <c r="E35" s="612"/>
      <c r="F35" s="612"/>
      <c r="G35" s="612"/>
      <c r="H35" s="613"/>
    </row>
    <row r="39" spans="1:8" s="90" customFormat="1" x14ac:dyDescent="0.25">
      <c r="A39" s="371"/>
      <c r="B39" s="371"/>
      <c r="C39" s="371"/>
      <c r="D39" s="372"/>
      <c r="E39" s="373"/>
    </row>
    <row r="40" spans="1:8" s="90" customFormat="1" x14ac:dyDescent="0.25">
      <c r="A40" s="371"/>
      <c r="B40" s="371"/>
      <c r="C40" s="371"/>
      <c r="D40" s="372"/>
      <c r="E40" s="373"/>
    </row>
    <row r="41" spans="1:8" s="90" customFormat="1" x14ac:dyDescent="0.25">
      <c r="A41" s="371"/>
      <c r="B41" s="371"/>
      <c r="C41" s="371"/>
      <c r="D41" s="372"/>
      <c r="E41" s="373"/>
    </row>
    <row r="42" spans="1:8" s="90" customFormat="1" x14ac:dyDescent="0.25">
      <c r="A42" s="371"/>
      <c r="B42" s="371"/>
      <c r="C42" s="371"/>
      <c r="D42" s="372"/>
      <c r="E42" s="373"/>
    </row>
    <row r="43" spans="1:8" s="90" customFormat="1" x14ac:dyDescent="0.25"/>
  </sheetData>
  <mergeCells count="6">
    <mergeCell ref="A10:H10"/>
    <mergeCell ref="A1:H1"/>
    <mergeCell ref="A2:H2"/>
    <mergeCell ref="A3:H3"/>
    <mergeCell ref="A8:H8"/>
    <mergeCell ref="A9:H9"/>
  </mergeCells>
  <pageMargins left="0.70866141732283472" right="0.70866141732283472" top="0.78740157480314965" bottom="0.39370078740157483" header="0.31496062992125984" footer="0.31496062992125984"/>
  <pageSetup scale="98" fitToHeight="0" orientation="portrait" r:id="rId1"/>
  <headerFooter>
    <oddHeader>&amp;L&amp;"Arial,Normal"&amp;8Estados e Información Contable
Notas de Gestión Administrativa&amp;R&amp;"Arial,Normal"&amp;8 7.GA.1</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view="pageBreakPreview" zoomScale="60" zoomScaleNormal="100" workbookViewId="0">
      <selection activeCell="A23" sqref="A23:XFD23"/>
    </sheetView>
  </sheetViews>
  <sheetFormatPr baseColWidth="10" defaultRowHeight="15" x14ac:dyDescent="0.25"/>
  <sheetData>
    <row r="1" spans="1:8" x14ac:dyDescent="0.25">
      <c r="A1" s="1294" t="s">
        <v>566</v>
      </c>
      <c r="B1" s="1294"/>
      <c r="C1" s="1294"/>
      <c r="D1" s="1294"/>
      <c r="E1" s="1294"/>
      <c r="F1" s="1294"/>
      <c r="G1" s="1294"/>
      <c r="H1" s="1294"/>
    </row>
    <row r="2" spans="1:8" x14ac:dyDescent="0.25">
      <c r="A2" s="1294" t="s">
        <v>2429</v>
      </c>
      <c r="B2" s="1294"/>
      <c r="C2" s="1294"/>
      <c r="D2" s="1294"/>
      <c r="E2" s="1294"/>
      <c r="F2" s="1294"/>
      <c r="G2" s="1294"/>
      <c r="H2" s="1294"/>
    </row>
    <row r="3" spans="1:8" x14ac:dyDescent="0.25">
      <c r="A3" s="1294" t="s">
        <v>2431</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608"/>
      <c r="B6" s="609"/>
      <c r="C6" s="609"/>
      <c r="D6" s="609"/>
      <c r="E6" s="609"/>
      <c r="F6" s="609"/>
      <c r="G6" s="609"/>
      <c r="H6" s="610"/>
    </row>
    <row r="7" spans="1:8" ht="54" customHeight="1" x14ac:dyDescent="0.25">
      <c r="A7" s="1338" t="s">
        <v>7567</v>
      </c>
      <c r="B7" s="1339"/>
      <c r="C7" s="1339"/>
      <c r="D7" s="1339"/>
      <c r="E7" s="1339"/>
      <c r="F7" s="1339"/>
      <c r="G7" s="1339"/>
      <c r="H7" s="1340"/>
    </row>
    <row r="8" spans="1:8" x14ac:dyDescent="0.25">
      <c r="A8" s="608"/>
      <c r="B8" s="609"/>
      <c r="C8" s="609"/>
      <c r="D8" s="609"/>
      <c r="E8" s="609"/>
      <c r="F8" s="609"/>
      <c r="G8" s="609"/>
      <c r="H8" s="610"/>
    </row>
    <row r="9" spans="1:8" ht="65.25" customHeight="1" x14ac:dyDescent="0.25">
      <c r="A9" s="1338" t="s">
        <v>7505</v>
      </c>
      <c r="B9" s="1339"/>
      <c r="C9" s="1339"/>
      <c r="D9" s="1339"/>
      <c r="E9" s="1339"/>
      <c r="F9" s="1339"/>
      <c r="G9" s="1339"/>
      <c r="H9" s="1340"/>
    </row>
    <row r="10" spans="1:8" x14ac:dyDescent="0.25">
      <c r="A10" s="749"/>
      <c r="B10" s="750"/>
      <c r="C10" s="750"/>
      <c r="D10" s="750"/>
      <c r="E10" s="750"/>
      <c r="F10" s="750"/>
      <c r="G10" s="750"/>
      <c r="H10" s="751"/>
    </row>
    <row r="11" spans="1:8" ht="49.5" customHeight="1" x14ac:dyDescent="0.25">
      <c r="A11" s="1338" t="s">
        <v>7506</v>
      </c>
      <c r="B11" s="1339"/>
      <c r="C11" s="1339"/>
      <c r="D11" s="1339"/>
      <c r="E11" s="1339"/>
      <c r="F11" s="1339"/>
      <c r="G11" s="1339"/>
      <c r="H11" s="1340"/>
    </row>
    <row r="12" spans="1:8" x14ac:dyDescent="0.25">
      <c r="A12" s="749"/>
      <c r="B12" s="750"/>
      <c r="C12" s="750"/>
      <c r="D12" s="750"/>
      <c r="E12" s="750"/>
      <c r="F12" s="750"/>
      <c r="G12" s="750"/>
      <c r="H12" s="751"/>
    </row>
    <row r="13" spans="1:8" ht="86.25" customHeight="1" x14ac:dyDescent="0.25">
      <c r="A13" s="1338" t="s">
        <v>7507</v>
      </c>
      <c r="B13" s="1339"/>
      <c r="C13" s="1339"/>
      <c r="D13" s="1339"/>
      <c r="E13" s="1339"/>
      <c r="F13" s="1339"/>
      <c r="G13" s="1339"/>
      <c r="H13" s="1340"/>
    </row>
    <row r="14" spans="1:8" x14ac:dyDescent="0.25">
      <c r="A14" s="608"/>
      <c r="B14" s="609"/>
      <c r="C14" s="609"/>
      <c r="D14" s="609"/>
      <c r="E14" s="609"/>
      <c r="F14" s="609"/>
      <c r="G14" s="609"/>
      <c r="H14" s="610"/>
    </row>
    <row r="15" spans="1:8" x14ac:dyDescent="0.25">
      <c r="A15" s="608"/>
      <c r="B15" s="609"/>
      <c r="C15" s="609"/>
      <c r="D15" s="609"/>
      <c r="E15" s="609"/>
      <c r="F15" s="609"/>
      <c r="G15" s="609"/>
      <c r="H15" s="610"/>
    </row>
    <row r="16" spans="1:8" x14ac:dyDescent="0.25">
      <c r="A16" s="608"/>
      <c r="B16" s="609"/>
      <c r="C16" s="609"/>
      <c r="D16" s="609"/>
      <c r="E16" s="609"/>
      <c r="F16" s="609"/>
      <c r="G16" s="609"/>
      <c r="H16" s="610"/>
    </row>
    <row r="17" spans="1:8" x14ac:dyDescent="0.25">
      <c r="A17" s="608"/>
      <c r="B17" s="609"/>
      <c r="C17" s="609"/>
      <c r="D17" s="609"/>
      <c r="E17" s="609"/>
      <c r="F17" s="609"/>
      <c r="G17" s="609"/>
      <c r="H17" s="610"/>
    </row>
    <row r="18" spans="1:8" x14ac:dyDescent="0.25">
      <c r="A18" s="608"/>
      <c r="B18" s="609"/>
      <c r="C18" s="609"/>
      <c r="D18" s="609"/>
      <c r="E18" s="609"/>
      <c r="F18" s="609"/>
      <c r="G18" s="609"/>
      <c r="H18" s="610"/>
    </row>
    <row r="19" spans="1:8" x14ac:dyDescent="0.25">
      <c r="A19" s="608"/>
      <c r="B19" s="609"/>
      <c r="C19" s="609"/>
      <c r="D19" s="609"/>
      <c r="E19" s="609"/>
      <c r="F19" s="609"/>
      <c r="G19" s="609"/>
      <c r="H19" s="610"/>
    </row>
    <row r="20" spans="1:8" x14ac:dyDescent="0.25">
      <c r="A20" s="608"/>
      <c r="B20" s="609"/>
      <c r="C20" s="609"/>
      <c r="D20" s="609"/>
      <c r="E20" s="609"/>
      <c r="F20" s="609"/>
      <c r="G20" s="609"/>
      <c r="H20" s="610"/>
    </row>
    <row r="21" spans="1:8" x14ac:dyDescent="0.25">
      <c r="A21" s="608"/>
      <c r="B21" s="609"/>
      <c r="C21" s="609"/>
      <c r="D21" s="609"/>
      <c r="E21" s="609"/>
      <c r="F21" s="609"/>
      <c r="G21" s="609"/>
      <c r="H21" s="610"/>
    </row>
    <row r="22" spans="1:8" x14ac:dyDescent="0.25">
      <c r="A22" s="608"/>
      <c r="B22" s="609"/>
      <c r="C22" s="609"/>
      <c r="D22" s="609"/>
      <c r="E22" s="609"/>
      <c r="F22" s="609"/>
      <c r="G22" s="609"/>
      <c r="H22" s="610"/>
    </row>
    <row r="23" spans="1:8" x14ac:dyDescent="0.25">
      <c r="A23" s="608"/>
      <c r="B23" s="609"/>
      <c r="C23" s="609"/>
      <c r="D23" s="609"/>
      <c r="E23" s="609"/>
      <c r="F23" s="609"/>
      <c r="G23" s="609"/>
      <c r="H23" s="610"/>
    </row>
    <row r="24" spans="1:8" x14ac:dyDescent="0.25">
      <c r="A24" s="608"/>
      <c r="B24" s="609"/>
      <c r="C24" s="609"/>
      <c r="D24" s="609"/>
      <c r="E24" s="609"/>
      <c r="F24" s="609"/>
      <c r="G24" s="609"/>
      <c r="H24" s="610"/>
    </row>
    <row r="25" spans="1:8" x14ac:dyDescent="0.25">
      <c r="A25" s="608"/>
      <c r="B25" s="609"/>
      <c r="C25" s="609"/>
      <c r="D25" s="609"/>
      <c r="E25" s="609"/>
      <c r="F25" s="609"/>
      <c r="G25" s="609"/>
      <c r="H25" s="610"/>
    </row>
    <row r="26" spans="1:8" x14ac:dyDescent="0.25">
      <c r="A26" s="608"/>
      <c r="B26" s="609"/>
      <c r="C26" s="609"/>
      <c r="D26" s="609"/>
      <c r="E26" s="609"/>
      <c r="F26" s="609"/>
      <c r="G26" s="609"/>
      <c r="H26" s="610"/>
    </row>
    <row r="27" spans="1:8" x14ac:dyDescent="0.25">
      <c r="A27" s="608"/>
      <c r="B27" s="609"/>
      <c r="C27" s="609"/>
      <c r="D27" s="609"/>
      <c r="E27" s="609"/>
      <c r="F27" s="609"/>
      <c r="G27" s="609"/>
      <c r="H27" s="610"/>
    </row>
    <row r="28" spans="1:8" x14ac:dyDescent="0.25">
      <c r="A28" s="608"/>
      <c r="B28" s="609"/>
      <c r="C28" s="609"/>
      <c r="D28" s="609"/>
      <c r="E28" s="609"/>
      <c r="F28" s="609"/>
      <c r="G28" s="609"/>
      <c r="H28" s="610"/>
    </row>
    <row r="29" spans="1:8" ht="15.75" thickBot="1" x14ac:dyDescent="0.3">
      <c r="A29" s="611"/>
      <c r="B29" s="612"/>
      <c r="C29" s="612"/>
      <c r="D29" s="612"/>
      <c r="E29" s="612"/>
      <c r="F29" s="612"/>
      <c r="G29" s="612"/>
      <c r="H29" s="613"/>
    </row>
    <row r="31" spans="1:8" s="90" customFormat="1" x14ac:dyDescent="0.25">
      <c r="A31" s="371"/>
      <c r="B31" s="371"/>
      <c r="C31" s="371"/>
      <c r="D31" s="372"/>
      <c r="E31" s="373"/>
    </row>
    <row r="32" spans="1:8" s="90" customFormat="1" x14ac:dyDescent="0.25">
      <c r="A32" s="371"/>
      <c r="B32" s="371"/>
      <c r="C32" s="371"/>
      <c r="D32" s="372"/>
      <c r="E32" s="373"/>
    </row>
    <row r="33" spans="1:5" s="90" customFormat="1" x14ac:dyDescent="0.25">
      <c r="A33" s="371"/>
      <c r="B33" s="371"/>
      <c r="C33" s="371"/>
      <c r="D33" s="372"/>
      <c r="E33" s="373"/>
    </row>
    <row r="34" spans="1:5" s="90" customFormat="1" x14ac:dyDescent="0.25">
      <c r="A34" s="371"/>
      <c r="B34" s="371"/>
      <c r="C34" s="371"/>
      <c r="D34" s="372"/>
      <c r="E34" s="373"/>
    </row>
    <row r="35" spans="1:5" s="90" customFormat="1" x14ac:dyDescent="0.25"/>
  </sheetData>
  <mergeCells count="7">
    <mergeCell ref="A7:H7"/>
    <mergeCell ref="A13:H13"/>
    <mergeCell ref="A1:H1"/>
    <mergeCell ref="A2:H2"/>
    <mergeCell ref="A3:H3"/>
    <mergeCell ref="A9:H9"/>
    <mergeCell ref="A11:H11"/>
  </mergeCells>
  <pageMargins left="0.70866141732283472" right="0.70866141732283472" top="0.74803149606299213" bottom="0.39370078740157483" header="0.31496062992125984" footer="0.31496062992125984"/>
  <pageSetup scale="98" fitToHeight="0" orientation="portrait" r:id="rId1"/>
  <headerFooter>
    <oddHeader>&amp;L&amp;"Arial,Normal"&amp;8Estados e Información Contable
Notas de Gestión Administrativa&amp;R&amp;"Arial,Normal"&amp;8 7.GA.2</oddHead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view="pageBreakPreview" zoomScaleNormal="100" zoomScaleSheetLayoutView="100" workbookViewId="0">
      <selection activeCell="K35" sqref="K35"/>
    </sheetView>
  </sheetViews>
  <sheetFormatPr baseColWidth="10" defaultRowHeight="15" x14ac:dyDescent="0.25"/>
  <sheetData>
    <row r="1" spans="1:8" x14ac:dyDescent="0.25">
      <c r="A1" s="1294" t="s">
        <v>566</v>
      </c>
      <c r="B1" s="1294"/>
      <c r="C1" s="1294"/>
      <c r="D1" s="1294"/>
      <c r="E1" s="1294"/>
      <c r="F1" s="1294"/>
      <c r="G1" s="1294"/>
      <c r="H1" s="1294"/>
    </row>
    <row r="2" spans="1:8" x14ac:dyDescent="0.25">
      <c r="A2" s="1294" t="s">
        <v>2429</v>
      </c>
      <c r="B2" s="1294"/>
      <c r="C2" s="1294"/>
      <c r="D2" s="1294"/>
      <c r="E2" s="1294"/>
      <c r="F2" s="1294"/>
      <c r="G2" s="1294"/>
      <c r="H2" s="1294"/>
    </row>
    <row r="3" spans="1:8" x14ac:dyDescent="0.25">
      <c r="A3" s="1294" t="s">
        <v>2432</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608"/>
      <c r="B6" s="609"/>
      <c r="C6" s="609"/>
      <c r="D6" s="609"/>
      <c r="E6" s="609"/>
      <c r="F6" s="609"/>
      <c r="G6" s="609"/>
      <c r="H6" s="610"/>
    </row>
    <row r="7" spans="1:8" x14ac:dyDescent="0.25">
      <c r="A7" s="608"/>
      <c r="B7" s="609"/>
      <c r="C7" s="609"/>
      <c r="D7" s="609"/>
      <c r="E7" s="609"/>
      <c r="F7" s="609"/>
      <c r="G7" s="609"/>
      <c r="H7" s="610"/>
    </row>
    <row r="8" spans="1:8" ht="45" customHeight="1" x14ac:dyDescent="0.25">
      <c r="A8" s="1338" t="s">
        <v>7508</v>
      </c>
      <c r="B8" s="1339"/>
      <c r="C8" s="1339"/>
      <c r="D8" s="1339"/>
      <c r="E8" s="1339"/>
      <c r="F8" s="1339"/>
      <c r="G8" s="1339"/>
      <c r="H8" s="1340"/>
    </row>
    <row r="9" spans="1:8" x14ac:dyDescent="0.25">
      <c r="A9" s="753"/>
      <c r="B9" s="754"/>
      <c r="C9" s="754"/>
      <c r="D9" s="754"/>
      <c r="E9" s="754"/>
      <c r="F9" s="754"/>
      <c r="G9" s="754"/>
      <c r="H9" s="755"/>
    </row>
    <row r="10" spans="1:8" ht="46.5" customHeight="1" x14ac:dyDescent="0.25">
      <c r="A10" s="1338" t="s">
        <v>7509</v>
      </c>
      <c r="B10" s="1339"/>
      <c r="C10" s="1339"/>
      <c r="D10" s="1339"/>
      <c r="E10" s="1339"/>
      <c r="F10" s="1339"/>
      <c r="G10" s="1339"/>
      <c r="H10" s="1340"/>
    </row>
    <row r="11" spans="1:8" x14ac:dyDescent="0.25">
      <c r="A11" s="753"/>
      <c r="B11" s="754"/>
      <c r="C11" s="754"/>
      <c r="D11" s="754"/>
      <c r="E11" s="754"/>
      <c r="F11" s="754"/>
      <c r="G11" s="754"/>
      <c r="H11" s="755"/>
    </row>
    <row r="12" spans="1:8" ht="57" customHeight="1" x14ac:dyDescent="0.25">
      <c r="A12" s="1338" t="s">
        <v>7510</v>
      </c>
      <c r="B12" s="1339"/>
      <c r="C12" s="1339"/>
      <c r="D12" s="1339"/>
      <c r="E12" s="1339"/>
      <c r="F12" s="1339"/>
      <c r="G12" s="1339"/>
      <c r="H12" s="1340"/>
    </row>
    <row r="13" spans="1:8" x14ac:dyDescent="0.25">
      <c r="A13" s="608"/>
      <c r="B13" s="609"/>
      <c r="C13" s="609"/>
      <c r="D13" s="609"/>
      <c r="E13" s="609"/>
      <c r="F13" s="609"/>
      <c r="G13" s="609"/>
      <c r="H13" s="610"/>
    </row>
    <row r="14" spans="1:8" x14ac:dyDescent="0.25">
      <c r="A14" s="608"/>
      <c r="B14" s="609"/>
      <c r="C14" s="609"/>
      <c r="D14" s="609"/>
      <c r="E14" s="609"/>
      <c r="F14" s="609"/>
      <c r="G14" s="609"/>
      <c r="H14" s="610"/>
    </row>
    <row r="15" spans="1:8" x14ac:dyDescent="0.25">
      <c r="A15" s="608"/>
      <c r="B15" s="609"/>
      <c r="C15" s="609"/>
      <c r="D15" s="609"/>
      <c r="E15" s="609"/>
      <c r="F15" s="609"/>
      <c r="G15" s="609"/>
      <c r="H15" s="610"/>
    </row>
    <row r="16" spans="1:8" x14ac:dyDescent="0.25">
      <c r="A16" s="608"/>
      <c r="B16" s="609"/>
      <c r="C16" s="609"/>
      <c r="D16" s="609"/>
      <c r="E16" s="609"/>
      <c r="F16" s="609"/>
      <c r="G16" s="609"/>
      <c r="H16" s="610"/>
    </row>
    <row r="17" spans="1:8" x14ac:dyDescent="0.25">
      <c r="A17" s="608"/>
      <c r="B17" s="609"/>
      <c r="C17" s="609"/>
      <c r="D17" s="609"/>
      <c r="E17" s="609"/>
      <c r="F17" s="609"/>
      <c r="G17" s="609"/>
      <c r="H17" s="610"/>
    </row>
    <row r="18" spans="1:8" x14ac:dyDescent="0.25">
      <c r="A18" s="608"/>
      <c r="B18" s="609"/>
      <c r="C18" s="609"/>
      <c r="D18" s="609"/>
      <c r="E18" s="609"/>
      <c r="F18" s="609"/>
      <c r="G18" s="609"/>
      <c r="H18" s="610"/>
    </row>
    <row r="19" spans="1:8" x14ac:dyDescent="0.25">
      <c r="A19" s="608"/>
      <c r="B19" s="609"/>
      <c r="C19" s="609"/>
      <c r="D19" s="609"/>
      <c r="E19" s="609"/>
      <c r="F19" s="609"/>
      <c r="G19" s="609"/>
      <c r="H19" s="610"/>
    </row>
    <row r="20" spans="1:8" x14ac:dyDescent="0.25">
      <c r="A20" s="608"/>
      <c r="B20" s="609"/>
      <c r="C20" s="609"/>
      <c r="D20" s="609"/>
      <c r="E20" s="609"/>
      <c r="F20" s="609"/>
      <c r="G20" s="609"/>
      <c r="H20" s="610"/>
    </row>
    <row r="21" spans="1:8" x14ac:dyDescent="0.25">
      <c r="A21" s="608"/>
      <c r="B21" s="609"/>
      <c r="C21" s="609"/>
      <c r="D21" s="609"/>
      <c r="E21" s="609"/>
      <c r="F21" s="609"/>
      <c r="G21" s="609"/>
      <c r="H21" s="610"/>
    </row>
    <row r="22" spans="1:8" x14ac:dyDescent="0.25">
      <c r="A22" s="608"/>
      <c r="B22" s="609"/>
      <c r="C22" s="609"/>
      <c r="D22" s="609"/>
      <c r="E22" s="609"/>
      <c r="F22" s="609"/>
      <c r="G22" s="609"/>
      <c r="H22" s="610"/>
    </row>
    <row r="23" spans="1:8" x14ac:dyDescent="0.25">
      <c r="A23" s="608"/>
      <c r="B23" s="609"/>
      <c r="C23" s="609"/>
      <c r="D23" s="609"/>
      <c r="E23" s="609"/>
      <c r="F23" s="609"/>
      <c r="G23" s="609"/>
      <c r="H23" s="610"/>
    </row>
    <row r="24" spans="1:8" x14ac:dyDescent="0.25">
      <c r="A24" s="608"/>
      <c r="B24" s="609"/>
      <c r="C24" s="609"/>
      <c r="D24" s="609"/>
      <c r="E24" s="609"/>
      <c r="F24" s="609"/>
      <c r="G24" s="609"/>
      <c r="H24" s="610"/>
    </row>
    <row r="25" spans="1:8" x14ac:dyDescent="0.25">
      <c r="A25" s="608"/>
      <c r="B25" s="609"/>
      <c r="C25" s="609"/>
      <c r="D25" s="609"/>
      <c r="E25" s="609"/>
      <c r="F25" s="609"/>
      <c r="G25" s="609"/>
      <c r="H25" s="610"/>
    </row>
    <row r="26" spans="1:8" x14ac:dyDescent="0.25">
      <c r="A26" s="608"/>
      <c r="B26" s="609"/>
      <c r="C26" s="609"/>
      <c r="D26" s="609"/>
      <c r="E26" s="609"/>
      <c r="F26" s="609"/>
      <c r="G26" s="609"/>
      <c r="H26" s="610"/>
    </row>
    <row r="27" spans="1:8" x14ac:dyDescent="0.25">
      <c r="A27" s="608"/>
      <c r="B27" s="609"/>
      <c r="C27" s="609"/>
      <c r="D27" s="609"/>
      <c r="E27" s="609"/>
      <c r="F27" s="609"/>
      <c r="G27" s="609"/>
      <c r="H27" s="610"/>
    </row>
    <row r="28" spans="1:8" x14ac:dyDescent="0.25">
      <c r="A28" s="608"/>
      <c r="B28" s="609"/>
      <c r="C28" s="609"/>
      <c r="D28" s="609"/>
      <c r="E28" s="609"/>
      <c r="F28" s="609"/>
      <c r="G28" s="609"/>
      <c r="H28" s="610"/>
    </row>
    <row r="29" spans="1:8" x14ac:dyDescent="0.25">
      <c r="A29" s="608"/>
      <c r="B29" s="609"/>
      <c r="C29" s="609"/>
      <c r="D29" s="609"/>
      <c r="E29" s="609"/>
      <c r="F29" s="609"/>
      <c r="G29" s="609"/>
      <c r="H29" s="610"/>
    </row>
    <row r="30" spans="1:8" x14ac:dyDescent="0.25">
      <c r="A30" s="608"/>
      <c r="B30" s="609"/>
      <c r="C30" s="609"/>
      <c r="D30" s="609"/>
      <c r="E30" s="609"/>
      <c r="F30" s="609"/>
      <c r="G30" s="609"/>
      <c r="H30" s="610"/>
    </row>
    <row r="31" spans="1:8" x14ac:dyDescent="0.25">
      <c r="A31" s="608"/>
      <c r="B31" s="609"/>
      <c r="C31" s="609"/>
      <c r="D31" s="609"/>
      <c r="E31" s="609"/>
      <c r="F31" s="609"/>
      <c r="G31" s="609"/>
      <c r="H31" s="610"/>
    </row>
    <row r="32" spans="1:8" x14ac:dyDescent="0.25">
      <c r="A32" s="608"/>
      <c r="B32" s="609"/>
      <c r="C32" s="609"/>
      <c r="D32" s="609"/>
      <c r="E32" s="609"/>
      <c r="F32" s="609"/>
      <c r="G32" s="609"/>
      <c r="H32" s="610"/>
    </row>
    <row r="33" spans="1:8" x14ac:dyDescent="0.25">
      <c r="A33" s="608"/>
      <c r="B33" s="609"/>
      <c r="C33" s="609"/>
      <c r="D33" s="609"/>
      <c r="E33" s="609"/>
      <c r="F33" s="609"/>
      <c r="G33" s="609"/>
      <c r="H33" s="610"/>
    </row>
    <row r="34" spans="1:8" x14ac:dyDescent="0.25">
      <c r="A34" s="608"/>
      <c r="B34" s="609"/>
      <c r="C34" s="609"/>
      <c r="D34" s="609"/>
      <c r="E34" s="609"/>
      <c r="F34" s="609"/>
      <c r="G34" s="609"/>
      <c r="H34" s="610"/>
    </row>
    <row r="35" spans="1:8" x14ac:dyDescent="0.25">
      <c r="A35" s="608"/>
      <c r="B35" s="609"/>
      <c r="C35" s="609"/>
      <c r="D35" s="609"/>
      <c r="E35" s="609"/>
      <c r="F35" s="609"/>
      <c r="G35" s="609"/>
      <c r="H35" s="610"/>
    </row>
    <row r="36" spans="1:8" x14ac:dyDescent="0.25">
      <c r="A36" s="608"/>
      <c r="B36" s="609"/>
      <c r="C36" s="609"/>
      <c r="D36" s="609"/>
      <c r="E36" s="609"/>
      <c r="F36" s="609"/>
      <c r="G36" s="609"/>
      <c r="H36" s="610"/>
    </row>
    <row r="37" spans="1:8" x14ac:dyDescent="0.25">
      <c r="A37" s="608"/>
      <c r="B37" s="609"/>
      <c r="C37" s="609"/>
      <c r="D37" s="609"/>
      <c r="E37" s="609"/>
      <c r="F37" s="609"/>
      <c r="G37" s="609"/>
      <c r="H37" s="610"/>
    </row>
    <row r="38" spans="1:8" ht="15.75" thickBot="1" x14ac:dyDescent="0.3">
      <c r="A38" s="611"/>
      <c r="B38" s="612"/>
      <c r="C38" s="612"/>
      <c r="D38" s="612"/>
      <c r="E38" s="612"/>
      <c r="F38" s="612"/>
      <c r="G38" s="612"/>
      <c r="H38" s="613"/>
    </row>
    <row r="40" spans="1:8" s="90" customFormat="1" x14ac:dyDescent="0.25">
      <c r="A40" s="371"/>
      <c r="B40" s="371"/>
      <c r="C40" s="371"/>
      <c r="D40" s="372"/>
      <c r="E40" s="373"/>
    </row>
    <row r="41" spans="1:8" s="90" customFormat="1" x14ac:dyDescent="0.25">
      <c r="A41" s="371"/>
      <c r="B41" s="371"/>
      <c r="C41" s="371"/>
      <c r="D41" s="372"/>
      <c r="E41" s="373"/>
    </row>
    <row r="42" spans="1:8" s="90" customFormat="1" x14ac:dyDescent="0.25">
      <c r="A42" s="371"/>
      <c r="B42" s="371"/>
      <c r="C42" s="371"/>
      <c r="D42" s="372"/>
      <c r="E42" s="373"/>
    </row>
    <row r="43" spans="1:8" s="90" customFormat="1" x14ac:dyDescent="0.25"/>
  </sheetData>
  <mergeCells count="6">
    <mergeCell ref="A10:H10"/>
    <mergeCell ref="A12:H12"/>
    <mergeCell ref="A1:H1"/>
    <mergeCell ref="A2:H2"/>
    <mergeCell ref="A3:H3"/>
    <mergeCell ref="A8:H8"/>
  </mergeCells>
  <pageMargins left="0.70866141732283472" right="0.70866141732283472" top="0.74803149606299213" bottom="0.19685039370078741" header="0.31496062992125984" footer="0.31496062992125984"/>
  <pageSetup scale="98" fitToHeight="0" orientation="portrait" r:id="rId1"/>
  <headerFooter>
    <oddHeader>&amp;L&amp;"Arial,Normal"&amp;8Estados e Información Contable
Notas de Gestión Administrativa&amp;R&amp;"Arial,Normal"&amp;8 7.GA.3</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8"/>
  <sheetViews>
    <sheetView view="pageBreakPreview" zoomScale="60" zoomScaleNormal="100" workbookViewId="0">
      <selection activeCell="A34" sqref="A34:XFD34"/>
    </sheetView>
  </sheetViews>
  <sheetFormatPr baseColWidth="10" defaultRowHeight="15" x14ac:dyDescent="0.25"/>
  <sheetData>
    <row r="1" spans="1:8" x14ac:dyDescent="0.25">
      <c r="A1" s="1294" t="s">
        <v>566</v>
      </c>
      <c r="B1" s="1294"/>
      <c r="C1" s="1294"/>
      <c r="D1" s="1294"/>
      <c r="E1" s="1294"/>
      <c r="F1" s="1294"/>
      <c r="G1" s="1294"/>
      <c r="H1" s="1294"/>
    </row>
    <row r="2" spans="1:8" x14ac:dyDescent="0.25">
      <c r="A2" s="1294" t="s">
        <v>2429</v>
      </c>
      <c r="B2" s="1294"/>
      <c r="C2" s="1294"/>
      <c r="D2" s="1294"/>
      <c r="E2" s="1294"/>
      <c r="F2" s="1294"/>
      <c r="G2" s="1294"/>
      <c r="H2" s="1294"/>
    </row>
    <row r="3" spans="1:8" x14ac:dyDescent="0.25">
      <c r="A3" s="1294" t="s">
        <v>2433</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752" t="s">
        <v>7511</v>
      </c>
      <c r="B6" s="609"/>
      <c r="C6" s="609"/>
      <c r="D6" s="609"/>
      <c r="E6" s="609"/>
      <c r="F6" s="609"/>
      <c r="G6" s="609"/>
      <c r="H6" s="610"/>
    </row>
    <row r="7" spans="1:8" ht="63" customHeight="1" x14ac:dyDescent="0.25">
      <c r="A7" s="1341" t="s">
        <v>7512</v>
      </c>
      <c r="B7" s="1342"/>
      <c r="C7" s="1342"/>
      <c r="D7" s="1342"/>
      <c r="E7" s="1342"/>
      <c r="F7" s="1342"/>
      <c r="G7" s="1342"/>
      <c r="H7" s="1343"/>
    </row>
    <row r="8" spans="1:8" x14ac:dyDescent="0.25">
      <c r="A8" s="752" t="s">
        <v>7513</v>
      </c>
      <c r="B8" s="609"/>
      <c r="C8" s="609"/>
      <c r="D8" s="609"/>
      <c r="E8" s="609"/>
      <c r="F8" s="609"/>
      <c r="G8" s="609"/>
      <c r="H8" s="610"/>
    </row>
    <row r="9" spans="1:8" ht="40.5" customHeight="1" x14ac:dyDescent="0.25">
      <c r="A9" s="1341" t="s">
        <v>7514</v>
      </c>
      <c r="B9" s="1342"/>
      <c r="C9" s="1342"/>
      <c r="D9" s="1342"/>
      <c r="E9" s="1342"/>
      <c r="F9" s="1342"/>
      <c r="G9" s="1342"/>
      <c r="H9" s="1343"/>
    </row>
    <row r="10" spans="1:8" x14ac:dyDescent="0.25">
      <c r="A10" s="752" t="s">
        <v>7515</v>
      </c>
      <c r="B10" s="609"/>
      <c r="C10" s="609"/>
      <c r="D10" s="609"/>
      <c r="E10" s="609"/>
      <c r="F10" s="609"/>
      <c r="G10" s="609"/>
      <c r="H10" s="610"/>
    </row>
    <row r="11" spans="1:8" x14ac:dyDescent="0.25">
      <c r="A11" s="608" t="s">
        <v>11810</v>
      </c>
      <c r="B11" s="609"/>
      <c r="C11" s="609"/>
      <c r="D11" s="609"/>
      <c r="E11" s="609"/>
      <c r="F11" s="609"/>
      <c r="G11" s="609"/>
      <c r="H11" s="610"/>
    </row>
    <row r="12" spans="1:8" x14ac:dyDescent="0.25">
      <c r="A12" s="752" t="s">
        <v>7516</v>
      </c>
      <c r="B12" s="609"/>
      <c r="C12" s="609"/>
      <c r="D12" s="609"/>
      <c r="E12" s="609"/>
      <c r="F12" s="609"/>
      <c r="G12" s="609"/>
      <c r="H12" s="610"/>
    </row>
    <row r="13" spans="1:8" x14ac:dyDescent="0.25">
      <c r="A13" s="608" t="s">
        <v>7517</v>
      </c>
      <c r="B13" s="609"/>
      <c r="C13" s="609"/>
      <c r="D13" s="609"/>
      <c r="E13" s="609"/>
      <c r="F13" s="609"/>
      <c r="G13" s="609"/>
      <c r="H13" s="610"/>
    </row>
    <row r="14" spans="1:8" x14ac:dyDescent="0.25">
      <c r="A14" s="608" t="s">
        <v>7518</v>
      </c>
      <c r="B14" s="609"/>
      <c r="C14" s="609"/>
      <c r="D14" s="609"/>
      <c r="E14" s="609"/>
      <c r="F14" s="609"/>
      <c r="G14" s="609"/>
      <c r="H14" s="610"/>
    </row>
    <row r="15" spans="1:8" x14ac:dyDescent="0.25">
      <c r="A15" s="608" t="s">
        <v>7524</v>
      </c>
      <c r="B15" s="609"/>
      <c r="C15" s="609"/>
      <c r="D15" s="609"/>
      <c r="E15" s="609"/>
      <c r="F15" s="609"/>
      <c r="G15" s="609"/>
      <c r="H15" s="610"/>
    </row>
    <row r="16" spans="1:8" x14ac:dyDescent="0.25">
      <c r="A16" s="608" t="s">
        <v>7520</v>
      </c>
      <c r="B16" s="609"/>
      <c r="C16" s="609"/>
      <c r="D16" s="609"/>
      <c r="E16" s="609"/>
      <c r="F16" s="609"/>
      <c r="G16" s="609"/>
      <c r="H16" s="610"/>
    </row>
    <row r="17" spans="1:8" x14ac:dyDescent="0.25">
      <c r="A17" s="608" t="s">
        <v>7525</v>
      </c>
      <c r="B17" s="609"/>
      <c r="C17" s="609"/>
      <c r="D17" s="609"/>
      <c r="E17" s="609"/>
      <c r="F17" s="609"/>
      <c r="G17" s="609"/>
      <c r="H17" s="610"/>
    </row>
    <row r="18" spans="1:8" x14ac:dyDescent="0.25">
      <c r="A18" s="608" t="s">
        <v>7526</v>
      </c>
      <c r="B18" s="609"/>
      <c r="C18" s="609"/>
      <c r="D18" s="609"/>
      <c r="E18" s="609"/>
      <c r="F18" s="609"/>
      <c r="G18" s="609"/>
      <c r="H18" s="610"/>
    </row>
    <row r="19" spans="1:8" x14ac:dyDescent="0.25">
      <c r="A19" s="608" t="s">
        <v>7522</v>
      </c>
      <c r="B19" s="609"/>
      <c r="C19" s="609"/>
      <c r="D19" s="609"/>
      <c r="E19" s="609"/>
      <c r="F19" s="609"/>
      <c r="G19" s="609"/>
      <c r="H19" s="610"/>
    </row>
    <row r="20" spans="1:8" x14ac:dyDescent="0.25">
      <c r="A20" s="608" t="s">
        <v>7523</v>
      </c>
      <c r="B20" s="609"/>
      <c r="C20" s="609"/>
      <c r="D20" s="609"/>
      <c r="E20" s="609"/>
      <c r="F20" s="609"/>
      <c r="G20" s="609"/>
      <c r="H20" s="610"/>
    </row>
    <row r="21" spans="1:8" x14ac:dyDescent="0.25">
      <c r="A21" s="608" t="s">
        <v>7519</v>
      </c>
      <c r="B21" s="609"/>
      <c r="C21" s="609"/>
      <c r="D21" s="609"/>
      <c r="E21" s="609"/>
      <c r="F21" s="609"/>
      <c r="G21" s="609"/>
      <c r="H21" s="610"/>
    </row>
    <row r="22" spans="1:8" x14ac:dyDescent="0.25">
      <c r="A22" s="608" t="s">
        <v>7521</v>
      </c>
      <c r="B22" s="609"/>
      <c r="C22" s="609"/>
      <c r="D22" s="609"/>
      <c r="E22" s="609"/>
      <c r="F22" s="609"/>
      <c r="G22" s="609"/>
      <c r="H22" s="610"/>
    </row>
    <row r="23" spans="1:8" x14ac:dyDescent="0.25">
      <c r="A23" s="608" t="s">
        <v>7527</v>
      </c>
      <c r="B23" s="609"/>
      <c r="C23" s="609"/>
      <c r="D23" s="609"/>
      <c r="E23" s="609"/>
      <c r="F23" s="609"/>
      <c r="G23" s="609"/>
      <c r="H23" s="610"/>
    </row>
    <row r="24" spans="1:8" x14ac:dyDescent="0.25">
      <c r="A24" s="752" t="s">
        <v>7528</v>
      </c>
      <c r="B24" s="609"/>
      <c r="C24" s="609"/>
      <c r="D24" s="609"/>
      <c r="E24" s="609"/>
      <c r="F24" s="609"/>
      <c r="G24" s="609"/>
      <c r="H24" s="610"/>
    </row>
    <row r="25" spans="1:8" ht="57" customHeight="1" x14ac:dyDescent="0.25">
      <c r="A25" s="1341" t="s">
        <v>7529</v>
      </c>
      <c r="B25" s="1342"/>
      <c r="C25" s="1342"/>
      <c r="D25" s="1342"/>
      <c r="E25" s="1342"/>
      <c r="F25" s="1342"/>
      <c r="G25" s="1342"/>
      <c r="H25" s="1343"/>
    </row>
    <row r="26" spans="1:8" x14ac:dyDescent="0.25">
      <c r="A26" s="752" t="s">
        <v>7530</v>
      </c>
      <c r="B26" s="609"/>
      <c r="C26" s="609"/>
      <c r="D26" s="609"/>
      <c r="E26" s="609"/>
      <c r="F26" s="609"/>
      <c r="G26" s="609"/>
      <c r="H26" s="610"/>
    </row>
    <row r="27" spans="1:8" x14ac:dyDescent="0.25">
      <c r="A27" s="608" t="s">
        <v>7531</v>
      </c>
      <c r="B27" s="609"/>
      <c r="C27" s="609"/>
      <c r="D27" s="609"/>
      <c r="E27" s="609"/>
      <c r="F27" s="609"/>
      <c r="G27" s="609"/>
      <c r="H27" s="610"/>
    </row>
    <row r="28" spans="1:8" x14ac:dyDescent="0.25">
      <c r="A28" s="608" t="s">
        <v>7532</v>
      </c>
      <c r="B28" s="609"/>
      <c r="C28" s="609"/>
      <c r="D28" s="609"/>
      <c r="E28" s="609"/>
      <c r="F28" s="609"/>
      <c r="G28" s="609"/>
      <c r="H28" s="610"/>
    </row>
    <row r="29" spans="1:8" x14ac:dyDescent="0.25">
      <c r="A29" s="608" t="s">
        <v>7533</v>
      </c>
      <c r="B29" s="609"/>
      <c r="C29" s="609"/>
      <c r="D29" s="609"/>
      <c r="E29" s="609"/>
      <c r="F29" s="609"/>
      <c r="G29" s="609"/>
      <c r="H29" s="610"/>
    </row>
    <row r="30" spans="1:8" x14ac:dyDescent="0.25">
      <c r="A30" s="608" t="s">
        <v>7534</v>
      </c>
      <c r="B30" s="609"/>
      <c r="C30" s="609"/>
      <c r="D30" s="609"/>
      <c r="E30" s="609"/>
      <c r="F30" s="609"/>
      <c r="G30" s="609"/>
      <c r="H30" s="610"/>
    </row>
    <row r="31" spans="1:8" x14ac:dyDescent="0.25">
      <c r="A31" s="752" t="s">
        <v>7535</v>
      </c>
      <c r="B31" s="609"/>
      <c r="C31" s="609"/>
      <c r="D31" s="609"/>
      <c r="E31" s="609"/>
      <c r="F31" s="609"/>
      <c r="G31" s="609"/>
      <c r="H31" s="610"/>
    </row>
    <row r="32" spans="1:8" ht="23.25" customHeight="1" x14ac:dyDescent="0.25">
      <c r="A32" s="1341" t="s">
        <v>7536</v>
      </c>
      <c r="B32" s="1342"/>
      <c r="C32" s="1342"/>
      <c r="D32" s="1342"/>
      <c r="E32" s="1342"/>
      <c r="F32" s="1342"/>
      <c r="G32" s="1342"/>
      <c r="H32" s="1343"/>
    </row>
    <row r="33" spans="1:8" ht="15.75" thickBot="1" x14ac:dyDescent="0.3">
      <c r="A33" s="611"/>
      <c r="B33" s="612"/>
      <c r="C33" s="612"/>
      <c r="D33" s="612"/>
      <c r="E33" s="612"/>
      <c r="F33" s="612"/>
      <c r="G33" s="612"/>
      <c r="H33" s="613"/>
    </row>
    <row r="34" spans="1:8" s="90" customFormat="1" x14ac:dyDescent="0.25">
      <c r="A34" s="371"/>
      <c r="B34" s="371"/>
      <c r="C34" s="371"/>
      <c r="D34" s="372"/>
      <c r="E34" s="373"/>
    </row>
    <row r="35" spans="1:8" s="90" customFormat="1" x14ac:dyDescent="0.25">
      <c r="A35" s="371"/>
      <c r="B35" s="371"/>
      <c r="C35" s="371"/>
      <c r="D35" s="372"/>
      <c r="E35" s="373"/>
    </row>
    <row r="36" spans="1:8" s="90" customFormat="1" x14ac:dyDescent="0.25">
      <c r="A36" s="371"/>
      <c r="B36" s="371"/>
      <c r="C36" s="371"/>
      <c r="D36" s="372"/>
      <c r="E36" s="373"/>
    </row>
    <row r="37" spans="1:8" s="90" customFormat="1" x14ac:dyDescent="0.25">
      <c r="A37" s="371"/>
      <c r="B37" s="371"/>
      <c r="C37" s="371"/>
      <c r="D37" s="372"/>
      <c r="E37" s="373"/>
    </row>
    <row r="38" spans="1:8" s="90" customFormat="1" x14ac:dyDescent="0.25"/>
  </sheetData>
  <mergeCells count="7">
    <mergeCell ref="A25:H25"/>
    <mergeCell ref="A32:H32"/>
    <mergeCell ref="A1:H1"/>
    <mergeCell ref="A2:H2"/>
    <mergeCell ref="A3:H3"/>
    <mergeCell ref="A7:H7"/>
    <mergeCell ref="A9:H9"/>
  </mergeCells>
  <pageMargins left="0.70866141732283472" right="0.70866141732283472" top="0.74803149606299213" bottom="0.74803149606299213" header="0.31496062992125984" footer="0.31496062992125984"/>
  <pageSetup scale="98" fitToHeight="0" orientation="portrait" r:id="rId1"/>
  <headerFooter>
    <oddHeader>&amp;L&amp;"Arial,Normal"&amp;8Estados e Información Contable
Notas de Gestión Administrativa&amp;R&amp;"Arial,Normal"&amp;8 7.GA.4</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view="pageBreakPreview" zoomScale="60" zoomScaleNormal="100" workbookViewId="0">
      <selection sqref="A1:H1"/>
    </sheetView>
  </sheetViews>
  <sheetFormatPr baseColWidth="10" defaultRowHeight="15" x14ac:dyDescent="0.25"/>
  <sheetData>
    <row r="1" spans="1:8" x14ac:dyDescent="0.25">
      <c r="A1" s="1294" t="s">
        <v>566</v>
      </c>
      <c r="B1" s="1294"/>
      <c r="C1" s="1294"/>
      <c r="D1" s="1294"/>
      <c r="E1" s="1294"/>
      <c r="F1" s="1294"/>
      <c r="G1" s="1294"/>
      <c r="H1" s="1294"/>
    </row>
    <row r="2" spans="1:8" x14ac:dyDescent="0.25">
      <c r="A2" s="1294" t="s">
        <v>2429</v>
      </c>
      <c r="B2" s="1294"/>
      <c r="C2" s="1294"/>
      <c r="D2" s="1294"/>
      <c r="E2" s="1294"/>
      <c r="F2" s="1294"/>
      <c r="G2" s="1294"/>
      <c r="H2" s="1294"/>
    </row>
    <row r="3" spans="1:8" x14ac:dyDescent="0.25">
      <c r="A3" s="1294" t="s">
        <v>2434</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608"/>
      <c r="B6" s="609"/>
      <c r="C6" s="609"/>
      <c r="D6" s="609"/>
      <c r="E6" s="609"/>
      <c r="F6" s="609"/>
      <c r="G6" s="609"/>
      <c r="H6" s="610"/>
    </row>
    <row r="7" spans="1:8" ht="29.25" customHeight="1" x14ac:dyDescent="0.25">
      <c r="A7" s="1347" t="s">
        <v>7537</v>
      </c>
      <c r="B7" s="1348"/>
      <c r="C7" s="1348"/>
      <c r="D7" s="1348"/>
      <c r="E7" s="1348"/>
      <c r="F7" s="1348"/>
      <c r="G7" s="1348"/>
      <c r="H7" s="1349"/>
    </row>
    <row r="8" spans="1:8" x14ac:dyDescent="0.25">
      <c r="A8" s="753"/>
      <c r="B8" s="754"/>
      <c r="C8" s="754"/>
      <c r="D8" s="754"/>
      <c r="E8" s="754"/>
      <c r="F8" s="754"/>
      <c r="G8" s="754"/>
      <c r="H8" s="755"/>
    </row>
    <row r="9" spans="1:8" ht="40.5" customHeight="1" x14ac:dyDescent="0.25">
      <c r="A9" s="1344" t="s">
        <v>7538</v>
      </c>
      <c r="B9" s="1345"/>
      <c r="C9" s="1345"/>
      <c r="D9" s="1345"/>
      <c r="E9" s="1345"/>
      <c r="F9" s="1345"/>
      <c r="G9" s="1345"/>
      <c r="H9" s="1346"/>
    </row>
    <row r="10" spans="1:8" x14ac:dyDescent="0.25">
      <c r="A10" s="753"/>
      <c r="B10" s="754"/>
      <c r="C10" s="754"/>
      <c r="D10" s="754"/>
      <c r="E10" s="754"/>
      <c r="F10" s="754"/>
      <c r="G10" s="754"/>
      <c r="H10" s="755"/>
    </row>
    <row r="11" spans="1:8" ht="26.25" customHeight="1" x14ac:dyDescent="0.25">
      <c r="A11" s="1344" t="s">
        <v>7539</v>
      </c>
      <c r="B11" s="1345"/>
      <c r="C11" s="1345"/>
      <c r="D11" s="1345"/>
      <c r="E11" s="1345"/>
      <c r="F11" s="1345"/>
      <c r="G11" s="1345"/>
      <c r="H11" s="1346"/>
    </row>
    <row r="12" spans="1:8" x14ac:dyDescent="0.25">
      <c r="A12" s="753" t="s">
        <v>7540</v>
      </c>
      <c r="B12" s="754"/>
      <c r="C12" s="754"/>
      <c r="D12" s="754"/>
      <c r="E12" s="754"/>
      <c r="F12" s="754"/>
      <c r="G12" s="754"/>
      <c r="H12" s="755"/>
    </row>
    <row r="13" spans="1:8" x14ac:dyDescent="0.25">
      <c r="A13" s="753" t="s">
        <v>7541</v>
      </c>
      <c r="B13" s="754"/>
      <c r="C13" s="754"/>
      <c r="D13" s="754"/>
      <c r="E13" s="754"/>
      <c r="F13" s="754"/>
      <c r="G13" s="754"/>
      <c r="H13" s="755"/>
    </row>
    <row r="14" spans="1:8" x14ac:dyDescent="0.25">
      <c r="A14" s="753" t="s">
        <v>7542</v>
      </c>
      <c r="B14" s="754"/>
      <c r="C14" s="754"/>
      <c r="D14" s="754"/>
      <c r="E14" s="754"/>
      <c r="F14" s="754"/>
      <c r="G14" s="754"/>
      <c r="H14" s="755"/>
    </row>
    <row r="15" spans="1:8" x14ac:dyDescent="0.25">
      <c r="A15" s="753" t="s">
        <v>7543</v>
      </c>
      <c r="B15" s="754"/>
      <c r="C15" s="754"/>
      <c r="D15" s="754"/>
      <c r="E15" s="754"/>
      <c r="F15" s="754"/>
      <c r="G15" s="754"/>
      <c r="H15" s="755"/>
    </row>
    <row r="16" spans="1:8" x14ac:dyDescent="0.25">
      <c r="A16" s="753" t="s">
        <v>7544</v>
      </c>
      <c r="B16" s="754"/>
      <c r="C16" s="754"/>
      <c r="D16" s="754"/>
      <c r="E16" s="754"/>
      <c r="F16" s="754"/>
      <c r="G16" s="754"/>
      <c r="H16" s="755"/>
    </row>
    <row r="17" spans="1:8" x14ac:dyDescent="0.25">
      <c r="A17" s="753" t="s">
        <v>7545</v>
      </c>
      <c r="B17" s="754"/>
      <c r="C17" s="754"/>
      <c r="D17" s="754"/>
      <c r="E17" s="754"/>
      <c r="F17" s="754"/>
      <c r="G17" s="754"/>
      <c r="H17" s="755"/>
    </row>
    <row r="18" spans="1:8" x14ac:dyDescent="0.25">
      <c r="A18" s="753" t="s">
        <v>7546</v>
      </c>
      <c r="B18" s="754"/>
      <c r="C18" s="754"/>
      <c r="D18" s="754"/>
      <c r="E18" s="754"/>
      <c r="F18" s="754"/>
      <c r="G18" s="754"/>
      <c r="H18" s="755"/>
    </row>
    <row r="19" spans="1:8" x14ac:dyDescent="0.25">
      <c r="A19" s="753" t="s">
        <v>7547</v>
      </c>
      <c r="B19" s="754"/>
      <c r="C19" s="754"/>
      <c r="D19" s="754"/>
      <c r="E19" s="754"/>
      <c r="F19" s="754"/>
      <c r="G19" s="754"/>
      <c r="H19" s="755"/>
    </row>
    <row r="20" spans="1:8" x14ac:dyDescent="0.25">
      <c r="A20" s="753" t="s">
        <v>7548</v>
      </c>
      <c r="B20" s="754"/>
      <c r="C20" s="754"/>
      <c r="D20" s="754"/>
      <c r="E20" s="754"/>
      <c r="F20" s="754"/>
      <c r="G20" s="754"/>
      <c r="H20" s="755"/>
    </row>
    <row r="21" spans="1:8" x14ac:dyDescent="0.25">
      <c r="A21" s="753" t="s">
        <v>7549</v>
      </c>
      <c r="B21" s="754"/>
      <c r="C21" s="754"/>
      <c r="D21" s="754"/>
      <c r="E21" s="754"/>
      <c r="F21" s="754"/>
      <c r="G21" s="754"/>
      <c r="H21" s="755"/>
    </row>
    <row r="22" spans="1:8" x14ac:dyDescent="0.25">
      <c r="A22" s="753" t="s">
        <v>7550</v>
      </c>
      <c r="B22" s="754"/>
      <c r="C22" s="754"/>
      <c r="D22" s="754"/>
      <c r="E22" s="754"/>
      <c r="F22" s="754"/>
      <c r="G22" s="754"/>
      <c r="H22" s="755"/>
    </row>
    <row r="23" spans="1:8" x14ac:dyDescent="0.25">
      <c r="A23" s="753"/>
      <c r="B23" s="754"/>
      <c r="C23" s="754"/>
      <c r="D23" s="754"/>
      <c r="E23" s="754"/>
      <c r="F23" s="754"/>
      <c r="G23" s="754"/>
      <c r="H23" s="755"/>
    </row>
    <row r="24" spans="1:8" ht="29.25" customHeight="1" x14ac:dyDescent="0.25">
      <c r="A24" s="1338" t="s">
        <v>7551</v>
      </c>
      <c r="B24" s="1339"/>
      <c r="C24" s="1339"/>
      <c r="D24" s="1339"/>
      <c r="E24" s="1339"/>
      <c r="F24" s="1339"/>
      <c r="G24" s="1339"/>
      <c r="H24" s="1340"/>
    </row>
    <row r="25" spans="1:8" x14ac:dyDescent="0.25">
      <c r="A25" s="608"/>
      <c r="B25" s="609"/>
      <c r="C25" s="609"/>
      <c r="D25" s="609"/>
      <c r="E25" s="609"/>
      <c r="F25" s="609"/>
      <c r="G25" s="609"/>
      <c r="H25" s="610"/>
    </row>
    <row r="26" spans="1:8" x14ac:dyDescent="0.25">
      <c r="A26" s="608"/>
      <c r="B26" s="609"/>
      <c r="C26" s="609"/>
      <c r="D26" s="609"/>
      <c r="E26" s="609"/>
      <c r="F26" s="609"/>
      <c r="G26" s="609"/>
      <c r="H26" s="610"/>
    </row>
    <row r="27" spans="1:8" x14ac:dyDescent="0.25">
      <c r="A27" s="608"/>
      <c r="B27" s="609"/>
      <c r="C27" s="609"/>
      <c r="D27" s="609"/>
      <c r="E27" s="609"/>
      <c r="F27" s="609"/>
      <c r="G27" s="609"/>
      <c r="H27" s="610"/>
    </row>
    <row r="28" spans="1:8" x14ac:dyDescent="0.25">
      <c r="A28" s="608"/>
      <c r="B28" s="609"/>
      <c r="C28" s="609"/>
      <c r="D28" s="609"/>
      <c r="E28" s="609"/>
      <c r="F28" s="609"/>
      <c r="G28" s="609"/>
      <c r="H28" s="610"/>
    </row>
    <row r="29" spans="1:8" x14ac:dyDescent="0.25">
      <c r="A29" s="608"/>
      <c r="B29" s="609"/>
      <c r="C29" s="609"/>
      <c r="D29" s="609"/>
      <c r="E29" s="609"/>
      <c r="F29" s="609"/>
      <c r="G29" s="609"/>
      <c r="H29" s="610"/>
    </row>
    <row r="30" spans="1:8" x14ac:dyDescent="0.25">
      <c r="A30" s="608"/>
      <c r="B30" s="609"/>
      <c r="C30" s="609"/>
      <c r="D30" s="609"/>
      <c r="E30" s="609"/>
      <c r="F30" s="609"/>
      <c r="G30" s="609"/>
      <c r="H30" s="610"/>
    </row>
    <row r="31" spans="1:8" x14ac:dyDescent="0.25">
      <c r="A31" s="608"/>
      <c r="B31" s="609"/>
      <c r="C31" s="609"/>
      <c r="D31" s="609"/>
      <c r="E31" s="609"/>
      <c r="F31" s="609"/>
      <c r="G31" s="609"/>
      <c r="H31" s="610"/>
    </row>
    <row r="32" spans="1:8" x14ac:dyDescent="0.25">
      <c r="A32" s="608"/>
      <c r="B32" s="609"/>
      <c r="C32" s="609"/>
      <c r="D32" s="609"/>
      <c r="E32" s="609"/>
      <c r="F32" s="609"/>
      <c r="G32" s="609"/>
      <c r="H32" s="610"/>
    </row>
    <row r="33" spans="1:8" x14ac:dyDescent="0.25">
      <c r="A33" s="608"/>
      <c r="B33" s="609"/>
      <c r="C33" s="609"/>
      <c r="D33" s="609"/>
      <c r="E33" s="609"/>
      <c r="F33" s="609"/>
      <c r="G33" s="609"/>
      <c r="H33" s="610"/>
    </row>
    <row r="34" spans="1:8" x14ac:dyDescent="0.25">
      <c r="A34" s="608"/>
      <c r="B34" s="609"/>
      <c r="C34" s="609"/>
      <c r="D34" s="609"/>
      <c r="E34" s="609"/>
      <c r="F34" s="609"/>
      <c r="G34" s="609"/>
      <c r="H34" s="610"/>
    </row>
    <row r="35" spans="1:8" x14ac:dyDescent="0.25">
      <c r="A35" s="608"/>
      <c r="B35" s="609"/>
      <c r="C35" s="609"/>
      <c r="D35" s="609"/>
      <c r="E35" s="609"/>
      <c r="F35" s="609"/>
      <c r="G35" s="609"/>
      <c r="H35" s="610"/>
    </row>
    <row r="36" spans="1:8" ht="15.75" thickBot="1" x14ac:dyDescent="0.3">
      <c r="A36" s="611"/>
      <c r="B36" s="612"/>
      <c r="C36" s="612"/>
      <c r="D36" s="612"/>
      <c r="E36" s="612"/>
      <c r="F36" s="612"/>
      <c r="G36" s="612"/>
      <c r="H36" s="613"/>
    </row>
    <row r="41" spans="1:8" s="90" customFormat="1" x14ac:dyDescent="0.25">
      <c r="A41" s="371"/>
      <c r="B41" s="371"/>
      <c r="C41" s="371"/>
      <c r="D41" s="372"/>
      <c r="E41" s="373"/>
    </row>
    <row r="42" spans="1:8" s="90" customFormat="1" x14ac:dyDescent="0.25">
      <c r="A42" s="371"/>
      <c r="B42" s="371"/>
      <c r="C42" s="371"/>
      <c r="D42" s="372"/>
      <c r="E42" s="373"/>
    </row>
    <row r="43" spans="1:8" s="90" customFormat="1" x14ac:dyDescent="0.25">
      <c r="A43" s="371"/>
      <c r="B43" s="371"/>
      <c r="C43" s="371"/>
      <c r="D43" s="372"/>
      <c r="E43" s="373"/>
    </row>
    <row r="44" spans="1:8" s="90" customFormat="1" x14ac:dyDescent="0.25">
      <c r="A44" s="371"/>
      <c r="B44" s="371"/>
      <c r="C44" s="371"/>
      <c r="D44" s="372"/>
      <c r="E44" s="373"/>
    </row>
    <row r="45" spans="1:8" s="90" customFormat="1" x14ac:dyDescent="0.25"/>
  </sheetData>
  <mergeCells count="7">
    <mergeCell ref="A11:H11"/>
    <mergeCell ref="A24:H24"/>
    <mergeCell ref="A1:H1"/>
    <mergeCell ref="A2:H2"/>
    <mergeCell ref="A3:H3"/>
    <mergeCell ref="A7:H7"/>
    <mergeCell ref="A9:H9"/>
  </mergeCells>
  <pageMargins left="0.70866141732283472" right="0.70866141732283472" top="0.74803149606299213" bottom="0.39370078740157483" header="0.31496062992125984" footer="0.31496062992125984"/>
  <pageSetup scale="98" fitToHeight="0" orientation="portrait" r:id="rId1"/>
  <headerFooter>
    <oddHeader>&amp;L&amp;"Arial,Normal"&amp;8Estados e Información Contable
Notas de Gestión Administrativa&amp;R&amp;"Arial,Normal"&amp;8 7.GA.5</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view="pageBreakPreview" zoomScale="60" zoomScaleNormal="100" workbookViewId="0">
      <selection sqref="A1:H1"/>
    </sheetView>
  </sheetViews>
  <sheetFormatPr baseColWidth="10" defaultRowHeight="15" x14ac:dyDescent="0.25"/>
  <sheetData>
    <row r="1" spans="1:8" x14ac:dyDescent="0.25">
      <c r="A1" s="1294" t="s">
        <v>566</v>
      </c>
      <c r="B1" s="1294"/>
      <c r="C1" s="1294"/>
      <c r="D1" s="1294"/>
      <c r="E1" s="1294"/>
      <c r="F1" s="1294"/>
      <c r="G1" s="1294"/>
      <c r="H1" s="1294"/>
    </row>
    <row r="2" spans="1:8" x14ac:dyDescent="0.25">
      <c r="A2" s="1294" t="s">
        <v>2429</v>
      </c>
      <c r="B2" s="1294"/>
      <c r="C2" s="1294"/>
      <c r="D2" s="1294"/>
      <c r="E2" s="1294"/>
      <c r="F2" s="1294"/>
      <c r="G2" s="1294"/>
      <c r="H2" s="1294"/>
    </row>
    <row r="3" spans="1:8" x14ac:dyDescent="0.25">
      <c r="A3" s="1294" t="s">
        <v>2435</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608"/>
      <c r="B6" s="609"/>
      <c r="C6" s="609"/>
      <c r="D6" s="609"/>
      <c r="E6" s="609"/>
      <c r="F6" s="609"/>
      <c r="G6" s="609"/>
      <c r="H6" s="610"/>
    </row>
    <row r="7" spans="1:8" x14ac:dyDescent="0.25">
      <c r="A7" s="756" t="s">
        <v>7552</v>
      </c>
      <c r="B7" s="754"/>
      <c r="C7" s="754"/>
      <c r="D7" s="754"/>
      <c r="E7" s="754"/>
      <c r="F7" s="754"/>
      <c r="G7" s="754"/>
      <c r="H7" s="755"/>
    </row>
    <row r="8" spans="1:8" ht="30" customHeight="1" x14ac:dyDescent="0.25">
      <c r="A8" s="1338" t="s">
        <v>7568</v>
      </c>
      <c r="B8" s="1339"/>
      <c r="C8" s="1339"/>
      <c r="D8" s="1339"/>
      <c r="E8" s="1339"/>
      <c r="F8" s="1339"/>
      <c r="G8" s="1339"/>
      <c r="H8" s="1340"/>
    </row>
    <row r="9" spans="1:8" x14ac:dyDescent="0.25">
      <c r="A9" s="753"/>
      <c r="B9" s="754"/>
      <c r="C9" s="754"/>
      <c r="D9" s="754"/>
      <c r="E9" s="754"/>
      <c r="F9" s="754"/>
      <c r="G9" s="754"/>
      <c r="H9" s="755"/>
    </row>
    <row r="10" spans="1:8" x14ac:dyDescent="0.25">
      <c r="A10" s="756" t="s">
        <v>7553</v>
      </c>
      <c r="B10" s="754"/>
      <c r="C10" s="754"/>
      <c r="D10" s="754"/>
      <c r="E10" s="754"/>
      <c r="F10" s="754"/>
      <c r="G10" s="754"/>
      <c r="H10" s="755"/>
    </row>
    <row r="11" spans="1:8" x14ac:dyDescent="0.25">
      <c r="A11" s="753" t="s">
        <v>10387</v>
      </c>
      <c r="B11" s="754"/>
      <c r="C11" s="754"/>
      <c r="D11" s="754"/>
      <c r="E11" s="754"/>
      <c r="F11" s="754"/>
      <c r="G11" s="754"/>
      <c r="H11" s="755"/>
    </row>
    <row r="12" spans="1:8" x14ac:dyDescent="0.25">
      <c r="A12" s="753"/>
      <c r="B12" s="754"/>
      <c r="C12" s="754"/>
      <c r="D12" s="754"/>
      <c r="E12" s="754"/>
      <c r="F12" s="754"/>
      <c r="G12" s="754"/>
      <c r="H12" s="755"/>
    </row>
    <row r="13" spans="1:8" x14ac:dyDescent="0.25">
      <c r="A13" s="756" t="s">
        <v>7554</v>
      </c>
      <c r="B13" s="754"/>
      <c r="C13" s="754"/>
      <c r="D13" s="754"/>
      <c r="E13" s="754"/>
      <c r="F13" s="754"/>
      <c r="G13" s="754"/>
      <c r="H13" s="755"/>
    </row>
    <row r="14" spans="1:8" x14ac:dyDescent="0.25">
      <c r="A14" s="753" t="s">
        <v>7569</v>
      </c>
      <c r="B14" s="754"/>
      <c r="C14" s="754"/>
      <c r="D14" s="754"/>
      <c r="E14" s="754"/>
      <c r="F14" s="754"/>
      <c r="G14" s="754"/>
      <c r="H14" s="755"/>
    </row>
    <row r="15" spans="1:8" x14ac:dyDescent="0.25">
      <c r="A15" s="753"/>
      <c r="B15" s="754"/>
      <c r="C15" s="754"/>
      <c r="D15" s="754"/>
      <c r="E15" s="754"/>
      <c r="F15" s="754"/>
      <c r="G15" s="754"/>
      <c r="H15" s="755"/>
    </row>
    <row r="16" spans="1:8" x14ac:dyDescent="0.25">
      <c r="A16" s="756" t="s">
        <v>7555</v>
      </c>
      <c r="B16" s="754"/>
      <c r="C16" s="754"/>
      <c r="D16" s="754"/>
      <c r="E16" s="754"/>
      <c r="F16" s="754"/>
      <c r="G16" s="754"/>
      <c r="H16" s="755"/>
    </row>
    <row r="17" spans="1:8" ht="40.5" customHeight="1" x14ac:dyDescent="0.25">
      <c r="A17" s="1344" t="s">
        <v>7570</v>
      </c>
      <c r="B17" s="1345"/>
      <c r="C17" s="1345"/>
      <c r="D17" s="1345"/>
      <c r="E17" s="1345"/>
      <c r="F17" s="1345"/>
      <c r="G17" s="1345"/>
      <c r="H17" s="1346"/>
    </row>
    <row r="18" spans="1:8" x14ac:dyDescent="0.25">
      <c r="A18" s="753"/>
      <c r="B18" s="754"/>
      <c r="C18" s="754"/>
      <c r="D18" s="754"/>
      <c r="E18" s="754"/>
      <c r="F18" s="754"/>
      <c r="G18" s="754"/>
      <c r="H18" s="755"/>
    </row>
    <row r="19" spans="1:8" x14ac:dyDescent="0.25">
      <c r="A19" s="756" t="s">
        <v>7556</v>
      </c>
      <c r="B19" s="754"/>
      <c r="C19" s="754"/>
      <c r="D19" s="754"/>
      <c r="E19" s="754"/>
      <c r="F19" s="754"/>
      <c r="G19" s="754"/>
      <c r="H19" s="755"/>
    </row>
    <row r="20" spans="1:8" x14ac:dyDescent="0.25">
      <c r="A20" s="753" t="s">
        <v>7571</v>
      </c>
      <c r="B20" s="754"/>
      <c r="C20" s="754"/>
      <c r="D20" s="754"/>
      <c r="E20" s="754"/>
      <c r="F20" s="754"/>
      <c r="G20" s="754"/>
      <c r="H20" s="755"/>
    </row>
    <row r="21" spans="1:8" x14ac:dyDescent="0.25">
      <c r="A21" s="753"/>
      <c r="B21" s="754"/>
      <c r="C21" s="754"/>
      <c r="D21" s="754"/>
      <c r="E21" s="754"/>
      <c r="F21" s="754"/>
      <c r="G21" s="754"/>
      <c r="H21" s="755"/>
    </row>
    <row r="22" spans="1:8" x14ac:dyDescent="0.25">
      <c r="A22" s="756" t="s">
        <v>7557</v>
      </c>
      <c r="B22" s="754"/>
      <c r="C22" s="754"/>
      <c r="D22" s="754"/>
      <c r="E22" s="754"/>
      <c r="F22" s="754"/>
      <c r="G22" s="754"/>
      <c r="H22" s="755"/>
    </row>
    <row r="23" spans="1:8" x14ac:dyDescent="0.25">
      <c r="A23" s="753" t="s">
        <v>7572</v>
      </c>
      <c r="B23" s="754"/>
      <c r="C23" s="754"/>
      <c r="D23" s="754"/>
      <c r="E23" s="754"/>
      <c r="F23" s="754"/>
      <c r="G23" s="754"/>
      <c r="H23" s="755"/>
    </row>
    <row r="24" spans="1:8" x14ac:dyDescent="0.25">
      <c r="A24" s="753"/>
      <c r="B24" s="754"/>
      <c r="C24" s="754"/>
      <c r="D24" s="754"/>
      <c r="E24" s="754"/>
      <c r="F24" s="754"/>
      <c r="G24" s="754"/>
      <c r="H24" s="755"/>
    </row>
    <row r="25" spans="1:8" x14ac:dyDescent="0.25">
      <c r="A25" s="756" t="s">
        <v>7558</v>
      </c>
      <c r="B25" s="754"/>
      <c r="C25" s="754"/>
      <c r="D25" s="754"/>
      <c r="E25" s="754"/>
      <c r="F25" s="754"/>
      <c r="G25" s="754"/>
      <c r="H25" s="755"/>
    </row>
    <row r="26" spans="1:8" x14ac:dyDescent="0.25">
      <c r="A26" s="753" t="s">
        <v>7573</v>
      </c>
      <c r="B26" s="754"/>
      <c r="C26" s="754"/>
      <c r="D26" s="754"/>
      <c r="E26" s="754"/>
      <c r="F26" s="754"/>
      <c r="G26" s="754"/>
      <c r="H26" s="755"/>
    </row>
    <row r="27" spans="1:8" x14ac:dyDescent="0.25">
      <c r="A27" s="753"/>
      <c r="B27" s="754"/>
      <c r="C27" s="754"/>
      <c r="D27" s="754"/>
      <c r="E27" s="754"/>
      <c r="F27" s="754"/>
      <c r="G27" s="754"/>
      <c r="H27" s="755"/>
    </row>
    <row r="28" spans="1:8" x14ac:dyDescent="0.25">
      <c r="A28" s="756" t="s">
        <v>7559</v>
      </c>
      <c r="B28" s="754"/>
      <c r="C28" s="754"/>
      <c r="D28" s="754"/>
      <c r="E28" s="754"/>
      <c r="F28" s="754"/>
      <c r="G28" s="754"/>
      <c r="H28" s="755"/>
    </row>
    <row r="29" spans="1:8" ht="30" customHeight="1" x14ac:dyDescent="0.25">
      <c r="A29" s="1338" t="s">
        <v>7562</v>
      </c>
      <c r="B29" s="1339"/>
      <c r="C29" s="1339"/>
      <c r="D29" s="1339"/>
      <c r="E29" s="1339"/>
      <c r="F29" s="1339"/>
      <c r="G29" s="1339"/>
      <c r="H29" s="1340"/>
    </row>
    <row r="30" spans="1:8" x14ac:dyDescent="0.25">
      <c r="A30" s="753"/>
      <c r="B30" s="754"/>
      <c r="C30" s="754"/>
      <c r="D30" s="754"/>
      <c r="E30" s="754"/>
      <c r="F30" s="754"/>
      <c r="G30" s="754"/>
      <c r="H30" s="755"/>
    </row>
    <row r="31" spans="1:8" x14ac:dyDescent="0.25">
      <c r="A31" s="756" t="s">
        <v>7560</v>
      </c>
      <c r="B31" s="754"/>
      <c r="C31" s="754"/>
      <c r="D31" s="754"/>
      <c r="E31" s="754"/>
      <c r="F31" s="754"/>
      <c r="G31" s="754"/>
      <c r="H31" s="755"/>
    </row>
    <row r="32" spans="1:8" ht="30" customHeight="1" x14ac:dyDescent="0.25">
      <c r="A32" s="1344" t="s">
        <v>7563</v>
      </c>
      <c r="B32" s="1345"/>
      <c r="C32" s="1345"/>
      <c r="D32" s="1345"/>
      <c r="E32" s="1345"/>
      <c r="F32" s="1345"/>
      <c r="G32" s="1345"/>
      <c r="H32" s="1346"/>
    </row>
    <row r="33" spans="1:8" x14ac:dyDescent="0.25">
      <c r="A33" s="753"/>
      <c r="B33" s="754"/>
      <c r="C33" s="754"/>
      <c r="D33" s="754"/>
      <c r="E33" s="754"/>
      <c r="F33" s="754"/>
      <c r="G33" s="754"/>
      <c r="H33" s="755"/>
    </row>
    <row r="34" spans="1:8" x14ac:dyDescent="0.25">
      <c r="A34" s="756" t="s">
        <v>7561</v>
      </c>
      <c r="B34" s="754"/>
      <c r="C34" s="754"/>
      <c r="D34" s="754"/>
      <c r="E34" s="754"/>
      <c r="F34" s="754"/>
      <c r="G34" s="754"/>
      <c r="H34" s="755"/>
    </row>
    <row r="35" spans="1:8" x14ac:dyDescent="0.25">
      <c r="A35" s="753" t="s">
        <v>10388</v>
      </c>
      <c r="B35" s="754"/>
      <c r="C35" s="754"/>
      <c r="D35" s="754"/>
      <c r="E35" s="754"/>
      <c r="F35" s="754"/>
      <c r="G35" s="754"/>
      <c r="H35" s="755"/>
    </row>
    <row r="36" spans="1:8" x14ac:dyDescent="0.25">
      <c r="A36" s="608"/>
      <c r="B36" s="609"/>
      <c r="C36" s="609"/>
      <c r="D36" s="609"/>
      <c r="E36" s="609"/>
      <c r="F36" s="609"/>
      <c r="G36" s="609"/>
      <c r="H36" s="610"/>
    </row>
    <row r="37" spans="1:8" ht="15.75" thickBot="1" x14ac:dyDescent="0.3">
      <c r="A37" s="611"/>
      <c r="B37" s="612"/>
      <c r="C37" s="612"/>
      <c r="D37" s="612"/>
      <c r="E37" s="612"/>
      <c r="F37" s="612"/>
      <c r="G37" s="612"/>
      <c r="H37" s="613"/>
    </row>
    <row r="38" spans="1:8" x14ac:dyDescent="0.25">
      <c r="A38" s="609"/>
      <c r="B38" s="609"/>
      <c r="C38" s="609"/>
      <c r="D38" s="609"/>
      <c r="E38" s="609"/>
      <c r="F38" s="609"/>
      <c r="G38" s="609"/>
      <c r="H38" s="609"/>
    </row>
    <row r="39" spans="1:8" s="90" customFormat="1" x14ac:dyDescent="0.25">
      <c r="A39" s="371"/>
      <c r="B39" s="371"/>
      <c r="C39" s="371"/>
      <c r="D39" s="372"/>
      <c r="E39" s="373"/>
    </row>
    <row r="40" spans="1:8" s="90" customFormat="1" x14ac:dyDescent="0.25">
      <c r="A40" s="371"/>
      <c r="B40" s="371"/>
      <c r="C40" s="371"/>
      <c r="D40" s="372"/>
      <c r="E40" s="373"/>
    </row>
    <row r="41" spans="1:8" s="90" customFormat="1" x14ac:dyDescent="0.25">
      <c r="A41" s="371"/>
      <c r="B41" s="371"/>
      <c r="C41" s="371"/>
      <c r="D41" s="372"/>
      <c r="E41" s="373"/>
    </row>
    <row r="42" spans="1:8" s="90" customFormat="1" x14ac:dyDescent="0.25">
      <c r="A42" s="371"/>
      <c r="B42" s="371"/>
      <c r="C42" s="371"/>
      <c r="D42" s="372"/>
      <c r="E42" s="373"/>
    </row>
    <row r="43" spans="1:8" s="90" customFormat="1" x14ac:dyDescent="0.25"/>
  </sheetData>
  <mergeCells count="7">
    <mergeCell ref="A29:H29"/>
    <mergeCell ref="A32:H32"/>
    <mergeCell ref="A1:H1"/>
    <mergeCell ref="A2:H2"/>
    <mergeCell ref="A3:H3"/>
    <mergeCell ref="A8:H8"/>
    <mergeCell ref="A17:H17"/>
  </mergeCells>
  <pageMargins left="0.70866141732283472" right="0.70866141732283472" top="0.74803149606299213" bottom="0.39370078740157483" header="0.31496062992125984" footer="0.31496062992125984"/>
  <pageSetup scale="98" fitToHeight="0" orientation="portrait" r:id="rId1"/>
  <headerFooter>
    <oddHeader>&amp;L&amp;"Arial,Normal"&amp;8Estados e Información Contable
Notas de Gestión Administrativa&amp;R&amp;"Arial,Normal"&amp;8 7.GA.6</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8"/>
  <sheetViews>
    <sheetView view="pageBreakPreview" zoomScale="60" zoomScaleNormal="100" workbookViewId="0">
      <selection sqref="A1:H1"/>
    </sheetView>
  </sheetViews>
  <sheetFormatPr baseColWidth="10" defaultRowHeight="15" x14ac:dyDescent="0.25"/>
  <sheetData>
    <row r="1" spans="1:8" x14ac:dyDescent="0.25">
      <c r="A1" s="1294" t="s">
        <v>566</v>
      </c>
      <c r="B1" s="1294"/>
      <c r="C1" s="1294"/>
      <c r="D1" s="1294"/>
      <c r="E1" s="1294"/>
      <c r="F1" s="1294"/>
      <c r="G1" s="1294"/>
      <c r="H1" s="1294"/>
    </row>
    <row r="2" spans="1:8" x14ac:dyDescent="0.25">
      <c r="A2" s="1294" t="s">
        <v>2429</v>
      </c>
      <c r="B2" s="1294"/>
      <c r="C2" s="1294"/>
      <c r="D2" s="1294"/>
      <c r="E2" s="1294"/>
      <c r="F2" s="1294"/>
      <c r="G2" s="1294"/>
      <c r="H2" s="1294"/>
    </row>
    <row r="3" spans="1:8" x14ac:dyDescent="0.25">
      <c r="A3" s="1294" t="s">
        <v>10386</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608"/>
      <c r="B6" s="609"/>
      <c r="C6" s="609"/>
      <c r="D6" s="609"/>
      <c r="E6" s="609"/>
      <c r="F6" s="609"/>
      <c r="G6" s="609"/>
      <c r="H6" s="610"/>
    </row>
    <row r="7" spans="1:8" x14ac:dyDescent="0.25">
      <c r="A7" s="608"/>
      <c r="B7" s="609"/>
      <c r="C7" s="609"/>
      <c r="D7" s="609"/>
      <c r="E7" s="609"/>
      <c r="F7" s="609"/>
      <c r="G7" s="609"/>
      <c r="H7" s="610"/>
    </row>
    <row r="8" spans="1:8" ht="15" customHeight="1" x14ac:dyDescent="0.25">
      <c r="A8" s="1338" t="s">
        <v>7564</v>
      </c>
      <c r="B8" s="1339"/>
      <c r="C8" s="1339"/>
      <c r="D8" s="1339"/>
      <c r="E8" s="1339"/>
      <c r="F8" s="1339"/>
      <c r="G8" s="1339"/>
      <c r="H8" s="1340"/>
    </row>
    <row r="9" spans="1:8" x14ac:dyDescent="0.25">
      <c r="A9" s="608"/>
      <c r="B9" s="609"/>
      <c r="C9" s="609"/>
      <c r="D9" s="609"/>
      <c r="E9" s="609"/>
      <c r="F9" s="609"/>
      <c r="G9" s="609"/>
      <c r="H9" s="610"/>
    </row>
    <row r="10" spans="1:8" x14ac:dyDescent="0.25">
      <c r="A10" s="608"/>
      <c r="B10" s="609"/>
      <c r="C10" s="609"/>
      <c r="D10" s="609"/>
      <c r="E10" s="609"/>
      <c r="F10" s="609"/>
      <c r="G10" s="609"/>
      <c r="H10" s="610"/>
    </row>
    <row r="11" spans="1:8" x14ac:dyDescent="0.25">
      <c r="A11" s="608"/>
      <c r="B11" s="609"/>
      <c r="C11" s="609"/>
      <c r="D11" s="609"/>
      <c r="E11" s="609"/>
      <c r="F11" s="609"/>
      <c r="G11" s="609"/>
      <c r="H11" s="610"/>
    </row>
    <row r="12" spans="1:8" x14ac:dyDescent="0.25">
      <c r="A12" s="608"/>
      <c r="B12" s="609"/>
      <c r="C12" s="609"/>
      <c r="D12" s="609"/>
      <c r="E12" s="609"/>
      <c r="F12" s="609"/>
      <c r="G12" s="609"/>
      <c r="H12" s="610"/>
    </row>
    <row r="13" spans="1:8" x14ac:dyDescent="0.25">
      <c r="A13" s="608"/>
      <c r="B13" s="609"/>
      <c r="C13" s="609"/>
      <c r="D13" s="609"/>
      <c r="E13" s="609"/>
      <c r="F13" s="609"/>
      <c r="G13" s="609"/>
      <c r="H13" s="610"/>
    </row>
    <row r="14" spans="1:8" x14ac:dyDescent="0.25">
      <c r="A14" s="608"/>
      <c r="B14" s="609"/>
      <c r="C14" s="609"/>
      <c r="D14" s="609"/>
      <c r="E14" s="609"/>
      <c r="F14" s="609"/>
      <c r="G14" s="609"/>
      <c r="H14" s="610"/>
    </row>
    <row r="15" spans="1:8" x14ac:dyDescent="0.25">
      <c r="A15" s="608"/>
      <c r="B15" s="609"/>
      <c r="C15" s="609"/>
      <c r="D15" s="609"/>
      <c r="E15" s="609"/>
      <c r="F15" s="609"/>
      <c r="G15" s="609"/>
      <c r="H15" s="610"/>
    </row>
    <row r="16" spans="1:8" x14ac:dyDescent="0.25">
      <c r="A16" s="608"/>
      <c r="B16" s="609"/>
      <c r="C16" s="609"/>
      <c r="D16" s="609"/>
      <c r="E16" s="609"/>
      <c r="F16" s="609"/>
      <c r="G16" s="609"/>
      <c r="H16" s="610"/>
    </row>
    <row r="17" spans="1:8" x14ac:dyDescent="0.25">
      <c r="A17" s="608"/>
      <c r="B17" s="609"/>
      <c r="C17" s="609"/>
      <c r="D17" s="609"/>
      <c r="E17" s="609"/>
      <c r="F17" s="609"/>
      <c r="G17" s="609"/>
      <c r="H17" s="610"/>
    </row>
    <row r="18" spans="1:8" x14ac:dyDescent="0.25">
      <c r="A18" s="608"/>
      <c r="B18" s="609"/>
      <c r="C18" s="609"/>
      <c r="D18" s="609"/>
      <c r="E18" s="609"/>
      <c r="F18" s="609"/>
      <c r="G18" s="609"/>
      <c r="H18" s="610"/>
    </row>
    <row r="19" spans="1:8" x14ac:dyDescent="0.25">
      <c r="A19" s="608"/>
      <c r="B19" s="609"/>
      <c r="C19" s="609"/>
      <c r="D19" s="609"/>
      <c r="E19" s="609"/>
      <c r="F19" s="609"/>
      <c r="G19" s="609"/>
      <c r="H19" s="610"/>
    </row>
    <row r="20" spans="1:8" x14ac:dyDescent="0.25">
      <c r="A20" s="608"/>
      <c r="B20" s="609"/>
      <c r="C20" s="609"/>
      <c r="D20" s="609"/>
      <c r="E20" s="609"/>
      <c r="F20" s="609"/>
      <c r="G20" s="609"/>
      <c r="H20" s="610"/>
    </row>
    <row r="21" spans="1:8" x14ac:dyDescent="0.25">
      <c r="A21" s="608"/>
      <c r="B21" s="609"/>
      <c r="C21" s="609"/>
      <c r="D21" s="609"/>
      <c r="E21" s="609"/>
      <c r="F21" s="609"/>
      <c r="G21" s="609"/>
      <c r="H21" s="610"/>
    </row>
    <row r="22" spans="1:8" x14ac:dyDescent="0.25">
      <c r="A22" s="608"/>
      <c r="B22" s="609"/>
      <c r="C22" s="609"/>
      <c r="D22" s="609"/>
      <c r="E22" s="609"/>
      <c r="F22" s="609"/>
      <c r="G22" s="609"/>
      <c r="H22" s="610"/>
    </row>
    <row r="23" spans="1:8" x14ac:dyDescent="0.25">
      <c r="A23" s="608"/>
      <c r="B23" s="609"/>
      <c r="C23" s="609"/>
      <c r="D23" s="609"/>
      <c r="E23" s="609"/>
      <c r="F23" s="609"/>
      <c r="G23" s="609"/>
      <c r="H23" s="610"/>
    </row>
    <row r="24" spans="1:8" x14ac:dyDescent="0.25">
      <c r="A24" s="608"/>
      <c r="B24" s="609"/>
      <c r="C24" s="609"/>
      <c r="D24" s="609"/>
      <c r="E24" s="609"/>
      <c r="F24" s="609"/>
      <c r="G24" s="609"/>
      <c r="H24" s="610"/>
    </row>
    <row r="25" spans="1:8" x14ac:dyDescent="0.25">
      <c r="A25" s="608"/>
      <c r="B25" s="609"/>
      <c r="C25" s="609"/>
      <c r="D25" s="609"/>
      <c r="E25" s="609"/>
      <c r="F25" s="609"/>
      <c r="G25" s="609"/>
      <c r="H25" s="610"/>
    </row>
    <row r="26" spans="1:8" x14ac:dyDescent="0.25">
      <c r="A26" s="608"/>
      <c r="B26" s="609"/>
      <c r="C26" s="609"/>
      <c r="D26" s="609"/>
      <c r="E26" s="609"/>
      <c r="F26" s="609"/>
      <c r="G26" s="609"/>
      <c r="H26" s="610"/>
    </row>
    <row r="27" spans="1:8" x14ac:dyDescent="0.25">
      <c r="A27" s="608"/>
      <c r="B27" s="609"/>
      <c r="C27" s="609"/>
      <c r="D27" s="609"/>
      <c r="E27" s="609"/>
      <c r="F27" s="609"/>
      <c r="G27" s="609"/>
      <c r="H27" s="610"/>
    </row>
    <row r="28" spans="1:8" x14ac:dyDescent="0.25">
      <c r="A28" s="608"/>
      <c r="B28" s="609"/>
      <c r="C28" s="609"/>
      <c r="D28" s="609"/>
      <c r="E28" s="609"/>
      <c r="F28" s="609"/>
      <c r="G28" s="609"/>
      <c r="H28" s="610"/>
    </row>
    <row r="29" spans="1:8" x14ac:dyDescent="0.25">
      <c r="A29" s="608"/>
      <c r="B29" s="609"/>
      <c r="C29" s="609"/>
      <c r="D29" s="609"/>
      <c r="E29" s="609"/>
      <c r="F29" s="609"/>
      <c r="G29" s="609"/>
      <c r="H29" s="610"/>
    </row>
    <row r="30" spans="1:8" x14ac:dyDescent="0.25">
      <c r="A30" s="608"/>
      <c r="B30" s="609"/>
      <c r="C30" s="609"/>
      <c r="D30" s="609"/>
      <c r="E30" s="609"/>
      <c r="F30" s="609"/>
      <c r="G30" s="609"/>
      <c r="H30" s="610"/>
    </row>
    <row r="31" spans="1:8" x14ac:dyDescent="0.25">
      <c r="A31" s="608"/>
      <c r="B31" s="609"/>
      <c r="C31" s="609"/>
      <c r="D31" s="609"/>
      <c r="E31" s="609"/>
      <c r="F31" s="609"/>
      <c r="G31" s="609"/>
      <c r="H31" s="610"/>
    </row>
    <row r="32" spans="1:8" x14ac:dyDescent="0.25">
      <c r="A32" s="608"/>
      <c r="B32" s="609"/>
      <c r="C32" s="609"/>
      <c r="D32" s="609"/>
      <c r="E32" s="609"/>
      <c r="F32" s="609"/>
      <c r="G32" s="609"/>
      <c r="H32" s="610"/>
    </row>
    <row r="33" spans="1:8" x14ac:dyDescent="0.25">
      <c r="A33" s="608"/>
      <c r="B33" s="609"/>
      <c r="C33" s="609"/>
      <c r="D33" s="609"/>
      <c r="E33" s="609"/>
      <c r="F33" s="609"/>
      <c r="G33" s="609"/>
      <c r="H33" s="610"/>
    </row>
    <row r="34" spans="1:8" x14ac:dyDescent="0.25">
      <c r="A34" s="608"/>
      <c r="B34" s="609"/>
      <c r="C34" s="609"/>
      <c r="D34" s="609"/>
      <c r="E34" s="609"/>
      <c r="F34" s="609"/>
      <c r="G34" s="609"/>
      <c r="H34" s="610"/>
    </row>
    <row r="35" spans="1:8" x14ac:dyDescent="0.25">
      <c r="A35" s="608"/>
      <c r="B35" s="609"/>
      <c r="C35" s="609"/>
      <c r="D35" s="609"/>
      <c r="E35" s="609"/>
      <c r="F35" s="609"/>
      <c r="G35" s="609"/>
      <c r="H35" s="610"/>
    </row>
    <row r="36" spans="1:8" x14ac:dyDescent="0.25">
      <c r="A36" s="608"/>
      <c r="B36" s="609"/>
      <c r="C36" s="609"/>
      <c r="D36" s="609"/>
      <c r="E36" s="609"/>
      <c r="F36" s="609"/>
      <c r="G36" s="609"/>
      <c r="H36" s="610"/>
    </row>
    <row r="37" spans="1:8" ht="15.75" thickBot="1" x14ac:dyDescent="0.3">
      <c r="A37" s="611"/>
      <c r="B37" s="612"/>
      <c r="C37" s="612"/>
      <c r="D37" s="612"/>
      <c r="E37" s="612"/>
      <c r="F37" s="612"/>
      <c r="G37" s="612"/>
      <c r="H37" s="613"/>
    </row>
    <row r="38" spans="1:8" x14ac:dyDescent="0.25">
      <c r="A38" s="609"/>
      <c r="B38" s="609"/>
      <c r="C38" s="609"/>
      <c r="D38" s="609"/>
      <c r="E38" s="609"/>
      <c r="F38" s="609"/>
      <c r="G38" s="609"/>
      <c r="H38" s="609"/>
    </row>
    <row r="39" spans="1:8" x14ac:dyDescent="0.25">
      <c r="A39" s="609"/>
      <c r="B39" s="609"/>
      <c r="C39" s="609"/>
      <c r="D39" s="609"/>
      <c r="E39" s="609"/>
      <c r="F39" s="609"/>
      <c r="G39" s="609"/>
      <c r="H39" s="609"/>
    </row>
    <row r="40" spans="1:8" x14ac:dyDescent="0.25">
      <c r="A40" s="609"/>
      <c r="B40" s="609"/>
      <c r="C40" s="609"/>
      <c r="D40" s="609"/>
      <c r="E40" s="609"/>
      <c r="F40" s="609"/>
      <c r="G40" s="609"/>
      <c r="H40" s="609"/>
    </row>
    <row r="41" spans="1:8" x14ac:dyDescent="0.25">
      <c r="A41" s="609"/>
      <c r="B41" s="609"/>
      <c r="C41" s="609"/>
      <c r="D41" s="609"/>
      <c r="E41" s="609"/>
      <c r="F41" s="609"/>
      <c r="G41" s="609"/>
      <c r="H41" s="609"/>
    </row>
    <row r="43" spans="1:8" x14ac:dyDescent="0.25">
      <c r="A43" s="609"/>
      <c r="B43" s="609"/>
      <c r="C43" s="609"/>
      <c r="D43" s="609"/>
      <c r="E43" s="609"/>
      <c r="F43" s="609"/>
      <c r="G43" s="609"/>
      <c r="H43" s="609"/>
    </row>
    <row r="44" spans="1:8" s="90" customFormat="1" x14ac:dyDescent="0.25">
      <c r="A44" s="371"/>
      <c r="B44" s="371"/>
      <c r="C44" s="371"/>
      <c r="D44" s="372"/>
      <c r="E44" s="373"/>
    </row>
    <row r="45" spans="1:8" s="90" customFormat="1" x14ac:dyDescent="0.25">
      <c r="A45" s="371"/>
      <c r="B45" s="371"/>
      <c r="C45" s="371"/>
      <c r="D45" s="372"/>
      <c r="E45" s="373"/>
    </row>
    <row r="46" spans="1:8" s="90" customFormat="1" x14ac:dyDescent="0.25">
      <c r="A46" s="371"/>
      <c r="B46" s="371"/>
      <c r="C46" s="371"/>
      <c r="D46" s="372"/>
      <c r="E46" s="373"/>
    </row>
    <row r="47" spans="1:8" s="90" customFormat="1" x14ac:dyDescent="0.25">
      <c r="A47" s="371"/>
      <c r="B47" s="371"/>
      <c r="C47" s="371"/>
      <c r="D47" s="372"/>
      <c r="E47" s="373"/>
    </row>
    <row r="48" spans="1:8" s="90" customFormat="1" x14ac:dyDescent="0.25"/>
  </sheetData>
  <mergeCells count="4">
    <mergeCell ref="A1:H1"/>
    <mergeCell ref="A2:H2"/>
    <mergeCell ref="A3:H3"/>
    <mergeCell ref="A8:H8"/>
  </mergeCells>
  <printOptions horizontalCentered="1"/>
  <pageMargins left="0.39370078740157483" right="0.39370078740157483" top="0.74803149606299213" bottom="0.39370078740157483" header="0.31496062992125984" footer="0.31496062992125984"/>
  <pageSetup fitToHeight="0" orientation="portrait" r:id="rId1"/>
  <headerFooter alignWithMargins="0">
    <oddHeader>&amp;L&amp;"Arial,Normal"&amp;8Estados e Información Contable
Notas de Gestión Administrativa&amp;R&amp;"Arial,Normal"&amp;8 7.GA.7</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3"/>
  <sheetViews>
    <sheetView view="pageBreakPreview" zoomScale="60" zoomScaleNormal="100" workbookViewId="0">
      <selection activeCell="C58" sqref="C58"/>
    </sheetView>
  </sheetViews>
  <sheetFormatPr baseColWidth="10" defaultColWidth="11.42578125" defaultRowHeight="12.75" customHeight="1" x14ac:dyDescent="0.2"/>
  <cols>
    <col min="1" max="1" width="61" style="306" customWidth="1"/>
    <col min="2" max="3" width="20.42578125" style="306" customWidth="1"/>
    <col min="4" max="4" width="14.42578125" style="306" customWidth="1"/>
    <col min="5" max="5" width="14.42578125" style="306" bestFit="1" customWidth="1"/>
    <col min="6" max="6" width="11.85546875" style="306" customWidth="1"/>
    <col min="7" max="7" width="12.140625" style="306" customWidth="1"/>
    <col min="8" max="8" width="15.5703125" style="306" bestFit="1" customWidth="1"/>
    <col min="9" max="16384" width="11.42578125" style="306"/>
  </cols>
  <sheetData>
    <row r="1" spans="1:8" ht="12.75" customHeight="1" x14ac:dyDescent="0.2">
      <c r="H1" s="317"/>
    </row>
    <row r="2" spans="1:8" ht="12.75" customHeight="1" x14ac:dyDescent="0.2">
      <c r="A2" s="1141" t="s">
        <v>566</v>
      </c>
      <c r="B2" s="1141"/>
      <c r="C2" s="1141"/>
      <c r="D2" s="391"/>
      <c r="E2" s="391"/>
      <c r="F2" s="391"/>
      <c r="G2" s="391"/>
      <c r="H2" s="375"/>
    </row>
    <row r="3" spans="1:8" ht="12.75" customHeight="1" x14ac:dyDescent="0.2">
      <c r="A3" s="1141" t="s">
        <v>209</v>
      </c>
      <c r="B3" s="1141"/>
      <c r="C3" s="1141"/>
      <c r="D3" s="392"/>
      <c r="E3" s="392"/>
      <c r="F3" s="392"/>
      <c r="G3" s="392"/>
      <c r="H3" s="375"/>
    </row>
    <row r="4" spans="1:8" ht="12.75" customHeight="1" x14ac:dyDescent="0.2">
      <c r="A4" s="1141" t="s">
        <v>8660</v>
      </c>
      <c r="B4" s="1141"/>
      <c r="C4" s="1141"/>
      <c r="D4" s="391"/>
      <c r="E4" s="391"/>
      <c r="F4" s="391"/>
      <c r="G4" s="391"/>
      <c r="H4" s="391"/>
    </row>
    <row r="5" spans="1:8" ht="6.75" customHeight="1" x14ac:dyDescent="0.25">
      <c r="A5" s="393"/>
      <c r="B5" s="393"/>
      <c r="C5" s="393"/>
      <c r="D5" s="393"/>
      <c r="E5" s="393"/>
      <c r="F5" s="393"/>
      <c r="G5" s="393"/>
      <c r="H5" s="393"/>
    </row>
    <row r="6" spans="1:8" ht="12.75" customHeight="1" x14ac:dyDescent="0.2">
      <c r="C6" s="317"/>
    </row>
    <row r="7" spans="1:8" s="281" customFormat="1" ht="9.75" customHeight="1" x14ac:dyDescent="0.2">
      <c r="A7" s="1145" t="s">
        <v>201</v>
      </c>
      <c r="B7" s="1146" t="s">
        <v>195</v>
      </c>
      <c r="C7" s="1146" t="s">
        <v>2376</v>
      </c>
      <c r="D7" s="1144"/>
      <c r="E7" s="1144"/>
      <c r="F7" s="1144"/>
      <c r="G7" s="1144"/>
      <c r="H7" s="1144"/>
    </row>
    <row r="8" spans="1:8" s="281" customFormat="1" ht="9.75" customHeight="1" x14ac:dyDescent="0.2">
      <c r="A8" s="1145"/>
      <c r="B8" s="1147"/>
      <c r="C8" s="1147"/>
      <c r="D8" s="1144"/>
      <c r="E8" s="1144"/>
      <c r="F8" s="1144"/>
      <c r="G8" s="1144"/>
      <c r="H8" s="1144"/>
    </row>
    <row r="9" spans="1:8" s="281" customFormat="1" ht="9.75" customHeight="1" x14ac:dyDescent="0.2">
      <c r="A9" s="1145"/>
      <c r="B9" s="1147"/>
      <c r="C9" s="1147"/>
      <c r="D9" s="1144"/>
      <c r="E9" s="1144"/>
      <c r="F9" s="1144"/>
      <c r="G9" s="1144"/>
      <c r="H9" s="1144"/>
    </row>
    <row r="10" spans="1:8" s="397" customFormat="1" ht="14.25" customHeight="1" x14ac:dyDescent="0.25">
      <c r="A10" s="394" t="s">
        <v>1</v>
      </c>
      <c r="B10" s="395">
        <f>B11+B20</f>
        <v>249246675.16</v>
      </c>
      <c r="C10" s="395">
        <f>C11+C20</f>
        <v>26800316.460000001</v>
      </c>
      <c r="D10" s="396"/>
      <c r="E10" s="396"/>
      <c r="F10" s="396"/>
      <c r="G10" s="396"/>
      <c r="H10" s="396"/>
    </row>
    <row r="11" spans="1:8" s="401" customFormat="1" x14ac:dyDescent="0.25">
      <c r="A11" s="398" t="s">
        <v>3</v>
      </c>
      <c r="B11" s="399">
        <f>SUM(B12:B18)</f>
        <v>130154074.11999999</v>
      </c>
      <c r="C11" s="399">
        <f>SUM(C12:C18)</f>
        <v>26155475.18</v>
      </c>
      <c r="D11" s="400"/>
      <c r="E11" s="400"/>
      <c r="F11" s="400"/>
      <c r="G11" s="400"/>
      <c r="H11" s="396"/>
    </row>
    <row r="12" spans="1:8" s="401" customFormat="1" x14ac:dyDescent="0.25">
      <c r="A12" s="402" t="s">
        <v>6</v>
      </c>
      <c r="B12" s="403">
        <v>0</v>
      </c>
      <c r="C12" s="403">
        <v>26155475.18</v>
      </c>
      <c r="D12" s="400"/>
      <c r="E12" s="400"/>
      <c r="F12" s="400"/>
      <c r="G12" s="400"/>
      <c r="H12" s="396"/>
    </row>
    <row r="13" spans="1:8" s="401" customFormat="1" x14ac:dyDescent="0.25">
      <c r="A13" s="402" t="s">
        <v>10</v>
      </c>
      <c r="B13" s="403">
        <v>129530996.52</v>
      </c>
      <c r="C13" s="403">
        <v>0</v>
      </c>
      <c r="D13" s="400"/>
      <c r="E13" s="400"/>
      <c r="F13" s="400"/>
      <c r="G13" s="400"/>
      <c r="H13" s="396"/>
    </row>
    <row r="14" spans="1:8" s="404" customFormat="1" x14ac:dyDescent="0.25">
      <c r="A14" s="402" t="s">
        <v>14</v>
      </c>
      <c r="B14" s="403">
        <v>623077.6</v>
      </c>
      <c r="C14" s="403">
        <v>0</v>
      </c>
    </row>
    <row r="15" spans="1:8" s="404" customFormat="1" hidden="1" x14ac:dyDescent="0.25">
      <c r="A15" s="402" t="s">
        <v>18</v>
      </c>
      <c r="B15" s="403">
        <v>0</v>
      </c>
      <c r="C15" s="403">
        <v>0</v>
      </c>
    </row>
    <row r="16" spans="1:8" s="404" customFormat="1" hidden="1" x14ac:dyDescent="0.25">
      <c r="A16" s="405" t="s">
        <v>22</v>
      </c>
      <c r="B16" s="403">
        <v>0</v>
      </c>
      <c r="C16" s="403">
        <v>0</v>
      </c>
    </row>
    <row r="17" spans="1:7" s="404" customFormat="1" hidden="1" x14ac:dyDescent="0.25">
      <c r="A17" s="405" t="s">
        <v>25</v>
      </c>
      <c r="B17" s="403">
        <v>0</v>
      </c>
      <c r="C17" s="403">
        <v>0</v>
      </c>
    </row>
    <row r="18" spans="1:7" s="404" customFormat="1" hidden="1" x14ac:dyDescent="0.25">
      <c r="A18" s="405" t="s">
        <v>28</v>
      </c>
      <c r="B18" s="403">
        <v>0</v>
      </c>
      <c r="C18" s="403">
        <v>0</v>
      </c>
    </row>
    <row r="19" spans="1:7" s="404" customFormat="1" x14ac:dyDescent="0.25">
      <c r="A19" s="406"/>
      <c r="B19" s="403"/>
      <c r="C19" s="403"/>
    </row>
    <row r="20" spans="1:7" s="404" customFormat="1" x14ac:dyDescent="0.25">
      <c r="A20" s="407" t="s">
        <v>31</v>
      </c>
      <c r="B20" s="399">
        <f>SUM(B21:B29)</f>
        <v>119092601.04000001</v>
      </c>
      <c r="C20" s="399">
        <f>SUM(C21:C29)</f>
        <v>644841.28</v>
      </c>
    </row>
    <row r="21" spans="1:7" s="404" customFormat="1" hidden="1" x14ac:dyDescent="0.25">
      <c r="A21" s="405" t="s">
        <v>34</v>
      </c>
      <c r="B21" s="403"/>
      <c r="C21" s="403"/>
    </row>
    <row r="22" spans="1:7" s="404" customFormat="1" hidden="1" x14ac:dyDescent="0.25">
      <c r="A22" s="408" t="s">
        <v>38</v>
      </c>
      <c r="B22" s="403"/>
      <c r="C22" s="403"/>
    </row>
    <row r="23" spans="1:7" s="404" customFormat="1" x14ac:dyDescent="0.25">
      <c r="A23" s="408" t="s">
        <v>199</v>
      </c>
      <c r="B23" s="403">
        <v>97039474.560000002</v>
      </c>
      <c r="C23" s="403">
        <v>0</v>
      </c>
    </row>
    <row r="24" spans="1:7" s="404" customFormat="1" x14ac:dyDescent="0.25">
      <c r="A24" s="405" t="s">
        <v>46</v>
      </c>
      <c r="B24" s="403">
        <v>0</v>
      </c>
      <c r="C24" s="403">
        <v>644841.28</v>
      </c>
      <c r="G24" s="409"/>
    </row>
    <row r="25" spans="1:7" s="404" customFormat="1" x14ac:dyDescent="0.25">
      <c r="A25" s="405" t="s">
        <v>49</v>
      </c>
      <c r="B25" s="403">
        <v>0</v>
      </c>
      <c r="C25" s="403">
        <v>0</v>
      </c>
    </row>
    <row r="26" spans="1:7" s="404" customFormat="1" x14ac:dyDescent="0.25">
      <c r="A26" s="408" t="s">
        <v>203</v>
      </c>
      <c r="B26" s="403">
        <v>22053126.48</v>
      </c>
      <c r="C26" s="403">
        <v>0</v>
      </c>
    </row>
    <row r="27" spans="1:7" s="404" customFormat="1" x14ac:dyDescent="0.25">
      <c r="A27" s="408" t="s">
        <v>54</v>
      </c>
      <c r="B27" s="403">
        <v>0</v>
      </c>
      <c r="C27" s="403">
        <v>0</v>
      </c>
    </row>
    <row r="28" spans="1:7" s="404" customFormat="1" hidden="1" x14ac:dyDescent="0.25">
      <c r="A28" s="408" t="s">
        <v>204</v>
      </c>
      <c r="B28" s="403"/>
      <c r="C28" s="403"/>
    </row>
    <row r="29" spans="1:7" s="404" customFormat="1" hidden="1" x14ac:dyDescent="0.25">
      <c r="A29" s="405" t="s">
        <v>55</v>
      </c>
      <c r="B29" s="403"/>
      <c r="C29" s="403"/>
    </row>
    <row r="30" spans="1:7" s="404" customFormat="1" x14ac:dyDescent="0.25">
      <c r="A30" s="405"/>
      <c r="B30" s="403"/>
      <c r="C30" s="403"/>
    </row>
    <row r="31" spans="1:7" s="404" customFormat="1" x14ac:dyDescent="0.25">
      <c r="A31" s="410" t="s">
        <v>2</v>
      </c>
      <c r="B31" s="399">
        <f>B32+B42</f>
        <v>11174177.029999999</v>
      </c>
      <c r="C31" s="399">
        <f>C32+C42</f>
        <v>5000000.04</v>
      </c>
    </row>
    <row r="32" spans="1:7" s="404" customFormat="1" x14ac:dyDescent="0.25">
      <c r="A32" s="398" t="s">
        <v>4</v>
      </c>
      <c r="B32" s="399">
        <f>SUM(B33:B40)</f>
        <v>11174177.029999999</v>
      </c>
      <c r="C32" s="399">
        <f>SUM(C33:C40)</f>
        <v>0</v>
      </c>
    </row>
    <row r="33" spans="1:3" s="404" customFormat="1" x14ac:dyDescent="0.25">
      <c r="A33" s="405" t="s">
        <v>8</v>
      </c>
      <c r="B33" s="403">
        <v>11174177.029999999</v>
      </c>
      <c r="C33" s="403">
        <v>0</v>
      </c>
    </row>
    <row r="34" spans="1:3" s="404" customFormat="1" hidden="1" x14ac:dyDescent="0.25">
      <c r="A34" s="405" t="s">
        <v>12</v>
      </c>
      <c r="B34" s="403"/>
      <c r="C34" s="403"/>
    </row>
    <row r="35" spans="1:3" s="404" customFormat="1" hidden="1" x14ac:dyDescent="0.25">
      <c r="A35" s="405" t="s">
        <v>16</v>
      </c>
      <c r="B35" s="403"/>
      <c r="C35" s="403"/>
    </row>
    <row r="36" spans="1:3" s="404" customFormat="1" hidden="1" x14ac:dyDescent="0.25">
      <c r="A36" s="405" t="s">
        <v>20</v>
      </c>
      <c r="B36" s="403"/>
      <c r="C36" s="403"/>
    </row>
    <row r="37" spans="1:3" s="404" customFormat="1" hidden="1" x14ac:dyDescent="0.25">
      <c r="A37" s="405" t="s">
        <v>23</v>
      </c>
      <c r="B37" s="403"/>
      <c r="C37" s="403"/>
    </row>
    <row r="38" spans="1:3" s="404" customFormat="1" hidden="1" x14ac:dyDescent="0.25">
      <c r="A38" s="405" t="s">
        <v>26</v>
      </c>
      <c r="B38" s="403"/>
      <c r="C38" s="403"/>
    </row>
    <row r="39" spans="1:3" s="404" customFormat="1" hidden="1" x14ac:dyDescent="0.25">
      <c r="A39" s="405" t="s">
        <v>29</v>
      </c>
      <c r="B39" s="403"/>
      <c r="C39" s="403"/>
    </row>
    <row r="40" spans="1:3" s="404" customFormat="1" hidden="1" x14ac:dyDescent="0.25">
      <c r="A40" s="405" t="s">
        <v>30</v>
      </c>
      <c r="B40" s="403"/>
      <c r="C40" s="403"/>
    </row>
    <row r="41" spans="1:3" s="404" customFormat="1" x14ac:dyDescent="0.25">
      <c r="A41" s="405"/>
      <c r="B41" s="403"/>
      <c r="C41" s="403"/>
    </row>
    <row r="42" spans="1:3" s="404" customFormat="1" x14ac:dyDescent="0.25">
      <c r="A42" s="398" t="s">
        <v>32</v>
      </c>
      <c r="B42" s="399">
        <f>SUM(B43:B48)</f>
        <v>0</v>
      </c>
      <c r="C42" s="399">
        <f>SUM(C43:C48)</f>
        <v>5000000.04</v>
      </c>
    </row>
    <row r="43" spans="1:3" s="404" customFormat="1" hidden="1" x14ac:dyDescent="0.25">
      <c r="A43" s="405" t="s">
        <v>36</v>
      </c>
      <c r="B43" s="403"/>
      <c r="C43" s="403"/>
    </row>
    <row r="44" spans="1:3" s="404" customFormat="1" hidden="1" x14ac:dyDescent="0.25">
      <c r="A44" s="405" t="s">
        <v>40</v>
      </c>
      <c r="B44" s="403"/>
      <c r="C44" s="403"/>
    </row>
    <row r="45" spans="1:3" s="404" customFormat="1" x14ac:dyDescent="0.25">
      <c r="A45" s="405" t="s">
        <v>44</v>
      </c>
      <c r="B45" s="403">
        <v>0</v>
      </c>
      <c r="C45" s="403">
        <v>5000000.04</v>
      </c>
    </row>
    <row r="46" spans="1:3" s="404" customFormat="1" hidden="1" x14ac:dyDescent="0.25">
      <c r="A46" s="405" t="s">
        <v>47</v>
      </c>
      <c r="B46" s="403"/>
      <c r="C46" s="403"/>
    </row>
    <row r="47" spans="1:3" s="404" customFormat="1" hidden="1" x14ac:dyDescent="0.25">
      <c r="A47" s="405" t="s">
        <v>50</v>
      </c>
      <c r="B47" s="403"/>
      <c r="C47" s="403"/>
    </row>
    <row r="48" spans="1:3" s="404" customFormat="1" hidden="1" x14ac:dyDescent="0.25">
      <c r="A48" s="405" t="s">
        <v>53</v>
      </c>
      <c r="B48" s="403"/>
      <c r="C48" s="403"/>
    </row>
    <row r="49" spans="1:5" s="404" customFormat="1" x14ac:dyDescent="0.25">
      <c r="A49" s="405"/>
      <c r="B49" s="403"/>
      <c r="C49" s="403"/>
    </row>
    <row r="50" spans="1:5" s="404" customFormat="1" x14ac:dyDescent="0.25">
      <c r="A50" s="410" t="s">
        <v>56</v>
      </c>
      <c r="B50" s="399">
        <f>B51+B56</f>
        <v>79989853.569999993</v>
      </c>
      <c r="C50" s="399">
        <f>C51+C56</f>
        <v>308610389.25999999</v>
      </c>
    </row>
    <row r="51" spans="1:5" s="404" customFormat="1" hidden="1" x14ac:dyDescent="0.25">
      <c r="A51" s="398" t="s">
        <v>57</v>
      </c>
      <c r="B51" s="403"/>
      <c r="C51" s="403"/>
    </row>
    <row r="52" spans="1:5" s="404" customFormat="1" hidden="1" x14ac:dyDescent="0.25">
      <c r="A52" s="405" t="s">
        <v>59</v>
      </c>
      <c r="B52" s="403"/>
      <c r="C52" s="403"/>
    </row>
    <row r="53" spans="1:5" s="404" customFormat="1" hidden="1" x14ac:dyDescent="0.25">
      <c r="A53" s="405" t="s">
        <v>61</v>
      </c>
      <c r="B53" s="403"/>
      <c r="C53" s="403"/>
    </row>
    <row r="54" spans="1:5" s="404" customFormat="1" hidden="1" x14ac:dyDescent="0.25">
      <c r="A54" s="405" t="s">
        <v>63</v>
      </c>
      <c r="B54" s="403"/>
      <c r="C54" s="403"/>
    </row>
    <row r="55" spans="1:5" s="404" customFormat="1" x14ac:dyDescent="0.25">
      <c r="A55" s="405"/>
      <c r="B55" s="403"/>
      <c r="C55" s="403"/>
    </row>
    <row r="56" spans="1:5" s="404" customFormat="1" x14ac:dyDescent="0.25">
      <c r="A56" s="398" t="s">
        <v>64</v>
      </c>
      <c r="B56" s="399">
        <f>SUM(B57:B60)</f>
        <v>79989853.569999993</v>
      </c>
      <c r="C56" s="399">
        <f>SUM(C57:C60)</f>
        <v>308610389.25999999</v>
      </c>
    </row>
    <row r="57" spans="1:5" s="404" customFormat="1" x14ac:dyDescent="0.25">
      <c r="A57" s="405" t="s">
        <v>66</v>
      </c>
      <c r="B57" s="403">
        <v>79989853.569999993</v>
      </c>
      <c r="C57" s="403">
        <v>0</v>
      </c>
    </row>
    <row r="58" spans="1:5" s="404" customFormat="1" x14ac:dyDescent="0.25">
      <c r="A58" s="405" t="s">
        <v>68</v>
      </c>
      <c r="B58" s="403">
        <v>0</v>
      </c>
      <c r="C58" s="403">
        <v>308610389.25999999</v>
      </c>
      <c r="E58" s="409"/>
    </row>
    <row r="59" spans="1:5" s="404" customFormat="1" hidden="1" x14ac:dyDescent="0.25">
      <c r="A59" s="405" t="s">
        <v>70</v>
      </c>
      <c r="B59" s="403">
        <v>0</v>
      </c>
      <c r="C59" s="403">
        <v>0</v>
      </c>
    </row>
    <row r="60" spans="1:5" s="404" customFormat="1" hidden="1" x14ac:dyDescent="0.25">
      <c r="A60" s="405" t="s">
        <v>72</v>
      </c>
      <c r="B60" s="403"/>
      <c r="C60" s="403"/>
    </row>
    <row r="61" spans="1:5" s="404" customFormat="1" hidden="1" x14ac:dyDescent="0.25">
      <c r="A61" s="405" t="s">
        <v>74</v>
      </c>
      <c r="B61" s="403"/>
      <c r="C61" s="403"/>
    </row>
    <row r="62" spans="1:5" s="404" customFormat="1" x14ac:dyDescent="0.25">
      <c r="A62" s="405"/>
      <c r="B62" s="403"/>
      <c r="C62" s="403"/>
    </row>
    <row r="63" spans="1:5" s="404" customFormat="1" hidden="1" x14ac:dyDescent="0.25">
      <c r="A63" s="398" t="s">
        <v>75</v>
      </c>
      <c r="B63" s="403"/>
      <c r="C63" s="403"/>
    </row>
    <row r="64" spans="1:5" s="404" customFormat="1" hidden="1" x14ac:dyDescent="0.25">
      <c r="A64" s="405" t="s">
        <v>76</v>
      </c>
      <c r="B64" s="403"/>
      <c r="C64" s="403"/>
    </row>
    <row r="65" spans="1:8" s="404" customFormat="1" hidden="1" x14ac:dyDescent="0.25">
      <c r="A65" s="405" t="s">
        <v>77</v>
      </c>
      <c r="B65" s="403"/>
      <c r="C65" s="403"/>
    </row>
    <row r="66" spans="1:8" s="404" customFormat="1" x14ac:dyDescent="0.25">
      <c r="A66" s="405"/>
      <c r="B66" s="403"/>
      <c r="C66" s="403"/>
      <c r="H66" s="409"/>
    </row>
    <row r="67" spans="1:8" s="404" customFormat="1" x14ac:dyDescent="0.25">
      <c r="A67" s="411" t="s">
        <v>188</v>
      </c>
      <c r="B67" s="399">
        <f>B10+B31+B50</f>
        <v>340410705.75999999</v>
      </c>
      <c r="C67" s="399">
        <f>C10+C31+C50</f>
        <v>340410705.75999999</v>
      </c>
      <c r="D67" s="409"/>
      <c r="E67" s="409"/>
    </row>
    <row r="68" spans="1:8" ht="12.75" customHeight="1" x14ac:dyDescent="0.2">
      <c r="A68" s="412"/>
      <c r="B68" s="413"/>
      <c r="C68" s="413"/>
    </row>
    <row r="69" spans="1:8" ht="12.75" customHeight="1" x14ac:dyDescent="0.2">
      <c r="A69" s="414"/>
      <c r="B69" s="307"/>
      <c r="C69" s="307"/>
    </row>
    <row r="70" spans="1:8" ht="12.75" customHeight="1" x14ac:dyDescent="0.2">
      <c r="A70" s="414"/>
      <c r="B70" s="578"/>
      <c r="C70" s="578"/>
    </row>
    <row r="71" spans="1:8" ht="12.75" customHeight="1" x14ac:dyDescent="0.2">
      <c r="A71" s="414"/>
      <c r="B71" s="307"/>
      <c r="C71" s="578"/>
    </row>
    <row r="73" spans="1:8" ht="12.75" customHeight="1" x14ac:dyDescent="0.2">
      <c r="A73" s="414"/>
      <c r="B73" s="307"/>
      <c r="C73" s="307"/>
    </row>
    <row r="74" spans="1:8" ht="12.75" customHeight="1" x14ac:dyDescent="0.2">
      <c r="A74" s="414" t="s">
        <v>559</v>
      </c>
      <c r="B74" s="307"/>
      <c r="C74" s="307"/>
    </row>
    <row r="75" spans="1:8" ht="12.75" customHeight="1" x14ac:dyDescent="0.2">
      <c r="A75" s="414"/>
      <c r="B75" s="307"/>
      <c r="C75" s="307"/>
    </row>
    <row r="76" spans="1:8" ht="12.75" customHeight="1" x14ac:dyDescent="0.2">
      <c r="A76" s="414"/>
      <c r="B76" s="307"/>
      <c r="C76" s="307"/>
    </row>
    <row r="77" spans="1:8" ht="12.75" customHeight="1" x14ac:dyDescent="0.2">
      <c r="A77" s="414"/>
      <c r="B77" s="307"/>
      <c r="C77" s="307"/>
    </row>
    <row r="78" spans="1:8" ht="12.75" customHeight="1" x14ac:dyDescent="0.2">
      <c r="A78" s="415"/>
    </row>
    <row r="79" spans="1:8" ht="12.75" customHeight="1" x14ac:dyDescent="0.2">
      <c r="A79" s="415"/>
    </row>
    <row r="80" spans="1:8" ht="26.25" customHeight="1" x14ac:dyDescent="0.2">
      <c r="A80" s="415"/>
    </row>
    <row r="81" spans="1:1" ht="24" customHeight="1" x14ac:dyDescent="0.2">
      <c r="A81" s="416"/>
    </row>
    <row r="82" spans="1:1" ht="12.75" customHeight="1" x14ac:dyDescent="0.2">
      <c r="A82" s="416"/>
    </row>
    <row r="83" spans="1:1" ht="12.75" customHeight="1" x14ac:dyDescent="0.2">
      <c r="A83" s="416"/>
    </row>
    <row r="84" spans="1:1" ht="12.75" customHeight="1" x14ac:dyDescent="0.2">
      <c r="A84" s="416"/>
    </row>
    <row r="85" spans="1:1" ht="12.75" customHeight="1" x14ac:dyDescent="0.2">
      <c r="A85" s="416"/>
    </row>
    <row r="86" spans="1:1" ht="12.75" customHeight="1" x14ac:dyDescent="0.2">
      <c r="A86" s="416"/>
    </row>
    <row r="87" spans="1:1" ht="12.75" customHeight="1" x14ac:dyDescent="0.2">
      <c r="A87" s="416"/>
    </row>
    <row r="88" spans="1:1" ht="12.75" customHeight="1" x14ac:dyDescent="0.2">
      <c r="A88" s="416"/>
    </row>
    <row r="89" spans="1:1" ht="12.75" customHeight="1" x14ac:dyDescent="0.2">
      <c r="A89" s="416"/>
    </row>
    <row r="90" spans="1:1" ht="12.75" customHeight="1" x14ac:dyDescent="0.2">
      <c r="A90" s="416"/>
    </row>
    <row r="91" spans="1:1" ht="12.75" customHeight="1" x14ac:dyDescent="0.2">
      <c r="A91" s="416"/>
    </row>
    <row r="92" spans="1:1" ht="12.75" customHeight="1" x14ac:dyDescent="0.2">
      <c r="A92" s="416"/>
    </row>
    <row r="93" spans="1:1" ht="12.75" customHeight="1" x14ac:dyDescent="0.2">
      <c r="A93" s="416"/>
    </row>
    <row r="94" spans="1:1" ht="12.75" customHeight="1" x14ac:dyDescent="0.2">
      <c r="A94" s="416"/>
    </row>
    <row r="95" spans="1:1" ht="12.75" customHeight="1" x14ac:dyDescent="0.2">
      <c r="A95" s="416"/>
    </row>
    <row r="96" spans="1:1" ht="12.75" customHeight="1" x14ac:dyDescent="0.2">
      <c r="A96" s="416"/>
    </row>
    <row r="97" spans="1:1" ht="12.75" customHeight="1" x14ac:dyDescent="0.2">
      <c r="A97" s="416"/>
    </row>
    <row r="98" spans="1:1" ht="12.75" customHeight="1" x14ac:dyDescent="0.2">
      <c r="A98" s="416"/>
    </row>
    <row r="99" spans="1:1" ht="12.75" customHeight="1" x14ac:dyDescent="0.2">
      <c r="A99" s="416"/>
    </row>
    <row r="100" spans="1:1" ht="12.75" customHeight="1" x14ac:dyDescent="0.2">
      <c r="A100" s="416"/>
    </row>
    <row r="101" spans="1:1" ht="12.75" customHeight="1" x14ac:dyDescent="0.2">
      <c r="A101" s="416"/>
    </row>
    <row r="102" spans="1:1" ht="12.75" customHeight="1" x14ac:dyDescent="0.2">
      <c r="A102" s="416"/>
    </row>
    <row r="103" spans="1:1" ht="12.75" customHeight="1" x14ac:dyDescent="0.2">
      <c r="A103" s="416"/>
    </row>
    <row r="104" spans="1:1" ht="12.75" customHeight="1" x14ac:dyDescent="0.2">
      <c r="A104" s="416"/>
    </row>
    <row r="105" spans="1:1" ht="12.75" customHeight="1" x14ac:dyDescent="0.2">
      <c r="A105" s="416"/>
    </row>
    <row r="106" spans="1:1" ht="12.75" customHeight="1" x14ac:dyDescent="0.2">
      <c r="A106" s="416"/>
    </row>
    <row r="107" spans="1:1" ht="12.75" customHeight="1" x14ac:dyDescent="0.2">
      <c r="A107" s="416"/>
    </row>
    <row r="108" spans="1:1" ht="12.75" customHeight="1" x14ac:dyDescent="0.2">
      <c r="A108" s="416"/>
    </row>
    <row r="109" spans="1:1" ht="12.75" customHeight="1" x14ac:dyDescent="0.2">
      <c r="A109" s="416"/>
    </row>
    <row r="110" spans="1:1" ht="12.75" customHeight="1" x14ac:dyDescent="0.2">
      <c r="A110" s="416"/>
    </row>
    <row r="111" spans="1:1" ht="12.75" customHeight="1" x14ac:dyDescent="0.2">
      <c r="A111" s="416"/>
    </row>
    <row r="112" spans="1:1" ht="12.75" customHeight="1" x14ac:dyDescent="0.2">
      <c r="A112" s="416"/>
    </row>
    <row r="113" spans="1:1" ht="12.75" customHeight="1" x14ac:dyDescent="0.2">
      <c r="A113" s="416"/>
    </row>
    <row r="114" spans="1:1" ht="12.75" customHeight="1" x14ac:dyDescent="0.2">
      <c r="A114" s="416"/>
    </row>
    <row r="115" spans="1:1" ht="12.75" customHeight="1" x14ac:dyDescent="0.2">
      <c r="A115" s="416"/>
    </row>
    <row r="116" spans="1:1" ht="12.75" customHeight="1" x14ac:dyDescent="0.2">
      <c r="A116" s="416"/>
    </row>
    <row r="117" spans="1:1" ht="12.75" customHeight="1" x14ac:dyDescent="0.2">
      <c r="A117" s="416"/>
    </row>
    <row r="118" spans="1:1" ht="12.75" customHeight="1" x14ac:dyDescent="0.2">
      <c r="A118" s="416"/>
    </row>
    <row r="119" spans="1:1" ht="12.75" customHeight="1" x14ac:dyDescent="0.2">
      <c r="A119" s="416"/>
    </row>
    <row r="120" spans="1:1" ht="12.75" customHeight="1" x14ac:dyDescent="0.2">
      <c r="A120" s="416"/>
    </row>
    <row r="121" spans="1:1" ht="12.75" customHeight="1" x14ac:dyDescent="0.2">
      <c r="A121" s="416"/>
    </row>
    <row r="122" spans="1:1" ht="12.75" customHeight="1" x14ac:dyDescent="0.2">
      <c r="A122" s="416"/>
    </row>
    <row r="123" spans="1:1" ht="12.75" customHeight="1" x14ac:dyDescent="0.2">
      <c r="A123" s="416"/>
    </row>
    <row r="124" spans="1:1" ht="12.75" customHeight="1" x14ac:dyDescent="0.2">
      <c r="A124" s="416"/>
    </row>
    <row r="125" spans="1:1" ht="12.75" customHeight="1" x14ac:dyDescent="0.2">
      <c r="A125" s="416"/>
    </row>
    <row r="126" spans="1:1" ht="12.75" customHeight="1" x14ac:dyDescent="0.2">
      <c r="A126" s="416"/>
    </row>
    <row r="127" spans="1:1" ht="12.75" customHeight="1" x14ac:dyDescent="0.2">
      <c r="A127" s="416"/>
    </row>
    <row r="128" spans="1:1" ht="12.75" customHeight="1" x14ac:dyDescent="0.2">
      <c r="A128" s="416"/>
    </row>
    <row r="129" spans="1:1" ht="12.75" customHeight="1" x14ac:dyDescent="0.2">
      <c r="A129" s="416"/>
    </row>
    <row r="130" spans="1:1" ht="12.75" customHeight="1" x14ac:dyDescent="0.2">
      <c r="A130" s="416"/>
    </row>
    <row r="131" spans="1:1" ht="12.75" customHeight="1" x14ac:dyDescent="0.2">
      <c r="A131" s="416"/>
    </row>
    <row r="132" spans="1:1" ht="12.75" customHeight="1" x14ac:dyDescent="0.2">
      <c r="A132" s="416"/>
    </row>
    <row r="133" spans="1:1" ht="12.75" customHeight="1" x14ac:dyDescent="0.2">
      <c r="A133" s="416"/>
    </row>
    <row r="134" spans="1:1" ht="12.75" customHeight="1" x14ac:dyDescent="0.2">
      <c r="A134" s="416"/>
    </row>
    <row r="135" spans="1:1" ht="12.75" customHeight="1" x14ac:dyDescent="0.2">
      <c r="A135" s="416"/>
    </row>
    <row r="136" spans="1:1" ht="12.75" customHeight="1" x14ac:dyDescent="0.2">
      <c r="A136" s="416"/>
    </row>
    <row r="137" spans="1:1" ht="12.75" customHeight="1" x14ac:dyDescent="0.2">
      <c r="A137" s="416"/>
    </row>
    <row r="138" spans="1:1" ht="12.75" customHeight="1" x14ac:dyDescent="0.2">
      <c r="A138" s="416"/>
    </row>
    <row r="139" spans="1:1" ht="12.75" customHeight="1" x14ac:dyDescent="0.2">
      <c r="A139" s="416"/>
    </row>
    <row r="140" spans="1:1" ht="12.75" customHeight="1" x14ac:dyDescent="0.2">
      <c r="A140" s="416"/>
    </row>
    <row r="141" spans="1:1" ht="12.75" customHeight="1" x14ac:dyDescent="0.2">
      <c r="A141" s="416"/>
    </row>
    <row r="142" spans="1:1" ht="12.75" customHeight="1" x14ac:dyDescent="0.2">
      <c r="A142" s="416"/>
    </row>
    <row r="143" spans="1:1" ht="12.75" customHeight="1" x14ac:dyDescent="0.2">
      <c r="A143" s="416"/>
    </row>
    <row r="144" spans="1:1" ht="12.75" customHeight="1" x14ac:dyDescent="0.2">
      <c r="A144" s="416"/>
    </row>
    <row r="145" spans="1:1" ht="12.75" customHeight="1" x14ac:dyDescent="0.2">
      <c r="A145" s="416"/>
    </row>
    <row r="146" spans="1:1" ht="12.75" customHeight="1" x14ac:dyDescent="0.2">
      <c r="A146" s="416"/>
    </row>
    <row r="147" spans="1:1" ht="12.75" customHeight="1" x14ac:dyDescent="0.2">
      <c r="A147" s="416"/>
    </row>
    <row r="148" spans="1:1" ht="12.75" customHeight="1" x14ac:dyDescent="0.2">
      <c r="A148" s="416"/>
    </row>
    <row r="149" spans="1:1" ht="12.75" customHeight="1" x14ac:dyDescent="0.2">
      <c r="A149" s="416"/>
    </row>
    <row r="150" spans="1:1" ht="12.75" customHeight="1" x14ac:dyDescent="0.2">
      <c r="A150" s="416"/>
    </row>
    <row r="151" spans="1:1" ht="12.75" customHeight="1" x14ac:dyDescent="0.2">
      <c r="A151" s="416"/>
    </row>
    <row r="152" spans="1:1" ht="12.75" customHeight="1" x14ac:dyDescent="0.2">
      <c r="A152" s="416"/>
    </row>
    <row r="153" spans="1:1" ht="12.75" customHeight="1" x14ac:dyDescent="0.2">
      <c r="A153" s="416"/>
    </row>
  </sheetData>
  <mergeCells count="11">
    <mergeCell ref="H7:H9"/>
    <mergeCell ref="A2:C2"/>
    <mergeCell ref="A3:C3"/>
    <mergeCell ref="A4:C4"/>
    <mergeCell ref="A7:A9"/>
    <mergeCell ref="B7:B9"/>
    <mergeCell ref="C7:C9"/>
    <mergeCell ref="D7:D9"/>
    <mergeCell ref="E7:E9"/>
    <mergeCell ref="F7:F9"/>
    <mergeCell ref="G7:G9"/>
  </mergeCells>
  <printOptions horizontalCentered="1"/>
  <pageMargins left="0.27559055118110237" right="0.27559055118110237" top="0.59055118110236227" bottom="0.74803149606299213" header="0.31496062992125984" footer="0.31496062992125984"/>
  <pageSetup scale="99" fitToHeight="0" orientation="portrait" r:id="rId1"/>
  <headerFooter>
    <oddHeader>&amp;R04</oddHeader>
    <oddFooter>&amp;C&amp;8“Bajo protesta de decir verdad declaramos que los &amp;"Arial,Normal"Estados Financieros y sus notas, son razonablemente correctos y son responsabilidad del emisor”</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6304"/>
  <sheetViews>
    <sheetView view="pageBreakPreview" topLeftCell="A6250" zoomScaleNormal="100" zoomScaleSheetLayoutView="100" workbookViewId="0">
      <selection activeCell="B6272" sqref="B6272"/>
    </sheetView>
  </sheetViews>
  <sheetFormatPr baseColWidth="10" defaultRowHeight="12.75" x14ac:dyDescent="0.2"/>
  <cols>
    <col min="1" max="2" width="11.42578125" style="684"/>
    <col min="3" max="3" width="56.28515625" style="667" bestFit="1" customWidth="1"/>
    <col min="4" max="4" width="12.85546875" style="667" customWidth="1"/>
    <col min="5" max="5" width="6.140625" style="667" customWidth="1"/>
    <col min="6" max="6" width="13.28515625" style="667" customWidth="1"/>
    <col min="7" max="9" width="16.42578125" style="667" customWidth="1"/>
    <col min="10" max="10" width="16.42578125" style="691" customWidth="1"/>
    <col min="11" max="16384" width="11.42578125" style="667"/>
  </cols>
  <sheetData>
    <row r="1" spans="1:10" ht="16.5" customHeight="1" x14ac:dyDescent="0.25">
      <c r="A1" s="1354" t="s">
        <v>566</v>
      </c>
      <c r="B1" s="1354"/>
      <c r="C1" s="1354"/>
      <c r="D1" s="1354"/>
      <c r="E1" s="1354"/>
      <c r="F1" s="1354"/>
      <c r="G1" s="1354"/>
      <c r="H1" s="1354"/>
      <c r="I1" s="1354"/>
      <c r="J1" s="1354"/>
    </row>
    <row r="2" spans="1:10" ht="8.25" customHeight="1" x14ac:dyDescent="0.25">
      <c r="A2" s="682"/>
      <c r="B2" s="682"/>
      <c r="C2" s="669"/>
      <c r="D2" s="669"/>
      <c r="E2" s="669"/>
      <c r="F2" s="669"/>
      <c r="G2" s="669"/>
      <c r="H2" s="669"/>
      <c r="I2" s="668"/>
      <c r="J2" s="687"/>
    </row>
    <row r="3" spans="1:10" ht="16.5" customHeight="1" x14ac:dyDescent="0.25">
      <c r="A3" s="1355" t="s">
        <v>434</v>
      </c>
      <c r="B3" s="1355"/>
      <c r="C3" s="1355"/>
      <c r="D3" s="1355"/>
      <c r="E3" s="1355"/>
      <c r="F3" s="1355"/>
      <c r="G3" s="1355"/>
      <c r="H3" s="1355"/>
      <c r="I3" s="1355"/>
      <c r="J3" s="1355"/>
    </row>
    <row r="4" spans="1:10" ht="15.75" customHeight="1" x14ac:dyDescent="0.25">
      <c r="A4" s="1355" t="s">
        <v>10389</v>
      </c>
      <c r="B4" s="1355"/>
      <c r="C4" s="1355"/>
      <c r="D4" s="1355"/>
      <c r="E4" s="1355"/>
      <c r="F4" s="1355"/>
      <c r="G4" s="1355"/>
      <c r="H4" s="1355"/>
      <c r="I4" s="1355"/>
      <c r="J4" s="1355"/>
    </row>
    <row r="5" spans="1:10" ht="15.75" customHeight="1" thickBot="1" x14ac:dyDescent="0.3">
      <c r="A5" s="670"/>
      <c r="B5" s="670"/>
      <c r="C5" s="670"/>
      <c r="D5" s="670"/>
      <c r="E5" s="670"/>
      <c r="F5" s="670"/>
      <c r="G5" s="670"/>
      <c r="H5" s="670"/>
      <c r="I5" s="670"/>
      <c r="J5" s="688"/>
    </row>
    <row r="6" spans="1:10" s="671" customFormat="1" ht="24.75" customHeight="1" x14ac:dyDescent="0.25">
      <c r="A6" s="1356" t="s">
        <v>441</v>
      </c>
      <c r="B6" s="1350" t="s">
        <v>2632</v>
      </c>
      <c r="C6" s="1350" t="s">
        <v>531</v>
      </c>
      <c r="D6" s="1350" t="s">
        <v>532</v>
      </c>
      <c r="E6" s="1350" t="s">
        <v>2633</v>
      </c>
      <c r="F6" s="1350" t="s">
        <v>2634</v>
      </c>
      <c r="G6" s="1358" t="s">
        <v>533</v>
      </c>
      <c r="H6" s="1350" t="s">
        <v>443</v>
      </c>
      <c r="I6" s="1350" t="s">
        <v>444</v>
      </c>
      <c r="J6" s="1352" t="s">
        <v>534</v>
      </c>
    </row>
    <row r="7" spans="1:10" s="671" customFormat="1" ht="43.5" customHeight="1" x14ac:dyDescent="0.25">
      <c r="A7" s="1357"/>
      <c r="B7" s="1351"/>
      <c r="C7" s="1351"/>
      <c r="D7" s="1351"/>
      <c r="E7" s="1351"/>
      <c r="F7" s="1351"/>
      <c r="G7" s="1359"/>
      <c r="H7" s="1351"/>
      <c r="I7" s="1351"/>
      <c r="J7" s="1353"/>
    </row>
    <row r="8" spans="1:10" ht="12.75" customHeight="1" x14ac:dyDescent="0.2">
      <c r="A8" s="681">
        <v>1233</v>
      </c>
      <c r="B8" s="693">
        <v>57</v>
      </c>
      <c r="C8" s="672" t="s">
        <v>1271</v>
      </c>
      <c r="D8" s="673">
        <v>42369</v>
      </c>
      <c r="E8" s="674">
        <v>30</v>
      </c>
      <c r="F8" s="675">
        <v>0.03</v>
      </c>
      <c r="G8" s="676">
        <v>571.12</v>
      </c>
      <c r="H8" s="929">
        <v>18.846959999999999</v>
      </c>
      <c r="I8" s="929">
        <v>56.540880000000001</v>
      </c>
      <c r="J8" s="689">
        <f>G8-I8</f>
        <v>514.57911999999999</v>
      </c>
    </row>
    <row r="9" spans="1:10" ht="12.75" customHeight="1" x14ac:dyDescent="0.2">
      <c r="A9" s="681">
        <v>1233</v>
      </c>
      <c r="B9" s="693">
        <v>600</v>
      </c>
      <c r="C9" s="672" t="s">
        <v>1272</v>
      </c>
      <c r="D9" s="673">
        <v>42369</v>
      </c>
      <c r="E9" s="674">
        <v>30</v>
      </c>
      <c r="F9" s="675">
        <v>0.03</v>
      </c>
      <c r="G9" s="676">
        <v>45000</v>
      </c>
      <c r="H9" s="929">
        <v>1485.0000000000002</v>
      </c>
      <c r="I9" s="929">
        <v>4455</v>
      </c>
      <c r="J9" s="689">
        <f t="shared" ref="J9:J70" si="0">G9-I9</f>
        <v>40545</v>
      </c>
    </row>
    <row r="10" spans="1:10" ht="12.75" customHeight="1" x14ac:dyDescent="0.2">
      <c r="A10" s="681">
        <v>1233</v>
      </c>
      <c r="B10" s="693">
        <v>296</v>
      </c>
      <c r="C10" s="672" t="s">
        <v>1273</v>
      </c>
      <c r="D10" s="673">
        <v>42369</v>
      </c>
      <c r="E10" s="674">
        <v>30</v>
      </c>
      <c r="F10" s="675">
        <v>0.03</v>
      </c>
      <c r="G10" s="676">
        <v>500682</v>
      </c>
      <c r="H10" s="929">
        <v>16522.506000000001</v>
      </c>
      <c r="I10" s="929">
        <v>49567.518000000004</v>
      </c>
      <c r="J10" s="689">
        <f t="shared" si="0"/>
        <v>451114.48200000002</v>
      </c>
    </row>
    <row r="11" spans="1:10" ht="12.75" customHeight="1" x14ac:dyDescent="0.2">
      <c r="A11" s="681">
        <v>1233</v>
      </c>
      <c r="B11" s="693">
        <v>67</v>
      </c>
      <c r="C11" s="672" t="s">
        <v>1274</v>
      </c>
      <c r="D11" s="673">
        <v>42369</v>
      </c>
      <c r="E11" s="674">
        <v>30</v>
      </c>
      <c r="F11" s="675">
        <v>0.03</v>
      </c>
      <c r="G11" s="676">
        <v>3016775</v>
      </c>
      <c r="H11" s="929">
        <v>99553.575000000026</v>
      </c>
      <c r="I11" s="929">
        <v>298660.72500000003</v>
      </c>
      <c r="J11" s="689">
        <f t="shared" si="0"/>
        <v>2718114.2749999999</v>
      </c>
    </row>
    <row r="12" spans="1:10" ht="12.75" customHeight="1" x14ac:dyDescent="0.2">
      <c r="A12" s="681">
        <v>1233</v>
      </c>
      <c r="B12" s="693">
        <v>132</v>
      </c>
      <c r="C12" s="672" t="s">
        <v>1275</v>
      </c>
      <c r="D12" s="673">
        <v>42369</v>
      </c>
      <c r="E12" s="674">
        <v>30</v>
      </c>
      <c r="F12" s="675">
        <v>0.03</v>
      </c>
      <c r="G12" s="676">
        <v>680233.2</v>
      </c>
      <c r="H12" s="929">
        <v>22447.695599999995</v>
      </c>
      <c r="I12" s="929">
        <v>67343.08679999999</v>
      </c>
      <c r="J12" s="689">
        <f t="shared" si="0"/>
        <v>612890.11320000002</v>
      </c>
    </row>
    <row r="13" spans="1:10" ht="12.75" customHeight="1" x14ac:dyDescent="0.2">
      <c r="A13" s="681">
        <v>1233</v>
      </c>
      <c r="B13" s="693">
        <v>125</v>
      </c>
      <c r="C13" s="672" t="s">
        <v>1276</v>
      </c>
      <c r="D13" s="673">
        <v>42369</v>
      </c>
      <c r="E13" s="674">
        <v>30</v>
      </c>
      <c r="F13" s="675">
        <v>0.03</v>
      </c>
      <c r="G13" s="676">
        <v>526470</v>
      </c>
      <c r="H13" s="929">
        <v>17373.509999999998</v>
      </c>
      <c r="I13" s="929">
        <v>52120.53</v>
      </c>
      <c r="J13" s="689">
        <f t="shared" si="0"/>
        <v>474349.47</v>
      </c>
    </row>
    <row r="14" spans="1:10" ht="12.75" customHeight="1" x14ac:dyDescent="0.2">
      <c r="A14" s="681">
        <v>1233</v>
      </c>
      <c r="B14" s="693">
        <v>366</v>
      </c>
      <c r="C14" s="672" t="s">
        <v>2011</v>
      </c>
      <c r="D14" s="673">
        <v>42369</v>
      </c>
      <c r="E14" s="674">
        <v>30</v>
      </c>
      <c r="F14" s="675">
        <v>0.03</v>
      </c>
      <c r="G14" s="676">
        <v>3179161.97</v>
      </c>
      <c r="H14" s="929">
        <v>104912.34501</v>
      </c>
      <c r="I14" s="929">
        <v>314737.03503000003</v>
      </c>
      <c r="J14" s="689">
        <f t="shared" si="0"/>
        <v>2864424.9349700003</v>
      </c>
    </row>
    <row r="15" spans="1:10" ht="12.75" customHeight="1" x14ac:dyDescent="0.2">
      <c r="A15" s="681">
        <v>1233</v>
      </c>
      <c r="B15" s="693">
        <v>501</v>
      </c>
      <c r="C15" s="672" t="s">
        <v>1277</v>
      </c>
      <c r="D15" s="673">
        <v>42369</v>
      </c>
      <c r="E15" s="674">
        <v>30</v>
      </c>
      <c r="F15" s="675">
        <v>0.03</v>
      </c>
      <c r="G15" s="676">
        <v>391832.35</v>
      </c>
      <c r="H15" s="929">
        <v>12930.467550000003</v>
      </c>
      <c r="I15" s="929">
        <v>38791.402650000004</v>
      </c>
      <c r="J15" s="689">
        <f t="shared" si="0"/>
        <v>353040.94734999997</v>
      </c>
    </row>
    <row r="16" spans="1:10" ht="12.75" customHeight="1" x14ac:dyDescent="0.2">
      <c r="A16" s="681">
        <v>1233</v>
      </c>
      <c r="B16" s="693">
        <v>306</v>
      </c>
      <c r="C16" s="672" t="s">
        <v>1278</v>
      </c>
      <c r="D16" s="673">
        <v>42369</v>
      </c>
      <c r="E16" s="674">
        <v>30</v>
      </c>
      <c r="F16" s="675">
        <v>0.03</v>
      </c>
      <c r="G16" s="676">
        <v>395712</v>
      </c>
      <c r="H16" s="929">
        <v>13058.496000000005</v>
      </c>
      <c r="I16" s="929">
        <v>39175.488000000005</v>
      </c>
      <c r="J16" s="689">
        <f t="shared" si="0"/>
        <v>356536.51199999999</v>
      </c>
    </row>
    <row r="17" spans="1:10" ht="12.75" customHeight="1" x14ac:dyDescent="0.2">
      <c r="A17" s="681">
        <v>1233</v>
      </c>
      <c r="B17" s="693">
        <v>512</v>
      </c>
      <c r="C17" s="672" t="s">
        <v>1279</v>
      </c>
      <c r="D17" s="673">
        <v>42369</v>
      </c>
      <c r="E17" s="674">
        <v>30</v>
      </c>
      <c r="F17" s="675">
        <v>0.03</v>
      </c>
      <c r="G17" s="676">
        <v>1400750</v>
      </c>
      <c r="H17" s="929">
        <v>46224.750000000007</v>
      </c>
      <c r="I17" s="929">
        <v>138674.25</v>
      </c>
      <c r="J17" s="689">
        <f t="shared" si="0"/>
        <v>1262075.75</v>
      </c>
    </row>
    <row r="18" spans="1:10" ht="12.75" customHeight="1" x14ac:dyDescent="0.2">
      <c r="A18" s="681">
        <v>1233</v>
      </c>
      <c r="B18" s="693">
        <v>56</v>
      </c>
      <c r="C18" s="672" t="s">
        <v>1280</v>
      </c>
      <c r="D18" s="673">
        <v>42369</v>
      </c>
      <c r="E18" s="674">
        <v>30</v>
      </c>
      <c r="F18" s="675">
        <v>0.03</v>
      </c>
      <c r="G18" s="676">
        <v>2502780</v>
      </c>
      <c r="H18" s="929">
        <v>82591.740000000034</v>
      </c>
      <c r="I18" s="929">
        <v>247775.22000000003</v>
      </c>
      <c r="J18" s="689">
        <f t="shared" si="0"/>
        <v>2255004.7799999998</v>
      </c>
    </row>
    <row r="19" spans="1:10" ht="12.75" customHeight="1" x14ac:dyDescent="0.2">
      <c r="A19" s="681">
        <v>1233</v>
      </c>
      <c r="B19" s="693">
        <v>55</v>
      </c>
      <c r="C19" s="672" t="s">
        <v>1281</v>
      </c>
      <c r="D19" s="673">
        <v>42369</v>
      </c>
      <c r="E19" s="674">
        <v>30</v>
      </c>
      <c r="F19" s="675">
        <v>0.03</v>
      </c>
      <c r="G19" s="676">
        <v>3261140</v>
      </c>
      <c r="H19" s="929">
        <v>107617.61999999998</v>
      </c>
      <c r="I19" s="929">
        <v>322852.86</v>
      </c>
      <c r="J19" s="689">
        <f t="shared" si="0"/>
        <v>2938287.14</v>
      </c>
    </row>
    <row r="20" spans="1:10" ht="12.75" customHeight="1" x14ac:dyDescent="0.2">
      <c r="A20" s="681">
        <v>1233</v>
      </c>
      <c r="B20" s="693">
        <v>313</v>
      </c>
      <c r="C20" s="672" t="s">
        <v>1282</v>
      </c>
      <c r="D20" s="673">
        <v>42369</v>
      </c>
      <c r="E20" s="674">
        <v>30</v>
      </c>
      <c r="F20" s="675">
        <v>0.03</v>
      </c>
      <c r="G20" s="676">
        <v>4819699</v>
      </c>
      <c r="H20" s="929">
        <v>159050.06700000001</v>
      </c>
      <c r="I20" s="929">
        <v>477150.201</v>
      </c>
      <c r="J20" s="689">
        <f t="shared" si="0"/>
        <v>4342548.7989999996</v>
      </c>
    </row>
    <row r="21" spans="1:10" ht="12.75" customHeight="1" x14ac:dyDescent="0.2">
      <c r="A21" s="681">
        <v>1233</v>
      </c>
      <c r="B21" s="693">
        <v>281</v>
      </c>
      <c r="C21" s="672" t="s">
        <v>1283</v>
      </c>
      <c r="D21" s="673">
        <v>42369</v>
      </c>
      <c r="E21" s="674">
        <v>30</v>
      </c>
      <c r="F21" s="675">
        <v>0.03</v>
      </c>
      <c r="G21" s="676">
        <v>7446728</v>
      </c>
      <c r="H21" s="929">
        <v>245742.02400000006</v>
      </c>
      <c r="I21" s="929">
        <v>737226.07200000004</v>
      </c>
      <c r="J21" s="689">
        <f t="shared" si="0"/>
        <v>6709501.9280000003</v>
      </c>
    </row>
    <row r="22" spans="1:10" ht="12.75" customHeight="1" x14ac:dyDescent="0.2">
      <c r="A22" s="681">
        <v>1233</v>
      </c>
      <c r="B22" s="693">
        <v>131</v>
      </c>
      <c r="C22" s="672" t="s">
        <v>1284</v>
      </c>
      <c r="D22" s="673">
        <v>42369</v>
      </c>
      <c r="E22" s="674">
        <v>30</v>
      </c>
      <c r="F22" s="675">
        <v>0.03</v>
      </c>
      <c r="G22" s="676">
        <v>2827593.92</v>
      </c>
      <c r="H22" s="929">
        <v>93310.599359999993</v>
      </c>
      <c r="I22" s="929">
        <v>279931.79807999998</v>
      </c>
      <c r="J22" s="689">
        <f t="shared" si="0"/>
        <v>2547662.1219199998</v>
      </c>
    </row>
    <row r="23" spans="1:10" ht="12.75" customHeight="1" x14ac:dyDescent="0.2">
      <c r="A23" s="681">
        <v>1233</v>
      </c>
      <c r="B23" s="693">
        <v>495</v>
      </c>
      <c r="C23" s="672" t="s">
        <v>1285</v>
      </c>
      <c r="D23" s="673">
        <v>42369</v>
      </c>
      <c r="E23" s="674">
        <v>30</v>
      </c>
      <c r="F23" s="675">
        <v>0.03</v>
      </c>
      <c r="G23" s="676">
        <v>7243179.9100000001</v>
      </c>
      <c r="H23" s="929">
        <v>239024.93703000003</v>
      </c>
      <c r="I23" s="929">
        <v>717074.81158500002</v>
      </c>
      <c r="J23" s="689">
        <f t="shared" si="0"/>
        <v>6526105.0984150004</v>
      </c>
    </row>
    <row r="24" spans="1:10" ht="12.75" customHeight="1" x14ac:dyDescent="0.2">
      <c r="A24" s="681">
        <v>1233</v>
      </c>
      <c r="B24" s="693">
        <v>297</v>
      </c>
      <c r="C24" s="672" t="s">
        <v>1383</v>
      </c>
      <c r="D24" s="673">
        <v>42369</v>
      </c>
      <c r="E24" s="674">
        <v>30</v>
      </c>
      <c r="F24" s="675">
        <v>0.03</v>
      </c>
      <c r="G24" s="676">
        <v>140448</v>
      </c>
      <c r="H24" s="929">
        <v>4634.7840000000006</v>
      </c>
      <c r="I24" s="929">
        <v>13904.347999999998</v>
      </c>
      <c r="J24" s="689">
        <f t="shared" si="0"/>
        <v>126543.652</v>
      </c>
    </row>
    <row r="25" spans="1:10" ht="12.75" customHeight="1" x14ac:dyDescent="0.2">
      <c r="A25" s="681">
        <v>1233</v>
      </c>
      <c r="B25" s="693">
        <v>77</v>
      </c>
      <c r="C25" s="672" t="s">
        <v>1582</v>
      </c>
      <c r="D25" s="673">
        <v>42369</v>
      </c>
      <c r="E25" s="674">
        <v>30</v>
      </c>
      <c r="F25" s="675">
        <v>0.03</v>
      </c>
      <c r="G25" s="676">
        <v>30.44</v>
      </c>
      <c r="H25" s="929">
        <v>1.0045199999999999</v>
      </c>
      <c r="I25" s="929">
        <v>3.01614</v>
      </c>
      <c r="J25" s="689">
        <f t="shared" si="0"/>
        <v>27.423860000000001</v>
      </c>
    </row>
    <row r="26" spans="1:10" ht="12.75" customHeight="1" x14ac:dyDescent="0.2">
      <c r="A26" s="681">
        <v>1233</v>
      </c>
      <c r="B26" s="693">
        <v>76</v>
      </c>
      <c r="C26" s="672" t="s">
        <v>1583</v>
      </c>
      <c r="D26" s="673">
        <v>42369</v>
      </c>
      <c r="E26" s="674">
        <v>30</v>
      </c>
      <c r="F26" s="675">
        <v>0.03</v>
      </c>
      <c r="G26" s="676">
        <v>22.16</v>
      </c>
      <c r="H26" s="929">
        <v>0.73128000000000004</v>
      </c>
      <c r="I26" s="929">
        <v>2.1919599999999999</v>
      </c>
      <c r="J26" s="689">
        <f t="shared" si="0"/>
        <v>19.968040000000002</v>
      </c>
    </row>
    <row r="27" spans="1:10" ht="12.75" customHeight="1" x14ac:dyDescent="0.2">
      <c r="A27" s="681">
        <v>1233</v>
      </c>
      <c r="B27" s="693">
        <v>78</v>
      </c>
      <c r="C27" s="672" t="s">
        <v>1584</v>
      </c>
      <c r="D27" s="673">
        <v>42369</v>
      </c>
      <c r="E27" s="674">
        <v>30</v>
      </c>
      <c r="F27" s="675">
        <v>0.03</v>
      </c>
      <c r="G27" s="676">
        <v>78.94</v>
      </c>
      <c r="H27" s="929">
        <v>2.6050200000000001</v>
      </c>
      <c r="I27" s="929">
        <v>7.8108900000000006</v>
      </c>
      <c r="J27" s="689">
        <f t="shared" si="0"/>
        <v>71.129109999999997</v>
      </c>
    </row>
    <row r="28" spans="1:10" ht="12.75" customHeight="1" x14ac:dyDescent="0.2">
      <c r="A28" s="681">
        <v>1233</v>
      </c>
      <c r="B28" s="693">
        <v>74</v>
      </c>
      <c r="C28" s="672" t="s">
        <v>1585</v>
      </c>
      <c r="D28" s="673">
        <v>42369</v>
      </c>
      <c r="E28" s="674">
        <v>30</v>
      </c>
      <c r="F28" s="675">
        <v>0.03</v>
      </c>
      <c r="G28" s="676">
        <v>67.02</v>
      </c>
      <c r="H28" s="929">
        <v>2.2116599999999997</v>
      </c>
      <c r="I28" s="929">
        <v>6.6363700000000012</v>
      </c>
      <c r="J28" s="689">
        <f t="shared" si="0"/>
        <v>60.383629999999997</v>
      </c>
    </row>
    <row r="29" spans="1:10" ht="12.75" customHeight="1" x14ac:dyDescent="0.2">
      <c r="A29" s="681">
        <v>1233</v>
      </c>
      <c r="B29" s="693">
        <v>73</v>
      </c>
      <c r="C29" s="672" t="s">
        <v>1586</v>
      </c>
      <c r="D29" s="673">
        <v>42369</v>
      </c>
      <c r="E29" s="674">
        <v>30</v>
      </c>
      <c r="F29" s="675">
        <v>0.03</v>
      </c>
      <c r="G29" s="676">
        <v>116.16</v>
      </c>
      <c r="H29" s="929">
        <v>3.8332800000000007</v>
      </c>
      <c r="I29" s="929">
        <v>11.500960000000001</v>
      </c>
      <c r="J29" s="689">
        <f t="shared" si="0"/>
        <v>104.65903999999999</v>
      </c>
    </row>
    <row r="30" spans="1:10" ht="12.75" customHeight="1" x14ac:dyDescent="0.2">
      <c r="A30" s="681">
        <v>1233</v>
      </c>
      <c r="B30" s="693">
        <v>75</v>
      </c>
      <c r="C30" s="672" t="s">
        <v>1587</v>
      </c>
      <c r="D30" s="673">
        <v>42369</v>
      </c>
      <c r="E30" s="674">
        <v>30</v>
      </c>
      <c r="F30" s="675">
        <v>0.03</v>
      </c>
      <c r="G30" s="676">
        <v>176.55</v>
      </c>
      <c r="H30" s="929">
        <v>5.8261500000000019</v>
      </c>
      <c r="I30" s="929">
        <v>17.477425000000004</v>
      </c>
      <c r="J30" s="689">
        <f t="shared" si="0"/>
        <v>159.072575</v>
      </c>
    </row>
    <row r="31" spans="1:10" ht="12.75" customHeight="1" x14ac:dyDescent="0.2">
      <c r="A31" s="681">
        <v>1233</v>
      </c>
      <c r="B31" s="693">
        <v>255</v>
      </c>
      <c r="C31" s="672" t="s">
        <v>7461</v>
      </c>
      <c r="D31" s="673">
        <v>42369</v>
      </c>
      <c r="E31" s="674">
        <v>30</v>
      </c>
      <c r="F31" s="675">
        <v>0.03</v>
      </c>
      <c r="G31" s="676">
        <v>393676</v>
      </c>
      <c r="H31" s="929">
        <v>12991.308000000003</v>
      </c>
      <c r="I31" s="929">
        <v>38973.926000000007</v>
      </c>
      <c r="J31" s="689">
        <f t="shared" si="0"/>
        <v>354702.07400000002</v>
      </c>
    </row>
    <row r="32" spans="1:10" ht="12.75" customHeight="1" x14ac:dyDescent="0.2">
      <c r="A32" s="681">
        <v>1233</v>
      </c>
      <c r="B32" s="693">
        <v>68</v>
      </c>
      <c r="C32" s="672" t="s">
        <v>1590</v>
      </c>
      <c r="D32" s="673">
        <v>42369</v>
      </c>
      <c r="E32" s="674">
        <v>30</v>
      </c>
      <c r="F32" s="675">
        <v>0.03</v>
      </c>
      <c r="G32" s="676">
        <v>879398.40000000002</v>
      </c>
      <c r="H32" s="929">
        <v>29020.147200000003</v>
      </c>
      <c r="I32" s="929">
        <v>87060.440400000007</v>
      </c>
      <c r="J32" s="689">
        <f t="shared" si="0"/>
        <v>792337.95960000006</v>
      </c>
    </row>
    <row r="33" spans="1:10" ht="12.75" customHeight="1" x14ac:dyDescent="0.2">
      <c r="A33" s="681">
        <v>1233</v>
      </c>
      <c r="B33" s="693">
        <v>525</v>
      </c>
      <c r="C33" s="672" t="s">
        <v>1591</v>
      </c>
      <c r="D33" s="673">
        <v>42369</v>
      </c>
      <c r="E33" s="674">
        <v>30</v>
      </c>
      <c r="F33" s="675">
        <v>0.03</v>
      </c>
      <c r="G33" s="676">
        <v>271336.15000000002</v>
      </c>
      <c r="H33" s="929">
        <v>8954.0929500000038</v>
      </c>
      <c r="I33" s="929">
        <v>26862.280025000007</v>
      </c>
      <c r="J33" s="689">
        <f t="shared" si="0"/>
        <v>244473.86997500001</v>
      </c>
    </row>
    <row r="34" spans="1:10" ht="12.75" customHeight="1" x14ac:dyDescent="0.2">
      <c r="A34" s="681">
        <v>1233</v>
      </c>
      <c r="B34" s="693">
        <v>18</v>
      </c>
      <c r="C34" s="672" t="s">
        <v>1592</v>
      </c>
      <c r="D34" s="673">
        <v>42369</v>
      </c>
      <c r="E34" s="674">
        <v>30</v>
      </c>
      <c r="F34" s="675">
        <v>0.03</v>
      </c>
      <c r="G34" s="676">
        <v>370400</v>
      </c>
      <c r="H34" s="929">
        <v>12223.200000000003</v>
      </c>
      <c r="I34" s="929">
        <v>36669.600000000006</v>
      </c>
      <c r="J34" s="689">
        <f t="shared" si="0"/>
        <v>333730.40000000002</v>
      </c>
    </row>
    <row r="35" spans="1:10" ht="12.75" customHeight="1" x14ac:dyDescent="0.2">
      <c r="A35" s="681">
        <v>1233</v>
      </c>
      <c r="B35" s="693">
        <v>38</v>
      </c>
      <c r="C35" s="672" t="s">
        <v>1593</v>
      </c>
      <c r="D35" s="673">
        <v>42369</v>
      </c>
      <c r="E35" s="674">
        <v>30</v>
      </c>
      <c r="F35" s="675">
        <v>0.03</v>
      </c>
      <c r="G35" s="676">
        <v>1990731.94</v>
      </c>
      <c r="H35" s="929">
        <v>65694.154020000002</v>
      </c>
      <c r="I35" s="929">
        <v>197082.46639000002</v>
      </c>
      <c r="J35" s="689">
        <f t="shared" si="0"/>
        <v>1793649.47361</v>
      </c>
    </row>
    <row r="36" spans="1:10" ht="12.75" customHeight="1" x14ac:dyDescent="0.2">
      <c r="A36" s="681">
        <v>1233</v>
      </c>
      <c r="B36" s="693">
        <v>63</v>
      </c>
      <c r="C36" s="672" t="s">
        <v>1594</v>
      </c>
      <c r="D36" s="673">
        <v>42369</v>
      </c>
      <c r="E36" s="674">
        <v>30</v>
      </c>
      <c r="F36" s="675">
        <v>0.03</v>
      </c>
      <c r="G36" s="676">
        <v>640500</v>
      </c>
      <c r="H36" s="929">
        <v>21136.500000000004</v>
      </c>
      <c r="I36" s="929">
        <v>63409.5</v>
      </c>
      <c r="J36" s="689">
        <f t="shared" si="0"/>
        <v>577090.5</v>
      </c>
    </row>
    <row r="37" spans="1:10" ht="12.75" customHeight="1" x14ac:dyDescent="0.2">
      <c r="A37" s="681">
        <v>1233</v>
      </c>
      <c r="B37" s="693">
        <v>528</v>
      </c>
      <c r="C37" s="672" t="s">
        <v>1595</v>
      </c>
      <c r="D37" s="673">
        <v>42369</v>
      </c>
      <c r="E37" s="674">
        <v>30</v>
      </c>
      <c r="F37" s="675">
        <v>0.03</v>
      </c>
      <c r="G37" s="676">
        <v>798241.85</v>
      </c>
      <c r="H37" s="929">
        <v>26341.981050000006</v>
      </c>
      <c r="I37" s="929">
        <v>79025.942975000013</v>
      </c>
      <c r="J37" s="689">
        <f t="shared" si="0"/>
        <v>719215.90702499996</v>
      </c>
    </row>
    <row r="38" spans="1:10" ht="12.75" customHeight="1" x14ac:dyDescent="0.2">
      <c r="A38" s="681">
        <v>1233</v>
      </c>
      <c r="B38" s="693">
        <v>489</v>
      </c>
      <c r="C38" s="672" t="s">
        <v>1596</v>
      </c>
      <c r="D38" s="673">
        <v>42369</v>
      </c>
      <c r="E38" s="674">
        <v>30</v>
      </c>
      <c r="F38" s="675">
        <v>0.03</v>
      </c>
      <c r="G38" s="676">
        <v>951011.75</v>
      </c>
      <c r="H38" s="929">
        <v>31383.387749999998</v>
      </c>
      <c r="I38" s="929">
        <v>94150.158624999996</v>
      </c>
      <c r="J38" s="689">
        <f t="shared" si="0"/>
        <v>856861.59137499996</v>
      </c>
    </row>
    <row r="39" spans="1:10" ht="12.75" customHeight="1" x14ac:dyDescent="0.2">
      <c r="A39" s="681">
        <v>1233</v>
      </c>
      <c r="B39" s="693">
        <v>164</v>
      </c>
      <c r="C39" s="672" t="s">
        <v>1597</v>
      </c>
      <c r="D39" s="673">
        <v>42369</v>
      </c>
      <c r="E39" s="674">
        <v>30</v>
      </c>
      <c r="F39" s="675">
        <v>0.03</v>
      </c>
      <c r="G39" s="676">
        <v>1016360.35</v>
      </c>
      <c r="H39" s="929">
        <v>33539.89155</v>
      </c>
      <c r="I39" s="929">
        <v>100619.672725</v>
      </c>
      <c r="J39" s="689">
        <f t="shared" si="0"/>
        <v>915740.67727500002</v>
      </c>
    </row>
    <row r="40" spans="1:10" ht="12.75" customHeight="1" x14ac:dyDescent="0.2">
      <c r="A40" s="681">
        <v>1233</v>
      </c>
      <c r="B40" s="693">
        <v>166</v>
      </c>
      <c r="C40" s="672" t="s">
        <v>1598</v>
      </c>
      <c r="D40" s="673">
        <v>42369</v>
      </c>
      <c r="E40" s="674">
        <v>30</v>
      </c>
      <c r="F40" s="675">
        <v>0.03</v>
      </c>
      <c r="G40" s="676">
        <v>1183098.5</v>
      </c>
      <c r="H40" s="929">
        <v>39042.250500000009</v>
      </c>
      <c r="I40" s="929">
        <v>117126.74975</v>
      </c>
      <c r="J40" s="689">
        <f t="shared" si="0"/>
        <v>1065971.75025</v>
      </c>
    </row>
    <row r="41" spans="1:10" ht="12.75" customHeight="1" x14ac:dyDescent="0.2">
      <c r="A41" s="681">
        <v>1233</v>
      </c>
      <c r="B41" s="693">
        <v>58</v>
      </c>
      <c r="C41" s="672" t="s">
        <v>1599</v>
      </c>
      <c r="D41" s="673">
        <v>42369</v>
      </c>
      <c r="E41" s="674">
        <v>30</v>
      </c>
      <c r="F41" s="675">
        <v>0.03</v>
      </c>
      <c r="G41" s="676">
        <v>4075360</v>
      </c>
      <c r="H41" s="929">
        <v>134486.88000000003</v>
      </c>
      <c r="I41" s="929">
        <v>403460.64</v>
      </c>
      <c r="J41" s="689">
        <f t="shared" si="0"/>
        <v>3671899.36</v>
      </c>
    </row>
    <row r="42" spans="1:10" ht="12.75" customHeight="1" x14ac:dyDescent="0.2">
      <c r="A42" s="681">
        <v>1233</v>
      </c>
      <c r="B42" s="693">
        <v>404</v>
      </c>
      <c r="C42" s="672" t="s">
        <v>7462</v>
      </c>
      <c r="D42" s="673">
        <v>42369</v>
      </c>
      <c r="E42" s="674">
        <v>30</v>
      </c>
      <c r="F42" s="675">
        <v>0.03</v>
      </c>
      <c r="G42" s="676">
        <v>1949374</v>
      </c>
      <c r="H42" s="929">
        <v>64329.342000000004</v>
      </c>
      <c r="I42" s="929">
        <v>192988.02900000001</v>
      </c>
      <c r="J42" s="689">
        <f t="shared" si="0"/>
        <v>1756385.9709999999</v>
      </c>
    </row>
    <row r="43" spans="1:10" ht="12.75" customHeight="1" x14ac:dyDescent="0.2">
      <c r="A43" s="681">
        <v>1233</v>
      </c>
      <c r="B43" s="693">
        <v>411</v>
      </c>
      <c r="C43" s="672" t="s">
        <v>1601</v>
      </c>
      <c r="D43" s="673">
        <v>42369</v>
      </c>
      <c r="E43" s="674">
        <v>30</v>
      </c>
      <c r="F43" s="675">
        <v>0.03</v>
      </c>
      <c r="G43" s="676">
        <v>7035202.2599999998</v>
      </c>
      <c r="H43" s="929">
        <v>232161.67457999996</v>
      </c>
      <c r="I43" s="929">
        <v>696485.02130999998</v>
      </c>
      <c r="J43" s="689">
        <f t="shared" si="0"/>
        <v>6338717.23869</v>
      </c>
    </row>
    <row r="44" spans="1:10" ht="12.75" customHeight="1" x14ac:dyDescent="0.2">
      <c r="A44" s="681">
        <v>1233</v>
      </c>
      <c r="B44" s="693">
        <v>522</v>
      </c>
      <c r="C44" s="672" t="s">
        <v>1602</v>
      </c>
      <c r="D44" s="673">
        <v>42369</v>
      </c>
      <c r="E44" s="674">
        <v>30</v>
      </c>
      <c r="F44" s="675">
        <v>0.03</v>
      </c>
      <c r="G44" s="676">
        <v>1723206.85</v>
      </c>
      <c r="H44" s="929">
        <v>56865.826050000025</v>
      </c>
      <c r="I44" s="929">
        <v>170597.48047500002</v>
      </c>
      <c r="J44" s="689">
        <f t="shared" si="0"/>
        <v>1552609.369525</v>
      </c>
    </row>
    <row r="45" spans="1:10" ht="12.75" customHeight="1" x14ac:dyDescent="0.2">
      <c r="A45" s="681">
        <v>1233</v>
      </c>
      <c r="B45" s="693">
        <v>163</v>
      </c>
      <c r="C45" s="672" t="s">
        <v>1603</v>
      </c>
      <c r="D45" s="673">
        <v>42369</v>
      </c>
      <c r="E45" s="674">
        <v>30</v>
      </c>
      <c r="F45" s="675">
        <v>0.03</v>
      </c>
      <c r="G45" s="676">
        <v>1984259.3</v>
      </c>
      <c r="H45" s="929">
        <v>65480.556900000003</v>
      </c>
      <c r="I45" s="929">
        <v>196441.67455</v>
      </c>
      <c r="J45" s="689">
        <f t="shared" si="0"/>
        <v>1787817.6254500002</v>
      </c>
    </row>
    <row r="46" spans="1:10" ht="12.75" customHeight="1" x14ac:dyDescent="0.2">
      <c r="A46" s="681">
        <v>1233</v>
      </c>
      <c r="B46" s="693">
        <v>167</v>
      </c>
      <c r="C46" s="672" t="s">
        <v>1604</v>
      </c>
      <c r="D46" s="673">
        <v>42369</v>
      </c>
      <c r="E46" s="674">
        <v>30</v>
      </c>
      <c r="F46" s="675">
        <v>0.03</v>
      </c>
      <c r="G46" s="676">
        <v>2349477.2999999998</v>
      </c>
      <c r="H46" s="929">
        <v>77532.750900000014</v>
      </c>
      <c r="I46" s="929">
        <v>232598.25755000001</v>
      </c>
      <c r="J46" s="689">
        <f t="shared" si="0"/>
        <v>2116879.0424499996</v>
      </c>
    </row>
    <row r="47" spans="1:10" ht="12.75" customHeight="1" x14ac:dyDescent="0.2">
      <c r="A47" s="681">
        <v>1233</v>
      </c>
      <c r="B47" s="693">
        <v>509</v>
      </c>
      <c r="C47" s="672" t="s">
        <v>1605</v>
      </c>
      <c r="D47" s="673">
        <v>42369</v>
      </c>
      <c r="E47" s="674">
        <v>30</v>
      </c>
      <c r="F47" s="675">
        <v>0.03</v>
      </c>
      <c r="G47" s="676">
        <v>2649732.5</v>
      </c>
      <c r="H47" s="929">
        <v>87441.172500000001</v>
      </c>
      <c r="I47" s="929">
        <v>262323.51874999999</v>
      </c>
      <c r="J47" s="689">
        <f t="shared" si="0"/>
        <v>2387408.9812500002</v>
      </c>
    </row>
    <row r="48" spans="1:10" ht="12.75" customHeight="1" x14ac:dyDescent="0.2">
      <c r="A48" s="681">
        <v>1233</v>
      </c>
      <c r="B48" s="693">
        <v>396</v>
      </c>
      <c r="C48" s="672" t="s">
        <v>7463</v>
      </c>
      <c r="D48" s="673">
        <v>42369</v>
      </c>
      <c r="E48" s="674">
        <v>30</v>
      </c>
      <c r="F48" s="675">
        <v>0.03</v>
      </c>
      <c r="G48" s="676">
        <v>2024130</v>
      </c>
      <c r="H48" s="929">
        <v>66796.289999999994</v>
      </c>
      <c r="I48" s="929">
        <v>200388.875</v>
      </c>
      <c r="J48" s="689">
        <f t="shared" si="0"/>
        <v>1823741.125</v>
      </c>
    </row>
    <row r="49" spans="1:10" ht="12.75" customHeight="1" x14ac:dyDescent="0.2">
      <c r="A49" s="681">
        <v>1233</v>
      </c>
      <c r="B49" s="693">
        <v>634</v>
      </c>
      <c r="C49" s="672" t="s">
        <v>1607</v>
      </c>
      <c r="D49" s="673">
        <v>42369</v>
      </c>
      <c r="E49" s="674">
        <v>30</v>
      </c>
      <c r="F49" s="675">
        <v>0.03</v>
      </c>
      <c r="G49" s="676">
        <v>2507062.9900000002</v>
      </c>
      <c r="H49" s="929">
        <v>82733.078670000017</v>
      </c>
      <c r="I49" s="929">
        <v>248199.23956500005</v>
      </c>
      <c r="J49" s="689">
        <f t="shared" si="0"/>
        <v>2258863.7504350003</v>
      </c>
    </row>
    <row r="50" spans="1:10" ht="12.75" customHeight="1" x14ac:dyDescent="0.2">
      <c r="A50" s="681">
        <v>1233</v>
      </c>
      <c r="B50" s="693">
        <v>162</v>
      </c>
      <c r="C50" s="672" t="s">
        <v>1608</v>
      </c>
      <c r="D50" s="673">
        <v>42369</v>
      </c>
      <c r="E50" s="674">
        <v>30</v>
      </c>
      <c r="F50" s="675">
        <v>0.03</v>
      </c>
      <c r="G50" s="676">
        <v>3814091.25</v>
      </c>
      <c r="H50" s="929">
        <v>125865.01125000004</v>
      </c>
      <c r="I50" s="929">
        <v>377595.03187500004</v>
      </c>
      <c r="J50" s="689">
        <f t="shared" si="0"/>
        <v>3436496.2181250001</v>
      </c>
    </row>
    <row r="51" spans="1:10" ht="12.75" customHeight="1" x14ac:dyDescent="0.2">
      <c r="A51" s="681">
        <v>1233</v>
      </c>
      <c r="B51" s="693">
        <v>280</v>
      </c>
      <c r="C51" s="672" t="s">
        <v>1609</v>
      </c>
      <c r="D51" s="673">
        <v>42369</v>
      </c>
      <c r="E51" s="674">
        <v>30</v>
      </c>
      <c r="F51" s="675">
        <v>0.03</v>
      </c>
      <c r="G51" s="676">
        <v>3363668.83</v>
      </c>
      <c r="H51" s="929">
        <v>111001.07139000004</v>
      </c>
      <c r="I51" s="929">
        <v>333003.21560500003</v>
      </c>
      <c r="J51" s="689">
        <f t="shared" si="0"/>
        <v>3030665.614395</v>
      </c>
    </row>
    <row r="52" spans="1:10" ht="12.75" customHeight="1" x14ac:dyDescent="0.2">
      <c r="A52" s="681">
        <v>1233</v>
      </c>
      <c r="B52" s="693">
        <v>496</v>
      </c>
      <c r="C52" s="672" t="s">
        <v>1610</v>
      </c>
      <c r="D52" s="673">
        <v>42369</v>
      </c>
      <c r="E52" s="674">
        <v>30</v>
      </c>
      <c r="F52" s="675">
        <v>0.03</v>
      </c>
      <c r="G52" s="676">
        <v>2969176.63</v>
      </c>
      <c r="H52" s="929">
        <v>97982.828790000014</v>
      </c>
      <c r="I52" s="929">
        <v>293948.48490500002</v>
      </c>
      <c r="J52" s="689">
        <f t="shared" si="0"/>
        <v>2675228.145095</v>
      </c>
    </row>
    <row r="53" spans="1:10" ht="12.75" customHeight="1" x14ac:dyDescent="0.2">
      <c r="A53" s="681">
        <v>1233</v>
      </c>
      <c r="B53" s="693">
        <v>333</v>
      </c>
      <c r="C53" s="672" t="s">
        <v>1611</v>
      </c>
      <c r="D53" s="673">
        <v>42369</v>
      </c>
      <c r="E53" s="674">
        <v>30</v>
      </c>
      <c r="F53" s="675">
        <v>0.03</v>
      </c>
      <c r="G53" s="676">
        <v>3573594.46</v>
      </c>
      <c r="H53" s="929">
        <v>117928.61717999999</v>
      </c>
      <c r="I53" s="929">
        <v>353785.85200999997</v>
      </c>
      <c r="J53" s="689">
        <f t="shared" si="0"/>
        <v>3219808.6079899999</v>
      </c>
    </row>
    <row r="54" spans="1:10" ht="12.75" customHeight="1" x14ac:dyDescent="0.2">
      <c r="A54" s="681">
        <v>1233</v>
      </c>
      <c r="B54" s="693">
        <v>60</v>
      </c>
      <c r="C54" s="672" t="s">
        <v>1612</v>
      </c>
      <c r="D54" s="673">
        <v>42369</v>
      </c>
      <c r="E54" s="674">
        <v>30</v>
      </c>
      <c r="F54" s="675">
        <v>0.03</v>
      </c>
      <c r="G54" s="676">
        <v>4366700</v>
      </c>
      <c r="H54" s="929">
        <v>144101.1</v>
      </c>
      <c r="I54" s="929">
        <v>432303.30000000005</v>
      </c>
      <c r="J54" s="689">
        <f t="shared" si="0"/>
        <v>3934396.7</v>
      </c>
    </row>
    <row r="55" spans="1:10" ht="12.75" customHeight="1" x14ac:dyDescent="0.2">
      <c r="A55" s="681">
        <v>1233</v>
      </c>
      <c r="B55" s="693">
        <v>51</v>
      </c>
      <c r="C55" s="672" t="s">
        <v>1613</v>
      </c>
      <c r="D55" s="673">
        <v>42369</v>
      </c>
      <c r="E55" s="674">
        <v>30</v>
      </c>
      <c r="F55" s="675">
        <v>0.03</v>
      </c>
      <c r="G55" s="676">
        <v>8573716.8000000007</v>
      </c>
      <c r="H55" s="929">
        <v>282932.65440000006</v>
      </c>
      <c r="I55" s="929">
        <v>848797.96080000023</v>
      </c>
      <c r="J55" s="689">
        <f t="shared" si="0"/>
        <v>7724918.8392000003</v>
      </c>
    </row>
    <row r="56" spans="1:10" ht="12.75" customHeight="1" x14ac:dyDescent="0.2">
      <c r="A56" s="681">
        <v>1233</v>
      </c>
      <c r="B56" s="693">
        <v>3</v>
      </c>
      <c r="C56" s="672" t="s">
        <v>1614</v>
      </c>
      <c r="D56" s="673">
        <v>42369</v>
      </c>
      <c r="E56" s="674">
        <v>30</v>
      </c>
      <c r="F56" s="675">
        <v>0.03</v>
      </c>
      <c r="G56" s="676">
        <v>7106455</v>
      </c>
      <c r="H56" s="929">
        <v>234513.01500000001</v>
      </c>
      <c r="I56" s="929">
        <v>703539.0425000001</v>
      </c>
      <c r="J56" s="689">
        <f t="shared" si="0"/>
        <v>6402915.9574999996</v>
      </c>
    </row>
    <row r="57" spans="1:10" ht="12.75" customHeight="1" x14ac:dyDescent="0.2">
      <c r="A57" s="681">
        <v>1233</v>
      </c>
      <c r="B57" s="693">
        <v>520</v>
      </c>
      <c r="C57" s="672" t="s">
        <v>1615</v>
      </c>
      <c r="D57" s="673">
        <v>42369</v>
      </c>
      <c r="E57" s="674">
        <v>30</v>
      </c>
      <c r="F57" s="675">
        <v>0.03</v>
      </c>
      <c r="G57" s="676">
        <v>6273258.96</v>
      </c>
      <c r="H57" s="929">
        <v>207017.5456800001</v>
      </c>
      <c r="I57" s="929">
        <v>621052.61276000005</v>
      </c>
      <c r="J57" s="689">
        <f t="shared" si="0"/>
        <v>5652206.34724</v>
      </c>
    </row>
    <row r="58" spans="1:10" ht="12.75" customHeight="1" x14ac:dyDescent="0.2">
      <c r="A58" s="681">
        <v>1233</v>
      </c>
      <c r="B58" s="693">
        <v>412</v>
      </c>
      <c r="C58" s="672" t="s">
        <v>1616</v>
      </c>
      <c r="D58" s="673">
        <v>42369</v>
      </c>
      <c r="E58" s="674">
        <v>30</v>
      </c>
      <c r="F58" s="675">
        <v>0.03</v>
      </c>
      <c r="G58" s="676">
        <v>10780872.68</v>
      </c>
      <c r="H58" s="929">
        <v>355768.79844000004</v>
      </c>
      <c r="I58" s="929">
        <v>1067306.3955800002</v>
      </c>
      <c r="J58" s="689">
        <f t="shared" si="0"/>
        <v>9713566.2844199985</v>
      </c>
    </row>
    <row r="59" spans="1:10" ht="12.75" customHeight="1" x14ac:dyDescent="0.2">
      <c r="A59" s="681">
        <v>1233</v>
      </c>
      <c r="B59" s="693">
        <v>165</v>
      </c>
      <c r="C59" s="672" t="s">
        <v>1617</v>
      </c>
      <c r="D59" s="673">
        <v>42369</v>
      </c>
      <c r="E59" s="674">
        <v>30</v>
      </c>
      <c r="F59" s="675">
        <v>0.03</v>
      </c>
      <c r="G59" s="676">
        <v>12674999.25</v>
      </c>
      <c r="H59" s="929">
        <v>418274.97525000008</v>
      </c>
      <c r="I59" s="929">
        <v>1254824.9298750001</v>
      </c>
      <c r="J59" s="689">
        <f t="shared" si="0"/>
        <v>11420174.320125001</v>
      </c>
    </row>
    <row r="60" spans="1:10" ht="12.75" customHeight="1" x14ac:dyDescent="0.2">
      <c r="A60" s="681">
        <v>1233</v>
      </c>
      <c r="B60" s="693">
        <v>59</v>
      </c>
      <c r="C60" s="672" t="s">
        <v>1618</v>
      </c>
      <c r="D60" s="673">
        <v>42369</v>
      </c>
      <c r="E60" s="674">
        <v>30</v>
      </c>
      <c r="F60" s="675">
        <v>0.03</v>
      </c>
      <c r="G60" s="676">
        <v>14248290</v>
      </c>
      <c r="H60" s="929">
        <v>470193.56999999989</v>
      </c>
      <c r="I60" s="929">
        <v>1410580.7149999999</v>
      </c>
      <c r="J60" s="689">
        <f t="shared" si="0"/>
        <v>12837709.285</v>
      </c>
    </row>
    <row r="61" spans="1:10" ht="12.75" customHeight="1" x14ac:dyDescent="0.2">
      <c r="A61" s="681">
        <v>1233</v>
      </c>
      <c r="B61" s="693">
        <v>494</v>
      </c>
      <c r="C61" s="672" t="s">
        <v>1619</v>
      </c>
      <c r="D61" s="673">
        <v>42369</v>
      </c>
      <c r="E61" s="674">
        <v>30</v>
      </c>
      <c r="F61" s="675">
        <v>0.03</v>
      </c>
      <c r="G61" s="676">
        <v>15032500</v>
      </c>
      <c r="H61" s="929">
        <v>496072.50000000006</v>
      </c>
      <c r="I61" s="929">
        <v>1488217.49</v>
      </c>
      <c r="J61" s="689">
        <f t="shared" si="0"/>
        <v>13544282.51</v>
      </c>
    </row>
    <row r="62" spans="1:10" ht="12.75" customHeight="1" x14ac:dyDescent="0.2">
      <c r="A62" s="681">
        <v>1233</v>
      </c>
      <c r="B62" s="693">
        <v>62</v>
      </c>
      <c r="C62" s="672" t="s">
        <v>1620</v>
      </c>
      <c r="D62" s="673">
        <v>42369</v>
      </c>
      <c r="E62" s="674">
        <v>30</v>
      </c>
      <c r="F62" s="675">
        <v>0.03</v>
      </c>
      <c r="G62" s="676">
        <v>24709245</v>
      </c>
      <c r="H62" s="929">
        <v>815405.08499999985</v>
      </c>
      <c r="I62" s="929">
        <v>2446215.2475000001</v>
      </c>
      <c r="J62" s="689">
        <f t="shared" si="0"/>
        <v>22263029.752500001</v>
      </c>
    </row>
    <row r="63" spans="1:10" ht="12.75" customHeight="1" x14ac:dyDescent="0.2">
      <c r="A63" s="681">
        <v>1233</v>
      </c>
      <c r="B63" s="693">
        <v>104</v>
      </c>
      <c r="C63" s="672" t="s">
        <v>1661</v>
      </c>
      <c r="D63" s="673">
        <v>42369</v>
      </c>
      <c r="E63" s="674">
        <v>30</v>
      </c>
      <c r="F63" s="675">
        <v>0.03</v>
      </c>
      <c r="G63" s="676">
        <v>336000</v>
      </c>
      <c r="H63" s="929">
        <v>11088.000000000002</v>
      </c>
      <c r="I63" s="929">
        <v>33264</v>
      </c>
      <c r="J63" s="689">
        <f t="shared" si="0"/>
        <v>302736</v>
      </c>
    </row>
    <row r="64" spans="1:10" ht="12.75" customHeight="1" x14ac:dyDescent="0.2">
      <c r="A64" s="681"/>
      <c r="B64" s="693"/>
      <c r="C64" s="672"/>
      <c r="D64" s="673"/>
      <c r="E64" s="674"/>
      <c r="F64" s="675"/>
      <c r="G64" s="676"/>
      <c r="H64" s="929"/>
      <c r="I64" s="929"/>
      <c r="J64" s="689"/>
    </row>
    <row r="65" spans="1:10" ht="12.75" customHeight="1" x14ac:dyDescent="0.2">
      <c r="A65" s="681"/>
      <c r="B65" s="693"/>
      <c r="C65" s="672"/>
      <c r="D65" s="673"/>
      <c r="E65" s="674"/>
      <c r="F65" s="675"/>
      <c r="G65" s="676">
        <f>SUM(G8:G64)</f>
        <v>190994376.73999995</v>
      </c>
      <c r="H65" s="676">
        <f t="shared" ref="H65:J65" si="1">SUM(H8:H64)</f>
        <v>6302814.4324200004</v>
      </c>
      <c r="I65" s="676">
        <f t="shared" si="1"/>
        <v>18908443.272270001</v>
      </c>
      <c r="J65" s="689">
        <f t="shared" si="1"/>
        <v>172085933.46772999</v>
      </c>
    </row>
    <row r="66" spans="1:10" ht="12.75" customHeight="1" x14ac:dyDescent="0.2">
      <c r="A66" s="681"/>
      <c r="B66" s="693"/>
      <c r="C66" s="672"/>
      <c r="D66" s="673"/>
      <c r="E66" s="674"/>
      <c r="F66" s="675"/>
      <c r="G66" s="676"/>
      <c r="H66" s="929"/>
      <c r="I66" s="929"/>
      <c r="J66" s="689"/>
    </row>
    <row r="67" spans="1:10" ht="12.75" customHeight="1" x14ac:dyDescent="0.2">
      <c r="A67" s="681" t="s">
        <v>2370</v>
      </c>
      <c r="B67" s="693" t="s">
        <v>2636</v>
      </c>
      <c r="C67" s="672" t="s">
        <v>785</v>
      </c>
      <c r="D67" s="673">
        <v>36576</v>
      </c>
      <c r="E67" s="674">
        <v>10</v>
      </c>
      <c r="F67" s="675">
        <v>0.1</v>
      </c>
      <c r="G67" s="676">
        <v>1</v>
      </c>
      <c r="H67" s="929">
        <v>0</v>
      </c>
      <c r="I67" s="929">
        <v>0</v>
      </c>
      <c r="J67" s="689">
        <f t="shared" si="0"/>
        <v>1</v>
      </c>
    </row>
    <row r="68" spans="1:10" ht="12.75" customHeight="1" x14ac:dyDescent="0.2">
      <c r="A68" s="681" t="s">
        <v>2370</v>
      </c>
      <c r="B68" s="693" t="s">
        <v>2637</v>
      </c>
      <c r="C68" s="672" t="s">
        <v>785</v>
      </c>
      <c r="D68" s="673">
        <v>38403</v>
      </c>
      <c r="E68" s="674">
        <v>10</v>
      </c>
      <c r="F68" s="675">
        <v>0.1</v>
      </c>
      <c r="G68" s="676">
        <v>1</v>
      </c>
      <c r="H68" s="929">
        <v>0</v>
      </c>
      <c r="I68" s="929">
        <v>0</v>
      </c>
      <c r="J68" s="689">
        <f t="shared" si="0"/>
        <v>1</v>
      </c>
    </row>
    <row r="69" spans="1:10" ht="12.75" customHeight="1" x14ac:dyDescent="0.2">
      <c r="A69" s="681" t="s">
        <v>2370</v>
      </c>
      <c r="B69" s="693" t="s">
        <v>2638</v>
      </c>
      <c r="C69" s="672" t="s">
        <v>787</v>
      </c>
      <c r="D69" s="673">
        <v>38403</v>
      </c>
      <c r="E69" s="674">
        <v>10</v>
      </c>
      <c r="F69" s="675">
        <v>0.1</v>
      </c>
      <c r="G69" s="676">
        <v>1</v>
      </c>
      <c r="H69" s="929">
        <v>0</v>
      </c>
      <c r="I69" s="929">
        <v>0</v>
      </c>
      <c r="J69" s="689">
        <f t="shared" si="0"/>
        <v>1</v>
      </c>
    </row>
    <row r="70" spans="1:10" ht="12.75" customHeight="1" x14ac:dyDescent="0.2">
      <c r="A70" s="681" t="s">
        <v>2370</v>
      </c>
      <c r="B70" s="693" t="s">
        <v>2639</v>
      </c>
      <c r="C70" s="672" t="s">
        <v>785</v>
      </c>
      <c r="D70" s="673">
        <v>36576</v>
      </c>
      <c r="E70" s="674">
        <v>10</v>
      </c>
      <c r="F70" s="675">
        <v>0.1</v>
      </c>
      <c r="G70" s="676">
        <v>1</v>
      </c>
      <c r="H70" s="929">
        <v>0</v>
      </c>
      <c r="I70" s="929">
        <v>0</v>
      </c>
      <c r="J70" s="689">
        <f t="shared" si="0"/>
        <v>1</v>
      </c>
    </row>
    <row r="71" spans="1:10" ht="12.75" customHeight="1" x14ac:dyDescent="0.2">
      <c r="A71" s="681" t="s">
        <v>2370</v>
      </c>
      <c r="B71" s="693" t="s">
        <v>2640</v>
      </c>
      <c r="C71" s="672" t="s">
        <v>785</v>
      </c>
      <c r="D71" s="673">
        <v>36211</v>
      </c>
      <c r="E71" s="674">
        <v>10</v>
      </c>
      <c r="F71" s="675">
        <v>0.1</v>
      </c>
      <c r="G71" s="676">
        <v>1</v>
      </c>
      <c r="H71" s="929">
        <v>0</v>
      </c>
      <c r="I71" s="929">
        <v>0</v>
      </c>
      <c r="J71" s="689">
        <f t="shared" ref="J71:J134" si="2">G71-I71</f>
        <v>1</v>
      </c>
    </row>
    <row r="72" spans="1:10" ht="12.75" customHeight="1" x14ac:dyDescent="0.2">
      <c r="A72" s="681" t="s">
        <v>2370</v>
      </c>
      <c r="B72" s="693" t="s">
        <v>2641</v>
      </c>
      <c r="C72" s="672" t="s">
        <v>794</v>
      </c>
      <c r="D72" s="673">
        <v>39498</v>
      </c>
      <c r="E72" s="674">
        <v>10</v>
      </c>
      <c r="F72" s="675">
        <v>0.1</v>
      </c>
      <c r="G72" s="676">
        <v>1</v>
      </c>
      <c r="H72" s="929">
        <v>0</v>
      </c>
      <c r="I72" s="929">
        <v>0</v>
      </c>
      <c r="J72" s="689">
        <f t="shared" si="2"/>
        <v>1</v>
      </c>
    </row>
    <row r="73" spans="1:10" ht="12.75" customHeight="1" x14ac:dyDescent="0.2">
      <c r="A73" s="681" t="s">
        <v>2370</v>
      </c>
      <c r="B73" s="693" t="s">
        <v>2642</v>
      </c>
      <c r="C73" s="672" t="s">
        <v>787</v>
      </c>
      <c r="D73" s="673">
        <v>37307</v>
      </c>
      <c r="E73" s="674">
        <v>10</v>
      </c>
      <c r="F73" s="675">
        <v>0.1</v>
      </c>
      <c r="G73" s="676">
        <v>1</v>
      </c>
      <c r="H73" s="929">
        <v>0</v>
      </c>
      <c r="I73" s="929">
        <v>0</v>
      </c>
      <c r="J73" s="689">
        <f t="shared" si="2"/>
        <v>1</v>
      </c>
    </row>
    <row r="74" spans="1:10" ht="12.75" customHeight="1" x14ac:dyDescent="0.2">
      <c r="A74" s="681" t="s">
        <v>2370</v>
      </c>
      <c r="B74" s="693" t="s">
        <v>2643</v>
      </c>
      <c r="C74" s="672" t="s">
        <v>785</v>
      </c>
      <c r="D74" s="673">
        <v>39498</v>
      </c>
      <c r="E74" s="674">
        <v>10</v>
      </c>
      <c r="F74" s="675">
        <v>0.1</v>
      </c>
      <c r="G74" s="676">
        <v>1</v>
      </c>
      <c r="H74" s="929">
        <v>0</v>
      </c>
      <c r="I74" s="929">
        <v>0</v>
      </c>
      <c r="J74" s="689">
        <f t="shared" si="2"/>
        <v>1</v>
      </c>
    </row>
    <row r="75" spans="1:10" ht="12.75" customHeight="1" x14ac:dyDescent="0.2">
      <c r="A75" s="681" t="s">
        <v>2370</v>
      </c>
      <c r="B75" s="693" t="s">
        <v>2644</v>
      </c>
      <c r="C75" s="672" t="s">
        <v>791</v>
      </c>
      <c r="D75" s="673">
        <v>36576</v>
      </c>
      <c r="E75" s="674">
        <v>10</v>
      </c>
      <c r="F75" s="675">
        <v>0.1</v>
      </c>
      <c r="G75" s="676">
        <v>1</v>
      </c>
      <c r="H75" s="929">
        <v>0</v>
      </c>
      <c r="I75" s="929">
        <v>0</v>
      </c>
      <c r="J75" s="689">
        <f t="shared" si="2"/>
        <v>1</v>
      </c>
    </row>
    <row r="76" spans="1:10" ht="12.75" customHeight="1" x14ac:dyDescent="0.2">
      <c r="A76" s="681" t="s">
        <v>2370</v>
      </c>
      <c r="B76" s="693" t="s">
        <v>2645</v>
      </c>
      <c r="C76" s="672" t="s">
        <v>786</v>
      </c>
      <c r="D76" s="673">
        <v>39498</v>
      </c>
      <c r="E76" s="674">
        <v>10</v>
      </c>
      <c r="F76" s="675">
        <v>0.1</v>
      </c>
      <c r="G76" s="676">
        <v>1</v>
      </c>
      <c r="H76" s="929">
        <v>0</v>
      </c>
      <c r="I76" s="929">
        <v>0</v>
      </c>
      <c r="J76" s="689">
        <f t="shared" si="2"/>
        <v>1</v>
      </c>
    </row>
    <row r="77" spans="1:10" ht="12.75" customHeight="1" x14ac:dyDescent="0.2">
      <c r="A77" s="681" t="s">
        <v>2370</v>
      </c>
      <c r="B77" s="693" t="s">
        <v>2646</v>
      </c>
      <c r="C77" s="672" t="s">
        <v>791</v>
      </c>
      <c r="D77" s="673">
        <v>32924</v>
      </c>
      <c r="E77" s="674">
        <v>10</v>
      </c>
      <c r="F77" s="675">
        <v>0.1</v>
      </c>
      <c r="G77" s="676">
        <v>1</v>
      </c>
      <c r="H77" s="929">
        <v>0</v>
      </c>
      <c r="I77" s="929">
        <v>0</v>
      </c>
      <c r="J77" s="689">
        <f t="shared" si="2"/>
        <v>1</v>
      </c>
    </row>
    <row r="78" spans="1:10" ht="12.75" customHeight="1" x14ac:dyDescent="0.2">
      <c r="A78" s="681" t="s">
        <v>2370</v>
      </c>
      <c r="B78" s="693" t="s">
        <v>2647</v>
      </c>
      <c r="C78" s="672" t="s">
        <v>790</v>
      </c>
      <c r="D78" s="673">
        <v>38037</v>
      </c>
      <c r="E78" s="674">
        <v>10</v>
      </c>
      <c r="F78" s="675">
        <v>0.1</v>
      </c>
      <c r="G78" s="676">
        <v>1</v>
      </c>
      <c r="H78" s="929">
        <v>0</v>
      </c>
      <c r="I78" s="929">
        <v>0</v>
      </c>
      <c r="J78" s="689">
        <f t="shared" si="2"/>
        <v>1</v>
      </c>
    </row>
    <row r="79" spans="1:10" ht="12.75" customHeight="1" x14ac:dyDescent="0.2">
      <c r="A79" s="681" t="s">
        <v>2370</v>
      </c>
      <c r="B79" s="693" t="s">
        <v>2648</v>
      </c>
      <c r="C79" s="672" t="s">
        <v>790</v>
      </c>
      <c r="D79" s="673">
        <v>37307</v>
      </c>
      <c r="E79" s="674">
        <v>10</v>
      </c>
      <c r="F79" s="675">
        <v>0.1</v>
      </c>
      <c r="G79" s="676">
        <v>1</v>
      </c>
      <c r="H79" s="929">
        <v>0</v>
      </c>
      <c r="I79" s="929">
        <v>0</v>
      </c>
      <c r="J79" s="689">
        <f t="shared" si="2"/>
        <v>1</v>
      </c>
    </row>
    <row r="80" spans="1:10" ht="12.75" customHeight="1" x14ac:dyDescent="0.2">
      <c r="A80" s="681" t="s">
        <v>2370</v>
      </c>
      <c r="B80" s="693" t="s">
        <v>2649</v>
      </c>
      <c r="C80" s="672" t="s">
        <v>790</v>
      </c>
      <c r="D80" s="673">
        <v>37307</v>
      </c>
      <c r="E80" s="674">
        <v>10</v>
      </c>
      <c r="F80" s="675">
        <v>0.1</v>
      </c>
      <c r="G80" s="676">
        <v>1</v>
      </c>
      <c r="H80" s="929">
        <v>0</v>
      </c>
      <c r="I80" s="929">
        <v>0</v>
      </c>
      <c r="J80" s="689">
        <f t="shared" si="2"/>
        <v>1</v>
      </c>
    </row>
    <row r="81" spans="1:10" ht="12.75" customHeight="1" x14ac:dyDescent="0.2">
      <c r="A81" s="681" t="s">
        <v>2370</v>
      </c>
      <c r="B81" s="693" t="s">
        <v>2650</v>
      </c>
      <c r="C81" s="672" t="s">
        <v>785</v>
      </c>
      <c r="D81" s="673">
        <v>37672</v>
      </c>
      <c r="E81" s="674">
        <v>10</v>
      </c>
      <c r="F81" s="675">
        <v>0.1</v>
      </c>
      <c r="G81" s="676">
        <v>1</v>
      </c>
      <c r="H81" s="929">
        <v>0</v>
      </c>
      <c r="I81" s="929">
        <v>0</v>
      </c>
      <c r="J81" s="689">
        <f t="shared" si="2"/>
        <v>1</v>
      </c>
    </row>
    <row r="82" spans="1:10" ht="12.75" customHeight="1" x14ac:dyDescent="0.2">
      <c r="A82" s="681" t="s">
        <v>2370</v>
      </c>
      <c r="B82" s="693" t="s">
        <v>2651</v>
      </c>
      <c r="C82" s="672" t="s">
        <v>785</v>
      </c>
      <c r="D82" s="673">
        <v>37672</v>
      </c>
      <c r="E82" s="674">
        <v>10</v>
      </c>
      <c r="F82" s="675">
        <v>0.1</v>
      </c>
      <c r="G82" s="676">
        <v>1</v>
      </c>
      <c r="H82" s="929">
        <v>0</v>
      </c>
      <c r="I82" s="929">
        <v>0</v>
      </c>
      <c r="J82" s="689">
        <f t="shared" si="2"/>
        <v>1</v>
      </c>
    </row>
    <row r="83" spans="1:10" ht="12.75" customHeight="1" x14ac:dyDescent="0.2">
      <c r="A83" s="681" t="s">
        <v>2370</v>
      </c>
      <c r="B83" s="693" t="s">
        <v>2652</v>
      </c>
      <c r="C83" s="672" t="s">
        <v>791</v>
      </c>
      <c r="D83" s="673">
        <v>39133</v>
      </c>
      <c r="E83" s="674">
        <v>10</v>
      </c>
      <c r="F83" s="675">
        <v>0.1</v>
      </c>
      <c r="G83" s="676">
        <v>1</v>
      </c>
      <c r="H83" s="929">
        <v>0</v>
      </c>
      <c r="I83" s="929">
        <v>0</v>
      </c>
      <c r="J83" s="689">
        <f t="shared" si="2"/>
        <v>1</v>
      </c>
    </row>
    <row r="84" spans="1:10" ht="12.75" customHeight="1" x14ac:dyDescent="0.2">
      <c r="A84" s="681" t="s">
        <v>2370</v>
      </c>
      <c r="B84" s="693" t="s">
        <v>2653</v>
      </c>
      <c r="C84" s="672" t="s">
        <v>791</v>
      </c>
      <c r="D84" s="673">
        <v>33289</v>
      </c>
      <c r="E84" s="674">
        <v>10</v>
      </c>
      <c r="F84" s="675">
        <v>0.1</v>
      </c>
      <c r="G84" s="676">
        <v>1</v>
      </c>
      <c r="H84" s="929">
        <v>0</v>
      </c>
      <c r="I84" s="929">
        <v>0</v>
      </c>
      <c r="J84" s="689">
        <f t="shared" si="2"/>
        <v>1</v>
      </c>
    </row>
    <row r="85" spans="1:10" ht="12.75" customHeight="1" x14ac:dyDescent="0.2">
      <c r="A85" s="681" t="s">
        <v>2370</v>
      </c>
      <c r="B85" s="693" t="s">
        <v>2654</v>
      </c>
      <c r="C85" s="672" t="s">
        <v>798</v>
      </c>
      <c r="D85" s="673">
        <v>39498</v>
      </c>
      <c r="E85" s="674">
        <v>10</v>
      </c>
      <c r="F85" s="675">
        <v>0.1</v>
      </c>
      <c r="G85" s="676">
        <v>1</v>
      </c>
      <c r="H85" s="929">
        <v>0</v>
      </c>
      <c r="I85" s="929">
        <v>0</v>
      </c>
      <c r="J85" s="689">
        <f t="shared" si="2"/>
        <v>1</v>
      </c>
    </row>
    <row r="86" spans="1:10" ht="12.75" customHeight="1" x14ac:dyDescent="0.2">
      <c r="A86" s="681" t="s">
        <v>2370</v>
      </c>
      <c r="B86" s="693" t="s">
        <v>2655</v>
      </c>
      <c r="C86" s="672" t="s">
        <v>785</v>
      </c>
      <c r="D86" s="673">
        <v>32193</v>
      </c>
      <c r="E86" s="674">
        <v>10</v>
      </c>
      <c r="F86" s="675">
        <v>0.1</v>
      </c>
      <c r="G86" s="676">
        <v>1</v>
      </c>
      <c r="H86" s="929">
        <v>0</v>
      </c>
      <c r="I86" s="929">
        <v>0</v>
      </c>
      <c r="J86" s="689">
        <f t="shared" si="2"/>
        <v>1</v>
      </c>
    </row>
    <row r="87" spans="1:10" ht="12.75" customHeight="1" x14ac:dyDescent="0.2">
      <c r="A87" s="681" t="s">
        <v>2370</v>
      </c>
      <c r="B87" s="693" t="s">
        <v>2656</v>
      </c>
      <c r="C87" s="672" t="s">
        <v>785</v>
      </c>
      <c r="D87" s="673">
        <v>36211</v>
      </c>
      <c r="E87" s="674">
        <v>10</v>
      </c>
      <c r="F87" s="675">
        <v>0.1</v>
      </c>
      <c r="G87" s="676">
        <v>1</v>
      </c>
      <c r="H87" s="929">
        <v>0</v>
      </c>
      <c r="I87" s="929">
        <v>0</v>
      </c>
      <c r="J87" s="689">
        <f t="shared" si="2"/>
        <v>1</v>
      </c>
    </row>
    <row r="88" spans="1:10" ht="12.75" customHeight="1" x14ac:dyDescent="0.2">
      <c r="A88" s="681" t="s">
        <v>2370</v>
      </c>
      <c r="B88" s="693" t="s">
        <v>2657</v>
      </c>
      <c r="C88" s="672" t="s">
        <v>791</v>
      </c>
      <c r="D88" s="673">
        <v>33289</v>
      </c>
      <c r="E88" s="674">
        <v>10</v>
      </c>
      <c r="F88" s="675">
        <v>0.1</v>
      </c>
      <c r="G88" s="676">
        <v>1</v>
      </c>
      <c r="H88" s="929">
        <v>0</v>
      </c>
      <c r="I88" s="929">
        <v>0</v>
      </c>
      <c r="J88" s="689">
        <f t="shared" si="2"/>
        <v>1</v>
      </c>
    </row>
    <row r="89" spans="1:10" ht="12.75" customHeight="1" x14ac:dyDescent="0.2">
      <c r="A89" s="681" t="s">
        <v>2370</v>
      </c>
      <c r="B89" s="693" t="s">
        <v>2658</v>
      </c>
      <c r="C89" s="672" t="s">
        <v>790</v>
      </c>
      <c r="D89" s="673">
        <v>33289</v>
      </c>
      <c r="E89" s="674">
        <v>10</v>
      </c>
      <c r="F89" s="675">
        <v>0.1</v>
      </c>
      <c r="G89" s="676">
        <v>1</v>
      </c>
      <c r="H89" s="929">
        <v>0</v>
      </c>
      <c r="I89" s="929">
        <v>0</v>
      </c>
      <c r="J89" s="689">
        <f t="shared" si="2"/>
        <v>1</v>
      </c>
    </row>
    <row r="90" spans="1:10" ht="12.75" customHeight="1" x14ac:dyDescent="0.2">
      <c r="A90" s="681" t="s">
        <v>2370</v>
      </c>
      <c r="B90" s="693" t="s">
        <v>2659</v>
      </c>
      <c r="C90" s="672" t="s">
        <v>791</v>
      </c>
      <c r="D90" s="673">
        <v>39498</v>
      </c>
      <c r="E90" s="674">
        <v>10</v>
      </c>
      <c r="F90" s="675">
        <v>0.1</v>
      </c>
      <c r="G90" s="676">
        <v>1</v>
      </c>
      <c r="H90" s="929">
        <v>0</v>
      </c>
      <c r="I90" s="929">
        <v>0</v>
      </c>
      <c r="J90" s="689">
        <f t="shared" si="2"/>
        <v>1</v>
      </c>
    </row>
    <row r="91" spans="1:10" ht="12.75" customHeight="1" x14ac:dyDescent="0.2">
      <c r="A91" s="681" t="s">
        <v>2370</v>
      </c>
      <c r="B91" s="693" t="s">
        <v>2660</v>
      </c>
      <c r="C91" s="672" t="s">
        <v>787</v>
      </c>
      <c r="D91" s="673">
        <v>37307</v>
      </c>
      <c r="E91" s="674">
        <v>10</v>
      </c>
      <c r="F91" s="675">
        <v>0.1</v>
      </c>
      <c r="G91" s="676">
        <v>1</v>
      </c>
      <c r="H91" s="929">
        <v>0</v>
      </c>
      <c r="I91" s="929">
        <v>0</v>
      </c>
      <c r="J91" s="689">
        <f t="shared" si="2"/>
        <v>1</v>
      </c>
    </row>
    <row r="92" spans="1:10" ht="12.75" customHeight="1" x14ac:dyDescent="0.2">
      <c r="A92" s="681" t="s">
        <v>2370</v>
      </c>
      <c r="B92" s="693" t="s">
        <v>2661</v>
      </c>
      <c r="C92" s="672" t="s">
        <v>785</v>
      </c>
      <c r="D92" s="673">
        <v>40594</v>
      </c>
      <c r="E92" s="674">
        <v>10</v>
      </c>
      <c r="F92" s="675">
        <v>0.1</v>
      </c>
      <c r="G92" s="676">
        <v>1</v>
      </c>
      <c r="H92" s="929">
        <v>0</v>
      </c>
      <c r="I92" s="929">
        <v>0</v>
      </c>
      <c r="J92" s="689">
        <f t="shared" si="2"/>
        <v>1</v>
      </c>
    </row>
    <row r="93" spans="1:10" ht="12.75" customHeight="1" x14ac:dyDescent="0.2">
      <c r="A93" s="681" t="s">
        <v>2370</v>
      </c>
      <c r="B93" s="693" t="s">
        <v>2662</v>
      </c>
      <c r="C93" s="672" t="s">
        <v>785</v>
      </c>
      <c r="D93" s="673">
        <v>40594</v>
      </c>
      <c r="E93" s="674">
        <v>10</v>
      </c>
      <c r="F93" s="675">
        <v>0.1</v>
      </c>
      <c r="G93" s="676">
        <v>1</v>
      </c>
      <c r="H93" s="929">
        <v>0</v>
      </c>
      <c r="I93" s="929">
        <v>0</v>
      </c>
      <c r="J93" s="689">
        <f t="shared" si="2"/>
        <v>1</v>
      </c>
    </row>
    <row r="94" spans="1:10" ht="12.75" customHeight="1" x14ac:dyDescent="0.2">
      <c r="A94" s="681" t="s">
        <v>2370</v>
      </c>
      <c r="B94" s="693" t="s">
        <v>2663</v>
      </c>
      <c r="C94" s="672" t="s">
        <v>787</v>
      </c>
      <c r="D94" s="673">
        <v>33289</v>
      </c>
      <c r="E94" s="674">
        <v>10</v>
      </c>
      <c r="F94" s="675">
        <v>0.1</v>
      </c>
      <c r="G94" s="676">
        <v>1</v>
      </c>
      <c r="H94" s="929">
        <v>0</v>
      </c>
      <c r="I94" s="929">
        <v>0</v>
      </c>
      <c r="J94" s="689">
        <f t="shared" si="2"/>
        <v>1</v>
      </c>
    </row>
    <row r="95" spans="1:10" ht="12.75" customHeight="1" x14ac:dyDescent="0.2">
      <c r="A95" s="681" t="s">
        <v>2370</v>
      </c>
      <c r="B95" s="693" t="s">
        <v>2664</v>
      </c>
      <c r="C95" s="672" t="s">
        <v>785</v>
      </c>
      <c r="D95" s="673">
        <v>39864</v>
      </c>
      <c r="E95" s="674">
        <v>10</v>
      </c>
      <c r="F95" s="675">
        <v>0.1</v>
      </c>
      <c r="G95" s="676">
        <v>1</v>
      </c>
      <c r="H95" s="929">
        <v>0</v>
      </c>
      <c r="I95" s="929">
        <v>0</v>
      </c>
      <c r="J95" s="689">
        <f t="shared" si="2"/>
        <v>1</v>
      </c>
    </row>
    <row r="96" spans="1:10" ht="12.75" customHeight="1" x14ac:dyDescent="0.2">
      <c r="A96" s="681" t="s">
        <v>2370</v>
      </c>
      <c r="B96" s="693" t="s">
        <v>2665</v>
      </c>
      <c r="C96" s="672" t="s">
        <v>790</v>
      </c>
      <c r="D96" s="673">
        <v>40229</v>
      </c>
      <c r="E96" s="674">
        <v>10</v>
      </c>
      <c r="F96" s="675">
        <v>0.1</v>
      </c>
      <c r="G96" s="676">
        <v>1</v>
      </c>
      <c r="H96" s="929">
        <v>0</v>
      </c>
      <c r="I96" s="929">
        <v>0</v>
      </c>
      <c r="J96" s="689">
        <f t="shared" si="2"/>
        <v>1</v>
      </c>
    </row>
    <row r="97" spans="1:10" ht="12.75" customHeight="1" x14ac:dyDescent="0.2">
      <c r="A97" s="681" t="s">
        <v>2370</v>
      </c>
      <c r="B97" s="693" t="s">
        <v>2666</v>
      </c>
      <c r="C97" s="672" t="s">
        <v>785</v>
      </c>
      <c r="D97" s="673">
        <v>40594</v>
      </c>
      <c r="E97" s="674">
        <v>10</v>
      </c>
      <c r="F97" s="675">
        <v>0.1</v>
      </c>
      <c r="G97" s="676">
        <v>1</v>
      </c>
      <c r="H97" s="929">
        <v>0</v>
      </c>
      <c r="I97" s="929">
        <v>0</v>
      </c>
      <c r="J97" s="689">
        <f t="shared" si="2"/>
        <v>1</v>
      </c>
    </row>
    <row r="98" spans="1:10" ht="12.75" customHeight="1" x14ac:dyDescent="0.2">
      <c r="A98" s="681" t="s">
        <v>2370</v>
      </c>
      <c r="B98" s="693" t="s">
        <v>2667</v>
      </c>
      <c r="C98" s="672" t="s">
        <v>785</v>
      </c>
      <c r="D98" s="673">
        <v>40594</v>
      </c>
      <c r="E98" s="674">
        <v>10</v>
      </c>
      <c r="F98" s="675">
        <v>0.1</v>
      </c>
      <c r="G98" s="676">
        <v>1</v>
      </c>
      <c r="H98" s="929">
        <v>0</v>
      </c>
      <c r="I98" s="929">
        <v>0</v>
      </c>
      <c r="J98" s="689">
        <f t="shared" si="2"/>
        <v>1</v>
      </c>
    </row>
    <row r="99" spans="1:10" ht="12.75" customHeight="1" x14ac:dyDescent="0.2">
      <c r="A99" s="681" t="s">
        <v>2370</v>
      </c>
      <c r="B99" s="693" t="s">
        <v>2668</v>
      </c>
      <c r="C99" s="672" t="s">
        <v>785</v>
      </c>
      <c r="D99" s="673">
        <v>40594</v>
      </c>
      <c r="E99" s="674">
        <v>10</v>
      </c>
      <c r="F99" s="675">
        <v>0.1</v>
      </c>
      <c r="G99" s="676">
        <v>1</v>
      </c>
      <c r="H99" s="929">
        <v>0</v>
      </c>
      <c r="I99" s="929">
        <v>0</v>
      </c>
      <c r="J99" s="689">
        <f t="shared" si="2"/>
        <v>1</v>
      </c>
    </row>
    <row r="100" spans="1:10" ht="12.75" customHeight="1" x14ac:dyDescent="0.2">
      <c r="A100" s="681" t="s">
        <v>2370</v>
      </c>
      <c r="B100" s="693" t="s">
        <v>2669</v>
      </c>
      <c r="C100" s="672" t="s">
        <v>785</v>
      </c>
      <c r="D100" s="673">
        <v>40594</v>
      </c>
      <c r="E100" s="674">
        <v>10</v>
      </c>
      <c r="F100" s="675">
        <v>0.1</v>
      </c>
      <c r="G100" s="676">
        <v>1</v>
      </c>
      <c r="H100" s="929">
        <v>0</v>
      </c>
      <c r="I100" s="929">
        <v>0</v>
      </c>
      <c r="J100" s="689">
        <f t="shared" si="2"/>
        <v>1</v>
      </c>
    </row>
    <row r="101" spans="1:10" ht="12.75" customHeight="1" x14ac:dyDescent="0.2">
      <c r="A101" s="681" t="s">
        <v>2370</v>
      </c>
      <c r="B101" s="693" t="s">
        <v>2670</v>
      </c>
      <c r="C101" s="672" t="s">
        <v>786</v>
      </c>
      <c r="D101" s="673">
        <v>32193</v>
      </c>
      <c r="E101" s="674">
        <v>10</v>
      </c>
      <c r="F101" s="675">
        <v>0.1</v>
      </c>
      <c r="G101" s="676">
        <v>1</v>
      </c>
      <c r="H101" s="929">
        <v>0</v>
      </c>
      <c r="I101" s="929">
        <v>0</v>
      </c>
      <c r="J101" s="689">
        <f t="shared" si="2"/>
        <v>1</v>
      </c>
    </row>
    <row r="102" spans="1:10" ht="12.75" customHeight="1" x14ac:dyDescent="0.2">
      <c r="A102" s="681" t="s">
        <v>2370</v>
      </c>
      <c r="B102" s="693" t="s">
        <v>2671</v>
      </c>
      <c r="C102" s="672" t="s">
        <v>803</v>
      </c>
      <c r="D102" s="673">
        <v>38768</v>
      </c>
      <c r="E102" s="674">
        <v>10</v>
      </c>
      <c r="F102" s="675">
        <v>0.1</v>
      </c>
      <c r="G102" s="676">
        <v>1</v>
      </c>
      <c r="H102" s="929">
        <v>0</v>
      </c>
      <c r="I102" s="929">
        <v>0</v>
      </c>
      <c r="J102" s="689">
        <f t="shared" si="2"/>
        <v>1</v>
      </c>
    </row>
    <row r="103" spans="1:10" ht="12.75" customHeight="1" x14ac:dyDescent="0.2">
      <c r="A103" s="681" t="s">
        <v>2370</v>
      </c>
      <c r="B103" s="693" t="s">
        <v>2672</v>
      </c>
      <c r="C103" s="672" t="s">
        <v>804</v>
      </c>
      <c r="D103" s="673">
        <v>35481</v>
      </c>
      <c r="E103" s="674">
        <v>10</v>
      </c>
      <c r="F103" s="675">
        <v>0.1</v>
      </c>
      <c r="G103" s="676">
        <v>1</v>
      </c>
      <c r="H103" s="929">
        <v>0</v>
      </c>
      <c r="I103" s="929">
        <v>0</v>
      </c>
      <c r="J103" s="689">
        <f t="shared" si="2"/>
        <v>1</v>
      </c>
    </row>
    <row r="104" spans="1:10" ht="12.75" customHeight="1" x14ac:dyDescent="0.2">
      <c r="A104" s="681" t="s">
        <v>2370</v>
      </c>
      <c r="B104" s="693" t="s">
        <v>2673</v>
      </c>
      <c r="C104" s="672" t="s">
        <v>785</v>
      </c>
      <c r="D104" s="673">
        <v>40594</v>
      </c>
      <c r="E104" s="674">
        <v>10</v>
      </c>
      <c r="F104" s="675">
        <v>0.1</v>
      </c>
      <c r="G104" s="676">
        <v>1</v>
      </c>
      <c r="H104" s="929">
        <v>0</v>
      </c>
      <c r="I104" s="929">
        <v>0</v>
      </c>
      <c r="J104" s="689">
        <f t="shared" si="2"/>
        <v>1</v>
      </c>
    </row>
    <row r="105" spans="1:10" ht="12.75" customHeight="1" x14ac:dyDescent="0.2">
      <c r="A105" s="681" t="s">
        <v>2370</v>
      </c>
      <c r="B105" s="693" t="s">
        <v>2674</v>
      </c>
      <c r="C105" s="672" t="s">
        <v>785</v>
      </c>
      <c r="D105" s="673">
        <v>40594</v>
      </c>
      <c r="E105" s="674">
        <v>10</v>
      </c>
      <c r="F105" s="675">
        <v>0.1</v>
      </c>
      <c r="G105" s="676">
        <v>1</v>
      </c>
      <c r="H105" s="929">
        <v>0</v>
      </c>
      <c r="I105" s="929">
        <v>0</v>
      </c>
      <c r="J105" s="689">
        <f t="shared" si="2"/>
        <v>1</v>
      </c>
    </row>
    <row r="106" spans="1:10" ht="12.75" customHeight="1" x14ac:dyDescent="0.2">
      <c r="A106" s="681" t="s">
        <v>2370</v>
      </c>
      <c r="B106" s="693" t="s">
        <v>2675</v>
      </c>
      <c r="C106" s="672" t="s">
        <v>795</v>
      </c>
      <c r="D106" s="673">
        <v>32193</v>
      </c>
      <c r="E106" s="674">
        <v>10</v>
      </c>
      <c r="F106" s="675">
        <v>0.1</v>
      </c>
      <c r="G106" s="676">
        <v>1</v>
      </c>
      <c r="H106" s="929">
        <v>0</v>
      </c>
      <c r="I106" s="929">
        <v>0</v>
      </c>
      <c r="J106" s="689">
        <f t="shared" si="2"/>
        <v>1</v>
      </c>
    </row>
    <row r="107" spans="1:10" ht="12.75" customHeight="1" x14ac:dyDescent="0.2">
      <c r="A107" s="681" t="s">
        <v>2370</v>
      </c>
      <c r="B107" s="693" t="s">
        <v>2676</v>
      </c>
      <c r="C107" s="672" t="s">
        <v>787</v>
      </c>
      <c r="D107" s="673">
        <v>35115</v>
      </c>
      <c r="E107" s="674">
        <v>10</v>
      </c>
      <c r="F107" s="675">
        <v>0.1</v>
      </c>
      <c r="G107" s="676">
        <v>1</v>
      </c>
      <c r="H107" s="929">
        <v>0</v>
      </c>
      <c r="I107" s="929">
        <v>0</v>
      </c>
      <c r="J107" s="689">
        <f t="shared" si="2"/>
        <v>1</v>
      </c>
    </row>
    <row r="108" spans="1:10" ht="12.75" customHeight="1" x14ac:dyDescent="0.2">
      <c r="A108" s="681" t="s">
        <v>2370</v>
      </c>
      <c r="B108" s="693" t="s">
        <v>2677</v>
      </c>
      <c r="C108" s="672" t="s">
        <v>795</v>
      </c>
      <c r="D108" s="673">
        <v>32193</v>
      </c>
      <c r="E108" s="674">
        <v>10</v>
      </c>
      <c r="F108" s="675">
        <v>0.1</v>
      </c>
      <c r="G108" s="676">
        <v>1</v>
      </c>
      <c r="H108" s="929">
        <v>0</v>
      </c>
      <c r="I108" s="929">
        <v>0</v>
      </c>
      <c r="J108" s="689">
        <f t="shared" si="2"/>
        <v>1</v>
      </c>
    </row>
    <row r="109" spans="1:10" ht="12.75" customHeight="1" x14ac:dyDescent="0.2">
      <c r="A109" s="681" t="s">
        <v>2370</v>
      </c>
      <c r="B109" s="693" t="s">
        <v>2678</v>
      </c>
      <c r="C109" s="672" t="s">
        <v>790</v>
      </c>
      <c r="D109" s="673">
        <v>39498</v>
      </c>
      <c r="E109" s="674">
        <v>10</v>
      </c>
      <c r="F109" s="675">
        <v>0.1</v>
      </c>
      <c r="G109" s="676">
        <v>1</v>
      </c>
      <c r="H109" s="929">
        <v>0</v>
      </c>
      <c r="I109" s="929">
        <v>0</v>
      </c>
      <c r="J109" s="689">
        <f t="shared" si="2"/>
        <v>1</v>
      </c>
    </row>
    <row r="110" spans="1:10" ht="12.75" customHeight="1" x14ac:dyDescent="0.2">
      <c r="A110" s="681" t="s">
        <v>2370</v>
      </c>
      <c r="B110" s="693" t="s">
        <v>2679</v>
      </c>
      <c r="C110" s="672" t="s">
        <v>790</v>
      </c>
      <c r="D110" s="673">
        <v>39498</v>
      </c>
      <c r="E110" s="674">
        <v>10</v>
      </c>
      <c r="F110" s="675">
        <v>0.1</v>
      </c>
      <c r="G110" s="676">
        <v>1</v>
      </c>
      <c r="H110" s="929">
        <v>0</v>
      </c>
      <c r="I110" s="929">
        <v>0</v>
      </c>
      <c r="J110" s="689">
        <f t="shared" si="2"/>
        <v>1</v>
      </c>
    </row>
    <row r="111" spans="1:10" ht="12.75" customHeight="1" x14ac:dyDescent="0.2">
      <c r="A111" s="681" t="s">
        <v>2370</v>
      </c>
      <c r="B111" s="693" t="s">
        <v>2680</v>
      </c>
      <c r="C111" s="672" t="s">
        <v>804</v>
      </c>
      <c r="D111" s="673">
        <v>33289</v>
      </c>
      <c r="E111" s="674">
        <v>10</v>
      </c>
      <c r="F111" s="675">
        <v>0.1</v>
      </c>
      <c r="G111" s="676">
        <v>1</v>
      </c>
      <c r="H111" s="929">
        <v>0</v>
      </c>
      <c r="I111" s="929">
        <v>0</v>
      </c>
      <c r="J111" s="689">
        <f t="shared" si="2"/>
        <v>1</v>
      </c>
    </row>
    <row r="112" spans="1:10" ht="12.75" customHeight="1" x14ac:dyDescent="0.2">
      <c r="A112" s="681" t="s">
        <v>2370</v>
      </c>
      <c r="B112" s="693" t="s">
        <v>2681</v>
      </c>
      <c r="C112" s="672" t="s">
        <v>804</v>
      </c>
      <c r="D112" s="673">
        <v>32924</v>
      </c>
      <c r="E112" s="674">
        <v>10</v>
      </c>
      <c r="F112" s="675">
        <v>0.1</v>
      </c>
      <c r="G112" s="676">
        <v>1</v>
      </c>
      <c r="H112" s="929">
        <v>0</v>
      </c>
      <c r="I112" s="929">
        <v>0</v>
      </c>
      <c r="J112" s="689">
        <f t="shared" si="2"/>
        <v>1</v>
      </c>
    </row>
    <row r="113" spans="1:10" ht="12.75" customHeight="1" x14ac:dyDescent="0.2">
      <c r="A113" s="681" t="s">
        <v>2370</v>
      </c>
      <c r="B113" s="693" t="s">
        <v>2682</v>
      </c>
      <c r="C113" s="672" t="s">
        <v>806</v>
      </c>
      <c r="D113" s="673">
        <v>33289</v>
      </c>
      <c r="E113" s="674">
        <v>10</v>
      </c>
      <c r="F113" s="675">
        <v>0.1</v>
      </c>
      <c r="G113" s="676">
        <v>1</v>
      </c>
      <c r="H113" s="929">
        <v>0</v>
      </c>
      <c r="I113" s="929">
        <v>0</v>
      </c>
      <c r="J113" s="689">
        <f t="shared" si="2"/>
        <v>1</v>
      </c>
    </row>
    <row r="114" spans="1:10" ht="12.75" customHeight="1" x14ac:dyDescent="0.2">
      <c r="A114" s="681" t="s">
        <v>2370</v>
      </c>
      <c r="B114" s="693" t="s">
        <v>2683</v>
      </c>
      <c r="C114" s="672" t="s">
        <v>788</v>
      </c>
      <c r="D114" s="673">
        <v>33289</v>
      </c>
      <c r="E114" s="674">
        <v>10</v>
      </c>
      <c r="F114" s="675">
        <v>0.1</v>
      </c>
      <c r="G114" s="676">
        <v>1</v>
      </c>
      <c r="H114" s="929">
        <v>0</v>
      </c>
      <c r="I114" s="929">
        <v>0</v>
      </c>
      <c r="J114" s="689">
        <f t="shared" si="2"/>
        <v>1</v>
      </c>
    </row>
    <row r="115" spans="1:10" ht="12.75" customHeight="1" x14ac:dyDescent="0.2">
      <c r="A115" s="681" t="s">
        <v>2370</v>
      </c>
      <c r="B115" s="693" t="s">
        <v>2684</v>
      </c>
      <c r="C115" s="672" t="s">
        <v>788</v>
      </c>
      <c r="D115" s="673">
        <v>33289</v>
      </c>
      <c r="E115" s="674">
        <v>10</v>
      </c>
      <c r="F115" s="675">
        <v>0.1</v>
      </c>
      <c r="G115" s="676">
        <v>1</v>
      </c>
      <c r="H115" s="929">
        <v>0</v>
      </c>
      <c r="I115" s="929">
        <v>0</v>
      </c>
      <c r="J115" s="689">
        <f t="shared" si="2"/>
        <v>1</v>
      </c>
    </row>
    <row r="116" spans="1:10" ht="12.75" customHeight="1" x14ac:dyDescent="0.2">
      <c r="A116" s="681" t="s">
        <v>2370</v>
      </c>
      <c r="B116" s="693" t="s">
        <v>2685</v>
      </c>
      <c r="C116" s="672" t="s">
        <v>787</v>
      </c>
      <c r="D116" s="673">
        <v>38403</v>
      </c>
      <c r="E116" s="674">
        <v>10</v>
      </c>
      <c r="F116" s="675">
        <v>0.1</v>
      </c>
      <c r="G116" s="676">
        <v>1</v>
      </c>
      <c r="H116" s="929">
        <v>0</v>
      </c>
      <c r="I116" s="929">
        <v>0</v>
      </c>
      <c r="J116" s="689">
        <f t="shared" si="2"/>
        <v>1</v>
      </c>
    </row>
    <row r="117" spans="1:10" ht="12.75" customHeight="1" x14ac:dyDescent="0.2">
      <c r="A117" s="681" t="s">
        <v>2370</v>
      </c>
      <c r="B117" s="693" t="s">
        <v>2686</v>
      </c>
      <c r="C117" s="672" t="s">
        <v>790</v>
      </c>
      <c r="D117" s="673">
        <v>32924</v>
      </c>
      <c r="E117" s="674">
        <v>10</v>
      </c>
      <c r="F117" s="675">
        <v>0.1</v>
      </c>
      <c r="G117" s="676">
        <v>1</v>
      </c>
      <c r="H117" s="929">
        <v>0</v>
      </c>
      <c r="I117" s="929">
        <v>0</v>
      </c>
      <c r="J117" s="689">
        <f t="shared" si="2"/>
        <v>1</v>
      </c>
    </row>
    <row r="118" spans="1:10" ht="12.75" customHeight="1" x14ac:dyDescent="0.2">
      <c r="A118" s="681" t="s">
        <v>2370</v>
      </c>
      <c r="B118" s="693" t="s">
        <v>2687</v>
      </c>
      <c r="C118" s="672" t="s">
        <v>790</v>
      </c>
      <c r="D118" s="673">
        <v>38403</v>
      </c>
      <c r="E118" s="674">
        <v>10</v>
      </c>
      <c r="F118" s="675">
        <v>0.1</v>
      </c>
      <c r="G118" s="676">
        <v>1</v>
      </c>
      <c r="H118" s="929">
        <v>0</v>
      </c>
      <c r="I118" s="929">
        <v>0</v>
      </c>
      <c r="J118" s="689">
        <f t="shared" si="2"/>
        <v>1</v>
      </c>
    </row>
    <row r="119" spans="1:10" ht="12.75" customHeight="1" x14ac:dyDescent="0.2">
      <c r="A119" s="681" t="s">
        <v>2370</v>
      </c>
      <c r="B119" s="693" t="s">
        <v>2688</v>
      </c>
      <c r="C119" s="672" t="s">
        <v>790</v>
      </c>
      <c r="D119" s="673">
        <v>32924</v>
      </c>
      <c r="E119" s="674">
        <v>10</v>
      </c>
      <c r="F119" s="675">
        <v>0.1</v>
      </c>
      <c r="G119" s="676">
        <v>1</v>
      </c>
      <c r="H119" s="929">
        <v>0</v>
      </c>
      <c r="I119" s="929">
        <v>0</v>
      </c>
      <c r="J119" s="689">
        <f t="shared" si="2"/>
        <v>1</v>
      </c>
    </row>
    <row r="120" spans="1:10" ht="12.75" customHeight="1" x14ac:dyDescent="0.2">
      <c r="A120" s="681" t="s">
        <v>2370</v>
      </c>
      <c r="B120" s="693" t="s">
        <v>2689</v>
      </c>
      <c r="C120" s="672" t="s">
        <v>785</v>
      </c>
      <c r="D120" s="673">
        <v>38403</v>
      </c>
      <c r="E120" s="674">
        <v>10</v>
      </c>
      <c r="F120" s="675">
        <v>0.1</v>
      </c>
      <c r="G120" s="676">
        <v>1</v>
      </c>
      <c r="H120" s="929">
        <v>0</v>
      </c>
      <c r="I120" s="929">
        <v>0</v>
      </c>
      <c r="J120" s="689">
        <f t="shared" si="2"/>
        <v>1</v>
      </c>
    </row>
    <row r="121" spans="1:10" ht="12.75" customHeight="1" x14ac:dyDescent="0.2">
      <c r="A121" s="681" t="s">
        <v>2370</v>
      </c>
      <c r="B121" s="693" t="s">
        <v>2690</v>
      </c>
      <c r="C121" s="672" t="s">
        <v>785</v>
      </c>
      <c r="D121" s="673">
        <v>38403</v>
      </c>
      <c r="E121" s="674">
        <v>10</v>
      </c>
      <c r="F121" s="675">
        <v>0.1</v>
      </c>
      <c r="G121" s="676">
        <v>1</v>
      </c>
      <c r="H121" s="929">
        <v>0</v>
      </c>
      <c r="I121" s="929">
        <v>0</v>
      </c>
      <c r="J121" s="689">
        <f t="shared" si="2"/>
        <v>1</v>
      </c>
    </row>
    <row r="122" spans="1:10" ht="12.75" customHeight="1" x14ac:dyDescent="0.2">
      <c r="A122" s="681" t="s">
        <v>2370</v>
      </c>
      <c r="B122" s="693" t="s">
        <v>2691</v>
      </c>
      <c r="C122" s="672" t="s">
        <v>785</v>
      </c>
      <c r="D122" s="673">
        <v>39498</v>
      </c>
      <c r="E122" s="674">
        <v>10</v>
      </c>
      <c r="F122" s="675">
        <v>0.1</v>
      </c>
      <c r="G122" s="676">
        <v>1</v>
      </c>
      <c r="H122" s="929">
        <v>0</v>
      </c>
      <c r="I122" s="929">
        <v>0</v>
      </c>
      <c r="J122" s="689">
        <f t="shared" si="2"/>
        <v>1</v>
      </c>
    </row>
    <row r="123" spans="1:10" ht="12.75" customHeight="1" x14ac:dyDescent="0.2">
      <c r="A123" s="681" t="s">
        <v>2370</v>
      </c>
      <c r="B123" s="693" t="s">
        <v>2692</v>
      </c>
      <c r="C123" s="672" t="s">
        <v>785</v>
      </c>
      <c r="D123" s="673">
        <v>40594</v>
      </c>
      <c r="E123" s="674">
        <v>10</v>
      </c>
      <c r="F123" s="675">
        <v>0.1</v>
      </c>
      <c r="G123" s="676">
        <v>1</v>
      </c>
      <c r="H123" s="929">
        <v>0</v>
      </c>
      <c r="I123" s="929">
        <v>0</v>
      </c>
      <c r="J123" s="689">
        <f t="shared" si="2"/>
        <v>1</v>
      </c>
    </row>
    <row r="124" spans="1:10" ht="12.75" customHeight="1" x14ac:dyDescent="0.2">
      <c r="A124" s="681" t="s">
        <v>2370</v>
      </c>
      <c r="B124" s="693" t="s">
        <v>2693</v>
      </c>
      <c r="C124" s="672" t="s">
        <v>785</v>
      </c>
      <c r="D124" s="673">
        <v>40594</v>
      </c>
      <c r="E124" s="674">
        <v>10</v>
      </c>
      <c r="F124" s="675">
        <v>0.1</v>
      </c>
      <c r="G124" s="676">
        <v>1</v>
      </c>
      <c r="H124" s="929">
        <v>0</v>
      </c>
      <c r="I124" s="929">
        <v>0</v>
      </c>
      <c r="J124" s="689">
        <f t="shared" si="2"/>
        <v>1</v>
      </c>
    </row>
    <row r="125" spans="1:10" ht="12.75" customHeight="1" x14ac:dyDescent="0.2">
      <c r="A125" s="681" t="s">
        <v>2370</v>
      </c>
      <c r="B125" s="693" t="s">
        <v>2694</v>
      </c>
      <c r="C125" s="672" t="s">
        <v>785</v>
      </c>
      <c r="D125" s="673">
        <v>33289</v>
      </c>
      <c r="E125" s="674">
        <v>10</v>
      </c>
      <c r="F125" s="675">
        <v>0.1</v>
      </c>
      <c r="G125" s="676">
        <v>1</v>
      </c>
      <c r="H125" s="929">
        <v>0</v>
      </c>
      <c r="I125" s="929">
        <v>0</v>
      </c>
      <c r="J125" s="689">
        <f t="shared" si="2"/>
        <v>1</v>
      </c>
    </row>
    <row r="126" spans="1:10" ht="12.75" customHeight="1" x14ac:dyDescent="0.2">
      <c r="A126" s="681" t="s">
        <v>2370</v>
      </c>
      <c r="B126" s="693" t="s">
        <v>2695</v>
      </c>
      <c r="C126" s="672" t="s">
        <v>785</v>
      </c>
      <c r="D126" s="673">
        <v>33289</v>
      </c>
      <c r="E126" s="674">
        <v>10</v>
      </c>
      <c r="F126" s="675">
        <v>0.1</v>
      </c>
      <c r="G126" s="676">
        <v>1</v>
      </c>
      <c r="H126" s="929">
        <v>0</v>
      </c>
      <c r="I126" s="929">
        <v>0</v>
      </c>
      <c r="J126" s="689">
        <f t="shared" si="2"/>
        <v>1</v>
      </c>
    </row>
    <row r="127" spans="1:10" ht="12.75" customHeight="1" x14ac:dyDescent="0.2">
      <c r="A127" s="681" t="s">
        <v>2370</v>
      </c>
      <c r="B127" s="693" t="s">
        <v>2696</v>
      </c>
      <c r="C127" s="672" t="s">
        <v>785</v>
      </c>
      <c r="D127" s="673">
        <v>33289</v>
      </c>
      <c r="E127" s="674">
        <v>10</v>
      </c>
      <c r="F127" s="675">
        <v>0.1</v>
      </c>
      <c r="G127" s="676">
        <v>1</v>
      </c>
      <c r="H127" s="929">
        <v>0</v>
      </c>
      <c r="I127" s="929">
        <v>0</v>
      </c>
      <c r="J127" s="689">
        <f t="shared" si="2"/>
        <v>1</v>
      </c>
    </row>
    <row r="128" spans="1:10" ht="12.75" customHeight="1" x14ac:dyDescent="0.2">
      <c r="A128" s="681" t="s">
        <v>2370</v>
      </c>
      <c r="B128" s="693" t="s">
        <v>2697</v>
      </c>
      <c r="C128" s="672" t="s">
        <v>785</v>
      </c>
      <c r="D128" s="673">
        <v>33289</v>
      </c>
      <c r="E128" s="674">
        <v>10</v>
      </c>
      <c r="F128" s="675">
        <v>0.1</v>
      </c>
      <c r="G128" s="676">
        <v>1</v>
      </c>
      <c r="H128" s="929">
        <v>0</v>
      </c>
      <c r="I128" s="929">
        <v>0</v>
      </c>
      <c r="J128" s="689">
        <f t="shared" si="2"/>
        <v>1</v>
      </c>
    </row>
    <row r="129" spans="1:10" ht="12.75" customHeight="1" x14ac:dyDescent="0.2">
      <c r="A129" s="681" t="s">
        <v>2370</v>
      </c>
      <c r="B129" s="693" t="s">
        <v>2698</v>
      </c>
      <c r="C129" s="672" t="s">
        <v>785</v>
      </c>
      <c r="D129" s="673">
        <v>33289</v>
      </c>
      <c r="E129" s="674">
        <v>10</v>
      </c>
      <c r="F129" s="675">
        <v>0.1</v>
      </c>
      <c r="G129" s="676">
        <v>1</v>
      </c>
      <c r="H129" s="929">
        <v>0</v>
      </c>
      <c r="I129" s="929">
        <v>0</v>
      </c>
      <c r="J129" s="689">
        <f t="shared" si="2"/>
        <v>1</v>
      </c>
    </row>
    <row r="130" spans="1:10" ht="12.75" customHeight="1" x14ac:dyDescent="0.2">
      <c r="A130" s="681" t="s">
        <v>2370</v>
      </c>
      <c r="B130" s="693" t="s">
        <v>2699</v>
      </c>
      <c r="C130" s="672" t="s">
        <v>808</v>
      </c>
      <c r="D130" s="673">
        <v>35115</v>
      </c>
      <c r="E130" s="674">
        <v>10</v>
      </c>
      <c r="F130" s="675">
        <v>0.1</v>
      </c>
      <c r="G130" s="676">
        <v>1</v>
      </c>
      <c r="H130" s="929">
        <v>0</v>
      </c>
      <c r="I130" s="929">
        <v>0</v>
      </c>
      <c r="J130" s="689">
        <f t="shared" si="2"/>
        <v>1</v>
      </c>
    </row>
    <row r="131" spans="1:10" ht="12.75" customHeight="1" x14ac:dyDescent="0.2">
      <c r="A131" s="681" t="s">
        <v>2370</v>
      </c>
      <c r="B131" s="693" t="s">
        <v>2700</v>
      </c>
      <c r="C131" s="672" t="s">
        <v>785</v>
      </c>
      <c r="D131" s="673">
        <v>39498</v>
      </c>
      <c r="E131" s="674">
        <v>10</v>
      </c>
      <c r="F131" s="675">
        <v>0.1</v>
      </c>
      <c r="G131" s="676">
        <v>1</v>
      </c>
      <c r="H131" s="929">
        <v>0</v>
      </c>
      <c r="I131" s="929">
        <v>0</v>
      </c>
      <c r="J131" s="689">
        <f t="shared" si="2"/>
        <v>1</v>
      </c>
    </row>
    <row r="132" spans="1:10" ht="12.75" customHeight="1" x14ac:dyDescent="0.2">
      <c r="A132" s="681" t="s">
        <v>2370</v>
      </c>
      <c r="B132" s="693" t="s">
        <v>2701</v>
      </c>
      <c r="C132" s="672" t="s">
        <v>788</v>
      </c>
      <c r="D132" s="673">
        <v>38037</v>
      </c>
      <c r="E132" s="674">
        <v>10</v>
      </c>
      <c r="F132" s="675">
        <v>0.1</v>
      </c>
      <c r="G132" s="676">
        <v>1</v>
      </c>
      <c r="H132" s="929">
        <v>0</v>
      </c>
      <c r="I132" s="929">
        <v>0</v>
      </c>
      <c r="J132" s="689">
        <f t="shared" si="2"/>
        <v>1</v>
      </c>
    </row>
    <row r="133" spans="1:10" ht="12.75" customHeight="1" x14ac:dyDescent="0.2">
      <c r="A133" s="681" t="s">
        <v>2370</v>
      </c>
      <c r="B133" s="693" t="s">
        <v>2702</v>
      </c>
      <c r="C133" s="672" t="s">
        <v>790</v>
      </c>
      <c r="D133" s="673">
        <v>39133</v>
      </c>
      <c r="E133" s="674">
        <v>10</v>
      </c>
      <c r="F133" s="675">
        <v>0.1</v>
      </c>
      <c r="G133" s="676">
        <v>1</v>
      </c>
      <c r="H133" s="929">
        <v>0</v>
      </c>
      <c r="I133" s="929">
        <v>0</v>
      </c>
      <c r="J133" s="689">
        <f t="shared" si="2"/>
        <v>1</v>
      </c>
    </row>
    <row r="134" spans="1:10" ht="12.75" customHeight="1" x14ac:dyDescent="0.2">
      <c r="A134" s="681" t="s">
        <v>2370</v>
      </c>
      <c r="B134" s="693" t="s">
        <v>2703</v>
      </c>
      <c r="C134" s="672" t="s">
        <v>811</v>
      </c>
      <c r="D134" s="673">
        <v>33289</v>
      </c>
      <c r="E134" s="674">
        <v>10</v>
      </c>
      <c r="F134" s="675">
        <v>0.1</v>
      </c>
      <c r="G134" s="676">
        <v>1</v>
      </c>
      <c r="H134" s="929">
        <v>0</v>
      </c>
      <c r="I134" s="929">
        <v>0</v>
      </c>
      <c r="J134" s="689">
        <f t="shared" si="2"/>
        <v>1</v>
      </c>
    </row>
    <row r="135" spans="1:10" ht="12.75" customHeight="1" x14ac:dyDescent="0.2">
      <c r="A135" s="681" t="s">
        <v>2370</v>
      </c>
      <c r="B135" s="693" t="s">
        <v>2704</v>
      </c>
      <c r="C135" s="672" t="s">
        <v>812</v>
      </c>
      <c r="D135" s="673">
        <v>33289</v>
      </c>
      <c r="E135" s="674">
        <v>10</v>
      </c>
      <c r="F135" s="675">
        <v>0.1</v>
      </c>
      <c r="G135" s="676">
        <v>1</v>
      </c>
      <c r="H135" s="929">
        <v>0</v>
      </c>
      <c r="I135" s="929">
        <v>0</v>
      </c>
      <c r="J135" s="689">
        <f t="shared" ref="J135:J198" si="3">G135-I135</f>
        <v>1</v>
      </c>
    </row>
    <row r="136" spans="1:10" ht="12.75" customHeight="1" x14ac:dyDescent="0.2">
      <c r="A136" s="681" t="s">
        <v>2370</v>
      </c>
      <c r="B136" s="693" t="s">
        <v>2705</v>
      </c>
      <c r="C136" s="672" t="s">
        <v>790</v>
      </c>
      <c r="D136" s="673">
        <v>35481</v>
      </c>
      <c r="E136" s="674">
        <v>10</v>
      </c>
      <c r="F136" s="675">
        <v>0.1</v>
      </c>
      <c r="G136" s="676">
        <v>1</v>
      </c>
      <c r="H136" s="929">
        <v>0</v>
      </c>
      <c r="I136" s="929">
        <v>0</v>
      </c>
      <c r="J136" s="689">
        <f t="shared" si="3"/>
        <v>1</v>
      </c>
    </row>
    <row r="137" spans="1:10" ht="12.75" customHeight="1" x14ac:dyDescent="0.2">
      <c r="A137" s="681" t="s">
        <v>2370</v>
      </c>
      <c r="B137" s="693" t="s">
        <v>2706</v>
      </c>
      <c r="C137" s="672" t="s">
        <v>791</v>
      </c>
      <c r="D137" s="673">
        <v>38403</v>
      </c>
      <c r="E137" s="674">
        <v>10</v>
      </c>
      <c r="F137" s="675">
        <v>0.1</v>
      </c>
      <c r="G137" s="676">
        <v>1</v>
      </c>
      <c r="H137" s="929">
        <v>0</v>
      </c>
      <c r="I137" s="929">
        <v>0</v>
      </c>
      <c r="J137" s="689">
        <f t="shared" si="3"/>
        <v>1</v>
      </c>
    </row>
    <row r="138" spans="1:10" ht="12.75" customHeight="1" x14ac:dyDescent="0.2">
      <c r="A138" s="681" t="s">
        <v>2370</v>
      </c>
      <c r="B138" s="693" t="s">
        <v>2707</v>
      </c>
      <c r="C138" s="672" t="s">
        <v>812</v>
      </c>
      <c r="D138" s="673">
        <v>40594</v>
      </c>
      <c r="E138" s="674">
        <v>10</v>
      </c>
      <c r="F138" s="675">
        <v>0.1</v>
      </c>
      <c r="G138" s="676">
        <v>1</v>
      </c>
      <c r="H138" s="929">
        <v>0</v>
      </c>
      <c r="I138" s="929">
        <v>0</v>
      </c>
      <c r="J138" s="689">
        <f t="shared" si="3"/>
        <v>1</v>
      </c>
    </row>
    <row r="139" spans="1:10" ht="12.75" customHeight="1" x14ac:dyDescent="0.2">
      <c r="A139" s="681" t="s">
        <v>2370</v>
      </c>
      <c r="B139" s="693" t="s">
        <v>2708</v>
      </c>
      <c r="C139" s="672" t="s">
        <v>790</v>
      </c>
      <c r="D139" s="673">
        <v>37307</v>
      </c>
      <c r="E139" s="674">
        <v>10</v>
      </c>
      <c r="F139" s="675">
        <v>0.1</v>
      </c>
      <c r="G139" s="676">
        <v>1</v>
      </c>
      <c r="H139" s="929">
        <v>0</v>
      </c>
      <c r="I139" s="929">
        <v>0</v>
      </c>
      <c r="J139" s="689">
        <f t="shared" si="3"/>
        <v>1</v>
      </c>
    </row>
    <row r="140" spans="1:10" ht="12.75" customHeight="1" x14ac:dyDescent="0.2">
      <c r="A140" s="681" t="s">
        <v>2370</v>
      </c>
      <c r="B140" s="693" t="s">
        <v>2709</v>
      </c>
      <c r="C140" s="672" t="s">
        <v>812</v>
      </c>
      <c r="D140" s="673">
        <v>36211</v>
      </c>
      <c r="E140" s="674">
        <v>10</v>
      </c>
      <c r="F140" s="675">
        <v>0.1</v>
      </c>
      <c r="G140" s="676">
        <v>1</v>
      </c>
      <c r="H140" s="929">
        <v>0</v>
      </c>
      <c r="I140" s="929">
        <v>0</v>
      </c>
      <c r="J140" s="689">
        <f t="shared" si="3"/>
        <v>1</v>
      </c>
    </row>
    <row r="141" spans="1:10" ht="12.75" customHeight="1" x14ac:dyDescent="0.2">
      <c r="A141" s="681" t="s">
        <v>2370</v>
      </c>
      <c r="B141" s="693" t="s">
        <v>2710</v>
      </c>
      <c r="C141" s="672" t="s">
        <v>787</v>
      </c>
      <c r="D141" s="673">
        <v>35115</v>
      </c>
      <c r="E141" s="674">
        <v>10</v>
      </c>
      <c r="F141" s="675">
        <v>0.1</v>
      </c>
      <c r="G141" s="676">
        <v>1</v>
      </c>
      <c r="H141" s="929">
        <v>0</v>
      </c>
      <c r="I141" s="929">
        <v>0</v>
      </c>
      <c r="J141" s="689">
        <f t="shared" si="3"/>
        <v>1</v>
      </c>
    </row>
    <row r="142" spans="1:10" ht="12.75" customHeight="1" x14ac:dyDescent="0.2">
      <c r="A142" s="681" t="s">
        <v>2370</v>
      </c>
      <c r="B142" s="693" t="s">
        <v>2711</v>
      </c>
      <c r="C142" s="672" t="s">
        <v>790</v>
      </c>
      <c r="D142" s="673">
        <v>38403</v>
      </c>
      <c r="E142" s="674">
        <v>10</v>
      </c>
      <c r="F142" s="675">
        <v>0.1</v>
      </c>
      <c r="G142" s="676">
        <v>1</v>
      </c>
      <c r="H142" s="929">
        <v>0</v>
      </c>
      <c r="I142" s="929">
        <v>0</v>
      </c>
      <c r="J142" s="689">
        <f t="shared" si="3"/>
        <v>1</v>
      </c>
    </row>
    <row r="143" spans="1:10" ht="12.75" customHeight="1" x14ac:dyDescent="0.2">
      <c r="A143" s="681" t="s">
        <v>2370</v>
      </c>
      <c r="B143" s="693" t="s">
        <v>2712</v>
      </c>
      <c r="C143" s="672" t="s">
        <v>795</v>
      </c>
      <c r="D143" s="673">
        <v>35115</v>
      </c>
      <c r="E143" s="674">
        <v>10</v>
      </c>
      <c r="F143" s="675">
        <v>0.1</v>
      </c>
      <c r="G143" s="676">
        <v>1</v>
      </c>
      <c r="H143" s="929">
        <v>0</v>
      </c>
      <c r="I143" s="929">
        <v>0</v>
      </c>
      <c r="J143" s="689">
        <f t="shared" si="3"/>
        <v>1</v>
      </c>
    </row>
    <row r="144" spans="1:10" ht="12.75" customHeight="1" x14ac:dyDescent="0.2">
      <c r="A144" s="681" t="s">
        <v>2370</v>
      </c>
      <c r="B144" s="693" t="s">
        <v>2713</v>
      </c>
      <c r="C144" s="672" t="s">
        <v>790</v>
      </c>
      <c r="D144" s="673">
        <v>38403</v>
      </c>
      <c r="E144" s="674">
        <v>10</v>
      </c>
      <c r="F144" s="675">
        <v>0.1</v>
      </c>
      <c r="G144" s="676">
        <v>1</v>
      </c>
      <c r="H144" s="929">
        <v>0</v>
      </c>
      <c r="I144" s="929">
        <v>0</v>
      </c>
      <c r="J144" s="689">
        <f t="shared" si="3"/>
        <v>1</v>
      </c>
    </row>
    <row r="145" spans="1:10" ht="12.75" customHeight="1" x14ac:dyDescent="0.2">
      <c r="A145" s="681" t="s">
        <v>2370</v>
      </c>
      <c r="B145" s="693" t="s">
        <v>2714</v>
      </c>
      <c r="C145" s="672" t="s">
        <v>786</v>
      </c>
      <c r="D145" s="673">
        <v>35115</v>
      </c>
      <c r="E145" s="674">
        <v>10</v>
      </c>
      <c r="F145" s="675">
        <v>0.1</v>
      </c>
      <c r="G145" s="676">
        <v>1</v>
      </c>
      <c r="H145" s="929">
        <v>0</v>
      </c>
      <c r="I145" s="929">
        <v>0</v>
      </c>
      <c r="J145" s="689">
        <f t="shared" si="3"/>
        <v>1</v>
      </c>
    </row>
    <row r="146" spans="1:10" ht="12.75" customHeight="1" x14ac:dyDescent="0.2">
      <c r="A146" s="681" t="s">
        <v>2370</v>
      </c>
      <c r="B146" s="693" t="s">
        <v>2715</v>
      </c>
      <c r="C146" s="672" t="s">
        <v>786</v>
      </c>
      <c r="D146" s="673">
        <v>35115</v>
      </c>
      <c r="E146" s="674">
        <v>10</v>
      </c>
      <c r="F146" s="675">
        <v>0.1</v>
      </c>
      <c r="G146" s="676">
        <v>1</v>
      </c>
      <c r="H146" s="929">
        <v>0</v>
      </c>
      <c r="I146" s="929">
        <v>0</v>
      </c>
      <c r="J146" s="689">
        <f t="shared" si="3"/>
        <v>1</v>
      </c>
    </row>
    <row r="147" spans="1:10" ht="12.75" customHeight="1" x14ac:dyDescent="0.2">
      <c r="A147" s="681" t="s">
        <v>2370</v>
      </c>
      <c r="B147" s="693" t="s">
        <v>2716</v>
      </c>
      <c r="C147" s="672" t="s">
        <v>786</v>
      </c>
      <c r="D147" s="673">
        <v>35115</v>
      </c>
      <c r="E147" s="674">
        <v>10</v>
      </c>
      <c r="F147" s="675">
        <v>0.1</v>
      </c>
      <c r="G147" s="676">
        <v>1</v>
      </c>
      <c r="H147" s="929">
        <v>0</v>
      </c>
      <c r="I147" s="929">
        <v>0</v>
      </c>
      <c r="J147" s="689">
        <f t="shared" si="3"/>
        <v>1</v>
      </c>
    </row>
    <row r="148" spans="1:10" ht="12.75" customHeight="1" x14ac:dyDescent="0.2">
      <c r="A148" s="681" t="s">
        <v>2370</v>
      </c>
      <c r="B148" s="693" t="s">
        <v>2717</v>
      </c>
      <c r="C148" s="672" t="s">
        <v>786</v>
      </c>
      <c r="D148" s="673">
        <v>35115</v>
      </c>
      <c r="E148" s="674">
        <v>10</v>
      </c>
      <c r="F148" s="675">
        <v>0.1</v>
      </c>
      <c r="G148" s="676">
        <v>1</v>
      </c>
      <c r="H148" s="929">
        <v>0</v>
      </c>
      <c r="I148" s="929">
        <v>0</v>
      </c>
      <c r="J148" s="689">
        <f t="shared" si="3"/>
        <v>1</v>
      </c>
    </row>
    <row r="149" spans="1:10" ht="12.75" customHeight="1" x14ac:dyDescent="0.2">
      <c r="A149" s="681" t="s">
        <v>2370</v>
      </c>
      <c r="B149" s="693" t="s">
        <v>2718</v>
      </c>
      <c r="C149" s="672" t="s">
        <v>786</v>
      </c>
      <c r="D149" s="673">
        <v>35115</v>
      </c>
      <c r="E149" s="674">
        <v>10</v>
      </c>
      <c r="F149" s="675">
        <v>0.1</v>
      </c>
      <c r="G149" s="676">
        <v>1</v>
      </c>
      <c r="H149" s="929">
        <v>0</v>
      </c>
      <c r="I149" s="929">
        <v>0</v>
      </c>
      <c r="J149" s="689">
        <f t="shared" si="3"/>
        <v>1</v>
      </c>
    </row>
    <row r="150" spans="1:10" ht="12.75" customHeight="1" x14ac:dyDescent="0.2">
      <c r="A150" s="681" t="s">
        <v>2370</v>
      </c>
      <c r="B150" s="693" t="s">
        <v>2719</v>
      </c>
      <c r="C150" s="672" t="s">
        <v>786</v>
      </c>
      <c r="D150" s="673">
        <v>35115</v>
      </c>
      <c r="E150" s="674">
        <v>10</v>
      </c>
      <c r="F150" s="675">
        <v>0.1</v>
      </c>
      <c r="G150" s="676">
        <v>1</v>
      </c>
      <c r="H150" s="929">
        <v>0</v>
      </c>
      <c r="I150" s="929">
        <v>0</v>
      </c>
      <c r="J150" s="689">
        <f t="shared" si="3"/>
        <v>1</v>
      </c>
    </row>
    <row r="151" spans="1:10" ht="12.75" customHeight="1" x14ac:dyDescent="0.2">
      <c r="A151" s="681" t="s">
        <v>2370</v>
      </c>
      <c r="B151" s="693" t="s">
        <v>2720</v>
      </c>
      <c r="C151" s="672" t="s">
        <v>786</v>
      </c>
      <c r="D151" s="673">
        <v>35115</v>
      </c>
      <c r="E151" s="674">
        <v>10</v>
      </c>
      <c r="F151" s="675">
        <v>0.1</v>
      </c>
      <c r="G151" s="676">
        <v>1</v>
      </c>
      <c r="H151" s="929">
        <v>0</v>
      </c>
      <c r="I151" s="929">
        <v>0</v>
      </c>
      <c r="J151" s="689">
        <f t="shared" si="3"/>
        <v>1</v>
      </c>
    </row>
    <row r="152" spans="1:10" ht="12.75" customHeight="1" x14ac:dyDescent="0.2">
      <c r="A152" s="681" t="s">
        <v>2370</v>
      </c>
      <c r="B152" s="693" t="s">
        <v>2721</v>
      </c>
      <c r="C152" s="672" t="s">
        <v>786</v>
      </c>
      <c r="D152" s="673">
        <v>35115</v>
      </c>
      <c r="E152" s="674">
        <v>10</v>
      </c>
      <c r="F152" s="675">
        <v>0.1</v>
      </c>
      <c r="G152" s="676">
        <v>1</v>
      </c>
      <c r="H152" s="929">
        <v>0</v>
      </c>
      <c r="I152" s="929">
        <v>0</v>
      </c>
      <c r="J152" s="689">
        <f t="shared" si="3"/>
        <v>1</v>
      </c>
    </row>
    <row r="153" spans="1:10" ht="12.75" customHeight="1" x14ac:dyDescent="0.2">
      <c r="A153" s="681" t="s">
        <v>2370</v>
      </c>
      <c r="B153" s="693" t="s">
        <v>2722</v>
      </c>
      <c r="C153" s="672" t="s">
        <v>786</v>
      </c>
      <c r="D153" s="673">
        <v>35115</v>
      </c>
      <c r="E153" s="674">
        <v>10</v>
      </c>
      <c r="F153" s="675">
        <v>0.1</v>
      </c>
      <c r="G153" s="676">
        <v>1</v>
      </c>
      <c r="H153" s="929">
        <v>0</v>
      </c>
      <c r="I153" s="929">
        <v>0</v>
      </c>
      <c r="J153" s="689">
        <f t="shared" si="3"/>
        <v>1</v>
      </c>
    </row>
    <row r="154" spans="1:10" ht="12.75" customHeight="1" x14ac:dyDescent="0.2">
      <c r="A154" s="681" t="s">
        <v>2370</v>
      </c>
      <c r="B154" s="693" t="s">
        <v>2723</v>
      </c>
      <c r="C154" s="672" t="s">
        <v>786</v>
      </c>
      <c r="D154" s="673">
        <v>35115</v>
      </c>
      <c r="E154" s="674">
        <v>10</v>
      </c>
      <c r="F154" s="675">
        <v>0.1</v>
      </c>
      <c r="G154" s="676">
        <v>1</v>
      </c>
      <c r="H154" s="929">
        <v>0</v>
      </c>
      <c r="I154" s="929">
        <v>0</v>
      </c>
      <c r="J154" s="689">
        <f t="shared" si="3"/>
        <v>1</v>
      </c>
    </row>
    <row r="155" spans="1:10" ht="12.75" customHeight="1" x14ac:dyDescent="0.2">
      <c r="A155" s="681" t="s">
        <v>2370</v>
      </c>
      <c r="B155" s="693" t="s">
        <v>2724</v>
      </c>
      <c r="C155" s="672" t="s">
        <v>786</v>
      </c>
      <c r="D155" s="673">
        <v>35115</v>
      </c>
      <c r="E155" s="674">
        <v>10</v>
      </c>
      <c r="F155" s="675">
        <v>0.1</v>
      </c>
      <c r="G155" s="676">
        <v>1</v>
      </c>
      <c r="H155" s="929">
        <v>0</v>
      </c>
      <c r="I155" s="929">
        <v>0</v>
      </c>
      <c r="J155" s="689">
        <f t="shared" si="3"/>
        <v>1</v>
      </c>
    </row>
    <row r="156" spans="1:10" ht="12.75" customHeight="1" x14ac:dyDescent="0.2">
      <c r="A156" s="681" t="s">
        <v>2370</v>
      </c>
      <c r="B156" s="693" t="s">
        <v>2725</v>
      </c>
      <c r="C156" s="672" t="s">
        <v>786</v>
      </c>
      <c r="D156" s="673">
        <v>35115</v>
      </c>
      <c r="E156" s="674">
        <v>10</v>
      </c>
      <c r="F156" s="675">
        <v>0.1</v>
      </c>
      <c r="G156" s="676">
        <v>1</v>
      </c>
      <c r="H156" s="929">
        <v>0</v>
      </c>
      <c r="I156" s="929">
        <v>0</v>
      </c>
      <c r="J156" s="689">
        <f t="shared" si="3"/>
        <v>1</v>
      </c>
    </row>
    <row r="157" spans="1:10" ht="12.75" customHeight="1" x14ac:dyDescent="0.2">
      <c r="A157" s="681" t="s">
        <v>2370</v>
      </c>
      <c r="B157" s="693" t="s">
        <v>2726</v>
      </c>
      <c r="C157" s="672" t="s">
        <v>786</v>
      </c>
      <c r="D157" s="673">
        <v>35115</v>
      </c>
      <c r="E157" s="674">
        <v>10</v>
      </c>
      <c r="F157" s="675">
        <v>0.1</v>
      </c>
      <c r="G157" s="676">
        <v>1</v>
      </c>
      <c r="H157" s="929">
        <v>0</v>
      </c>
      <c r="I157" s="929">
        <v>0</v>
      </c>
      <c r="J157" s="689">
        <f t="shared" si="3"/>
        <v>1</v>
      </c>
    </row>
    <row r="158" spans="1:10" ht="12.75" customHeight="1" x14ac:dyDescent="0.2">
      <c r="A158" s="681" t="s">
        <v>2370</v>
      </c>
      <c r="B158" s="693" t="s">
        <v>2727</v>
      </c>
      <c r="C158" s="672" t="s">
        <v>786</v>
      </c>
      <c r="D158" s="673">
        <v>35115</v>
      </c>
      <c r="E158" s="674">
        <v>10</v>
      </c>
      <c r="F158" s="675">
        <v>0.1</v>
      </c>
      <c r="G158" s="676">
        <v>1</v>
      </c>
      <c r="H158" s="929">
        <v>0</v>
      </c>
      <c r="I158" s="929">
        <v>0</v>
      </c>
      <c r="J158" s="689">
        <f t="shared" si="3"/>
        <v>1</v>
      </c>
    </row>
    <row r="159" spans="1:10" ht="12.75" customHeight="1" x14ac:dyDescent="0.2">
      <c r="A159" s="681" t="s">
        <v>2370</v>
      </c>
      <c r="B159" s="693" t="s">
        <v>2728</v>
      </c>
      <c r="C159" s="672" t="s">
        <v>786</v>
      </c>
      <c r="D159" s="673">
        <v>35115</v>
      </c>
      <c r="E159" s="674">
        <v>10</v>
      </c>
      <c r="F159" s="675">
        <v>0.1</v>
      </c>
      <c r="G159" s="676">
        <v>1</v>
      </c>
      <c r="H159" s="929">
        <v>0</v>
      </c>
      <c r="I159" s="929">
        <v>0</v>
      </c>
      <c r="J159" s="689">
        <f t="shared" si="3"/>
        <v>1</v>
      </c>
    </row>
    <row r="160" spans="1:10" ht="12.75" customHeight="1" x14ac:dyDescent="0.2">
      <c r="A160" s="681" t="s">
        <v>2370</v>
      </c>
      <c r="B160" s="693" t="s">
        <v>2729</v>
      </c>
      <c r="C160" s="672" t="s">
        <v>786</v>
      </c>
      <c r="D160" s="673">
        <v>35115</v>
      </c>
      <c r="E160" s="674">
        <v>10</v>
      </c>
      <c r="F160" s="675">
        <v>0.1</v>
      </c>
      <c r="G160" s="676">
        <v>1</v>
      </c>
      <c r="H160" s="929">
        <v>0</v>
      </c>
      <c r="I160" s="929">
        <v>0</v>
      </c>
      <c r="J160" s="689">
        <f t="shared" si="3"/>
        <v>1</v>
      </c>
    </row>
    <row r="161" spans="1:10" ht="12.75" customHeight="1" x14ac:dyDescent="0.2">
      <c r="A161" s="681" t="s">
        <v>2370</v>
      </c>
      <c r="B161" s="693" t="s">
        <v>2730</v>
      </c>
      <c r="C161" s="672" t="s">
        <v>786</v>
      </c>
      <c r="D161" s="673">
        <v>35115</v>
      </c>
      <c r="E161" s="674">
        <v>10</v>
      </c>
      <c r="F161" s="675">
        <v>0.1</v>
      </c>
      <c r="G161" s="676">
        <v>1</v>
      </c>
      <c r="H161" s="929">
        <v>0</v>
      </c>
      <c r="I161" s="929">
        <v>0</v>
      </c>
      <c r="J161" s="689">
        <f t="shared" si="3"/>
        <v>1</v>
      </c>
    </row>
    <row r="162" spans="1:10" ht="12.75" customHeight="1" x14ac:dyDescent="0.2">
      <c r="A162" s="681" t="s">
        <v>2370</v>
      </c>
      <c r="B162" s="693" t="s">
        <v>2731</v>
      </c>
      <c r="C162" s="672" t="s">
        <v>786</v>
      </c>
      <c r="D162" s="673">
        <v>35115</v>
      </c>
      <c r="E162" s="674">
        <v>10</v>
      </c>
      <c r="F162" s="675">
        <v>0.1</v>
      </c>
      <c r="G162" s="676">
        <v>1</v>
      </c>
      <c r="H162" s="929">
        <v>0</v>
      </c>
      <c r="I162" s="929">
        <v>0</v>
      </c>
      <c r="J162" s="689">
        <f t="shared" si="3"/>
        <v>1</v>
      </c>
    </row>
    <row r="163" spans="1:10" ht="12.75" customHeight="1" x14ac:dyDescent="0.2">
      <c r="A163" s="681" t="s">
        <v>2370</v>
      </c>
      <c r="B163" s="693" t="s">
        <v>2732</v>
      </c>
      <c r="C163" s="672" t="s">
        <v>786</v>
      </c>
      <c r="D163" s="673">
        <v>35115</v>
      </c>
      <c r="E163" s="674">
        <v>10</v>
      </c>
      <c r="F163" s="675">
        <v>0.1</v>
      </c>
      <c r="G163" s="676">
        <v>1</v>
      </c>
      <c r="H163" s="929">
        <v>0</v>
      </c>
      <c r="I163" s="929">
        <v>0</v>
      </c>
      <c r="J163" s="689">
        <f t="shared" si="3"/>
        <v>1</v>
      </c>
    </row>
    <row r="164" spans="1:10" ht="12.75" customHeight="1" x14ac:dyDescent="0.2">
      <c r="A164" s="681" t="s">
        <v>2370</v>
      </c>
      <c r="B164" s="693" t="s">
        <v>2733</v>
      </c>
      <c r="C164" s="672" t="s">
        <v>786</v>
      </c>
      <c r="D164" s="673">
        <v>35115</v>
      </c>
      <c r="E164" s="674">
        <v>10</v>
      </c>
      <c r="F164" s="675">
        <v>0.1</v>
      </c>
      <c r="G164" s="676">
        <v>1</v>
      </c>
      <c r="H164" s="929">
        <v>0</v>
      </c>
      <c r="I164" s="929">
        <v>0</v>
      </c>
      <c r="J164" s="689">
        <f t="shared" si="3"/>
        <v>1</v>
      </c>
    </row>
    <row r="165" spans="1:10" ht="12.75" customHeight="1" x14ac:dyDescent="0.2">
      <c r="A165" s="681" t="s">
        <v>2370</v>
      </c>
      <c r="B165" s="693" t="s">
        <v>2734</v>
      </c>
      <c r="C165" s="672" t="s">
        <v>786</v>
      </c>
      <c r="D165" s="673">
        <v>35115</v>
      </c>
      <c r="E165" s="674">
        <v>10</v>
      </c>
      <c r="F165" s="675">
        <v>0.1</v>
      </c>
      <c r="G165" s="676">
        <v>1</v>
      </c>
      <c r="H165" s="929">
        <v>0</v>
      </c>
      <c r="I165" s="929">
        <v>0</v>
      </c>
      <c r="J165" s="689">
        <f t="shared" si="3"/>
        <v>1</v>
      </c>
    </row>
    <row r="166" spans="1:10" ht="12.75" customHeight="1" x14ac:dyDescent="0.2">
      <c r="A166" s="681" t="s">
        <v>2370</v>
      </c>
      <c r="B166" s="693" t="s">
        <v>2735</v>
      </c>
      <c r="C166" s="672" t="s">
        <v>786</v>
      </c>
      <c r="D166" s="673">
        <v>35115</v>
      </c>
      <c r="E166" s="674">
        <v>10</v>
      </c>
      <c r="F166" s="675">
        <v>0.1</v>
      </c>
      <c r="G166" s="676">
        <v>1</v>
      </c>
      <c r="H166" s="929">
        <v>0</v>
      </c>
      <c r="I166" s="929">
        <v>0</v>
      </c>
      <c r="J166" s="689">
        <f t="shared" si="3"/>
        <v>1</v>
      </c>
    </row>
    <row r="167" spans="1:10" ht="12.75" customHeight="1" x14ac:dyDescent="0.2">
      <c r="A167" s="681" t="s">
        <v>2370</v>
      </c>
      <c r="B167" s="693" t="s">
        <v>2736</v>
      </c>
      <c r="C167" s="672" t="s">
        <v>786</v>
      </c>
      <c r="D167" s="673">
        <v>35115</v>
      </c>
      <c r="E167" s="674">
        <v>10</v>
      </c>
      <c r="F167" s="675">
        <v>0.1</v>
      </c>
      <c r="G167" s="676">
        <v>1</v>
      </c>
      <c r="H167" s="929">
        <v>0</v>
      </c>
      <c r="I167" s="929">
        <v>0</v>
      </c>
      <c r="J167" s="689">
        <f t="shared" si="3"/>
        <v>1</v>
      </c>
    </row>
    <row r="168" spans="1:10" ht="12.75" customHeight="1" x14ac:dyDescent="0.2">
      <c r="A168" s="681" t="s">
        <v>2370</v>
      </c>
      <c r="B168" s="693" t="s">
        <v>2737</v>
      </c>
      <c r="C168" s="672" t="s">
        <v>786</v>
      </c>
      <c r="D168" s="673">
        <v>35115</v>
      </c>
      <c r="E168" s="674">
        <v>10</v>
      </c>
      <c r="F168" s="675">
        <v>0.1</v>
      </c>
      <c r="G168" s="676">
        <v>1</v>
      </c>
      <c r="H168" s="929">
        <v>0</v>
      </c>
      <c r="I168" s="929">
        <v>0</v>
      </c>
      <c r="J168" s="689">
        <f t="shared" si="3"/>
        <v>1</v>
      </c>
    </row>
    <row r="169" spans="1:10" ht="12.75" customHeight="1" x14ac:dyDescent="0.2">
      <c r="A169" s="681" t="s">
        <v>2370</v>
      </c>
      <c r="B169" s="693" t="s">
        <v>2738</v>
      </c>
      <c r="C169" s="672" t="s">
        <v>786</v>
      </c>
      <c r="D169" s="673">
        <v>35115</v>
      </c>
      <c r="E169" s="674">
        <v>10</v>
      </c>
      <c r="F169" s="675">
        <v>0.1</v>
      </c>
      <c r="G169" s="676">
        <v>1</v>
      </c>
      <c r="H169" s="929">
        <v>0</v>
      </c>
      <c r="I169" s="929">
        <v>0</v>
      </c>
      <c r="J169" s="689">
        <f t="shared" si="3"/>
        <v>1</v>
      </c>
    </row>
    <row r="170" spans="1:10" ht="12.75" customHeight="1" x14ac:dyDescent="0.2">
      <c r="A170" s="681" t="s">
        <v>2370</v>
      </c>
      <c r="B170" s="693" t="s">
        <v>2739</v>
      </c>
      <c r="C170" s="672" t="s">
        <v>786</v>
      </c>
      <c r="D170" s="673">
        <v>35115</v>
      </c>
      <c r="E170" s="674">
        <v>10</v>
      </c>
      <c r="F170" s="675">
        <v>0.1</v>
      </c>
      <c r="G170" s="676">
        <v>1</v>
      </c>
      <c r="H170" s="929">
        <v>0</v>
      </c>
      <c r="I170" s="929">
        <v>0</v>
      </c>
      <c r="J170" s="689">
        <f t="shared" si="3"/>
        <v>1</v>
      </c>
    </row>
    <row r="171" spans="1:10" ht="12.75" customHeight="1" x14ac:dyDescent="0.2">
      <c r="A171" s="681" t="s">
        <v>2370</v>
      </c>
      <c r="B171" s="693" t="s">
        <v>2740</v>
      </c>
      <c r="C171" s="672" t="s">
        <v>785</v>
      </c>
      <c r="D171" s="673">
        <v>39498</v>
      </c>
      <c r="E171" s="674">
        <v>10</v>
      </c>
      <c r="F171" s="675">
        <v>0.1</v>
      </c>
      <c r="G171" s="676">
        <v>1</v>
      </c>
      <c r="H171" s="929">
        <v>0</v>
      </c>
      <c r="I171" s="929">
        <v>0</v>
      </c>
      <c r="J171" s="689">
        <f t="shared" si="3"/>
        <v>1</v>
      </c>
    </row>
    <row r="172" spans="1:10" ht="12.75" customHeight="1" x14ac:dyDescent="0.2">
      <c r="A172" s="681" t="s">
        <v>2370</v>
      </c>
      <c r="B172" s="693" t="s">
        <v>2741</v>
      </c>
      <c r="C172" s="672" t="s">
        <v>786</v>
      </c>
      <c r="D172" s="673">
        <v>39498</v>
      </c>
      <c r="E172" s="674">
        <v>10</v>
      </c>
      <c r="F172" s="675">
        <v>0.1</v>
      </c>
      <c r="G172" s="676">
        <v>1</v>
      </c>
      <c r="H172" s="929">
        <v>0</v>
      </c>
      <c r="I172" s="929">
        <v>0</v>
      </c>
      <c r="J172" s="689">
        <f t="shared" si="3"/>
        <v>1</v>
      </c>
    </row>
    <row r="173" spans="1:10" ht="12.75" customHeight="1" x14ac:dyDescent="0.2">
      <c r="A173" s="681" t="s">
        <v>2370</v>
      </c>
      <c r="B173" s="693" t="s">
        <v>2742</v>
      </c>
      <c r="C173" s="672" t="s">
        <v>815</v>
      </c>
      <c r="D173" s="673">
        <v>39498</v>
      </c>
      <c r="E173" s="674">
        <v>10</v>
      </c>
      <c r="F173" s="675">
        <v>0.1</v>
      </c>
      <c r="G173" s="676">
        <v>1</v>
      </c>
      <c r="H173" s="929">
        <v>0</v>
      </c>
      <c r="I173" s="929">
        <v>0</v>
      </c>
      <c r="J173" s="689">
        <f t="shared" si="3"/>
        <v>1</v>
      </c>
    </row>
    <row r="174" spans="1:10" ht="12.75" customHeight="1" x14ac:dyDescent="0.2">
      <c r="A174" s="681" t="s">
        <v>2370</v>
      </c>
      <c r="B174" s="693" t="s">
        <v>2743</v>
      </c>
      <c r="C174" s="672" t="s">
        <v>791</v>
      </c>
      <c r="D174" s="673">
        <v>38403</v>
      </c>
      <c r="E174" s="674">
        <v>10</v>
      </c>
      <c r="F174" s="675">
        <v>0.1</v>
      </c>
      <c r="G174" s="676">
        <v>1</v>
      </c>
      <c r="H174" s="929">
        <v>0</v>
      </c>
      <c r="I174" s="929">
        <v>0</v>
      </c>
      <c r="J174" s="689">
        <f t="shared" si="3"/>
        <v>1</v>
      </c>
    </row>
    <row r="175" spans="1:10" ht="12.75" customHeight="1" x14ac:dyDescent="0.2">
      <c r="A175" s="681" t="s">
        <v>2370</v>
      </c>
      <c r="B175" s="693" t="s">
        <v>2744</v>
      </c>
      <c r="C175" s="672" t="s">
        <v>787</v>
      </c>
      <c r="D175" s="673">
        <v>39498</v>
      </c>
      <c r="E175" s="674">
        <v>10</v>
      </c>
      <c r="F175" s="675">
        <v>0.1</v>
      </c>
      <c r="G175" s="676">
        <v>1</v>
      </c>
      <c r="H175" s="929">
        <v>0</v>
      </c>
      <c r="I175" s="929">
        <v>0</v>
      </c>
      <c r="J175" s="689">
        <f t="shared" si="3"/>
        <v>1</v>
      </c>
    </row>
    <row r="176" spans="1:10" ht="12.75" customHeight="1" x14ac:dyDescent="0.2">
      <c r="A176" s="681" t="s">
        <v>2370</v>
      </c>
      <c r="B176" s="693" t="s">
        <v>2745</v>
      </c>
      <c r="C176" s="672" t="s">
        <v>787</v>
      </c>
      <c r="D176" s="673">
        <v>39864</v>
      </c>
      <c r="E176" s="674">
        <v>10</v>
      </c>
      <c r="F176" s="675">
        <v>0.1</v>
      </c>
      <c r="G176" s="676">
        <v>1</v>
      </c>
      <c r="H176" s="929">
        <v>0</v>
      </c>
      <c r="I176" s="929">
        <v>0</v>
      </c>
      <c r="J176" s="689">
        <f t="shared" si="3"/>
        <v>1</v>
      </c>
    </row>
    <row r="177" spans="1:10" ht="12.75" customHeight="1" x14ac:dyDescent="0.2">
      <c r="A177" s="681" t="s">
        <v>2370</v>
      </c>
      <c r="B177" s="693" t="s">
        <v>2746</v>
      </c>
      <c r="C177" s="672" t="s">
        <v>788</v>
      </c>
      <c r="D177" s="673">
        <v>38768</v>
      </c>
      <c r="E177" s="674">
        <v>10</v>
      </c>
      <c r="F177" s="675">
        <v>0.1</v>
      </c>
      <c r="G177" s="676">
        <v>1</v>
      </c>
      <c r="H177" s="929">
        <v>0</v>
      </c>
      <c r="I177" s="929">
        <v>0</v>
      </c>
      <c r="J177" s="689">
        <f t="shared" si="3"/>
        <v>1</v>
      </c>
    </row>
    <row r="178" spans="1:10" ht="12.75" customHeight="1" x14ac:dyDescent="0.2">
      <c r="A178" s="681" t="s">
        <v>2370</v>
      </c>
      <c r="B178" s="693" t="s">
        <v>2747</v>
      </c>
      <c r="C178" s="672" t="s">
        <v>790</v>
      </c>
      <c r="D178" s="673">
        <v>39498</v>
      </c>
      <c r="E178" s="674">
        <v>10</v>
      </c>
      <c r="F178" s="675">
        <v>0.1</v>
      </c>
      <c r="G178" s="676">
        <v>1</v>
      </c>
      <c r="H178" s="929">
        <v>0</v>
      </c>
      <c r="I178" s="929">
        <v>0</v>
      </c>
      <c r="J178" s="689">
        <f t="shared" si="3"/>
        <v>1</v>
      </c>
    </row>
    <row r="179" spans="1:10" ht="12.75" customHeight="1" x14ac:dyDescent="0.2">
      <c r="A179" s="681" t="s">
        <v>2370</v>
      </c>
      <c r="B179" s="693" t="s">
        <v>2748</v>
      </c>
      <c r="C179" s="672" t="s">
        <v>785</v>
      </c>
      <c r="D179" s="673">
        <v>38768</v>
      </c>
      <c r="E179" s="674">
        <v>10</v>
      </c>
      <c r="F179" s="675">
        <v>0.1</v>
      </c>
      <c r="G179" s="676">
        <v>1</v>
      </c>
      <c r="H179" s="929">
        <v>0</v>
      </c>
      <c r="I179" s="929">
        <v>0</v>
      </c>
      <c r="J179" s="689">
        <f t="shared" si="3"/>
        <v>1</v>
      </c>
    </row>
    <row r="180" spans="1:10" ht="12.75" customHeight="1" x14ac:dyDescent="0.2">
      <c r="A180" s="681" t="s">
        <v>2370</v>
      </c>
      <c r="B180" s="693" t="s">
        <v>2749</v>
      </c>
      <c r="C180" s="672" t="s">
        <v>785</v>
      </c>
      <c r="D180" s="673">
        <v>39133</v>
      </c>
      <c r="E180" s="674">
        <v>10</v>
      </c>
      <c r="F180" s="675">
        <v>0.1</v>
      </c>
      <c r="G180" s="676">
        <v>1</v>
      </c>
      <c r="H180" s="929">
        <v>0</v>
      </c>
      <c r="I180" s="929">
        <v>0</v>
      </c>
      <c r="J180" s="689">
        <f t="shared" si="3"/>
        <v>1</v>
      </c>
    </row>
    <row r="181" spans="1:10" ht="12.75" customHeight="1" x14ac:dyDescent="0.2">
      <c r="A181" s="681" t="s">
        <v>2370</v>
      </c>
      <c r="B181" s="693" t="s">
        <v>2750</v>
      </c>
      <c r="C181" s="672" t="s">
        <v>785</v>
      </c>
      <c r="D181" s="673">
        <v>39133</v>
      </c>
      <c r="E181" s="674">
        <v>10</v>
      </c>
      <c r="F181" s="675">
        <v>0.1</v>
      </c>
      <c r="G181" s="676">
        <v>1</v>
      </c>
      <c r="H181" s="929">
        <v>0</v>
      </c>
      <c r="I181" s="929">
        <v>0</v>
      </c>
      <c r="J181" s="689">
        <f t="shared" si="3"/>
        <v>1</v>
      </c>
    </row>
    <row r="182" spans="1:10" ht="12.75" customHeight="1" x14ac:dyDescent="0.2">
      <c r="A182" s="681" t="s">
        <v>2370</v>
      </c>
      <c r="B182" s="693" t="s">
        <v>2751</v>
      </c>
      <c r="C182" s="672" t="s">
        <v>785</v>
      </c>
      <c r="D182" s="673">
        <v>39498</v>
      </c>
      <c r="E182" s="674">
        <v>10</v>
      </c>
      <c r="F182" s="675">
        <v>0.1</v>
      </c>
      <c r="G182" s="676">
        <v>1</v>
      </c>
      <c r="H182" s="929">
        <v>0</v>
      </c>
      <c r="I182" s="929">
        <v>0</v>
      </c>
      <c r="J182" s="689">
        <f t="shared" si="3"/>
        <v>1</v>
      </c>
    </row>
    <row r="183" spans="1:10" ht="12.75" customHeight="1" x14ac:dyDescent="0.2">
      <c r="A183" s="681" t="s">
        <v>2370</v>
      </c>
      <c r="B183" s="693" t="s">
        <v>2752</v>
      </c>
      <c r="C183" s="672" t="s">
        <v>791</v>
      </c>
      <c r="D183" s="673">
        <v>38768</v>
      </c>
      <c r="E183" s="674">
        <v>10</v>
      </c>
      <c r="F183" s="675">
        <v>0.1</v>
      </c>
      <c r="G183" s="676">
        <v>1</v>
      </c>
      <c r="H183" s="929">
        <v>0</v>
      </c>
      <c r="I183" s="929">
        <v>0</v>
      </c>
      <c r="J183" s="689">
        <f t="shared" si="3"/>
        <v>1</v>
      </c>
    </row>
    <row r="184" spans="1:10" ht="12.75" customHeight="1" x14ac:dyDescent="0.2">
      <c r="A184" s="681" t="s">
        <v>2370</v>
      </c>
      <c r="B184" s="693" t="s">
        <v>2753</v>
      </c>
      <c r="C184" s="672" t="s">
        <v>787</v>
      </c>
      <c r="D184" s="673">
        <v>39864</v>
      </c>
      <c r="E184" s="674">
        <v>10</v>
      </c>
      <c r="F184" s="675">
        <v>0.1</v>
      </c>
      <c r="G184" s="676">
        <v>1</v>
      </c>
      <c r="H184" s="929">
        <v>0</v>
      </c>
      <c r="I184" s="929">
        <v>0</v>
      </c>
      <c r="J184" s="689">
        <f t="shared" si="3"/>
        <v>1</v>
      </c>
    </row>
    <row r="185" spans="1:10" ht="12.75" customHeight="1" x14ac:dyDescent="0.2">
      <c r="A185" s="681" t="s">
        <v>2370</v>
      </c>
      <c r="B185" s="693" t="s">
        <v>2754</v>
      </c>
      <c r="C185" s="672" t="s">
        <v>785</v>
      </c>
      <c r="D185" s="673">
        <v>39133</v>
      </c>
      <c r="E185" s="674">
        <v>10</v>
      </c>
      <c r="F185" s="675">
        <v>0.1</v>
      </c>
      <c r="G185" s="676">
        <v>1</v>
      </c>
      <c r="H185" s="929">
        <v>0</v>
      </c>
      <c r="I185" s="929">
        <v>0</v>
      </c>
      <c r="J185" s="689">
        <f t="shared" si="3"/>
        <v>1</v>
      </c>
    </row>
    <row r="186" spans="1:10" ht="12.75" customHeight="1" x14ac:dyDescent="0.2">
      <c r="A186" s="681" t="s">
        <v>2370</v>
      </c>
      <c r="B186" s="693" t="s">
        <v>2755</v>
      </c>
      <c r="C186" s="672" t="s">
        <v>787</v>
      </c>
      <c r="D186" s="673">
        <v>39498</v>
      </c>
      <c r="E186" s="674">
        <v>10</v>
      </c>
      <c r="F186" s="675">
        <v>0.1</v>
      </c>
      <c r="G186" s="676">
        <v>1</v>
      </c>
      <c r="H186" s="929">
        <v>0</v>
      </c>
      <c r="I186" s="929">
        <v>0</v>
      </c>
      <c r="J186" s="689">
        <f t="shared" si="3"/>
        <v>1</v>
      </c>
    </row>
    <row r="187" spans="1:10" ht="12.75" customHeight="1" x14ac:dyDescent="0.2">
      <c r="A187" s="681" t="s">
        <v>2370</v>
      </c>
      <c r="B187" s="693" t="s">
        <v>2756</v>
      </c>
      <c r="C187" s="672" t="s">
        <v>785</v>
      </c>
      <c r="D187" s="673">
        <v>39498</v>
      </c>
      <c r="E187" s="674">
        <v>10</v>
      </c>
      <c r="F187" s="675">
        <v>0.1</v>
      </c>
      <c r="G187" s="676">
        <v>1</v>
      </c>
      <c r="H187" s="929">
        <v>0</v>
      </c>
      <c r="I187" s="929">
        <v>0</v>
      </c>
      <c r="J187" s="689">
        <f t="shared" si="3"/>
        <v>1</v>
      </c>
    </row>
    <row r="188" spans="1:10" ht="12.75" customHeight="1" x14ac:dyDescent="0.2">
      <c r="A188" s="681" t="s">
        <v>2370</v>
      </c>
      <c r="B188" s="693" t="s">
        <v>2757</v>
      </c>
      <c r="C188" s="672" t="s">
        <v>791</v>
      </c>
      <c r="D188" s="673">
        <v>39133</v>
      </c>
      <c r="E188" s="674">
        <v>10</v>
      </c>
      <c r="F188" s="675">
        <v>0.1</v>
      </c>
      <c r="G188" s="676">
        <v>1</v>
      </c>
      <c r="H188" s="929">
        <v>0</v>
      </c>
      <c r="I188" s="929">
        <v>0</v>
      </c>
      <c r="J188" s="689">
        <f t="shared" si="3"/>
        <v>1</v>
      </c>
    </row>
    <row r="189" spans="1:10" ht="12.75" customHeight="1" x14ac:dyDescent="0.2">
      <c r="A189" s="681" t="s">
        <v>2370</v>
      </c>
      <c r="B189" s="693" t="s">
        <v>2758</v>
      </c>
      <c r="C189" s="672" t="s">
        <v>806</v>
      </c>
      <c r="D189" s="673">
        <v>38037</v>
      </c>
      <c r="E189" s="674">
        <v>10</v>
      </c>
      <c r="F189" s="675">
        <v>0.1</v>
      </c>
      <c r="G189" s="676">
        <v>1</v>
      </c>
      <c r="H189" s="929">
        <v>0</v>
      </c>
      <c r="I189" s="929">
        <v>0</v>
      </c>
      <c r="J189" s="689">
        <f t="shared" si="3"/>
        <v>1</v>
      </c>
    </row>
    <row r="190" spans="1:10" ht="12.75" customHeight="1" x14ac:dyDescent="0.2">
      <c r="A190" s="681" t="s">
        <v>2370</v>
      </c>
      <c r="B190" s="693" t="s">
        <v>2759</v>
      </c>
      <c r="C190" s="672" t="s">
        <v>790</v>
      </c>
      <c r="D190" s="673">
        <v>38037</v>
      </c>
      <c r="E190" s="674">
        <v>10</v>
      </c>
      <c r="F190" s="675">
        <v>0.1</v>
      </c>
      <c r="G190" s="676">
        <v>1</v>
      </c>
      <c r="H190" s="929">
        <v>0</v>
      </c>
      <c r="I190" s="929">
        <v>0</v>
      </c>
      <c r="J190" s="689">
        <f t="shared" si="3"/>
        <v>1</v>
      </c>
    </row>
    <row r="191" spans="1:10" ht="12.75" customHeight="1" x14ac:dyDescent="0.2">
      <c r="A191" s="681" t="s">
        <v>2370</v>
      </c>
      <c r="B191" s="693" t="s">
        <v>2760</v>
      </c>
      <c r="C191" s="672" t="s">
        <v>791</v>
      </c>
      <c r="D191" s="673">
        <v>35115</v>
      </c>
      <c r="E191" s="674">
        <v>10</v>
      </c>
      <c r="F191" s="675">
        <v>0.1</v>
      </c>
      <c r="G191" s="676">
        <v>1</v>
      </c>
      <c r="H191" s="929">
        <v>0</v>
      </c>
      <c r="I191" s="929">
        <v>0</v>
      </c>
      <c r="J191" s="689">
        <f t="shared" si="3"/>
        <v>1</v>
      </c>
    </row>
    <row r="192" spans="1:10" ht="12.75" customHeight="1" x14ac:dyDescent="0.2">
      <c r="A192" s="681" t="s">
        <v>2370</v>
      </c>
      <c r="B192" s="693" t="s">
        <v>2761</v>
      </c>
      <c r="C192" s="672" t="s">
        <v>787</v>
      </c>
      <c r="D192" s="673">
        <v>39498</v>
      </c>
      <c r="E192" s="674">
        <v>10</v>
      </c>
      <c r="F192" s="675">
        <v>0.1</v>
      </c>
      <c r="G192" s="676">
        <v>1</v>
      </c>
      <c r="H192" s="929">
        <v>0</v>
      </c>
      <c r="I192" s="929">
        <v>0</v>
      </c>
      <c r="J192" s="689">
        <f t="shared" si="3"/>
        <v>1</v>
      </c>
    </row>
    <row r="193" spans="1:10" ht="12.75" customHeight="1" x14ac:dyDescent="0.2">
      <c r="A193" s="681" t="s">
        <v>2370</v>
      </c>
      <c r="B193" s="693" t="s">
        <v>2762</v>
      </c>
      <c r="C193" s="672" t="s">
        <v>804</v>
      </c>
      <c r="D193" s="673">
        <v>38037</v>
      </c>
      <c r="E193" s="674">
        <v>10</v>
      </c>
      <c r="F193" s="675">
        <v>0.1</v>
      </c>
      <c r="G193" s="676">
        <v>1</v>
      </c>
      <c r="H193" s="929">
        <v>0</v>
      </c>
      <c r="I193" s="929">
        <v>0</v>
      </c>
      <c r="J193" s="689">
        <f t="shared" si="3"/>
        <v>1</v>
      </c>
    </row>
    <row r="194" spans="1:10" ht="12.75" customHeight="1" x14ac:dyDescent="0.2">
      <c r="A194" s="681" t="s">
        <v>2370</v>
      </c>
      <c r="B194" s="693" t="s">
        <v>2763</v>
      </c>
      <c r="C194" s="672" t="s">
        <v>785</v>
      </c>
      <c r="D194" s="673">
        <v>39864</v>
      </c>
      <c r="E194" s="674">
        <v>10</v>
      </c>
      <c r="F194" s="675">
        <v>0.1</v>
      </c>
      <c r="G194" s="676">
        <v>1</v>
      </c>
      <c r="H194" s="929">
        <v>0</v>
      </c>
      <c r="I194" s="929">
        <v>0</v>
      </c>
      <c r="J194" s="689">
        <f t="shared" si="3"/>
        <v>1</v>
      </c>
    </row>
    <row r="195" spans="1:10" ht="12.75" customHeight="1" x14ac:dyDescent="0.2">
      <c r="A195" s="681" t="s">
        <v>2370</v>
      </c>
      <c r="B195" s="693" t="s">
        <v>2764</v>
      </c>
      <c r="C195" s="672" t="s">
        <v>786</v>
      </c>
      <c r="D195" s="673">
        <v>39498</v>
      </c>
      <c r="E195" s="674">
        <v>10</v>
      </c>
      <c r="F195" s="675">
        <v>0.1</v>
      </c>
      <c r="G195" s="676">
        <v>1</v>
      </c>
      <c r="H195" s="929">
        <v>0</v>
      </c>
      <c r="I195" s="929">
        <v>0</v>
      </c>
      <c r="J195" s="689">
        <f t="shared" si="3"/>
        <v>1</v>
      </c>
    </row>
    <row r="196" spans="1:10" ht="12.75" customHeight="1" x14ac:dyDescent="0.2">
      <c r="A196" s="681" t="s">
        <v>2370</v>
      </c>
      <c r="B196" s="693" t="s">
        <v>2765</v>
      </c>
      <c r="C196" s="672" t="s">
        <v>804</v>
      </c>
      <c r="D196" s="673">
        <v>36211</v>
      </c>
      <c r="E196" s="674">
        <v>10</v>
      </c>
      <c r="F196" s="675">
        <v>0.1</v>
      </c>
      <c r="G196" s="676">
        <v>1</v>
      </c>
      <c r="H196" s="929">
        <v>0</v>
      </c>
      <c r="I196" s="929">
        <v>0</v>
      </c>
      <c r="J196" s="689">
        <f t="shared" si="3"/>
        <v>1</v>
      </c>
    </row>
    <row r="197" spans="1:10" ht="12.75" customHeight="1" x14ac:dyDescent="0.2">
      <c r="A197" s="681" t="s">
        <v>2370</v>
      </c>
      <c r="B197" s="693" t="s">
        <v>2766</v>
      </c>
      <c r="C197" s="672" t="s">
        <v>804</v>
      </c>
      <c r="D197" s="673">
        <v>36576</v>
      </c>
      <c r="E197" s="674">
        <v>10</v>
      </c>
      <c r="F197" s="675">
        <v>0.1</v>
      </c>
      <c r="G197" s="676">
        <v>1</v>
      </c>
      <c r="H197" s="929">
        <v>0</v>
      </c>
      <c r="I197" s="929">
        <v>0</v>
      </c>
      <c r="J197" s="689">
        <f t="shared" si="3"/>
        <v>1</v>
      </c>
    </row>
    <row r="198" spans="1:10" ht="12.75" customHeight="1" x14ac:dyDescent="0.2">
      <c r="A198" s="681" t="s">
        <v>2370</v>
      </c>
      <c r="B198" s="693" t="s">
        <v>2767</v>
      </c>
      <c r="C198" s="672" t="s">
        <v>787</v>
      </c>
      <c r="D198" s="673">
        <v>39864</v>
      </c>
      <c r="E198" s="674">
        <v>10</v>
      </c>
      <c r="F198" s="675">
        <v>0.1</v>
      </c>
      <c r="G198" s="676">
        <v>1</v>
      </c>
      <c r="H198" s="929">
        <v>0</v>
      </c>
      <c r="I198" s="929">
        <v>0</v>
      </c>
      <c r="J198" s="689">
        <f t="shared" si="3"/>
        <v>1</v>
      </c>
    </row>
    <row r="199" spans="1:10" ht="12.75" customHeight="1" x14ac:dyDescent="0.2">
      <c r="A199" s="681" t="s">
        <v>2370</v>
      </c>
      <c r="B199" s="693" t="s">
        <v>2768</v>
      </c>
      <c r="C199" s="672" t="s">
        <v>785</v>
      </c>
      <c r="D199" s="673">
        <v>39498</v>
      </c>
      <c r="E199" s="674">
        <v>10</v>
      </c>
      <c r="F199" s="675">
        <v>0.1</v>
      </c>
      <c r="G199" s="676">
        <v>1</v>
      </c>
      <c r="H199" s="929">
        <v>0</v>
      </c>
      <c r="I199" s="929">
        <v>0</v>
      </c>
      <c r="J199" s="689">
        <f t="shared" ref="J199:J262" si="4">G199-I199</f>
        <v>1</v>
      </c>
    </row>
    <row r="200" spans="1:10" ht="12.75" customHeight="1" x14ac:dyDescent="0.2">
      <c r="A200" s="681" t="s">
        <v>2370</v>
      </c>
      <c r="B200" s="693" t="s">
        <v>2769</v>
      </c>
      <c r="C200" s="672" t="s">
        <v>790</v>
      </c>
      <c r="D200" s="673">
        <v>37672</v>
      </c>
      <c r="E200" s="674">
        <v>10</v>
      </c>
      <c r="F200" s="675">
        <v>0.1</v>
      </c>
      <c r="G200" s="676">
        <v>1</v>
      </c>
      <c r="H200" s="929">
        <v>0</v>
      </c>
      <c r="I200" s="929">
        <v>0</v>
      </c>
      <c r="J200" s="689">
        <f t="shared" si="4"/>
        <v>1</v>
      </c>
    </row>
    <row r="201" spans="1:10" ht="12.75" customHeight="1" x14ac:dyDescent="0.2">
      <c r="A201" s="681" t="s">
        <v>2370</v>
      </c>
      <c r="B201" s="693" t="s">
        <v>2770</v>
      </c>
      <c r="C201" s="672" t="s">
        <v>790</v>
      </c>
      <c r="D201" s="673">
        <v>39498</v>
      </c>
      <c r="E201" s="674">
        <v>10</v>
      </c>
      <c r="F201" s="675">
        <v>0.1</v>
      </c>
      <c r="G201" s="676">
        <v>1</v>
      </c>
      <c r="H201" s="929">
        <v>0</v>
      </c>
      <c r="I201" s="929">
        <v>0</v>
      </c>
      <c r="J201" s="689">
        <f t="shared" si="4"/>
        <v>1</v>
      </c>
    </row>
    <row r="202" spans="1:10" ht="12.75" customHeight="1" x14ac:dyDescent="0.2">
      <c r="A202" s="681" t="s">
        <v>2370</v>
      </c>
      <c r="B202" s="693" t="s">
        <v>2771</v>
      </c>
      <c r="C202" s="672" t="s">
        <v>787</v>
      </c>
      <c r="D202" s="673">
        <v>36211</v>
      </c>
      <c r="E202" s="674">
        <v>10</v>
      </c>
      <c r="F202" s="675">
        <v>0.1</v>
      </c>
      <c r="G202" s="676">
        <v>1</v>
      </c>
      <c r="H202" s="929">
        <v>0</v>
      </c>
      <c r="I202" s="929">
        <v>0</v>
      </c>
      <c r="J202" s="689">
        <f t="shared" si="4"/>
        <v>1</v>
      </c>
    </row>
    <row r="203" spans="1:10" ht="12.75" customHeight="1" x14ac:dyDescent="0.2">
      <c r="A203" s="681" t="s">
        <v>2370</v>
      </c>
      <c r="B203" s="693" t="s">
        <v>2772</v>
      </c>
      <c r="C203" s="672" t="s">
        <v>795</v>
      </c>
      <c r="D203" s="673">
        <v>39864</v>
      </c>
      <c r="E203" s="674">
        <v>10</v>
      </c>
      <c r="F203" s="675">
        <v>0.1</v>
      </c>
      <c r="G203" s="676">
        <v>1</v>
      </c>
      <c r="H203" s="929">
        <v>0</v>
      </c>
      <c r="I203" s="929">
        <v>0</v>
      </c>
      <c r="J203" s="689">
        <f t="shared" si="4"/>
        <v>1</v>
      </c>
    </row>
    <row r="204" spans="1:10" ht="12.75" customHeight="1" x14ac:dyDescent="0.2">
      <c r="A204" s="681" t="s">
        <v>2370</v>
      </c>
      <c r="B204" s="693" t="s">
        <v>2773</v>
      </c>
      <c r="C204" s="672" t="s">
        <v>808</v>
      </c>
      <c r="D204" s="673">
        <v>39864</v>
      </c>
      <c r="E204" s="674">
        <v>10</v>
      </c>
      <c r="F204" s="675">
        <v>0.1</v>
      </c>
      <c r="G204" s="676">
        <v>1</v>
      </c>
      <c r="H204" s="929">
        <v>0</v>
      </c>
      <c r="I204" s="929">
        <v>0</v>
      </c>
      <c r="J204" s="689">
        <f t="shared" si="4"/>
        <v>1</v>
      </c>
    </row>
    <row r="205" spans="1:10" ht="12.75" customHeight="1" x14ac:dyDescent="0.2">
      <c r="A205" s="681" t="s">
        <v>2370</v>
      </c>
      <c r="B205" s="693" t="s">
        <v>2774</v>
      </c>
      <c r="C205" s="672" t="s">
        <v>790</v>
      </c>
      <c r="D205" s="673">
        <v>40229</v>
      </c>
      <c r="E205" s="674">
        <v>10</v>
      </c>
      <c r="F205" s="675">
        <v>0.1</v>
      </c>
      <c r="G205" s="676">
        <v>1</v>
      </c>
      <c r="H205" s="929">
        <v>0</v>
      </c>
      <c r="I205" s="929">
        <v>0</v>
      </c>
      <c r="J205" s="689">
        <f t="shared" si="4"/>
        <v>1</v>
      </c>
    </row>
    <row r="206" spans="1:10" ht="12.75" customHeight="1" x14ac:dyDescent="0.2">
      <c r="A206" s="681" t="s">
        <v>2370</v>
      </c>
      <c r="B206" s="693" t="s">
        <v>2775</v>
      </c>
      <c r="C206" s="672" t="s">
        <v>785</v>
      </c>
      <c r="D206" s="673">
        <v>39864</v>
      </c>
      <c r="E206" s="674">
        <v>10</v>
      </c>
      <c r="F206" s="675">
        <v>0.1</v>
      </c>
      <c r="G206" s="676">
        <v>1</v>
      </c>
      <c r="H206" s="929">
        <v>0</v>
      </c>
      <c r="I206" s="929">
        <v>0</v>
      </c>
      <c r="J206" s="689">
        <f t="shared" si="4"/>
        <v>1</v>
      </c>
    </row>
    <row r="207" spans="1:10" ht="12.75" customHeight="1" x14ac:dyDescent="0.2">
      <c r="A207" s="681" t="s">
        <v>2370</v>
      </c>
      <c r="B207" s="693" t="s">
        <v>2776</v>
      </c>
      <c r="C207" s="672" t="s">
        <v>787</v>
      </c>
      <c r="D207" s="673">
        <v>39498</v>
      </c>
      <c r="E207" s="674">
        <v>10</v>
      </c>
      <c r="F207" s="675">
        <v>0.1</v>
      </c>
      <c r="G207" s="676">
        <v>1</v>
      </c>
      <c r="H207" s="929">
        <v>0</v>
      </c>
      <c r="I207" s="929">
        <v>0</v>
      </c>
      <c r="J207" s="689">
        <f t="shared" si="4"/>
        <v>1</v>
      </c>
    </row>
    <row r="208" spans="1:10" ht="12.75" customHeight="1" x14ac:dyDescent="0.2">
      <c r="A208" s="681" t="s">
        <v>2370</v>
      </c>
      <c r="B208" s="693" t="s">
        <v>2777</v>
      </c>
      <c r="C208" s="672" t="s">
        <v>785</v>
      </c>
      <c r="D208" s="673">
        <v>39498</v>
      </c>
      <c r="E208" s="674">
        <v>10</v>
      </c>
      <c r="F208" s="675">
        <v>0.1</v>
      </c>
      <c r="G208" s="676">
        <v>1</v>
      </c>
      <c r="H208" s="929">
        <v>0</v>
      </c>
      <c r="I208" s="929">
        <v>0</v>
      </c>
      <c r="J208" s="689">
        <f t="shared" si="4"/>
        <v>1</v>
      </c>
    </row>
    <row r="209" spans="1:10" ht="12.75" customHeight="1" x14ac:dyDescent="0.2">
      <c r="A209" s="681" t="s">
        <v>2370</v>
      </c>
      <c r="B209" s="693" t="s">
        <v>2778</v>
      </c>
      <c r="C209" s="672" t="s">
        <v>791</v>
      </c>
      <c r="D209" s="673">
        <v>33289</v>
      </c>
      <c r="E209" s="674">
        <v>10</v>
      </c>
      <c r="F209" s="675">
        <v>0.1</v>
      </c>
      <c r="G209" s="676">
        <v>1</v>
      </c>
      <c r="H209" s="929">
        <v>0</v>
      </c>
      <c r="I209" s="929">
        <v>0</v>
      </c>
      <c r="J209" s="689">
        <f t="shared" si="4"/>
        <v>1</v>
      </c>
    </row>
    <row r="210" spans="1:10" ht="12.75" customHeight="1" x14ac:dyDescent="0.2">
      <c r="A210" s="681" t="s">
        <v>2370</v>
      </c>
      <c r="B210" s="693" t="s">
        <v>2779</v>
      </c>
      <c r="C210" s="672" t="s">
        <v>788</v>
      </c>
      <c r="D210" s="673">
        <v>39498</v>
      </c>
      <c r="E210" s="674">
        <v>10</v>
      </c>
      <c r="F210" s="675">
        <v>0.1</v>
      </c>
      <c r="G210" s="676">
        <v>1</v>
      </c>
      <c r="H210" s="929">
        <v>0</v>
      </c>
      <c r="I210" s="929">
        <v>0</v>
      </c>
      <c r="J210" s="689">
        <f t="shared" si="4"/>
        <v>1</v>
      </c>
    </row>
    <row r="211" spans="1:10" ht="12.75" customHeight="1" x14ac:dyDescent="0.2">
      <c r="A211" s="681" t="s">
        <v>2370</v>
      </c>
      <c r="B211" s="693" t="s">
        <v>2780</v>
      </c>
      <c r="C211" s="672" t="s">
        <v>795</v>
      </c>
      <c r="D211" s="673">
        <v>38768</v>
      </c>
      <c r="E211" s="674">
        <v>10</v>
      </c>
      <c r="F211" s="675">
        <v>0.1</v>
      </c>
      <c r="G211" s="676">
        <v>1</v>
      </c>
      <c r="H211" s="929">
        <v>0</v>
      </c>
      <c r="I211" s="929">
        <v>0</v>
      </c>
      <c r="J211" s="689">
        <f t="shared" si="4"/>
        <v>1</v>
      </c>
    </row>
    <row r="212" spans="1:10" ht="12.75" customHeight="1" x14ac:dyDescent="0.2">
      <c r="A212" s="681" t="s">
        <v>2370</v>
      </c>
      <c r="B212" s="693" t="s">
        <v>2781</v>
      </c>
      <c r="C212" s="672" t="s">
        <v>808</v>
      </c>
      <c r="D212" s="673">
        <v>32924</v>
      </c>
      <c r="E212" s="674">
        <v>10</v>
      </c>
      <c r="F212" s="675">
        <v>0.1</v>
      </c>
      <c r="G212" s="676">
        <v>1</v>
      </c>
      <c r="H212" s="929">
        <v>0</v>
      </c>
      <c r="I212" s="929">
        <v>0</v>
      </c>
      <c r="J212" s="689">
        <f t="shared" si="4"/>
        <v>1</v>
      </c>
    </row>
    <row r="213" spans="1:10" ht="12.75" customHeight="1" x14ac:dyDescent="0.2">
      <c r="A213" s="681" t="s">
        <v>2370</v>
      </c>
      <c r="B213" s="693" t="s">
        <v>2782</v>
      </c>
      <c r="C213" s="672" t="s">
        <v>785</v>
      </c>
      <c r="D213" s="673">
        <v>39864</v>
      </c>
      <c r="E213" s="674">
        <v>10</v>
      </c>
      <c r="F213" s="675">
        <v>0.1</v>
      </c>
      <c r="G213" s="676">
        <v>1</v>
      </c>
      <c r="H213" s="929">
        <v>0</v>
      </c>
      <c r="I213" s="929">
        <v>0</v>
      </c>
      <c r="J213" s="689">
        <f t="shared" si="4"/>
        <v>1</v>
      </c>
    </row>
    <row r="214" spans="1:10" ht="12.75" customHeight="1" x14ac:dyDescent="0.2">
      <c r="A214" s="681" t="s">
        <v>2370</v>
      </c>
      <c r="B214" s="693" t="s">
        <v>2783</v>
      </c>
      <c r="C214" s="672" t="s">
        <v>788</v>
      </c>
      <c r="D214" s="673">
        <v>39864</v>
      </c>
      <c r="E214" s="674">
        <v>10</v>
      </c>
      <c r="F214" s="675">
        <v>0.1</v>
      </c>
      <c r="G214" s="676">
        <v>1</v>
      </c>
      <c r="H214" s="929">
        <v>0</v>
      </c>
      <c r="I214" s="929">
        <v>0</v>
      </c>
      <c r="J214" s="689">
        <f t="shared" si="4"/>
        <v>1</v>
      </c>
    </row>
    <row r="215" spans="1:10" ht="12.75" customHeight="1" x14ac:dyDescent="0.2">
      <c r="A215" s="681" t="s">
        <v>2370</v>
      </c>
      <c r="B215" s="693" t="s">
        <v>2784</v>
      </c>
      <c r="C215" s="672" t="s">
        <v>785</v>
      </c>
      <c r="D215" s="673">
        <v>39498</v>
      </c>
      <c r="E215" s="674">
        <v>10</v>
      </c>
      <c r="F215" s="675">
        <v>0.1</v>
      </c>
      <c r="G215" s="676">
        <v>1</v>
      </c>
      <c r="H215" s="929">
        <v>0</v>
      </c>
      <c r="I215" s="929">
        <v>0</v>
      </c>
      <c r="J215" s="689">
        <f t="shared" si="4"/>
        <v>1</v>
      </c>
    </row>
    <row r="216" spans="1:10" ht="12.75" customHeight="1" x14ac:dyDescent="0.2">
      <c r="A216" s="681" t="s">
        <v>2370</v>
      </c>
      <c r="B216" s="693" t="s">
        <v>2785</v>
      </c>
      <c r="C216" s="672" t="s">
        <v>785</v>
      </c>
      <c r="D216" s="673">
        <v>39498</v>
      </c>
      <c r="E216" s="674">
        <v>10</v>
      </c>
      <c r="F216" s="675">
        <v>0.1</v>
      </c>
      <c r="G216" s="676">
        <v>1</v>
      </c>
      <c r="H216" s="929">
        <v>0</v>
      </c>
      <c r="I216" s="929">
        <v>0</v>
      </c>
      <c r="J216" s="689">
        <f t="shared" si="4"/>
        <v>1</v>
      </c>
    </row>
    <row r="217" spans="1:10" ht="12.75" customHeight="1" x14ac:dyDescent="0.2">
      <c r="A217" s="681" t="s">
        <v>2370</v>
      </c>
      <c r="B217" s="693" t="s">
        <v>2786</v>
      </c>
      <c r="C217" s="672" t="s">
        <v>791</v>
      </c>
      <c r="D217" s="673">
        <v>32924</v>
      </c>
      <c r="E217" s="674">
        <v>10</v>
      </c>
      <c r="F217" s="675">
        <v>0.1</v>
      </c>
      <c r="G217" s="676">
        <v>1</v>
      </c>
      <c r="H217" s="929">
        <v>0</v>
      </c>
      <c r="I217" s="929">
        <v>0</v>
      </c>
      <c r="J217" s="689">
        <f t="shared" si="4"/>
        <v>1</v>
      </c>
    </row>
    <row r="218" spans="1:10" ht="12.75" customHeight="1" x14ac:dyDescent="0.2">
      <c r="A218" s="681" t="s">
        <v>2370</v>
      </c>
      <c r="B218" s="693" t="s">
        <v>2787</v>
      </c>
      <c r="C218" s="672" t="s">
        <v>824</v>
      </c>
      <c r="D218" s="673">
        <v>38403</v>
      </c>
      <c r="E218" s="674">
        <v>10</v>
      </c>
      <c r="F218" s="675">
        <v>0.1</v>
      </c>
      <c r="G218" s="676">
        <v>1</v>
      </c>
      <c r="H218" s="929">
        <v>0</v>
      </c>
      <c r="I218" s="929">
        <v>0</v>
      </c>
      <c r="J218" s="689">
        <f t="shared" si="4"/>
        <v>1</v>
      </c>
    </row>
    <row r="219" spans="1:10" ht="12.75" customHeight="1" x14ac:dyDescent="0.2">
      <c r="A219" s="681" t="s">
        <v>2370</v>
      </c>
      <c r="B219" s="693" t="s">
        <v>2788</v>
      </c>
      <c r="C219" s="672" t="s">
        <v>785</v>
      </c>
      <c r="D219" s="673">
        <v>33289</v>
      </c>
      <c r="E219" s="674">
        <v>10</v>
      </c>
      <c r="F219" s="675">
        <v>0.1</v>
      </c>
      <c r="G219" s="676">
        <v>1</v>
      </c>
      <c r="H219" s="929">
        <v>0</v>
      </c>
      <c r="I219" s="929">
        <v>0</v>
      </c>
      <c r="J219" s="689">
        <f t="shared" si="4"/>
        <v>1</v>
      </c>
    </row>
    <row r="220" spans="1:10" ht="12.75" customHeight="1" x14ac:dyDescent="0.2">
      <c r="A220" s="681" t="s">
        <v>2370</v>
      </c>
      <c r="B220" s="693" t="s">
        <v>2789</v>
      </c>
      <c r="C220" s="672" t="s">
        <v>787</v>
      </c>
      <c r="D220" s="673">
        <v>34750</v>
      </c>
      <c r="E220" s="674">
        <v>10</v>
      </c>
      <c r="F220" s="675">
        <v>0.1</v>
      </c>
      <c r="G220" s="676">
        <v>1</v>
      </c>
      <c r="H220" s="929">
        <v>0</v>
      </c>
      <c r="I220" s="929">
        <v>0</v>
      </c>
      <c r="J220" s="689">
        <f t="shared" si="4"/>
        <v>1</v>
      </c>
    </row>
    <row r="221" spans="1:10" ht="12.75" customHeight="1" x14ac:dyDescent="0.2">
      <c r="A221" s="681" t="s">
        <v>2370</v>
      </c>
      <c r="B221" s="693" t="s">
        <v>2790</v>
      </c>
      <c r="C221" s="672" t="s">
        <v>787</v>
      </c>
      <c r="D221" s="673">
        <v>36211</v>
      </c>
      <c r="E221" s="674">
        <v>10</v>
      </c>
      <c r="F221" s="675">
        <v>0.1</v>
      </c>
      <c r="G221" s="676">
        <v>1</v>
      </c>
      <c r="H221" s="929">
        <v>0</v>
      </c>
      <c r="I221" s="929">
        <v>0</v>
      </c>
      <c r="J221" s="689">
        <f t="shared" si="4"/>
        <v>1</v>
      </c>
    </row>
    <row r="222" spans="1:10" ht="12.75" customHeight="1" x14ac:dyDescent="0.2">
      <c r="A222" s="681" t="s">
        <v>2370</v>
      </c>
      <c r="B222" s="693" t="s">
        <v>2791</v>
      </c>
      <c r="C222" s="672" t="s">
        <v>785</v>
      </c>
      <c r="D222" s="673">
        <v>36211</v>
      </c>
      <c r="E222" s="674">
        <v>10</v>
      </c>
      <c r="F222" s="675">
        <v>0.1</v>
      </c>
      <c r="G222" s="676">
        <v>1</v>
      </c>
      <c r="H222" s="929">
        <v>0</v>
      </c>
      <c r="I222" s="929">
        <v>0</v>
      </c>
      <c r="J222" s="689">
        <f t="shared" si="4"/>
        <v>1</v>
      </c>
    </row>
    <row r="223" spans="1:10" ht="12.75" customHeight="1" x14ac:dyDescent="0.2">
      <c r="A223" s="681" t="s">
        <v>2370</v>
      </c>
      <c r="B223" s="693" t="s">
        <v>2792</v>
      </c>
      <c r="C223" s="672" t="s">
        <v>785</v>
      </c>
      <c r="D223" s="673">
        <v>39498</v>
      </c>
      <c r="E223" s="674">
        <v>10</v>
      </c>
      <c r="F223" s="675">
        <v>0.1</v>
      </c>
      <c r="G223" s="676">
        <v>1</v>
      </c>
      <c r="H223" s="929">
        <v>0</v>
      </c>
      <c r="I223" s="929">
        <v>0</v>
      </c>
      <c r="J223" s="689">
        <f t="shared" si="4"/>
        <v>1</v>
      </c>
    </row>
    <row r="224" spans="1:10" ht="12.75" customHeight="1" x14ac:dyDescent="0.2">
      <c r="A224" s="681" t="s">
        <v>2370</v>
      </c>
      <c r="B224" s="693" t="s">
        <v>2793</v>
      </c>
      <c r="C224" s="672" t="s">
        <v>790</v>
      </c>
      <c r="D224" s="673">
        <v>36211</v>
      </c>
      <c r="E224" s="674">
        <v>10</v>
      </c>
      <c r="F224" s="675">
        <v>0.1</v>
      </c>
      <c r="G224" s="676">
        <v>1</v>
      </c>
      <c r="H224" s="929">
        <v>0</v>
      </c>
      <c r="I224" s="929">
        <v>0</v>
      </c>
      <c r="J224" s="689">
        <f t="shared" si="4"/>
        <v>1</v>
      </c>
    </row>
    <row r="225" spans="1:10" ht="12.75" customHeight="1" x14ac:dyDescent="0.2">
      <c r="A225" s="681" t="s">
        <v>2370</v>
      </c>
      <c r="B225" s="693" t="s">
        <v>2794</v>
      </c>
      <c r="C225" s="672" t="s">
        <v>787</v>
      </c>
      <c r="D225" s="673">
        <v>38403</v>
      </c>
      <c r="E225" s="674">
        <v>10</v>
      </c>
      <c r="F225" s="675">
        <v>0.1</v>
      </c>
      <c r="G225" s="676">
        <v>1</v>
      </c>
      <c r="H225" s="929">
        <v>0</v>
      </c>
      <c r="I225" s="929">
        <v>0</v>
      </c>
      <c r="J225" s="689">
        <f t="shared" si="4"/>
        <v>1</v>
      </c>
    </row>
    <row r="226" spans="1:10" ht="12.75" customHeight="1" x14ac:dyDescent="0.2">
      <c r="A226" s="681" t="s">
        <v>2370</v>
      </c>
      <c r="B226" s="693" t="s">
        <v>2795</v>
      </c>
      <c r="C226" s="672" t="s">
        <v>826</v>
      </c>
      <c r="D226" s="673">
        <v>39498</v>
      </c>
      <c r="E226" s="674">
        <v>10</v>
      </c>
      <c r="F226" s="675">
        <v>0.1</v>
      </c>
      <c r="G226" s="676">
        <v>1</v>
      </c>
      <c r="H226" s="929">
        <v>0</v>
      </c>
      <c r="I226" s="929">
        <v>0</v>
      </c>
      <c r="J226" s="689">
        <f t="shared" si="4"/>
        <v>1</v>
      </c>
    </row>
    <row r="227" spans="1:10" ht="12.75" customHeight="1" x14ac:dyDescent="0.2">
      <c r="A227" s="681" t="s">
        <v>2370</v>
      </c>
      <c r="B227" s="693" t="s">
        <v>2796</v>
      </c>
      <c r="C227" s="672" t="s">
        <v>785</v>
      </c>
      <c r="D227" s="673">
        <v>35115</v>
      </c>
      <c r="E227" s="674">
        <v>10</v>
      </c>
      <c r="F227" s="675">
        <v>0.1</v>
      </c>
      <c r="G227" s="676">
        <v>1</v>
      </c>
      <c r="H227" s="929">
        <v>0</v>
      </c>
      <c r="I227" s="929">
        <v>0</v>
      </c>
      <c r="J227" s="689">
        <f t="shared" si="4"/>
        <v>1</v>
      </c>
    </row>
    <row r="228" spans="1:10" ht="12.75" customHeight="1" x14ac:dyDescent="0.2">
      <c r="A228" s="681" t="s">
        <v>2370</v>
      </c>
      <c r="B228" s="693" t="s">
        <v>2797</v>
      </c>
      <c r="C228" s="672" t="s">
        <v>785</v>
      </c>
      <c r="D228" s="673">
        <v>36576</v>
      </c>
      <c r="E228" s="674">
        <v>10</v>
      </c>
      <c r="F228" s="675">
        <v>0.1</v>
      </c>
      <c r="G228" s="676">
        <v>1</v>
      </c>
      <c r="H228" s="929">
        <v>0</v>
      </c>
      <c r="I228" s="929">
        <v>0</v>
      </c>
      <c r="J228" s="689">
        <f t="shared" si="4"/>
        <v>1</v>
      </c>
    </row>
    <row r="229" spans="1:10" ht="12.75" customHeight="1" x14ac:dyDescent="0.2">
      <c r="A229" s="681" t="s">
        <v>2370</v>
      </c>
      <c r="B229" s="693" t="s">
        <v>2798</v>
      </c>
      <c r="C229" s="672" t="s">
        <v>785</v>
      </c>
      <c r="D229" s="673">
        <v>39498</v>
      </c>
      <c r="E229" s="674">
        <v>10</v>
      </c>
      <c r="F229" s="675">
        <v>0.1</v>
      </c>
      <c r="G229" s="676">
        <v>1</v>
      </c>
      <c r="H229" s="929">
        <v>0</v>
      </c>
      <c r="I229" s="929">
        <v>0</v>
      </c>
      <c r="J229" s="689">
        <f t="shared" si="4"/>
        <v>1</v>
      </c>
    </row>
    <row r="230" spans="1:10" ht="12.75" customHeight="1" x14ac:dyDescent="0.2">
      <c r="A230" s="681" t="s">
        <v>2370</v>
      </c>
      <c r="B230" s="693" t="s">
        <v>2799</v>
      </c>
      <c r="C230" s="672" t="s">
        <v>791</v>
      </c>
      <c r="D230" s="673">
        <v>37307</v>
      </c>
      <c r="E230" s="674">
        <v>10</v>
      </c>
      <c r="F230" s="675">
        <v>0.1</v>
      </c>
      <c r="G230" s="676">
        <v>1</v>
      </c>
      <c r="H230" s="929">
        <v>0</v>
      </c>
      <c r="I230" s="929">
        <v>0</v>
      </c>
      <c r="J230" s="689">
        <f t="shared" si="4"/>
        <v>1</v>
      </c>
    </row>
    <row r="231" spans="1:10" ht="12.75" customHeight="1" x14ac:dyDescent="0.2">
      <c r="A231" s="681" t="s">
        <v>2370</v>
      </c>
      <c r="B231" s="693" t="s">
        <v>2800</v>
      </c>
      <c r="C231" s="672" t="s">
        <v>791</v>
      </c>
      <c r="D231" s="673">
        <v>32924</v>
      </c>
      <c r="E231" s="674">
        <v>10</v>
      </c>
      <c r="F231" s="675">
        <v>0.1</v>
      </c>
      <c r="G231" s="676">
        <v>1</v>
      </c>
      <c r="H231" s="929">
        <v>0</v>
      </c>
      <c r="I231" s="929">
        <v>0</v>
      </c>
      <c r="J231" s="689">
        <f t="shared" si="4"/>
        <v>1</v>
      </c>
    </row>
    <row r="232" spans="1:10" ht="12.75" customHeight="1" x14ac:dyDescent="0.2">
      <c r="A232" s="681" t="s">
        <v>2370</v>
      </c>
      <c r="B232" s="693" t="s">
        <v>2801</v>
      </c>
      <c r="C232" s="672" t="s">
        <v>806</v>
      </c>
      <c r="D232" s="673">
        <v>38768</v>
      </c>
      <c r="E232" s="674">
        <v>10</v>
      </c>
      <c r="F232" s="675">
        <v>0.1</v>
      </c>
      <c r="G232" s="676">
        <v>1</v>
      </c>
      <c r="H232" s="929">
        <v>0</v>
      </c>
      <c r="I232" s="929">
        <v>0</v>
      </c>
      <c r="J232" s="689">
        <f t="shared" si="4"/>
        <v>1</v>
      </c>
    </row>
    <row r="233" spans="1:10" ht="12.75" customHeight="1" x14ac:dyDescent="0.2">
      <c r="A233" s="681" t="s">
        <v>2370</v>
      </c>
      <c r="B233" s="693" t="s">
        <v>2802</v>
      </c>
      <c r="C233" s="672" t="s">
        <v>827</v>
      </c>
      <c r="D233" s="673">
        <v>38403</v>
      </c>
      <c r="E233" s="674">
        <v>10</v>
      </c>
      <c r="F233" s="675">
        <v>0.1</v>
      </c>
      <c r="G233" s="676">
        <v>1</v>
      </c>
      <c r="H233" s="929">
        <v>0</v>
      </c>
      <c r="I233" s="929">
        <v>0</v>
      </c>
      <c r="J233" s="689">
        <f t="shared" si="4"/>
        <v>1</v>
      </c>
    </row>
    <row r="234" spans="1:10" ht="12.75" customHeight="1" x14ac:dyDescent="0.2">
      <c r="A234" s="681" t="s">
        <v>2370</v>
      </c>
      <c r="B234" s="693" t="s">
        <v>2803</v>
      </c>
      <c r="C234" s="672" t="s">
        <v>791</v>
      </c>
      <c r="D234" s="673">
        <v>36576</v>
      </c>
      <c r="E234" s="674">
        <v>10</v>
      </c>
      <c r="F234" s="675">
        <v>0.1</v>
      </c>
      <c r="G234" s="676">
        <v>1</v>
      </c>
      <c r="H234" s="929">
        <v>0</v>
      </c>
      <c r="I234" s="929">
        <v>0</v>
      </c>
      <c r="J234" s="689">
        <f t="shared" si="4"/>
        <v>1</v>
      </c>
    </row>
    <row r="235" spans="1:10" ht="12.75" customHeight="1" x14ac:dyDescent="0.2">
      <c r="A235" s="681" t="s">
        <v>2370</v>
      </c>
      <c r="B235" s="693" t="s">
        <v>2804</v>
      </c>
      <c r="C235" s="672" t="s">
        <v>790</v>
      </c>
      <c r="D235" s="673">
        <v>39498</v>
      </c>
      <c r="E235" s="674">
        <v>10</v>
      </c>
      <c r="F235" s="675">
        <v>0.1</v>
      </c>
      <c r="G235" s="676">
        <v>1</v>
      </c>
      <c r="H235" s="929">
        <v>0</v>
      </c>
      <c r="I235" s="929">
        <v>0</v>
      </c>
      <c r="J235" s="689">
        <f t="shared" si="4"/>
        <v>1</v>
      </c>
    </row>
    <row r="236" spans="1:10" ht="12.75" customHeight="1" x14ac:dyDescent="0.2">
      <c r="A236" s="681" t="s">
        <v>2370</v>
      </c>
      <c r="B236" s="693" t="s">
        <v>2805</v>
      </c>
      <c r="C236" s="672" t="s">
        <v>790</v>
      </c>
      <c r="D236" s="673">
        <v>38768</v>
      </c>
      <c r="E236" s="674">
        <v>10</v>
      </c>
      <c r="F236" s="675">
        <v>0.1</v>
      </c>
      <c r="G236" s="676">
        <v>1</v>
      </c>
      <c r="H236" s="929">
        <v>0</v>
      </c>
      <c r="I236" s="929">
        <v>0</v>
      </c>
      <c r="J236" s="689">
        <f t="shared" si="4"/>
        <v>1</v>
      </c>
    </row>
    <row r="237" spans="1:10" ht="12.75" customHeight="1" x14ac:dyDescent="0.2">
      <c r="A237" s="681" t="s">
        <v>2370</v>
      </c>
      <c r="B237" s="693" t="s">
        <v>2806</v>
      </c>
      <c r="C237" s="672" t="s">
        <v>785</v>
      </c>
      <c r="D237" s="673">
        <v>33289</v>
      </c>
      <c r="E237" s="674">
        <v>10</v>
      </c>
      <c r="F237" s="675">
        <v>0.1</v>
      </c>
      <c r="G237" s="676">
        <v>1</v>
      </c>
      <c r="H237" s="929">
        <v>0</v>
      </c>
      <c r="I237" s="929">
        <v>0</v>
      </c>
      <c r="J237" s="689">
        <f t="shared" si="4"/>
        <v>1</v>
      </c>
    </row>
    <row r="238" spans="1:10" ht="12.75" customHeight="1" x14ac:dyDescent="0.2">
      <c r="A238" s="681" t="s">
        <v>2370</v>
      </c>
      <c r="B238" s="693" t="s">
        <v>2807</v>
      </c>
      <c r="C238" s="672" t="s">
        <v>785</v>
      </c>
      <c r="D238" s="673">
        <v>39864</v>
      </c>
      <c r="E238" s="674">
        <v>10</v>
      </c>
      <c r="F238" s="675">
        <v>0.1</v>
      </c>
      <c r="G238" s="676">
        <v>1</v>
      </c>
      <c r="H238" s="929">
        <v>0</v>
      </c>
      <c r="I238" s="929">
        <v>0</v>
      </c>
      <c r="J238" s="689">
        <f t="shared" si="4"/>
        <v>1</v>
      </c>
    </row>
    <row r="239" spans="1:10" ht="12.75" customHeight="1" x14ac:dyDescent="0.2">
      <c r="A239" s="681" t="s">
        <v>2370</v>
      </c>
      <c r="B239" s="693" t="s">
        <v>2808</v>
      </c>
      <c r="C239" s="672" t="s">
        <v>785</v>
      </c>
      <c r="D239" s="673">
        <v>39498</v>
      </c>
      <c r="E239" s="674">
        <v>10</v>
      </c>
      <c r="F239" s="675">
        <v>0.1</v>
      </c>
      <c r="G239" s="676">
        <v>1</v>
      </c>
      <c r="H239" s="929">
        <v>0</v>
      </c>
      <c r="I239" s="929">
        <v>0</v>
      </c>
      <c r="J239" s="689">
        <f t="shared" si="4"/>
        <v>1</v>
      </c>
    </row>
    <row r="240" spans="1:10" ht="12.75" customHeight="1" x14ac:dyDescent="0.2">
      <c r="A240" s="681" t="s">
        <v>2370</v>
      </c>
      <c r="B240" s="693" t="s">
        <v>2809</v>
      </c>
      <c r="C240" s="672" t="s">
        <v>787</v>
      </c>
      <c r="D240" s="673">
        <v>35115</v>
      </c>
      <c r="E240" s="674">
        <v>10</v>
      </c>
      <c r="F240" s="675">
        <v>0.1</v>
      </c>
      <c r="G240" s="676">
        <v>1</v>
      </c>
      <c r="H240" s="929">
        <v>0</v>
      </c>
      <c r="I240" s="929">
        <v>0</v>
      </c>
      <c r="J240" s="689">
        <f t="shared" si="4"/>
        <v>1</v>
      </c>
    </row>
    <row r="241" spans="1:10" ht="12.75" customHeight="1" x14ac:dyDescent="0.2">
      <c r="A241" s="681" t="s">
        <v>2370</v>
      </c>
      <c r="B241" s="693" t="s">
        <v>2810</v>
      </c>
      <c r="C241" s="672" t="s">
        <v>828</v>
      </c>
      <c r="D241" s="673">
        <v>35846</v>
      </c>
      <c r="E241" s="674">
        <v>10</v>
      </c>
      <c r="F241" s="675">
        <v>0.1</v>
      </c>
      <c r="G241" s="676">
        <v>1</v>
      </c>
      <c r="H241" s="929">
        <v>0</v>
      </c>
      <c r="I241" s="929">
        <v>0</v>
      </c>
      <c r="J241" s="689">
        <f t="shared" si="4"/>
        <v>1</v>
      </c>
    </row>
    <row r="242" spans="1:10" ht="12.75" customHeight="1" x14ac:dyDescent="0.2">
      <c r="A242" s="681" t="s">
        <v>2370</v>
      </c>
      <c r="B242" s="693" t="s">
        <v>2811</v>
      </c>
      <c r="C242" s="672" t="s">
        <v>787</v>
      </c>
      <c r="D242" s="673">
        <v>33289</v>
      </c>
      <c r="E242" s="674">
        <v>10</v>
      </c>
      <c r="F242" s="675">
        <v>0.1</v>
      </c>
      <c r="G242" s="676">
        <v>1</v>
      </c>
      <c r="H242" s="929">
        <v>0</v>
      </c>
      <c r="I242" s="929">
        <v>0</v>
      </c>
      <c r="J242" s="689">
        <f t="shared" si="4"/>
        <v>1</v>
      </c>
    </row>
    <row r="243" spans="1:10" ht="12.75" customHeight="1" x14ac:dyDescent="0.2">
      <c r="A243" s="681" t="s">
        <v>2370</v>
      </c>
      <c r="B243" s="693" t="s">
        <v>2812</v>
      </c>
      <c r="C243" s="672" t="s">
        <v>787</v>
      </c>
      <c r="D243" s="673">
        <v>34020</v>
      </c>
      <c r="E243" s="674">
        <v>10</v>
      </c>
      <c r="F243" s="675">
        <v>0.1</v>
      </c>
      <c r="G243" s="676">
        <v>1</v>
      </c>
      <c r="H243" s="929">
        <v>0</v>
      </c>
      <c r="I243" s="929">
        <v>0</v>
      </c>
      <c r="J243" s="689">
        <f t="shared" si="4"/>
        <v>1</v>
      </c>
    </row>
    <row r="244" spans="1:10" ht="12.75" customHeight="1" x14ac:dyDescent="0.2">
      <c r="A244" s="681" t="s">
        <v>2370</v>
      </c>
      <c r="B244" s="693" t="s">
        <v>2813</v>
      </c>
      <c r="C244" s="672" t="s">
        <v>786</v>
      </c>
      <c r="D244" s="673">
        <v>38403</v>
      </c>
      <c r="E244" s="674">
        <v>10</v>
      </c>
      <c r="F244" s="675">
        <v>0.1</v>
      </c>
      <c r="G244" s="676">
        <v>1</v>
      </c>
      <c r="H244" s="929">
        <v>0</v>
      </c>
      <c r="I244" s="929">
        <v>0</v>
      </c>
      <c r="J244" s="689">
        <f t="shared" si="4"/>
        <v>1</v>
      </c>
    </row>
    <row r="245" spans="1:10" ht="12.75" customHeight="1" x14ac:dyDescent="0.2">
      <c r="A245" s="681" t="s">
        <v>2370</v>
      </c>
      <c r="B245" s="693" t="s">
        <v>2814</v>
      </c>
      <c r="C245" s="672" t="s">
        <v>787</v>
      </c>
      <c r="D245" s="673">
        <v>35115</v>
      </c>
      <c r="E245" s="674">
        <v>10</v>
      </c>
      <c r="F245" s="675">
        <v>0.1</v>
      </c>
      <c r="G245" s="676">
        <v>1</v>
      </c>
      <c r="H245" s="929">
        <v>0</v>
      </c>
      <c r="I245" s="929">
        <v>0</v>
      </c>
      <c r="J245" s="689">
        <f t="shared" si="4"/>
        <v>1</v>
      </c>
    </row>
    <row r="246" spans="1:10" ht="12.75" customHeight="1" x14ac:dyDescent="0.2">
      <c r="A246" s="681" t="s">
        <v>2370</v>
      </c>
      <c r="B246" s="693" t="s">
        <v>2815</v>
      </c>
      <c r="C246" s="672" t="s">
        <v>790</v>
      </c>
      <c r="D246" s="673">
        <v>35115</v>
      </c>
      <c r="E246" s="674">
        <v>10</v>
      </c>
      <c r="F246" s="675">
        <v>0.1</v>
      </c>
      <c r="G246" s="676">
        <v>1</v>
      </c>
      <c r="H246" s="929">
        <v>0</v>
      </c>
      <c r="I246" s="929">
        <v>0</v>
      </c>
      <c r="J246" s="689">
        <f t="shared" si="4"/>
        <v>1</v>
      </c>
    </row>
    <row r="247" spans="1:10" ht="12.75" customHeight="1" x14ac:dyDescent="0.2">
      <c r="A247" s="681" t="s">
        <v>2370</v>
      </c>
      <c r="B247" s="693" t="s">
        <v>2816</v>
      </c>
      <c r="C247" s="672" t="s">
        <v>785</v>
      </c>
      <c r="D247" s="673">
        <v>35115</v>
      </c>
      <c r="E247" s="674">
        <v>10</v>
      </c>
      <c r="F247" s="675">
        <v>0.1</v>
      </c>
      <c r="G247" s="676">
        <v>1</v>
      </c>
      <c r="H247" s="929">
        <v>0</v>
      </c>
      <c r="I247" s="929">
        <v>0</v>
      </c>
      <c r="J247" s="689">
        <f t="shared" si="4"/>
        <v>1</v>
      </c>
    </row>
    <row r="248" spans="1:10" ht="12.75" customHeight="1" x14ac:dyDescent="0.2">
      <c r="A248" s="681" t="s">
        <v>2370</v>
      </c>
      <c r="B248" s="693" t="s">
        <v>2817</v>
      </c>
      <c r="C248" s="672" t="s">
        <v>798</v>
      </c>
      <c r="D248" s="673">
        <v>35115</v>
      </c>
      <c r="E248" s="674">
        <v>10</v>
      </c>
      <c r="F248" s="675">
        <v>0.1</v>
      </c>
      <c r="G248" s="676">
        <v>1</v>
      </c>
      <c r="H248" s="929">
        <v>0</v>
      </c>
      <c r="I248" s="929">
        <v>0</v>
      </c>
      <c r="J248" s="689">
        <f t="shared" si="4"/>
        <v>1</v>
      </c>
    </row>
    <row r="249" spans="1:10" ht="12.75" customHeight="1" x14ac:dyDescent="0.2">
      <c r="A249" s="681" t="s">
        <v>2370</v>
      </c>
      <c r="B249" s="693" t="s">
        <v>2818</v>
      </c>
      <c r="C249" s="672" t="s">
        <v>786</v>
      </c>
      <c r="D249" s="673">
        <v>38403</v>
      </c>
      <c r="E249" s="674">
        <v>10</v>
      </c>
      <c r="F249" s="675">
        <v>0.1</v>
      </c>
      <c r="G249" s="676">
        <v>1</v>
      </c>
      <c r="H249" s="929">
        <v>0</v>
      </c>
      <c r="I249" s="929">
        <v>0</v>
      </c>
      <c r="J249" s="689">
        <f t="shared" si="4"/>
        <v>1</v>
      </c>
    </row>
    <row r="250" spans="1:10" ht="12.75" customHeight="1" x14ac:dyDescent="0.2">
      <c r="A250" s="681" t="s">
        <v>2370</v>
      </c>
      <c r="B250" s="693" t="s">
        <v>2819</v>
      </c>
      <c r="C250" s="672" t="s">
        <v>791</v>
      </c>
      <c r="D250" s="673">
        <v>35115</v>
      </c>
      <c r="E250" s="674">
        <v>10</v>
      </c>
      <c r="F250" s="675">
        <v>0.1</v>
      </c>
      <c r="G250" s="676">
        <v>1</v>
      </c>
      <c r="H250" s="929">
        <v>0</v>
      </c>
      <c r="I250" s="929">
        <v>0</v>
      </c>
      <c r="J250" s="689">
        <f t="shared" si="4"/>
        <v>1</v>
      </c>
    </row>
    <row r="251" spans="1:10" ht="12.75" customHeight="1" x14ac:dyDescent="0.2">
      <c r="A251" s="681" t="s">
        <v>2370</v>
      </c>
      <c r="B251" s="693" t="s">
        <v>2820</v>
      </c>
      <c r="C251" s="672" t="s">
        <v>791</v>
      </c>
      <c r="D251" s="673">
        <v>32924</v>
      </c>
      <c r="E251" s="674">
        <v>10</v>
      </c>
      <c r="F251" s="675">
        <v>0.1</v>
      </c>
      <c r="G251" s="676">
        <v>1</v>
      </c>
      <c r="H251" s="929">
        <v>0</v>
      </c>
      <c r="I251" s="929">
        <v>0</v>
      </c>
      <c r="J251" s="689">
        <f t="shared" si="4"/>
        <v>1</v>
      </c>
    </row>
    <row r="252" spans="1:10" ht="12.75" customHeight="1" x14ac:dyDescent="0.2">
      <c r="A252" s="681" t="s">
        <v>2370</v>
      </c>
      <c r="B252" s="693" t="s">
        <v>2821</v>
      </c>
      <c r="C252" s="672" t="s">
        <v>785</v>
      </c>
      <c r="D252" s="673">
        <v>36576</v>
      </c>
      <c r="E252" s="674">
        <v>10</v>
      </c>
      <c r="F252" s="675">
        <v>0.1</v>
      </c>
      <c r="G252" s="676">
        <v>1</v>
      </c>
      <c r="H252" s="929">
        <v>0</v>
      </c>
      <c r="I252" s="929">
        <v>0</v>
      </c>
      <c r="J252" s="689">
        <f t="shared" si="4"/>
        <v>1</v>
      </c>
    </row>
    <row r="253" spans="1:10" ht="12.75" customHeight="1" x14ac:dyDescent="0.2">
      <c r="A253" s="681" t="s">
        <v>2370</v>
      </c>
      <c r="B253" s="693" t="s">
        <v>2822</v>
      </c>
      <c r="C253" s="672" t="s">
        <v>795</v>
      </c>
      <c r="D253" s="673">
        <v>35115</v>
      </c>
      <c r="E253" s="674">
        <v>10</v>
      </c>
      <c r="F253" s="675">
        <v>0.1</v>
      </c>
      <c r="G253" s="676">
        <v>1</v>
      </c>
      <c r="H253" s="929">
        <v>0</v>
      </c>
      <c r="I253" s="929">
        <v>0</v>
      </c>
      <c r="J253" s="689">
        <f t="shared" si="4"/>
        <v>1</v>
      </c>
    </row>
    <row r="254" spans="1:10" ht="12.75" customHeight="1" x14ac:dyDescent="0.2">
      <c r="A254" s="681" t="s">
        <v>2370</v>
      </c>
      <c r="B254" s="693" t="s">
        <v>2823</v>
      </c>
      <c r="C254" s="672" t="s">
        <v>785</v>
      </c>
      <c r="D254" s="673">
        <v>37307</v>
      </c>
      <c r="E254" s="674">
        <v>10</v>
      </c>
      <c r="F254" s="675">
        <v>0.1</v>
      </c>
      <c r="G254" s="676">
        <v>1</v>
      </c>
      <c r="H254" s="929">
        <v>0</v>
      </c>
      <c r="I254" s="929">
        <v>0</v>
      </c>
      <c r="J254" s="689">
        <f t="shared" si="4"/>
        <v>1</v>
      </c>
    </row>
    <row r="255" spans="1:10" ht="12.75" customHeight="1" x14ac:dyDescent="0.2">
      <c r="A255" s="681" t="s">
        <v>2370</v>
      </c>
      <c r="B255" s="693" t="s">
        <v>2824</v>
      </c>
      <c r="C255" s="672" t="s">
        <v>791</v>
      </c>
      <c r="D255" s="673">
        <v>32924</v>
      </c>
      <c r="E255" s="674">
        <v>10</v>
      </c>
      <c r="F255" s="675">
        <v>0.1</v>
      </c>
      <c r="G255" s="676">
        <v>1</v>
      </c>
      <c r="H255" s="929">
        <v>0</v>
      </c>
      <c r="I255" s="929">
        <v>0</v>
      </c>
      <c r="J255" s="689">
        <f t="shared" si="4"/>
        <v>1</v>
      </c>
    </row>
    <row r="256" spans="1:10" ht="12.75" customHeight="1" x14ac:dyDescent="0.2">
      <c r="A256" s="681" t="s">
        <v>2370</v>
      </c>
      <c r="B256" s="693" t="s">
        <v>2825</v>
      </c>
      <c r="C256" s="672" t="s">
        <v>787</v>
      </c>
      <c r="D256" s="673">
        <v>38403</v>
      </c>
      <c r="E256" s="674">
        <v>10</v>
      </c>
      <c r="F256" s="675">
        <v>0.1</v>
      </c>
      <c r="G256" s="676">
        <v>1</v>
      </c>
      <c r="H256" s="929">
        <v>0</v>
      </c>
      <c r="I256" s="929">
        <v>0</v>
      </c>
      <c r="J256" s="689">
        <f t="shared" si="4"/>
        <v>1</v>
      </c>
    </row>
    <row r="257" spans="1:10" ht="12.75" customHeight="1" x14ac:dyDescent="0.2">
      <c r="A257" s="681" t="s">
        <v>2370</v>
      </c>
      <c r="B257" s="693" t="s">
        <v>2826</v>
      </c>
      <c r="C257" s="672" t="s">
        <v>785</v>
      </c>
      <c r="D257" s="673">
        <v>39498</v>
      </c>
      <c r="E257" s="674">
        <v>10</v>
      </c>
      <c r="F257" s="675">
        <v>0.1</v>
      </c>
      <c r="G257" s="676">
        <v>1</v>
      </c>
      <c r="H257" s="929">
        <v>0</v>
      </c>
      <c r="I257" s="929">
        <v>0</v>
      </c>
      <c r="J257" s="689">
        <f t="shared" si="4"/>
        <v>1</v>
      </c>
    </row>
    <row r="258" spans="1:10" ht="12.75" customHeight="1" x14ac:dyDescent="0.2">
      <c r="A258" s="681" t="s">
        <v>2370</v>
      </c>
      <c r="B258" s="693" t="s">
        <v>2827</v>
      </c>
      <c r="C258" s="672" t="s">
        <v>785</v>
      </c>
      <c r="D258" s="673">
        <v>39498</v>
      </c>
      <c r="E258" s="674">
        <v>10</v>
      </c>
      <c r="F258" s="675">
        <v>0.1</v>
      </c>
      <c r="G258" s="676">
        <v>1</v>
      </c>
      <c r="H258" s="929">
        <v>0</v>
      </c>
      <c r="I258" s="929">
        <v>0</v>
      </c>
      <c r="J258" s="689">
        <f t="shared" si="4"/>
        <v>1</v>
      </c>
    </row>
    <row r="259" spans="1:10" ht="12.75" customHeight="1" x14ac:dyDescent="0.2">
      <c r="A259" s="681" t="s">
        <v>2370</v>
      </c>
      <c r="B259" s="693" t="s">
        <v>2828</v>
      </c>
      <c r="C259" s="672" t="s">
        <v>791</v>
      </c>
      <c r="D259" s="673">
        <v>37672</v>
      </c>
      <c r="E259" s="674">
        <v>10</v>
      </c>
      <c r="F259" s="675">
        <v>0.1</v>
      </c>
      <c r="G259" s="676">
        <v>1</v>
      </c>
      <c r="H259" s="929">
        <v>0</v>
      </c>
      <c r="I259" s="929">
        <v>0</v>
      </c>
      <c r="J259" s="689">
        <f t="shared" si="4"/>
        <v>1</v>
      </c>
    </row>
    <row r="260" spans="1:10" ht="12.75" customHeight="1" x14ac:dyDescent="0.2">
      <c r="A260" s="681" t="s">
        <v>2370</v>
      </c>
      <c r="B260" s="693" t="s">
        <v>2829</v>
      </c>
      <c r="C260" s="672" t="s">
        <v>790</v>
      </c>
      <c r="D260" s="673">
        <v>38037</v>
      </c>
      <c r="E260" s="674">
        <v>10</v>
      </c>
      <c r="F260" s="675">
        <v>0.1</v>
      </c>
      <c r="G260" s="676">
        <v>1</v>
      </c>
      <c r="H260" s="929">
        <v>0</v>
      </c>
      <c r="I260" s="929">
        <v>0</v>
      </c>
      <c r="J260" s="689">
        <f t="shared" si="4"/>
        <v>1</v>
      </c>
    </row>
    <row r="261" spans="1:10" ht="12.75" customHeight="1" x14ac:dyDescent="0.2">
      <c r="A261" s="681" t="s">
        <v>2370</v>
      </c>
      <c r="B261" s="693" t="s">
        <v>2830</v>
      </c>
      <c r="C261" s="672" t="s">
        <v>787</v>
      </c>
      <c r="D261" s="673">
        <v>36576</v>
      </c>
      <c r="E261" s="674">
        <v>10</v>
      </c>
      <c r="F261" s="675">
        <v>0.1</v>
      </c>
      <c r="G261" s="676">
        <v>1</v>
      </c>
      <c r="H261" s="929">
        <v>0</v>
      </c>
      <c r="I261" s="929">
        <v>0</v>
      </c>
      <c r="J261" s="689">
        <f t="shared" si="4"/>
        <v>1</v>
      </c>
    </row>
    <row r="262" spans="1:10" ht="12.75" customHeight="1" x14ac:dyDescent="0.2">
      <c r="A262" s="681" t="s">
        <v>2370</v>
      </c>
      <c r="B262" s="693" t="s">
        <v>2831</v>
      </c>
      <c r="C262" s="672" t="s">
        <v>787</v>
      </c>
      <c r="D262" s="673">
        <v>39498</v>
      </c>
      <c r="E262" s="674">
        <v>10</v>
      </c>
      <c r="F262" s="675">
        <v>0.1</v>
      </c>
      <c r="G262" s="676">
        <v>1</v>
      </c>
      <c r="H262" s="929">
        <v>0</v>
      </c>
      <c r="I262" s="929">
        <v>0</v>
      </c>
      <c r="J262" s="689">
        <f t="shared" si="4"/>
        <v>1</v>
      </c>
    </row>
    <row r="263" spans="1:10" ht="12.75" customHeight="1" x14ac:dyDescent="0.2">
      <c r="A263" s="681" t="s">
        <v>2370</v>
      </c>
      <c r="B263" s="693" t="s">
        <v>2832</v>
      </c>
      <c r="C263" s="672" t="s">
        <v>820</v>
      </c>
      <c r="D263" s="673">
        <v>35846</v>
      </c>
      <c r="E263" s="674">
        <v>10</v>
      </c>
      <c r="F263" s="675">
        <v>0.1</v>
      </c>
      <c r="G263" s="676">
        <v>1</v>
      </c>
      <c r="H263" s="929">
        <v>0</v>
      </c>
      <c r="I263" s="929">
        <v>0</v>
      </c>
      <c r="J263" s="689">
        <f t="shared" ref="J263:J326" si="5">G263-I263</f>
        <v>1</v>
      </c>
    </row>
    <row r="264" spans="1:10" ht="12.75" customHeight="1" x14ac:dyDescent="0.2">
      <c r="A264" s="681" t="s">
        <v>2370</v>
      </c>
      <c r="B264" s="693" t="s">
        <v>2833</v>
      </c>
      <c r="C264" s="672" t="s">
        <v>787</v>
      </c>
      <c r="D264" s="673">
        <v>39864</v>
      </c>
      <c r="E264" s="674">
        <v>10</v>
      </c>
      <c r="F264" s="675">
        <v>0.1</v>
      </c>
      <c r="G264" s="676">
        <v>1</v>
      </c>
      <c r="H264" s="929">
        <v>0</v>
      </c>
      <c r="I264" s="929">
        <v>0</v>
      </c>
      <c r="J264" s="689">
        <f t="shared" si="5"/>
        <v>1</v>
      </c>
    </row>
    <row r="265" spans="1:10" ht="12.75" customHeight="1" x14ac:dyDescent="0.2">
      <c r="A265" s="681" t="s">
        <v>2370</v>
      </c>
      <c r="B265" s="693" t="s">
        <v>2834</v>
      </c>
      <c r="C265" s="672" t="s">
        <v>790</v>
      </c>
      <c r="D265" s="673">
        <v>37307</v>
      </c>
      <c r="E265" s="674">
        <v>10</v>
      </c>
      <c r="F265" s="675">
        <v>0.1</v>
      </c>
      <c r="G265" s="676">
        <v>1</v>
      </c>
      <c r="H265" s="929">
        <v>0</v>
      </c>
      <c r="I265" s="929">
        <v>0</v>
      </c>
      <c r="J265" s="689">
        <f t="shared" si="5"/>
        <v>1</v>
      </c>
    </row>
    <row r="266" spans="1:10" ht="12.75" customHeight="1" x14ac:dyDescent="0.2">
      <c r="A266" s="681" t="s">
        <v>2370</v>
      </c>
      <c r="B266" s="693" t="s">
        <v>2835</v>
      </c>
      <c r="C266" s="672" t="s">
        <v>804</v>
      </c>
      <c r="D266" s="673">
        <v>37307</v>
      </c>
      <c r="E266" s="674">
        <v>10</v>
      </c>
      <c r="F266" s="675">
        <v>0.1</v>
      </c>
      <c r="G266" s="676">
        <v>1</v>
      </c>
      <c r="H266" s="929">
        <v>0</v>
      </c>
      <c r="I266" s="929">
        <v>0</v>
      </c>
      <c r="J266" s="689">
        <f t="shared" si="5"/>
        <v>1</v>
      </c>
    </row>
    <row r="267" spans="1:10" ht="12.75" customHeight="1" x14ac:dyDescent="0.2">
      <c r="A267" s="681" t="s">
        <v>2370</v>
      </c>
      <c r="B267" s="693" t="s">
        <v>2836</v>
      </c>
      <c r="C267" s="672" t="s">
        <v>818</v>
      </c>
      <c r="D267" s="673">
        <v>32193</v>
      </c>
      <c r="E267" s="674">
        <v>10</v>
      </c>
      <c r="F267" s="675">
        <v>0.1</v>
      </c>
      <c r="G267" s="676">
        <v>1</v>
      </c>
      <c r="H267" s="929">
        <v>0</v>
      </c>
      <c r="I267" s="929">
        <v>0</v>
      </c>
      <c r="J267" s="689">
        <f t="shared" si="5"/>
        <v>1</v>
      </c>
    </row>
    <row r="268" spans="1:10" ht="12.75" customHeight="1" x14ac:dyDescent="0.2">
      <c r="A268" s="681" t="s">
        <v>2370</v>
      </c>
      <c r="B268" s="693" t="s">
        <v>2837</v>
      </c>
      <c r="C268" s="672" t="s">
        <v>785</v>
      </c>
      <c r="D268" s="673">
        <v>37307</v>
      </c>
      <c r="E268" s="674">
        <v>10</v>
      </c>
      <c r="F268" s="675">
        <v>0.1</v>
      </c>
      <c r="G268" s="676">
        <v>1</v>
      </c>
      <c r="H268" s="929">
        <v>0</v>
      </c>
      <c r="I268" s="929">
        <v>0</v>
      </c>
      <c r="J268" s="689">
        <f t="shared" si="5"/>
        <v>1</v>
      </c>
    </row>
    <row r="269" spans="1:10" ht="12.75" customHeight="1" x14ac:dyDescent="0.2">
      <c r="A269" s="681" t="s">
        <v>2370</v>
      </c>
      <c r="B269" s="693" t="s">
        <v>2838</v>
      </c>
      <c r="C269" s="672" t="s">
        <v>820</v>
      </c>
      <c r="D269" s="673">
        <v>35846</v>
      </c>
      <c r="E269" s="674">
        <v>10</v>
      </c>
      <c r="F269" s="675">
        <v>0.1</v>
      </c>
      <c r="G269" s="676">
        <v>1</v>
      </c>
      <c r="H269" s="929">
        <v>0</v>
      </c>
      <c r="I269" s="929">
        <v>0</v>
      </c>
      <c r="J269" s="689">
        <f t="shared" si="5"/>
        <v>1</v>
      </c>
    </row>
    <row r="270" spans="1:10" ht="12.75" customHeight="1" x14ac:dyDescent="0.2">
      <c r="A270" s="681" t="s">
        <v>2370</v>
      </c>
      <c r="B270" s="693" t="s">
        <v>2839</v>
      </c>
      <c r="C270" s="672" t="s">
        <v>820</v>
      </c>
      <c r="D270" s="673">
        <v>35846</v>
      </c>
      <c r="E270" s="674">
        <v>10</v>
      </c>
      <c r="F270" s="675">
        <v>0.1</v>
      </c>
      <c r="G270" s="676">
        <v>1</v>
      </c>
      <c r="H270" s="929">
        <v>0</v>
      </c>
      <c r="I270" s="929">
        <v>0</v>
      </c>
      <c r="J270" s="689">
        <f t="shared" si="5"/>
        <v>1</v>
      </c>
    </row>
    <row r="271" spans="1:10" ht="12.75" customHeight="1" x14ac:dyDescent="0.2">
      <c r="A271" s="681" t="s">
        <v>2370</v>
      </c>
      <c r="B271" s="693" t="s">
        <v>2840</v>
      </c>
      <c r="C271" s="672" t="s">
        <v>820</v>
      </c>
      <c r="D271" s="673">
        <v>35846</v>
      </c>
      <c r="E271" s="674">
        <v>10</v>
      </c>
      <c r="F271" s="675">
        <v>0.1</v>
      </c>
      <c r="G271" s="676">
        <v>1</v>
      </c>
      <c r="H271" s="929">
        <v>0</v>
      </c>
      <c r="I271" s="929">
        <v>0</v>
      </c>
      <c r="J271" s="689">
        <f t="shared" si="5"/>
        <v>1</v>
      </c>
    </row>
    <row r="272" spans="1:10" ht="12.75" customHeight="1" x14ac:dyDescent="0.2">
      <c r="A272" s="681" t="s">
        <v>2370</v>
      </c>
      <c r="B272" s="693" t="s">
        <v>2841</v>
      </c>
      <c r="C272" s="672" t="s">
        <v>786</v>
      </c>
      <c r="D272" s="673">
        <v>32193</v>
      </c>
      <c r="E272" s="674">
        <v>10</v>
      </c>
      <c r="F272" s="675">
        <v>0.1</v>
      </c>
      <c r="G272" s="676">
        <v>1</v>
      </c>
      <c r="H272" s="929">
        <v>0</v>
      </c>
      <c r="I272" s="929">
        <v>0</v>
      </c>
      <c r="J272" s="689">
        <f t="shared" si="5"/>
        <v>1</v>
      </c>
    </row>
    <row r="273" spans="1:10" ht="12.75" customHeight="1" x14ac:dyDescent="0.2">
      <c r="A273" s="681" t="s">
        <v>2370</v>
      </c>
      <c r="B273" s="693" t="s">
        <v>2842</v>
      </c>
      <c r="C273" s="672" t="s">
        <v>804</v>
      </c>
      <c r="D273" s="673">
        <v>36211</v>
      </c>
      <c r="E273" s="674">
        <v>10</v>
      </c>
      <c r="F273" s="675">
        <v>0.1</v>
      </c>
      <c r="G273" s="676">
        <v>1</v>
      </c>
      <c r="H273" s="929">
        <v>0</v>
      </c>
      <c r="I273" s="929">
        <v>0</v>
      </c>
      <c r="J273" s="689">
        <f t="shared" si="5"/>
        <v>1</v>
      </c>
    </row>
    <row r="274" spans="1:10" ht="12.75" customHeight="1" x14ac:dyDescent="0.2">
      <c r="A274" s="681" t="s">
        <v>2370</v>
      </c>
      <c r="B274" s="693" t="s">
        <v>2843</v>
      </c>
      <c r="C274" s="672" t="s">
        <v>787</v>
      </c>
      <c r="D274" s="673">
        <v>36211</v>
      </c>
      <c r="E274" s="674">
        <v>10</v>
      </c>
      <c r="F274" s="675">
        <v>0.1</v>
      </c>
      <c r="G274" s="676">
        <v>1</v>
      </c>
      <c r="H274" s="929">
        <v>0</v>
      </c>
      <c r="I274" s="929">
        <v>0</v>
      </c>
      <c r="J274" s="689">
        <f t="shared" si="5"/>
        <v>1</v>
      </c>
    </row>
    <row r="275" spans="1:10" ht="12.75" customHeight="1" x14ac:dyDescent="0.2">
      <c r="A275" s="681" t="s">
        <v>2370</v>
      </c>
      <c r="B275" s="693" t="s">
        <v>2844</v>
      </c>
      <c r="C275" s="672" t="s">
        <v>831</v>
      </c>
      <c r="D275" s="673">
        <v>32924</v>
      </c>
      <c r="E275" s="674">
        <v>10</v>
      </c>
      <c r="F275" s="675">
        <v>0.1</v>
      </c>
      <c r="G275" s="676">
        <v>1</v>
      </c>
      <c r="H275" s="929">
        <v>0</v>
      </c>
      <c r="I275" s="929">
        <v>0</v>
      </c>
      <c r="J275" s="689">
        <f t="shared" si="5"/>
        <v>1</v>
      </c>
    </row>
    <row r="276" spans="1:10" ht="12.75" customHeight="1" x14ac:dyDescent="0.2">
      <c r="A276" s="681" t="s">
        <v>2370</v>
      </c>
      <c r="B276" s="693" t="s">
        <v>2845</v>
      </c>
      <c r="C276" s="672" t="s">
        <v>820</v>
      </c>
      <c r="D276" s="673">
        <v>37307</v>
      </c>
      <c r="E276" s="674">
        <v>10</v>
      </c>
      <c r="F276" s="675">
        <v>0.1</v>
      </c>
      <c r="G276" s="676">
        <v>1</v>
      </c>
      <c r="H276" s="929">
        <v>0</v>
      </c>
      <c r="I276" s="929">
        <v>0</v>
      </c>
      <c r="J276" s="689">
        <f t="shared" si="5"/>
        <v>1</v>
      </c>
    </row>
    <row r="277" spans="1:10" ht="12.75" customHeight="1" x14ac:dyDescent="0.2">
      <c r="A277" s="681" t="s">
        <v>2370</v>
      </c>
      <c r="B277" s="693" t="s">
        <v>2846</v>
      </c>
      <c r="C277" s="672" t="s">
        <v>820</v>
      </c>
      <c r="D277" s="673">
        <v>37307</v>
      </c>
      <c r="E277" s="674">
        <v>10</v>
      </c>
      <c r="F277" s="675">
        <v>0.1</v>
      </c>
      <c r="G277" s="676">
        <v>1</v>
      </c>
      <c r="H277" s="929">
        <v>0</v>
      </c>
      <c r="I277" s="929">
        <v>0</v>
      </c>
      <c r="J277" s="689">
        <f t="shared" si="5"/>
        <v>1</v>
      </c>
    </row>
    <row r="278" spans="1:10" ht="12.75" customHeight="1" x14ac:dyDescent="0.2">
      <c r="A278" s="681" t="s">
        <v>2370</v>
      </c>
      <c r="B278" s="693" t="s">
        <v>2847</v>
      </c>
      <c r="C278" s="672" t="s">
        <v>820</v>
      </c>
      <c r="D278" s="673">
        <v>37307</v>
      </c>
      <c r="E278" s="674">
        <v>10</v>
      </c>
      <c r="F278" s="675">
        <v>0.1</v>
      </c>
      <c r="G278" s="676">
        <v>1</v>
      </c>
      <c r="H278" s="929">
        <v>0</v>
      </c>
      <c r="I278" s="929">
        <v>0</v>
      </c>
      <c r="J278" s="689">
        <f t="shared" si="5"/>
        <v>1</v>
      </c>
    </row>
    <row r="279" spans="1:10" ht="12.75" customHeight="1" x14ac:dyDescent="0.2">
      <c r="A279" s="681" t="s">
        <v>2370</v>
      </c>
      <c r="B279" s="693" t="s">
        <v>2848</v>
      </c>
      <c r="C279" s="672" t="s">
        <v>828</v>
      </c>
      <c r="D279" s="673">
        <v>36576</v>
      </c>
      <c r="E279" s="674">
        <v>10</v>
      </c>
      <c r="F279" s="675">
        <v>0.1</v>
      </c>
      <c r="G279" s="676">
        <v>1</v>
      </c>
      <c r="H279" s="929">
        <v>0</v>
      </c>
      <c r="I279" s="929">
        <v>0</v>
      </c>
      <c r="J279" s="689">
        <f t="shared" si="5"/>
        <v>1</v>
      </c>
    </row>
    <row r="280" spans="1:10" ht="12.75" customHeight="1" x14ac:dyDescent="0.2">
      <c r="A280" s="681" t="s">
        <v>2370</v>
      </c>
      <c r="B280" s="693" t="s">
        <v>2849</v>
      </c>
      <c r="C280" s="672" t="s">
        <v>790</v>
      </c>
      <c r="D280" s="673">
        <v>36576</v>
      </c>
      <c r="E280" s="674">
        <v>10</v>
      </c>
      <c r="F280" s="675">
        <v>0.1</v>
      </c>
      <c r="G280" s="676">
        <v>1</v>
      </c>
      <c r="H280" s="929">
        <v>0</v>
      </c>
      <c r="I280" s="929">
        <v>0</v>
      </c>
      <c r="J280" s="689">
        <f t="shared" si="5"/>
        <v>1</v>
      </c>
    </row>
    <row r="281" spans="1:10" ht="12.75" customHeight="1" x14ac:dyDescent="0.2">
      <c r="A281" s="681" t="s">
        <v>2370</v>
      </c>
      <c r="B281" s="693" t="s">
        <v>2850</v>
      </c>
      <c r="C281" s="672" t="s">
        <v>790</v>
      </c>
      <c r="D281" s="673">
        <v>36576</v>
      </c>
      <c r="E281" s="674">
        <v>10</v>
      </c>
      <c r="F281" s="675">
        <v>0.1</v>
      </c>
      <c r="G281" s="676">
        <v>1</v>
      </c>
      <c r="H281" s="929">
        <v>0</v>
      </c>
      <c r="I281" s="929">
        <v>0</v>
      </c>
      <c r="J281" s="689">
        <f t="shared" si="5"/>
        <v>1</v>
      </c>
    </row>
    <row r="282" spans="1:10" ht="12.75" customHeight="1" x14ac:dyDescent="0.2">
      <c r="A282" s="681" t="s">
        <v>2370</v>
      </c>
      <c r="B282" s="693" t="s">
        <v>2851</v>
      </c>
      <c r="C282" s="672" t="s">
        <v>790</v>
      </c>
      <c r="D282" s="673">
        <v>36211</v>
      </c>
      <c r="E282" s="674">
        <v>10</v>
      </c>
      <c r="F282" s="675">
        <v>0.1</v>
      </c>
      <c r="G282" s="676">
        <v>1</v>
      </c>
      <c r="H282" s="929">
        <v>0</v>
      </c>
      <c r="I282" s="929">
        <v>0</v>
      </c>
      <c r="J282" s="689">
        <f t="shared" si="5"/>
        <v>1</v>
      </c>
    </row>
    <row r="283" spans="1:10" ht="12.75" customHeight="1" x14ac:dyDescent="0.2">
      <c r="A283" s="681" t="s">
        <v>2370</v>
      </c>
      <c r="B283" s="693" t="s">
        <v>2852</v>
      </c>
      <c r="C283" s="672" t="s">
        <v>828</v>
      </c>
      <c r="D283" s="673">
        <v>36576</v>
      </c>
      <c r="E283" s="674">
        <v>10</v>
      </c>
      <c r="F283" s="675">
        <v>0.1</v>
      </c>
      <c r="G283" s="676">
        <v>1</v>
      </c>
      <c r="H283" s="929">
        <v>0</v>
      </c>
      <c r="I283" s="929">
        <v>0</v>
      </c>
      <c r="J283" s="689">
        <f t="shared" si="5"/>
        <v>1</v>
      </c>
    </row>
    <row r="284" spans="1:10" ht="12.75" customHeight="1" x14ac:dyDescent="0.2">
      <c r="A284" s="681" t="s">
        <v>2370</v>
      </c>
      <c r="B284" s="693" t="s">
        <v>2853</v>
      </c>
      <c r="C284" s="672" t="s">
        <v>820</v>
      </c>
      <c r="D284" s="673">
        <v>35846</v>
      </c>
      <c r="E284" s="674">
        <v>10</v>
      </c>
      <c r="F284" s="675">
        <v>0.1</v>
      </c>
      <c r="G284" s="676">
        <v>1</v>
      </c>
      <c r="H284" s="929">
        <v>0</v>
      </c>
      <c r="I284" s="929">
        <v>0</v>
      </c>
      <c r="J284" s="689">
        <f t="shared" si="5"/>
        <v>1</v>
      </c>
    </row>
    <row r="285" spans="1:10" ht="12.75" customHeight="1" x14ac:dyDescent="0.2">
      <c r="A285" s="681" t="s">
        <v>2370</v>
      </c>
      <c r="B285" s="693" t="s">
        <v>2854</v>
      </c>
      <c r="C285" s="672" t="s">
        <v>787</v>
      </c>
      <c r="D285" s="673">
        <v>36576</v>
      </c>
      <c r="E285" s="674">
        <v>10</v>
      </c>
      <c r="F285" s="675">
        <v>0.1</v>
      </c>
      <c r="G285" s="676">
        <v>1</v>
      </c>
      <c r="H285" s="929">
        <v>0</v>
      </c>
      <c r="I285" s="929">
        <v>0</v>
      </c>
      <c r="J285" s="689">
        <f t="shared" si="5"/>
        <v>1</v>
      </c>
    </row>
    <row r="286" spans="1:10" ht="12.75" customHeight="1" x14ac:dyDescent="0.2">
      <c r="A286" s="681" t="s">
        <v>2370</v>
      </c>
      <c r="B286" s="693" t="s">
        <v>2855</v>
      </c>
      <c r="C286" s="672" t="s">
        <v>785</v>
      </c>
      <c r="D286" s="673">
        <v>36576</v>
      </c>
      <c r="E286" s="674">
        <v>10</v>
      </c>
      <c r="F286" s="675">
        <v>0.1</v>
      </c>
      <c r="G286" s="676">
        <v>1</v>
      </c>
      <c r="H286" s="929">
        <v>0</v>
      </c>
      <c r="I286" s="929">
        <v>0</v>
      </c>
      <c r="J286" s="689">
        <f t="shared" si="5"/>
        <v>1</v>
      </c>
    </row>
    <row r="287" spans="1:10" ht="12.75" customHeight="1" x14ac:dyDescent="0.2">
      <c r="A287" s="681" t="s">
        <v>2370</v>
      </c>
      <c r="B287" s="693" t="s">
        <v>2856</v>
      </c>
      <c r="C287" s="672" t="s">
        <v>820</v>
      </c>
      <c r="D287" s="673">
        <v>35846</v>
      </c>
      <c r="E287" s="674">
        <v>10</v>
      </c>
      <c r="F287" s="675">
        <v>0.1</v>
      </c>
      <c r="G287" s="676">
        <v>1</v>
      </c>
      <c r="H287" s="929">
        <v>0</v>
      </c>
      <c r="I287" s="929">
        <v>0</v>
      </c>
      <c r="J287" s="689">
        <f t="shared" si="5"/>
        <v>1</v>
      </c>
    </row>
    <row r="288" spans="1:10" ht="12.75" customHeight="1" x14ac:dyDescent="0.2">
      <c r="A288" s="681" t="s">
        <v>2370</v>
      </c>
      <c r="B288" s="693" t="s">
        <v>2857</v>
      </c>
      <c r="C288" s="672" t="s">
        <v>787</v>
      </c>
      <c r="D288" s="673">
        <v>40594</v>
      </c>
      <c r="E288" s="674">
        <v>10</v>
      </c>
      <c r="F288" s="675">
        <v>0.1</v>
      </c>
      <c r="G288" s="676">
        <v>1</v>
      </c>
      <c r="H288" s="929">
        <v>0</v>
      </c>
      <c r="I288" s="929">
        <v>0</v>
      </c>
      <c r="J288" s="689">
        <f t="shared" si="5"/>
        <v>1</v>
      </c>
    </row>
    <row r="289" spans="1:10" ht="12.75" customHeight="1" x14ac:dyDescent="0.2">
      <c r="A289" s="681" t="s">
        <v>2370</v>
      </c>
      <c r="B289" s="693" t="s">
        <v>2858</v>
      </c>
      <c r="C289" s="672" t="s">
        <v>785</v>
      </c>
      <c r="D289" s="673">
        <v>40594</v>
      </c>
      <c r="E289" s="674">
        <v>10</v>
      </c>
      <c r="F289" s="675">
        <v>0.1</v>
      </c>
      <c r="G289" s="676">
        <v>1</v>
      </c>
      <c r="H289" s="929">
        <v>0</v>
      </c>
      <c r="I289" s="929">
        <v>0</v>
      </c>
      <c r="J289" s="689">
        <f t="shared" si="5"/>
        <v>1</v>
      </c>
    </row>
    <row r="290" spans="1:10" ht="12.75" customHeight="1" x14ac:dyDescent="0.2">
      <c r="A290" s="681" t="s">
        <v>2370</v>
      </c>
      <c r="B290" s="693" t="s">
        <v>2859</v>
      </c>
      <c r="C290" s="672" t="s">
        <v>791</v>
      </c>
      <c r="D290" s="673">
        <v>32924</v>
      </c>
      <c r="E290" s="674">
        <v>10</v>
      </c>
      <c r="F290" s="675">
        <v>0.1</v>
      </c>
      <c r="G290" s="676">
        <v>1</v>
      </c>
      <c r="H290" s="929">
        <v>0</v>
      </c>
      <c r="I290" s="929">
        <v>0</v>
      </c>
      <c r="J290" s="689">
        <f t="shared" si="5"/>
        <v>1</v>
      </c>
    </row>
    <row r="291" spans="1:10" ht="12.75" customHeight="1" x14ac:dyDescent="0.2">
      <c r="A291" s="681" t="s">
        <v>2370</v>
      </c>
      <c r="B291" s="693" t="s">
        <v>2860</v>
      </c>
      <c r="C291" s="672" t="s">
        <v>791</v>
      </c>
      <c r="D291" s="673">
        <v>33289</v>
      </c>
      <c r="E291" s="674">
        <v>10</v>
      </c>
      <c r="F291" s="675">
        <v>0.1</v>
      </c>
      <c r="G291" s="676">
        <v>1</v>
      </c>
      <c r="H291" s="929">
        <v>0</v>
      </c>
      <c r="I291" s="929">
        <v>0</v>
      </c>
      <c r="J291" s="689">
        <f t="shared" si="5"/>
        <v>1</v>
      </c>
    </row>
    <row r="292" spans="1:10" ht="12.75" customHeight="1" x14ac:dyDescent="0.2">
      <c r="A292" s="681" t="s">
        <v>2370</v>
      </c>
      <c r="B292" s="693" t="s">
        <v>2861</v>
      </c>
      <c r="C292" s="672" t="s">
        <v>787</v>
      </c>
      <c r="D292" s="673">
        <v>36211</v>
      </c>
      <c r="E292" s="674">
        <v>10</v>
      </c>
      <c r="F292" s="675">
        <v>0.1</v>
      </c>
      <c r="G292" s="676">
        <v>1</v>
      </c>
      <c r="H292" s="929">
        <v>0</v>
      </c>
      <c r="I292" s="929">
        <v>0</v>
      </c>
      <c r="J292" s="689">
        <f t="shared" si="5"/>
        <v>1</v>
      </c>
    </row>
    <row r="293" spans="1:10" ht="12.75" customHeight="1" x14ac:dyDescent="0.2">
      <c r="A293" s="681" t="s">
        <v>2370</v>
      </c>
      <c r="B293" s="693" t="s">
        <v>2862</v>
      </c>
      <c r="C293" s="672" t="s">
        <v>788</v>
      </c>
      <c r="D293" s="673">
        <v>38768</v>
      </c>
      <c r="E293" s="674">
        <v>10</v>
      </c>
      <c r="F293" s="675">
        <v>0.1</v>
      </c>
      <c r="G293" s="676">
        <v>1</v>
      </c>
      <c r="H293" s="929">
        <v>0</v>
      </c>
      <c r="I293" s="929">
        <v>0</v>
      </c>
      <c r="J293" s="689">
        <f t="shared" si="5"/>
        <v>1</v>
      </c>
    </row>
    <row r="294" spans="1:10" ht="12.75" customHeight="1" x14ac:dyDescent="0.2">
      <c r="A294" s="681" t="s">
        <v>2370</v>
      </c>
      <c r="B294" s="693" t="s">
        <v>2863</v>
      </c>
      <c r="C294" s="672" t="s">
        <v>788</v>
      </c>
      <c r="D294" s="673">
        <v>38768</v>
      </c>
      <c r="E294" s="674">
        <v>10</v>
      </c>
      <c r="F294" s="675">
        <v>0.1</v>
      </c>
      <c r="G294" s="676">
        <v>1</v>
      </c>
      <c r="H294" s="929">
        <v>0</v>
      </c>
      <c r="I294" s="929">
        <v>0</v>
      </c>
      <c r="J294" s="689">
        <f t="shared" si="5"/>
        <v>1</v>
      </c>
    </row>
    <row r="295" spans="1:10" ht="12.75" customHeight="1" x14ac:dyDescent="0.2">
      <c r="A295" s="681" t="s">
        <v>2370</v>
      </c>
      <c r="B295" s="693" t="s">
        <v>2864</v>
      </c>
      <c r="C295" s="672" t="s">
        <v>788</v>
      </c>
      <c r="D295" s="673">
        <v>38768</v>
      </c>
      <c r="E295" s="674">
        <v>10</v>
      </c>
      <c r="F295" s="675">
        <v>0.1</v>
      </c>
      <c r="G295" s="676">
        <v>1</v>
      </c>
      <c r="H295" s="929">
        <v>0</v>
      </c>
      <c r="I295" s="929">
        <v>0</v>
      </c>
      <c r="J295" s="689">
        <f t="shared" si="5"/>
        <v>1</v>
      </c>
    </row>
    <row r="296" spans="1:10" ht="12.75" customHeight="1" x14ac:dyDescent="0.2">
      <c r="A296" s="681" t="s">
        <v>2370</v>
      </c>
      <c r="B296" s="693" t="s">
        <v>2865</v>
      </c>
      <c r="C296" s="672" t="s">
        <v>813</v>
      </c>
      <c r="D296" s="673">
        <v>36576</v>
      </c>
      <c r="E296" s="674">
        <v>10</v>
      </c>
      <c r="F296" s="675">
        <v>0.1</v>
      </c>
      <c r="G296" s="676">
        <v>1</v>
      </c>
      <c r="H296" s="929">
        <v>0</v>
      </c>
      <c r="I296" s="929">
        <v>0</v>
      </c>
      <c r="J296" s="689">
        <f t="shared" si="5"/>
        <v>1</v>
      </c>
    </row>
    <row r="297" spans="1:10" ht="12.75" customHeight="1" x14ac:dyDescent="0.2">
      <c r="A297" s="681" t="s">
        <v>2370</v>
      </c>
      <c r="B297" s="693" t="s">
        <v>2866</v>
      </c>
      <c r="C297" s="672" t="s">
        <v>835</v>
      </c>
      <c r="D297" s="673">
        <v>36576</v>
      </c>
      <c r="E297" s="674">
        <v>10</v>
      </c>
      <c r="F297" s="675">
        <v>0.1</v>
      </c>
      <c r="G297" s="676">
        <v>1</v>
      </c>
      <c r="H297" s="929">
        <v>0</v>
      </c>
      <c r="I297" s="929">
        <v>0</v>
      </c>
      <c r="J297" s="689">
        <f t="shared" si="5"/>
        <v>1</v>
      </c>
    </row>
    <row r="298" spans="1:10" ht="12.75" customHeight="1" x14ac:dyDescent="0.2">
      <c r="A298" s="681" t="s">
        <v>2370</v>
      </c>
      <c r="B298" s="693" t="s">
        <v>2867</v>
      </c>
      <c r="C298" s="672" t="s">
        <v>835</v>
      </c>
      <c r="D298" s="673">
        <v>36576</v>
      </c>
      <c r="E298" s="674">
        <v>10</v>
      </c>
      <c r="F298" s="675">
        <v>0.1</v>
      </c>
      <c r="G298" s="676">
        <v>1</v>
      </c>
      <c r="H298" s="929">
        <v>0</v>
      </c>
      <c r="I298" s="929">
        <v>0</v>
      </c>
      <c r="J298" s="689">
        <f t="shared" si="5"/>
        <v>1</v>
      </c>
    </row>
    <row r="299" spans="1:10" ht="12.75" customHeight="1" x14ac:dyDescent="0.2">
      <c r="A299" s="681" t="s">
        <v>2370</v>
      </c>
      <c r="B299" s="693" t="s">
        <v>2868</v>
      </c>
      <c r="C299" s="672" t="s">
        <v>835</v>
      </c>
      <c r="D299" s="673">
        <v>36576</v>
      </c>
      <c r="E299" s="674">
        <v>10</v>
      </c>
      <c r="F299" s="675">
        <v>0.1</v>
      </c>
      <c r="G299" s="676">
        <v>1</v>
      </c>
      <c r="H299" s="929">
        <v>0</v>
      </c>
      <c r="I299" s="929">
        <v>0</v>
      </c>
      <c r="J299" s="689">
        <f t="shared" si="5"/>
        <v>1</v>
      </c>
    </row>
    <row r="300" spans="1:10" ht="12.75" customHeight="1" x14ac:dyDescent="0.2">
      <c r="A300" s="681" t="s">
        <v>2370</v>
      </c>
      <c r="B300" s="693" t="s">
        <v>2869</v>
      </c>
      <c r="C300" s="672" t="s">
        <v>787</v>
      </c>
      <c r="D300" s="673">
        <v>36211</v>
      </c>
      <c r="E300" s="674">
        <v>10</v>
      </c>
      <c r="F300" s="675">
        <v>0.1</v>
      </c>
      <c r="G300" s="676">
        <v>1</v>
      </c>
      <c r="H300" s="929">
        <v>0</v>
      </c>
      <c r="I300" s="929">
        <v>0</v>
      </c>
      <c r="J300" s="689">
        <f t="shared" si="5"/>
        <v>1</v>
      </c>
    </row>
    <row r="301" spans="1:10" ht="12.75" customHeight="1" x14ac:dyDescent="0.2">
      <c r="A301" s="681" t="s">
        <v>2370</v>
      </c>
      <c r="B301" s="693" t="s">
        <v>2870</v>
      </c>
      <c r="C301" s="672" t="s">
        <v>785</v>
      </c>
      <c r="D301" s="673">
        <v>35846</v>
      </c>
      <c r="E301" s="674">
        <v>10</v>
      </c>
      <c r="F301" s="675">
        <v>0.1</v>
      </c>
      <c r="G301" s="676">
        <v>1</v>
      </c>
      <c r="H301" s="929">
        <v>0</v>
      </c>
      <c r="I301" s="929">
        <v>0</v>
      </c>
      <c r="J301" s="689">
        <f t="shared" si="5"/>
        <v>1</v>
      </c>
    </row>
    <row r="302" spans="1:10" ht="12.75" customHeight="1" x14ac:dyDescent="0.2">
      <c r="A302" s="681" t="s">
        <v>2370</v>
      </c>
      <c r="B302" s="693" t="s">
        <v>2871</v>
      </c>
      <c r="C302" s="672" t="s">
        <v>835</v>
      </c>
      <c r="D302" s="673">
        <v>39864</v>
      </c>
      <c r="E302" s="674">
        <v>10</v>
      </c>
      <c r="F302" s="675">
        <v>0.1</v>
      </c>
      <c r="G302" s="676">
        <v>1</v>
      </c>
      <c r="H302" s="929">
        <v>0</v>
      </c>
      <c r="I302" s="929">
        <v>0</v>
      </c>
      <c r="J302" s="689">
        <f t="shared" si="5"/>
        <v>1</v>
      </c>
    </row>
    <row r="303" spans="1:10" ht="12.75" customHeight="1" x14ac:dyDescent="0.2">
      <c r="A303" s="681" t="s">
        <v>2370</v>
      </c>
      <c r="B303" s="693" t="s">
        <v>2872</v>
      </c>
      <c r="C303" s="672" t="s">
        <v>785</v>
      </c>
      <c r="D303" s="673">
        <v>35846</v>
      </c>
      <c r="E303" s="674">
        <v>10</v>
      </c>
      <c r="F303" s="675">
        <v>0.1</v>
      </c>
      <c r="G303" s="676">
        <v>1</v>
      </c>
      <c r="H303" s="929">
        <v>0</v>
      </c>
      <c r="I303" s="929">
        <v>0</v>
      </c>
      <c r="J303" s="689">
        <f t="shared" si="5"/>
        <v>1</v>
      </c>
    </row>
    <row r="304" spans="1:10" ht="12.75" customHeight="1" x14ac:dyDescent="0.2">
      <c r="A304" s="681" t="s">
        <v>2370</v>
      </c>
      <c r="B304" s="693" t="s">
        <v>2873</v>
      </c>
      <c r="C304" s="672" t="s">
        <v>785</v>
      </c>
      <c r="D304" s="673">
        <v>35115</v>
      </c>
      <c r="E304" s="674">
        <v>10</v>
      </c>
      <c r="F304" s="675">
        <v>0.1</v>
      </c>
      <c r="G304" s="676">
        <v>1</v>
      </c>
      <c r="H304" s="929">
        <v>0</v>
      </c>
      <c r="I304" s="929">
        <v>0</v>
      </c>
      <c r="J304" s="689">
        <f t="shared" si="5"/>
        <v>1</v>
      </c>
    </row>
    <row r="305" spans="1:10" ht="12.75" customHeight="1" x14ac:dyDescent="0.2">
      <c r="A305" s="681" t="s">
        <v>2370</v>
      </c>
      <c r="B305" s="693" t="s">
        <v>2874</v>
      </c>
      <c r="C305" s="672" t="s">
        <v>785</v>
      </c>
      <c r="D305" s="673">
        <v>35115</v>
      </c>
      <c r="E305" s="674">
        <v>10</v>
      </c>
      <c r="F305" s="675">
        <v>0.1</v>
      </c>
      <c r="G305" s="676">
        <v>1</v>
      </c>
      <c r="H305" s="929">
        <v>0</v>
      </c>
      <c r="I305" s="929">
        <v>0</v>
      </c>
      <c r="J305" s="689">
        <f t="shared" si="5"/>
        <v>1</v>
      </c>
    </row>
    <row r="306" spans="1:10" ht="12.75" customHeight="1" x14ac:dyDescent="0.2">
      <c r="A306" s="681" t="s">
        <v>2370</v>
      </c>
      <c r="B306" s="693" t="s">
        <v>2875</v>
      </c>
      <c r="C306" s="672" t="s">
        <v>785</v>
      </c>
      <c r="D306" s="673">
        <v>40594</v>
      </c>
      <c r="E306" s="674">
        <v>10</v>
      </c>
      <c r="F306" s="675">
        <v>0.1</v>
      </c>
      <c r="G306" s="676">
        <v>1</v>
      </c>
      <c r="H306" s="929">
        <v>0</v>
      </c>
      <c r="I306" s="929">
        <v>0</v>
      </c>
      <c r="J306" s="689">
        <f t="shared" si="5"/>
        <v>1</v>
      </c>
    </row>
    <row r="307" spans="1:10" ht="12.75" customHeight="1" x14ac:dyDescent="0.2">
      <c r="A307" s="681" t="s">
        <v>2370</v>
      </c>
      <c r="B307" s="693" t="s">
        <v>2876</v>
      </c>
      <c r="C307" s="672" t="s">
        <v>837</v>
      </c>
      <c r="D307" s="673">
        <v>39133</v>
      </c>
      <c r="E307" s="674">
        <v>10</v>
      </c>
      <c r="F307" s="675">
        <v>0.1</v>
      </c>
      <c r="G307" s="676">
        <v>1</v>
      </c>
      <c r="H307" s="929">
        <v>0</v>
      </c>
      <c r="I307" s="929">
        <v>0</v>
      </c>
      <c r="J307" s="689">
        <f t="shared" si="5"/>
        <v>1</v>
      </c>
    </row>
    <row r="308" spans="1:10" ht="12.75" customHeight="1" x14ac:dyDescent="0.2">
      <c r="A308" s="681" t="s">
        <v>2370</v>
      </c>
      <c r="B308" s="693" t="s">
        <v>2877</v>
      </c>
      <c r="C308" s="672" t="s">
        <v>790</v>
      </c>
      <c r="D308" s="673">
        <v>39133</v>
      </c>
      <c r="E308" s="674">
        <v>10</v>
      </c>
      <c r="F308" s="675">
        <v>0.1</v>
      </c>
      <c r="G308" s="676">
        <v>1</v>
      </c>
      <c r="H308" s="929">
        <v>0</v>
      </c>
      <c r="I308" s="929">
        <v>0</v>
      </c>
      <c r="J308" s="689">
        <f t="shared" si="5"/>
        <v>1</v>
      </c>
    </row>
    <row r="309" spans="1:10" ht="12.75" customHeight="1" x14ac:dyDescent="0.2">
      <c r="A309" s="681" t="s">
        <v>2370</v>
      </c>
      <c r="B309" s="693" t="s">
        <v>2878</v>
      </c>
      <c r="C309" s="672" t="s">
        <v>787</v>
      </c>
      <c r="D309" s="673">
        <v>40594</v>
      </c>
      <c r="E309" s="674">
        <v>10</v>
      </c>
      <c r="F309" s="675">
        <v>0.1</v>
      </c>
      <c r="G309" s="676">
        <v>1</v>
      </c>
      <c r="H309" s="929">
        <v>0</v>
      </c>
      <c r="I309" s="929">
        <v>0</v>
      </c>
      <c r="J309" s="689">
        <f t="shared" si="5"/>
        <v>1</v>
      </c>
    </row>
    <row r="310" spans="1:10" ht="12.75" customHeight="1" x14ac:dyDescent="0.2">
      <c r="A310" s="681" t="s">
        <v>2370</v>
      </c>
      <c r="B310" s="693" t="s">
        <v>2879</v>
      </c>
      <c r="C310" s="672" t="s">
        <v>785</v>
      </c>
      <c r="D310" s="673">
        <v>33289</v>
      </c>
      <c r="E310" s="674">
        <v>10</v>
      </c>
      <c r="F310" s="675">
        <v>0.1</v>
      </c>
      <c r="G310" s="676">
        <v>1</v>
      </c>
      <c r="H310" s="929">
        <v>0</v>
      </c>
      <c r="I310" s="929">
        <v>0</v>
      </c>
      <c r="J310" s="689">
        <f t="shared" si="5"/>
        <v>1</v>
      </c>
    </row>
    <row r="311" spans="1:10" ht="12.75" customHeight="1" x14ac:dyDescent="0.2">
      <c r="A311" s="681" t="s">
        <v>2370</v>
      </c>
      <c r="B311" s="693" t="s">
        <v>2880</v>
      </c>
      <c r="C311" s="672" t="s">
        <v>791</v>
      </c>
      <c r="D311" s="673">
        <v>38403</v>
      </c>
      <c r="E311" s="674">
        <v>10</v>
      </c>
      <c r="F311" s="675">
        <v>0.1</v>
      </c>
      <c r="G311" s="676">
        <v>1</v>
      </c>
      <c r="H311" s="929">
        <v>0</v>
      </c>
      <c r="I311" s="929">
        <v>0</v>
      </c>
      <c r="J311" s="689">
        <f t="shared" si="5"/>
        <v>1</v>
      </c>
    </row>
    <row r="312" spans="1:10" ht="12.75" customHeight="1" x14ac:dyDescent="0.2">
      <c r="A312" s="681" t="s">
        <v>2370</v>
      </c>
      <c r="B312" s="693" t="s">
        <v>2881</v>
      </c>
      <c r="C312" s="672" t="s">
        <v>790</v>
      </c>
      <c r="D312" s="673">
        <v>38768</v>
      </c>
      <c r="E312" s="674">
        <v>10</v>
      </c>
      <c r="F312" s="675">
        <v>0.1</v>
      </c>
      <c r="G312" s="676">
        <v>1</v>
      </c>
      <c r="H312" s="929">
        <v>0</v>
      </c>
      <c r="I312" s="929">
        <v>0</v>
      </c>
      <c r="J312" s="689">
        <f t="shared" si="5"/>
        <v>1</v>
      </c>
    </row>
    <row r="313" spans="1:10" ht="12.75" customHeight="1" x14ac:dyDescent="0.2">
      <c r="A313" s="681" t="s">
        <v>2370</v>
      </c>
      <c r="B313" s="693" t="s">
        <v>2882</v>
      </c>
      <c r="C313" s="672" t="s">
        <v>785</v>
      </c>
      <c r="D313" s="673">
        <v>36576</v>
      </c>
      <c r="E313" s="674">
        <v>10</v>
      </c>
      <c r="F313" s="675">
        <v>0.1</v>
      </c>
      <c r="G313" s="676">
        <v>1</v>
      </c>
      <c r="H313" s="929">
        <v>0</v>
      </c>
      <c r="I313" s="929">
        <v>0</v>
      </c>
      <c r="J313" s="689">
        <f t="shared" si="5"/>
        <v>1</v>
      </c>
    </row>
    <row r="314" spans="1:10" ht="12.75" customHeight="1" x14ac:dyDescent="0.2">
      <c r="A314" s="681" t="s">
        <v>2370</v>
      </c>
      <c r="B314" s="693" t="s">
        <v>2883</v>
      </c>
      <c r="C314" s="672" t="s">
        <v>785</v>
      </c>
      <c r="D314" s="673">
        <v>36576</v>
      </c>
      <c r="E314" s="674">
        <v>10</v>
      </c>
      <c r="F314" s="675">
        <v>0.1</v>
      </c>
      <c r="G314" s="676">
        <v>1</v>
      </c>
      <c r="H314" s="929">
        <v>0</v>
      </c>
      <c r="I314" s="929">
        <v>0</v>
      </c>
      <c r="J314" s="689">
        <f t="shared" si="5"/>
        <v>1</v>
      </c>
    </row>
    <row r="315" spans="1:10" ht="12.75" customHeight="1" x14ac:dyDescent="0.2">
      <c r="A315" s="681" t="s">
        <v>2370</v>
      </c>
      <c r="B315" s="693" t="s">
        <v>2884</v>
      </c>
      <c r="C315" s="672" t="s">
        <v>832</v>
      </c>
      <c r="D315" s="673">
        <v>39498</v>
      </c>
      <c r="E315" s="674">
        <v>10</v>
      </c>
      <c r="F315" s="675">
        <v>0.1</v>
      </c>
      <c r="G315" s="676">
        <v>1</v>
      </c>
      <c r="H315" s="929">
        <v>0</v>
      </c>
      <c r="I315" s="929">
        <v>0</v>
      </c>
      <c r="J315" s="689">
        <f t="shared" si="5"/>
        <v>1</v>
      </c>
    </row>
    <row r="316" spans="1:10" ht="12.75" customHeight="1" x14ac:dyDescent="0.2">
      <c r="A316" s="681" t="s">
        <v>2370</v>
      </c>
      <c r="B316" s="693" t="s">
        <v>2885</v>
      </c>
      <c r="C316" s="672" t="s">
        <v>791</v>
      </c>
      <c r="D316" s="673">
        <v>32924</v>
      </c>
      <c r="E316" s="674">
        <v>10</v>
      </c>
      <c r="F316" s="675">
        <v>0.1</v>
      </c>
      <c r="G316" s="676">
        <v>1</v>
      </c>
      <c r="H316" s="929">
        <v>0</v>
      </c>
      <c r="I316" s="929">
        <v>0</v>
      </c>
      <c r="J316" s="689">
        <f t="shared" si="5"/>
        <v>1</v>
      </c>
    </row>
    <row r="317" spans="1:10" ht="12.75" customHeight="1" x14ac:dyDescent="0.2">
      <c r="A317" s="681" t="s">
        <v>2370</v>
      </c>
      <c r="B317" s="693" t="s">
        <v>2886</v>
      </c>
      <c r="C317" s="672" t="s">
        <v>785</v>
      </c>
      <c r="D317" s="673">
        <v>38037</v>
      </c>
      <c r="E317" s="674">
        <v>10</v>
      </c>
      <c r="F317" s="675">
        <v>0.1</v>
      </c>
      <c r="G317" s="676">
        <v>1</v>
      </c>
      <c r="H317" s="929">
        <v>0</v>
      </c>
      <c r="I317" s="929">
        <v>0</v>
      </c>
      <c r="J317" s="689">
        <f t="shared" si="5"/>
        <v>1</v>
      </c>
    </row>
    <row r="318" spans="1:10" ht="12.75" customHeight="1" x14ac:dyDescent="0.2">
      <c r="A318" s="681" t="s">
        <v>2370</v>
      </c>
      <c r="B318" s="693" t="s">
        <v>2887</v>
      </c>
      <c r="C318" s="672" t="s">
        <v>785</v>
      </c>
      <c r="D318" s="673">
        <v>33289</v>
      </c>
      <c r="E318" s="674">
        <v>10</v>
      </c>
      <c r="F318" s="675">
        <v>0.1</v>
      </c>
      <c r="G318" s="676">
        <v>1</v>
      </c>
      <c r="H318" s="929">
        <v>0</v>
      </c>
      <c r="I318" s="929">
        <v>0</v>
      </c>
      <c r="J318" s="689">
        <f t="shared" si="5"/>
        <v>1</v>
      </c>
    </row>
    <row r="319" spans="1:10" ht="12.75" customHeight="1" x14ac:dyDescent="0.2">
      <c r="A319" s="681" t="s">
        <v>2370</v>
      </c>
      <c r="B319" s="693" t="s">
        <v>2888</v>
      </c>
      <c r="C319" s="672" t="s">
        <v>792</v>
      </c>
      <c r="D319" s="673">
        <v>39498</v>
      </c>
      <c r="E319" s="674">
        <v>10</v>
      </c>
      <c r="F319" s="675">
        <v>0.1</v>
      </c>
      <c r="G319" s="676">
        <v>1</v>
      </c>
      <c r="H319" s="929">
        <v>0</v>
      </c>
      <c r="I319" s="929">
        <v>0</v>
      </c>
      <c r="J319" s="689">
        <f t="shared" si="5"/>
        <v>1</v>
      </c>
    </row>
    <row r="320" spans="1:10" ht="12.75" customHeight="1" x14ac:dyDescent="0.2">
      <c r="A320" s="681" t="s">
        <v>2370</v>
      </c>
      <c r="B320" s="693" t="s">
        <v>2889</v>
      </c>
      <c r="C320" s="672" t="s">
        <v>787</v>
      </c>
      <c r="D320" s="673">
        <v>32924</v>
      </c>
      <c r="E320" s="674">
        <v>10</v>
      </c>
      <c r="F320" s="675">
        <v>0.1</v>
      </c>
      <c r="G320" s="676">
        <v>1</v>
      </c>
      <c r="H320" s="929">
        <v>0</v>
      </c>
      <c r="I320" s="929">
        <v>0</v>
      </c>
      <c r="J320" s="689">
        <f t="shared" si="5"/>
        <v>1</v>
      </c>
    </row>
    <row r="321" spans="1:10" ht="12.75" customHeight="1" x14ac:dyDescent="0.2">
      <c r="A321" s="681" t="s">
        <v>2370</v>
      </c>
      <c r="B321" s="693" t="s">
        <v>2890</v>
      </c>
      <c r="C321" s="672" t="s">
        <v>804</v>
      </c>
      <c r="D321" s="673">
        <v>32924</v>
      </c>
      <c r="E321" s="674">
        <v>10</v>
      </c>
      <c r="F321" s="675">
        <v>0.1</v>
      </c>
      <c r="G321" s="676">
        <v>1</v>
      </c>
      <c r="H321" s="929">
        <v>0</v>
      </c>
      <c r="I321" s="929">
        <v>0</v>
      </c>
      <c r="J321" s="689">
        <f t="shared" si="5"/>
        <v>1</v>
      </c>
    </row>
    <row r="322" spans="1:10" ht="12.75" customHeight="1" x14ac:dyDescent="0.2">
      <c r="A322" s="681" t="s">
        <v>2370</v>
      </c>
      <c r="B322" s="693" t="s">
        <v>2891</v>
      </c>
      <c r="C322" s="672" t="s">
        <v>788</v>
      </c>
      <c r="D322" s="673">
        <v>38037</v>
      </c>
      <c r="E322" s="674">
        <v>10</v>
      </c>
      <c r="F322" s="675">
        <v>0.1</v>
      </c>
      <c r="G322" s="676">
        <v>1</v>
      </c>
      <c r="H322" s="929">
        <v>0</v>
      </c>
      <c r="I322" s="929">
        <v>0</v>
      </c>
      <c r="J322" s="689">
        <f t="shared" si="5"/>
        <v>1</v>
      </c>
    </row>
    <row r="323" spans="1:10" ht="12.75" customHeight="1" x14ac:dyDescent="0.2">
      <c r="A323" s="681" t="s">
        <v>2370</v>
      </c>
      <c r="B323" s="693" t="s">
        <v>2892</v>
      </c>
      <c r="C323" s="672" t="s">
        <v>791</v>
      </c>
      <c r="D323" s="673">
        <v>35846</v>
      </c>
      <c r="E323" s="674">
        <v>10</v>
      </c>
      <c r="F323" s="675">
        <v>0.1</v>
      </c>
      <c r="G323" s="676">
        <v>1</v>
      </c>
      <c r="H323" s="929">
        <v>0</v>
      </c>
      <c r="I323" s="929">
        <v>0</v>
      </c>
      <c r="J323" s="689">
        <f t="shared" si="5"/>
        <v>1</v>
      </c>
    </row>
    <row r="324" spans="1:10" ht="12.75" customHeight="1" x14ac:dyDescent="0.2">
      <c r="A324" s="681" t="s">
        <v>2370</v>
      </c>
      <c r="B324" s="693" t="s">
        <v>2893</v>
      </c>
      <c r="C324" s="672" t="s">
        <v>815</v>
      </c>
      <c r="D324" s="673">
        <v>39498</v>
      </c>
      <c r="E324" s="674">
        <v>10</v>
      </c>
      <c r="F324" s="675">
        <v>0.1</v>
      </c>
      <c r="G324" s="676">
        <v>1</v>
      </c>
      <c r="H324" s="929">
        <v>0</v>
      </c>
      <c r="I324" s="929">
        <v>0</v>
      </c>
      <c r="J324" s="689">
        <f t="shared" si="5"/>
        <v>1</v>
      </c>
    </row>
    <row r="325" spans="1:10" ht="12.75" customHeight="1" x14ac:dyDescent="0.2">
      <c r="A325" s="681" t="s">
        <v>2370</v>
      </c>
      <c r="B325" s="693" t="s">
        <v>2894</v>
      </c>
      <c r="C325" s="672" t="s">
        <v>785</v>
      </c>
      <c r="D325" s="673">
        <v>39498</v>
      </c>
      <c r="E325" s="674">
        <v>10</v>
      </c>
      <c r="F325" s="675">
        <v>0.1</v>
      </c>
      <c r="G325" s="676">
        <v>1</v>
      </c>
      <c r="H325" s="929">
        <v>0</v>
      </c>
      <c r="I325" s="929">
        <v>0</v>
      </c>
      <c r="J325" s="689">
        <f t="shared" si="5"/>
        <v>1</v>
      </c>
    </row>
    <row r="326" spans="1:10" ht="12.75" customHeight="1" x14ac:dyDescent="0.2">
      <c r="A326" s="681" t="s">
        <v>2370</v>
      </c>
      <c r="B326" s="693" t="s">
        <v>2895</v>
      </c>
      <c r="C326" s="672" t="s">
        <v>790</v>
      </c>
      <c r="D326" s="673">
        <v>35481</v>
      </c>
      <c r="E326" s="674">
        <v>10</v>
      </c>
      <c r="F326" s="675">
        <v>0.1</v>
      </c>
      <c r="G326" s="676">
        <v>1</v>
      </c>
      <c r="H326" s="929">
        <v>0</v>
      </c>
      <c r="I326" s="929">
        <v>0</v>
      </c>
      <c r="J326" s="689">
        <f t="shared" si="5"/>
        <v>1</v>
      </c>
    </row>
    <row r="327" spans="1:10" ht="12.75" customHeight="1" x14ac:dyDescent="0.2">
      <c r="A327" s="681" t="s">
        <v>2370</v>
      </c>
      <c r="B327" s="693" t="s">
        <v>2896</v>
      </c>
      <c r="C327" s="672" t="s">
        <v>785</v>
      </c>
      <c r="D327" s="673">
        <v>38403</v>
      </c>
      <c r="E327" s="674">
        <v>10</v>
      </c>
      <c r="F327" s="675">
        <v>0.1</v>
      </c>
      <c r="G327" s="676">
        <v>1</v>
      </c>
      <c r="H327" s="929">
        <v>0</v>
      </c>
      <c r="I327" s="929">
        <v>0</v>
      </c>
      <c r="J327" s="689">
        <f t="shared" ref="J327:J390" si="6">G327-I327</f>
        <v>1</v>
      </c>
    </row>
    <row r="328" spans="1:10" ht="12.75" customHeight="1" x14ac:dyDescent="0.2">
      <c r="A328" s="681" t="s">
        <v>2370</v>
      </c>
      <c r="B328" s="693" t="s">
        <v>2897</v>
      </c>
      <c r="C328" s="672" t="s">
        <v>785</v>
      </c>
      <c r="D328" s="673">
        <v>40594</v>
      </c>
      <c r="E328" s="674">
        <v>10</v>
      </c>
      <c r="F328" s="675">
        <v>0.1</v>
      </c>
      <c r="G328" s="676">
        <v>1</v>
      </c>
      <c r="H328" s="929">
        <v>0</v>
      </c>
      <c r="I328" s="929">
        <v>0</v>
      </c>
      <c r="J328" s="689">
        <f t="shared" si="6"/>
        <v>1</v>
      </c>
    </row>
    <row r="329" spans="1:10" ht="12.75" customHeight="1" x14ac:dyDescent="0.2">
      <c r="A329" s="681" t="s">
        <v>2370</v>
      </c>
      <c r="B329" s="693" t="s">
        <v>2898</v>
      </c>
      <c r="C329" s="672" t="s">
        <v>785</v>
      </c>
      <c r="D329" s="673">
        <v>34750</v>
      </c>
      <c r="E329" s="674">
        <v>10</v>
      </c>
      <c r="F329" s="675">
        <v>0.1</v>
      </c>
      <c r="G329" s="676">
        <v>1</v>
      </c>
      <c r="H329" s="929">
        <v>0</v>
      </c>
      <c r="I329" s="929">
        <v>0</v>
      </c>
      <c r="J329" s="689">
        <f t="shared" si="6"/>
        <v>1</v>
      </c>
    </row>
    <row r="330" spans="1:10" ht="12.75" customHeight="1" x14ac:dyDescent="0.2">
      <c r="A330" s="681" t="s">
        <v>2370</v>
      </c>
      <c r="B330" s="693" t="s">
        <v>2899</v>
      </c>
      <c r="C330" s="672" t="s">
        <v>785</v>
      </c>
      <c r="D330" s="673">
        <v>38403</v>
      </c>
      <c r="E330" s="674">
        <v>10</v>
      </c>
      <c r="F330" s="675">
        <v>0.1</v>
      </c>
      <c r="G330" s="676">
        <v>1</v>
      </c>
      <c r="H330" s="929">
        <v>0</v>
      </c>
      <c r="I330" s="929">
        <v>0</v>
      </c>
      <c r="J330" s="689">
        <f t="shared" si="6"/>
        <v>1</v>
      </c>
    </row>
    <row r="331" spans="1:10" ht="12.75" customHeight="1" x14ac:dyDescent="0.2">
      <c r="A331" s="681" t="s">
        <v>2370</v>
      </c>
      <c r="B331" s="693" t="s">
        <v>2900</v>
      </c>
      <c r="C331" s="672" t="s">
        <v>785</v>
      </c>
      <c r="D331" s="673">
        <v>38403</v>
      </c>
      <c r="E331" s="674">
        <v>10</v>
      </c>
      <c r="F331" s="675">
        <v>0.1</v>
      </c>
      <c r="G331" s="676">
        <v>1</v>
      </c>
      <c r="H331" s="929">
        <v>0</v>
      </c>
      <c r="I331" s="929">
        <v>0</v>
      </c>
      <c r="J331" s="689">
        <f t="shared" si="6"/>
        <v>1</v>
      </c>
    </row>
    <row r="332" spans="1:10" ht="12.75" customHeight="1" x14ac:dyDescent="0.2">
      <c r="A332" s="681" t="s">
        <v>2370</v>
      </c>
      <c r="B332" s="693" t="s">
        <v>2901</v>
      </c>
      <c r="C332" s="672" t="s">
        <v>792</v>
      </c>
      <c r="D332" s="673">
        <v>37307</v>
      </c>
      <c r="E332" s="674">
        <v>10</v>
      </c>
      <c r="F332" s="675">
        <v>0.1</v>
      </c>
      <c r="G332" s="676">
        <v>1</v>
      </c>
      <c r="H332" s="929">
        <v>0</v>
      </c>
      <c r="I332" s="929">
        <v>0</v>
      </c>
      <c r="J332" s="689">
        <f t="shared" si="6"/>
        <v>1</v>
      </c>
    </row>
    <row r="333" spans="1:10" ht="12.75" customHeight="1" x14ac:dyDescent="0.2">
      <c r="A333" s="681" t="s">
        <v>2370</v>
      </c>
      <c r="B333" s="693" t="s">
        <v>2902</v>
      </c>
      <c r="C333" s="672" t="s">
        <v>792</v>
      </c>
      <c r="D333" s="673">
        <v>39498</v>
      </c>
      <c r="E333" s="674">
        <v>10</v>
      </c>
      <c r="F333" s="675">
        <v>0.1</v>
      </c>
      <c r="G333" s="676">
        <v>1</v>
      </c>
      <c r="H333" s="929">
        <v>0</v>
      </c>
      <c r="I333" s="929">
        <v>0</v>
      </c>
      <c r="J333" s="689">
        <f t="shared" si="6"/>
        <v>1</v>
      </c>
    </row>
    <row r="334" spans="1:10" ht="12.75" customHeight="1" x14ac:dyDescent="0.2">
      <c r="A334" s="681" t="s">
        <v>2370</v>
      </c>
      <c r="B334" s="693" t="s">
        <v>2903</v>
      </c>
      <c r="C334" s="672" t="s">
        <v>815</v>
      </c>
      <c r="D334" s="673">
        <v>39498</v>
      </c>
      <c r="E334" s="674">
        <v>10</v>
      </c>
      <c r="F334" s="675">
        <v>0.1</v>
      </c>
      <c r="G334" s="676">
        <v>1</v>
      </c>
      <c r="H334" s="929">
        <v>0</v>
      </c>
      <c r="I334" s="929">
        <v>0</v>
      </c>
      <c r="J334" s="689">
        <f t="shared" si="6"/>
        <v>1</v>
      </c>
    </row>
    <row r="335" spans="1:10" ht="12.75" customHeight="1" x14ac:dyDescent="0.2">
      <c r="A335" s="681" t="s">
        <v>2370</v>
      </c>
      <c r="B335" s="693" t="s">
        <v>2904</v>
      </c>
      <c r="C335" s="672" t="s">
        <v>815</v>
      </c>
      <c r="D335" s="673">
        <v>39498</v>
      </c>
      <c r="E335" s="674">
        <v>10</v>
      </c>
      <c r="F335" s="675">
        <v>0.1</v>
      </c>
      <c r="G335" s="676">
        <v>1</v>
      </c>
      <c r="H335" s="929">
        <v>0</v>
      </c>
      <c r="I335" s="929">
        <v>0</v>
      </c>
      <c r="J335" s="689">
        <f t="shared" si="6"/>
        <v>1</v>
      </c>
    </row>
    <row r="336" spans="1:10" ht="12.75" customHeight="1" x14ac:dyDescent="0.2">
      <c r="A336" s="681" t="s">
        <v>2370</v>
      </c>
      <c r="B336" s="693" t="s">
        <v>2905</v>
      </c>
      <c r="C336" s="672" t="s">
        <v>785</v>
      </c>
      <c r="D336" s="673">
        <v>36576</v>
      </c>
      <c r="E336" s="674">
        <v>10</v>
      </c>
      <c r="F336" s="675">
        <v>0.1</v>
      </c>
      <c r="G336" s="676">
        <v>1</v>
      </c>
      <c r="H336" s="929">
        <v>0</v>
      </c>
      <c r="I336" s="929">
        <v>0</v>
      </c>
      <c r="J336" s="689">
        <f t="shared" si="6"/>
        <v>1</v>
      </c>
    </row>
    <row r="337" spans="1:10" ht="12.75" customHeight="1" x14ac:dyDescent="0.2">
      <c r="A337" s="681" t="s">
        <v>2370</v>
      </c>
      <c r="B337" s="693" t="s">
        <v>2906</v>
      </c>
      <c r="C337" s="672" t="s">
        <v>832</v>
      </c>
      <c r="D337" s="673">
        <v>30367</v>
      </c>
      <c r="E337" s="674">
        <v>10</v>
      </c>
      <c r="F337" s="675">
        <v>0.1</v>
      </c>
      <c r="G337" s="676">
        <v>1</v>
      </c>
      <c r="H337" s="929">
        <v>0</v>
      </c>
      <c r="I337" s="929">
        <v>0</v>
      </c>
      <c r="J337" s="689">
        <f t="shared" si="6"/>
        <v>1</v>
      </c>
    </row>
    <row r="338" spans="1:10" ht="12.75" customHeight="1" x14ac:dyDescent="0.2">
      <c r="A338" s="681" t="s">
        <v>2370</v>
      </c>
      <c r="B338" s="693" t="s">
        <v>2907</v>
      </c>
      <c r="C338" s="672" t="s">
        <v>787</v>
      </c>
      <c r="D338" s="673">
        <v>32924</v>
      </c>
      <c r="E338" s="674">
        <v>10</v>
      </c>
      <c r="F338" s="675">
        <v>0.1</v>
      </c>
      <c r="G338" s="676">
        <v>1</v>
      </c>
      <c r="H338" s="929">
        <v>0</v>
      </c>
      <c r="I338" s="929">
        <v>0</v>
      </c>
      <c r="J338" s="689">
        <f t="shared" si="6"/>
        <v>1</v>
      </c>
    </row>
    <row r="339" spans="1:10" ht="12.75" customHeight="1" x14ac:dyDescent="0.2">
      <c r="A339" s="681" t="s">
        <v>2370</v>
      </c>
      <c r="B339" s="693" t="s">
        <v>2908</v>
      </c>
      <c r="C339" s="672" t="s">
        <v>804</v>
      </c>
      <c r="D339" s="673">
        <v>35115</v>
      </c>
      <c r="E339" s="674">
        <v>10</v>
      </c>
      <c r="F339" s="675">
        <v>0.1</v>
      </c>
      <c r="G339" s="676">
        <v>1</v>
      </c>
      <c r="H339" s="929">
        <v>0</v>
      </c>
      <c r="I339" s="929">
        <v>0</v>
      </c>
      <c r="J339" s="689">
        <f t="shared" si="6"/>
        <v>1</v>
      </c>
    </row>
    <row r="340" spans="1:10" ht="12.75" customHeight="1" x14ac:dyDescent="0.2">
      <c r="A340" s="681" t="s">
        <v>2370</v>
      </c>
      <c r="B340" s="693" t="s">
        <v>2909</v>
      </c>
      <c r="C340" s="672" t="s">
        <v>804</v>
      </c>
      <c r="D340" s="673">
        <v>34750</v>
      </c>
      <c r="E340" s="674">
        <v>10</v>
      </c>
      <c r="F340" s="675">
        <v>0.1</v>
      </c>
      <c r="G340" s="676">
        <v>1</v>
      </c>
      <c r="H340" s="929">
        <v>0</v>
      </c>
      <c r="I340" s="929">
        <v>0</v>
      </c>
      <c r="J340" s="689">
        <f t="shared" si="6"/>
        <v>1</v>
      </c>
    </row>
    <row r="341" spans="1:10" ht="12.75" customHeight="1" x14ac:dyDescent="0.2">
      <c r="A341" s="681" t="s">
        <v>2370</v>
      </c>
      <c r="B341" s="693" t="s">
        <v>2910</v>
      </c>
      <c r="C341" s="672" t="s">
        <v>804</v>
      </c>
      <c r="D341" s="673">
        <v>34750</v>
      </c>
      <c r="E341" s="674">
        <v>10</v>
      </c>
      <c r="F341" s="675">
        <v>0.1</v>
      </c>
      <c r="G341" s="676">
        <v>1</v>
      </c>
      <c r="H341" s="929">
        <v>0</v>
      </c>
      <c r="I341" s="929">
        <v>0</v>
      </c>
      <c r="J341" s="689">
        <f t="shared" si="6"/>
        <v>1</v>
      </c>
    </row>
    <row r="342" spans="1:10" ht="12.75" customHeight="1" x14ac:dyDescent="0.2">
      <c r="A342" s="681" t="s">
        <v>2370</v>
      </c>
      <c r="B342" s="693" t="s">
        <v>2911</v>
      </c>
      <c r="C342" s="672" t="s">
        <v>804</v>
      </c>
      <c r="D342" s="673">
        <v>38403</v>
      </c>
      <c r="E342" s="674">
        <v>10</v>
      </c>
      <c r="F342" s="675">
        <v>0.1</v>
      </c>
      <c r="G342" s="676">
        <v>1</v>
      </c>
      <c r="H342" s="929">
        <v>0</v>
      </c>
      <c r="I342" s="929">
        <v>0</v>
      </c>
      <c r="J342" s="689">
        <f t="shared" si="6"/>
        <v>1</v>
      </c>
    </row>
    <row r="343" spans="1:10" ht="12.75" customHeight="1" x14ac:dyDescent="0.2">
      <c r="A343" s="681" t="s">
        <v>2370</v>
      </c>
      <c r="B343" s="693" t="s">
        <v>2912</v>
      </c>
      <c r="C343" s="672" t="s">
        <v>795</v>
      </c>
      <c r="D343" s="673">
        <v>39498</v>
      </c>
      <c r="E343" s="674">
        <v>10</v>
      </c>
      <c r="F343" s="675">
        <v>0.1</v>
      </c>
      <c r="G343" s="676">
        <v>1</v>
      </c>
      <c r="H343" s="929">
        <v>0</v>
      </c>
      <c r="I343" s="929">
        <v>0</v>
      </c>
      <c r="J343" s="689">
        <f t="shared" si="6"/>
        <v>1</v>
      </c>
    </row>
    <row r="344" spans="1:10" ht="12.75" customHeight="1" x14ac:dyDescent="0.2">
      <c r="A344" s="681" t="s">
        <v>2370</v>
      </c>
      <c r="B344" s="693" t="s">
        <v>2913</v>
      </c>
      <c r="C344" s="672" t="s">
        <v>806</v>
      </c>
      <c r="D344" s="673">
        <v>39864</v>
      </c>
      <c r="E344" s="674">
        <v>10</v>
      </c>
      <c r="F344" s="675">
        <v>0.1</v>
      </c>
      <c r="G344" s="676">
        <v>1</v>
      </c>
      <c r="H344" s="929">
        <v>0</v>
      </c>
      <c r="I344" s="929">
        <v>0</v>
      </c>
      <c r="J344" s="689">
        <f t="shared" si="6"/>
        <v>1</v>
      </c>
    </row>
    <row r="345" spans="1:10" ht="12.75" customHeight="1" x14ac:dyDescent="0.2">
      <c r="A345" s="681" t="s">
        <v>2370</v>
      </c>
      <c r="B345" s="693" t="s">
        <v>2914</v>
      </c>
      <c r="C345" s="672" t="s">
        <v>804</v>
      </c>
      <c r="D345" s="673">
        <v>35846</v>
      </c>
      <c r="E345" s="674">
        <v>10</v>
      </c>
      <c r="F345" s="675">
        <v>0.1</v>
      </c>
      <c r="G345" s="676">
        <v>1</v>
      </c>
      <c r="H345" s="929">
        <v>0</v>
      </c>
      <c r="I345" s="929">
        <v>0</v>
      </c>
      <c r="J345" s="689">
        <f t="shared" si="6"/>
        <v>1</v>
      </c>
    </row>
    <row r="346" spans="1:10" ht="12.75" customHeight="1" x14ac:dyDescent="0.2">
      <c r="A346" s="681" t="s">
        <v>2370</v>
      </c>
      <c r="B346" s="693" t="s">
        <v>2915</v>
      </c>
      <c r="C346" s="672" t="s">
        <v>804</v>
      </c>
      <c r="D346" s="673">
        <v>36211</v>
      </c>
      <c r="E346" s="674">
        <v>10</v>
      </c>
      <c r="F346" s="675">
        <v>0.1</v>
      </c>
      <c r="G346" s="676">
        <v>1</v>
      </c>
      <c r="H346" s="929">
        <v>0</v>
      </c>
      <c r="I346" s="929">
        <v>0</v>
      </c>
      <c r="J346" s="689">
        <f t="shared" si="6"/>
        <v>1</v>
      </c>
    </row>
    <row r="347" spans="1:10" ht="12.75" customHeight="1" x14ac:dyDescent="0.2">
      <c r="A347" s="681" t="s">
        <v>2370</v>
      </c>
      <c r="B347" s="693" t="s">
        <v>2916</v>
      </c>
      <c r="C347" s="672" t="s">
        <v>790</v>
      </c>
      <c r="D347" s="673">
        <v>35115</v>
      </c>
      <c r="E347" s="674">
        <v>10</v>
      </c>
      <c r="F347" s="675">
        <v>0.1</v>
      </c>
      <c r="G347" s="676">
        <v>1</v>
      </c>
      <c r="H347" s="929">
        <v>0</v>
      </c>
      <c r="I347" s="929">
        <v>0</v>
      </c>
      <c r="J347" s="689">
        <f t="shared" si="6"/>
        <v>1</v>
      </c>
    </row>
    <row r="348" spans="1:10" ht="12.75" customHeight="1" x14ac:dyDescent="0.2">
      <c r="A348" s="681" t="s">
        <v>2370</v>
      </c>
      <c r="B348" s="693" t="s">
        <v>2917</v>
      </c>
      <c r="C348" s="672" t="s">
        <v>785</v>
      </c>
      <c r="D348" s="673">
        <v>39864</v>
      </c>
      <c r="E348" s="674">
        <v>10</v>
      </c>
      <c r="F348" s="675">
        <v>0.1</v>
      </c>
      <c r="G348" s="676">
        <v>1</v>
      </c>
      <c r="H348" s="929">
        <v>0</v>
      </c>
      <c r="I348" s="929">
        <v>0</v>
      </c>
      <c r="J348" s="689">
        <f t="shared" si="6"/>
        <v>1</v>
      </c>
    </row>
    <row r="349" spans="1:10" ht="12.75" customHeight="1" x14ac:dyDescent="0.2">
      <c r="A349" s="681" t="s">
        <v>2370</v>
      </c>
      <c r="B349" s="693" t="s">
        <v>2918</v>
      </c>
      <c r="C349" s="672" t="s">
        <v>785</v>
      </c>
      <c r="D349" s="673">
        <v>40594</v>
      </c>
      <c r="E349" s="674">
        <v>10</v>
      </c>
      <c r="F349" s="675">
        <v>0.1</v>
      </c>
      <c r="G349" s="676">
        <v>1</v>
      </c>
      <c r="H349" s="929">
        <v>0</v>
      </c>
      <c r="I349" s="929">
        <v>0</v>
      </c>
      <c r="J349" s="689">
        <f t="shared" si="6"/>
        <v>1</v>
      </c>
    </row>
    <row r="350" spans="1:10" ht="12.75" customHeight="1" x14ac:dyDescent="0.2">
      <c r="A350" s="681" t="s">
        <v>2370</v>
      </c>
      <c r="B350" s="693" t="s">
        <v>2919</v>
      </c>
      <c r="C350" s="672" t="s">
        <v>815</v>
      </c>
      <c r="D350" s="673">
        <v>32924</v>
      </c>
      <c r="E350" s="674">
        <v>10</v>
      </c>
      <c r="F350" s="675">
        <v>0.1</v>
      </c>
      <c r="G350" s="676">
        <v>1</v>
      </c>
      <c r="H350" s="929">
        <v>0</v>
      </c>
      <c r="I350" s="929">
        <v>0</v>
      </c>
      <c r="J350" s="689">
        <f t="shared" si="6"/>
        <v>1</v>
      </c>
    </row>
    <row r="351" spans="1:10" ht="12.75" customHeight="1" x14ac:dyDescent="0.2">
      <c r="A351" s="681" t="s">
        <v>2370</v>
      </c>
      <c r="B351" s="693" t="s">
        <v>2920</v>
      </c>
      <c r="C351" s="672" t="s">
        <v>788</v>
      </c>
      <c r="D351" s="673">
        <v>38768</v>
      </c>
      <c r="E351" s="674">
        <v>10</v>
      </c>
      <c r="F351" s="675">
        <v>0.1</v>
      </c>
      <c r="G351" s="676">
        <v>1</v>
      </c>
      <c r="H351" s="929">
        <v>0</v>
      </c>
      <c r="I351" s="929">
        <v>0</v>
      </c>
      <c r="J351" s="689">
        <f t="shared" si="6"/>
        <v>1</v>
      </c>
    </row>
    <row r="352" spans="1:10" ht="12.75" customHeight="1" x14ac:dyDescent="0.2">
      <c r="A352" s="681" t="s">
        <v>2370</v>
      </c>
      <c r="B352" s="693" t="s">
        <v>2921</v>
      </c>
      <c r="C352" s="672" t="s">
        <v>787</v>
      </c>
      <c r="D352" s="673">
        <v>39498</v>
      </c>
      <c r="E352" s="674">
        <v>10</v>
      </c>
      <c r="F352" s="675">
        <v>0.1</v>
      </c>
      <c r="G352" s="676">
        <v>1</v>
      </c>
      <c r="H352" s="929">
        <v>0</v>
      </c>
      <c r="I352" s="929">
        <v>0</v>
      </c>
      <c r="J352" s="689">
        <f t="shared" si="6"/>
        <v>1</v>
      </c>
    </row>
    <row r="353" spans="1:10" ht="12.75" customHeight="1" x14ac:dyDescent="0.2">
      <c r="A353" s="681" t="s">
        <v>2370</v>
      </c>
      <c r="B353" s="693" t="s">
        <v>2922</v>
      </c>
      <c r="C353" s="672" t="s">
        <v>790</v>
      </c>
      <c r="D353" s="673">
        <v>39498</v>
      </c>
      <c r="E353" s="674">
        <v>10</v>
      </c>
      <c r="F353" s="675">
        <v>0.1</v>
      </c>
      <c r="G353" s="676">
        <v>1</v>
      </c>
      <c r="H353" s="929">
        <v>0</v>
      </c>
      <c r="I353" s="929">
        <v>0</v>
      </c>
      <c r="J353" s="689">
        <f t="shared" si="6"/>
        <v>1</v>
      </c>
    </row>
    <row r="354" spans="1:10" ht="12.75" customHeight="1" x14ac:dyDescent="0.2">
      <c r="A354" s="681" t="s">
        <v>2370</v>
      </c>
      <c r="B354" s="693" t="s">
        <v>2923</v>
      </c>
      <c r="C354" s="672" t="s">
        <v>798</v>
      </c>
      <c r="D354" s="673">
        <v>39498</v>
      </c>
      <c r="E354" s="674">
        <v>10</v>
      </c>
      <c r="F354" s="675">
        <v>0.1</v>
      </c>
      <c r="G354" s="676">
        <v>1</v>
      </c>
      <c r="H354" s="929">
        <v>0</v>
      </c>
      <c r="I354" s="929">
        <v>0</v>
      </c>
      <c r="J354" s="689">
        <f t="shared" si="6"/>
        <v>1</v>
      </c>
    </row>
    <row r="355" spans="1:10" ht="12.75" customHeight="1" x14ac:dyDescent="0.2">
      <c r="A355" s="681" t="s">
        <v>2370</v>
      </c>
      <c r="B355" s="693" t="s">
        <v>2924</v>
      </c>
      <c r="C355" s="672" t="s">
        <v>797</v>
      </c>
      <c r="D355" s="673">
        <v>32924</v>
      </c>
      <c r="E355" s="674">
        <v>10</v>
      </c>
      <c r="F355" s="675">
        <v>0.1</v>
      </c>
      <c r="G355" s="676">
        <v>1</v>
      </c>
      <c r="H355" s="929">
        <v>0</v>
      </c>
      <c r="I355" s="929">
        <v>0</v>
      </c>
      <c r="J355" s="689">
        <f t="shared" si="6"/>
        <v>1</v>
      </c>
    </row>
    <row r="356" spans="1:10" ht="12.75" customHeight="1" x14ac:dyDescent="0.2">
      <c r="A356" s="681" t="s">
        <v>2370</v>
      </c>
      <c r="B356" s="693" t="s">
        <v>2925</v>
      </c>
      <c r="C356" s="672" t="s">
        <v>787</v>
      </c>
      <c r="D356" s="673">
        <v>39498</v>
      </c>
      <c r="E356" s="674">
        <v>10</v>
      </c>
      <c r="F356" s="675">
        <v>0.1</v>
      </c>
      <c r="G356" s="676">
        <v>1</v>
      </c>
      <c r="H356" s="929">
        <v>0</v>
      </c>
      <c r="I356" s="929">
        <v>0</v>
      </c>
      <c r="J356" s="689">
        <f t="shared" si="6"/>
        <v>1</v>
      </c>
    </row>
    <row r="357" spans="1:10" ht="12.75" customHeight="1" x14ac:dyDescent="0.2">
      <c r="A357" s="681" t="s">
        <v>2370</v>
      </c>
      <c r="B357" s="693" t="s">
        <v>2926</v>
      </c>
      <c r="C357" s="672" t="s">
        <v>787</v>
      </c>
      <c r="D357" s="673">
        <v>39498</v>
      </c>
      <c r="E357" s="674">
        <v>10</v>
      </c>
      <c r="F357" s="675">
        <v>0.1</v>
      </c>
      <c r="G357" s="676">
        <v>1</v>
      </c>
      <c r="H357" s="929">
        <v>0</v>
      </c>
      <c r="I357" s="929">
        <v>0</v>
      </c>
      <c r="J357" s="689">
        <f t="shared" si="6"/>
        <v>1</v>
      </c>
    </row>
    <row r="358" spans="1:10" ht="12.75" customHeight="1" x14ac:dyDescent="0.2">
      <c r="A358" s="681" t="s">
        <v>2370</v>
      </c>
      <c r="B358" s="693" t="s">
        <v>2927</v>
      </c>
      <c r="C358" s="672" t="s">
        <v>790</v>
      </c>
      <c r="D358" s="673">
        <v>40229</v>
      </c>
      <c r="E358" s="674">
        <v>10</v>
      </c>
      <c r="F358" s="675">
        <v>0.1</v>
      </c>
      <c r="G358" s="676">
        <v>1</v>
      </c>
      <c r="H358" s="929">
        <v>0</v>
      </c>
      <c r="I358" s="929">
        <v>0</v>
      </c>
      <c r="J358" s="689">
        <f t="shared" si="6"/>
        <v>1</v>
      </c>
    </row>
    <row r="359" spans="1:10" ht="12.75" customHeight="1" x14ac:dyDescent="0.2">
      <c r="A359" s="681" t="s">
        <v>2370</v>
      </c>
      <c r="B359" s="693" t="s">
        <v>2928</v>
      </c>
      <c r="C359" s="672" t="s">
        <v>792</v>
      </c>
      <c r="D359" s="673">
        <v>38403</v>
      </c>
      <c r="E359" s="674">
        <v>10</v>
      </c>
      <c r="F359" s="675">
        <v>0.1</v>
      </c>
      <c r="G359" s="676">
        <v>1</v>
      </c>
      <c r="H359" s="929">
        <v>0</v>
      </c>
      <c r="I359" s="929">
        <v>0</v>
      </c>
      <c r="J359" s="689">
        <f t="shared" si="6"/>
        <v>1</v>
      </c>
    </row>
    <row r="360" spans="1:10" ht="12.75" customHeight="1" x14ac:dyDescent="0.2">
      <c r="A360" s="681" t="s">
        <v>2370</v>
      </c>
      <c r="B360" s="693" t="s">
        <v>2929</v>
      </c>
      <c r="C360" s="672" t="s">
        <v>787</v>
      </c>
      <c r="D360" s="673">
        <v>39498</v>
      </c>
      <c r="E360" s="674">
        <v>10</v>
      </c>
      <c r="F360" s="675">
        <v>0.1</v>
      </c>
      <c r="G360" s="676">
        <v>1</v>
      </c>
      <c r="H360" s="929">
        <v>0</v>
      </c>
      <c r="I360" s="929">
        <v>0</v>
      </c>
      <c r="J360" s="689">
        <f t="shared" si="6"/>
        <v>1</v>
      </c>
    </row>
    <row r="361" spans="1:10" ht="12.75" customHeight="1" x14ac:dyDescent="0.2">
      <c r="A361" s="681" t="s">
        <v>2370</v>
      </c>
      <c r="B361" s="693" t="s">
        <v>2930</v>
      </c>
      <c r="C361" s="672" t="s">
        <v>787</v>
      </c>
      <c r="D361" s="673">
        <v>36576</v>
      </c>
      <c r="E361" s="674">
        <v>10</v>
      </c>
      <c r="F361" s="675">
        <v>0.1</v>
      </c>
      <c r="G361" s="676">
        <v>1</v>
      </c>
      <c r="H361" s="929">
        <v>0</v>
      </c>
      <c r="I361" s="929">
        <v>0</v>
      </c>
      <c r="J361" s="689">
        <f t="shared" si="6"/>
        <v>1</v>
      </c>
    </row>
    <row r="362" spans="1:10" ht="12.75" customHeight="1" x14ac:dyDescent="0.2">
      <c r="A362" s="681" t="s">
        <v>2370</v>
      </c>
      <c r="B362" s="693" t="s">
        <v>2931</v>
      </c>
      <c r="C362" s="672" t="s">
        <v>785</v>
      </c>
      <c r="D362" s="673">
        <v>36576</v>
      </c>
      <c r="E362" s="674">
        <v>10</v>
      </c>
      <c r="F362" s="675">
        <v>0.1</v>
      </c>
      <c r="G362" s="676">
        <v>1</v>
      </c>
      <c r="H362" s="929">
        <v>0</v>
      </c>
      <c r="I362" s="929">
        <v>0</v>
      </c>
      <c r="J362" s="689">
        <f t="shared" si="6"/>
        <v>1</v>
      </c>
    </row>
    <row r="363" spans="1:10" ht="12.75" customHeight="1" x14ac:dyDescent="0.2">
      <c r="A363" s="681" t="s">
        <v>2370</v>
      </c>
      <c r="B363" s="693" t="s">
        <v>2932</v>
      </c>
      <c r="C363" s="672" t="s">
        <v>792</v>
      </c>
      <c r="D363" s="673">
        <v>39864</v>
      </c>
      <c r="E363" s="674">
        <v>10</v>
      </c>
      <c r="F363" s="675">
        <v>0.1</v>
      </c>
      <c r="G363" s="676">
        <v>1</v>
      </c>
      <c r="H363" s="929">
        <v>0</v>
      </c>
      <c r="I363" s="929">
        <v>0</v>
      </c>
      <c r="J363" s="689">
        <f t="shared" si="6"/>
        <v>1</v>
      </c>
    </row>
    <row r="364" spans="1:10" ht="12.75" customHeight="1" x14ac:dyDescent="0.2">
      <c r="A364" s="681" t="s">
        <v>2370</v>
      </c>
      <c r="B364" s="693" t="s">
        <v>2933</v>
      </c>
      <c r="C364" s="672" t="s">
        <v>787</v>
      </c>
      <c r="D364" s="673">
        <v>34385</v>
      </c>
      <c r="E364" s="674">
        <v>10</v>
      </c>
      <c r="F364" s="675">
        <v>0.1</v>
      </c>
      <c r="G364" s="676">
        <v>1</v>
      </c>
      <c r="H364" s="929">
        <v>0</v>
      </c>
      <c r="I364" s="929">
        <v>0</v>
      </c>
      <c r="J364" s="689">
        <f t="shared" si="6"/>
        <v>1</v>
      </c>
    </row>
    <row r="365" spans="1:10" ht="12.75" customHeight="1" x14ac:dyDescent="0.2">
      <c r="A365" s="681" t="s">
        <v>2370</v>
      </c>
      <c r="B365" s="693" t="s">
        <v>2934</v>
      </c>
      <c r="C365" s="672" t="s">
        <v>787</v>
      </c>
      <c r="D365" s="673">
        <v>39498</v>
      </c>
      <c r="E365" s="674">
        <v>10</v>
      </c>
      <c r="F365" s="675">
        <v>0.1</v>
      </c>
      <c r="G365" s="676">
        <v>1</v>
      </c>
      <c r="H365" s="929">
        <v>0</v>
      </c>
      <c r="I365" s="929">
        <v>0</v>
      </c>
      <c r="J365" s="689">
        <f t="shared" si="6"/>
        <v>1</v>
      </c>
    </row>
    <row r="366" spans="1:10" ht="12.75" customHeight="1" x14ac:dyDescent="0.2">
      <c r="A366" s="681" t="s">
        <v>2370</v>
      </c>
      <c r="B366" s="693" t="s">
        <v>2935</v>
      </c>
      <c r="C366" s="672" t="s">
        <v>791</v>
      </c>
      <c r="D366" s="673">
        <v>32924</v>
      </c>
      <c r="E366" s="674">
        <v>10</v>
      </c>
      <c r="F366" s="675">
        <v>0.1</v>
      </c>
      <c r="G366" s="676">
        <v>1</v>
      </c>
      <c r="H366" s="929">
        <v>0</v>
      </c>
      <c r="I366" s="929">
        <v>0</v>
      </c>
      <c r="J366" s="689">
        <f t="shared" si="6"/>
        <v>1</v>
      </c>
    </row>
    <row r="367" spans="1:10" ht="12.75" customHeight="1" x14ac:dyDescent="0.2">
      <c r="A367" s="681" t="s">
        <v>2370</v>
      </c>
      <c r="B367" s="693" t="s">
        <v>2936</v>
      </c>
      <c r="C367" s="672" t="s">
        <v>791</v>
      </c>
      <c r="D367" s="673">
        <v>33289</v>
      </c>
      <c r="E367" s="674">
        <v>10</v>
      </c>
      <c r="F367" s="675">
        <v>0.1</v>
      </c>
      <c r="G367" s="676">
        <v>1</v>
      </c>
      <c r="H367" s="929">
        <v>0</v>
      </c>
      <c r="I367" s="929">
        <v>0</v>
      </c>
      <c r="J367" s="689">
        <f t="shared" si="6"/>
        <v>1</v>
      </c>
    </row>
    <row r="368" spans="1:10" ht="12.75" customHeight="1" x14ac:dyDescent="0.2">
      <c r="A368" s="681" t="s">
        <v>2370</v>
      </c>
      <c r="B368" s="693" t="s">
        <v>2937</v>
      </c>
      <c r="C368" s="672" t="s">
        <v>787</v>
      </c>
      <c r="D368" s="673">
        <v>35115</v>
      </c>
      <c r="E368" s="674">
        <v>10</v>
      </c>
      <c r="F368" s="675">
        <v>0.1</v>
      </c>
      <c r="G368" s="676">
        <v>1</v>
      </c>
      <c r="H368" s="929">
        <v>0</v>
      </c>
      <c r="I368" s="929">
        <v>0</v>
      </c>
      <c r="J368" s="689">
        <f t="shared" si="6"/>
        <v>1</v>
      </c>
    </row>
    <row r="369" spans="1:10" ht="12.75" customHeight="1" x14ac:dyDescent="0.2">
      <c r="A369" s="681" t="s">
        <v>2370</v>
      </c>
      <c r="B369" s="693" t="s">
        <v>2938</v>
      </c>
      <c r="C369" s="672" t="s">
        <v>787</v>
      </c>
      <c r="D369" s="673">
        <v>33289</v>
      </c>
      <c r="E369" s="674">
        <v>10</v>
      </c>
      <c r="F369" s="675">
        <v>0.1</v>
      </c>
      <c r="G369" s="676">
        <v>1</v>
      </c>
      <c r="H369" s="929">
        <v>0</v>
      </c>
      <c r="I369" s="929">
        <v>0</v>
      </c>
      <c r="J369" s="689">
        <f t="shared" si="6"/>
        <v>1</v>
      </c>
    </row>
    <row r="370" spans="1:10" ht="12.75" customHeight="1" x14ac:dyDescent="0.2">
      <c r="A370" s="681" t="s">
        <v>2370</v>
      </c>
      <c r="B370" s="693" t="s">
        <v>2939</v>
      </c>
      <c r="C370" s="672" t="s">
        <v>787</v>
      </c>
      <c r="D370" s="673">
        <v>38403</v>
      </c>
      <c r="E370" s="674">
        <v>10</v>
      </c>
      <c r="F370" s="675">
        <v>0.1</v>
      </c>
      <c r="G370" s="676">
        <v>1</v>
      </c>
      <c r="H370" s="929">
        <v>0</v>
      </c>
      <c r="I370" s="929">
        <v>0</v>
      </c>
      <c r="J370" s="689">
        <f t="shared" si="6"/>
        <v>1</v>
      </c>
    </row>
    <row r="371" spans="1:10" ht="12.75" customHeight="1" x14ac:dyDescent="0.2">
      <c r="A371" s="681" t="s">
        <v>2370</v>
      </c>
      <c r="B371" s="693" t="s">
        <v>2940</v>
      </c>
      <c r="C371" s="672" t="s">
        <v>787</v>
      </c>
      <c r="D371" s="673">
        <v>34020</v>
      </c>
      <c r="E371" s="674">
        <v>10</v>
      </c>
      <c r="F371" s="675">
        <v>0.1</v>
      </c>
      <c r="G371" s="676">
        <v>1</v>
      </c>
      <c r="H371" s="929">
        <v>0</v>
      </c>
      <c r="I371" s="929">
        <v>0</v>
      </c>
      <c r="J371" s="689">
        <f t="shared" si="6"/>
        <v>1</v>
      </c>
    </row>
    <row r="372" spans="1:10" ht="12.75" customHeight="1" x14ac:dyDescent="0.2">
      <c r="A372" s="681" t="s">
        <v>2370</v>
      </c>
      <c r="B372" s="693" t="s">
        <v>2941</v>
      </c>
      <c r="C372" s="672" t="s">
        <v>804</v>
      </c>
      <c r="D372" s="673">
        <v>33289</v>
      </c>
      <c r="E372" s="674">
        <v>10</v>
      </c>
      <c r="F372" s="675">
        <v>0.1</v>
      </c>
      <c r="G372" s="676">
        <v>1</v>
      </c>
      <c r="H372" s="929">
        <v>0</v>
      </c>
      <c r="I372" s="929">
        <v>0</v>
      </c>
      <c r="J372" s="689">
        <f t="shared" si="6"/>
        <v>1</v>
      </c>
    </row>
    <row r="373" spans="1:10" ht="12.75" customHeight="1" x14ac:dyDescent="0.2">
      <c r="A373" s="681" t="s">
        <v>2370</v>
      </c>
      <c r="B373" s="693" t="s">
        <v>2942</v>
      </c>
      <c r="C373" s="672" t="s">
        <v>790</v>
      </c>
      <c r="D373" s="673">
        <v>35115</v>
      </c>
      <c r="E373" s="674">
        <v>10</v>
      </c>
      <c r="F373" s="675">
        <v>0.1</v>
      </c>
      <c r="G373" s="676">
        <v>1</v>
      </c>
      <c r="H373" s="929">
        <v>0</v>
      </c>
      <c r="I373" s="929">
        <v>0</v>
      </c>
      <c r="J373" s="689">
        <f t="shared" si="6"/>
        <v>1</v>
      </c>
    </row>
    <row r="374" spans="1:10" ht="12.75" customHeight="1" x14ac:dyDescent="0.2">
      <c r="A374" s="681" t="s">
        <v>2370</v>
      </c>
      <c r="B374" s="693" t="s">
        <v>2943</v>
      </c>
      <c r="C374" s="672" t="s">
        <v>785</v>
      </c>
      <c r="D374" s="673">
        <v>39498</v>
      </c>
      <c r="E374" s="674">
        <v>10</v>
      </c>
      <c r="F374" s="675">
        <v>0.1</v>
      </c>
      <c r="G374" s="676">
        <v>1</v>
      </c>
      <c r="H374" s="929">
        <v>0</v>
      </c>
      <c r="I374" s="929">
        <v>0</v>
      </c>
      <c r="J374" s="689">
        <f t="shared" si="6"/>
        <v>1</v>
      </c>
    </row>
    <row r="375" spans="1:10" ht="12.75" customHeight="1" x14ac:dyDescent="0.2">
      <c r="A375" s="681" t="s">
        <v>2370</v>
      </c>
      <c r="B375" s="693" t="s">
        <v>2944</v>
      </c>
      <c r="C375" s="672" t="s">
        <v>785</v>
      </c>
      <c r="D375" s="673">
        <v>35481</v>
      </c>
      <c r="E375" s="674">
        <v>10</v>
      </c>
      <c r="F375" s="675">
        <v>0.1</v>
      </c>
      <c r="G375" s="676">
        <v>1</v>
      </c>
      <c r="H375" s="929">
        <v>0</v>
      </c>
      <c r="I375" s="929">
        <v>0</v>
      </c>
      <c r="J375" s="689">
        <f t="shared" si="6"/>
        <v>1</v>
      </c>
    </row>
    <row r="376" spans="1:10" ht="12.75" customHeight="1" x14ac:dyDescent="0.2">
      <c r="A376" s="681" t="s">
        <v>2370</v>
      </c>
      <c r="B376" s="693" t="s">
        <v>2945</v>
      </c>
      <c r="C376" s="672" t="s">
        <v>785</v>
      </c>
      <c r="D376" s="673">
        <v>32924</v>
      </c>
      <c r="E376" s="674">
        <v>10</v>
      </c>
      <c r="F376" s="675">
        <v>0.1</v>
      </c>
      <c r="G376" s="676">
        <v>1</v>
      </c>
      <c r="H376" s="929">
        <v>0</v>
      </c>
      <c r="I376" s="929">
        <v>0</v>
      </c>
      <c r="J376" s="689">
        <f t="shared" si="6"/>
        <v>1</v>
      </c>
    </row>
    <row r="377" spans="1:10" ht="12.75" customHeight="1" x14ac:dyDescent="0.2">
      <c r="A377" s="681" t="s">
        <v>2370</v>
      </c>
      <c r="B377" s="693" t="s">
        <v>2946</v>
      </c>
      <c r="C377" s="672" t="s">
        <v>785</v>
      </c>
      <c r="D377" s="673">
        <v>33289</v>
      </c>
      <c r="E377" s="674">
        <v>10</v>
      </c>
      <c r="F377" s="675">
        <v>0.1</v>
      </c>
      <c r="G377" s="676">
        <v>1</v>
      </c>
      <c r="H377" s="929">
        <v>0</v>
      </c>
      <c r="I377" s="929">
        <v>0</v>
      </c>
      <c r="J377" s="689">
        <f t="shared" si="6"/>
        <v>1</v>
      </c>
    </row>
    <row r="378" spans="1:10" ht="12.75" customHeight="1" x14ac:dyDescent="0.2">
      <c r="A378" s="681" t="s">
        <v>2370</v>
      </c>
      <c r="B378" s="693" t="s">
        <v>2947</v>
      </c>
      <c r="C378" s="672" t="s">
        <v>785</v>
      </c>
      <c r="D378" s="673">
        <v>33289</v>
      </c>
      <c r="E378" s="674">
        <v>10</v>
      </c>
      <c r="F378" s="675">
        <v>0.1</v>
      </c>
      <c r="G378" s="676">
        <v>1</v>
      </c>
      <c r="H378" s="929">
        <v>0</v>
      </c>
      <c r="I378" s="929">
        <v>0</v>
      </c>
      <c r="J378" s="689">
        <f t="shared" si="6"/>
        <v>1</v>
      </c>
    </row>
    <row r="379" spans="1:10" ht="12.75" customHeight="1" x14ac:dyDescent="0.2">
      <c r="A379" s="681" t="s">
        <v>2370</v>
      </c>
      <c r="B379" s="693" t="s">
        <v>2948</v>
      </c>
      <c r="C379" s="672" t="s">
        <v>806</v>
      </c>
      <c r="D379" s="673">
        <v>39864</v>
      </c>
      <c r="E379" s="674">
        <v>10</v>
      </c>
      <c r="F379" s="675">
        <v>0.1</v>
      </c>
      <c r="G379" s="676">
        <v>1</v>
      </c>
      <c r="H379" s="929">
        <v>0</v>
      </c>
      <c r="I379" s="929">
        <v>0</v>
      </c>
      <c r="J379" s="689">
        <f t="shared" si="6"/>
        <v>1</v>
      </c>
    </row>
    <row r="380" spans="1:10" ht="12.75" customHeight="1" x14ac:dyDescent="0.2">
      <c r="A380" s="681" t="s">
        <v>2370</v>
      </c>
      <c r="B380" s="693" t="s">
        <v>2949</v>
      </c>
      <c r="C380" s="672" t="s">
        <v>787</v>
      </c>
      <c r="D380" s="673">
        <v>39864</v>
      </c>
      <c r="E380" s="674">
        <v>10</v>
      </c>
      <c r="F380" s="675">
        <v>0.1</v>
      </c>
      <c r="G380" s="676">
        <v>1</v>
      </c>
      <c r="H380" s="929">
        <v>0</v>
      </c>
      <c r="I380" s="929">
        <v>0</v>
      </c>
      <c r="J380" s="689">
        <f t="shared" si="6"/>
        <v>1</v>
      </c>
    </row>
    <row r="381" spans="1:10" ht="12.75" customHeight="1" x14ac:dyDescent="0.2">
      <c r="A381" s="681" t="s">
        <v>2370</v>
      </c>
      <c r="B381" s="693" t="s">
        <v>2950</v>
      </c>
      <c r="C381" s="672" t="s">
        <v>792</v>
      </c>
      <c r="D381" s="673">
        <v>40594</v>
      </c>
      <c r="E381" s="674">
        <v>10</v>
      </c>
      <c r="F381" s="675">
        <v>0.1</v>
      </c>
      <c r="G381" s="676">
        <v>1</v>
      </c>
      <c r="H381" s="929">
        <v>0</v>
      </c>
      <c r="I381" s="929">
        <v>0</v>
      </c>
      <c r="J381" s="689">
        <f t="shared" si="6"/>
        <v>1</v>
      </c>
    </row>
    <row r="382" spans="1:10" ht="12.75" customHeight="1" x14ac:dyDescent="0.2">
      <c r="A382" s="681" t="s">
        <v>2370</v>
      </c>
      <c r="B382" s="693" t="s">
        <v>2951</v>
      </c>
      <c r="C382" s="672" t="s">
        <v>785</v>
      </c>
      <c r="D382" s="673">
        <v>39864</v>
      </c>
      <c r="E382" s="674">
        <v>10</v>
      </c>
      <c r="F382" s="675">
        <v>0.1</v>
      </c>
      <c r="G382" s="676">
        <v>1</v>
      </c>
      <c r="H382" s="929">
        <v>0</v>
      </c>
      <c r="I382" s="929">
        <v>0</v>
      </c>
      <c r="J382" s="689">
        <f t="shared" si="6"/>
        <v>1</v>
      </c>
    </row>
    <row r="383" spans="1:10" ht="12.75" customHeight="1" x14ac:dyDescent="0.2">
      <c r="A383" s="681" t="s">
        <v>2370</v>
      </c>
      <c r="B383" s="693" t="s">
        <v>2952</v>
      </c>
      <c r="C383" s="672" t="s">
        <v>785</v>
      </c>
      <c r="D383" s="673">
        <v>37307</v>
      </c>
      <c r="E383" s="674">
        <v>10</v>
      </c>
      <c r="F383" s="675">
        <v>0.1</v>
      </c>
      <c r="G383" s="676">
        <v>1</v>
      </c>
      <c r="H383" s="929">
        <v>0</v>
      </c>
      <c r="I383" s="929">
        <v>0</v>
      </c>
      <c r="J383" s="689">
        <f t="shared" si="6"/>
        <v>1</v>
      </c>
    </row>
    <row r="384" spans="1:10" ht="12.75" customHeight="1" x14ac:dyDescent="0.2">
      <c r="A384" s="681" t="s">
        <v>2370</v>
      </c>
      <c r="B384" s="693" t="s">
        <v>2953</v>
      </c>
      <c r="C384" s="672" t="s">
        <v>785</v>
      </c>
      <c r="D384" s="673">
        <v>38037</v>
      </c>
      <c r="E384" s="674">
        <v>10</v>
      </c>
      <c r="F384" s="675">
        <v>0.1</v>
      </c>
      <c r="G384" s="676">
        <v>1</v>
      </c>
      <c r="H384" s="929">
        <v>0</v>
      </c>
      <c r="I384" s="929">
        <v>0</v>
      </c>
      <c r="J384" s="689">
        <f t="shared" si="6"/>
        <v>1</v>
      </c>
    </row>
    <row r="385" spans="1:10" ht="12.75" customHeight="1" x14ac:dyDescent="0.2">
      <c r="A385" s="681" t="s">
        <v>2370</v>
      </c>
      <c r="B385" s="693" t="s">
        <v>2954</v>
      </c>
      <c r="C385" s="672" t="s">
        <v>787</v>
      </c>
      <c r="D385" s="673">
        <v>33289</v>
      </c>
      <c r="E385" s="674">
        <v>10</v>
      </c>
      <c r="F385" s="675">
        <v>0.1</v>
      </c>
      <c r="G385" s="676">
        <v>1</v>
      </c>
      <c r="H385" s="929">
        <v>0</v>
      </c>
      <c r="I385" s="929">
        <v>0</v>
      </c>
      <c r="J385" s="689">
        <f t="shared" si="6"/>
        <v>1</v>
      </c>
    </row>
    <row r="386" spans="1:10" ht="12.75" customHeight="1" x14ac:dyDescent="0.2">
      <c r="A386" s="681" t="s">
        <v>2370</v>
      </c>
      <c r="B386" s="693" t="s">
        <v>2955</v>
      </c>
      <c r="C386" s="672" t="s">
        <v>787</v>
      </c>
      <c r="D386" s="673">
        <v>32924</v>
      </c>
      <c r="E386" s="674">
        <v>10</v>
      </c>
      <c r="F386" s="675">
        <v>0.1</v>
      </c>
      <c r="G386" s="676">
        <v>1</v>
      </c>
      <c r="H386" s="929">
        <v>0</v>
      </c>
      <c r="I386" s="929">
        <v>0</v>
      </c>
      <c r="J386" s="689">
        <f t="shared" si="6"/>
        <v>1</v>
      </c>
    </row>
    <row r="387" spans="1:10" ht="12.75" customHeight="1" x14ac:dyDescent="0.2">
      <c r="A387" s="681" t="s">
        <v>2370</v>
      </c>
      <c r="B387" s="693" t="s">
        <v>2956</v>
      </c>
      <c r="C387" s="672" t="s">
        <v>787</v>
      </c>
      <c r="D387" s="673">
        <v>36576</v>
      </c>
      <c r="E387" s="674">
        <v>10</v>
      </c>
      <c r="F387" s="675">
        <v>0.1</v>
      </c>
      <c r="G387" s="676">
        <v>1</v>
      </c>
      <c r="H387" s="929">
        <v>0</v>
      </c>
      <c r="I387" s="929">
        <v>0</v>
      </c>
      <c r="J387" s="689">
        <f t="shared" si="6"/>
        <v>1</v>
      </c>
    </row>
    <row r="388" spans="1:10" ht="12.75" customHeight="1" x14ac:dyDescent="0.2">
      <c r="A388" s="681" t="s">
        <v>2370</v>
      </c>
      <c r="B388" s="693" t="s">
        <v>2957</v>
      </c>
      <c r="C388" s="672" t="s">
        <v>791</v>
      </c>
      <c r="D388" s="673">
        <v>40594</v>
      </c>
      <c r="E388" s="674">
        <v>10</v>
      </c>
      <c r="F388" s="675">
        <v>0.1</v>
      </c>
      <c r="G388" s="676">
        <v>1</v>
      </c>
      <c r="H388" s="929">
        <v>0</v>
      </c>
      <c r="I388" s="929">
        <v>0</v>
      </c>
      <c r="J388" s="689">
        <f t="shared" si="6"/>
        <v>1</v>
      </c>
    </row>
    <row r="389" spans="1:10" ht="12.75" customHeight="1" x14ac:dyDescent="0.2">
      <c r="A389" s="681" t="s">
        <v>2370</v>
      </c>
      <c r="B389" s="693" t="s">
        <v>2958</v>
      </c>
      <c r="C389" s="672" t="s">
        <v>785</v>
      </c>
      <c r="D389" s="673">
        <v>35115</v>
      </c>
      <c r="E389" s="674">
        <v>10</v>
      </c>
      <c r="F389" s="675">
        <v>0.1</v>
      </c>
      <c r="G389" s="676">
        <v>1</v>
      </c>
      <c r="H389" s="929">
        <v>0</v>
      </c>
      <c r="I389" s="929">
        <v>0</v>
      </c>
      <c r="J389" s="689">
        <f t="shared" si="6"/>
        <v>1</v>
      </c>
    </row>
    <row r="390" spans="1:10" ht="12.75" customHeight="1" x14ac:dyDescent="0.2">
      <c r="A390" s="681" t="s">
        <v>2370</v>
      </c>
      <c r="B390" s="693" t="s">
        <v>2959</v>
      </c>
      <c r="C390" s="672" t="s">
        <v>785</v>
      </c>
      <c r="D390" s="673">
        <v>37307</v>
      </c>
      <c r="E390" s="674">
        <v>10</v>
      </c>
      <c r="F390" s="675">
        <v>0.1</v>
      </c>
      <c r="G390" s="676">
        <v>1</v>
      </c>
      <c r="H390" s="929">
        <v>0</v>
      </c>
      <c r="I390" s="929">
        <v>0</v>
      </c>
      <c r="J390" s="689">
        <f t="shared" si="6"/>
        <v>1</v>
      </c>
    </row>
    <row r="391" spans="1:10" ht="12.75" customHeight="1" x14ac:dyDescent="0.2">
      <c r="A391" s="681" t="s">
        <v>2370</v>
      </c>
      <c r="B391" s="693" t="s">
        <v>2960</v>
      </c>
      <c r="C391" s="672" t="s">
        <v>787</v>
      </c>
      <c r="D391" s="673">
        <v>32924</v>
      </c>
      <c r="E391" s="674">
        <v>10</v>
      </c>
      <c r="F391" s="675">
        <v>0.1</v>
      </c>
      <c r="G391" s="676">
        <v>1</v>
      </c>
      <c r="H391" s="929">
        <v>0</v>
      </c>
      <c r="I391" s="929">
        <v>0</v>
      </c>
      <c r="J391" s="689">
        <f t="shared" ref="J391:J454" si="7">G391-I391</f>
        <v>1</v>
      </c>
    </row>
    <row r="392" spans="1:10" ht="12.75" customHeight="1" x14ac:dyDescent="0.2">
      <c r="A392" s="681" t="s">
        <v>2370</v>
      </c>
      <c r="B392" s="693" t="s">
        <v>2961</v>
      </c>
      <c r="C392" s="672" t="s">
        <v>787</v>
      </c>
      <c r="D392" s="673">
        <v>36576</v>
      </c>
      <c r="E392" s="674">
        <v>10</v>
      </c>
      <c r="F392" s="675">
        <v>0.1</v>
      </c>
      <c r="G392" s="676">
        <v>1</v>
      </c>
      <c r="H392" s="929">
        <v>0</v>
      </c>
      <c r="I392" s="929">
        <v>0</v>
      </c>
      <c r="J392" s="689">
        <f t="shared" si="7"/>
        <v>1</v>
      </c>
    </row>
    <row r="393" spans="1:10" ht="12.75" customHeight="1" x14ac:dyDescent="0.2">
      <c r="A393" s="681" t="s">
        <v>2370</v>
      </c>
      <c r="B393" s="693" t="s">
        <v>2962</v>
      </c>
      <c r="C393" s="672" t="s">
        <v>787</v>
      </c>
      <c r="D393" s="673">
        <v>37307</v>
      </c>
      <c r="E393" s="674">
        <v>10</v>
      </c>
      <c r="F393" s="675">
        <v>0.1</v>
      </c>
      <c r="G393" s="676">
        <v>1</v>
      </c>
      <c r="H393" s="929">
        <v>0</v>
      </c>
      <c r="I393" s="929">
        <v>0</v>
      </c>
      <c r="J393" s="689">
        <f t="shared" si="7"/>
        <v>1</v>
      </c>
    </row>
    <row r="394" spans="1:10" ht="12.75" customHeight="1" x14ac:dyDescent="0.2">
      <c r="A394" s="681" t="s">
        <v>2370</v>
      </c>
      <c r="B394" s="693" t="s">
        <v>2963</v>
      </c>
      <c r="C394" s="672" t="s">
        <v>787</v>
      </c>
      <c r="D394" s="673">
        <v>36211</v>
      </c>
      <c r="E394" s="674">
        <v>10</v>
      </c>
      <c r="F394" s="675">
        <v>0.1</v>
      </c>
      <c r="G394" s="676">
        <v>1</v>
      </c>
      <c r="H394" s="929">
        <v>0</v>
      </c>
      <c r="I394" s="929">
        <v>0</v>
      </c>
      <c r="J394" s="689">
        <f t="shared" si="7"/>
        <v>1</v>
      </c>
    </row>
    <row r="395" spans="1:10" ht="12.75" customHeight="1" x14ac:dyDescent="0.2">
      <c r="A395" s="681" t="s">
        <v>2370</v>
      </c>
      <c r="B395" s="693" t="s">
        <v>2964</v>
      </c>
      <c r="C395" s="672" t="s">
        <v>790</v>
      </c>
      <c r="D395" s="673">
        <v>37307</v>
      </c>
      <c r="E395" s="674">
        <v>10</v>
      </c>
      <c r="F395" s="675">
        <v>0.1</v>
      </c>
      <c r="G395" s="676">
        <v>1</v>
      </c>
      <c r="H395" s="929">
        <v>0</v>
      </c>
      <c r="I395" s="929">
        <v>0</v>
      </c>
      <c r="J395" s="689">
        <f t="shared" si="7"/>
        <v>1</v>
      </c>
    </row>
    <row r="396" spans="1:10" ht="12.75" customHeight="1" x14ac:dyDescent="0.2">
      <c r="A396" s="681" t="s">
        <v>2370</v>
      </c>
      <c r="B396" s="693" t="s">
        <v>2965</v>
      </c>
      <c r="C396" s="672" t="s">
        <v>791</v>
      </c>
      <c r="D396" s="673">
        <v>32924</v>
      </c>
      <c r="E396" s="674">
        <v>10</v>
      </c>
      <c r="F396" s="675">
        <v>0.1</v>
      </c>
      <c r="G396" s="676">
        <v>1</v>
      </c>
      <c r="H396" s="929">
        <v>0</v>
      </c>
      <c r="I396" s="929">
        <v>0</v>
      </c>
      <c r="J396" s="689">
        <f t="shared" si="7"/>
        <v>1</v>
      </c>
    </row>
    <row r="397" spans="1:10" ht="12.75" customHeight="1" x14ac:dyDescent="0.2">
      <c r="A397" s="681" t="s">
        <v>2370</v>
      </c>
      <c r="B397" s="693" t="s">
        <v>2966</v>
      </c>
      <c r="C397" s="672" t="s">
        <v>791</v>
      </c>
      <c r="D397" s="673">
        <v>33654</v>
      </c>
      <c r="E397" s="674">
        <v>10</v>
      </c>
      <c r="F397" s="675">
        <v>0.1</v>
      </c>
      <c r="G397" s="676">
        <v>1</v>
      </c>
      <c r="H397" s="929">
        <v>0</v>
      </c>
      <c r="I397" s="929">
        <v>0</v>
      </c>
      <c r="J397" s="689">
        <f t="shared" si="7"/>
        <v>1</v>
      </c>
    </row>
    <row r="398" spans="1:10" ht="12.75" customHeight="1" x14ac:dyDescent="0.2">
      <c r="A398" s="681" t="s">
        <v>2370</v>
      </c>
      <c r="B398" s="693" t="s">
        <v>2967</v>
      </c>
      <c r="C398" s="672" t="s">
        <v>791</v>
      </c>
      <c r="D398" s="673">
        <v>36576</v>
      </c>
      <c r="E398" s="674">
        <v>10</v>
      </c>
      <c r="F398" s="675">
        <v>0.1</v>
      </c>
      <c r="G398" s="676">
        <v>1</v>
      </c>
      <c r="H398" s="929">
        <v>0</v>
      </c>
      <c r="I398" s="929">
        <v>0</v>
      </c>
      <c r="J398" s="689">
        <f t="shared" si="7"/>
        <v>1</v>
      </c>
    </row>
    <row r="399" spans="1:10" ht="12.75" customHeight="1" x14ac:dyDescent="0.2">
      <c r="A399" s="681" t="s">
        <v>2370</v>
      </c>
      <c r="B399" s="693" t="s">
        <v>2968</v>
      </c>
      <c r="C399" s="672" t="s">
        <v>787</v>
      </c>
      <c r="D399" s="673">
        <v>34750</v>
      </c>
      <c r="E399" s="674">
        <v>10</v>
      </c>
      <c r="F399" s="675">
        <v>0.1</v>
      </c>
      <c r="G399" s="676">
        <v>1</v>
      </c>
      <c r="H399" s="929">
        <v>0</v>
      </c>
      <c r="I399" s="929">
        <v>0</v>
      </c>
      <c r="J399" s="689">
        <f t="shared" si="7"/>
        <v>1</v>
      </c>
    </row>
    <row r="400" spans="1:10" ht="12.75" customHeight="1" x14ac:dyDescent="0.2">
      <c r="A400" s="681" t="s">
        <v>2370</v>
      </c>
      <c r="B400" s="693" t="s">
        <v>2969</v>
      </c>
      <c r="C400" s="672" t="s">
        <v>787</v>
      </c>
      <c r="D400" s="673">
        <v>32924</v>
      </c>
      <c r="E400" s="674">
        <v>10</v>
      </c>
      <c r="F400" s="675">
        <v>0.1</v>
      </c>
      <c r="G400" s="676">
        <v>1</v>
      </c>
      <c r="H400" s="929">
        <v>0</v>
      </c>
      <c r="I400" s="929">
        <v>0</v>
      </c>
      <c r="J400" s="689">
        <f t="shared" si="7"/>
        <v>1</v>
      </c>
    </row>
    <row r="401" spans="1:10" ht="12.75" customHeight="1" x14ac:dyDescent="0.2">
      <c r="A401" s="681" t="s">
        <v>2370</v>
      </c>
      <c r="B401" s="693" t="s">
        <v>2970</v>
      </c>
      <c r="C401" s="672" t="s">
        <v>787</v>
      </c>
      <c r="D401" s="673">
        <v>32924</v>
      </c>
      <c r="E401" s="674">
        <v>10</v>
      </c>
      <c r="F401" s="675">
        <v>0.1</v>
      </c>
      <c r="G401" s="676">
        <v>1</v>
      </c>
      <c r="H401" s="929">
        <v>0</v>
      </c>
      <c r="I401" s="929">
        <v>0</v>
      </c>
      <c r="J401" s="689">
        <f t="shared" si="7"/>
        <v>1</v>
      </c>
    </row>
    <row r="402" spans="1:10" ht="12.75" customHeight="1" x14ac:dyDescent="0.2">
      <c r="A402" s="681" t="s">
        <v>2370</v>
      </c>
      <c r="B402" s="693" t="s">
        <v>2971</v>
      </c>
      <c r="C402" s="672" t="s">
        <v>791</v>
      </c>
      <c r="D402" s="673">
        <v>37307</v>
      </c>
      <c r="E402" s="674">
        <v>10</v>
      </c>
      <c r="F402" s="675">
        <v>0.1</v>
      </c>
      <c r="G402" s="676">
        <v>1</v>
      </c>
      <c r="H402" s="929">
        <v>0</v>
      </c>
      <c r="I402" s="929">
        <v>0</v>
      </c>
      <c r="J402" s="689">
        <f t="shared" si="7"/>
        <v>1</v>
      </c>
    </row>
    <row r="403" spans="1:10" ht="12.75" customHeight="1" x14ac:dyDescent="0.2">
      <c r="A403" s="681" t="s">
        <v>2370</v>
      </c>
      <c r="B403" s="693" t="s">
        <v>2972</v>
      </c>
      <c r="C403" s="672" t="s">
        <v>787</v>
      </c>
      <c r="D403" s="673">
        <v>39498</v>
      </c>
      <c r="E403" s="674">
        <v>10</v>
      </c>
      <c r="F403" s="675">
        <v>0.1</v>
      </c>
      <c r="G403" s="676">
        <v>1</v>
      </c>
      <c r="H403" s="929">
        <v>0</v>
      </c>
      <c r="I403" s="929">
        <v>0</v>
      </c>
      <c r="J403" s="689">
        <f t="shared" si="7"/>
        <v>1</v>
      </c>
    </row>
    <row r="404" spans="1:10" ht="12.75" customHeight="1" x14ac:dyDescent="0.2">
      <c r="A404" s="681" t="s">
        <v>2370</v>
      </c>
      <c r="B404" s="693" t="s">
        <v>2973</v>
      </c>
      <c r="C404" s="672" t="s">
        <v>785</v>
      </c>
      <c r="D404" s="673">
        <v>39133</v>
      </c>
      <c r="E404" s="674">
        <v>10</v>
      </c>
      <c r="F404" s="675">
        <v>0.1</v>
      </c>
      <c r="G404" s="676">
        <v>1</v>
      </c>
      <c r="H404" s="929">
        <v>0</v>
      </c>
      <c r="I404" s="929">
        <v>0</v>
      </c>
      <c r="J404" s="689">
        <f t="shared" si="7"/>
        <v>1</v>
      </c>
    </row>
    <row r="405" spans="1:10" ht="12.75" customHeight="1" x14ac:dyDescent="0.2">
      <c r="A405" s="681" t="s">
        <v>2370</v>
      </c>
      <c r="B405" s="693" t="s">
        <v>2974</v>
      </c>
      <c r="C405" s="672" t="s">
        <v>791</v>
      </c>
      <c r="D405" s="673">
        <v>38037</v>
      </c>
      <c r="E405" s="674">
        <v>10</v>
      </c>
      <c r="F405" s="675">
        <v>0.1</v>
      </c>
      <c r="G405" s="676">
        <v>1</v>
      </c>
      <c r="H405" s="929">
        <v>0</v>
      </c>
      <c r="I405" s="929">
        <v>0</v>
      </c>
      <c r="J405" s="689">
        <f t="shared" si="7"/>
        <v>1</v>
      </c>
    </row>
    <row r="406" spans="1:10" ht="12.75" customHeight="1" x14ac:dyDescent="0.2">
      <c r="A406" s="681" t="s">
        <v>2370</v>
      </c>
      <c r="B406" s="693" t="s">
        <v>2975</v>
      </c>
      <c r="C406" s="672" t="s">
        <v>791</v>
      </c>
      <c r="D406" s="673">
        <v>33654</v>
      </c>
      <c r="E406" s="674">
        <v>10</v>
      </c>
      <c r="F406" s="675">
        <v>0.1</v>
      </c>
      <c r="G406" s="676">
        <v>1</v>
      </c>
      <c r="H406" s="929">
        <v>0</v>
      </c>
      <c r="I406" s="929">
        <v>0</v>
      </c>
      <c r="J406" s="689">
        <f t="shared" si="7"/>
        <v>1</v>
      </c>
    </row>
    <row r="407" spans="1:10" ht="12.75" customHeight="1" x14ac:dyDescent="0.2">
      <c r="A407" s="681" t="s">
        <v>2370</v>
      </c>
      <c r="B407" s="693" t="s">
        <v>2976</v>
      </c>
      <c r="C407" s="672" t="s">
        <v>787</v>
      </c>
      <c r="D407" s="673">
        <v>35115</v>
      </c>
      <c r="E407" s="674">
        <v>10</v>
      </c>
      <c r="F407" s="675">
        <v>0.1</v>
      </c>
      <c r="G407" s="676">
        <v>1</v>
      </c>
      <c r="H407" s="929">
        <v>0</v>
      </c>
      <c r="I407" s="929">
        <v>0</v>
      </c>
      <c r="J407" s="689">
        <f t="shared" si="7"/>
        <v>1</v>
      </c>
    </row>
    <row r="408" spans="1:10" ht="12.75" customHeight="1" x14ac:dyDescent="0.2">
      <c r="A408" s="681" t="s">
        <v>2370</v>
      </c>
      <c r="B408" s="693" t="s">
        <v>2977</v>
      </c>
      <c r="C408" s="672" t="s">
        <v>790</v>
      </c>
      <c r="D408" s="673">
        <v>38037</v>
      </c>
      <c r="E408" s="674">
        <v>10</v>
      </c>
      <c r="F408" s="675">
        <v>0.1</v>
      </c>
      <c r="G408" s="676">
        <v>1</v>
      </c>
      <c r="H408" s="929">
        <v>0</v>
      </c>
      <c r="I408" s="929">
        <v>0</v>
      </c>
      <c r="J408" s="689">
        <f t="shared" si="7"/>
        <v>1</v>
      </c>
    </row>
    <row r="409" spans="1:10" ht="12.75" customHeight="1" x14ac:dyDescent="0.2">
      <c r="A409" s="681" t="s">
        <v>2370</v>
      </c>
      <c r="B409" s="693" t="s">
        <v>2978</v>
      </c>
      <c r="C409" s="672" t="s">
        <v>791</v>
      </c>
      <c r="D409" s="673">
        <v>33289</v>
      </c>
      <c r="E409" s="674">
        <v>10</v>
      </c>
      <c r="F409" s="675">
        <v>0.1</v>
      </c>
      <c r="G409" s="676">
        <v>1</v>
      </c>
      <c r="H409" s="929">
        <v>0</v>
      </c>
      <c r="I409" s="929">
        <v>0</v>
      </c>
      <c r="J409" s="689">
        <f t="shared" si="7"/>
        <v>1</v>
      </c>
    </row>
    <row r="410" spans="1:10" ht="12.75" customHeight="1" x14ac:dyDescent="0.2">
      <c r="A410" s="681" t="s">
        <v>2370</v>
      </c>
      <c r="B410" s="693" t="s">
        <v>2979</v>
      </c>
      <c r="C410" s="672" t="s">
        <v>806</v>
      </c>
      <c r="D410" s="673">
        <v>39864</v>
      </c>
      <c r="E410" s="674">
        <v>10</v>
      </c>
      <c r="F410" s="675">
        <v>0.1</v>
      </c>
      <c r="G410" s="676">
        <v>1</v>
      </c>
      <c r="H410" s="929">
        <v>0</v>
      </c>
      <c r="I410" s="929">
        <v>0</v>
      </c>
      <c r="J410" s="689">
        <f t="shared" si="7"/>
        <v>1</v>
      </c>
    </row>
    <row r="411" spans="1:10" ht="12.75" customHeight="1" x14ac:dyDescent="0.2">
      <c r="A411" s="681" t="s">
        <v>2370</v>
      </c>
      <c r="B411" s="693" t="s">
        <v>2980</v>
      </c>
      <c r="C411" s="672" t="s">
        <v>847</v>
      </c>
      <c r="D411" s="673">
        <v>38768</v>
      </c>
      <c r="E411" s="674">
        <v>10</v>
      </c>
      <c r="F411" s="675">
        <v>0.1</v>
      </c>
      <c r="G411" s="676">
        <v>1</v>
      </c>
      <c r="H411" s="929">
        <v>0</v>
      </c>
      <c r="I411" s="929">
        <v>0</v>
      </c>
      <c r="J411" s="689">
        <f t="shared" si="7"/>
        <v>1</v>
      </c>
    </row>
    <row r="412" spans="1:10" ht="12.75" customHeight="1" x14ac:dyDescent="0.2">
      <c r="A412" s="681" t="s">
        <v>2370</v>
      </c>
      <c r="B412" s="693" t="s">
        <v>2981</v>
      </c>
      <c r="C412" s="672" t="s">
        <v>786</v>
      </c>
      <c r="D412" s="673">
        <v>36576</v>
      </c>
      <c r="E412" s="674">
        <v>10</v>
      </c>
      <c r="F412" s="675">
        <v>0.1</v>
      </c>
      <c r="G412" s="676">
        <v>1</v>
      </c>
      <c r="H412" s="929">
        <v>0</v>
      </c>
      <c r="I412" s="929">
        <v>0</v>
      </c>
      <c r="J412" s="689">
        <f t="shared" si="7"/>
        <v>1</v>
      </c>
    </row>
    <row r="413" spans="1:10" ht="12.75" customHeight="1" x14ac:dyDescent="0.2">
      <c r="A413" s="681" t="s">
        <v>2370</v>
      </c>
      <c r="B413" s="693" t="s">
        <v>2982</v>
      </c>
      <c r="C413" s="672" t="s">
        <v>787</v>
      </c>
      <c r="D413" s="673">
        <v>32924</v>
      </c>
      <c r="E413" s="674">
        <v>10</v>
      </c>
      <c r="F413" s="675">
        <v>0.1</v>
      </c>
      <c r="G413" s="676">
        <v>1</v>
      </c>
      <c r="H413" s="929">
        <v>0</v>
      </c>
      <c r="I413" s="929">
        <v>0</v>
      </c>
      <c r="J413" s="689">
        <f t="shared" si="7"/>
        <v>1</v>
      </c>
    </row>
    <row r="414" spans="1:10" ht="12.75" customHeight="1" x14ac:dyDescent="0.2">
      <c r="A414" s="681" t="s">
        <v>2370</v>
      </c>
      <c r="B414" s="693" t="s">
        <v>2983</v>
      </c>
      <c r="C414" s="672" t="s">
        <v>785</v>
      </c>
      <c r="D414" s="673">
        <v>38403</v>
      </c>
      <c r="E414" s="674">
        <v>10</v>
      </c>
      <c r="F414" s="675">
        <v>0.1</v>
      </c>
      <c r="G414" s="676">
        <v>1</v>
      </c>
      <c r="H414" s="929">
        <v>0</v>
      </c>
      <c r="I414" s="929">
        <v>0</v>
      </c>
      <c r="J414" s="689">
        <f t="shared" si="7"/>
        <v>1</v>
      </c>
    </row>
    <row r="415" spans="1:10" ht="12.75" customHeight="1" x14ac:dyDescent="0.2">
      <c r="A415" s="681" t="s">
        <v>2370</v>
      </c>
      <c r="B415" s="693" t="s">
        <v>2984</v>
      </c>
      <c r="C415" s="672" t="s">
        <v>787</v>
      </c>
      <c r="D415" s="673">
        <v>33289</v>
      </c>
      <c r="E415" s="674">
        <v>10</v>
      </c>
      <c r="F415" s="675">
        <v>0.1</v>
      </c>
      <c r="G415" s="676">
        <v>1</v>
      </c>
      <c r="H415" s="929">
        <v>0</v>
      </c>
      <c r="I415" s="929">
        <v>0</v>
      </c>
      <c r="J415" s="689">
        <f t="shared" si="7"/>
        <v>1</v>
      </c>
    </row>
    <row r="416" spans="1:10" ht="12.75" customHeight="1" x14ac:dyDescent="0.2">
      <c r="A416" s="681" t="s">
        <v>2370</v>
      </c>
      <c r="B416" s="693" t="s">
        <v>2985</v>
      </c>
      <c r="C416" s="672" t="s">
        <v>787</v>
      </c>
      <c r="D416" s="673">
        <v>35846</v>
      </c>
      <c r="E416" s="674">
        <v>10</v>
      </c>
      <c r="F416" s="675">
        <v>0.1</v>
      </c>
      <c r="G416" s="676">
        <v>1</v>
      </c>
      <c r="H416" s="929">
        <v>0</v>
      </c>
      <c r="I416" s="929">
        <v>0</v>
      </c>
      <c r="J416" s="689">
        <f t="shared" si="7"/>
        <v>1</v>
      </c>
    </row>
    <row r="417" spans="1:10" ht="12.75" customHeight="1" x14ac:dyDescent="0.2">
      <c r="A417" s="681" t="s">
        <v>2370</v>
      </c>
      <c r="B417" s="693" t="s">
        <v>2986</v>
      </c>
      <c r="C417" s="672" t="s">
        <v>792</v>
      </c>
      <c r="D417" s="673">
        <v>38403</v>
      </c>
      <c r="E417" s="674">
        <v>10</v>
      </c>
      <c r="F417" s="675">
        <v>0.1</v>
      </c>
      <c r="G417" s="676">
        <v>1</v>
      </c>
      <c r="H417" s="929">
        <v>0</v>
      </c>
      <c r="I417" s="929">
        <v>0</v>
      </c>
      <c r="J417" s="689">
        <f t="shared" si="7"/>
        <v>1</v>
      </c>
    </row>
    <row r="418" spans="1:10" ht="12.75" customHeight="1" x14ac:dyDescent="0.2">
      <c r="A418" s="681" t="s">
        <v>2370</v>
      </c>
      <c r="B418" s="693" t="s">
        <v>2987</v>
      </c>
      <c r="C418" s="672" t="s">
        <v>815</v>
      </c>
      <c r="D418" s="673">
        <v>32924</v>
      </c>
      <c r="E418" s="674">
        <v>10</v>
      </c>
      <c r="F418" s="675">
        <v>0.1</v>
      </c>
      <c r="G418" s="676">
        <v>1</v>
      </c>
      <c r="H418" s="929">
        <v>0</v>
      </c>
      <c r="I418" s="929">
        <v>0</v>
      </c>
      <c r="J418" s="689">
        <f t="shared" si="7"/>
        <v>1</v>
      </c>
    </row>
    <row r="419" spans="1:10" ht="12.75" customHeight="1" x14ac:dyDescent="0.2">
      <c r="A419" s="681" t="s">
        <v>2370</v>
      </c>
      <c r="B419" s="693" t="s">
        <v>2988</v>
      </c>
      <c r="C419" s="672" t="s">
        <v>786</v>
      </c>
      <c r="D419" s="673">
        <v>36576</v>
      </c>
      <c r="E419" s="674">
        <v>10</v>
      </c>
      <c r="F419" s="675">
        <v>0.1</v>
      </c>
      <c r="G419" s="676">
        <v>1</v>
      </c>
      <c r="H419" s="929">
        <v>0</v>
      </c>
      <c r="I419" s="929">
        <v>0</v>
      </c>
      <c r="J419" s="689">
        <f t="shared" si="7"/>
        <v>1</v>
      </c>
    </row>
    <row r="420" spans="1:10" ht="12.75" customHeight="1" x14ac:dyDescent="0.2">
      <c r="A420" s="681" t="s">
        <v>2370</v>
      </c>
      <c r="B420" s="693" t="s">
        <v>2989</v>
      </c>
      <c r="C420" s="672" t="s">
        <v>785</v>
      </c>
      <c r="D420" s="673">
        <v>35115</v>
      </c>
      <c r="E420" s="674">
        <v>10</v>
      </c>
      <c r="F420" s="675">
        <v>0.1</v>
      </c>
      <c r="G420" s="676">
        <v>1</v>
      </c>
      <c r="H420" s="929">
        <v>0</v>
      </c>
      <c r="I420" s="929">
        <v>0</v>
      </c>
      <c r="J420" s="689">
        <f t="shared" si="7"/>
        <v>1</v>
      </c>
    </row>
    <row r="421" spans="1:10" ht="12.75" customHeight="1" x14ac:dyDescent="0.2">
      <c r="A421" s="681" t="s">
        <v>2370</v>
      </c>
      <c r="B421" s="693" t="s">
        <v>2990</v>
      </c>
      <c r="C421" s="672" t="s">
        <v>785</v>
      </c>
      <c r="D421" s="673">
        <v>39498</v>
      </c>
      <c r="E421" s="674">
        <v>10</v>
      </c>
      <c r="F421" s="675">
        <v>0.1</v>
      </c>
      <c r="G421" s="676">
        <v>1</v>
      </c>
      <c r="H421" s="929">
        <v>0</v>
      </c>
      <c r="I421" s="929">
        <v>0</v>
      </c>
      <c r="J421" s="689">
        <f t="shared" si="7"/>
        <v>1</v>
      </c>
    </row>
    <row r="422" spans="1:10" ht="12.75" customHeight="1" x14ac:dyDescent="0.2">
      <c r="A422" s="681" t="s">
        <v>2370</v>
      </c>
      <c r="B422" s="693" t="s">
        <v>2991</v>
      </c>
      <c r="C422" s="672" t="s">
        <v>785</v>
      </c>
      <c r="D422" s="673">
        <v>33289</v>
      </c>
      <c r="E422" s="674">
        <v>10</v>
      </c>
      <c r="F422" s="675">
        <v>0.1</v>
      </c>
      <c r="G422" s="676">
        <v>1</v>
      </c>
      <c r="H422" s="929">
        <v>0</v>
      </c>
      <c r="I422" s="929">
        <v>0</v>
      </c>
      <c r="J422" s="689">
        <f t="shared" si="7"/>
        <v>1</v>
      </c>
    </row>
    <row r="423" spans="1:10" ht="12.75" customHeight="1" x14ac:dyDescent="0.2">
      <c r="A423" s="681" t="s">
        <v>2370</v>
      </c>
      <c r="B423" s="693" t="s">
        <v>2992</v>
      </c>
      <c r="C423" s="672" t="s">
        <v>787</v>
      </c>
      <c r="D423" s="673">
        <v>34020</v>
      </c>
      <c r="E423" s="674">
        <v>10</v>
      </c>
      <c r="F423" s="675">
        <v>0.1</v>
      </c>
      <c r="G423" s="676">
        <v>1</v>
      </c>
      <c r="H423" s="929">
        <v>0</v>
      </c>
      <c r="I423" s="929">
        <v>0</v>
      </c>
      <c r="J423" s="689">
        <f t="shared" si="7"/>
        <v>1</v>
      </c>
    </row>
    <row r="424" spans="1:10" ht="12.75" customHeight="1" x14ac:dyDescent="0.2">
      <c r="A424" s="681" t="s">
        <v>2370</v>
      </c>
      <c r="B424" s="693" t="s">
        <v>2993</v>
      </c>
      <c r="C424" s="672" t="s">
        <v>787</v>
      </c>
      <c r="D424" s="673">
        <v>32924</v>
      </c>
      <c r="E424" s="674">
        <v>10</v>
      </c>
      <c r="F424" s="675">
        <v>0.1</v>
      </c>
      <c r="G424" s="676">
        <v>1</v>
      </c>
      <c r="H424" s="929">
        <v>0</v>
      </c>
      <c r="I424" s="929">
        <v>0</v>
      </c>
      <c r="J424" s="689">
        <f t="shared" si="7"/>
        <v>1</v>
      </c>
    </row>
    <row r="425" spans="1:10" ht="12.75" customHeight="1" x14ac:dyDescent="0.2">
      <c r="A425" s="681" t="s">
        <v>2370</v>
      </c>
      <c r="B425" s="693" t="s">
        <v>2994</v>
      </c>
      <c r="C425" s="672" t="s">
        <v>787</v>
      </c>
      <c r="D425" s="673">
        <v>32924</v>
      </c>
      <c r="E425" s="674">
        <v>10</v>
      </c>
      <c r="F425" s="675">
        <v>0.1</v>
      </c>
      <c r="G425" s="676">
        <v>1</v>
      </c>
      <c r="H425" s="929">
        <v>0</v>
      </c>
      <c r="I425" s="929">
        <v>0</v>
      </c>
      <c r="J425" s="689">
        <f t="shared" si="7"/>
        <v>1</v>
      </c>
    </row>
    <row r="426" spans="1:10" ht="12.75" customHeight="1" x14ac:dyDescent="0.2">
      <c r="A426" s="681" t="s">
        <v>2370</v>
      </c>
      <c r="B426" s="693" t="s">
        <v>2995</v>
      </c>
      <c r="C426" s="672" t="s">
        <v>791</v>
      </c>
      <c r="D426" s="673">
        <v>33289</v>
      </c>
      <c r="E426" s="674">
        <v>10</v>
      </c>
      <c r="F426" s="675">
        <v>0.1</v>
      </c>
      <c r="G426" s="676">
        <v>1</v>
      </c>
      <c r="H426" s="929">
        <v>0</v>
      </c>
      <c r="I426" s="929">
        <v>0</v>
      </c>
      <c r="J426" s="689">
        <f t="shared" si="7"/>
        <v>1</v>
      </c>
    </row>
    <row r="427" spans="1:10" ht="12.75" customHeight="1" x14ac:dyDescent="0.2">
      <c r="A427" s="681" t="s">
        <v>2370</v>
      </c>
      <c r="B427" s="693" t="s">
        <v>2996</v>
      </c>
      <c r="C427" s="672" t="s">
        <v>791</v>
      </c>
      <c r="D427" s="673">
        <v>32924</v>
      </c>
      <c r="E427" s="674">
        <v>10</v>
      </c>
      <c r="F427" s="675">
        <v>0.1</v>
      </c>
      <c r="G427" s="676">
        <v>1</v>
      </c>
      <c r="H427" s="929">
        <v>0</v>
      </c>
      <c r="I427" s="929">
        <v>0</v>
      </c>
      <c r="J427" s="689">
        <f t="shared" si="7"/>
        <v>1</v>
      </c>
    </row>
    <row r="428" spans="1:10" ht="12.75" customHeight="1" x14ac:dyDescent="0.2">
      <c r="A428" s="681" t="s">
        <v>2370</v>
      </c>
      <c r="B428" s="693" t="s">
        <v>2997</v>
      </c>
      <c r="C428" s="672" t="s">
        <v>791</v>
      </c>
      <c r="D428" s="673">
        <v>33289</v>
      </c>
      <c r="E428" s="674">
        <v>10</v>
      </c>
      <c r="F428" s="675">
        <v>0.1</v>
      </c>
      <c r="G428" s="676">
        <v>1</v>
      </c>
      <c r="H428" s="929">
        <v>0</v>
      </c>
      <c r="I428" s="929">
        <v>0</v>
      </c>
      <c r="J428" s="689">
        <f t="shared" si="7"/>
        <v>1</v>
      </c>
    </row>
    <row r="429" spans="1:10" ht="12.75" customHeight="1" x14ac:dyDescent="0.2">
      <c r="A429" s="681" t="s">
        <v>2370</v>
      </c>
      <c r="B429" s="693" t="s">
        <v>2998</v>
      </c>
      <c r="C429" s="672" t="s">
        <v>792</v>
      </c>
      <c r="D429" s="673">
        <v>40229</v>
      </c>
      <c r="E429" s="674">
        <v>10</v>
      </c>
      <c r="F429" s="675">
        <v>0.1</v>
      </c>
      <c r="G429" s="676">
        <v>1</v>
      </c>
      <c r="H429" s="929">
        <v>0</v>
      </c>
      <c r="I429" s="929">
        <v>0</v>
      </c>
      <c r="J429" s="689">
        <f t="shared" si="7"/>
        <v>1</v>
      </c>
    </row>
    <row r="430" spans="1:10" ht="12.75" customHeight="1" x14ac:dyDescent="0.2">
      <c r="A430" s="681" t="s">
        <v>2370</v>
      </c>
      <c r="B430" s="693" t="s">
        <v>2999</v>
      </c>
      <c r="C430" s="672" t="s">
        <v>791</v>
      </c>
      <c r="D430" s="673">
        <v>33654</v>
      </c>
      <c r="E430" s="674">
        <v>10</v>
      </c>
      <c r="F430" s="675">
        <v>0.1</v>
      </c>
      <c r="G430" s="676">
        <v>1</v>
      </c>
      <c r="H430" s="929">
        <v>0</v>
      </c>
      <c r="I430" s="929">
        <v>0</v>
      </c>
      <c r="J430" s="689">
        <f t="shared" si="7"/>
        <v>1</v>
      </c>
    </row>
    <row r="431" spans="1:10" ht="12.75" customHeight="1" x14ac:dyDescent="0.2">
      <c r="A431" s="681" t="s">
        <v>2370</v>
      </c>
      <c r="B431" s="693" t="s">
        <v>3000</v>
      </c>
      <c r="C431" s="672" t="s">
        <v>785</v>
      </c>
      <c r="D431" s="673">
        <v>40594</v>
      </c>
      <c r="E431" s="674">
        <v>10</v>
      </c>
      <c r="F431" s="675">
        <v>0.1</v>
      </c>
      <c r="G431" s="676">
        <v>1</v>
      </c>
      <c r="H431" s="929">
        <v>0</v>
      </c>
      <c r="I431" s="929">
        <v>0</v>
      </c>
      <c r="J431" s="689">
        <f t="shared" si="7"/>
        <v>1</v>
      </c>
    </row>
    <row r="432" spans="1:10" ht="12.75" customHeight="1" x14ac:dyDescent="0.2">
      <c r="A432" s="681" t="s">
        <v>2370</v>
      </c>
      <c r="B432" s="693" t="s">
        <v>3001</v>
      </c>
      <c r="C432" s="672" t="s">
        <v>847</v>
      </c>
      <c r="D432" s="673">
        <v>36211</v>
      </c>
      <c r="E432" s="674">
        <v>10</v>
      </c>
      <c r="F432" s="675">
        <v>0.1</v>
      </c>
      <c r="G432" s="676">
        <v>1</v>
      </c>
      <c r="H432" s="929">
        <v>0</v>
      </c>
      <c r="I432" s="929">
        <v>0</v>
      </c>
      <c r="J432" s="689">
        <f t="shared" si="7"/>
        <v>1</v>
      </c>
    </row>
    <row r="433" spans="1:10" ht="12.75" customHeight="1" x14ac:dyDescent="0.2">
      <c r="A433" s="681" t="s">
        <v>2370</v>
      </c>
      <c r="B433" s="693" t="s">
        <v>3002</v>
      </c>
      <c r="C433" s="672" t="s">
        <v>847</v>
      </c>
      <c r="D433" s="673">
        <v>36211</v>
      </c>
      <c r="E433" s="674">
        <v>10</v>
      </c>
      <c r="F433" s="675">
        <v>0.1</v>
      </c>
      <c r="G433" s="676">
        <v>1</v>
      </c>
      <c r="H433" s="929">
        <v>0</v>
      </c>
      <c r="I433" s="929">
        <v>0</v>
      </c>
      <c r="J433" s="689">
        <f t="shared" si="7"/>
        <v>1</v>
      </c>
    </row>
    <row r="434" spans="1:10" ht="12.75" customHeight="1" x14ac:dyDescent="0.2">
      <c r="A434" s="681" t="s">
        <v>2370</v>
      </c>
      <c r="B434" s="693" t="s">
        <v>3003</v>
      </c>
      <c r="C434" s="672" t="s">
        <v>847</v>
      </c>
      <c r="D434" s="673">
        <v>32924</v>
      </c>
      <c r="E434" s="674">
        <v>10</v>
      </c>
      <c r="F434" s="675">
        <v>0.1</v>
      </c>
      <c r="G434" s="676">
        <v>1</v>
      </c>
      <c r="H434" s="929">
        <v>0</v>
      </c>
      <c r="I434" s="929">
        <v>0</v>
      </c>
      <c r="J434" s="689">
        <f t="shared" si="7"/>
        <v>1</v>
      </c>
    </row>
    <row r="435" spans="1:10" ht="12.75" customHeight="1" x14ac:dyDescent="0.2">
      <c r="A435" s="681" t="s">
        <v>2370</v>
      </c>
      <c r="B435" s="693" t="s">
        <v>3004</v>
      </c>
      <c r="C435" s="672" t="s">
        <v>787</v>
      </c>
      <c r="D435" s="673">
        <v>36211</v>
      </c>
      <c r="E435" s="674">
        <v>10</v>
      </c>
      <c r="F435" s="675">
        <v>0.1</v>
      </c>
      <c r="G435" s="676">
        <v>1</v>
      </c>
      <c r="H435" s="929">
        <v>0</v>
      </c>
      <c r="I435" s="929">
        <v>0</v>
      </c>
      <c r="J435" s="689">
        <f t="shared" si="7"/>
        <v>1</v>
      </c>
    </row>
    <row r="436" spans="1:10" ht="12.75" customHeight="1" x14ac:dyDescent="0.2">
      <c r="A436" s="681" t="s">
        <v>2370</v>
      </c>
      <c r="B436" s="693" t="s">
        <v>3005</v>
      </c>
      <c r="C436" s="672" t="s">
        <v>785</v>
      </c>
      <c r="D436" s="673">
        <v>40594</v>
      </c>
      <c r="E436" s="674">
        <v>10</v>
      </c>
      <c r="F436" s="675">
        <v>0.1</v>
      </c>
      <c r="G436" s="676">
        <v>1</v>
      </c>
      <c r="H436" s="929">
        <v>0</v>
      </c>
      <c r="I436" s="929">
        <v>0</v>
      </c>
      <c r="J436" s="689">
        <f t="shared" si="7"/>
        <v>1</v>
      </c>
    </row>
    <row r="437" spans="1:10" ht="12.75" customHeight="1" x14ac:dyDescent="0.2">
      <c r="A437" s="681" t="s">
        <v>2370</v>
      </c>
      <c r="B437" s="693" t="s">
        <v>3006</v>
      </c>
      <c r="C437" s="672" t="s">
        <v>785</v>
      </c>
      <c r="D437" s="673">
        <v>39133</v>
      </c>
      <c r="E437" s="674">
        <v>10</v>
      </c>
      <c r="F437" s="675">
        <v>0.1</v>
      </c>
      <c r="G437" s="676">
        <v>1</v>
      </c>
      <c r="H437" s="929">
        <v>0</v>
      </c>
      <c r="I437" s="929">
        <v>0</v>
      </c>
      <c r="J437" s="689">
        <f t="shared" si="7"/>
        <v>1</v>
      </c>
    </row>
    <row r="438" spans="1:10" ht="12.75" customHeight="1" x14ac:dyDescent="0.2">
      <c r="A438" s="681" t="s">
        <v>2370</v>
      </c>
      <c r="B438" s="693" t="s">
        <v>3007</v>
      </c>
      <c r="C438" s="672" t="s">
        <v>790</v>
      </c>
      <c r="D438" s="673">
        <v>38403</v>
      </c>
      <c r="E438" s="674">
        <v>10</v>
      </c>
      <c r="F438" s="675">
        <v>0.1</v>
      </c>
      <c r="G438" s="676">
        <v>1</v>
      </c>
      <c r="H438" s="929">
        <v>0</v>
      </c>
      <c r="I438" s="929">
        <v>0</v>
      </c>
      <c r="J438" s="689">
        <f t="shared" si="7"/>
        <v>1</v>
      </c>
    </row>
    <row r="439" spans="1:10" ht="12.75" customHeight="1" x14ac:dyDescent="0.2">
      <c r="A439" s="681" t="s">
        <v>2370</v>
      </c>
      <c r="B439" s="693" t="s">
        <v>3008</v>
      </c>
      <c r="C439" s="672" t="s">
        <v>828</v>
      </c>
      <c r="D439" s="673">
        <v>38403</v>
      </c>
      <c r="E439" s="674">
        <v>10</v>
      </c>
      <c r="F439" s="675">
        <v>0.1</v>
      </c>
      <c r="G439" s="676">
        <v>1</v>
      </c>
      <c r="H439" s="929">
        <v>0</v>
      </c>
      <c r="I439" s="929">
        <v>0</v>
      </c>
      <c r="J439" s="689">
        <f t="shared" si="7"/>
        <v>1</v>
      </c>
    </row>
    <row r="440" spans="1:10" ht="12.75" customHeight="1" x14ac:dyDescent="0.2">
      <c r="A440" s="681" t="s">
        <v>2370</v>
      </c>
      <c r="B440" s="693" t="s">
        <v>3009</v>
      </c>
      <c r="C440" s="672" t="s">
        <v>828</v>
      </c>
      <c r="D440" s="673">
        <v>38403</v>
      </c>
      <c r="E440" s="674">
        <v>10</v>
      </c>
      <c r="F440" s="675">
        <v>0.1</v>
      </c>
      <c r="G440" s="676">
        <v>1</v>
      </c>
      <c r="H440" s="929">
        <v>0</v>
      </c>
      <c r="I440" s="929">
        <v>0</v>
      </c>
      <c r="J440" s="689">
        <f t="shared" si="7"/>
        <v>1</v>
      </c>
    </row>
    <row r="441" spans="1:10" ht="12.75" customHeight="1" x14ac:dyDescent="0.2">
      <c r="A441" s="681" t="s">
        <v>2370</v>
      </c>
      <c r="B441" s="693" t="s">
        <v>3010</v>
      </c>
      <c r="C441" s="672" t="s">
        <v>828</v>
      </c>
      <c r="D441" s="673">
        <v>38403</v>
      </c>
      <c r="E441" s="674">
        <v>10</v>
      </c>
      <c r="F441" s="675">
        <v>0.1</v>
      </c>
      <c r="G441" s="676">
        <v>1</v>
      </c>
      <c r="H441" s="929">
        <v>0</v>
      </c>
      <c r="I441" s="929">
        <v>0</v>
      </c>
      <c r="J441" s="689">
        <f t="shared" si="7"/>
        <v>1</v>
      </c>
    </row>
    <row r="442" spans="1:10" ht="12.75" customHeight="1" x14ac:dyDescent="0.2">
      <c r="A442" s="681" t="s">
        <v>2370</v>
      </c>
      <c r="B442" s="693" t="s">
        <v>3011</v>
      </c>
      <c r="C442" s="672" t="s">
        <v>828</v>
      </c>
      <c r="D442" s="673">
        <v>38403</v>
      </c>
      <c r="E442" s="674">
        <v>10</v>
      </c>
      <c r="F442" s="675">
        <v>0.1</v>
      </c>
      <c r="G442" s="676">
        <v>1</v>
      </c>
      <c r="H442" s="929">
        <v>0</v>
      </c>
      <c r="I442" s="929">
        <v>0</v>
      </c>
      <c r="J442" s="689">
        <f t="shared" si="7"/>
        <v>1</v>
      </c>
    </row>
    <row r="443" spans="1:10" ht="12.75" customHeight="1" x14ac:dyDescent="0.2">
      <c r="A443" s="681" t="s">
        <v>2370</v>
      </c>
      <c r="B443" s="693" t="s">
        <v>3012</v>
      </c>
      <c r="C443" s="672" t="s">
        <v>828</v>
      </c>
      <c r="D443" s="673">
        <v>38403</v>
      </c>
      <c r="E443" s="674">
        <v>10</v>
      </c>
      <c r="F443" s="675">
        <v>0.1</v>
      </c>
      <c r="G443" s="676">
        <v>1</v>
      </c>
      <c r="H443" s="929">
        <v>0</v>
      </c>
      <c r="I443" s="929">
        <v>0</v>
      </c>
      <c r="J443" s="689">
        <f t="shared" si="7"/>
        <v>1</v>
      </c>
    </row>
    <row r="444" spans="1:10" ht="12.75" customHeight="1" x14ac:dyDescent="0.2">
      <c r="A444" s="681" t="s">
        <v>2370</v>
      </c>
      <c r="B444" s="693" t="s">
        <v>3013</v>
      </c>
      <c r="C444" s="672" t="s">
        <v>787</v>
      </c>
      <c r="D444" s="673">
        <v>35115</v>
      </c>
      <c r="E444" s="674">
        <v>10</v>
      </c>
      <c r="F444" s="675">
        <v>0.1</v>
      </c>
      <c r="G444" s="676">
        <v>1</v>
      </c>
      <c r="H444" s="929">
        <v>0</v>
      </c>
      <c r="I444" s="929">
        <v>0</v>
      </c>
      <c r="J444" s="689">
        <f t="shared" si="7"/>
        <v>1</v>
      </c>
    </row>
    <row r="445" spans="1:10" ht="12.75" customHeight="1" x14ac:dyDescent="0.2">
      <c r="A445" s="681" t="s">
        <v>2370</v>
      </c>
      <c r="B445" s="693" t="s">
        <v>3014</v>
      </c>
      <c r="C445" s="672" t="s">
        <v>795</v>
      </c>
      <c r="D445" s="673">
        <v>32924</v>
      </c>
      <c r="E445" s="674">
        <v>10</v>
      </c>
      <c r="F445" s="675">
        <v>0.1</v>
      </c>
      <c r="G445" s="676">
        <v>1</v>
      </c>
      <c r="H445" s="929">
        <v>0</v>
      </c>
      <c r="I445" s="929">
        <v>0</v>
      </c>
      <c r="J445" s="689">
        <f t="shared" si="7"/>
        <v>1</v>
      </c>
    </row>
    <row r="446" spans="1:10" ht="12.75" customHeight="1" x14ac:dyDescent="0.2">
      <c r="A446" s="681" t="s">
        <v>2370</v>
      </c>
      <c r="B446" s="693" t="s">
        <v>3015</v>
      </c>
      <c r="C446" s="672" t="s">
        <v>790</v>
      </c>
      <c r="D446" s="673">
        <v>36576</v>
      </c>
      <c r="E446" s="674">
        <v>10</v>
      </c>
      <c r="F446" s="675">
        <v>0.1</v>
      </c>
      <c r="G446" s="676">
        <v>1</v>
      </c>
      <c r="H446" s="929">
        <v>0</v>
      </c>
      <c r="I446" s="929">
        <v>0</v>
      </c>
      <c r="J446" s="689">
        <f t="shared" si="7"/>
        <v>1</v>
      </c>
    </row>
    <row r="447" spans="1:10" ht="12.75" customHeight="1" x14ac:dyDescent="0.2">
      <c r="A447" s="681" t="s">
        <v>2370</v>
      </c>
      <c r="B447" s="693" t="s">
        <v>3016</v>
      </c>
      <c r="C447" s="672" t="s">
        <v>787</v>
      </c>
      <c r="D447" s="673">
        <v>34750</v>
      </c>
      <c r="E447" s="674">
        <v>10</v>
      </c>
      <c r="F447" s="675">
        <v>0.1</v>
      </c>
      <c r="G447" s="676">
        <v>1</v>
      </c>
      <c r="H447" s="929">
        <v>0</v>
      </c>
      <c r="I447" s="929">
        <v>0</v>
      </c>
      <c r="J447" s="689">
        <f t="shared" si="7"/>
        <v>1</v>
      </c>
    </row>
    <row r="448" spans="1:10" ht="12.75" customHeight="1" x14ac:dyDescent="0.2">
      <c r="A448" s="681" t="s">
        <v>2370</v>
      </c>
      <c r="B448" s="693" t="s">
        <v>3017</v>
      </c>
      <c r="C448" s="672" t="s">
        <v>787</v>
      </c>
      <c r="D448" s="673">
        <v>35115</v>
      </c>
      <c r="E448" s="674">
        <v>10</v>
      </c>
      <c r="F448" s="675">
        <v>0.1</v>
      </c>
      <c r="G448" s="676">
        <v>1</v>
      </c>
      <c r="H448" s="929">
        <v>0</v>
      </c>
      <c r="I448" s="929">
        <v>0</v>
      </c>
      <c r="J448" s="689">
        <f t="shared" si="7"/>
        <v>1</v>
      </c>
    </row>
    <row r="449" spans="1:10" ht="12.75" customHeight="1" x14ac:dyDescent="0.2">
      <c r="A449" s="681" t="s">
        <v>2370</v>
      </c>
      <c r="B449" s="693" t="s">
        <v>3018</v>
      </c>
      <c r="C449" s="672" t="s">
        <v>791</v>
      </c>
      <c r="D449" s="673">
        <v>40594</v>
      </c>
      <c r="E449" s="674">
        <v>10</v>
      </c>
      <c r="F449" s="675">
        <v>0.1</v>
      </c>
      <c r="G449" s="676">
        <v>1</v>
      </c>
      <c r="H449" s="929">
        <v>0</v>
      </c>
      <c r="I449" s="929">
        <v>0</v>
      </c>
      <c r="J449" s="689">
        <f t="shared" si="7"/>
        <v>1</v>
      </c>
    </row>
    <row r="450" spans="1:10" ht="12.75" customHeight="1" x14ac:dyDescent="0.2">
      <c r="A450" s="681" t="s">
        <v>2370</v>
      </c>
      <c r="B450" s="693" t="s">
        <v>3019</v>
      </c>
      <c r="C450" s="672" t="s">
        <v>787</v>
      </c>
      <c r="D450" s="673">
        <v>40594</v>
      </c>
      <c r="E450" s="674">
        <v>10</v>
      </c>
      <c r="F450" s="675">
        <v>0.1</v>
      </c>
      <c r="G450" s="676">
        <v>1</v>
      </c>
      <c r="H450" s="929">
        <v>0</v>
      </c>
      <c r="I450" s="929">
        <v>0</v>
      </c>
      <c r="J450" s="689">
        <f t="shared" si="7"/>
        <v>1</v>
      </c>
    </row>
    <row r="451" spans="1:10" ht="12.75" customHeight="1" x14ac:dyDescent="0.2">
      <c r="A451" s="681" t="s">
        <v>2370</v>
      </c>
      <c r="B451" s="693" t="s">
        <v>3020</v>
      </c>
      <c r="C451" s="672" t="s">
        <v>785</v>
      </c>
      <c r="D451" s="673">
        <v>40594</v>
      </c>
      <c r="E451" s="674">
        <v>10</v>
      </c>
      <c r="F451" s="675">
        <v>0.1</v>
      </c>
      <c r="G451" s="676">
        <v>1</v>
      </c>
      <c r="H451" s="929">
        <v>0</v>
      </c>
      <c r="I451" s="929">
        <v>0</v>
      </c>
      <c r="J451" s="689">
        <f t="shared" si="7"/>
        <v>1</v>
      </c>
    </row>
    <row r="452" spans="1:10" ht="12.75" customHeight="1" x14ac:dyDescent="0.2">
      <c r="A452" s="681" t="s">
        <v>2370</v>
      </c>
      <c r="B452" s="693" t="s">
        <v>3021</v>
      </c>
      <c r="C452" s="672" t="s">
        <v>787</v>
      </c>
      <c r="D452" s="673">
        <v>40229</v>
      </c>
      <c r="E452" s="674">
        <v>10</v>
      </c>
      <c r="F452" s="675">
        <v>0.1</v>
      </c>
      <c r="G452" s="676">
        <v>1</v>
      </c>
      <c r="H452" s="929">
        <v>0</v>
      </c>
      <c r="I452" s="929">
        <v>0</v>
      </c>
      <c r="J452" s="689">
        <f t="shared" si="7"/>
        <v>1</v>
      </c>
    </row>
    <row r="453" spans="1:10" ht="12.75" customHeight="1" x14ac:dyDescent="0.2">
      <c r="A453" s="681" t="s">
        <v>2370</v>
      </c>
      <c r="B453" s="693" t="s">
        <v>3022</v>
      </c>
      <c r="C453" s="672" t="s">
        <v>785</v>
      </c>
      <c r="D453" s="673">
        <v>39498</v>
      </c>
      <c r="E453" s="674">
        <v>10</v>
      </c>
      <c r="F453" s="675">
        <v>0.1</v>
      </c>
      <c r="G453" s="676">
        <v>1</v>
      </c>
      <c r="H453" s="929">
        <v>0</v>
      </c>
      <c r="I453" s="929">
        <v>0</v>
      </c>
      <c r="J453" s="689">
        <f t="shared" si="7"/>
        <v>1</v>
      </c>
    </row>
    <row r="454" spans="1:10" ht="12.75" customHeight="1" x14ac:dyDescent="0.2">
      <c r="A454" s="681" t="s">
        <v>2370</v>
      </c>
      <c r="B454" s="693" t="s">
        <v>3023</v>
      </c>
      <c r="C454" s="672" t="s">
        <v>785</v>
      </c>
      <c r="D454" s="673">
        <v>40594</v>
      </c>
      <c r="E454" s="674">
        <v>10</v>
      </c>
      <c r="F454" s="675">
        <v>0.1</v>
      </c>
      <c r="G454" s="676">
        <v>1</v>
      </c>
      <c r="H454" s="929">
        <v>0</v>
      </c>
      <c r="I454" s="929">
        <v>0</v>
      </c>
      <c r="J454" s="689">
        <f t="shared" si="7"/>
        <v>1</v>
      </c>
    </row>
    <row r="455" spans="1:10" ht="12.75" customHeight="1" x14ac:dyDescent="0.2">
      <c r="A455" s="681" t="s">
        <v>2370</v>
      </c>
      <c r="B455" s="693" t="s">
        <v>3024</v>
      </c>
      <c r="C455" s="672" t="s">
        <v>785</v>
      </c>
      <c r="D455" s="673">
        <v>40594</v>
      </c>
      <c r="E455" s="674">
        <v>10</v>
      </c>
      <c r="F455" s="675">
        <v>0.1</v>
      </c>
      <c r="G455" s="676">
        <v>1</v>
      </c>
      <c r="H455" s="929">
        <v>0</v>
      </c>
      <c r="I455" s="929">
        <v>0</v>
      </c>
      <c r="J455" s="689">
        <f t="shared" ref="J455:J518" si="8">G455-I455</f>
        <v>1</v>
      </c>
    </row>
    <row r="456" spans="1:10" ht="12.75" customHeight="1" x14ac:dyDescent="0.2">
      <c r="A456" s="681" t="s">
        <v>2370</v>
      </c>
      <c r="B456" s="693" t="s">
        <v>3025</v>
      </c>
      <c r="C456" s="672" t="s">
        <v>787</v>
      </c>
      <c r="D456" s="673">
        <v>40594</v>
      </c>
      <c r="E456" s="674">
        <v>10</v>
      </c>
      <c r="F456" s="675">
        <v>0.1</v>
      </c>
      <c r="G456" s="676">
        <v>1</v>
      </c>
      <c r="H456" s="929">
        <v>0</v>
      </c>
      <c r="I456" s="929">
        <v>0</v>
      </c>
      <c r="J456" s="689">
        <f t="shared" si="8"/>
        <v>1</v>
      </c>
    </row>
    <row r="457" spans="1:10" ht="12.75" customHeight="1" x14ac:dyDescent="0.2">
      <c r="A457" s="681" t="s">
        <v>2370</v>
      </c>
      <c r="B457" s="693" t="s">
        <v>3026</v>
      </c>
      <c r="C457" s="672" t="s">
        <v>787</v>
      </c>
      <c r="D457" s="673">
        <v>40594</v>
      </c>
      <c r="E457" s="674">
        <v>10</v>
      </c>
      <c r="F457" s="675">
        <v>0.1</v>
      </c>
      <c r="G457" s="676">
        <v>1</v>
      </c>
      <c r="H457" s="929">
        <v>0</v>
      </c>
      <c r="I457" s="929">
        <v>0</v>
      </c>
      <c r="J457" s="689">
        <f t="shared" si="8"/>
        <v>1</v>
      </c>
    </row>
    <row r="458" spans="1:10" ht="12.75" customHeight="1" x14ac:dyDescent="0.2">
      <c r="A458" s="681" t="s">
        <v>2370</v>
      </c>
      <c r="B458" s="693" t="s">
        <v>3027</v>
      </c>
      <c r="C458" s="672" t="s">
        <v>785</v>
      </c>
      <c r="D458" s="673">
        <v>40594</v>
      </c>
      <c r="E458" s="674">
        <v>10</v>
      </c>
      <c r="F458" s="675">
        <v>0.1</v>
      </c>
      <c r="G458" s="676">
        <v>1</v>
      </c>
      <c r="H458" s="929">
        <v>0</v>
      </c>
      <c r="I458" s="929">
        <v>0</v>
      </c>
      <c r="J458" s="689">
        <f t="shared" si="8"/>
        <v>1</v>
      </c>
    </row>
    <row r="459" spans="1:10" ht="12.75" customHeight="1" x14ac:dyDescent="0.2">
      <c r="A459" s="681" t="s">
        <v>2370</v>
      </c>
      <c r="B459" s="693" t="s">
        <v>3028</v>
      </c>
      <c r="C459" s="672" t="s">
        <v>785</v>
      </c>
      <c r="D459" s="673">
        <v>40594</v>
      </c>
      <c r="E459" s="674">
        <v>10</v>
      </c>
      <c r="F459" s="675">
        <v>0.1</v>
      </c>
      <c r="G459" s="676">
        <v>1</v>
      </c>
      <c r="H459" s="929">
        <v>0</v>
      </c>
      <c r="I459" s="929">
        <v>0</v>
      </c>
      <c r="J459" s="689">
        <f t="shared" si="8"/>
        <v>1</v>
      </c>
    </row>
    <row r="460" spans="1:10" ht="12.75" customHeight="1" x14ac:dyDescent="0.2">
      <c r="A460" s="681" t="s">
        <v>2370</v>
      </c>
      <c r="B460" s="693" t="s">
        <v>3029</v>
      </c>
      <c r="C460" s="672" t="s">
        <v>785</v>
      </c>
      <c r="D460" s="673">
        <v>40594</v>
      </c>
      <c r="E460" s="674">
        <v>10</v>
      </c>
      <c r="F460" s="675">
        <v>0.1</v>
      </c>
      <c r="G460" s="676">
        <v>1</v>
      </c>
      <c r="H460" s="929">
        <v>0</v>
      </c>
      <c r="I460" s="929">
        <v>0</v>
      </c>
      <c r="J460" s="689">
        <f t="shared" si="8"/>
        <v>1</v>
      </c>
    </row>
    <row r="461" spans="1:10" ht="12.75" customHeight="1" x14ac:dyDescent="0.2">
      <c r="A461" s="681" t="s">
        <v>2370</v>
      </c>
      <c r="B461" s="693" t="s">
        <v>3030</v>
      </c>
      <c r="C461" s="672" t="s">
        <v>791</v>
      </c>
      <c r="D461" s="673">
        <v>40594</v>
      </c>
      <c r="E461" s="674">
        <v>10</v>
      </c>
      <c r="F461" s="675">
        <v>0.1</v>
      </c>
      <c r="G461" s="676">
        <v>1</v>
      </c>
      <c r="H461" s="929">
        <v>0</v>
      </c>
      <c r="I461" s="929">
        <v>0</v>
      </c>
      <c r="J461" s="689">
        <f t="shared" si="8"/>
        <v>1</v>
      </c>
    </row>
    <row r="462" spans="1:10" ht="12.75" customHeight="1" x14ac:dyDescent="0.2">
      <c r="A462" s="681" t="s">
        <v>2370</v>
      </c>
      <c r="B462" s="693" t="s">
        <v>3031</v>
      </c>
      <c r="C462" s="672" t="s">
        <v>791</v>
      </c>
      <c r="D462" s="673">
        <v>40594</v>
      </c>
      <c r="E462" s="674">
        <v>10</v>
      </c>
      <c r="F462" s="675">
        <v>0.1</v>
      </c>
      <c r="G462" s="676">
        <v>1</v>
      </c>
      <c r="H462" s="929">
        <v>0</v>
      </c>
      <c r="I462" s="929">
        <v>0</v>
      </c>
      <c r="J462" s="689">
        <f t="shared" si="8"/>
        <v>1</v>
      </c>
    </row>
    <row r="463" spans="1:10" ht="12.75" customHeight="1" x14ac:dyDescent="0.2">
      <c r="A463" s="681" t="s">
        <v>2370</v>
      </c>
      <c r="B463" s="693" t="s">
        <v>3032</v>
      </c>
      <c r="C463" s="672" t="s">
        <v>791</v>
      </c>
      <c r="D463" s="673">
        <v>40594</v>
      </c>
      <c r="E463" s="674">
        <v>10</v>
      </c>
      <c r="F463" s="675">
        <v>0.1</v>
      </c>
      <c r="G463" s="676">
        <v>1</v>
      </c>
      <c r="H463" s="929">
        <v>0</v>
      </c>
      <c r="I463" s="929">
        <v>0</v>
      </c>
      <c r="J463" s="689">
        <f t="shared" si="8"/>
        <v>1</v>
      </c>
    </row>
    <row r="464" spans="1:10" ht="12.75" customHeight="1" x14ac:dyDescent="0.2">
      <c r="A464" s="681" t="s">
        <v>2370</v>
      </c>
      <c r="B464" s="693" t="s">
        <v>3033</v>
      </c>
      <c r="C464" s="672" t="s">
        <v>787</v>
      </c>
      <c r="D464" s="673">
        <v>40594</v>
      </c>
      <c r="E464" s="674">
        <v>10</v>
      </c>
      <c r="F464" s="675">
        <v>0.1</v>
      </c>
      <c r="G464" s="676">
        <v>1</v>
      </c>
      <c r="H464" s="929">
        <v>0</v>
      </c>
      <c r="I464" s="929">
        <v>0</v>
      </c>
      <c r="J464" s="689">
        <f t="shared" si="8"/>
        <v>1</v>
      </c>
    </row>
    <row r="465" spans="1:10" ht="12.75" customHeight="1" x14ac:dyDescent="0.2">
      <c r="A465" s="681" t="s">
        <v>2370</v>
      </c>
      <c r="B465" s="693" t="s">
        <v>3034</v>
      </c>
      <c r="C465" s="672" t="s">
        <v>795</v>
      </c>
      <c r="D465" s="673">
        <v>40594</v>
      </c>
      <c r="E465" s="674">
        <v>10</v>
      </c>
      <c r="F465" s="675">
        <v>0.1</v>
      </c>
      <c r="G465" s="676">
        <v>1</v>
      </c>
      <c r="H465" s="929">
        <v>0</v>
      </c>
      <c r="I465" s="929">
        <v>0</v>
      </c>
      <c r="J465" s="689">
        <f t="shared" si="8"/>
        <v>1</v>
      </c>
    </row>
    <row r="466" spans="1:10" ht="12.75" customHeight="1" x14ac:dyDescent="0.2">
      <c r="A466" s="681" t="s">
        <v>2370</v>
      </c>
      <c r="B466" s="693" t="s">
        <v>3035</v>
      </c>
      <c r="C466" s="672" t="s">
        <v>785</v>
      </c>
      <c r="D466" s="673">
        <v>40594</v>
      </c>
      <c r="E466" s="674">
        <v>10</v>
      </c>
      <c r="F466" s="675">
        <v>0.1</v>
      </c>
      <c r="G466" s="676">
        <v>1</v>
      </c>
      <c r="H466" s="929">
        <v>0</v>
      </c>
      <c r="I466" s="929">
        <v>0</v>
      </c>
      <c r="J466" s="689">
        <f t="shared" si="8"/>
        <v>1</v>
      </c>
    </row>
    <row r="467" spans="1:10" ht="12.75" customHeight="1" x14ac:dyDescent="0.2">
      <c r="A467" s="681" t="s">
        <v>2370</v>
      </c>
      <c r="B467" s="693" t="s">
        <v>3036</v>
      </c>
      <c r="C467" s="672" t="s">
        <v>786</v>
      </c>
      <c r="D467" s="673">
        <v>40594</v>
      </c>
      <c r="E467" s="674">
        <v>10</v>
      </c>
      <c r="F467" s="675">
        <v>0.1</v>
      </c>
      <c r="G467" s="676">
        <v>1</v>
      </c>
      <c r="H467" s="929">
        <v>0</v>
      </c>
      <c r="I467" s="929">
        <v>0</v>
      </c>
      <c r="J467" s="689">
        <f t="shared" si="8"/>
        <v>1</v>
      </c>
    </row>
    <row r="468" spans="1:10" ht="12.75" customHeight="1" x14ac:dyDescent="0.2">
      <c r="A468" s="681" t="s">
        <v>2370</v>
      </c>
      <c r="B468" s="693" t="s">
        <v>3037</v>
      </c>
      <c r="C468" s="672" t="s">
        <v>795</v>
      </c>
      <c r="D468" s="673">
        <v>40594</v>
      </c>
      <c r="E468" s="674">
        <v>10</v>
      </c>
      <c r="F468" s="675">
        <v>0.1</v>
      </c>
      <c r="G468" s="676">
        <v>1</v>
      </c>
      <c r="H468" s="929">
        <v>0</v>
      </c>
      <c r="I468" s="929">
        <v>0</v>
      </c>
      <c r="J468" s="689">
        <f t="shared" si="8"/>
        <v>1</v>
      </c>
    </row>
    <row r="469" spans="1:10" ht="12.75" customHeight="1" x14ac:dyDescent="0.2">
      <c r="A469" s="681" t="s">
        <v>2370</v>
      </c>
      <c r="B469" s="693" t="s">
        <v>3038</v>
      </c>
      <c r="C469" s="672" t="s">
        <v>806</v>
      </c>
      <c r="D469" s="673">
        <v>40594</v>
      </c>
      <c r="E469" s="674">
        <v>10</v>
      </c>
      <c r="F469" s="675">
        <v>0.1</v>
      </c>
      <c r="G469" s="676">
        <v>1</v>
      </c>
      <c r="H469" s="929">
        <v>0</v>
      </c>
      <c r="I469" s="929">
        <v>0</v>
      </c>
      <c r="J469" s="689">
        <f t="shared" si="8"/>
        <v>1</v>
      </c>
    </row>
    <row r="470" spans="1:10" ht="12.75" customHeight="1" x14ac:dyDescent="0.2">
      <c r="A470" s="681" t="s">
        <v>2370</v>
      </c>
      <c r="B470" s="693" t="s">
        <v>3039</v>
      </c>
      <c r="C470" s="672" t="s">
        <v>790</v>
      </c>
      <c r="D470" s="673">
        <v>40594</v>
      </c>
      <c r="E470" s="674">
        <v>10</v>
      </c>
      <c r="F470" s="675">
        <v>0.1</v>
      </c>
      <c r="G470" s="676">
        <v>1</v>
      </c>
      <c r="H470" s="929">
        <v>0</v>
      </c>
      <c r="I470" s="929">
        <v>0</v>
      </c>
      <c r="J470" s="689">
        <f t="shared" si="8"/>
        <v>1</v>
      </c>
    </row>
    <row r="471" spans="1:10" ht="12.75" customHeight="1" x14ac:dyDescent="0.2">
      <c r="A471" s="681" t="s">
        <v>2370</v>
      </c>
      <c r="B471" s="693" t="s">
        <v>3040</v>
      </c>
      <c r="C471" s="672" t="s">
        <v>790</v>
      </c>
      <c r="D471" s="673">
        <v>40594</v>
      </c>
      <c r="E471" s="674">
        <v>10</v>
      </c>
      <c r="F471" s="675">
        <v>0.1</v>
      </c>
      <c r="G471" s="676">
        <v>1</v>
      </c>
      <c r="H471" s="929">
        <v>0</v>
      </c>
      <c r="I471" s="929">
        <v>0</v>
      </c>
      <c r="J471" s="689">
        <f t="shared" si="8"/>
        <v>1</v>
      </c>
    </row>
    <row r="472" spans="1:10" ht="12.75" customHeight="1" x14ac:dyDescent="0.2">
      <c r="A472" s="681" t="s">
        <v>2370</v>
      </c>
      <c r="B472" s="693" t="s">
        <v>3041</v>
      </c>
      <c r="C472" s="672" t="s">
        <v>803</v>
      </c>
      <c r="D472" s="673">
        <v>40594</v>
      </c>
      <c r="E472" s="674">
        <v>10</v>
      </c>
      <c r="F472" s="675">
        <v>0.1</v>
      </c>
      <c r="G472" s="676">
        <v>1</v>
      </c>
      <c r="H472" s="929">
        <v>0</v>
      </c>
      <c r="I472" s="929">
        <v>0</v>
      </c>
      <c r="J472" s="689">
        <f t="shared" si="8"/>
        <v>1</v>
      </c>
    </row>
    <row r="473" spans="1:10" ht="12.75" customHeight="1" x14ac:dyDescent="0.2">
      <c r="A473" s="681" t="s">
        <v>2370</v>
      </c>
      <c r="B473" s="693" t="s">
        <v>3042</v>
      </c>
      <c r="C473" s="672" t="s">
        <v>785</v>
      </c>
      <c r="D473" s="673">
        <v>40594</v>
      </c>
      <c r="E473" s="674">
        <v>10</v>
      </c>
      <c r="F473" s="675">
        <v>0.1</v>
      </c>
      <c r="G473" s="676">
        <v>1</v>
      </c>
      <c r="H473" s="929">
        <v>0</v>
      </c>
      <c r="I473" s="929">
        <v>0</v>
      </c>
      <c r="J473" s="689">
        <f t="shared" si="8"/>
        <v>1</v>
      </c>
    </row>
    <row r="474" spans="1:10" ht="12.75" customHeight="1" x14ac:dyDescent="0.2">
      <c r="A474" s="681" t="s">
        <v>2370</v>
      </c>
      <c r="B474" s="693" t="s">
        <v>3043</v>
      </c>
      <c r="C474" s="672" t="s">
        <v>785</v>
      </c>
      <c r="D474" s="673">
        <v>40594</v>
      </c>
      <c r="E474" s="674">
        <v>10</v>
      </c>
      <c r="F474" s="675">
        <v>0.1</v>
      </c>
      <c r="G474" s="676">
        <v>1</v>
      </c>
      <c r="H474" s="929">
        <v>0</v>
      </c>
      <c r="I474" s="929">
        <v>0</v>
      </c>
      <c r="J474" s="689">
        <f t="shared" si="8"/>
        <v>1</v>
      </c>
    </row>
    <row r="475" spans="1:10" ht="12.75" customHeight="1" x14ac:dyDescent="0.2">
      <c r="A475" s="681" t="s">
        <v>2370</v>
      </c>
      <c r="B475" s="693" t="s">
        <v>3044</v>
      </c>
      <c r="C475" s="672" t="s">
        <v>785</v>
      </c>
      <c r="D475" s="673">
        <v>40594</v>
      </c>
      <c r="E475" s="674">
        <v>10</v>
      </c>
      <c r="F475" s="675">
        <v>0.1</v>
      </c>
      <c r="G475" s="676">
        <v>1</v>
      </c>
      <c r="H475" s="929">
        <v>0</v>
      </c>
      <c r="I475" s="929">
        <v>0</v>
      </c>
      <c r="J475" s="689">
        <f t="shared" si="8"/>
        <v>1</v>
      </c>
    </row>
    <row r="476" spans="1:10" ht="12.75" customHeight="1" x14ac:dyDescent="0.2">
      <c r="A476" s="681" t="s">
        <v>2370</v>
      </c>
      <c r="B476" s="693" t="s">
        <v>3045</v>
      </c>
      <c r="C476" s="672" t="s">
        <v>785</v>
      </c>
      <c r="D476" s="673">
        <v>40594</v>
      </c>
      <c r="E476" s="674">
        <v>10</v>
      </c>
      <c r="F476" s="675">
        <v>0.1</v>
      </c>
      <c r="G476" s="676">
        <v>1</v>
      </c>
      <c r="H476" s="929">
        <v>0</v>
      </c>
      <c r="I476" s="929">
        <v>0</v>
      </c>
      <c r="J476" s="689">
        <f t="shared" si="8"/>
        <v>1</v>
      </c>
    </row>
    <row r="477" spans="1:10" ht="12.75" customHeight="1" x14ac:dyDescent="0.2">
      <c r="A477" s="681" t="s">
        <v>2370</v>
      </c>
      <c r="B477" s="693" t="s">
        <v>3046</v>
      </c>
      <c r="C477" s="672" t="s">
        <v>785</v>
      </c>
      <c r="D477" s="673">
        <v>40594</v>
      </c>
      <c r="E477" s="674">
        <v>10</v>
      </c>
      <c r="F477" s="675">
        <v>0.1</v>
      </c>
      <c r="G477" s="676">
        <v>1</v>
      </c>
      <c r="H477" s="929">
        <v>0</v>
      </c>
      <c r="I477" s="929">
        <v>0</v>
      </c>
      <c r="J477" s="689">
        <f t="shared" si="8"/>
        <v>1</v>
      </c>
    </row>
    <row r="478" spans="1:10" ht="12.75" customHeight="1" x14ac:dyDescent="0.2">
      <c r="A478" s="681" t="s">
        <v>2370</v>
      </c>
      <c r="B478" s="693" t="s">
        <v>3047</v>
      </c>
      <c r="C478" s="672" t="s">
        <v>785</v>
      </c>
      <c r="D478" s="673">
        <v>40594</v>
      </c>
      <c r="E478" s="674">
        <v>10</v>
      </c>
      <c r="F478" s="675">
        <v>0.1</v>
      </c>
      <c r="G478" s="676">
        <v>1</v>
      </c>
      <c r="H478" s="929">
        <v>0</v>
      </c>
      <c r="I478" s="929">
        <v>0</v>
      </c>
      <c r="J478" s="689">
        <f t="shared" si="8"/>
        <v>1</v>
      </c>
    </row>
    <row r="479" spans="1:10" ht="12.75" customHeight="1" x14ac:dyDescent="0.2">
      <c r="A479" s="681" t="s">
        <v>2370</v>
      </c>
      <c r="B479" s="693" t="s">
        <v>3048</v>
      </c>
      <c r="C479" s="672" t="s">
        <v>790</v>
      </c>
      <c r="D479" s="673">
        <v>40594</v>
      </c>
      <c r="E479" s="674">
        <v>10</v>
      </c>
      <c r="F479" s="675">
        <v>0.1</v>
      </c>
      <c r="G479" s="676">
        <v>1</v>
      </c>
      <c r="H479" s="929">
        <v>0</v>
      </c>
      <c r="I479" s="929">
        <v>0</v>
      </c>
      <c r="J479" s="689">
        <f t="shared" si="8"/>
        <v>1</v>
      </c>
    </row>
    <row r="480" spans="1:10" ht="12.75" customHeight="1" x14ac:dyDescent="0.2">
      <c r="A480" s="681" t="s">
        <v>2370</v>
      </c>
      <c r="B480" s="693" t="s">
        <v>3049</v>
      </c>
      <c r="C480" s="672" t="s">
        <v>787</v>
      </c>
      <c r="D480" s="673">
        <v>40594</v>
      </c>
      <c r="E480" s="674">
        <v>10</v>
      </c>
      <c r="F480" s="675">
        <v>0.1</v>
      </c>
      <c r="G480" s="676">
        <v>1</v>
      </c>
      <c r="H480" s="929">
        <v>0</v>
      </c>
      <c r="I480" s="929">
        <v>0</v>
      </c>
      <c r="J480" s="689">
        <f t="shared" si="8"/>
        <v>1</v>
      </c>
    </row>
    <row r="481" spans="1:10" ht="12.75" customHeight="1" x14ac:dyDescent="0.2">
      <c r="A481" s="681" t="s">
        <v>2370</v>
      </c>
      <c r="B481" s="693" t="s">
        <v>3050</v>
      </c>
      <c r="C481" s="672" t="s">
        <v>785</v>
      </c>
      <c r="D481" s="673">
        <v>40594</v>
      </c>
      <c r="E481" s="674">
        <v>10</v>
      </c>
      <c r="F481" s="675">
        <v>0.1</v>
      </c>
      <c r="G481" s="676">
        <v>1</v>
      </c>
      <c r="H481" s="929">
        <v>0</v>
      </c>
      <c r="I481" s="929">
        <v>0</v>
      </c>
      <c r="J481" s="689">
        <f t="shared" si="8"/>
        <v>1</v>
      </c>
    </row>
    <row r="482" spans="1:10" ht="12.75" customHeight="1" x14ac:dyDescent="0.2">
      <c r="A482" s="681" t="s">
        <v>2370</v>
      </c>
      <c r="B482" s="693" t="s">
        <v>3051</v>
      </c>
      <c r="C482" s="672" t="s">
        <v>785</v>
      </c>
      <c r="D482" s="673">
        <v>40594</v>
      </c>
      <c r="E482" s="674">
        <v>10</v>
      </c>
      <c r="F482" s="675">
        <v>0.1</v>
      </c>
      <c r="G482" s="676">
        <v>1</v>
      </c>
      <c r="H482" s="929">
        <v>0</v>
      </c>
      <c r="I482" s="929">
        <v>0</v>
      </c>
      <c r="J482" s="689">
        <f t="shared" si="8"/>
        <v>1</v>
      </c>
    </row>
    <row r="483" spans="1:10" ht="12.75" customHeight="1" x14ac:dyDescent="0.2">
      <c r="A483" s="681" t="s">
        <v>2370</v>
      </c>
      <c r="B483" s="693" t="s">
        <v>3052</v>
      </c>
      <c r="C483" s="672" t="s">
        <v>785</v>
      </c>
      <c r="D483" s="673">
        <v>40594</v>
      </c>
      <c r="E483" s="674">
        <v>10</v>
      </c>
      <c r="F483" s="675">
        <v>0.1</v>
      </c>
      <c r="G483" s="676">
        <v>1</v>
      </c>
      <c r="H483" s="929">
        <v>0</v>
      </c>
      <c r="I483" s="929">
        <v>0</v>
      </c>
      <c r="J483" s="689">
        <f t="shared" si="8"/>
        <v>1</v>
      </c>
    </row>
    <row r="484" spans="1:10" ht="12.75" customHeight="1" x14ac:dyDescent="0.2">
      <c r="A484" s="681" t="s">
        <v>2370</v>
      </c>
      <c r="B484" s="693" t="s">
        <v>3053</v>
      </c>
      <c r="C484" s="672" t="s">
        <v>795</v>
      </c>
      <c r="D484" s="673">
        <v>38037</v>
      </c>
      <c r="E484" s="674">
        <v>10</v>
      </c>
      <c r="F484" s="675">
        <v>0.1</v>
      </c>
      <c r="G484" s="676">
        <v>1</v>
      </c>
      <c r="H484" s="929">
        <v>0</v>
      </c>
      <c r="I484" s="929">
        <v>0</v>
      </c>
      <c r="J484" s="689">
        <f t="shared" si="8"/>
        <v>1</v>
      </c>
    </row>
    <row r="485" spans="1:10" ht="12.75" customHeight="1" x14ac:dyDescent="0.2">
      <c r="A485" s="681" t="s">
        <v>2370</v>
      </c>
      <c r="B485" s="693" t="s">
        <v>3054</v>
      </c>
      <c r="C485" s="672" t="s">
        <v>795</v>
      </c>
      <c r="D485" s="673">
        <v>39498</v>
      </c>
      <c r="E485" s="674">
        <v>10</v>
      </c>
      <c r="F485" s="675">
        <v>0.1</v>
      </c>
      <c r="G485" s="676">
        <v>1</v>
      </c>
      <c r="H485" s="929">
        <v>0</v>
      </c>
      <c r="I485" s="929">
        <v>0</v>
      </c>
      <c r="J485" s="689">
        <f t="shared" si="8"/>
        <v>1</v>
      </c>
    </row>
    <row r="486" spans="1:10" ht="12.75" customHeight="1" x14ac:dyDescent="0.2">
      <c r="A486" s="681" t="s">
        <v>2370</v>
      </c>
      <c r="B486" s="693" t="s">
        <v>3055</v>
      </c>
      <c r="C486" s="672" t="s">
        <v>787</v>
      </c>
      <c r="D486" s="673">
        <v>40594</v>
      </c>
      <c r="E486" s="674">
        <v>10</v>
      </c>
      <c r="F486" s="675">
        <v>0.1</v>
      </c>
      <c r="G486" s="676">
        <v>1</v>
      </c>
      <c r="H486" s="929">
        <v>0</v>
      </c>
      <c r="I486" s="929">
        <v>0</v>
      </c>
      <c r="J486" s="689">
        <f t="shared" si="8"/>
        <v>1</v>
      </c>
    </row>
    <row r="487" spans="1:10" ht="12.75" customHeight="1" x14ac:dyDescent="0.2">
      <c r="A487" s="681" t="s">
        <v>2370</v>
      </c>
      <c r="B487" s="693" t="s">
        <v>3056</v>
      </c>
      <c r="C487" s="672" t="s">
        <v>785</v>
      </c>
      <c r="D487" s="673">
        <v>39864</v>
      </c>
      <c r="E487" s="674">
        <v>10</v>
      </c>
      <c r="F487" s="675">
        <v>0.1</v>
      </c>
      <c r="G487" s="676">
        <v>1</v>
      </c>
      <c r="H487" s="929">
        <v>0</v>
      </c>
      <c r="I487" s="929">
        <v>0</v>
      </c>
      <c r="J487" s="689">
        <f t="shared" si="8"/>
        <v>1</v>
      </c>
    </row>
    <row r="488" spans="1:10" ht="12.75" customHeight="1" x14ac:dyDescent="0.2">
      <c r="A488" s="681" t="s">
        <v>2370</v>
      </c>
      <c r="B488" s="693" t="s">
        <v>3057</v>
      </c>
      <c r="C488" s="672" t="s">
        <v>788</v>
      </c>
      <c r="D488" s="673">
        <v>38037</v>
      </c>
      <c r="E488" s="674">
        <v>10</v>
      </c>
      <c r="F488" s="675">
        <v>0.1</v>
      </c>
      <c r="G488" s="676">
        <v>1</v>
      </c>
      <c r="H488" s="929">
        <v>0</v>
      </c>
      <c r="I488" s="929">
        <v>0</v>
      </c>
      <c r="J488" s="689">
        <f t="shared" si="8"/>
        <v>1</v>
      </c>
    </row>
    <row r="489" spans="1:10" ht="12.75" customHeight="1" x14ac:dyDescent="0.2">
      <c r="A489" s="681" t="s">
        <v>2370</v>
      </c>
      <c r="B489" s="693" t="s">
        <v>3058</v>
      </c>
      <c r="C489" s="672" t="s">
        <v>787</v>
      </c>
      <c r="D489" s="673">
        <v>40594</v>
      </c>
      <c r="E489" s="674">
        <v>10</v>
      </c>
      <c r="F489" s="675">
        <v>0.1</v>
      </c>
      <c r="G489" s="676">
        <v>1</v>
      </c>
      <c r="H489" s="929">
        <v>0</v>
      </c>
      <c r="I489" s="929">
        <v>0</v>
      </c>
      <c r="J489" s="689">
        <f t="shared" si="8"/>
        <v>1</v>
      </c>
    </row>
    <row r="490" spans="1:10" ht="12.75" customHeight="1" x14ac:dyDescent="0.2">
      <c r="A490" s="681" t="s">
        <v>2370</v>
      </c>
      <c r="B490" s="693" t="s">
        <v>3059</v>
      </c>
      <c r="C490" s="672" t="s">
        <v>787</v>
      </c>
      <c r="D490" s="673">
        <v>40594</v>
      </c>
      <c r="E490" s="674">
        <v>10</v>
      </c>
      <c r="F490" s="675">
        <v>0.1</v>
      </c>
      <c r="G490" s="676">
        <v>1</v>
      </c>
      <c r="H490" s="929">
        <v>0</v>
      </c>
      <c r="I490" s="929">
        <v>0</v>
      </c>
      <c r="J490" s="689">
        <f t="shared" si="8"/>
        <v>1</v>
      </c>
    </row>
    <row r="491" spans="1:10" ht="12.75" customHeight="1" x14ac:dyDescent="0.2">
      <c r="A491" s="681" t="s">
        <v>2370</v>
      </c>
      <c r="B491" s="693" t="s">
        <v>3060</v>
      </c>
      <c r="C491" s="672" t="s">
        <v>785</v>
      </c>
      <c r="D491" s="673">
        <v>40594</v>
      </c>
      <c r="E491" s="674">
        <v>10</v>
      </c>
      <c r="F491" s="675">
        <v>0.1</v>
      </c>
      <c r="G491" s="676">
        <v>1</v>
      </c>
      <c r="H491" s="929">
        <v>0</v>
      </c>
      <c r="I491" s="929">
        <v>0</v>
      </c>
      <c r="J491" s="689">
        <f t="shared" si="8"/>
        <v>1</v>
      </c>
    </row>
    <row r="492" spans="1:10" ht="12.75" customHeight="1" x14ac:dyDescent="0.2">
      <c r="A492" s="681" t="s">
        <v>2370</v>
      </c>
      <c r="B492" s="693" t="s">
        <v>3061</v>
      </c>
      <c r="C492" s="672" t="s">
        <v>785</v>
      </c>
      <c r="D492" s="673">
        <v>40594</v>
      </c>
      <c r="E492" s="674">
        <v>10</v>
      </c>
      <c r="F492" s="675">
        <v>0.1</v>
      </c>
      <c r="G492" s="676">
        <v>1</v>
      </c>
      <c r="H492" s="929">
        <v>0</v>
      </c>
      <c r="I492" s="929">
        <v>0</v>
      </c>
      <c r="J492" s="689">
        <f t="shared" si="8"/>
        <v>1</v>
      </c>
    </row>
    <row r="493" spans="1:10" ht="12.75" customHeight="1" x14ac:dyDescent="0.2">
      <c r="A493" s="681" t="s">
        <v>2370</v>
      </c>
      <c r="B493" s="693" t="s">
        <v>3062</v>
      </c>
      <c r="C493" s="672" t="s">
        <v>785</v>
      </c>
      <c r="D493" s="673">
        <v>40594</v>
      </c>
      <c r="E493" s="674">
        <v>10</v>
      </c>
      <c r="F493" s="675">
        <v>0.1</v>
      </c>
      <c r="G493" s="676">
        <v>1</v>
      </c>
      <c r="H493" s="929">
        <v>0</v>
      </c>
      <c r="I493" s="929">
        <v>0</v>
      </c>
      <c r="J493" s="689">
        <f t="shared" si="8"/>
        <v>1</v>
      </c>
    </row>
    <row r="494" spans="1:10" ht="12.75" customHeight="1" x14ac:dyDescent="0.2">
      <c r="A494" s="681" t="s">
        <v>2370</v>
      </c>
      <c r="B494" s="693" t="s">
        <v>3063</v>
      </c>
      <c r="C494" s="672" t="s">
        <v>791</v>
      </c>
      <c r="D494" s="673">
        <v>40594</v>
      </c>
      <c r="E494" s="674">
        <v>10</v>
      </c>
      <c r="F494" s="675">
        <v>0.1</v>
      </c>
      <c r="G494" s="676">
        <v>1</v>
      </c>
      <c r="H494" s="929">
        <v>0</v>
      </c>
      <c r="I494" s="929">
        <v>0</v>
      </c>
      <c r="J494" s="689">
        <f t="shared" si="8"/>
        <v>1</v>
      </c>
    </row>
    <row r="495" spans="1:10" ht="12.75" customHeight="1" x14ac:dyDescent="0.2">
      <c r="A495" s="681" t="s">
        <v>2370</v>
      </c>
      <c r="B495" s="693" t="s">
        <v>3064</v>
      </c>
      <c r="C495" s="672" t="s">
        <v>787</v>
      </c>
      <c r="D495" s="673">
        <v>40594</v>
      </c>
      <c r="E495" s="674">
        <v>10</v>
      </c>
      <c r="F495" s="675">
        <v>0.1</v>
      </c>
      <c r="G495" s="676">
        <v>1</v>
      </c>
      <c r="H495" s="929">
        <v>0</v>
      </c>
      <c r="I495" s="929">
        <v>0</v>
      </c>
      <c r="J495" s="689">
        <f t="shared" si="8"/>
        <v>1</v>
      </c>
    </row>
    <row r="496" spans="1:10" ht="12.75" customHeight="1" x14ac:dyDescent="0.2">
      <c r="A496" s="681" t="s">
        <v>2370</v>
      </c>
      <c r="B496" s="693" t="s">
        <v>3065</v>
      </c>
      <c r="C496" s="672" t="s">
        <v>787</v>
      </c>
      <c r="D496" s="673">
        <v>40594</v>
      </c>
      <c r="E496" s="674">
        <v>10</v>
      </c>
      <c r="F496" s="675">
        <v>0.1</v>
      </c>
      <c r="G496" s="676">
        <v>1</v>
      </c>
      <c r="H496" s="929">
        <v>0</v>
      </c>
      <c r="I496" s="929">
        <v>0</v>
      </c>
      <c r="J496" s="689">
        <f t="shared" si="8"/>
        <v>1</v>
      </c>
    </row>
    <row r="497" spans="1:10" ht="12.75" customHeight="1" x14ac:dyDescent="0.2">
      <c r="A497" s="681" t="s">
        <v>2370</v>
      </c>
      <c r="B497" s="693" t="s">
        <v>3066</v>
      </c>
      <c r="C497" s="672" t="s">
        <v>787</v>
      </c>
      <c r="D497" s="673">
        <v>40594</v>
      </c>
      <c r="E497" s="674">
        <v>10</v>
      </c>
      <c r="F497" s="675">
        <v>0.1</v>
      </c>
      <c r="G497" s="676">
        <v>1</v>
      </c>
      <c r="H497" s="929">
        <v>0</v>
      </c>
      <c r="I497" s="929">
        <v>0</v>
      </c>
      <c r="J497" s="689">
        <f t="shared" si="8"/>
        <v>1</v>
      </c>
    </row>
    <row r="498" spans="1:10" ht="12.75" customHeight="1" x14ac:dyDescent="0.2">
      <c r="A498" s="681" t="s">
        <v>2370</v>
      </c>
      <c r="B498" s="693" t="s">
        <v>3067</v>
      </c>
      <c r="C498" s="672" t="s">
        <v>785</v>
      </c>
      <c r="D498" s="673">
        <v>40594</v>
      </c>
      <c r="E498" s="674">
        <v>10</v>
      </c>
      <c r="F498" s="675">
        <v>0.1</v>
      </c>
      <c r="G498" s="676">
        <v>1</v>
      </c>
      <c r="H498" s="929">
        <v>0</v>
      </c>
      <c r="I498" s="929">
        <v>0</v>
      </c>
      <c r="J498" s="689">
        <f t="shared" si="8"/>
        <v>1</v>
      </c>
    </row>
    <row r="499" spans="1:10" ht="12.75" customHeight="1" x14ac:dyDescent="0.2">
      <c r="A499" s="681" t="s">
        <v>2370</v>
      </c>
      <c r="B499" s="693" t="s">
        <v>3068</v>
      </c>
      <c r="C499" s="672" t="s">
        <v>785</v>
      </c>
      <c r="D499" s="673">
        <v>40594</v>
      </c>
      <c r="E499" s="674">
        <v>10</v>
      </c>
      <c r="F499" s="675">
        <v>0.1</v>
      </c>
      <c r="G499" s="676">
        <v>1</v>
      </c>
      <c r="H499" s="929">
        <v>0</v>
      </c>
      <c r="I499" s="929">
        <v>0</v>
      </c>
      <c r="J499" s="689">
        <f t="shared" si="8"/>
        <v>1</v>
      </c>
    </row>
    <row r="500" spans="1:10" ht="12.75" customHeight="1" x14ac:dyDescent="0.2">
      <c r="A500" s="681" t="s">
        <v>2370</v>
      </c>
      <c r="B500" s="693" t="s">
        <v>3069</v>
      </c>
      <c r="C500" s="672" t="s">
        <v>785</v>
      </c>
      <c r="D500" s="673">
        <v>40594</v>
      </c>
      <c r="E500" s="674">
        <v>10</v>
      </c>
      <c r="F500" s="675">
        <v>0.1</v>
      </c>
      <c r="G500" s="676">
        <v>1</v>
      </c>
      <c r="H500" s="929">
        <v>0</v>
      </c>
      <c r="I500" s="929">
        <v>0</v>
      </c>
      <c r="J500" s="689">
        <f t="shared" si="8"/>
        <v>1</v>
      </c>
    </row>
    <row r="501" spans="1:10" ht="12.75" customHeight="1" x14ac:dyDescent="0.2">
      <c r="A501" s="681" t="s">
        <v>2370</v>
      </c>
      <c r="B501" s="693" t="s">
        <v>3070</v>
      </c>
      <c r="C501" s="672" t="s">
        <v>785</v>
      </c>
      <c r="D501" s="673">
        <v>40594</v>
      </c>
      <c r="E501" s="674">
        <v>10</v>
      </c>
      <c r="F501" s="675">
        <v>0.1</v>
      </c>
      <c r="G501" s="676">
        <v>1</v>
      </c>
      <c r="H501" s="929">
        <v>0</v>
      </c>
      <c r="I501" s="929">
        <v>0</v>
      </c>
      <c r="J501" s="689">
        <f t="shared" si="8"/>
        <v>1</v>
      </c>
    </row>
    <row r="502" spans="1:10" ht="12.75" customHeight="1" x14ac:dyDescent="0.2">
      <c r="A502" s="681" t="s">
        <v>2370</v>
      </c>
      <c r="B502" s="693" t="s">
        <v>3071</v>
      </c>
      <c r="C502" s="672" t="s">
        <v>785</v>
      </c>
      <c r="D502" s="673">
        <v>40594</v>
      </c>
      <c r="E502" s="674">
        <v>10</v>
      </c>
      <c r="F502" s="675">
        <v>0.1</v>
      </c>
      <c r="G502" s="676">
        <v>1</v>
      </c>
      <c r="H502" s="929">
        <v>0</v>
      </c>
      <c r="I502" s="929">
        <v>0</v>
      </c>
      <c r="J502" s="689">
        <f t="shared" si="8"/>
        <v>1</v>
      </c>
    </row>
    <row r="503" spans="1:10" ht="12.75" customHeight="1" x14ac:dyDescent="0.2">
      <c r="A503" s="681" t="s">
        <v>2370</v>
      </c>
      <c r="B503" s="693" t="s">
        <v>3072</v>
      </c>
      <c r="C503" s="672" t="s">
        <v>788</v>
      </c>
      <c r="D503" s="673">
        <v>38403</v>
      </c>
      <c r="E503" s="674">
        <v>10</v>
      </c>
      <c r="F503" s="675">
        <v>0.1</v>
      </c>
      <c r="G503" s="676">
        <v>1</v>
      </c>
      <c r="H503" s="929">
        <v>0</v>
      </c>
      <c r="I503" s="929">
        <v>0</v>
      </c>
      <c r="J503" s="689">
        <f t="shared" si="8"/>
        <v>1</v>
      </c>
    </row>
    <row r="504" spans="1:10" ht="12.75" customHeight="1" x14ac:dyDescent="0.2">
      <c r="A504" s="681" t="s">
        <v>2370</v>
      </c>
      <c r="B504" s="693" t="s">
        <v>3073</v>
      </c>
      <c r="C504" s="672" t="s">
        <v>788</v>
      </c>
      <c r="D504" s="673">
        <v>38403</v>
      </c>
      <c r="E504" s="674">
        <v>10</v>
      </c>
      <c r="F504" s="675">
        <v>0.1</v>
      </c>
      <c r="G504" s="676">
        <v>1</v>
      </c>
      <c r="H504" s="929">
        <v>0</v>
      </c>
      <c r="I504" s="929">
        <v>0</v>
      </c>
      <c r="J504" s="689">
        <f t="shared" si="8"/>
        <v>1</v>
      </c>
    </row>
    <row r="505" spans="1:10" ht="12.75" customHeight="1" x14ac:dyDescent="0.2">
      <c r="A505" s="681" t="s">
        <v>2370</v>
      </c>
      <c r="B505" s="693" t="s">
        <v>3074</v>
      </c>
      <c r="C505" s="672" t="s">
        <v>791</v>
      </c>
      <c r="D505" s="673">
        <v>40594</v>
      </c>
      <c r="E505" s="674">
        <v>10</v>
      </c>
      <c r="F505" s="675">
        <v>0.1</v>
      </c>
      <c r="G505" s="676">
        <v>1</v>
      </c>
      <c r="H505" s="929">
        <v>0</v>
      </c>
      <c r="I505" s="929">
        <v>0</v>
      </c>
      <c r="J505" s="689">
        <f t="shared" si="8"/>
        <v>1</v>
      </c>
    </row>
    <row r="506" spans="1:10" ht="12.75" customHeight="1" x14ac:dyDescent="0.2">
      <c r="A506" s="681" t="s">
        <v>2370</v>
      </c>
      <c r="B506" s="693" t="s">
        <v>3075</v>
      </c>
      <c r="C506" s="672" t="s">
        <v>787</v>
      </c>
      <c r="D506" s="673">
        <v>40594</v>
      </c>
      <c r="E506" s="674">
        <v>10</v>
      </c>
      <c r="F506" s="675">
        <v>0.1</v>
      </c>
      <c r="G506" s="676">
        <v>1</v>
      </c>
      <c r="H506" s="929">
        <v>0</v>
      </c>
      <c r="I506" s="929">
        <v>0</v>
      </c>
      <c r="J506" s="689">
        <f t="shared" si="8"/>
        <v>1</v>
      </c>
    </row>
    <row r="507" spans="1:10" ht="12.75" customHeight="1" x14ac:dyDescent="0.2">
      <c r="A507" s="681" t="s">
        <v>2370</v>
      </c>
      <c r="B507" s="693" t="s">
        <v>3076</v>
      </c>
      <c r="C507" s="672" t="s">
        <v>785</v>
      </c>
      <c r="D507" s="673">
        <v>40594</v>
      </c>
      <c r="E507" s="674">
        <v>10</v>
      </c>
      <c r="F507" s="675">
        <v>0.1</v>
      </c>
      <c r="G507" s="676">
        <v>1</v>
      </c>
      <c r="H507" s="929">
        <v>0</v>
      </c>
      <c r="I507" s="929">
        <v>0</v>
      </c>
      <c r="J507" s="689">
        <f t="shared" si="8"/>
        <v>1</v>
      </c>
    </row>
    <row r="508" spans="1:10" ht="12.75" customHeight="1" x14ac:dyDescent="0.2">
      <c r="A508" s="681" t="s">
        <v>2370</v>
      </c>
      <c r="B508" s="693" t="s">
        <v>3077</v>
      </c>
      <c r="C508" s="672" t="s">
        <v>791</v>
      </c>
      <c r="D508" s="673">
        <v>40594</v>
      </c>
      <c r="E508" s="674">
        <v>10</v>
      </c>
      <c r="F508" s="675">
        <v>0.1</v>
      </c>
      <c r="G508" s="676">
        <v>1</v>
      </c>
      <c r="H508" s="929">
        <v>0</v>
      </c>
      <c r="I508" s="929">
        <v>0</v>
      </c>
      <c r="J508" s="689">
        <f t="shared" si="8"/>
        <v>1</v>
      </c>
    </row>
    <row r="509" spans="1:10" ht="12.75" customHeight="1" x14ac:dyDescent="0.2">
      <c r="A509" s="681" t="s">
        <v>2370</v>
      </c>
      <c r="B509" s="693" t="s">
        <v>3078</v>
      </c>
      <c r="C509" s="672" t="s">
        <v>791</v>
      </c>
      <c r="D509" s="673">
        <v>40594</v>
      </c>
      <c r="E509" s="674">
        <v>10</v>
      </c>
      <c r="F509" s="675">
        <v>0.1</v>
      </c>
      <c r="G509" s="676">
        <v>1</v>
      </c>
      <c r="H509" s="929">
        <v>0</v>
      </c>
      <c r="I509" s="929">
        <v>0</v>
      </c>
      <c r="J509" s="689">
        <f t="shared" si="8"/>
        <v>1</v>
      </c>
    </row>
    <row r="510" spans="1:10" ht="12.75" customHeight="1" x14ac:dyDescent="0.2">
      <c r="A510" s="681" t="s">
        <v>2370</v>
      </c>
      <c r="B510" s="693" t="s">
        <v>3079</v>
      </c>
      <c r="C510" s="672" t="s">
        <v>787</v>
      </c>
      <c r="D510" s="673">
        <v>40594</v>
      </c>
      <c r="E510" s="674">
        <v>10</v>
      </c>
      <c r="F510" s="675">
        <v>0.1</v>
      </c>
      <c r="G510" s="676">
        <v>1</v>
      </c>
      <c r="H510" s="929">
        <v>0</v>
      </c>
      <c r="I510" s="929">
        <v>0</v>
      </c>
      <c r="J510" s="689">
        <f t="shared" si="8"/>
        <v>1</v>
      </c>
    </row>
    <row r="511" spans="1:10" ht="12.75" customHeight="1" x14ac:dyDescent="0.2">
      <c r="A511" s="681" t="s">
        <v>2370</v>
      </c>
      <c r="B511" s="693" t="s">
        <v>3080</v>
      </c>
      <c r="C511" s="672" t="s">
        <v>787</v>
      </c>
      <c r="D511" s="673">
        <v>40594</v>
      </c>
      <c r="E511" s="674">
        <v>10</v>
      </c>
      <c r="F511" s="675">
        <v>0.1</v>
      </c>
      <c r="G511" s="676">
        <v>1</v>
      </c>
      <c r="H511" s="929">
        <v>0</v>
      </c>
      <c r="I511" s="929">
        <v>0</v>
      </c>
      <c r="J511" s="689">
        <f t="shared" si="8"/>
        <v>1</v>
      </c>
    </row>
    <row r="512" spans="1:10" ht="12.75" customHeight="1" x14ac:dyDescent="0.2">
      <c r="A512" s="681" t="s">
        <v>2370</v>
      </c>
      <c r="B512" s="693" t="s">
        <v>3081</v>
      </c>
      <c r="C512" s="672" t="s">
        <v>785</v>
      </c>
      <c r="D512" s="673">
        <v>40594</v>
      </c>
      <c r="E512" s="674">
        <v>10</v>
      </c>
      <c r="F512" s="675">
        <v>0.1</v>
      </c>
      <c r="G512" s="676">
        <v>1</v>
      </c>
      <c r="H512" s="929">
        <v>0</v>
      </c>
      <c r="I512" s="929">
        <v>0</v>
      </c>
      <c r="J512" s="689">
        <f t="shared" si="8"/>
        <v>1</v>
      </c>
    </row>
    <row r="513" spans="1:10" ht="12.75" customHeight="1" x14ac:dyDescent="0.2">
      <c r="A513" s="681" t="s">
        <v>2370</v>
      </c>
      <c r="B513" s="693" t="s">
        <v>3082</v>
      </c>
      <c r="C513" s="672" t="s">
        <v>785</v>
      </c>
      <c r="D513" s="673">
        <v>40594</v>
      </c>
      <c r="E513" s="674">
        <v>10</v>
      </c>
      <c r="F513" s="675">
        <v>0.1</v>
      </c>
      <c r="G513" s="676">
        <v>1</v>
      </c>
      <c r="H513" s="929">
        <v>0</v>
      </c>
      <c r="I513" s="929">
        <v>0</v>
      </c>
      <c r="J513" s="689">
        <f t="shared" si="8"/>
        <v>1</v>
      </c>
    </row>
    <row r="514" spans="1:10" ht="12.75" customHeight="1" x14ac:dyDescent="0.2">
      <c r="A514" s="681" t="s">
        <v>2370</v>
      </c>
      <c r="B514" s="693" t="s">
        <v>3083</v>
      </c>
      <c r="C514" s="672" t="s">
        <v>785</v>
      </c>
      <c r="D514" s="673">
        <v>40594</v>
      </c>
      <c r="E514" s="674">
        <v>10</v>
      </c>
      <c r="F514" s="675">
        <v>0.1</v>
      </c>
      <c r="G514" s="676">
        <v>1</v>
      </c>
      <c r="H514" s="929">
        <v>0</v>
      </c>
      <c r="I514" s="929">
        <v>0</v>
      </c>
      <c r="J514" s="689">
        <f t="shared" si="8"/>
        <v>1</v>
      </c>
    </row>
    <row r="515" spans="1:10" ht="12.75" customHeight="1" x14ac:dyDescent="0.2">
      <c r="A515" s="681" t="s">
        <v>2370</v>
      </c>
      <c r="B515" s="693" t="s">
        <v>3084</v>
      </c>
      <c r="C515" s="672" t="s">
        <v>785</v>
      </c>
      <c r="D515" s="673">
        <v>40594</v>
      </c>
      <c r="E515" s="674">
        <v>10</v>
      </c>
      <c r="F515" s="675">
        <v>0.1</v>
      </c>
      <c r="G515" s="676">
        <v>1</v>
      </c>
      <c r="H515" s="929">
        <v>0</v>
      </c>
      <c r="I515" s="929">
        <v>0</v>
      </c>
      <c r="J515" s="689">
        <f t="shared" si="8"/>
        <v>1</v>
      </c>
    </row>
    <row r="516" spans="1:10" ht="12.75" customHeight="1" x14ac:dyDescent="0.2">
      <c r="A516" s="681" t="s">
        <v>2370</v>
      </c>
      <c r="B516" s="693" t="s">
        <v>3085</v>
      </c>
      <c r="C516" s="672" t="s">
        <v>785</v>
      </c>
      <c r="D516" s="673">
        <v>40594</v>
      </c>
      <c r="E516" s="674">
        <v>10</v>
      </c>
      <c r="F516" s="675">
        <v>0.1</v>
      </c>
      <c r="G516" s="676">
        <v>1</v>
      </c>
      <c r="H516" s="929">
        <v>0</v>
      </c>
      <c r="I516" s="929">
        <v>0</v>
      </c>
      <c r="J516" s="689">
        <f t="shared" si="8"/>
        <v>1</v>
      </c>
    </row>
    <row r="517" spans="1:10" ht="12.75" customHeight="1" x14ac:dyDescent="0.2">
      <c r="A517" s="681" t="s">
        <v>2370</v>
      </c>
      <c r="B517" s="693" t="s">
        <v>3086</v>
      </c>
      <c r="C517" s="672" t="s">
        <v>785</v>
      </c>
      <c r="D517" s="673">
        <v>40594</v>
      </c>
      <c r="E517" s="674">
        <v>10</v>
      </c>
      <c r="F517" s="675">
        <v>0.1</v>
      </c>
      <c r="G517" s="676">
        <v>1</v>
      </c>
      <c r="H517" s="929">
        <v>0</v>
      </c>
      <c r="I517" s="929">
        <v>0</v>
      </c>
      <c r="J517" s="689">
        <f t="shared" si="8"/>
        <v>1</v>
      </c>
    </row>
    <row r="518" spans="1:10" ht="12.75" customHeight="1" x14ac:dyDescent="0.2">
      <c r="A518" s="681" t="s">
        <v>2370</v>
      </c>
      <c r="B518" s="693" t="s">
        <v>3087</v>
      </c>
      <c r="C518" s="672" t="s">
        <v>791</v>
      </c>
      <c r="D518" s="673">
        <v>40594</v>
      </c>
      <c r="E518" s="674">
        <v>10</v>
      </c>
      <c r="F518" s="675">
        <v>0.1</v>
      </c>
      <c r="G518" s="676">
        <v>1</v>
      </c>
      <c r="H518" s="929">
        <v>0</v>
      </c>
      <c r="I518" s="929">
        <v>0</v>
      </c>
      <c r="J518" s="689">
        <f t="shared" si="8"/>
        <v>1</v>
      </c>
    </row>
    <row r="519" spans="1:10" ht="12.75" customHeight="1" x14ac:dyDescent="0.2">
      <c r="A519" s="681" t="s">
        <v>2370</v>
      </c>
      <c r="B519" s="693" t="s">
        <v>3088</v>
      </c>
      <c r="C519" s="672" t="s">
        <v>787</v>
      </c>
      <c r="D519" s="673">
        <v>40594</v>
      </c>
      <c r="E519" s="674">
        <v>10</v>
      </c>
      <c r="F519" s="675">
        <v>0.1</v>
      </c>
      <c r="G519" s="676">
        <v>1</v>
      </c>
      <c r="H519" s="929">
        <v>0</v>
      </c>
      <c r="I519" s="929">
        <v>0</v>
      </c>
      <c r="J519" s="689">
        <f t="shared" ref="J519:J582" si="9">G519-I519</f>
        <v>1</v>
      </c>
    </row>
    <row r="520" spans="1:10" ht="12.75" customHeight="1" x14ac:dyDescent="0.2">
      <c r="A520" s="681" t="s">
        <v>2370</v>
      </c>
      <c r="B520" s="693" t="s">
        <v>3089</v>
      </c>
      <c r="C520" s="672" t="s">
        <v>787</v>
      </c>
      <c r="D520" s="673">
        <v>40594</v>
      </c>
      <c r="E520" s="674">
        <v>10</v>
      </c>
      <c r="F520" s="675">
        <v>0.1</v>
      </c>
      <c r="G520" s="676">
        <v>1</v>
      </c>
      <c r="H520" s="929">
        <v>0</v>
      </c>
      <c r="I520" s="929">
        <v>0</v>
      </c>
      <c r="J520" s="689">
        <f t="shared" si="9"/>
        <v>1</v>
      </c>
    </row>
    <row r="521" spans="1:10" ht="12.75" customHeight="1" x14ac:dyDescent="0.2">
      <c r="A521" s="681" t="s">
        <v>2370</v>
      </c>
      <c r="B521" s="693" t="s">
        <v>3090</v>
      </c>
      <c r="C521" s="672" t="s">
        <v>790</v>
      </c>
      <c r="D521" s="673">
        <v>35115</v>
      </c>
      <c r="E521" s="674">
        <v>10</v>
      </c>
      <c r="F521" s="675">
        <v>0.1</v>
      </c>
      <c r="G521" s="676">
        <v>1</v>
      </c>
      <c r="H521" s="929">
        <v>0</v>
      </c>
      <c r="I521" s="929">
        <v>0</v>
      </c>
      <c r="J521" s="689">
        <f t="shared" si="9"/>
        <v>1</v>
      </c>
    </row>
    <row r="522" spans="1:10" ht="12.75" customHeight="1" x14ac:dyDescent="0.2">
      <c r="A522" s="681" t="s">
        <v>2370</v>
      </c>
      <c r="B522" s="693" t="s">
        <v>3091</v>
      </c>
      <c r="C522" s="672" t="s">
        <v>790</v>
      </c>
      <c r="D522" s="673">
        <v>40594</v>
      </c>
      <c r="E522" s="674">
        <v>10</v>
      </c>
      <c r="F522" s="675">
        <v>0.1</v>
      </c>
      <c r="G522" s="676">
        <v>1</v>
      </c>
      <c r="H522" s="929">
        <v>0</v>
      </c>
      <c r="I522" s="929">
        <v>0</v>
      </c>
      <c r="J522" s="689">
        <f t="shared" si="9"/>
        <v>1</v>
      </c>
    </row>
    <row r="523" spans="1:10" ht="12.75" customHeight="1" x14ac:dyDescent="0.2">
      <c r="A523" s="681" t="s">
        <v>2370</v>
      </c>
      <c r="B523" s="693" t="s">
        <v>3092</v>
      </c>
      <c r="C523" s="672" t="s">
        <v>790</v>
      </c>
      <c r="D523" s="673">
        <v>40594</v>
      </c>
      <c r="E523" s="674">
        <v>10</v>
      </c>
      <c r="F523" s="675">
        <v>0.1</v>
      </c>
      <c r="G523" s="676">
        <v>1</v>
      </c>
      <c r="H523" s="929">
        <v>0</v>
      </c>
      <c r="I523" s="929">
        <v>0</v>
      </c>
      <c r="J523" s="689">
        <f t="shared" si="9"/>
        <v>1</v>
      </c>
    </row>
    <row r="524" spans="1:10" ht="12.75" customHeight="1" x14ac:dyDescent="0.2">
      <c r="A524" s="681" t="s">
        <v>2370</v>
      </c>
      <c r="B524" s="693" t="s">
        <v>3093</v>
      </c>
      <c r="C524" s="672" t="s">
        <v>790</v>
      </c>
      <c r="D524" s="673">
        <v>40594</v>
      </c>
      <c r="E524" s="674">
        <v>10</v>
      </c>
      <c r="F524" s="675">
        <v>0.1</v>
      </c>
      <c r="G524" s="676">
        <v>1</v>
      </c>
      <c r="H524" s="929">
        <v>0</v>
      </c>
      <c r="I524" s="929">
        <v>0</v>
      </c>
      <c r="J524" s="689">
        <f t="shared" si="9"/>
        <v>1</v>
      </c>
    </row>
    <row r="525" spans="1:10" ht="12.75" customHeight="1" x14ac:dyDescent="0.2">
      <c r="A525" s="681" t="s">
        <v>2370</v>
      </c>
      <c r="B525" s="693" t="s">
        <v>3094</v>
      </c>
      <c r="C525" s="672" t="s">
        <v>785</v>
      </c>
      <c r="D525" s="673">
        <v>40594</v>
      </c>
      <c r="E525" s="674">
        <v>10</v>
      </c>
      <c r="F525" s="675">
        <v>0.1</v>
      </c>
      <c r="G525" s="676">
        <v>1</v>
      </c>
      <c r="H525" s="929">
        <v>0</v>
      </c>
      <c r="I525" s="929">
        <v>0</v>
      </c>
      <c r="J525" s="689">
        <f t="shared" si="9"/>
        <v>1</v>
      </c>
    </row>
    <row r="526" spans="1:10" ht="12.75" customHeight="1" x14ac:dyDescent="0.2">
      <c r="A526" s="681" t="s">
        <v>2370</v>
      </c>
      <c r="B526" s="693" t="s">
        <v>3095</v>
      </c>
      <c r="C526" s="672" t="s">
        <v>785</v>
      </c>
      <c r="D526" s="673">
        <v>40594</v>
      </c>
      <c r="E526" s="674">
        <v>10</v>
      </c>
      <c r="F526" s="675">
        <v>0.1</v>
      </c>
      <c r="G526" s="676">
        <v>1</v>
      </c>
      <c r="H526" s="929">
        <v>0</v>
      </c>
      <c r="I526" s="929">
        <v>0</v>
      </c>
      <c r="J526" s="689">
        <f t="shared" si="9"/>
        <v>1</v>
      </c>
    </row>
    <row r="527" spans="1:10" ht="12.75" customHeight="1" x14ac:dyDescent="0.2">
      <c r="A527" s="681" t="s">
        <v>2370</v>
      </c>
      <c r="B527" s="693" t="s">
        <v>3096</v>
      </c>
      <c r="C527" s="672" t="s">
        <v>787</v>
      </c>
      <c r="D527" s="673">
        <v>40594</v>
      </c>
      <c r="E527" s="674">
        <v>10</v>
      </c>
      <c r="F527" s="675">
        <v>0.1</v>
      </c>
      <c r="G527" s="676">
        <v>1</v>
      </c>
      <c r="H527" s="929">
        <v>0</v>
      </c>
      <c r="I527" s="929">
        <v>0</v>
      </c>
      <c r="J527" s="689">
        <f t="shared" si="9"/>
        <v>1</v>
      </c>
    </row>
    <row r="528" spans="1:10" ht="12.75" customHeight="1" x14ac:dyDescent="0.2">
      <c r="A528" s="681" t="s">
        <v>2370</v>
      </c>
      <c r="B528" s="693" t="s">
        <v>3097</v>
      </c>
      <c r="C528" s="672" t="s">
        <v>787</v>
      </c>
      <c r="D528" s="673">
        <v>39498</v>
      </c>
      <c r="E528" s="674">
        <v>10</v>
      </c>
      <c r="F528" s="675">
        <v>0.1</v>
      </c>
      <c r="G528" s="676">
        <v>1</v>
      </c>
      <c r="H528" s="929">
        <v>0</v>
      </c>
      <c r="I528" s="929">
        <v>0</v>
      </c>
      <c r="J528" s="689">
        <f t="shared" si="9"/>
        <v>1</v>
      </c>
    </row>
    <row r="529" spans="1:10" ht="12.75" customHeight="1" x14ac:dyDescent="0.2">
      <c r="A529" s="681" t="s">
        <v>2370</v>
      </c>
      <c r="B529" s="693" t="s">
        <v>3098</v>
      </c>
      <c r="C529" s="672" t="s">
        <v>785</v>
      </c>
      <c r="D529" s="673">
        <v>40594</v>
      </c>
      <c r="E529" s="674">
        <v>10</v>
      </c>
      <c r="F529" s="675">
        <v>0.1</v>
      </c>
      <c r="G529" s="676">
        <v>1</v>
      </c>
      <c r="H529" s="929">
        <v>0</v>
      </c>
      <c r="I529" s="929">
        <v>0</v>
      </c>
      <c r="J529" s="689">
        <f t="shared" si="9"/>
        <v>1</v>
      </c>
    </row>
    <row r="530" spans="1:10" ht="12.75" customHeight="1" x14ac:dyDescent="0.2">
      <c r="A530" s="681" t="s">
        <v>2370</v>
      </c>
      <c r="B530" s="693" t="s">
        <v>3099</v>
      </c>
      <c r="C530" s="672" t="s">
        <v>785</v>
      </c>
      <c r="D530" s="673">
        <v>39498</v>
      </c>
      <c r="E530" s="674">
        <v>10</v>
      </c>
      <c r="F530" s="675">
        <v>0.1</v>
      </c>
      <c r="G530" s="676">
        <v>1</v>
      </c>
      <c r="H530" s="929">
        <v>0</v>
      </c>
      <c r="I530" s="929">
        <v>0</v>
      </c>
      <c r="J530" s="689">
        <f t="shared" si="9"/>
        <v>1</v>
      </c>
    </row>
    <row r="531" spans="1:10" ht="12.75" customHeight="1" x14ac:dyDescent="0.2">
      <c r="A531" s="681" t="s">
        <v>2370</v>
      </c>
      <c r="B531" s="693" t="s">
        <v>3100</v>
      </c>
      <c r="C531" s="672" t="s">
        <v>790</v>
      </c>
      <c r="D531" s="673">
        <v>36211</v>
      </c>
      <c r="E531" s="674">
        <v>10</v>
      </c>
      <c r="F531" s="675">
        <v>0.1</v>
      </c>
      <c r="G531" s="676">
        <v>1</v>
      </c>
      <c r="H531" s="929">
        <v>0</v>
      </c>
      <c r="I531" s="929">
        <v>0</v>
      </c>
      <c r="J531" s="689">
        <f t="shared" si="9"/>
        <v>1</v>
      </c>
    </row>
    <row r="532" spans="1:10" ht="12.75" customHeight="1" x14ac:dyDescent="0.2">
      <c r="A532" s="681" t="s">
        <v>2370</v>
      </c>
      <c r="B532" s="693" t="s">
        <v>3101</v>
      </c>
      <c r="C532" s="672" t="s">
        <v>788</v>
      </c>
      <c r="D532" s="673">
        <v>40594</v>
      </c>
      <c r="E532" s="674">
        <v>10</v>
      </c>
      <c r="F532" s="675">
        <v>0.1</v>
      </c>
      <c r="G532" s="676">
        <v>1</v>
      </c>
      <c r="H532" s="929">
        <v>0</v>
      </c>
      <c r="I532" s="929">
        <v>0</v>
      </c>
      <c r="J532" s="689">
        <f t="shared" si="9"/>
        <v>1</v>
      </c>
    </row>
    <row r="533" spans="1:10" ht="12.75" customHeight="1" x14ac:dyDescent="0.2">
      <c r="A533" s="681" t="s">
        <v>2370</v>
      </c>
      <c r="B533" s="693" t="s">
        <v>3102</v>
      </c>
      <c r="C533" s="672" t="s">
        <v>787</v>
      </c>
      <c r="D533" s="673">
        <v>40594</v>
      </c>
      <c r="E533" s="674">
        <v>10</v>
      </c>
      <c r="F533" s="675">
        <v>0.1</v>
      </c>
      <c r="G533" s="676">
        <v>1</v>
      </c>
      <c r="H533" s="929">
        <v>0</v>
      </c>
      <c r="I533" s="929">
        <v>0</v>
      </c>
      <c r="J533" s="689">
        <f t="shared" si="9"/>
        <v>1</v>
      </c>
    </row>
    <row r="534" spans="1:10" ht="12.75" customHeight="1" x14ac:dyDescent="0.2">
      <c r="A534" s="681" t="s">
        <v>2370</v>
      </c>
      <c r="B534" s="693" t="s">
        <v>3103</v>
      </c>
      <c r="C534" s="672" t="s">
        <v>787</v>
      </c>
      <c r="D534" s="673">
        <v>40594</v>
      </c>
      <c r="E534" s="674">
        <v>10</v>
      </c>
      <c r="F534" s="675">
        <v>0.1</v>
      </c>
      <c r="G534" s="676">
        <v>1</v>
      </c>
      <c r="H534" s="929">
        <v>0</v>
      </c>
      <c r="I534" s="929">
        <v>0</v>
      </c>
      <c r="J534" s="689">
        <f t="shared" si="9"/>
        <v>1</v>
      </c>
    </row>
    <row r="535" spans="1:10" ht="12.75" customHeight="1" x14ac:dyDescent="0.2">
      <c r="A535" s="681" t="s">
        <v>2370</v>
      </c>
      <c r="B535" s="693" t="s">
        <v>3104</v>
      </c>
      <c r="C535" s="672" t="s">
        <v>787</v>
      </c>
      <c r="D535" s="673">
        <v>40594</v>
      </c>
      <c r="E535" s="674">
        <v>10</v>
      </c>
      <c r="F535" s="675">
        <v>0.1</v>
      </c>
      <c r="G535" s="676">
        <v>1</v>
      </c>
      <c r="H535" s="929">
        <v>0</v>
      </c>
      <c r="I535" s="929">
        <v>0</v>
      </c>
      <c r="J535" s="689">
        <f t="shared" si="9"/>
        <v>1</v>
      </c>
    </row>
    <row r="536" spans="1:10" ht="12.75" customHeight="1" x14ac:dyDescent="0.2">
      <c r="A536" s="681" t="s">
        <v>2370</v>
      </c>
      <c r="B536" s="693" t="s">
        <v>3105</v>
      </c>
      <c r="C536" s="672" t="s">
        <v>790</v>
      </c>
      <c r="D536" s="673">
        <v>40594</v>
      </c>
      <c r="E536" s="674">
        <v>10</v>
      </c>
      <c r="F536" s="675">
        <v>0.1</v>
      </c>
      <c r="G536" s="676">
        <v>1</v>
      </c>
      <c r="H536" s="929">
        <v>0</v>
      </c>
      <c r="I536" s="929">
        <v>0</v>
      </c>
      <c r="J536" s="689">
        <f t="shared" si="9"/>
        <v>1</v>
      </c>
    </row>
    <row r="537" spans="1:10" ht="12.75" customHeight="1" x14ac:dyDescent="0.2">
      <c r="A537" s="681" t="s">
        <v>2370</v>
      </c>
      <c r="B537" s="693" t="s">
        <v>3106</v>
      </c>
      <c r="C537" s="672" t="s">
        <v>790</v>
      </c>
      <c r="D537" s="673">
        <v>33289</v>
      </c>
      <c r="E537" s="674">
        <v>10</v>
      </c>
      <c r="F537" s="675">
        <v>0.1</v>
      </c>
      <c r="G537" s="676">
        <v>1</v>
      </c>
      <c r="H537" s="929">
        <v>0</v>
      </c>
      <c r="I537" s="929">
        <v>0</v>
      </c>
      <c r="J537" s="689">
        <f t="shared" si="9"/>
        <v>1</v>
      </c>
    </row>
    <row r="538" spans="1:10" ht="12.75" customHeight="1" x14ac:dyDescent="0.2">
      <c r="A538" s="681" t="s">
        <v>2370</v>
      </c>
      <c r="B538" s="693" t="s">
        <v>3107</v>
      </c>
      <c r="C538" s="672" t="s">
        <v>785</v>
      </c>
      <c r="D538" s="673">
        <v>38403</v>
      </c>
      <c r="E538" s="674">
        <v>10</v>
      </c>
      <c r="F538" s="675">
        <v>0.1</v>
      </c>
      <c r="G538" s="676">
        <v>1</v>
      </c>
      <c r="H538" s="929">
        <v>0</v>
      </c>
      <c r="I538" s="929">
        <v>0</v>
      </c>
      <c r="J538" s="689">
        <f t="shared" si="9"/>
        <v>1</v>
      </c>
    </row>
    <row r="539" spans="1:10" ht="12.75" customHeight="1" x14ac:dyDescent="0.2">
      <c r="A539" s="681" t="s">
        <v>2370</v>
      </c>
      <c r="B539" s="693" t="s">
        <v>3108</v>
      </c>
      <c r="C539" s="672" t="s">
        <v>785</v>
      </c>
      <c r="D539" s="673">
        <v>38768</v>
      </c>
      <c r="E539" s="674">
        <v>10</v>
      </c>
      <c r="F539" s="675">
        <v>0.1</v>
      </c>
      <c r="G539" s="676">
        <v>1</v>
      </c>
      <c r="H539" s="929">
        <v>0</v>
      </c>
      <c r="I539" s="929">
        <v>0</v>
      </c>
      <c r="J539" s="689">
        <f t="shared" si="9"/>
        <v>1</v>
      </c>
    </row>
    <row r="540" spans="1:10" ht="12.75" customHeight="1" x14ac:dyDescent="0.2">
      <c r="A540" s="681" t="s">
        <v>2370</v>
      </c>
      <c r="B540" s="693" t="s">
        <v>3109</v>
      </c>
      <c r="C540" s="672" t="s">
        <v>785</v>
      </c>
      <c r="D540" s="673">
        <v>38768</v>
      </c>
      <c r="E540" s="674">
        <v>10</v>
      </c>
      <c r="F540" s="675">
        <v>0.1</v>
      </c>
      <c r="G540" s="676">
        <v>1</v>
      </c>
      <c r="H540" s="929">
        <v>0</v>
      </c>
      <c r="I540" s="929">
        <v>0</v>
      </c>
      <c r="J540" s="689">
        <f t="shared" si="9"/>
        <v>1</v>
      </c>
    </row>
    <row r="541" spans="1:10" ht="12.75" customHeight="1" x14ac:dyDescent="0.2">
      <c r="A541" s="681" t="s">
        <v>2370</v>
      </c>
      <c r="B541" s="693" t="s">
        <v>3110</v>
      </c>
      <c r="C541" s="672" t="s">
        <v>785</v>
      </c>
      <c r="D541" s="673">
        <v>38768</v>
      </c>
      <c r="E541" s="674">
        <v>10</v>
      </c>
      <c r="F541" s="675">
        <v>0.1</v>
      </c>
      <c r="G541" s="676">
        <v>1</v>
      </c>
      <c r="H541" s="929">
        <v>0</v>
      </c>
      <c r="I541" s="929">
        <v>0</v>
      </c>
      <c r="J541" s="689">
        <f t="shared" si="9"/>
        <v>1</v>
      </c>
    </row>
    <row r="542" spans="1:10" ht="12.75" customHeight="1" x14ac:dyDescent="0.2">
      <c r="A542" s="681" t="s">
        <v>2370</v>
      </c>
      <c r="B542" s="693" t="s">
        <v>3111</v>
      </c>
      <c r="C542" s="672" t="s">
        <v>785</v>
      </c>
      <c r="D542" s="673">
        <v>38768</v>
      </c>
      <c r="E542" s="674">
        <v>10</v>
      </c>
      <c r="F542" s="675">
        <v>0.1</v>
      </c>
      <c r="G542" s="676">
        <v>1</v>
      </c>
      <c r="H542" s="929">
        <v>0</v>
      </c>
      <c r="I542" s="929">
        <v>0</v>
      </c>
      <c r="J542" s="689">
        <f t="shared" si="9"/>
        <v>1</v>
      </c>
    </row>
    <row r="543" spans="1:10" ht="12.75" customHeight="1" x14ac:dyDescent="0.2">
      <c r="A543" s="681" t="s">
        <v>2370</v>
      </c>
      <c r="B543" s="693" t="s">
        <v>3112</v>
      </c>
      <c r="C543" s="672" t="s">
        <v>785</v>
      </c>
      <c r="D543" s="673">
        <v>37672</v>
      </c>
      <c r="E543" s="674">
        <v>10</v>
      </c>
      <c r="F543" s="675">
        <v>0.1</v>
      </c>
      <c r="G543" s="676">
        <v>1</v>
      </c>
      <c r="H543" s="929">
        <v>0</v>
      </c>
      <c r="I543" s="929">
        <v>0</v>
      </c>
      <c r="J543" s="689">
        <f t="shared" si="9"/>
        <v>1</v>
      </c>
    </row>
    <row r="544" spans="1:10" ht="12.75" customHeight="1" x14ac:dyDescent="0.2">
      <c r="A544" s="681" t="s">
        <v>2370</v>
      </c>
      <c r="B544" s="693" t="s">
        <v>3113</v>
      </c>
      <c r="C544" s="672" t="s">
        <v>788</v>
      </c>
      <c r="D544" s="673">
        <v>32924</v>
      </c>
      <c r="E544" s="674">
        <v>10</v>
      </c>
      <c r="F544" s="675">
        <v>0.1</v>
      </c>
      <c r="G544" s="676">
        <v>1</v>
      </c>
      <c r="H544" s="929">
        <v>0</v>
      </c>
      <c r="I544" s="929">
        <v>0</v>
      </c>
      <c r="J544" s="689">
        <f t="shared" si="9"/>
        <v>1</v>
      </c>
    </row>
    <row r="545" spans="1:10" ht="12.75" customHeight="1" x14ac:dyDescent="0.2">
      <c r="A545" s="681" t="s">
        <v>2370</v>
      </c>
      <c r="B545" s="693" t="s">
        <v>3114</v>
      </c>
      <c r="C545" s="672" t="s">
        <v>791</v>
      </c>
      <c r="D545" s="673">
        <v>32924</v>
      </c>
      <c r="E545" s="674">
        <v>10</v>
      </c>
      <c r="F545" s="675">
        <v>0.1</v>
      </c>
      <c r="G545" s="676">
        <v>1</v>
      </c>
      <c r="H545" s="929">
        <v>0</v>
      </c>
      <c r="I545" s="929">
        <v>0</v>
      </c>
      <c r="J545" s="689">
        <f t="shared" si="9"/>
        <v>1</v>
      </c>
    </row>
    <row r="546" spans="1:10" ht="12.75" customHeight="1" x14ac:dyDescent="0.2">
      <c r="A546" s="681" t="s">
        <v>2370</v>
      </c>
      <c r="B546" s="693" t="s">
        <v>3115</v>
      </c>
      <c r="C546" s="672" t="s">
        <v>787</v>
      </c>
      <c r="D546" s="673">
        <v>32924</v>
      </c>
      <c r="E546" s="674">
        <v>10</v>
      </c>
      <c r="F546" s="675">
        <v>0.1</v>
      </c>
      <c r="G546" s="676">
        <v>1</v>
      </c>
      <c r="H546" s="929">
        <v>0</v>
      </c>
      <c r="I546" s="929">
        <v>0</v>
      </c>
      <c r="J546" s="689">
        <f t="shared" si="9"/>
        <v>1</v>
      </c>
    </row>
    <row r="547" spans="1:10" ht="12.75" customHeight="1" x14ac:dyDescent="0.2">
      <c r="A547" s="681" t="s">
        <v>2370</v>
      </c>
      <c r="B547" s="693" t="s">
        <v>3116</v>
      </c>
      <c r="C547" s="672" t="s">
        <v>788</v>
      </c>
      <c r="D547" s="673">
        <v>32924</v>
      </c>
      <c r="E547" s="674">
        <v>10</v>
      </c>
      <c r="F547" s="675">
        <v>0.1</v>
      </c>
      <c r="G547" s="676">
        <v>1</v>
      </c>
      <c r="H547" s="929">
        <v>0</v>
      </c>
      <c r="I547" s="929">
        <v>0</v>
      </c>
      <c r="J547" s="689">
        <f t="shared" si="9"/>
        <v>1</v>
      </c>
    </row>
    <row r="548" spans="1:10" ht="12.75" customHeight="1" x14ac:dyDescent="0.2">
      <c r="A548" s="681" t="s">
        <v>2370</v>
      </c>
      <c r="B548" s="693" t="s">
        <v>3117</v>
      </c>
      <c r="C548" s="672" t="s">
        <v>797</v>
      </c>
      <c r="D548" s="673">
        <v>32924</v>
      </c>
      <c r="E548" s="674">
        <v>10</v>
      </c>
      <c r="F548" s="675">
        <v>0.1</v>
      </c>
      <c r="G548" s="676">
        <v>1</v>
      </c>
      <c r="H548" s="929">
        <v>0</v>
      </c>
      <c r="I548" s="929">
        <v>0</v>
      </c>
      <c r="J548" s="689">
        <f t="shared" si="9"/>
        <v>1</v>
      </c>
    </row>
    <row r="549" spans="1:10" ht="12.75" customHeight="1" x14ac:dyDescent="0.2">
      <c r="A549" s="681" t="s">
        <v>2370</v>
      </c>
      <c r="B549" s="693" t="s">
        <v>3118</v>
      </c>
      <c r="C549" s="672" t="s">
        <v>797</v>
      </c>
      <c r="D549" s="673">
        <v>37307</v>
      </c>
      <c r="E549" s="674">
        <v>10</v>
      </c>
      <c r="F549" s="675">
        <v>0.1</v>
      </c>
      <c r="G549" s="676">
        <v>1</v>
      </c>
      <c r="H549" s="929">
        <v>0</v>
      </c>
      <c r="I549" s="929">
        <v>0</v>
      </c>
      <c r="J549" s="689">
        <f t="shared" si="9"/>
        <v>1</v>
      </c>
    </row>
    <row r="550" spans="1:10" ht="12.75" customHeight="1" x14ac:dyDescent="0.2">
      <c r="A550" s="681" t="s">
        <v>2370</v>
      </c>
      <c r="B550" s="693" t="s">
        <v>3119</v>
      </c>
      <c r="C550" s="672" t="s">
        <v>791</v>
      </c>
      <c r="D550" s="673">
        <v>40594</v>
      </c>
      <c r="E550" s="674">
        <v>10</v>
      </c>
      <c r="F550" s="675">
        <v>0.1</v>
      </c>
      <c r="G550" s="676">
        <v>1</v>
      </c>
      <c r="H550" s="929">
        <v>0</v>
      </c>
      <c r="I550" s="929">
        <v>0</v>
      </c>
      <c r="J550" s="689">
        <f t="shared" si="9"/>
        <v>1</v>
      </c>
    </row>
    <row r="551" spans="1:10" ht="12.75" customHeight="1" x14ac:dyDescent="0.2">
      <c r="A551" s="681" t="s">
        <v>2370</v>
      </c>
      <c r="B551" s="693" t="s">
        <v>3120</v>
      </c>
      <c r="C551" s="672" t="s">
        <v>787</v>
      </c>
      <c r="D551" s="673">
        <v>40594</v>
      </c>
      <c r="E551" s="674">
        <v>10</v>
      </c>
      <c r="F551" s="675">
        <v>0.1</v>
      </c>
      <c r="G551" s="676">
        <v>1</v>
      </c>
      <c r="H551" s="929">
        <v>0</v>
      </c>
      <c r="I551" s="929">
        <v>0</v>
      </c>
      <c r="J551" s="689">
        <f t="shared" si="9"/>
        <v>1</v>
      </c>
    </row>
    <row r="552" spans="1:10" ht="12.75" customHeight="1" x14ac:dyDescent="0.2">
      <c r="A552" s="681" t="s">
        <v>2370</v>
      </c>
      <c r="B552" s="693" t="s">
        <v>3121</v>
      </c>
      <c r="C552" s="672" t="s">
        <v>787</v>
      </c>
      <c r="D552" s="673">
        <v>40594</v>
      </c>
      <c r="E552" s="674">
        <v>10</v>
      </c>
      <c r="F552" s="675">
        <v>0.1</v>
      </c>
      <c r="G552" s="676">
        <v>1</v>
      </c>
      <c r="H552" s="929">
        <v>0</v>
      </c>
      <c r="I552" s="929">
        <v>0</v>
      </c>
      <c r="J552" s="689">
        <f t="shared" si="9"/>
        <v>1</v>
      </c>
    </row>
    <row r="553" spans="1:10" ht="12.75" customHeight="1" x14ac:dyDescent="0.2">
      <c r="A553" s="681" t="s">
        <v>2370</v>
      </c>
      <c r="B553" s="693" t="s">
        <v>3122</v>
      </c>
      <c r="C553" s="672" t="s">
        <v>788</v>
      </c>
      <c r="D553" s="673">
        <v>40594</v>
      </c>
      <c r="E553" s="674">
        <v>10</v>
      </c>
      <c r="F553" s="675">
        <v>0.1</v>
      </c>
      <c r="G553" s="676">
        <v>1</v>
      </c>
      <c r="H553" s="929">
        <v>0</v>
      </c>
      <c r="I553" s="929">
        <v>0</v>
      </c>
      <c r="J553" s="689">
        <f t="shared" si="9"/>
        <v>1</v>
      </c>
    </row>
    <row r="554" spans="1:10" ht="12.75" customHeight="1" x14ac:dyDescent="0.2">
      <c r="A554" s="681" t="s">
        <v>2370</v>
      </c>
      <c r="B554" s="693" t="s">
        <v>3123</v>
      </c>
      <c r="C554" s="672" t="s">
        <v>790</v>
      </c>
      <c r="D554" s="673">
        <v>40594</v>
      </c>
      <c r="E554" s="674">
        <v>10</v>
      </c>
      <c r="F554" s="675">
        <v>0.1</v>
      </c>
      <c r="G554" s="676">
        <v>1</v>
      </c>
      <c r="H554" s="929">
        <v>0</v>
      </c>
      <c r="I554" s="929">
        <v>0</v>
      </c>
      <c r="J554" s="689">
        <f t="shared" si="9"/>
        <v>1</v>
      </c>
    </row>
    <row r="555" spans="1:10" ht="12.75" customHeight="1" x14ac:dyDescent="0.2">
      <c r="A555" s="681" t="s">
        <v>2370</v>
      </c>
      <c r="B555" s="693" t="s">
        <v>3124</v>
      </c>
      <c r="C555" s="672" t="s">
        <v>785</v>
      </c>
      <c r="D555" s="673">
        <v>40594</v>
      </c>
      <c r="E555" s="674">
        <v>10</v>
      </c>
      <c r="F555" s="675">
        <v>0.1</v>
      </c>
      <c r="G555" s="676">
        <v>1</v>
      </c>
      <c r="H555" s="929">
        <v>0</v>
      </c>
      <c r="I555" s="929">
        <v>0</v>
      </c>
      <c r="J555" s="689">
        <f t="shared" si="9"/>
        <v>1</v>
      </c>
    </row>
    <row r="556" spans="1:10" ht="12.75" customHeight="1" x14ac:dyDescent="0.2">
      <c r="A556" s="681" t="s">
        <v>2370</v>
      </c>
      <c r="B556" s="693" t="s">
        <v>3125</v>
      </c>
      <c r="C556" s="672" t="s">
        <v>785</v>
      </c>
      <c r="D556" s="673">
        <v>40594</v>
      </c>
      <c r="E556" s="674">
        <v>10</v>
      </c>
      <c r="F556" s="675">
        <v>0.1</v>
      </c>
      <c r="G556" s="676">
        <v>1</v>
      </c>
      <c r="H556" s="929">
        <v>0</v>
      </c>
      <c r="I556" s="929">
        <v>0</v>
      </c>
      <c r="J556" s="689">
        <f t="shared" si="9"/>
        <v>1</v>
      </c>
    </row>
    <row r="557" spans="1:10" ht="12.75" customHeight="1" x14ac:dyDescent="0.2">
      <c r="A557" s="681" t="s">
        <v>2370</v>
      </c>
      <c r="B557" s="693" t="s">
        <v>3126</v>
      </c>
      <c r="C557" s="672" t="s">
        <v>785</v>
      </c>
      <c r="D557" s="673">
        <v>40594</v>
      </c>
      <c r="E557" s="674">
        <v>10</v>
      </c>
      <c r="F557" s="675">
        <v>0.1</v>
      </c>
      <c r="G557" s="676">
        <v>1</v>
      </c>
      <c r="H557" s="929">
        <v>0</v>
      </c>
      <c r="I557" s="929">
        <v>0</v>
      </c>
      <c r="J557" s="689">
        <f t="shared" si="9"/>
        <v>1</v>
      </c>
    </row>
    <row r="558" spans="1:10" ht="12.75" customHeight="1" x14ac:dyDescent="0.2">
      <c r="A558" s="681" t="s">
        <v>2370</v>
      </c>
      <c r="B558" s="693" t="s">
        <v>3127</v>
      </c>
      <c r="C558" s="672" t="s">
        <v>785</v>
      </c>
      <c r="D558" s="673">
        <v>40594</v>
      </c>
      <c r="E558" s="674">
        <v>10</v>
      </c>
      <c r="F558" s="675">
        <v>0.1</v>
      </c>
      <c r="G558" s="676">
        <v>1</v>
      </c>
      <c r="H558" s="929">
        <v>0</v>
      </c>
      <c r="I558" s="929">
        <v>0</v>
      </c>
      <c r="J558" s="689">
        <f t="shared" si="9"/>
        <v>1</v>
      </c>
    </row>
    <row r="559" spans="1:10" ht="12.75" customHeight="1" x14ac:dyDescent="0.2">
      <c r="A559" s="681" t="s">
        <v>2370</v>
      </c>
      <c r="B559" s="693" t="s">
        <v>3128</v>
      </c>
      <c r="C559" s="672" t="s">
        <v>786</v>
      </c>
      <c r="D559" s="673">
        <v>40594</v>
      </c>
      <c r="E559" s="674">
        <v>10</v>
      </c>
      <c r="F559" s="675">
        <v>0.1</v>
      </c>
      <c r="G559" s="676">
        <v>1</v>
      </c>
      <c r="H559" s="929">
        <v>0</v>
      </c>
      <c r="I559" s="929">
        <v>0</v>
      </c>
      <c r="J559" s="689">
        <f t="shared" si="9"/>
        <v>1</v>
      </c>
    </row>
    <row r="560" spans="1:10" ht="12.75" customHeight="1" x14ac:dyDescent="0.2">
      <c r="A560" s="681" t="s">
        <v>2370</v>
      </c>
      <c r="B560" s="693" t="s">
        <v>3129</v>
      </c>
      <c r="C560" s="672" t="s">
        <v>785</v>
      </c>
      <c r="D560" s="673">
        <v>35481</v>
      </c>
      <c r="E560" s="674">
        <v>10</v>
      </c>
      <c r="F560" s="675">
        <v>0.1</v>
      </c>
      <c r="G560" s="676">
        <v>1</v>
      </c>
      <c r="H560" s="929">
        <v>0</v>
      </c>
      <c r="I560" s="929">
        <v>0</v>
      </c>
      <c r="J560" s="689">
        <f t="shared" si="9"/>
        <v>1</v>
      </c>
    </row>
    <row r="561" spans="1:10" ht="12.75" customHeight="1" x14ac:dyDescent="0.2">
      <c r="A561" s="681" t="s">
        <v>2370</v>
      </c>
      <c r="B561" s="693" t="s">
        <v>3130</v>
      </c>
      <c r="C561" s="672" t="s">
        <v>791</v>
      </c>
      <c r="D561" s="673">
        <v>32924</v>
      </c>
      <c r="E561" s="674">
        <v>10</v>
      </c>
      <c r="F561" s="675">
        <v>0.1</v>
      </c>
      <c r="G561" s="676">
        <v>1</v>
      </c>
      <c r="H561" s="929">
        <v>0</v>
      </c>
      <c r="I561" s="929">
        <v>0</v>
      </c>
      <c r="J561" s="689">
        <f t="shared" si="9"/>
        <v>1</v>
      </c>
    </row>
    <row r="562" spans="1:10" ht="12.75" customHeight="1" x14ac:dyDescent="0.2">
      <c r="A562" s="681" t="s">
        <v>2370</v>
      </c>
      <c r="B562" s="693" t="s">
        <v>3131</v>
      </c>
      <c r="C562" s="672" t="s">
        <v>791</v>
      </c>
      <c r="D562" s="673">
        <v>38403</v>
      </c>
      <c r="E562" s="674">
        <v>10</v>
      </c>
      <c r="F562" s="675">
        <v>0.1</v>
      </c>
      <c r="G562" s="676">
        <v>1</v>
      </c>
      <c r="H562" s="929">
        <v>0</v>
      </c>
      <c r="I562" s="929">
        <v>0</v>
      </c>
      <c r="J562" s="689">
        <f t="shared" si="9"/>
        <v>1</v>
      </c>
    </row>
    <row r="563" spans="1:10" ht="12.75" customHeight="1" x14ac:dyDescent="0.2">
      <c r="A563" s="681" t="s">
        <v>2370</v>
      </c>
      <c r="B563" s="693" t="s">
        <v>3132</v>
      </c>
      <c r="C563" s="672" t="s">
        <v>787</v>
      </c>
      <c r="D563" s="673">
        <v>38403</v>
      </c>
      <c r="E563" s="674">
        <v>10</v>
      </c>
      <c r="F563" s="675">
        <v>0.1</v>
      </c>
      <c r="G563" s="676">
        <v>1</v>
      </c>
      <c r="H563" s="929">
        <v>0</v>
      </c>
      <c r="I563" s="929">
        <v>0</v>
      </c>
      <c r="J563" s="689">
        <f t="shared" si="9"/>
        <v>1</v>
      </c>
    </row>
    <row r="564" spans="1:10" ht="12.75" customHeight="1" x14ac:dyDescent="0.2">
      <c r="A564" s="681" t="s">
        <v>2370</v>
      </c>
      <c r="B564" s="693" t="s">
        <v>3133</v>
      </c>
      <c r="C564" s="672" t="s">
        <v>828</v>
      </c>
      <c r="D564" s="673">
        <v>38403</v>
      </c>
      <c r="E564" s="674">
        <v>10</v>
      </c>
      <c r="F564" s="675">
        <v>0.1</v>
      </c>
      <c r="G564" s="676">
        <v>1</v>
      </c>
      <c r="H564" s="929">
        <v>0</v>
      </c>
      <c r="I564" s="929">
        <v>0</v>
      </c>
      <c r="J564" s="689">
        <f t="shared" si="9"/>
        <v>1</v>
      </c>
    </row>
    <row r="565" spans="1:10" ht="12.75" customHeight="1" x14ac:dyDescent="0.2">
      <c r="A565" s="681" t="s">
        <v>2370</v>
      </c>
      <c r="B565" s="693" t="s">
        <v>3134</v>
      </c>
      <c r="C565" s="672" t="s">
        <v>828</v>
      </c>
      <c r="D565" s="673">
        <v>38403</v>
      </c>
      <c r="E565" s="674">
        <v>10</v>
      </c>
      <c r="F565" s="675">
        <v>0.1</v>
      </c>
      <c r="G565" s="676">
        <v>1</v>
      </c>
      <c r="H565" s="929">
        <v>0</v>
      </c>
      <c r="I565" s="929">
        <v>0</v>
      </c>
      <c r="J565" s="689">
        <f t="shared" si="9"/>
        <v>1</v>
      </c>
    </row>
    <row r="566" spans="1:10" ht="12.75" customHeight="1" x14ac:dyDescent="0.2">
      <c r="A566" s="681" t="s">
        <v>2370</v>
      </c>
      <c r="B566" s="693" t="s">
        <v>3135</v>
      </c>
      <c r="C566" s="672" t="s">
        <v>828</v>
      </c>
      <c r="D566" s="673">
        <v>38403</v>
      </c>
      <c r="E566" s="674">
        <v>10</v>
      </c>
      <c r="F566" s="675">
        <v>0.1</v>
      </c>
      <c r="G566" s="676">
        <v>1</v>
      </c>
      <c r="H566" s="929">
        <v>0</v>
      </c>
      <c r="I566" s="929">
        <v>0</v>
      </c>
      <c r="J566" s="689">
        <f t="shared" si="9"/>
        <v>1</v>
      </c>
    </row>
    <row r="567" spans="1:10" ht="12.75" customHeight="1" x14ac:dyDescent="0.2">
      <c r="A567" s="681" t="s">
        <v>2370</v>
      </c>
      <c r="B567" s="693" t="s">
        <v>3136</v>
      </c>
      <c r="C567" s="672" t="s">
        <v>828</v>
      </c>
      <c r="D567" s="673">
        <v>38403</v>
      </c>
      <c r="E567" s="674">
        <v>10</v>
      </c>
      <c r="F567" s="675">
        <v>0.1</v>
      </c>
      <c r="G567" s="676">
        <v>1</v>
      </c>
      <c r="H567" s="929">
        <v>0</v>
      </c>
      <c r="I567" s="929">
        <v>0</v>
      </c>
      <c r="J567" s="689">
        <f t="shared" si="9"/>
        <v>1</v>
      </c>
    </row>
    <row r="568" spans="1:10" ht="12.75" customHeight="1" x14ac:dyDescent="0.2">
      <c r="A568" s="681" t="s">
        <v>2370</v>
      </c>
      <c r="B568" s="693" t="s">
        <v>3137</v>
      </c>
      <c r="C568" s="672" t="s">
        <v>828</v>
      </c>
      <c r="D568" s="673">
        <v>38403</v>
      </c>
      <c r="E568" s="674">
        <v>10</v>
      </c>
      <c r="F568" s="675">
        <v>0.1</v>
      </c>
      <c r="G568" s="676">
        <v>1</v>
      </c>
      <c r="H568" s="929">
        <v>0</v>
      </c>
      <c r="I568" s="929">
        <v>0</v>
      </c>
      <c r="J568" s="689">
        <f t="shared" si="9"/>
        <v>1</v>
      </c>
    </row>
    <row r="569" spans="1:10" ht="12.75" customHeight="1" x14ac:dyDescent="0.2">
      <c r="A569" s="681" t="s">
        <v>2370</v>
      </c>
      <c r="B569" s="693" t="s">
        <v>3138</v>
      </c>
      <c r="C569" s="672" t="s">
        <v>828</v>
      </c>
      <c r="D569" s="673">
        <v>38403</v>
      </c>
      <c r="E569" s="674">
        <v>10</v>
      </c>
      <c r="F569" s="675">
        <v>0.1</v>
      </c>
      <c r="G569" s="676">
        <v>1</v>
      </c>
      <c r="H569" s="929">
        <v>0</v>
      </c>
      <c r="I569" s="929">
        <v>0</v>
      </c>
      <c r="J569" s="689">
        <f t="shared" si="9"/>
        <v>1</v>
      </c>
    </row>
    <row r="570" spans="1:10" ht="12.75" customHeight="1" x14ac:dyDescent="0.2">
      <c r="A570" s="681" t="s">
        <v>2370</v>
      </c>
      <c r="B570" s="693" t="s">
        <v>3139</v>
      </c>
      <c r="C570" s="672" t="s">
        <v>828</v>
      </c>
      <c r="D570" s="673">
        <v>38403</v>
      </c>
      <c r="E570" s="674">
        <v>10</v>
      </c>
      <c r="F570" s="675">
        <v>0.1</v>
      </c>
      <c r="G570" s="676">
        <v>1</v>
      </c>
      <c r="H570" s="929">
        <v>0</v>
      </c>
      <c r="I570" s="929">
        <v>0</v>
      </c>
      <c r="J570" s="689">
        <f t="shared" si="9"/>
        <v>1</v>
      </c>
    </row>
    <row r="571" spans="1:10" ht="12.75" customHeight="1" x14ac:dyDescent="0.2">
      <c r="A571" s="681" t="s">
        <v>2370</v>
      </c>
      <c r="B571" s="693" t="s">
        <v>3140</v>
      </c>
      <c r="C571" s="672" t="s">
        <v>828</v>
      </c>
      <c r="D571" s="673">
        <v>38403</v>
      </c>
      <c r="E571" s="674">
        <v>10</v>
      </c>
      <c r="F571" s="675">
        <v>0.1</v>
      </c>
      <c r="G571" s="676">
        <v>1</v>
      </c>
      <c r="H571" s="929">
        <v>0</v>
      </c>
      <c r="I571" s="929">
        <v>0</v>
      </c>
      <c r="J571" s="689">
        <f t="shared" si="9"/>
        <v>1</v>
      </c>
    </row>
    <row r="572" spans="1:10" ht="12.75" customHeight="1" x14ac:dyDescent="0.2">
      <c r="A572" s="681" t="s">
        <v>2370</v>
      </c>
      <c r="B572" s="693" t="s">
        <v>3141</v>
      </c>
      <c r="C572" s="672" t="s">
        <v>828</v>
      </c>
      <c r="D572" s="673">
        <v>38403</v>
      </c>
      <c r="E572" s="674">
        <v>10</v>
      </c>
      <c r="F572" s="675">
        <v>0.1</v>
      </c>
      <c r="G572" s="676">
        <v>1</v>
      </c>
      <c r="H572" s="929">
        <v>0</v>
      </c>
      <c r="I572" s="929">
        <v>0</v>
      </c>
      <c r="J572" s="689">
        <f t="shared" si="9"/>
        <v>1</v>
      </c>
    </row>
    <row r="573" spans="1:10" ht="12.75" customHeight="1" x14ac:dyDescent="0.2">
      <c r="A573" s="681" t="s">
        <v>2370</v>
      </c>
      <c r="B573" s="693" t="s">
        <v>3142</v>
      </c>
      <c r="C573" s="672" t="s">
        <v>828</v>
      </c>
      <c r="D573" s="673">
        <v>38403</v>
      </c>
      <c r="E573" s="674">
        <v>10</v>
      </c>
      <c r="F573" s="675">
        <v>0.1</v>
      </c>
      <c r="G573" s="676">
        <v>1</v>
      </c>
      <c r="H573" s="929">
        <v>0</v>
      </c>
      <c r="I573" s="929">
        <v>0</v>
      </c>
      <c r="J573" s="689">
        <f t="shared" si="9"/>
        <v>1</v>
      </c>
    </row>
    <row r="574" spans="1:10" ht="12.75" customHeight="1" x14ac:dyDescent="0.2">
      <c r="A574" s="681" t="s">
        <v>2370</v>
      </c>
      <c r="B574" s="693" t="s">
        <v>3143</v>
      </c>
      <c r="C574" s="672" t="s">
        <v>828</v>
      </c>
      <c r="D574" s="673">
        <v>38403</v>
      </c>
      <c r="E574" s="674">
        <v>10</v>
      </c>
      <c r="F574" s="675">
        <v>0.1</v>
      </c>
      <c r="G574" s="676">
        <v>1</v>
      </c>
      <c r="H574" s="929">
        <v>0</v>
      </c>
      <c r="I574" s="929">
        <v>0</v>
      </c>
      <c r="J574" s="689">
        <f t="shared" si="9"/>
        <v>1</v>
      </c>
    </row>
    <row r="575" spans="1:10" ht="12.75" customHeight="1" x14ac:dyDescent="0.2">
      <c r="A575" s="681" t="s">
        <v>2370</v>
      </c>
      <c r="B575" s="693" t="s">
        <v>3144</v>
      </c>
      <c r="C575" s="672" t="s">
        <v>828</v>
      </c>
      <c r="D575" s="673">
        <v>38403</v>
      </c>
      <c r="E575" s="674">
        <v>10</v>
      </c>
      <c r="F575" s="675">
        <v>0.1</v>
      </c>
      <c r="G575" s="676">
        <v>1</v>
      </c>
      <c r="H575" s="929">
        <v>0</v>
      </c>
      <c r="I575" s="929">
        <v>0</v>
      </c>
      <c r="J575" s="689">
        <f t="shared" si="9"/>
        <v>1</v>
      </c>
    </row>
    <row r="576" spans="1:10" ht="12.75" customHeight="1" x14ac:dyDescent="0.2">
      <c r="A576" s="681" t="s">
        <v>2370</v>
      </c>
      <c r="B576" s="693" t="s">
        <v>3145</v>
      </c>
      <c r="C576" s="672" t="s">
        <v>828</v>
      </c>
      <c r="D576" s="673">
        <v>38403</v>
      </c>
      <c r="E576" s="674">
        <v>10</v>
      </c>
      <c r="F576" s="675">
        <v>0.1</v>
      </c>
      <c r="G576" s="676">
        <v>1</v>
      </c>
      <c r="H576" s="929">
        <v>0</v>
      </c>
      <c r="I576" s="929">
        <v>0</v>
      </c>
      <c r="J576" s="689">
        <f t="shared" si="9"/>
        <v>1</v>
      </c>
    </row>
    <row r="577" spans="1:10" ht="12.75" customHeight="1" x14ac:dyDescent="0.2">
      <c r="A577" s="681" t="s">
        <v>2370</v>
      </c>
      <c r="B577" s="693" t="s">
        <v>3146</v>
      </c>
      <c r="C577" s="672" t="s">
        <v>828</v>
      </c>
      <c r="D577" s="673">
        <v>38403</v>
      </c>
      <c r="E577" s="674">
        <v>10</v>
      </c>
      <c r="F577" s="675">
        <v>0.1</v>
      </c>
      <c r="G577" s="676">
        <v>1</v>
      </c>
      <c r="H577" s="929">
        <v>0</v>
      </c>
      <c r="I577" s="929">
        <v>0</v>
      </c>
      <c r="J577" s="689">
        <f t="shared" si="9"/>
        <v>1</v>
      </c>
    </row>
    <row r="578" spans="1:10" ht="12.75" customHeight="1" x14ac:dyDescent="0.2">
      <c r="A578" s="681" t="s">
        <v>2370</v>
      </c>
      <c r="B578" s="693" t="s">
        <v>3147</v>
      </c>
      <c r="C578" s="672" t="s">
        <v>828</v>
      </c>
      <c r="D578" s="673">
        <v>38403</v>
      </c>
      <c r="E578" s="674">
        <v>10</v>
      </c>
      <c r="F578" s="675">
        <v>0.1</v>
      </c>
      <c r="G578" s="676">
        <v>1</v>
      </c>
      <c r="H578" s="929">
        <v>0</v>
      </c>
      <c r="I578" s="929">
        <v>0</v>
      </c>
      <c r="J578" s="689">
        <f t="shared" si="9"/>
        <v>1</v>
      </c>
    </row>
    <row r="579" spans="1:10" ht="12.75" customHeight="1" x14ac:dyDescent="0.2">
      <c r="A579" s="681" t="s">
        <v>2370</v>
      </c>
      <c r="B579" s="693" t="s">
        <v>3148</v>
      </c>
      <c r="C579" s="672" t="s">
        <v>828</v>
      </c>
      <c r="D579" s="673">
        <v>38403</v>
      </c>
      <c r="E579" s="674">
        <v>10</v>
      </c>
      <c r="F579" s="675">
        <v>0.1</v>
      </c>
      <c r="G579" s="676">
        <v>1</v>
      </c>
      <c r="H579" s="929">
        <v>0</v>
      </c>
      <c r="I579" s="929">
        <v>0</v>
      </c>
      <c r="J579" s="689">
        <f t="shared" si="9"/>
        <v>1</v>
      </c>
    </row>
    <row r="580" spans="1:10" ht="12.75" customHeight="1" x14ac:dyDescent="0.2">
      <c r="A580" s="681" t="s">
        <v>2370</v>
      </c>
      <c r="B580" s="693" t="s">
        <v>3149</v>
      </c>
      <c r="C580" s="672" t="s">
        <v>828</v>
      </c>
      <c r="D580" s="673">
        <v>38403</v>
      </c>
      <c r="E580" s="674">
        <v>10</v>
      </c>
      <c r="F580" s="675">
        <v>0.1</v>
      </c>
      <c r="G580" s="676">
        <v>1</v>
      </c>
      <c r="H580" s="929">
        <v>0</v>
      </c>
      <c r="I580" s="929">
        <v>0</v>
      </c>
      <c r="J580" s="689">
        <f t="shared" si="9"/>
        <v>1</v>
      </c>
    </row>
    <row r="581" spans="1:10" ht="12.75" customHeight="1" x14ac:dyDescent="0.2">
      <c r="A581" s="681" t="s">
        <v>2370</v>
      </c>
      <c r="B581" s="693" t="s">
        <v>3150</v>
      </c>
      <c r="C581" s="672" t="s">
        <v>828</v>
      </c>
      <c r="D581" s="673">
        <v>38403</v>
      </c>
      <c r="E581" s="674">
        <v>10</v>
      </c>
      <c r="F581" s="675">
        <v>0.1</v>
      </c>
      <c r="G581" s="676">
        <v>1</v>
      </c>
      <c r="H581" s="929">
        <v>0</v>
      </c>
      <c r="I581" s="929">
        <v>0</v>
      </c>
      <c r="J581" s="689">
        <f t="shared" si="9"/>
        <v>1</v>
      </c>
    </row>
    <row r="582" spans="1:10" ht="12.75" customHeight="1" x14ac:dyDescent="0.2">
      <c r="A582" s="681" t="s">
        <v>2370</v>
      </c>
      <c r="B582" s="693" t="s">
        <v>3151</v>
      </c>
      <c r="C582" s="672" t="s">
        <v>828</v>
      </c>
      <c r="D582" s="673">
        <v>38403</v>
      </c>
      <c r="E582" s="674">
        <v>10</v>
      </c>
      <c r="F582" s="675">
        <v>0.1</v>
      </c>
      <c r="G582" s="676">
        <v>1</v>
      </c>
      <c r="H582" s="929">
        <v>0</v>
      </c>
      <c r="I582" s="929">
        <v>0</v>
      </c>
      <c r="J582" s="689">
        <f t="shared" si="9"/>
        <v>1</v>
      </c>
    </row>
    <row r="583" spans="1:10" ht="12.75" customHeight="1" x14ac:dyDescent="0.2">
      <c r="A583" s="681" t="s">
        <v>2370</v>
      </c>
      <c r="B583" s="693" t="s">
        <v>3152</v>
      </c>
      <c r="C583" s="672" t="s">
        <v>828</v>
      </c>
      <c r="D583" s="673">
        <v>38403</v>
      </c>
      <c r="E583" s="674">
        <v>10</v>
      </c>
      <c r="F583" s="675">
        <v>0.1</v>
      </c>
      <c r="G583" s="676">
        <v>1</v>
      </c>
      <c r="H583" s="929">
        <v>0</v>
      </c>
      <c r="I583" s="929">
        <v>0</v>
      </c>
      <c r="J583" s="689">
        <f t="shared" ref="J583:J646" si="10">G583-I583</f>
        <v>1</v>
      </c>
    </row>
    <row r="584" spans="1:10" ht="12.75" customHeight="1" x14ac:dyDescent="0.2">
      <c r="A584" s="681" t="s">
        <v>2370</v>
      </c>
      <c r="B584" s="693" t="s">
        <v>3153</v>
      </c>
      <c r="C584" s="672" t="s">
        <v>828</v>
      </c>
      <c r="D584" s="673">
        <v>38403</v>
      </c>
      <c r="E584" s="674">
        <v>10</v>
      </c>
      <c r="F584" s="675">
        <v>0.1</v>
      </c>
      <c r="G584" s="676">
        <v>1</v>
      </c>
      <c r="H584" s="929">
        <v>0</v>
      </c>
      <c r="I584" s="929">
        <v>0</v>
      </c>
      <c r="J584" s="689">
        <f t="shared" si="10"/>
        <v>1</v>
      </c>
    </row>
    <row r="585" spans="1:10" ht="12.75" customHeight="1" x14ac:dyDescent="0.2">
      <c r="A585" s="681" t="s">
        <v>2370</v>
      </c>
      <c r="B585" s="693" t="s">
        <v>3154</v>
      </c>
      <c r="C585" s="672" t="s">
        <v>828</v>
      </c>
      <c r="D585" s="673">
        <v>38403</v>
      </c>
      <c r="E585" s="674">
        <v>10</v>
      </c>
      <c r="F585" s="675">
        <v>0.1</v>
      </c>
      <c r="G585" s="676">
        <v>1</v>
      </c>
      <c r="H585" s="929">
        <v>0</v>
      </c>
      <c r="I585" s="929">
        <v>0</v>
      </c>
      <c r="J585" s="689">
        <f t="shared" si="10"/>
        <v>1</v>
      </c>
    </row>
    <row r="586" spans="1:10" ht="12.75" customHeight="1" x14ac:dyDescent="0.2">
      <c r="A586" s="681" t="s">
        <v>2370</v>
      </c>
      <c r="B586" s="693" t="s">
        <v>3155</v>
      </c>
      <c r="C586" s="672" t="s">
        <v>828</v>
      </c>
      <c r="D586" s="673">
        <v>38403</v>
      </c>
      <c r="E586" s="674">
        <v>10</v>
      </c>
      <c r="F586" s="675">
        <v>0.1</v>
      </c>
      <c r="G586" s="676">
        <v>1</v>
      </c>
      <c r="H586" s="929">
        <v>0</v>
      </c>
      <c r="I586" s="929">
        <v>0</v>
      </c>
      <c r="J586" s="689">
        <f t="shared" si="10"/>
        <v>1</v>
      </c>
    </row>
    <row r="587" spans="1:10" ht="12.75" customHeight="1" x14ac:dyDescent="0.2">
      <c r="A587" s="681" t="s">
        <v>2370</v>
      </c>
      <c r="B587" s="693" t="s">
        <v>3156</v>
      </c>
      <c r="C587" s="672" t="s">
        <v>828</v>
      </c>
      <c r="D587" s="673">
        <v>38403</v>
      </c>
      <c r="E587" s="674">
        <v>10</v>
      </c>
      <c r="F587" s="675">
        <v>0.1</v>
      </c>
      <c r="G587" s="676">
        <v>1</v>
      </c>
      <c r="H587" s="929">
        <v>0</v>
      </c>
      <c r="I587" s="929">
        <v>0</v>
      </c>
      <c r="J587" s="689">
        <f t="shared" si="10"/>
        <v>1</v>
      </c>
    </row>
    <row r="588" spans="1:10" ht="12.75" customHeight="1" x14ac:dyDescent="0.2">
      <c r="A588" s="681" t="s">
        <v>2370</v>
      </c>
      <c r="B588" s="693" t="s">
        <v>3157</v>
      </c>
      <c r="C588" s="672" t="s">
        <v>828</v>
      </c>
      <c r="D588" s="673">
        <v>38403</v>
      </c>
      <c r="E588" s="674">
        <v>10</v>
      </c>
      <c r="F588" s="675">
        <v>0.1</v>
      </c>
      <c r="G588" s="676">
        <v>1</v>
      </c>
      <c r="H588" s="929">
        <v>0</v>
      </c>
      <c r="I588" s="929">
        <v>0</v>
      </c>
      <c r="J588" s="689">
        <f t="shared" si="10"/>
        <v>1</v>
      </c>
    </row>
    <row r="589" spans="1:10" ht="12.75" customHeight="1" x14ac:dyDescent="0.2">
      <c r="A589" s="681" t="s">
        <v>2370</v>
      </c>
      <c r="B589" s="693" t="s">
        <v>3158</v>
      </c>
      <c r="C589" s="672" t="s">
        <v>828</v>
      </c>
      <c r="D589" s="673">
        <v>38403</v>
      </c>
      <c r="E589" s="674">
        <v>10</v>
      </c>
      <c r="F589" s="675">
        <v>0.1</v>
      </c>
      <c r="G589" s="676">
        <v>1</v>
      </c>
      <c r="H589" s="929">
        <v>0</v>
      </c>
      <c r="I589" s="929">
        <v>0</v>
      </c>
      <c r="J589" s="689">
        <f t="shared" si="10"/>
        <v>1</v>
      </c>
    </row>
    <row r="590" spans="1:10" ht="12.75" customHeight="1" x14ac:dyDescent="0.2">
      <c r="A590" s="681" t="s">
        <v>2370</v>
      </c>
      <c r="B590" s="693" t="s">
        <v>3159</v>
      </c>
      <c r="C590" s="672" t="s">
        <v>790</v>
      </c>
      <c r="D590" s="673">
        <v>38403</v>
      </c>
      <c r="E590" s="674">
        <v>10</v>
      </c>
      <c r="F590" s="675">
        <v>0.1</v>
      </c>
      <c r="G590" s="676">
        <v>1</v>
      </c>
      <c r="H590" s="929">
        <v>0</v>
      </c>
      <c r="I590" s="929">
        <v>0</v>
      </c>
      <c r="J590" s="689">
        <f t="shared" si="10"/>
        <v>1</v>
      </c>
    </row>
    <row r="591" spans="1:10" ht="12.75" customHeight="1" x14ac:dyDescent="0.2">
      <c r="A591" s="681" t="s">
        <v>2370</v>
      </c>
      <c r="B591" s="693" t="s">
        <v>3160</v>
      </c>
      <c r="C591" s="672" t="s">
        <v>790</v>
      </c>
      <c r="D591" s="673">
        <v>38403</v>
      </c>
      <c r="E591" s="674">
        <v>10</v>
      </c>
      <c r="F591" s="675">
        <v>0.1</v>
      </c>
      <c r="G591" s="676">
        <v>1</v>
      </c>
      <c r="H591" s="929">
        <v>0</v>
      </c>
      <c r="I591" s="929">
        <v>0</v>
      </c>
      <c r="J591" s="689">
        <f t="shared" si="10"/>
        <v>1</v>
      </c>
    </row>
    <row r="592" spans="1:10" ht="12.75" customHeight="1" x14ac:dyDescent="0.2">
      <c r="A592" s="681" t="s">
        <v>2370</v>
      </c>
      <c r="B592" s="693" t="s">
        <v>3161</v>
      </c>
      <c r="C592" s="672" t="s">
        <v>790</v>
      </c>
      <c r="D592" s="673">
        <v>38403</v>
      </c>
      <c r="E592" s="674">
        <v>10</v>
      </c>
      <c r="F592" s="675">
        <v>0.1</v>
      </c>
      <c r="G592" s="676">
        <v>1</v>
      </c>
      <c r="H592" s="929">
        <v>0</v>
      </c>
      <c r="I592" s="929">
        <v>0</v>
      </c>
      <c r="J592" s="689">
        <f t="shared" si="10"/>
        <v>1</v>
      </c>
    </row>
    <row r="593" spans="1:10" ht="12.75" customHeight="1" x14ac:dyDescent="0.2">
      <c r="A593" s="681" t="s">
        <v>2370</v>
      </c>
      <c r="B593" s="693" t="s">
        <v>3162</v>
      </c>
      <c r="C593" s="672" t="s">
        <v>790</v>
      </c>
      <c r="D593" s="673">
        <v>38403</v>
      </c>
      <c r="E593" s="674">
        <v>10</v>
      </c>
      <c r="F593" s="675">
        <v>0.1</v>
      </c>
      <c r="G593" s="676">
        <v>1</v>
      </c>
      <c r="H593" s="929">
        <v>0</v>
      </c>
      <c r="I593" s="929">
        <v>0</v>
      </c>
      <c r="J593" s="689">
        <f t="shared" si="10"/>
        <v>1</v>
      </c>
    </row>
    <row r="594" spans="1:10" ht="12.75" customHeight="1" x14ac:dyDescent="0.2">
      <c r="A594" s="681" t="s">
        <v>2370</v>
      </c>
      <c r="B594" s="693" t="s">
        <v>3163</v>
      </c>
      <c r="C594" s="672" t="s">
        <v>790</v>
      </c>
      <c r="D594" s="673">
        <v>38403</v>
      </c>
      <c r="E594" s="674">
        <v>10</v>
      </c>
      <c r="F594" s="675">
        <v>0.1</v>
      </c>
      <c r="G594" s="676">
        <v>1</v>
      </c>
      <c r="H594" s="929">
        <v>0</v>
      </c>
      <c r="I594" s="929">
        <v>0</v>
      </c>
      <c r="J594" s="689">
        <f t="shared" si="10"/>
        <v>1</v>
      </c>
    </row>
    <row r="595" spans="1:10" ht="12.75" customHeight="1" x14ac:dyDescent="0.2">
      <c r="A595" s="681" t="s">
        <v>2370</v>
      </c>
      <c r="B595" s="693" t="s">
        <v>3164</v>
      </c>
      <c r="C595" s="672" t="s">
        <v>790</v>
      </c>
      <c r="D595" s="673">
        <v>38403</v>
      </c>
      <c r="E595" s="674">
        <v>10</v>
      </c>
      <c r="F595" s="675">
        <v>0.1</v>
      </c>
      <c r="G595" s="676">
        <v>1</v>
      </c>
      <c r="H595" s="929">
        <v>0</v>
      </c>
      <c r="I595" s="929">
        <v>0</v>
      </c>
      <c r="J595" s="689">
        <f t="shared" si="10"/>
        <v>1</v>
      </c>
    </row>
    <row r="596" spans="1:10" ht="12.75" customHeight="1" x14ac:dyDescent="0.2">
      <c r="A596" s="681" t="s">
        <v>2370</v>
      </c>
      <c r="B596" s="693" t="s">
        <v>3165</v>
      </c>
      <c r="C596" s="672" t="s">
        <v>790</v>
      </c>
      <c r="D596" s="673">
        <v>38403</v>
      </c>
      <c r="E596" s="674">
        <v>10</v>
      </c>
      <c r="F596" s="675">
        <v>0.1</v>
      </c>
      <c r="G596" s="676">
        <v>1</v>
      </c>
      <c r="H596" s="929">
        <v>0</v>
      </c>
      <c r="I596" s="929">
        <v>0</v>
      </c>
      <c r="J596" s="689">
        <f t="shared" si="10"/>
        <v>1</v>
      </c>
    </row>
    <row r="597" spans="1:10" ht="12.75" customHeight="1" x14ac:dyDescent="0.2">
      <c r="A597" s="681" t="s">
        <v>2370</v>
      </c>
      <c r="B597" s="693" t="s">
        <v>3166</v>
      </c>
      <c r="C597" s="672" t="s">
        <v>790</v>
      </c>
      <c r="D597" s="673">
        <v>38403</v>
      </c>
      <c r="E597" s="674">
        <v>10</v>
      </c>
      <c r="F597" s="675">
        <v>0.1</v>
      </c>
      <c r="G597" s="676">
        <v>1</v>
      </c>
      <c r="H597" s="929">
        <v>0</v>
      </c>
      <c r="I597" s="929">
        <v>0</v>
      </c>
      <c r="J597" s="689">
        <f t="shared" si="10"/>
        <v>1</v>
      </c>
    </row>
    <row r="598" spans="1:10" ht="12.75" customHeight="1" x14ac:dyDescent="0.2">
      <c r="A598" s="681" t="s">
        <v>2370</v>
      </c>
      <c r="B598" s="693" t="s">
        <v>3167</v>
      </c>
      <c r="C598" s="672" t="s">
        <v>785</v>
      </c>
      <c r="D598" s="673">
        <v>33289</v>
      </c>
      <c r="E598" s="674">
        <v>10</v>
      </c>
      <c r="F598" s="675">
        <v>0.1</v>
      </c>
      <c r="G598" s="676">
        <v>1</v>
      </c>
      <c r="H598" s="929">
        <v>0</v>
      </c>
      <c r="I598" s="929">
        <v>0</v>
      </c>
      <c r="J598" s="689">
        <f t="shared" si="10"/>
        <v>1</v>
      </c>
    </row>
    <row r="599" spans="1:10" ht="12.75" customHeight="1" x14ac:dyDescent="0.2">
      <c r="A599" s="681" t="s">
        <v>2370</v>
      </c>
      <c r="B599" s="693" t="s">
        <v>3168</v>
      </c>
      <c r="C599" s="672" t="s">
        <v>785</v>
      </c>
      <c r="D599" s="673">
        <v>38403</v>
      </c>
      <c r="E599" s="674">
        <v>10</v>
      </c>
      <c r="F599" s="675">
        <v>0.1</v>
      </c>
      <c r="G599" s="676">
        <v>1</v>
      </c>
      <c r="H599" s="929">
        <v>0</v>
      </c>
      <c r="I599" s="929">
        <v>0</v>
      </c>
      <c r="J599" s="689">
        <f t="shared" si="10"/>
        <v>1</v>
      </c>
    </row>
    <row r="600" spans="1:10" ht="12.75" customHeight="1" x14ac:dyDescent="0.2">
      <c r="A600" s="681" t="s">
        <v>2370</v>
      </c>
      <c r="B600" s="693" t="s">
        <v>3169</v>
      </c>
      <c r="C600" s="672" t="s">
        <v>785</v>
      </c>
      <c r="D600" s="673">
        <v>38403</v>
      </c>
      <c r="E600" s="674">
        <v>10</v>
      </c>
      <c r="F600" s="675">
        <v>0.1</v>
      </c>
      <c r="G600" s="676">
        <v>1</v>
      </c>
      <c r="H600" s="929">
        <v>0</v>
      </c>
      <c r="I600" s="929">
        <v>0</v>
      </c>
      <c r="J600" s="689">
        <f t="shared" si="10"/>
        <v>1</v>
      </c>
    </row>
    <row r="601" spans="1:10" ht="12.75" customHeight="1" x14ac:dyDescent="0.2">
      <c r="A601" s="681" t="s">
        <v>2370</v>
      </c>
      <c r="B601" s="693" t="s">
        <v>3170</v>
      </c>
      <c r="C601" s="672" t="s">
        <v>785</v>
      </c>
      <c r="D601" s="673">
        <v>38403</v>
      </c>
      <c r="E601" s="674">
        <v>10</v>
      </c>
      <c r="F601" s="675">
        <v>0.1</v>
      </c>
      <c r="G601" s="676">
        <v>1</v>
      </c>
      <c r="H601" s="929">
        <v>0</v>
      </c>
      <c r="I601" s="929">
        <v>0</v>
      </c>
      <c r="J601" s="689">
        <f t="shared" si="10"/>
        <v>1</v>
      </c>
    </row>
    <row r="602" spans="1:10" ht="12.75" customHeight="1" x14ac:dyDescent="0.2">
      <c r="A602" s="681" t="s">
        <v>2370</v>
      </c>
      <c r="B602" s="693" t="s">
        <v>3171</v>
      </c>
      <c r="C602" s="672" t="s">
        <v>785</v>
      </c>
      <c r="D602" s="673">
        <v>38403</v>
      </c>
      <c r="E602" s="674">
        <v>10</v>
      </c>
      <c r="F602" s="675">
        <v>0.1</v>
      </c>
      <c r="G602" s="676">
        <v>1</v>
      </c>
      <c r="H602" s="929">
        <v>0</v>
      </c>
      <c r="I602" s="929">
        <v>0</v>
      </c>
      <c r="J602" s="689">
        <f t="shared" si="10"/>
        <v>1</v>
      </c>
    </row>
    <row r="603" spans="1:10" ht="12.75" customHeight="1" x14ac:dyDescent="0.2">
      <c r="A603" s="681" t="s">
        <v>2370</v>
      </c>
      <c r="B603" s="693" t="s">
        <v>3172</v>
      </c>
      <c r="C603" s="672" t="s">
        <v>785</v>
      </c>
      <c r="D603" s="673">
        <v>38403</v>
      </c>
      <c r="E603" s="674">
        <v>10</v>
      </c>
      <c r="F603" s="675">
        <v>0.1</v>
      </c>
      <c r="G603" s="676">
        <v>1</v>
      </c>
      <c r="H603" s="929">
        <v>0</v>
      </c>
      <c r="I603" s="929">
        <v>0</v>
      </c>
      <c r="J603" s="689">
        <f t="shared" si="10"/>
        <v>1</v>
      </c>
    </row>
    <row r="604" spans="1:10" ht="12.75" customHeight="1" x14ac:dyDescent="0.2">
      <c r="A604" s="681" t="s">
        <v>2370</v>
      </c>
      <c r="B604" s="693" t="s">
        <v>3173</v>
      </c>
      <c r="C604" s="672" t="s">
        <v>785</v>
      </c>
      <c r="D604" s="673">
        <v>38403</v>
      </c>
      <c r="E604" s="674">
        <v>10</v>
      </c>
      <c r="F604" s="675">
        <v>0.1</v>
      </c>
      <c r="G604" s="676">
        <v>1</v>
      </c>
      <c r="H604" s="929">
        <v>0</v>
      </c>
      <c r="I604" s="929">
        <v>0</v>
      </c>
      <c r="J604" s="689">
        <f t="shared" si="10"/>
        <v>1</v>
      </c>
    </row>
    <row r="605" spans="1:10" ht="12.75" customHeight="1" x14ac:dyDescent="0.2">
      <c r="A605" s="681" t="s">
        <v>2370</v>
      </c>
      <c r="B605" s="693" t="s">
        <v>3174</v>
      </c>
      <c r="C605" s="672" t="s">
        <v>785</v>
      </c>
      <c r="D605" s="673">
        <v>38403</v>
      </c>
      <c r="E605" s="674">
        <v>10</v>
      </c>
      <c r="F605" s="675">
        <v>0.1</v>
      </c>
      <c r="G605" s="676">
        <v>1</v>
      </c>
      <c r="H605" s="929">
        <v>0</v>
      </c>
      <c r="I605" s="929">
        <v>0</v>
      </c>
      <c r="J605" s="689">
        <f t="shared" si="10"/>
        <v>1</v>
      </c>
    </row>
    <row r="606" spans="1:10" ht="12.75" customHeight="1" x14ac:dyDescent="0.2">
      <c r="A606" s="681" t="s">
        <v>2370</v>
      </c>
      <c r="B606" s="693" t="s">
        <v>3175</v>
      </c>
      <c r="C606" s="672" t="s">
        <v>785</v>
      </c>
      <c r="D606" s="673">
        <v>38403</v>
      </c>
      <c r="E606" s="674">
        <v>10</v>
      </c>
      <c r="F606" s="675">
        <v>0.1</v>
      </c>
      <c r="G606" s="676">
        <v>1</v>
      </c>
      <c r="H606" s="929">
        <v>0</v>
      </c>
      <c r="I606" s="929">
        <v>0</v>
      </c>
      <c r="J606" s="689">
        <f t="shared" si="10"/>
        <v>1</v>
      </c>
    </row>
    <row r="607" spans="1:10" ht="12.75" customHeight="1" x14ac:dyDescent="0.2">
      <c r="A607" s="681" t="s">
        <v>2370</v>
      </c>
      <c r="B607" s="693" t="s">
        <v>3176</v>
      </c>
      <c r="C607" s="672" t="s">
        <v>785</v>
      </c>
      <c r="D607" s="673">
        <v>38403</v>
      </c>
      <c r="E607" s="674">
        <v>10</v>
      </c>
      <c r="F607" s="675">
        <v>0.1</v>
      </c>
      <c r="G607" s="676">
        <v>1</v>
      </c>
      <c r="H607" s="929">
        <v>0</v>
      </c>
      <c r="I607" s="929">
        <v>0</v>
      </c>
      <c r="J607" s="689">
        <f t="shared" si="10"/>
        <v>1</v>
      </c>
    </row>
    <row r="608" spans="1:10" ht="12.75" customHeight="1" x14ac:dyDescent="0.2">
      <c r="A608" s="681" t="s">
        <v>2370</v>
      </c>
      <c r="B608" s="693" t="s">
        <v>3177</v>
      </c>
      <c r="C608" s="672" t="s">
        <v>785</v>
      </c>
      <c r="D608" s="673">
        <v>38403</v>
      </c>
      <c r="E608" s="674">
        <v>10</v>
      </c>
      <c r="F608" s="675">
        <v>0.1</v>
      </c>
      <c r="G608" s="676">
        <v>1</v>
      </c>
      <c r="H608" s="929">
        <v>0</v>
      </c>
      <c r="I608" s="929">
        <v>0</v>
      </c>
      <c r="J608" s="689">
        <f t="shared" si="10"/>
        <v>1</v>
      </c>
    </row>
    <row r="609" spans="1:10" ht="12.75" customHeight="1" x14ac:dyDescent="0.2">
      <c r="A609" s="681" t="s">
        <v>2370</v>
      </c>
      <c r="B609" s="693" t="s">
        <v>3178</v>
      </c>
      <c r="C609" s="672" t="s">
        <v>785</v>
      </c>
      <c r="D609" s="673">
        <v>38403</v>
      </c>
      <c r="E609" s="674">
        <v>10</v>
      </c>
      <c r="F609" s="675">
        <v>0.1</v>
      </c>
      <c r="G609" s="676">
        <v>1</v>
      </c>
      <c r="H609" s="929">
        <v>0</v>
      </c>
      <c r="I609" s="929">
        <v>0</v>
      </c>
      <c r="J609" s="689">
        <f t="shared" si="10"/>
        <v>1</v>
      </c>
    </row>
    <row r="610" spans="1:10" ht="12.75" customHeight="1" x14ac:dyDescent="0.2">
      <c r="A610" s="681" t="s">
        <v>2370</v>
      </c>
      <c r="B610" s="693" t="s">
        <v>3179</v>
      </c>
      <c r="C610" s="672" t="s">
        <v>785</v>
      </c>
      <c r="D610" s="673">
        <v>38403</v>
      </c>
      <c r="E610" s="674">
        <v>10</v>
      </c>
      <c r="F610" s="675">
        <v>0.1</v>
      </c>
      <c r="G610" s="676">
        <v>1</v>
      </c>
      <c r="H610" s="929">
        <v>0</v>
      </c>
      <c r="I610" s="929">
        <v>0</v>
      </c>
      <c r="J610" s="689">
        <f t="shared" si="10"/>
        <v>1</v>
      </c>
    </row>
    <row r="611" spans="1:10" ht="12.75" customHeight="1" x14ac:dyDescent="0.2">
      <c r="A611" s="681" t="s">
        <v>2370</v>
      </c>
      <c r="B611" s="693" t="s">
        <v>3180</v>
      </c>
      <c r="C611" s="672" t="s">
        <v>785</v>
      </c>
      <c r="D611" s="673">
        <v>38403</v>
      </c>
      <c r="E611" s="674">
        <v>10</v>
      </c>
      <c r="F611" s="675">
        <v>0.1</v>
      </c>
      <c r="G611" s="676">
        <v>1</v>
      </c>
      <c r="H611" s="929">
        <v>0</v>
      </c>
      <c r="I611" s="929">
        <v>0</v>
      </c>
      <c r="J611" s="689">
        <f t="shared" si="10"/>
        <v>1</v>
      </c>
    </row>
    <row r="612" spans="1:10" ht="12.75" customHeight="1" x14ac:dyDescent="0.2">
      <c r="A612" s="681" t="s">
        <v>2370</v>
      </c>
      <c r="B612" s="693" t="s">
        <v>3181</v>
      </c>
      <c r="C612" s="672" t="s">
        <v>785</v>
      </c>
      <c r="D612" s="673">
        <v>38403</v>
      </c>
      <c r="E612" s="674">
        <v>10</v>
      </c>
      <c r="F612" s="675">
        <v>0.1</v>
      </c>
      <c r="G612" s="676">
        <v>1</v>
      </c>
      <c r="H612" s="929">
        <v>0</v>
      </c>
      <c r="I612" s="929">
        <v>0</v>
      </c>
      <c r="J612" s="689">
        <f t="shared" si="10"/>
        <v>1</v>
      </c>
    </row>
    <row r="613" spans="1:10" ht="12.75" customHeight="1" x14ac:dyDescent="0.2">
      <c r="A613" s="681" t="s">
        <v>2370</v>
      </c>
      <c r="B613" s="693" t="s">
        <v>3182</v>
      </c>
      <c r="C613" s="672" t="s">
        <v>818</v>
      </c>
      <c r="D613" s="673">
        <v>38403</v>
      </c>
      <c r="E613" s="674">
        <v>10</v>
      </c>
      <c r="F613" s="675">
        <v>0.1</v>
      </c>
      <c r="G613" s="676">
        <v>1</v>
      </c>
      <c r="H613" s="929">
        <v>0</v>
      </c>
      <c r="I613" s="929">
        <v>0</v>
      </c>
      <c r="J613" s="689">
        <f t="shared" si="10"/>
        <v>1</v>
      </c>
    </row>
    <row r="614" spans="1:10" ht="12.75" customHeight="1" x14ac:dyDescent="0.2">
      <c r="A614" s="681" t="s">
        <v>2370</v>
      </c>
      <c r="B614" s="693" t="s">
        <v>3183</v>
      </c>
      <c r="C614" s="672" t="s">
        <v>790</v>
      </c>
      <c r="D614" s="673">
        <v>33289</v>
      </c>
      <c r="E614" s="674">
        <v>10</v>
      </c>
      <c r="F614" s="675">
        <v>0.1</v>
      </c>
      <c r="G614" s="676">
        <v>1</v>
      </c>
      <c r="H614" s="929">
        <v>0</v>
      </c>
      <c r="I614" s="929">
        <v>0</v>
      </c>
      <c r="J614" s="689">
        <f t="shared" si="10"/>
        <v>1</v>
      </c>
    </row>
    <row r="615" spans="1:10" ht="12.75" customHeight="1" x14ac:dyDescent="0.2">
      <c r="A615" s="681" t="s">
        <v>2370</v>
      </c>
      <c r="B615" s="693" t="s">
        <v>3184</v>
      </c>
      <c r="C615" s="672" t="s">
        <v>791</v>
      </c>
      <c r="D615" s="673">
        <v>32924</v>
      </c>
      <c r="E615" s="674">
        <v>10</v>
      </c>
      <c r="F615" s="675">
        <v>0.1</v>
      </c>
      <c r="G615" s="676">
        <v>1</v>
      </c>
      <c r="H615" s="929">
        <v>0</v>
      </c>
      <c r="I615" s="929">
        <v>0</v>
      </c>
      <c r="J615" s="689">
        <f t="shared" si="10"/>
        <v>1</v>
      </c>
    </row>
    <row r="616" spans="1:10" ht="12.75" customHeight="1" x14ac:dyDescent="0.2">
      <c r="A616" s="681" t="s">
        <v>2370</v>
      </c>
      <c r="B616" s="693" t="s">
        <v>3185</v>
      </c>
      <c r="C616" s="672" t="s">
        <v>787</v>
      </c>
      <c r="D616" s="673">
        <v>32924</v>
      </c>
      <c r="E616" s="674">
        <v>10</v>
      </c>
      <c r="F616" s="675">
        <v>0.1</v>
      </c>
      <c r="G616" s="676">
        <v>1</v>
      </c>
      <c r="H616" s="929">
        <v>0</v>
      </c>
      <c r="I616" s="929">
        <v>0</v>
      </c>
      <c r="J616" s="689">
        <f t="shared" si="10"/>
        <v>1</v>
      </c>
    </row>
    <row r="617" spans="1:10" ht="12.75" customHeight="1" x14ac:dyDescent="0.2">
      <c r="A617" s="681" t="s">
        <v>2370</v>
      </c>
      <c r="B617" s="693" t="s">
        <v>3186</v>
      </c>
      <c r="C617" s="672" t="s">
        <v>828</v>
      </c>
      <c r="D617" s="673">
        <v>33289</v>
      </c>
      <c r="E617" s="674">
        <v>10</v>
      </c>
      <c r="F617" s="675">
        <v>0.1</v>
      </c>
      <c r="G617" s="676">
        <v>1</v>
      </c>
      <c r="H617" s="929">
        <v>0</v>
      </c>
      <c r="I617" s="929">
        <v>0</v>
      </c>
      <c r="J617" s="689">
        <f t="shared" si="10"/>
        <v>1</v>
      </c>
    </row>
    <row r="618" spans="1:10" ht="12.75" customHeight="1" x14ac:dyDescent="0.2">
      <c r="A618" s="681" t="s">
        <v>2370</v>
      </c>
      <c r="B618" s="693" t="s">
        <v>3187</v>
      </c>
      <c r="C618" s="672" t="s">
        <v>828</v>
      </c>
      <c r="D618" s="673">
        <v>33289</v>
      </c>
      <c r="E618" s="674">
        <v>10</v>
      </c>
      <c r="F618" s="675">
        <v>0.1</v>
      </c>
      <c r="G618" s="676">
        <v>1</v>
      </c>
      <c r="H618" s="929">
        <v>0</v>
      </c>
      <c r="I618" s="929">
        <v>0</v>
      </c>
      <c r="J618" s="689">
        <f t="shared" si="10"/>
        <v>1</v>
      </c>
    </row>
    <row r="619" spans="1:10" ht="12.75" customHeight="1" x14ac:dyDescent="0.2">
      <c r="A619" s="681" t="s">
        <v>2370</v>
      </c>
      <c r="B619" s="693" t="s">
        <v>3188</v>
      </c>
      <c r="C619" s="672" t="s">
        <v>828</v>
      </c>
      <c r="D619" s="673">
        <v>33289</v>
      </c>
      <c r="E619" s="674">
        <v>10</v>
      </c>
      <c r="F619" s="675">
        <v>0.1</v>
      </c>
      <c r="G619" s="676">
        <v>1</v>
      </c>
      <c r="H619" s="929">
        <v>0</v>
      </c>
      <c r="I619" s="929">
        <v>0</v>
      </c>
      <c r="J619" s="689">
        <f t="shared" si="10"/>
        <v>1</v>
      </c>
    </row>
    <row r="620" spans="1:10" ht="12.75" customHeight="1" x14ac:dyDescent="0.2">
      <c r="A620" s="681" t="s">
        <v>2370</v>
      </c>
      <c r="B620" s="693" t="s">
        <v>3189</v>
      </c>
      <c r="C620" s="672" t="s">
        <v>790</v>
      </c>
      <c r="D620" s="673">
        <v>39498</v>
      </c>
      <c r="E620" s="674">
        <v>10</v>
      </c>
      <c r="F620" s="675">
        <v>0.1</v>
      </c>
      <c r="G620" s="676">
        <v>1</v>
      </c>
      <c r="H620" s="929">
        <v>0</v>
      </c>
      <c r="I620" s="929">
        <v>0</v>
      </c>
      <c r="J620" s="689">
        <f t="shared" si="10"/>
        <v>1</v>
      </c>
    </row>
    <row r="621" spans="1:10" ht="12.75" customHeight="1" x14ac:dyDescent="0.2">
      <c r="A621" s="681" t="s">
        <v>2370</v>
      </c>
      <c r="B621" s="693" t="s">
        <v>3190</v>
      </c>
      <c r="C621" s="672" t="s">
        <v>790</v>
      </c>
      <c r="D621" s="673">
        <v>33289</v>
      </c>
      <c r="E621" s="674">
        <v>10</v>
      </c>
      <c r="F621" s="675">
        <v>0.1</v>
      </c>
      <c r="G621" s="676">
        <v>1</v>
      </c>
      <c r="H621" s="929">
        <v>0</v>
      </c>
      <c r="I621" s="929">
        <v>0</v>
      </c>
      <c r="J621" s="689">
        <f t="shared" si="10"/>
        <v>1</v>
      </c>
    </row>
    <row r="622" spans="1:10" ht="12.75" customHeight="1" x14ac:dyDescent="0.2">
      <c r="A622" s="681" t="s">
        <v>2370</v>
      </c>
      <c r="B622" s="693" t="s">
        <v>3191</v>
      </c>
      <c r="C622" s="672" t="s">
        <v>828</v>
      </c>
      <c r="D622" s="673">
        <v>38403</v>
      </c>
      <c r="E622" s="674">
        <v>10</v>
      </c>
      <c r="F622" s="675">
        <v>0.1</v>
      </c>
      <c r="G622" s="676">
        <v>1</v>
      </c>
      <c r="H622" s="929">
        <v>0</v>
      </c>
      <c r="I622" s="929">
        <v>0</v>
      </c>
      <c r="J622" s="689">
        <f t="shared" si="10"/>
        <v>1</v>
      </c>
    </row>
    <row r="623" spans="1:10" ht="12.75" customHeight="1" x14ac:dyDescent="0.2">
      <c r="A623" s="681" t="s">
        <v>2370</v>
      </c>
      <c r="B623" s="693" t="s">
        <v>3192</v>
      </c>
      <c r="C623" s="672" t="s">
        <v>828</v>
      </c>
      <c r="D623" s="673">
        <v>38403</v>
      </c>
      <c r="E623" s="674">
        <v>10</v>
      </c>
      <c r="F623" s="675">
        <v>0.1</v>
      </c>
      <c r="G623" s="676">
        <v>1</v>
      </c>
      <c r="H623" s="929">
        <v>0</v>
      </c>
      <c r="I623" s="929">
        <v>0</v>
      </c>
      <c r="J623" s="689">
        <f t="shared" si="10"/>
        <v>1</v>
      </c>
    </row>
    <row r="624" spans="1:10" ht="12.75" customHeight="1" x14ac:dyDescent="0.2">
      <c r="A624" s="681" t="s">
        <v>2370</v>
      </c>
      <c r="B624" s="693" t="s">
        <v>3193</v>
      </c>
      <c r="C624" s="672" t="s">
        <v>828</v>
      </c>
      <c r="D624" s="673">
        <v>38403</v>
      </c>
      <c r="E624" s="674">
        <v>10</v>
      </c>
      <c r="F624" s="675">
        <v>0.1</v>
      </c>
      <c r="G624" s="676">
        <v>1</v>
      </c>
      <c r="H624" s="929">
        <v>0</v>
      </c>
      <c r="I624" s="929">
        <v>0</v>
      </c>
      <c r="J624" s="689">
        <f t="shared" si="10"/>
        <v>1</v>
      </c>
    </row>
    <row r="625" spans="1:10" ht="12.75" customHeight="1" x14ac:dyDescent="0.2">
      <c r="A625" s="681" t="s">
        <v>2370</v>
      </c>
      <c r="B625" s="693" t="s">
        <v>3194</v>
      </c>
      <c r="C625" s="672" t="s">
        <v>828</v>
      </c>
      <c r="D625" s="673">
        <v>38403</v>
      </c>
      <c r="E625" s="674">
        <v>10</v>
      </c>
      <c r="F625" s="675">
        <v>0.1</v>
      </c>
      <c r="G625" s="676">
        <v>1</v>
      </c>
      <c r="H625" s="929">
        <v>0</v>
      </c>
      <c r="I625" s="929">
        <v>0</v>
      </c>
      <c r="J625" s="689">
        <f t="shared" si="10"/>
        <v>1</v>
      </c>
    </row>
    <row r="626" spans="1:10" ht="12.75" customHeight="1" x14ac:dyDescent="0.2">
      <c r="A626" s="681" t="s">
        <v>2370</v>
      </c>
      <c r="B626" s="693" t="s">
        <v>3195</v>
      </c>
      <c r="C626" s="672" t="s">
        <v>828</v>
      </c>
      <c r="D626" s="673">
        <v>38403</v>
      </c>
      <c r="E626" s="674">
        <v>10</v>
      </c>
      <c r="F626" s="675">
        <v>0.1</v>
      </c>
      <c r="G626" s="676">
        <v>1</v>
      </c>
      <c r="H626" s="929">
        <v>0</v>
      </c>
      <c r="I626" s="929">
        <v>0</v>
      </c>
      <c r="J626" s="689">
        <f t="shared" si="10"/>
        <v>1</v>
      </c>
    </row>
    <row r="627" spans="1:10" ht="12.75" customHeight="1" x14ac:dyDescent="0.2">
      <c r="A627" s="681" t="s">
        <v>2370</v>
      </c>
      <c r="B627" s="693" t="s">
        <v>3196</v>
      </c>
      <c r="C627" s="672" t="s">
        <v>828</v>
      </c>
      <c r="D627" s="673">
        <v>38403</v>
      </c>
      <c r="E627" s="674">
        <v>10</v>
      </c>
      <c r="F627" s="675">
        <v>0.1</v>
      </c>
      <c r="G627" s="676">
        <v>1</v>
      </c>
      <c r="H627" s="929">
        <v>0</v>
      </c>
      <c r="I627" s="929">
        <v>0</v>
      </c>
      <c r="J627" s="689">
        <f t="shared" si="10"/>
        <v>1</v>
      </c>
    </row>
    <row r="628" spans="1:10" ht="12.75" customHeight="1" x14ac:dyDescent="0.2">
      <c r="A628" s="681" t="s">
        <v>2370</v>
      </c>
      <c r="B628" s="693" t="s">
        <v>3197</v>
      </c>
      <c r="C628" s="672" t="s">
        <v>828</v>
      </c>
      <c r="D628" s="673">
        <v>38403</v>
      </c>
      <c r="E628" s="674">
        <v>10</v>
      </c>
      <c r="F628" s="675">
        <v>0.1</v>
      </c>
      <c r="G628" s="676">
        <v>1</v>
      </c>
      <c r="H628" s="929">
        <v>0</v>
      </c>
      <c r="I628" s="929">
        <v>0</v>
      </c>
      <c r="J628" s="689">
        <f t="shared" si="10"/>
        <v>1</v>
      </c>
    </row>
    <row r="629" spans="1:10" ht="12.75" customHeight="1" x14ac:dyDescent="0.2">
      <c r="A629" s="681" t="s">
        <v>2370</v>
      </c>
      <c r="B629" s="693" t="s">
        <v>3198</v>
      </c>
      <c r="C629" s="672" t="s">
        <v>828</v>
      </c>
      <c r="D629" s="673">
        <v>38403</v>
      </c>
      <c r="E629" s="674">
        <v>10</v>
      </c>
      <c r="F629" s="675">
        <v>0.1</v>
      </c>
      <c r="G629" s="676">
        <v>1</v>
      </c>
      <c r="H629" s="929">
        <v>0</v>
      </c>
      <c r="I629" s="929">
        <v>0</v>
      </c>
      <c r="J629" s="689">
        <f t="shared" si="10"/>
        <v>1</v>
      </c>
    </row>
    <row r="630" spans="1:10" ht="12.75" customHeight="1" x14ac:dyDescent="0.2">
      <c r="A630" s="681" t="s">
        <v>2370</v>
      </c>
      <c r="B630" s="693" t="s">
        <v>3199</v>
      </c>
      <c r="C630" s="672" t="s">
        <v>828</v>
      </c>
      <c r="D630" s="673">
        <v>38403</v>
      </c>
      <c r="E630" s="674">
        <v>10</v>
      </c>
      <c r="F630" s="675">
        <v>0.1</v>
      </c>
      <c r="G630" s="676">
        <v>1</v>
      </c>
      <c r="H630" s="929">
        <v>0</v>
      </c>
      <c r="I630" s="929">
        <v>0</v>
      </c>
      <c r="J630" s="689">
        <f t="shared" si="10"/>
        <v>1</v>
      </c>
    </row>
    <row r="631" spans="1:10" ht="12.75" customHeight="1" x14ac:dyDescent="0.2">
      <c r="A631" s="681" t="s">
        <v>2370</v>
      </c>
      <c r="B631" s="693" t="s">
        <v>3200</v>
      </c>
      <c r="C631" s="672" t="s">
        <v>787</v>
      </c>
      <c r="D631" s="673">
        <v>36576</v>
      </c>
      <c r="E631" s="674">
        <v>10</v>
      </c>
      <c r="F631" s="675">
        <v>0.1</v>
      </c>
      <c r="G631" s="676">
        <v>1</v>
      </c>
      <c r="H631" s="929">
        <v>0</v>
      </c>
      <c r="I631" s="929">
        <v>0</v>
      </c>
      <c r="J631" s="689">
        <f t="shared" si="10"/>
        <v>1</v>
      </c>
    </row>
    <row r="632" spans="1:10" ht="12.75" customHeight="1" x14ac:dyDescent="0.2">
      <c r="A632" s="681" t="s">
        <v>2370</v>
      </c>
      <c r="B632" s="693" t="s">
        <v>3201</v>
      </c>
      <c r="C632" s="672" t="s">
        <v>828</v>
      </c>
      <c r="D632" s="673">
        <v>33289</v>
      </c>
      <c r="E632" s="674">
        <v>10</v>
      </c>
      <c r="F632" s="675">
        <v>0.1</v>
      </c>
      <c r="G632" s="676">
        <v>1</v>
      </c>
      <c r="H632" s="929">
        <v>0</v>
      </c>
      <c r="I632" s="929">
        <v>0</v>
      </c>
      <c r="J632" s="689">
        <f t="shared" si="10"/>
        <v>1</v>
      </c>
    </row>
    <row r="633" spans="1:10" ht="12.75" customHeight="1" x14ac:dyDescent="0.2">
      <c r="A633" s="681" t="s">
        <v>2370</v>
      </c>
      <c r="B633" s="693" t="s">
        <v>3202</v>
      </c>
      <c r="C633" s="672" t="s">
        <v>828</v>
      </c>
      <c r="D633" s="673">
        <v>33289</v>
      </c>
      <c r="E633" s="674">
        <v>10</v>
      </c>
      <c r="F633" s="675">
        <v>0.1</v>
      </c>
      <c r="G633" s="676">
        <v>1</v>
      </c>
      <c r="H633" s="929">
        <v>0</v>
      </c>
      <c r="I633" s="929">
        <v>0</v>
      </c>
      <c r="J633" s="689">
        <f t="shared" si="10"/>
        <v>1</v>
      </c>
    </row>
    <row r="634" spans="1:10" ht="12.75" customHeight="1" x14ac:dyDescent="0.2">
      <c r="A634" s="681" t="s">
        <v>2370</v>
      </c>
      <c r="B634" s="693" t="s">
        <v>3203</v>
      </c>
      <c r="C634" s="672" t="s">
        <v>828</v>
      </c>
      <c r="D634" s="673">
        <v>38403</v>
      </c>
      <c r="E634" s="674">
        <v>10</v>
      </c>
      <c r="F634" s="675">
        <v>0.1</v>
      </c>
      <c r="G634" s="676">
        <v>1</v>
      </c>
      <c r="H634" s="929">
        <v>0</v>
      </c>
      <c r="I634" s="929">
        <v>0</v>
      </c>
      <c r="J634" s="689">
        <f t="shared" si="10"/>
        <v>1</v>
      </c>
    </row>
    <row r="635" spans="1:10" ht="12.75" customHeight="1" x14ac:dyDescent="0.2">
      <c r="A635" s="681" t="s">
        <v>2370</v>
      </c>
      <c r="B635" s="693" t="s">
        <v>3204</v>
      </c>
      <c r="C635" s="672" t="s">
        <v>828</v>
      </c>
      <c r="D635" s="673">
        <v>38403</v>
      </c>
      <c r="E635" s="674">
        <v>10</v>
      </c>
      <c r="F635" s="675">
        <v>0.1</v>
      </c>
      <c r="G635" s="676">
        <v>1</v>
      </c>
      <c r="H635" s="929">
        <v>0</v>
      </c>
      <c r="I635" s="929">
        <v>0</v>
      </c>
      <c r="J635" s="689">
        <f t="shared" si="10"/>
        <v>1</v>
      </c>
    </row>
    <row r="636" spans="1:10" ht="12.75" customHeight="1" x14ac:dyDescent="0.2">
      <c r="A636" s="681" t="s">
        <v>2370</v>
      </c>
      <c r="B636" s="693" t="s">
        <v>3205</v>
      </c>
      <c r="C636" s="672" t="s">
        <v>828</v>
      </c>
      <c r="D636" s="673">
        <v>38403</v>
      </c>
      <c r="E636" s="674">
        <v>10</v>
      </c>
      <c r="F636" s="675">
        <v>0.1</v>
      </c>
      <c r="G636" s="676">
        <v>1</v>
      </c>
      <c r="H636" s="929">
        <v>0</v>
      </c>
      <c r="I636" s="929">
        <v>0</v>
      </c>
      <c r="J636" s="689">
        <f t="shared" si="10"/>
        <v>1</v>
      </c>
    </row>
    <row r="637" spans="1:10" ht="12.75" customHeight="1" x14ac:dyDescent="0.2">
      <c r="A637" s="681" t="s">
        <v>2370</v>
      </c>
      <c r="B637" s="693" t="s">
        <v>3206</v>
      </c>
      <c r="C637" s="672" t="s">
        <v>828</v>
      </c>
      <c r="D637" s="673">
        <v>33289</v>
      </c>
      <c r="E637" s="674">
        <v>10</v>
      </c>
      <c r="F637" s="675">
        <v>0.1</v>
      </c>
      <c r="G637" s="676">
        <v>1</v>
      </c>
      <c r="H637" s="929">
        <v>0</v>
      </c>
      <c r="I637" s="929">
        <v>0</v>
      </c>
      <c r="J637" s="689">
        <f t="shared" si="10"/>
        <v>1</v>
      </c>
    </row>
    <row r="638" spans="1:10" ht="12.75" customHeight="1" x14ac:dyDescent="0.2">
      <c r="A638" s="681" t="s">
        <v>2370</v>
      </c>
      <c r="B638" s="693" t="s">
        <v>3207</v>
      </c>
      <c r="C638" s="672" t="s">
        <v>828</v>
      </c>
      <c r="D638" s="673">
        <v>38403</v>
      </c>
      <c r="E638" s="674">
        <v>10</v>
      </c>
      <c r="F638" s="675">
        <v>0.1</v>
      </c>
      <c r="G638" s="676">
        <v>1</v>
      </c>
      <c r="H638" s="929">
        <v>0</v>
      </c>
      <c r="I638" s="929">
        <v>0</v>
      </c>
      <c r="J638" s="689">
        <f t="shared" si="10"/>
        <v>1</v>
      </c>
    </row>
    <row r="639" spans="1:10" ht="12.75" customHeight="1" x14ac:dyDescent="0.2">
      <c r="A639" s="681" t="s">
        <v>2370</v>
      </c>
      <c r="B639" s="693" t="s">
        <v>3208</v>
      </c>
      <c r="C639" s="672" t="s">
        <v>828</v>
      </c>
      <c r="D639" s="673">
        <v>38403</v>
      </c>
      <c r="E639" s="674">
        <v>10</v>
      </c>
      <c r="F639" s="675">
        <v>0.1</v>
      </c>
      <c r="G639" s="676">
        <v>1</v>
      </c>
      <c r="H639" s="929">
        <v>0</v>
      </c>
      <c r="I639" s="929">
        <v>0</v>
      </c>
      <c r="J639" s="689">
        <f t="shared" si="10"/>
        <v>1</v>
      </c>
    </row>
    <row r="640" spans="1:10" ht="12.75" customHeight="1" x14ac:dyDescent="0.2">
      <c r="A640" s="681" t="s">
        <v>2370</v>
      </c>
      <c r="B640" s="693" t="s">
        <v>3209</v>
      </c>
      <c r="C640" s="672" t="s">
        <v>828</v>
      </c>
      <c r="D640" s="673">
        <v>38403</v>
      </c>
      <c r="E640" s="674">
        <v>10</v>
      </c>
      <c r="F640" s="675">
        <v>0.1</v>
      </c>
      <c r="G640" s="676">
        <v>1</v>
      </c>
      <c r="H640" s="929">
        <v>0</v>
      </c>
      <c r="I640" s="929">
        <v>0</v>
      </c>
      <c r="J640" s="689">
        <f t="shared" si="10"/>
        <v>1</v>
      </c>
    </row>
    <row r="641" spans="1:10" ht="12.75" customHeight="1" x14ac:dyDescent="0.2">
      <c r="A641" s="681" t="s">
        <v>2370</v>
      </c>
      <c r="B641" s="693" t="s">
        <v>3210</v>
      </c>
      <c r="C641" s="672" t="s">
        <v>828</v>
      </c>
      <c r="D641" s="673">
        <v>38403</v>
      </c>
      <c r="E641" s="674">
        <v>10</v>
      </c>
      <c r="F641" s="675">
        <v>0.1</v>
      </c>
      <c r="G641" s="676">
        <v>1</v>
      </c>
      <c r="H641" s="929">
        <v>0</v>
      </c>
      <c r="I641" s="929">
        <v>0</v>
      </c>
      <c r="J641" s="689">
        <f t="shared" si="10"/>
        <v>1</v>
      </c>
    </row>
    <row r="642" spans="1:10" ht="12.75" customHeight="1" x14ac:dyDescent="0.2">
      <c r="A642" s="681" t="s">
        <v>2370</v>
      </c>
      <c r="B642" s="693" t="s">
        <v>3211</v>
      </c>
      <c r="C642" s="672" t="s">
        <v>828</v>
      </c>
      <c r="D642" s="673">
        <v>38403</v>
      </c>
      <c r="E642" s="674">
        <v>10</v>
      </c>
      <c r="F642" s="675">
        <v>0.1</v>
      </c>
      <c r="G642" s="676">
        <v>1</v>
      </c>
      <c r="H642" s="929">
        <v>0</v>
      </c>
      <c r="I642" s="929">
        <v>0</v>
      </c>
      <c r="J642" s="689">
        <f t="shared" si="10"/>
        <v>1</v>
      </c>
    </row>
    <row r="643" spans="1:10" ht="12.75" customHeight="1" x14ac:dyDescent="0.2">
      <c r="A643" s="681" t="s">
        <v>2370</v>
      </c>
      <c r="B643" s="693" t="s">
        <v>3212</v>
      </c>
      <c r="C643" s="672" t="s">
        <v>828</v>
      </c>
      <c r="D643" s="673">
        <v>38403</v>
      </c>
      <c r="E643" s="674">
        <v>10</v>
      </c>
      <c r="F643" s="675">
        <v>0.1</v>
      </c>
      <c r="G643" s="676">
        <v>1</v>
      </c>
      <c r="H643" s="929">
        <v>0</v>
      </c>
      <c r="I643" s="929">
        <v>0</v>
      </c>
      <c r="J643" s="689">
        <f t="shared" si="10"/>
        <v>1</v>
      </c>
    </row>
    <row r="644" spans="1:10" ht="12.75" customHeight="1" x14ac:dyDescent="0.2">
      <c r="A644" s="681" t="s">
        <v>2370</v>
      </c>
      <c r="B644" s="693" t="s">
        <v>3213</v>
      </c>
      <c r="C644" s="672" t="s">
        <v>788</v>
      </c>
      <c r="D644" s="673">
        <v>32924</v>
      </c>
      <c r="E644" s="674">
        <v>10</v>
      </c>
      <c r="F644" s="675">
        <v>0.1</v>
      </c>
      <c r="G644" s="676">
        <v>1</v>
      </c>
      <c r="H644" s="929">
        <v>0</v>
      </c>
      <c r="I644" s="929">
        <v>0</v>
      </c>
      <c r="J644" s="689">
        <f t="shared" si="10"/>
        <v>1</v>
      </c>
    </row>
    <row r="645" spans="1:10" ht="12.75" customHeight="1" x14ac:dyDescent="0.2">
      <c r="A645" s="681" t="s">
        <v>2370</v>
      </c>
      <c r="B645" s="693" t="s">
        <v>3214</v>
      </c>
      <c r="C645" s="672" t="s">
        <v>790</v>
      </c>
      <c r="D645" s="673">
        <v>38403</v>
      </c>
      <c r="E645" s="674">
        <v>10</v>
      </c>
      <c r="F645" s="675">
        <v>0.1</v>
      </c>
      <c r="G645" s="676">
        <v>1</v>
      </c>
      <c r="H645" s="929">
        <v>0</v>
      </c>
      <c r="I645" s="929">
        <v>0</v>
      </c>
      <c r="J645" s="689">
        <f t="shared" si="10"/>
        <v>1</v>
      </c>
    </row>
    <row r="646" spans="1:10" ht="12.75" customHeight="1" x14ac:dyDescent="0.2">
      <c r="A646" s="681" t="s">
        <v>2370</v>
      </c>
      <c r="B646" s="693" t="s">
        <v>3215</v>
      </c>
      <c r="C646" s="672" t="s">
        <v>790</v>
      </c>
      <c r="D646" s="673">
        <v>38403</v>
      </c>
      <c r="E646" s="674">
        <v>10</v>
      </c>
      <c r="F646" s="675">
        <v>0.1</v>
      </c>
      <c r="G646" s="676">
        <v>1</v>
      </c>
      <c r="H646" s="929">
        <v>0</v>
      </c>
      <c r="I646" s="929">
        <v>0</v>
      </c>
      <c r="J646" s="689">
        <f t="shared" si="10"/>
        <v>1</v>
      </c>
    </row>
    <row r="647" spans="1:10" ht="12.75" customHeight="1" x14ac:dyDescent="0.2">
      <c r="A647" s="681" t="s">
        <v>2370</v>
      </c>
      <c r="B647" s="693" t="s">
        <v>3216</v>
      </c>
      <c r="C647" s="672" t="s">
        <v>790</v>
      </c>
      <c r="D647" s="673">
        <v>38403</v>
      </c>
      <c r="E647" s="674">
        <v>10</v>
      </c>
      <c r="F647" s="675">
        <v>0.1</v>
      </c>
      <c r="G647" s="676">
        <v>1</v>
      </c>
      <c r="H647" s="929">
        <v>0</v>
      </c>
      <c r="I647" s="929">
        <v>0</v>
      </c>
      <c r="J647" s="689">
        <f t="shared" ref="J647:J710" si="11">G647-I647</f>
        <v>1</v>
      </c>
    </row>
    <row r="648" spans="1:10" ht="12.75" customHeight="1" x14ac:dyDescent="0.2">
      <c r="A648" s="681" t="s">
        <v>2370</v>
      </c>
      <c r="B648" s="693" t="s">
        <v>3217</v>
      </c>
      <c r="C648" s="672" t="s">
        <v>790</v>
      </c>
      <c r="D648" s="673">
        <v>38403</v>
      </c>
      <c r="E648" s="674">
        <v>10</v>
      </c>
      <c r="F648" s="675">
        <v>0.1</v>
      </c>
      <c r="G648" s="676">
        <v>1</v>
      </c>
      <c r="H648" s="929">
        <v>0</v>
      </c>
      <c r="I648" s="929">
        <v>0</v>
      </c>
      <c r="J648" s="689">
        <f t="shared" si="11"/>
        <v>1</v>
      </c>
    </row>
    <row r="649" spans="1:10" ht="12.75" customHeight="1" x14ac:dyDescent="0.2">
      <c r="A649" s="681" t="s">
        <v>2370</v>
      </c>
      <c r="B649" s="693" t="s">
        <v>3218</v>
      </c>
      <c r="C649" s="672" t="s">
        <v>790</v>
      </c>
      <c r="D649" s="673">
        <v>38403</v>
      </c>
      <c r="E649" s="674">
        <v>10</v>
      </c>
      <c r="F649" s="675">
        <v>0.1</v>
      </c>
      <c r="G649" s="676">
        <v>1</v>
      </c>
      <c r="H649" s="929">
        <v>0</v>
      </c>
      <c r="I649" s="929">
        <v>0</v>
      </c>
      <c r="J649" s="689">
        <f t="shared" si="11"/>
        <v>1</v>
      </c>
    </row>
    <row r="650" spans="1:10" ht="12.75" customHeight="1" x14ac:dyDescent="0.2">
      <c r="A650" s="681" t="s">
        <v>2370</v>
      </c>
      <c r="B650" s="693" t="s">
        <v>3219</v>
      </c>
      <c r="C650" s="672" t="s">
        <v>790</v>
      </c>
      <c r="D650" s="673">
        <v>38403</v>
      </c>
      <c r="E650" s="674">
        <v>10</v>
      </c>
      <c r="F650" s="675">
        <v>0.1</v>
      </c>
      <c r="G650" s="676">
        <v>1</v>
      </c>
      <c r="H650" s="929">
        <v>0</v>
      </c>
      <c r="I650" s="929">
        <v>0</v>
      </c>
      <c r="J650" s="689">
        <f t="shared" si="11"/>
        <v>1</v>
      </c>
    </row>
    <row r="651" spans="1:10" ht="12.75" customHeight="1" x14ac:dyDescent="0.2">
      <c r="A651" s="681" t="s">
        <v>2370</v>
      </c>
      <c r="B651" s="693" t="s">
        <v>3220</v>
      </c>
      <c r="C651" s="672" t="s">
        <v>785</v>
      </c>
      <c r="D651" s="673">
        <v>38403</v>
      </c>
      <c r="E651" s="674">
        <v>10</v>
      </c>
      <c r="F651" s="675">
        <v>0.1</v>
      </c>
      <c r="G651" s="676">
        <v>1</v>
      </c>
      <c r="H651" s="929">
        <v>0</v>
      </c>
      <c r="I651" s="929">
        <v>0</v>
      </c>
      <c r="J651" s="689">
        <f t="shared" si="11"/>
        <v>1</v>
      </c>
    </row>
    <row r="652" spans="1:10" ht="12.75" customHeight="1" x14ac:dyDescent="0.2">
      <c r="A652" s="681" t="s">
        <v>2370</v>
      </c>
      <c r="B652" s="693" t="s">
        <v>3221</v>
      </c>
      <c r="C652" s="672" t="s">
        <v>785</v>
      </c>
      <c r="D652" s="673">
        <v>38403</v>
      </c>
      <c r="E652" s="674">
        <v>10</v>
      </c>
      <c r="F652" s="675">
        <v>0.1</v>
      </c>
      <c r="G652" s="676">
        <v>1</v>
      </c>
      <c r="H652" s="929">
        <v>0</v>
      </c>
      <c r="I652" s="929">
        <v>0</v>
      </c>
      <c r="J652" s="689">
        <f t="shared" si="11"/>
        <v>1</v>
      </c>
    </row>
    <row r="653" spans="1:10" ht="12.75" customHeight="1" x14ac:dyDescent="0.2">
      <c r="A653" s="681" t="s">
        <v>2370</v>
      </c>
      <c r="B653" s="693" t="s">
        <v>3222</v>
      </c>
      <c r="C653" s="672" t="s">
        <v>785</v>
      </c>
      <c r="D653" s="673">
        <v>38403</v>
      </c>
      <c r="E653" s="674">
        <v>10</v>
      </c>
      <c r="F653" s="675">
        <v>0.1</v>
      </c>
      <c r="G653" s="676">
        <v>1</v>
      </c>
      <c r="H653" s="929">
        <v>0</v>
      </c>
      <c r="I653" s="929">
        <v>0</v>
      </c>
      <c r="J653" s="689">
        <f t="shared" si="11"/>
        <v>1</v>
      </c>
    </row>
    <row r="654" spans="1:10" ht="12.75" customHeight="1" x14ac:dyDescent="0.2">
      <c r="A654" s="681" t="s">
        <v>2370</v>
      </c>
      <c r="B654" s="693" t="s">
        <v>3223</v>
      </c>
      <c r="C654" s="672" t="s">
        <v>785</v>
      </c>
      <c r="D654" s="673">
        <v>38403</v>
      </c>
      <c r="E654" s="674">
        <v>10</v>
      </c>
      <c r="F654" s="675">
        <v>0.1</v>
      </c>
      <c r="G654" s="676">
        <v>1</v>
      </c>
      <c r="H654" s="929">
        <v>0</v>
      </c>
      <c r="I654" s="929">
        <v>0</v>
      </c>
      <c r="J654" s="689">
        <f t="shared" si="11"/>
        <v>1</v>
      </c>
    </row>
    <row r="655" spans="1:10" ht="12.75" customHeight="1" x14ac:dyDescent="0.2">
      <c r="A655" s="681" t="s">
        <v>2370</v>
      </c>
      <c r="B655" s="693" t="s">
        <v>3224</v>
      </c>
      <c r="C655" s="672" t="s">
        <v>785</v>
      </c>
      <c r="D655" s="673">
        <v>38403</v>
      </c>
      <c r="E655" s="674">
        <v>10</v>
      </c>
      <c r="F655" s="675">
        <v>0.1</v>
      </c>
      <c r="G655" s="676">
        <v>1</v>
      </c>
      <c r="H655" s="929">
        <v>0</v>
      </c>
      <c r="I655" s="929">
        <v>0</v>
      </c>
      <c r="J655" s="689">
        <f t="shared" si="11"/>
        <v>1</v>
      </c>
    </row>
    <row r="656" spans="1:10" ht="12.75" customHeight="1" x14ac:dyDescent="0.2">
      <c r="A656" s="681" t="s">
        <v>2370</v>
      </c>
      <c r="B656" s="693" t="s">
        <v>3225</v>
      </c>
      <c r="C656" s="672" t="s">
        <v>785</v>
      </c>
      <c r="D656" s="673">
        <v>38403</v>
      </c>
      <c r="E656" s="674">
        <v>10</v>
      </c>
      <c r="F656" s="675">
        <v>0.1</v>
      </c>
      <c r="G656" s="676">
        <v>1</v>
      </c>
      <c r="H656" s="929">
        <v>0</v>
      </c>
      <c r="I656" s="929">
        <v>0</v>
      </c>
      <c r="J656" s="689">
        <f t="shared" si="11"/>
        <v>1</v>
      </c>
    </row>
    <row r="657" spans="1:10" ht="12.75" customHeight="1" x14ac:dyDescent="0.2">
      <c r="A657" s="681" t="s">
        <v>2370</v>
      </c>
      <c r="B657" s="693" t="s">
        <v>3226</v>
      </c>
      <c r="C657" s="672" t="s">
        <v>785</v>
      </c>
      <c r="D657" s="673">
        <v>38403</v>
      </c>
      <c r="E657" s="674">
        <v>10</v>
      </c>
      <c r="F657" s="675">
        <v>0.1</v>
      </c>
      <c r="G657" s="676">
        <v>1</v>
      </c>
      <c r="H657" s="929">
        <v>0</v>
      </c>
      <c r="I657" s="929">
        <v>0</v>
      </c>
      <c r="J657" s="689">
        <f t="shared" si="11"/>
        <v>1</v>
      </c>
    </row>
    <row r="658" spans="1:10" ht="12.75" customHeight="1" x14ac:dyDescent="0.2">
      <c r="A658" s="681" t="s">
        <v>2370</v>
      </c>
      <c r="B658" s="693" t="s">
        <v>3227</v>
      </c>
      <c r="C658" s="672" t="s">
        <v>785</v>
      </c>
      <c r="D658" s="673">
        <v>38403</v>
      </c>
      <c r="E658" s="674">
        <v>10</v>
      </c>
      <c r="F658" s="675">
        <v>0.1</v>
      </c>
      <c r="G658" s="676">
        <v>1</v>
      </c>
      <c r="H658" s="929">
        <v>0</v>
      </c>
      <c r="I658" s="929">
        <v>0</v>
      </c>
      <c r="J658" s="689">
        <f t="shared" si="11"/>
        <v>1</v>
      </c>
    </row>
    <row r="659" spans="1:10" ht="12.75" customHeight="1" x14ac:dyDescent="0.2">
      <c r="A659" s="681" t="s">
        <v>2370</v>
      </c>
      <c r="B659" s="693" t="s">
        <v>3228</v>
      </c>
      <c r="C659" s="672" t="s">
        <v>785</v>
      </c>
      <c r="D659" s="673">
        <v>38403</v>
      </c>
      <c r="E659" s="674">
        <v>10</v>
      </c>
      <c r="F659" s="675">
        <v>0.1</v>
      </c>
      <c r="G659" s="676">
        <v>1</v>
      </c>
      <c r="H659" s="929">
        <v>0</v>
      </c>
      <c r="I659" s="929">
        <v>0</v>
      </c>
      <c r="J659" s="689">
        <f t="shared" si="11"/>
        <v>1</v>
      </c>
    </row>
    <row r="660" spans="1:10" ht="12.75" customHeight="1" x14ac:dyDescent="0.2">
      <c r="A660" s="681" t="s">
        <v>2370</v>
      </c>
      <c r="B660" s="693" t="s">
        <v>3229</v>
      </c>
      <c r="C660" s="672" t="s">
        <v>785</v>
      </c>
      <c r="D660" s="673">
        <v>36211</v>
      </c>
      <c r="E660" s="674">
        <v>10</v>
      </c>
      <c r="F660" s="675">
        <v>0.1</v>
      </c>
      <c r="G660" s="676">
        <v>1</v>
      </c>
      <c r="H660" s="929">
        <v>0</v>
      </c>
      <c r="I660" s="929">
        <v>0</v>
      </c>
      <c r="J660" s="689">
        <f t="shared" si="11"/>
        <v>1</v>
      </c>
    </row>
    <row r="661" spans="1:10" ht="12.75" customHeight="1" x14ac:dyDescent="0.2">
      <c r="A661" s="681" t="s">
        <v>2370</v>
      </c>
      <c r="B661" s="693" t="s">
        <v>3230</v>
      </c>
      <c r="C661" s="672" t="s">
        <v>785</v>
      </c>
      <c r="D661" s="673">
        <v>38403</v>
      </c>
      <c r="E661" s="674">
        <v>10</v>
      </c>
      <c r="F661" s="675">
        <v>0.1</v>
      </c>
      <c r="G661" s="676">
        <v>1</v>
      </c>
      <c r="H661" s="929">
        <v>0</v>
      </c>
      <c r="I661" s="929">
        <v>0</v>
      </c>
      <c r="J661" s="689">
        <f t="shared" si="11"/>
        <v>1</v>
      </c>
    </row>
    <row r="662" spans="1:10" ht="12.75" customHeight="1" x14ac:dyDescent="0.2">
      <c r="A662" s="681" t="s">
        <v>2370</v>
      </c>
      <c r="B662" s="693" t="s">
        <v>3231</v>
      </c>
      <c r="C662" s="672" t="s">
        <v>785</v>
      </c>
      <c r="D662" s="673">
        <v>38403</v>
      </c>
      <c r="E662" s="674">
        <v>10</v>
      </c>
      <c r="F662" s="675">
        <v>0.1</v>
      </c>
      <c r="G662" s="676">
        <v>1</v>
      </c>
      <c r="H662" s="929">
        <v>0</v>
      </c>
      <c r="I662" s="929">
        <v>0</v>
      </c>
      <c r="J662" s="689">
        <f t="shared" si="11"/>
        <v>1</v>
      </c>
    </row>
    <row r="663" spans="1:10" ht="12.75" customHeight="1" x14ac:dyDescent="0.2">
      <c r="A663" s="681" t="s">
        <v>2370</v>
      </c>
      <c r="B663" s="693" t="s">
        <v>3232</v>
      </c>
      <c r="C663" s="672" t="s">
        <v>785</v>
      </c>
      <c r="D663" s="673">
        <v>38403</v>
      </c>
      <c r="E663" s="674">
        <v>10</v>
      </c>
      <c r="F663" s="675">
        <v>0.1</v>
      </c>
      <c r="G663" s="676">
        <v>1</v>
      </c>
      <c r="H663" s="929">
        <v>0</v>
      </c>
      <c r="I663" s="929">
        <v>0</v>
      </c>
      <c r="J663" s="689">
        <f t="shared" si="11"/>
        <v>1</v>
      </c>
    </row>
    <row r="664" spans="1:10" ht="12.75" customHeight="1" x14ac:dyDescent="0.2">
      <c r="A664" s="681" t="s">
        <v>2370</v>
      </c>
      <c r="B664" s="693" t="s">
        <v>3233</v>
      </c>
      <c r="C664" s="672" t="s">
        <v>785</v>
      </c>
      <c r="D664" s="673">
        <v>38403</v>
      </c>
      <c r="E664" s="674">
        <v>10</v>
      </c>
      <c r="F664" s="675">
        <v>0.1</v>
      </c>
      <c r="G664" s="676">
        <v>1</v>
      </c>
      <c r="H664" s="929">
        <v>0</v>
      </c>
      <c r="I664" s="929">
        <v>0</v>
      </c>
      <c r="J664" s="689">
        <f t="shared" si="11"/>
        <v>1</v>
      </c>
    </row>
    <row r="665" spans="1:10" ht="12.75" customHeight="1" x14ac:dyDescent="0.2">
      <c r="A665" s="681" t="s">
        <v>2370</v>
      </c>
      <c r="B665" s="693" t="s">
        <v>3234</v>
      </c>
      <c r="C665" s="672" t="s">
        <v>785</v>
      </c>
      <c r="D665" s="673">
        <v>38403</v>
      </c>
      <c r="E665" s="674">
        <v>10</v>
      </c>
      <c r="F665" s="675">
        <v>0.1</v>
      </c>
      <c r="G665" s="676">
        <v>1</v>
      </c>
      <c r="H665" s="929">
        <v>0</v>
      </c>
      <c r="I665" s="929">
        <v>0</v>
      </c>
      <c r="J665" s="689">
        <f t="shared" si="11"/>
        <v>1</v>
      </c>
    </row>
    <row r="666" spans="1:10" ht="12.75" customHeight="1" x14ac:dyDescent="0.2">
      <c r="A666" s="681" t="s">
        <v>2370</v>
      </c>
      <c r="B666" s="693" t="s">
        <v>3235</v>
      </c>
      <c r="C666" s="672" t="s">
        <v>785</v>
      </c>
      <c r="D666" s="673">
        <v>38403</v>
      </c>
      <c r="E666" s="674">
        <v>10</v>
      </c>
      <c r="F666" s="675">
        <v>0.1</v>
      </c>
      <c r="G666" s="676">
        <v>1</v>
      </c>
      <c r="H666" s="929">
        <v>0</v>
      </c>
      <c r="I666" s="929">
        <v>0</v>
      </c>
      <c r="J666" s="689">
        <f t="shared" si="11"/>
        <v>1</v>
      </c>
    </row>
    <row r="667" spans="1:10" ht="12.75" customHeight="1" x14ac:dyDescent="0.2">
      <c r="A667" s="681" t="s">
        <v>2370</v>
      </c>
      <c r="B667" s="693" t="s">
        <v>3236</v>
      </c>
      <c r="C667" s="672" t="s">
        <v>785</v>
      </c>
      <c r="D667" s="673">
        <v>36211</v>
      </c>
      <c r="E667" s="674">
        <v>10</v>
      </c>
      <c r="F667" s="675">
        <v>0.1</v>
      </c>
      <c r="G667" s="676">
        <v>1</v>
      </c>
      <c r="H667" s="929">
        <v>0</v>
      </c>
      <c r="I667" s="929">
        <v>0</v>
      </c>
      <c r="J667" s="689">
        <f t="shared" si="11"/>
        <v>1</v>
      </c>
    </row>
    <row r="668" spans="1:10" ht="12.75" customHeight="1" x14ac:dyDescent="0.2">
      <c r="A668" s="681" t="s">
        <v>2370</v>
      </c>
      <c r="B668" s="693" t="s">
        <v>3237</v>
      </c>
      <c r="C668" s="672" t="s">
        <v>785</v>
      </c>
      <c r="D668" s="673">
        <v>37672</v>
      </c>
      <c r="E668" s="674">
        <v>10</v>
      </c>
      <c r="F668" s="675">
        <v>0.1</v>
      </c>
      <c r="G668" s="676">
        <v>1</v>
      </c>
      <c r="H668" s="929">
        <v>0</v>
      </c>
      <c r="I668" s="929">
        <v>0</v>
      </c>
      <c r="J668" s="689">
        <f t="shared" si="11"/>
        <v>1</v>
      </c>
    </row>
    <row r="669" spans="1:10" ht="12.75" customHeight="1" x14ac:dyDescent="0.2">
      <c r="A669" s="681" t="s">
        <v>2370</v>
      </c>
      <c r="B669" s="693" t="s">
        <v>3238</v>
      </c>
      <c r="C669" s="672" t="s">
        <v>785</v>
      </c>
      <c r="D669" s="673">
        <v>39498</v>
      </c>
      <c r="E669" s="674">
        <v>10</v>
      </c>
      <c r="F669" s="675">
        <v>0.1</v>
      </c>
      <c r="G669" s="676">
        <v>1</v>
      </c>
      <c r="H669" s="929">
        <v>0</v>
      </c>
      <c r="I669" s="929">
        <v>0</v>
      </c>
      <c r="J669" s="689">
        <f t="shared" si="11"/>
        <v>1</v>
      </c>
    </row>
    <row r="670" spans="1:10" ht="12.75" customHeight="1" x14ac:dyDescent="0.2">
      <c r="A670" s="681" t="s">
        <v>2370</v>
      </c>
      <c r="B670" s="693" t="s">
        <v>3239</v>
      </c>
      <c r="C670" s="672" t="s">
        <v>785</v>
      </c>
      <c r="D670" s="673">
        <v>33289</v>
      </c>
      <c r="E670" s="674">
        <v>10</v>
      </c>
      <c r="F670" s="675">
        <v>0.1</v>
      </c>
      <c r="G670" s="676">
        <v>1</v>
      </c>
      <c r="H670" s="929">
        <v>0</v>
      </c>
      <c r="I670" s="929">
        <v>0</v>
      </c>
      <c r="J670" s="689">
        <f t="shared" si="11"/>
        <v>1</v>
      </c>
    </row>
    <row r="671" spans="1:10" ht="12.75" customHeight="1" x14ac:dyDescent="0.2">
      <c r="A671" s="681" t="s">
        <v>2370</v>
      </c>
      <c r="B671" s="693" t="s">
        <v>3240</v>
      </c>
      <c r="C671" s="672" t="s">
        <v>785</v>
      </c>
      <c r="D671" s="673">
        <v>33289</v>
      </c>
      <c r="E671" s="674">
        <v>10</v>
      </c>
      <c r="F671" s="675">
        <v>0.1</v>
      </c>
      <c r="G671" s="676">
        <v>1</v>
      </c>
      <c r="H671" s="929">
        <v>0</v>
      </c>
      <c r="I671" s="929">
        <v>0</v>
      </c>
      <c r="J671" s="689">
        <f t="shared" si="11"/>
        <v>1</v>
      </c>
    </row>
    <row r="672" spans="1:10" ht="12.75" customHeight="1" x14ac:dyDescent="0.2">
      <c r="A672" s="681" t="s">
        <v>2370</v>
      </c>
      <c r="B672" s="693" t="s">
        <v>3241</v>
      </c>
      <c r="C672" s="672" t="s">
        <v>785</v>
      </c>
      <c r="D672" s="673">
        <v>33289</v>
      </c>
      <c r="E672" s="674">
        <v>10</v>
      </c>
      <c r="F672" s="675">
        <v>0.1</v>
      </c>
      <c r="G672" s="676">
        <v>1</v>
      </c>
      <c r="H672" s="929">
        <v>0</v>
      </c>
      <c r="I672" s="929">
        <v>0</v>
      </c>
      <c r="J672" s="689">
        <f t="shared" si="11"/>
        <v>1</v>
      </c>
    </row>
    <row r="673" spans="1:10" ht="12.75" customHeight="1" x14ac:dyDescent="0.2">
      <c r="A673" s="681" t="s">
        <v>2370</v>
      </c>
      <c r="B673" s="693" t="s">
        <v>3242</v>
      </c>
      <c r="C673" s="672" t="s">
        <v>785</v>
      </c>
      <c r="D673" s="673">
        <v>33289</v>
      </c>
      <c r="E673" s="674">
        <v>10</v>
      </c>
      <c r="F673" s="675">
        <v>0.1</v>
      </c>
      <c r="G673" s="676">
        <v>1</v>
      </c>
      <c r="H673" s="929">
        <v>0</v>
      </c>
      <c r="I673" s="929">
        <v>0</v>
      </c>
      <c r="J673" s="689">
        <f t="shared" si="11"/>
        <v>1</v>
      </c>
    </row>
    <row r="674" spans="1:10" ht="12.75" customHeight="1" x14ac:dyDescent="0.2">
      <c r="A674" s="681" t="s">
        <v>2370</v>
      </c>
      <c r="B674" s="693" t="s">
        <v>3243</v>
      </c>
      <c r="C674" s="672" t="s">
        <v>785</v>
      </c>
      <c r="D674" s="673">
        <v>33289</v>
      </c>
      <c r="E674" s="674">
        <v>10</v>
      </c>
      <c r="F674" s="675">
        <v>0.1</v>
      </c>
      <c r="G674" s="676">
        <v>1</v>
      </c>
      <c r="H674" s="929">
        <v>0</v>
      </c>
      <c r="I674" s="929">
        <v>0</v>
      </c>
      <c r="J674" s="689">
        <f t="shared" si="11"/>
        <v>1</v>
      </c>
    </row>
    <row r="675" spans="1:10" ht="12.75" customHeight="1" x14ac:dyDescent="0.2">
      <c r="A675" s="681" t="s">
        <v>2370</v>
      </c>
      <c r="B675" s="693" t="s">
        <v>3244</v>
      </c>
      <c r="C675" s="672" t="s">
        <v>818</v>
      </c>
      <c r="D675" s="673">
        <v>33289</v>
      </c>
      <c r="E675" s="674">
        <v>10</v>
      </c>
      <c r="F675" s="675">
        <v>0.1</v>
      </c>
      <c r="G675" s="676">
        <v>1</v>
      </c>
      <c r="H675" s="929">
        <v>0</v>
      </c>
      <c r="I675" s="929">
        <v>0</v>
      </c>
      <c r="J675" s="689">
        <f t="shared" si="11"/>
        <v>1</v>
      </c>
    </row>
    <row r="676" spans="1:10" ht="12.75" customHeight="1" x14ac:dyDescent="0.2">
      <c r="A676" s="681" t="s">
        <v>2370</v>
      </c>
      <c r="B676" s="693" t="s">
        <v>3245</v>
      </c>
      <c r="C676" s="672" t="s">
        <v>819</v>
      </c>
      <c r="D676" s="673">
        <v>33289</v>
      </c>
      <c r="E676" s="674">
        <v>10</v>
      </c>
      <c r="F676" s="675">
        <v>0.1</v>
      </c>
      <c r="G676" s="676">
        <v>1</v>
      </c>
      <c r="H676" s="929">
        <v>0</v>
      </c>
      <c r="I676" s="929">
        <v>0</v>
      </c>
      <c r="J676" s="689">
        <f t="shared" si="11"/>
        <v>1</v>
      </c>
    </row>
    <row r="677" spans="1:10" ht="12.75" customHeight="1" x14ac:dyDescent="0.2">
      <c r="A677" s="681" t="s">
        <v>2370</v>
      </c>
      <c r="B677" s="693" t="s">
        <v>3246</v>
      </c>
      <c r="C677" s="672" t="s">
        <v>819</v>
      </c>
      <c r="D677" s="673">
        <v>33289</v>
      </c>
      <c r="E677" s="674">
        <v>10</v>
      </c>
      <c r="F677" s="675">
        <v>0.1</v>
      </c>
      <c r="G677" s="676">
        <v>1</v>
      </c>
      <c r="H677" s="929">
        <v>0</v>
      </c>
      <c r="I677" s="929">
        <v>0</v>
      </c>
      <c r="J677" s="689">
        <f t="shared" si="11"/>
        <v>1</v>
      </c>
    </row>
    <row r="678" spans="1:10" ht="12.75" customHeight="1" x14ac:dyDescent="0.2">
      <c r="A678" s="681" t="s">
        <v>2370</v>
      </c>
      <c r="B678" s="693" t="s">
        <v>3247</v>
      </c>
      <c r="C678" s="672" t="s">
        <v>819</v>
      </c>
      <c r="D678" s="673">
        <v>33289</v>
      </c>
      <c r="E678" s="674">
        <v>10</v>
      </c>
      <c r="F678" s="675">
        <v>0.1</v>
      </c>
      <c r="G678" s="676">
        <v>1</v>
      </c>
      <c r="H678" s="929">
        <v>0</v>
      </c>
      <c r="I678" s="929">
        <v>0</v>
      </c>
      <c r="J678" s="689">
        <f t="shared" si="11"/>
        <v>1</v>
      </c>
    </row>
    <row r="679" spans="1:10" ht="12.75" customHeight="1" x14ac:dyDescent="0.2">
      <c r="A679" s="681" t="s">
        <v>2370</v>
      </c>
      <c r="B679" s="693" t="s">
        <v>3248</v>
      </c>
      <c r="C679" s="672" t="s">
        <v>819</v>
      </c>
      <c r="D679" s="673">
        <v>33289</v>
      </c>
      <c r="E679" s="674">
        <v>10</v>
      </c>
      <c r="F679" s="675">
        <v>0.1</v>
      </c>
      <c r="G679" s="676">
        <v>1</v>
      </c>
      <c r="H679" s="929">
        <v>0</v>
      </c>
      <c r="I679" s="929">
        <v>0</v>
      </c>
      <c r="J679" s="689">
        <f t="shared" si="11"/>
        <v>1</v>
      </c>
    </row>
    <row r="680" spans="1:10" ht="12.75" customHeight="1" x14ac:dyDescent="0.2">
      <c r="A680" s="681" t="s">
        <v>2370</v>
      </c>
      <c r="B680" s="693" t="s">
        <v>3249</v>
      </c>
      <c r="C680" s="672" t="s">
        <v>819</v>
      </c>
      <c r="D680" s="673">
        <v>33289</v>
      </c>
      <c r="E680" s="674">
        <v>10</v>
      </c>
      <c r="F680" s="675">
        <v>0.1</v>
      </c>
      <c r="G680" s="676">
        <v>1</v>
      </c>
      <c r="H680" s="929">
        <v>0</v>
      </c>
      <c r="I680" s="929">
        <v>0</v>
      </c>
      <c r="J680" s="689">
        <f t="shared" si="11"/>
        <v>1</v>
      </c>
    </row>
    <row r="681" spans="1:10" ht="12.75" customHeight="1" x14ac:dyDescent="0.2">
      <c r="A681" s="681" t="s">
        <v>2370</v>
      </c>
      <c r="B681" s="693" t="s">
        <v>3250</v>
      </c>
      <c r="C681" s="672" t="s">
        <v>819</v>
      </c>
      <c r="D681" s="673">
        <v>33289</v>
      </c>
      <c r="E681" s="674">
        <v>10</v>
      </c>
      <c r="F681" s="675">
        <v>0.1</v>
      </c>
      <c r="G681" s="676">
        <v>1</v>
      </c>
      <c r="H681" s="929">
        <v>0</v>
      </c>
      <c r="I681" s="929">
        <v>0</v>
      </c>
      <c r="J681" s="689">
        <f t="shared" si="11"/>
        <v>1</v>
      </c>
    </row>
    <row r="682" spans="1:10" ht="12.75" customHeight="1" x14ac:dyDescent="0.2">
      <c r="A682" s="681" t="s">
        <v>2370</v>
      </c>
      <c r="B682" s="693" t="s">
        <v>3251</v>
      </c>
      <c r="C682" s="672" t="s">
        <v>828</v>
      </c>
      <c r="D682" s="673">
        <v>33289</v>
      </c>
      <c r="E682" s="674">
        <v>10</v>
      </c>
      <c r="F682" s="675">
        <v>0.1</v>
      </c>
      <c r="G682" s="676">
        <v>1</v>
      </c>
      <c r="H682" s="929">
        <v>0</v>
      </c>
      <c r="I682" s="929">
        <v>0</v>
      </c>
      <c r="J682" s="689">
        <f t="shared" si="11"/>
        <v>1</v>
      </c>
    </row>
    <row r="683" spans="1:10" ht="12.75" customHeight="1" x14ac:dyDescent="0.2">
      <c r="A683" s="681" t="s">
        <v>2370</v>
      </c>
      <c r="B683" s="693" t="s">
        <v>3252</v>
      </c>
      <c r="C683" s="672" t="s">
        <v>828</v>
      </c>
      <c r="D683" s="673">
        <v>33289</v>
      </c>
      <c r="E683" s="674">
        <v>10</v>
      </c>
      <c r="F683" s="675">
        <v>0.1</v>
      </c>
      <c r="G683" s="676">
        <v>1</v>
      </c>
      <c r="H683" s="929">
        <v>0</v>
      </c>
      <c r="I683" s="929">
        <v>0</v>
      </c>
      <c r="J683" s="689">
        <f t="shared" si="11"/>
        <v>1</v>
      </c>
    </row>
    <row r="684" spans="1:10" ht="12.75" customHeight="1" x14ac:dyDescent="0.2">
      <c r="A684" s="681" t="s">
        <v>2370</v>
      </c>
      <c r="B684" s="693" t="s">
        <v>3253</v>
      </c>
      <c r="C684" s="672" t="s">
        <v>828</v>
      </c>
      <c r="D684" s="673">
        <v>33289</v>
      </c>
      <c r="E684" s="674">
        <v>10</v>
      </c>
      <c r="F684" s="675">
        <v>0.1</v>
      </c>
      <c r="G684" s="676">
        <v>1</v>
      </c>
      <c r="H684" s="929">
        <v>0</v>
      </c>
      <c r="I684" s="929">
        <v>0</v>
      </c>
      <c r="J684" s="689">
        <f t="shared" si="11"/>
        <v>1</v>
      </c>
    </row>
    <row r="685" spans="1:10" ht="12.75" customHeight="1" x14ac:dyDescent="0.2">
      <c r="A685" s="681" t="s">
        <v>2370</v>
      </c>
      <c r="B685" s="693" t="s">
        <v>3254</v>
      </c>
      <c r="C685" s="672" t="s">
        <v>828</v>
      </c>
      <c r="D685" s="673">
        <v>33289</v>
      </c>
      <c r="E685" s="674">
        <v>10</v>
      </c>
      <c r="F685" s="675">
        <v>0.1</v>
      </c>
      <c r="G685" s="676">
        <v>1</v>
      </c>
      <c r="H685" s="929">
        <v>0</v>
      </c>
      <c r="I685" s="929">
        <v>0</v>
      </c>
      <c r="J685" s="689">
        <f t="shared" si="11"/>
        <v>1</v>
      </c>
    </row>
    <row r="686" spans="1:10" ht="12.75" customHeight="1" x14ac:dyDescent="0.2">
      <c r="A686" s="681" t="s">
        <v>2370</v>
      </c>
      <c r="B686" s="693" t="s">
        <v>3255</v>
      </c>
      <c r="C686" s="672" t="s">
        <v>828</v>
      </c>
      <c r="D686" s="673">
        <v>33289</v>
      </c>
      <c r="E686" s="674">
        <v>10</v>
      </c>
      <c r="F686" s="675">
        <v>0.1</v>
      </c>
      <c r="G686" s="676">
        <v>1</v>
      </c>
      <c r="H686" s="929">
        <v>0</v>
      </c>
      <c r="I686" s="929">
        <v>0</v>
      </c>
      <c r="J686" s="689">
        <f t="shared" si="11"/>
        <v>1</v>
      </c>
    </row>
    <row r="687" spans="1:10" ht="12.75" customHeight="1" x14ac:dyDescent="0.2">
      <c r="A687" s="681" t="s">
        <v>2370</v>
      </c>
      <c r="B687" s="693" t="s">
        <v>3256</v>
      </c>
      <c r="C687" s="672" t="s">
        <v>828</v>
      </c>
      <c r="D687" s="673">
        <v>33289</v>
      </c>
      <c r="E687" s="674">
        <v>10</v>
      </c>
      <c r="F687" s="675">
        <v>0.1</v>
      </c>
      <c r="G687" s="676">
        <v>1</v>
      </c>
      <c r="H687" s="929">
        <v>0</v>
      </c>
      <c r="I687" s="929">
        <v>0</v>
      </c>
      <c r="J687" s="689">
        <f t="shared" si="11"/>
        <v>1</v>
      </c>
    </row>
    <row r="688" spans="1:10" ht="12.75" customHeight="1" x14ac:dyDescent="0.2">
      <c r="A688" s="681" t="s">
        <v>2370</v>
      </c>
      <c r="B688" s="693" t="s">
        <v>3257</v>
      </c>
      <c r="C688" s="672" t="s">
        <v>828</v>
      </c>
      <c r="D688" s="673">
        <v>33289</v>
      </c>
      <c r="E688" s="674">
        <v>10</v>
      </c>
      <c r="F688" s="675">
        <v>0.1</v>
      </c>
      <c r="G688" s="676">
        <v>1</v>
      </c>
      <c r="H688" s="929">
        <v>0</v>
      </c>
      <c r="I688" s="929">
        <v>0</v>
      </c>
      <c r="J688" s="689">
        <f t="shared" si="11"/>
        <v>1</v>
      </c>
    </row>
    <row r="689" spans="1:10" ht="12.75" customHeight="1" x14ac:dyDescent="0.2">
      <c r="A689" s="681" t="s">
        <v>2370</v>
      </c>
      <c r="B689" s="693" t="s">
        <v>3258</v>
      </c>
      <c r="C689" s="672" t="s">
        <v>828</v>
      </c>
      <c r="D689" s="673">
        <v>33289</v>
      </c>
      <c r="E689" s="674">
        <v>10</v>
      </c>
      <c r="F689" s="675">
        <v>0.1</v>
      </c>
      <c r="G689" s="676">
        <v>1</v>
      </c>
      <c r="H689" s="929">
        <v>0</v>
      </c>
      <c r="I689" s="929">
        <v>0</v>
      </c>
      <c r="J689" s="689">
        <f t="shared" si="11"/>
        <v>1</v>
      </c>
    </row>
    <row r="690" spans="1:10" ht="12.75" customHeight="1" x14ac:dyDescent="0.2">
      <c r="A690" s="681" t="s">
        <v>2370</v>
      </c>
      <c r="B690" s="693" t="s">
        <v>3259</v>
      </c>
      <c r="C690" s="672" t="s">
        <v>804</v>
      </c>
      <c r="D690" s="673">
        <v>35846</v>
      </c>
      <c r="E690" s="674">
        <v>10</v>
      </c>
      <c r="F690" s="675">
        <v>0.1</v>
      </c>
      <c r="G690" s="676">
        <v>1</v>
      </c>
      <c r="H690" s="929">
        <v>0</v>
      </c>
      <c r="I690" s="929">
        <v>0</v>
      </c>
      <c r="J690" s="689">
        <f t="shared" si="11"/>
        <v>1</v>
      </c>
    </row>
    <row r="691" spans="1:10" ht="12.75" customHeight="1" x14ac:dyDescent="0.2">
      <c r="A691" s="681" t="s">
        <v>2370</v>
      </c>
      <c r="B691" s="693" t="s">
        <v>3260</v>
      </c>
      <c r="C691" s="672" t="s">
        <v>790</v>
      </c>
      <c r="D691" s="673">
        <v>35846</v>
      </c>
      <c r="E691" s="674">
        <v>10</v>
      </c>
      <c r="F691" s="675">
        <v>0.1</v>
      </c>
      <c r="G691" s="676">
        <v>1</v>
      </c>
      <c r="H691" s="929">
        <v>0</v>
      </c>
      <c r="I691" s="929">
        <v>0</v>
      </c>
      <c r="J691" s="689">
        <f t="shared" si="11"/>
        <v>1</v>
      </c>
    </row>
    <row r="692" spans="1:10" ht="12.75" customHeight="1" x14ac:dyDescent="0.2">
      <c r="A692" s="681" t="s">
        <v>2370</v>
      </c>
      <c r="B692" s="693" t="s">
        <v>3261</v>
      </c>
      <c r="C692" s="672" t="s">
        <v>818</v>
      </c>
      <c r="D692" s="673">
        <v>35846</v>
      </c>
      <c r="E692" s="674">
        <v>10</v>
      </c>
      <c r="F692" s="675">
        <v>0.1</v>
      </c>
      <c r="G692" s="676">
        <v>1</v>
      </c>
      <c r="H692" s="929">
        <v>0</v>
      </c>
      <c r="I692" s="929">
        <v>0</v>
      </c>
      <c r="J692" s="689">
        <f t="shared" si="11"/>
        <v>1</v>
      </c>
    </row>
    <row r="693" spans="1:10" ht="12.75" customHeight="1" x14ac:dyDescent="0.2">
      <c r="A693" s="681" t="s">
        <v>2370</v>
      </c>
      <c r="B693" s="693" t="s">
        <v>3262</v>
      </c>
      <c r="C693" s="672" t="s">
        <v>828</v>
      </c>
      <c r="D693" s="673">
        <v>33289</v>
      </c>
      <c r="E693" s="674">
        <v>10</v>
      </c>
      <c r="F693" s="675">
        <v>0.1</v>
      </c>
      <c r="G693" s="676">
        <v>1</v>
      </c>
      <c r="H693" s="929">
        <v>0</v>
      </c>
      <c r="I693" s="929">
        <v>0</v>
      </c>
      <c r="J693" s="689">
        <f t="shared" si="11"/>
        <v>1</v>
      </c>
    </row>
    <row r="694" spans="1:10" ht="12.75" customHeight="1" x14ac:dyDescent="0.2">
      <c r="A694" s="681" t="s">
        <v>2370</v>
      </c>
      <c r="B694" s="693" t="s">
        <v>3263</v>
      </c>
      <c r="C694" s="672" t="s">
        <v>828</v>
      </c>
      <c r="D694" s="673">
        <v>33289</v>
      </c>
      <c r="E694" s="674">
        <v>10</v>
      </c>
      <c r="F694" s="675">
        <v>0.1</v>
      </c>
      <c r="G694" s="676">
        <v>1</v>
      </c>
      <c r="H694" s="929">
        <v>0</v>
      </c>
      <c r="I694" s="929">
        <v>0</v>
      </c>
      <c r="J694" s="689">
        <f t="shared" si="11"/>
        <v>1</v>
      </c>
    </row>
    <row r="695" spans="1:10" ht="12.75" customHeight="1" x14ac:dyDescent="0.2">
      <c r="A695" s="681" t="s">
        <v>2370</v>
      </c>
      <c r="B695" s="693" t="s">
        <v>3264</v>
      </c>
      <c r="C695" s="672" t="s">
        <v>828</v>
      </c>
      <c r="D695" s="673">
        <v>33289</v>
      </c>
      <c r="E695" s="674">
        <v>10</v>
      </c>
      <c r="F695" s="675">
        <v>0.1</v>
      </c>
      <c r="G695" s="676">
        <v>1</v>
      </c>
      <c r="H695" s="929">
        <v>0</v>
      </c>
      <c r="I695" s="929">
        <v>0</v>
      </c>
      <c r="J695" s="689">
        <f t="shared" si="11"/>
        <v>1</v>
      </c>
    </row>
    <row r="696" spans="1:10" ht="12.75" customHeight="1" x14ac:dyDescent="0.2">
      <c r="A696" s="681" t="s">
        <v>2370</v>
      </c>
      <c r="B696" s="693" t="s">
        <v>3265</v>
      </c>
      <c r="C696" s="672" t="s">
        <v>828</v>
      </c>
      <c r="D696" s="673">
        <v>33289</v>
      </c>
      <c r="E696" s="674">
        <v>10</v>
      </c>
      <c r="F696" s="675">
        <v>0.1</v>
      </c>
      <c r="G696" s="676">
        <v>1</v>
      </c>
      <c r="H696" s="929">
        <v>0</v>
      </c>
      <c r="I696" s="929">
        <v>0</v>
      </c>
      <c r="J696" s="689">
        <f t="shared" si="11"/>
        <v>1</v>
      </c>
    </row>
    <row r="697" spans="1:10" ht="12.75" customHeight="1" x14ac:dyDescent="0.2">
      <c r="A697" s="681" t="s">
        <v>2370</v>
      </c>
      <c r="B697" s="693" t="s">
        <v>3266</v>
      </c>
      <c r="C697" s="672" t="s">
        <v>828</v>
      </c>
      <c r="D697" s="673">
        <v>33289</v>
      </c>
      <c r="E697" s="674">
        <v>10</v>
      </c>
      <c r="F697" s="675">
        <v>0.1</v>
      </c>
      <c r="G697" s="676">
        <v>1</v>
      </c>
      <c r="H697" s="929">
        <v>0</v>
      </c>
      <c r="I697" s="929">
        <v>0</v>
      </c>
      <c r="J697" s="689">
        <f t="shared" si="11"/>
        <v>1</v>
      </c>
    </row>
    <row r="698" spans="1:10" ht="12.75" customHeight="1" x14ac:dyDescent="0.2">
      <c r="A698" s="681" t="s">
        <v>2370</v>
      </c>
      <c r="B698" s="693" t="s">
        <v>3267</v>
      </c>
      <c r="C698" s="672" t="s">
        <v>828</v>
      </c>
      <c r="D698" s="673">
        <v>33289</v>
      </c>
      <c r="E698" s="674">
        <v>10</v>
      </c>
      <c r="F698" s="675">
        <v>0.1</v>
      </c>
      <c r="G698" s="676">
        <v>1</v>
      </c>
      <c r="H698" s="929">
        <v>0</v>
      </c>
      <c r="I698" s="929">
        <v>0</v>
      </c>
      <c r="J698" s="689">
        <f t="shared" si="11"/>
        <v>1</v>
      </c>
    </row>
    <row r="699" spans="1:10" ht="12.75" customHeight="1" x14ac:dyDescent="0.2">
      <c r="A699" s="681" t="s">
        <v>2370</v>
      </c>
      <c r="B699" s="693" t="s">
        <v>3268</v>
      </c>
      <c r="C699" s="672" t="s">
        <v>828</v>
      </c>
      <c r="D699" s="673">
        <v>33289</v>
      </c>
      <c r="E699" s="674">
        <v>10</v>
      </c>
      <c r="F699" s="675">
        <v>0.1</v>
      </c>
      <c r="G699" s="676">
        <v>1</v>
      </c>
      <c r="H699" s="929">
        <v>0</v>
      </c>
      <c r="I699" s="929">
        <v>0</v>
      </c>
      <c r="J699" s="689">
        <f t="shared" si="11"/>
        <v>1</v>
      </c>
    </row>
    <row r="700" spans="1:10" ht="12.75" customHeight="1" x14ac:dyDescent="0.2">
      <c r="A700" s="681" t="s">
        <v>2370</v>
      </c>
      <c r="B700" s="693" t="s">
        <v>3269</v>
      </c>
      <c r="C700" s="672" t="s">
        <v>828</v>
      </c>
      <c r="D700" s="673">
        <v>33289</v>
      </c>
      <c r="E700" s="674">
        <v>10</v>
      </c>
      <c r="F700" s="675">
        <v>0.1</v>
      </c>
      <c r="G700" s="676">
        <v>1</v>
      </c>
      <c r="H700" s="929">
        <v>0</v>
      </c>
      <c r="I700" s="929">
        <v>0</v>
      </c>
      <c r="J700" s="689">
        <f t="shared" si="11"/>
        <v>1</v>
      </c>
    </row>
    <row r="701" spans="1:10" ht="12.75" customHeight="1" x14ac:dyDescent="0.2">
      <c r="A701" s="681" t="s">
        <v>2370</v>
      </c>
      <c r="B701" s="693" t="s">
        <v>3270</v>
      </c>
      <c r="C701" s="672" t="s">
        <v>828</v>
      </c>
      <c r="D701" s="673">
        <v>33289</v>
      </c>
      <c r="E701" s="674">
        <v>10</v>
      </c>
      <c r="F701" s="675">
        <v>0.1</v>
      </c>
      <c r="G701" s="676">
        <v>1</v>
      </c>
      <c r="H701" s="929">
        <v>0</v>
      </c>
      <c r="I701" s="929">
        <v>0</v>
      </c>
      <c r="J701" s="689">
        <f t="shared" si="11"/>
        <v>1</v>
      </c>
    </row>
    <row r="702" spans="1:10" ht="12.75" customHeight="1" x14ac:dyDescent="0.2">
      <c r="A702" s="681" t="s">
        <v>2370</v>
      </c>
      <c r="B702" s="693" t="s">
        <v>3271</v>
      </c>
      <c r="C702" s="672" t="s">
        <v>828</v>
      </c>
      <c r="D702" s="673">
        <v>33289</v>
      </c>
      <c r="E702" s="674">
        <v>10</v>
      </c>
      <c r="F702" s="675">
        <v>0.1</v>
      </c>
      <c r="G702" s="676">
        <v>1</v>
      </c>
      <c r="H702" s="929">
        <v>0</v>
      </c>
      <c r="I702" s="929">
        <v>0</v>
      </c>
      <c r="J702" s="689">
        <f t="shared" si="11"/>
        <v>1</v>
      </c>
    </row>
    <row r="703" spans="1:10" ht="12.75" customHeight="1" x14ac:dyDescent="0.2">
      <c r="A703" s="681" t="s">
        <v>2370</v>
      </c>
      <c r="B703" s="693" t="s">
        <v>3272</v>
      </c>
      <c r="C703" s="672" t="s">
        <v>828</v>
      </c>
      <c r="D703" s="673">
        <v>33289</v>
      </c>
      <c r="E703" s="674">
        <v>10</v>
      </c>
      <c r="F703" s="675">
        <v>0.1</v>
      </c>
      <c r="G703" s="676">
        <v>1</v>
      </c>
      <c r="H703" s="929">
        <v>0</v>
      </c>
      <c r="I703" s="929">
        <v>0</v>
      </c>
      <c r="J703" s="689">
        <f t="shared" si="11"/>
        <v>1</v>
      </c>
    </row>
    <row r="704" spans="1:10" ht="12.75" customHeight="1" x14ac:dyDescent="0.2">
      <c r="A704" s="681" t="s">
        <v>2370</v>
      </c>
      <c r="B704" s="693" t="s">
        <v>3273</v>
      </c>
      <c r="C704" s="672" t="s">
        <v>790</v>
      </c>
      <c r="D704" s="673">
        <v>32924</v>
      </c>
      <c r="E704" s="674">
        <v>10</v>
      </c>
      <c r="F704" s="675">
        <v>0.1</v>
      </c>
      <c r="G704" s="676">
        <v>1</v>
      </c>
      <c r="H704" s="929">
        <v>0</v>
      </c>
      <c r="I704" s="929">
        <v>0</v>
      </c>
      <c r="J704" s="689">
        <f t="shared" si="11"/>
        <v>1</v>
      </c>
    </row>
    <row r="705" spans="1:10" ht="12.75" customHeight="1" x14ac:dyDescent="0.2">
      <c r="A705" s="681" t="s">
        <v>2370</v>
      </c>
      <c r="B705" s="693" t="s">
        <v>3274</v>
      </c>
      <c r="C705" s="672" t="s">
        <v>790</v>
      </c>
      <c r="D705" s="673">
        <v>32924</v>
      </c>
      <c r="E705" s="674">
        <v>10</v>
      </c>
      <c r="F705" s="675">
        <v>0.1</v>
      </c>
      <c r="G705" s="676">
        <v>1</v>
      </c>
      <c r="H705" s="929">
        <v>0</v>
      </c>
      <c r="I705" s="929">
        <v>0</v>
      </c>
      <c r="J705" s="689">
        <f t="shared" si="11"/>
        <v>1</v>
      </c>
    </row>
    <row r="706" spans="1:10" ht="12.75" customHeight="1" x14ac:dyDescent="0.2">
      <c r="A706" s="681" t="s">
        <v>2370</v>
      </c>
      <c r="B706" s="693" t="s">
        <v>3275</v>
      </c>
      <c r="C706" s="672" t="s">
        <v>828</v>
      </c>
      <c r="D706" s="673">
        <v>38403</v>
      </c>
      <c r="E706" s="674">
        <v>10</v>
      </c>
      <c r="F706" s="675">
        <v>0.1</v>
      </c>
      <c r="G706" s="676">
        <v>1</v>
      </c>
      <c r="H706" s="929">
        <v>0</v>
      </c>
      <c r="I706" s="929">
        <v>0</v>
      </c>
      <c r="J706" s="689">
        <f t="shared" si="11"/>
        <v>1</v>
      </c>
    </row>
    <row r="707" spans="1:10" ht="12.75" customHeight="1" x14ac:dyDescent="0.2">
      <c r="A707" s="681" t="s">
        <v>2370</v>
      </c>
      <c r="B707" s="693" t="s">
        <v>3276</v>
      </c>
      <c r="C707" s="672" t="s">
        <v>791</v>
      </c>
      <c r="D707" s="673">
        <v>32924</v>
      </c>
      <c r="E707" s="674">
        <v>10</v>
      </c>
      <c r="F707" s="675">
        <v>0.1</v>
      </c>
      <c r="G707" s="676">
        <v>1</v>
      </c>
      <c r="H707" s="929">
        <v>0</v>
      </c>
      <c r="I707" s="929">
        <v>0</v>
      </c>
      <c r="J707" s="689">
        <f t="shared" si="11"/>
        <v>1</v>
      </c>
    </row>
    <row r="708" spans="1:10" ht="12.75" customHeight="1" x14ac:dyDescent="0.2">
      <c r="A708" s="681" t="s">
        <v>2370</v>
      </c>
      <c r="B708" s="693" t="s">
        <v>3277</v>
      </c>
      <c r="C708" s="672" t="s">
        <v>787</v>
      </c>
      <c r="D708" s="673">
        <v>32924</v>
      </c>
      <c r="E708" s="674">
        <v>10</v>
      </c>
      <c r="F708" s="675">
        <v>0.1</v>
      </c>
      <c r="G708" s="676">
        <v>1</v>
      </c>
      <c r="H708" s="929">
        <v>0</v>
      </c>
      <c r="I708" s="929">
        <v>0</v>
      </c>
      <c r="J708" s="689">
        <f t="shared" si="11"/>
        <v>1</v>
      </c>
    </row>
    <row r="709" spans="1:10" ht="12.75" customHeight="1" x14ac:dyDescent="0.2">
      <c r="A709" s="681" t="s">
        <v>2370</v>
      </c>
      <c r="B709" s="693" t="s">
        <v>3278</v>
      </c>
      <c r="C709" s="672" t="s">
        <v>787</v>
      </c>
      <c r="D709" s="673">
        <v>32924</v>
      </c>
      <c r="E709" s="674">
        <v>10</v>
      </c>
      <c r="F709" s="675">
        <v>0.1</v>
      </c>
      <c r="G709" s="676">
        <v>1</v>
      </c>
      <c r="H709" s="929">
        <v>0</v>
      </c>
      <c r="I709" s="929">
        <v>0</v>
      </c>
      <c r="J709" s="689">
        <f t="shared" si="11"/>
        <v>1</v>
      </c>
    </row>
    <row r="710" spans="1:10" ht="12.75" customHeight="1" x14ac:dyDescent="0.2">
      <c r="A710" s="681" t="s">
        <v>2370</v>
      </c>
      <c r="B710" s="693" t="s">
        <v>3279</v>
      </c>
      <c r="C710" s="672" t="s">
        <v>787</v>
      </c>
      <c r="D710" s="673">
        <v>33289</v>
      </c>
      <c r="E710" s="674">
        <v>10</v>
      </c>
      <c r="F710" s="675">
        <v>0.1</v>
      </c>
      <c r="G710" s="676">
        <v>1</v>
      </c>
      <c r="H710" s="929">
        <v>0</v>
      </c>
      <c r="I710" s="929">
        <v>0</v>
      </c>
      <c r="J710" s="689">
        <f t="shared" si="11"/>
        <v>1</v>
      </c>
    </row>
    <row r="711" spans="1:10" ht="12.75" customHeight="1" x14ac:dyDescent="0.2">
      <c r="A711" s="681" t="s">
        <v>2370</v>
      </c>
      <c r="B711" s="693" t="s">
        <v>3280</v>
      </c>
      <c r="C711" s="672" t="s">
        <v>828</v>
      </c>
      <c r="D711" s="673">
        <v>33289</v>
      </c>
      <c r="E711" s="674">
        <v>10</v>
      </c>
      <c r="F711" s="675">
        <v>0.1</v>
      </c>
      <c r="G711" s="676">
        <v>1</v>
      </c>
      <c r="H711" s="929">
        <v>0</v>
      </c>
      <c r="I711" s="929">
        <v>0</v>
      </c>
      <c r="J711" s="689">
        <f t="shared" ref="J711:J774" si="12">G711-I711</f>
        <v>1</v>
      </c>
    </row>
    <row r="712" spans="1:10" ht="12.75" customHeight="1" x14ac:dyDescent="0.2">
      <c r="A712" s="681" t="s">
        <v>2370</v>
      </c>
      <c r="B712" s="693" t="s">
        <v>3281</v>
      </c>
      <c r="C712" s="672" t="s">
        <v>828</v>
      </c>
      <c r="D712" s="673">
        <v>33289</v>
      </c>
      <c r="E712" s="674">
        <v>10</v>
      </c>
      <c r="F712" s="675">
        <v>0.1</v>
      </c>
      <c r="G712" s="676">
        <v>1</v>
      </c>
      <c r="H712" s="929">
        <v>0</v>
      </c>
      <c r="I712" s="929">
        <v>0</v>
      </c>
      <c r="J712" s="689">
        <f t="shared" si="12"/>
        <v>1</v>
      </c>
    </row>
    <row r="713" spans="1:10" ht="12.75" customHeight="1" x14ac:dyDescent="0.2">
      <c r="A713" s="681" t="s">
        <v>2370</v>
      </c>
      <c r="B713" s="693" t="s">
        <v>3282</v>
      </c>
      <c r="C713" s="672" t="s">
        <v>828</v>
      </c>
      <c r="D713" s="673">
        <v>33289</v>
      </c>
      <c r="E713" s="674">
        <v>10</v>
      </c>
      <c r="F713" s="675">
        <v>0.1</v>
      </c>
      <c r="G713" s="676">
        <v>1</v>
      </c>
      <c r="H713" s="929">
        <v>0</v>
      </c>
      <c r="I713" s="929">
        <v>0</v>
      </c>
      <c r="J713" s="689">
        <f t="shared" si="12"/>
        <v>1</v>
      </c>
    </row>
    <row r="714" spans="1:10" ht="12.75" customHeight="1" x14ac:dyDescent="0.2">
      <c r="A714" s="681" t="s">
        <v>2370</v>
      </c>
      <c r="B714" s="693" t="s">
        <v>3283</v>
      </c>
      <c r="C714" s="672" t="s">
        <v>828</v>
      </c>
      <c r="D714" s="673">
        <v>33289</v>
      </c>
      <c r="E714" s="674">
        <v>10</v>
      </c>
      <c r="F714" s="675">
        <v>0.1</v>
      </c>
      <c r="G714" s="676">
        <v>1</v>
      </c>
      <c r="H714" s="929">
        <v>0</v>
      </c>
      <c r="I714" s="929">
        <v>0</v>
      </c>
      <c r="J714" s="689">
        <f t="shared" si="12"/>
        <v>1</v>
      </c>
    </row>
    <row r="715" spans="1:10" ht="12.75" customHeight="1" x14ac:dyDescent="0.2">
      <c r="A715" s="681" t="s">
        <v>2370</v>
      </c>
      <c r="B715" s="693" t="s">
        <v>3284</v>
      </c>
      <c r="C715" s="672" t="s">
        <v>828</v>
      </c>
      <c r="D715" s="673">
        <v>33289</v>
      </c>
      <c r="E715" s="674">
        <v>10</v>
      </c>
      <c r="F715" s="675">
        <v>0.1</v>
      </c>
      <c r="G715" s="676">
        <v>1</v>
      </c>
      <c r="H715" s="929">
        <v>0</v>
      </c>
      <c r="I715" s="929">
        <v>0</v>
      </c>
      <c r="J715" s="689">
        <f t="shared" si="12"/>
        <v>1</v>
      </c>
    </row>
    <row r="716" spans="1:10" ht="12.75" customHeight="1" x14ac:dyDescent="0.2">
      <c r="A716" s="681" t="s">
        <v>2370</v>
      </c>
      <c r="B716" s="693" t="s">
        <v>3285</v>
      </c>
      <c r="C716" s="672" t="s">
        <v>828</v>
      </c>
      <c r="D716" s="673">
        <v>33289</v>
      </c>
      <c r="E716" s="674">
        <v>10</v>
      </c>
      <c r="F716" s="675">
        <v>0.1</v>
      </c>
      <c r="G716" s="676">
        <v>1</v>
      </c>
      <c r="H716" s="929">
        <v>0</v>
      </c>
      <c r="I716" s="929">
        <v>0</v>
      </c>
      <c r="J716" s="689">
        <f t="shared" si="12"/>
        <v>1</v>
      </c>
    </row>
    <row r="717" spans="1:10" ht="12.75" customHeight="1" x14ac:dyDescent="0.2">
      <c r="A717" s="681" t="s">
        <v>2370</v>
      </c>
      <c r="B717" s="693" t="s">
        <v>3286</v>
      </c>
      <c r="C717" s="672" t="s">
        <v>828</v>
      </c>
      <c r="D717" s="673">
        <v>33289</v>
      </c>
      <c r="E717" s="674">
        <v>10</v>
      </c>
      <c r="F717" s="675">
        <v>0.1</v>
      </c>
      <c r="G717" s="676">
        <v>1</v>
      </c>
      <c r="H717" s="929">
        <v>0</v>
      </c>
      <c r="I717" s="929">
        <v>0</v>
      </c>
      <c r="J717" s="689">
        <f t="shared" si="12"/>
        <v>1</v>
      </c>
    </row>
    <row r="718" spans="1:10" ht="12.75" customHeight="1" x14ac:dyDescent="0.2">
      <c r="A718" s="681" t="s">
        <v>2370</v>
      </c>
      <c r="B718" s="693" t="s">
        <v>3287</v>
      </c>
      <c r="C718" s="672" t="s">
        <v>828</v>
      </c>
      <c r="D718" s="673">
        <v>33289</v>
      </c>
      <c r="E718" s="674">
        <v>10</v>
      </c>
      <c r="F718" s="675">
        <v>0.1</v>
      </c>
      <c r="G718" s="676">
        <v>1</v>
      </c>
      <c r="H718" s="929">
        <v>0</v>
      </c>
      <c r="I718" s="929">
        <v>0</v>
      </c>
      <c r="J718" s="689">
        <f t="shared" si="12"/>
        <v>1</v>
      </c>
    </row>
    <row r="719" spans="1:10" ht="12.75" customHeight="1" x14ac:dyDescent="0.2">
      <c r="A719" s="681" t="s">
        <v>2370</v>
      </c>
      <c r="B719" s="693" t="s">
        <v>3288</v>
      </c>
      <c r="C719" s="672" t="s">
        <v>828</v>
      </c>
      <c r="D719" s="673">
        <v>33289</v>
      </c>
      <c r="E719" s="674">
        <v>10</v>
      </c>
      <c r="F719" s="675">
        <v>0.1</v>
      </c>
      <c r="G719" s="676">
        <v>1</v>
      </c>
      <c r="H719" s="929">
        <v>0</v>
      </c>
      <c r="I719" s="929">
        <v>0</v>
      </c>
      <c r="J719" s="689">
        <f t="shared" si="12"/>
        <v>1</v>
      </c>
    </row>
    <row r="720" spans="1:10" ht="12.75" customHeight="1" x14ac:dyDescent="0.2">
      <c r="A720" s="681" t="s">
        <v>2370</v>
      </c>
      <c r="B720" s="693" t="s">
        <v>3289</v>
      </c>
      <c r="C720" s="672" t="s">
        <v>828</v>
      </c>
      <c r="D720" s="673">
        <v>33289</v>
      </c>
      <c r="E720" s="674">
        <v>10</v>
      </c>
      <c r="F720" s="675">
        <v>0.1</v>
      </c>
      <c r="G720" s="676">
        <v>1</v>
      </c>
      <c r="H720" s="929">
        <v>0</v>
      </c>
      <c r="I720" s="929">
        <v>0</v>
      </c>
      <c r="J720" s="689">
        <f t="shared" si="12"/>
        <v>1</v>
      </c>
    </row>
    <row r="721" spans="1:10" ht="12.75" customHeight="1" x14ac:dyDescent="0.2">
      <c r="A721" s="681" t="s">
        <v>2370</v>
      </c>
      <c r="B721" s="693" t="s">
        <v>3290</v>
      </c>
      <c r="C721" s="672" t="s">
        <v>828</v>
      </c>
      <c r="D721" s="673">
        <v>33289</v>
      </c>
      <c r="E721" s="674">
        <v>10</v>
      </c>
      <c r="F721" s="675">
        <v>0.1</v>
      </c>
      <c r="G721" s="676">
        <v>1</v>
      </c>
      <c r="H721" s="929">
        <v>0</v>
      </c>
      <c r="I721" s="929">
        <v>0</v>
      </c>
      <c r="J721" s="689">
        <f t="shared" si="12"/>
        <v>1</v>
      </c>
    </row>
    <row r="722" spans="1:10" ht="12.75" customHeight="1" x14ac:dyDescent="0.2">
      <c r="A722" s="681" t="s">
        <v>2370</v>
      </c>
      <c r="B722" s="693" t="s">
        <v>3291</v>
      </c>
      <c r="C722" s="672" t="s">
        <v>828</v>
      </c>
      <c r="D722" s="673">
        <v>33289</v>
      </c>
      <c r="E722" s="674">
        <v>10</v>
      </c>
      <c r="F722" s="675">
        <v>0.1</v>
      </c>
      <c r="G722" s="676">
        <v>1</v>
      </c>
      <c r="H722" s="929">
        <v>0</v>
      </c>
      <c r="I722" s="929">
        <v>0</v>
      </c>
      <c r="J722" s="689">
        <f t="shared" si="12"/>
        <v>1</v>
      </c>
    </row>
    <row r="723" spans="1:10" ht="12.75" customHeight="1" x14ac:dyDescent="0.2">
      <c r="A723" s="681" t="s">
        <v>2370</v>
      </c>
      <c r="B723" s="693" t="s">
        <v>3292</v>
      </c>
      <c r="C723" s="672" t="s">
        <v>829</v>
      </c>
      <c r="D723" s="673">
        <v>33289</v>
      </c>
      <c r="E723" s="674">
        <v>10</v>
      </c>
      <c r="F723" s="675">
        <v>0.1</v>
      </c>
      <c r="G723" s="676">
        <v>1</v>
      </c>
      <c r="H723" s="929">
        <v>0</v>
      </c>
      <c r="I723" s="929">
        <v>0</v>
      </c>
      <c r="J723" s="689">
        <f t="shared" si="12"/>
        <v>1</v>
      </c>
    </row>
    <row r="724" spans="1:10" ht="12.75" customHeight="1" x14ac:dyDescent="0.2">
      <c r="A724" s="681" t="s">
        <v>2370</v>
      </c>
      <c r="B724" s="693" t="s">
        <v>3293</v>
      </c>
      <c r="C724" s="672" t="s">
        <v>828</v>
      </c>
      <c r="D724" s="673">
        <v>33289</v>
      </c>
      <c r="E724" s="674">
        <v>10</v>
      </c>
      <c r="F724" s="675">
        <v>0.1</v>
      </c>
      <c r="G724" s="676">
        <v>1</v>
      </c>
      <c r="H724" s="929">
        <v>0</v>
      </c>
      <c r="I724" s="929">
        <v>0</v>
      </c>
      <c r="J724" s="689">
        <f t="shared" si="12"/>
        <v>1</v>
      </c>
    </row>
    <row r="725" spans="1:10" ht="12.75" customHeight="1" x14ac:dyDescent="0.2">
      <c r="A725" s="681" t="s">
        <v>2370</v>
      </c>
      <c r="B725" s="693" t="s">
        <v>3294</v>
      </c>
      <c r="C725" s="672" t="s">
        <v>828</v>
      </c>
      <c r="D725" s="673">
        <v>33289</v>
      </c>
      <c r="E725" s="674">
        <v>10</v>
      </c>
      <c r="F725" s="675">
        <v>0.1</v>
      </c>
      <c r="G725" s="676">
        <v>1</v>
      </c>
      <c r="H725" s="929">
        <v>0</v>
      </c>
      <c r="I725" s="929">
        <v>0</v>
      </c>
      <c r="J725" s="689">
        <f t="shared" si="12"/>
        <v>1</v>
      </c>
    </row>
    <row r="726" spans="1:10" ht="12.75" customHeight="1" x14ac:dyDescent="0.2">
      <c r="A726" s="681" t="s">
        <v>2370</v>
      </c>
      <c r="B726" s="693" t="s">
        <v>3295</v>
      </c>
      <c r="C726" s="672" t="s">
        <v>828</v>
      </c>
      <c r="D726" s="673">
        <v>33289</v>
      </c>
      <c r="E726" s="674">
        <v>10</v>
      </c>
      <c r="F726" s="675">
        <v>0.1</v>
      </c>
      <c r="G726" s="676">
        <v>1</v>
      </c>
      <c r="H726" s="929">
        <v>0</v>
      </c>
      <c r="I726" s="929">
        <v>0</v>
      </c>
      <c r="J726" s="689">
        <f t="shared" si="12"/>
        <v>1</v>
      </c>
    </row>
    <row r="727" spans="1:10" ht="12.75" customHeight="1" x14ac:dyDescent="0.2">
      <c r="A727" s="681" t="s">
        <v>2370</v>
      </c>
      <c r="B727" s="693" t="s">
        <v>3296</v>
      </c>
      <c r="C727" s="672" t="s">
        <v>828</v>
      </c>
      <c r="D727" s="673">
        <v>33289</v>
      </c>
      <c r="E727" s="674">
        <v>10</v>
      </c>
      <c r="F727" s="675">
        <v>0.1</v>
      </c>
      <c r="G727" s="676">
        <v>1</v>
      </c>
      <c r="H727" s="929">
        <v>0</v>
      </c>
      <c r="I727" s="929">
        <v>0</v>
      </c>
      <c r="J727" s="689">
        <f t="shared" si="12"/>
        <v>1</v>
      </c>
    </row>
    <row r="728" spans="1:10" ht="12.75" customHeight="1" x14ac:dyDescent="0.2">
      <c r="A728" s="681" t="s">
        <v>2370</v>
      </c>
      <c r="B728" s="693" t="s">
        <v>3297</v>
      </c>
      <c r="C728" s="672" t="s">
        <v>828</v>
      </c>
      <c r="D728" s="673">
        <v>33289</v>
      </c>
      <c r="E728" s="674">
        <v>10</v>
      </c>
      <c r="F728" s="675">
        <v>0.1</v>
      </c>
      <c r="G728" s="676">
        <v>1</v>
      </c>
      <c r="H728" s="929">
        <v>0</v>
      </c>
      <c r="I728" s="929">
        <v>0</v>
      </c>
      <c r="J728" s="689">
        <f t="shared" si="12"/>
        <v>1</v>
      </c>
    </row>
    <row r="729" spans="1:10" ht="12.75" customHeight="1" x14ac:dyDescent="0.2">
      <c r="A729" s="681" t="s">
        <v>2370</v>
      </c>
      <c r="B729" s="693" t="s">
        <v>3298</v>
      </c>
      <c r="C729" s="672" t="s">
        <v>828</v>
      </c>
      <c r="D729" s="673">
        <v>33289</v>
      </c>
      <c r="E729" s="674">
        <v>10</v>
      </c>
      <c r="F729" s="675">
        <v>0.1</v>
      </c>
      <c r="G729" s="676">
        <v>1</v>
      </c>
      <c r="H729" s="929">
        <v>0</v>
      </c>
      <c r="I729" s="929">
        <v>0</v>
      </c>
      <c r="J729" s="689">
        <f t="shared" si="12"/>
        <v>1</v>
      </c>
    </row>
    <row r="730" spans="1:10" ht="12.75" customHeight="1" x14ac:dyDescent="0.2">
      <c r="A730" s="681" t="s">
        <v>2370</v>
      </c>
      <c r="B730" s="693" t="s">
        <v>3299</v>
      </c>
      <c r="C730" s="672" t="s">
        <v>828</v>
      </c>
      <c r="D730" s="673">
        <v>33289</v>
      </c>
      <c r="E730" s="674">
        <v>10</v>
      </c>
      <c r="F730" s="675">
        <v>0.1</v>
      </c>
      <c r="G730" s="676">
        <v>1</v>
      </c>
      <c r="H730" s="929">
        <v>0</v>
      </c>
      <c r="I730" s="929">
        <v>0</v>
      </c>
      <c r="J730" s="689">
        <f t="shared" si="12"/>
        <v>1</v>
      </c>
    </row>
    <row r="731" spans="1:10" ht="12.75" customHeight="1" x14ac:dyDescent="0.2">
      <c r="A731" s="681" t="s">
        <v>2370</v>
      </c>
      <c r="B731" s="693" t="s">
        <v>3300</v>
      </c>
      <c r="C731" s="672" t="s">
        <v>790</v>
      </c>
      <c r="D731" s="673">
        <v>32924</v>
      </c>
      <c r="E731" s="674">
        <v>10</v>
      </c>
      <c r="F731" s="675">
        <v>0.1</v>
      </c>
      <c r="G731" s="676">
        <v>1</v>
      </c>
      <c r="H731" s="929">
        <v>0</v>
      </c>
      <c r="I731" s="929">
        <v>0</v>
      </c>
      <c r="J731" s="689">
        <f t="shared" si="12"/>
        <v>1</v>
      </c>
    </row>
    <row r="732" spans="1:10" ht="12.75" customHeight="1" x14ac:dyDescent="0.2">
      <c r="A732" s="681" t="s">
        <v>2370</v>
      </c>
      <c r="B732" s="693" t="s">
        <v>3301</v>
      </c>
      <c r="C732" s="672" t="s">
        <v>790</v>
      </c>
      <c r="D732" s="673">
        <v>32924</v>
      </c>
      <c r="E732" s="674">
        <v>10</v>
      </c>
      <c r="F732" s="675">
        <v>0.1</v>
      </c>
      <c r="G732" s="676">
        <v>1</v>
      </c>
      <c r="H732" s="929">
        <v>0</v>
      </c>
      <c r="I732" s="929">
        <v>0</v>
      </c>
      <c r="J732" s="689">
        <f t="shared" si="12"/>
        <v>1</v>
      </c>
    </row>
    <row r="733" spans="1:10" ht="12.75" customHeight="1" x14ac:dyDescent="0.2">
      <c r="A733" s="681" t="s">
        <v>2370</v>
      </c>
      <c r="B733" s="693" t="s">
        <v>3302</v>
      </c>
      <c r="C733" s="672" t="s">
        <v>790</v>
      </c>
      <c r="D733" s="673">
        <v>32924</v>
      </c>
      <c r="E733" s="674">
        <v>10</v>
      </c>
      <c r="F733" s="675">
        <v>0.1</v>
      </c>
      <c r="G733" s="676">
        <v>1</v>
      </c>
      <c r="H733" s="929">
        <v>0</v>
      </c>
      <c r="I733" s="929">
        <v>0</v>
      </c>
      <c r="J733" s="689">
        <f t="shared" si="12"/>
        <v>1</v>
      </c>
    </row>
    <row r="734" spans="1:10" ht="12.75" customHeight="1" x14ac:dyDescent="0.2">
      <c r="A734" s="681" t="s">
        <v>2370</v>
      </c>
      <c r="B734" s="693" t="s">
        <v>3303</v>
      </c>
      <c r="C734" s="672" t="s">
        <v>790</v>
      </c>
      <c r="D734" s="673">
        <v>32924</v>
      </c>
      <c r="E734" s="674">
        <v>10</v>
      </c>
      <c r="F734" s="675">
        <v>0.1</v>
      </c>
      <c r="G734" s="676">
        <v>1</v>
      </c>
      <c r="H734" s="929">
        <v>0</v>
      </c>
      <c r="I734" s="929">
        <v>0</v>
      </c>
      <c r="J734" s="689">
        <f t="shared" si="12"/>
        <v>1</v>
      </c>
    </row>
    <row r="735" spans="1:10" ht="12.75" customHeight="1" x14ac:dyDescent="0.2">
      <c r="A735" s="681" t="s">
        <v>2370</v>
      </c>
      <c r="B735" s="693" t="s">
        <v>3304</v>
      </c>
      <c r="C735" s="672" t="s">
        <v>790</v>
      </c>
      <c r="D735" s="673">
        <v>32924</v>
      </c>
      <c r="E735" s="674">
        <v>10</v>
      </c>
      <c r="F735" s="675">
        <v>0.1</v>
      </c>
      <c r="G735" s="676">
        <v>1</v>
      </c>
      <c r="H735" s="929">
        <v>0</v>
      </c>
      <c r="I735" s="929">
        <v>0</v>
      </c>
      <c r="J735" s="689">
        <f t="shared" si="12"/>
        <v>1</v>
      </c>
    </row>
    <row r="736" spans="1:10" ht="12.75" customHeight="1" x14ac:dyDescent="0.2">
      <c r="A736" s="681" t="s">
        <v>2370</v>
      </c>
      <c r="B736" s="693" t="s">
        <v>3305</v>
      </c>
      <c r="C736" s="672" t="s">
        <v>785</v>
      </c>
      <c r="D736" s="673">
        <v>32924</v>
      </c>
      <c r="E736" s="674">
        <v>10</v>
      </c>
      <c r="F736" s="675">
        <v>0.1</v>
      </c>
      <c r="G736" s="676">
        <v>1</v>
      </c>
      <c r="H736" s="929">
        <v>0</v>
      </c>
      <c r="I736" s="929">
        <v>0</v>
      </c>
      <c r="J736" s="689">
        <f t="shared" si="12"/>
        <v>1</v>
      </c>
    </row>
    <row r="737" spans="1:10" ht="12.75" customHeight="1" x14ac:dyDescent="0.2">
      <c r="A737" s="681" t="s">
        <v>2370</v>
      </c>
      <c r="B737" s="693" t="s">
        <v>3306</v>
      </c>
      <c r="C737" s="672" t="s">
        <v>818</v>
      </c>
      <c r="D737" s="673">
        <v>33289</v>
      </c>
      <c r="E737" s="674">
        <v>10</v>
      </c>
      <c r="F737" s="675">
        <v>0.1</v>
      </c>
      <c r="G737" s="676">
        <v>1</v>
      </c>
      <c r="H737" s="929">
        <v>0</v>
      </c>
      <c r="I737" s="929">
        <v>0</v>
      </c>
      <c r="J737" s="689">
        <f t="shared" si="12"/>
        <v>1</v>
      </c>
    </row>
    <row r="738" spans="1:10" ht="12.75" customHeight="1" x14ac:dyDescent="0.2">
      <c r="A738" s="681" t="s">
        <v>2370</v>
      </c>
      <c r="B738" s="693" t="s">
        <v>3307</v>
      </c>
      <c r="C738" s="672" t="s">
        <v>819</v>
      </c>
      <c r="D738" s="673">
        <v>33289</v>
      </c>
      <c r="E738" s="674">
        <v>10</v>
      </c>
      <c r="F738" s="675">
        <v>0.1</v>
      </c>
      <c r="G738" s="676">
        <v>1</v>
      </c>
      <c r="H738" s="929">
        <v>0</v>
      </c>
      <c r="I738" s="929">
        <v>0</v>
      </c>
      <c r="J738" s="689">
        <f t="shared" si="12"/>
        <v>1</v>
      </c>
    </row>
    <row r="739" spans="1:10" ht="12.75" customHeight="1" x14ac:dyDescent="0.2">
      <c r="A739" s="681" t="s">
        <v>2370</v>
      </c>
      <c r="B739" s="693" t="s">
        <v>3308</v>
      </c>
      <c r="C739" s="672" t="s">
        <v>819</v>
      </c>
      <c r="D739" s="673">
        <v>33289</v>
      </c>
      <c r="E739" s="674">
        <v>10</v>
      </c>
      <c r="F739" s="675">
        <v>0.1</v>
      </c>
      <c r="G739" s="676">
        <v>1</v>
      </c>
      <c r="H739" s="929">
        <v>0</v>
      </c>
      <c r="I739" s="929">
        <v>0</v>
      </c>
      <c r="J739" s="689">
        <f t="shared" si="12"/>
        <v>1</v>
      </c>
    </row>
    <row r="740" spans="1:10" ht="12.75" customHeight="1" x14ac:dyDescent="0.2">
      <c r="A740" s="681" t="s">
        <v>2370</v>
      </c>
      <c r="B740" s="693" t="s">
        <v>3309</v>
      </c>
      <c r="C740" s="672" t="s">
        <v>819</v>
      </c>
      <c r="D740" s="673">
        <v>33289</v>
      </c>
      <c r="E740" s="674">
        <v>10</v>
      </c>
      <c r="F740" s="675">
        <v>0.1</v>
      </c>
      <c r="G740" s="676">
        <v>1</v>
      </c>
      <c r="H740" s="929">
        <v>0</v>
      </c>
      <c r="I740" s="929">
        <v>0</v>
      </c>
      <c r="J740" s="689">
        <f t="shared" si="12"/>
        <v>1</v>
      </c>
    </row>
    <row r="741" spans="1:10" ht="12.75" customHeight="1" x14ac:dyDescent="0.2">
      <c r="A741" s="681" t="s">
        <v>2370</v>
      </c>
      <c r="B741" s="693" t="s">
        <v>3310</v>
      </c>
      <c r="C741" s="672" t="s">
        <v>788</v>
      </c>
      <c r="D741" s="673">
        <v>39498</v>
      </c>
      <c r="E741" s="674">
        <v>10</v>
      </c>
      <c r="F741" s="675">
        <v>0.1</v>
      </c>
      <c r="G741" s="676">
        <v>1</v>
      </c>
      <c r="H741" s="929">
        <v>0</v>
      </c>
      <c r="I741" s="929">
        <v>0</v>
      </c>
      <c r="J741" s="689">
        <f t="shared" si="12"/>
        <v>1</v>
      </c>
    </row>
    <row r="742" spans="1:10" ht="12.75" customHeight="1" x14ac:dyDescent="0.2">
      <c r="A742" s="681" t="s">
        <v>2370</v>
      </c>
      <c r="B742" s="693" t="s">
        <v>3311</v>
      </c>
      <c r="C742" s="672" t="s">
        <v>785</v>
      </c>
      <c r="D742" s="673">
        <v>39498</v>
      </c>
      <c r="E742" s="674">
        <v>10</v>
      </c>
      <c r="F742" s="675">
        <v>0.1</v>
      </c>
      <c r="G742" s="676">
        <v>1</v>
      </c>
      <c r="H742" s="929">
        <v>0</v>
      </c>
      <c r="I742" s="929">
        <v>0</v>
      </c>
      <c r="J742" s="689">
        <f t="shared" si="12"/>
        <v>1</v>
      </c>
    </row>
    <row r="743" spans="1:10" ht="12.75" customHeight="1" x14ac:dyDescent="0.2">
      <c r="A743" s="681" t="s">
        <v>2370</v>
      </c>
      <c r="B743" s="693" t="s">
        <v>3312</v>
      </c>
      <c r="C743" s="672" t="s">
        <v>785</v>
      </c>
      <c r="D743" s="673">
        <v>39498</v>
      </c>
      <c r="E743" s="674">
        <v>10</v>
      </c>
      <c r="F743" s="675">
        <v>0.1</v>
      </c>
      <c r="G743" s="676">
        <v>1</v>
      </c>
      <c r="H743" s="929">
        <v>0</v>
      </c>
      <c r="I743" s="929">
        <v>0</v>
      </c>
      <c r="J743" s="689">
        <f t="shared" si="12"/>
        <v>1</v>
      </c>
    </row>
    <row r="744" spans="1:10" ht="12.75" customHeight="1" x14ac:dyDescent="0.2">
      <c r="A744" s="681" t="s">
        <v>2370</v>
      </c>
      <c r="B744" s="693" t="s">
        <v>3313</v>
      </c>
      <c r="C744" s="672" t="s">
        <v>785</v>
      </c>
      <c r="D744" s="673">
        <v>39498</v>
      </c>
      <c r="E744" s="674">
        <v>10</v>
      </c>
      <c r="F744" s="675">
        <v>0.1</v>
      </c>
      <c r="G744" s="676">
        <v>1</v>
      </c>
      <c r="H744" s="929">
        <v>0</v>
      </c>
      <c r="I744" s="929">
        <v>0</v>
      </c>
      <c r="J744" s="689">
        <f t="shared" si="12"/>
        <v>1</v>
      </c>
    </row>
    <row r="745" spans="1:10" ht="12.75" customHeight="1" x14ac:dyDescent="0.2">
      <c r="A745" s="681" t="s">
        <v>2370</v>
      </c>
      <c r="B745" s="693" t="s">
        <v>3314</v>
      </c>
      <c r="C745" s="672" t="s">
        <v>785</v>
      </c>
      <c r="D745" s="673">
        <v>39498</v>
      </c>
      <c r="E745" s="674">
        <v>10</v>
      </c>
      <c r="F745" s="675">
        <v>0.1</v>
      </c>
      <c r="G745" s="676">
        <v>1</v>
      </c>
      <c r="H745" s="929">
        <v>0</v>
      </c>
      <c r="I745" s="929">
        <v>0</v>
      </c>
      <c r="J745" s="689">
        <f t="shared" si="12"/>
        <v>1</v>
      </c>
    </row>
    <row r="746" spans="1:10" ht="12.75" customHeight="1" x14ac:dyDescent="0.2">
      <c r="A746" s="681" t="s">
        <v>2370</v>
      </c>
      <c r="B746" s="693" t="s">
        <v>3315</v>
      </c>
      <c r="C746" s="672" t="s">
        <v>785</v>
      </c>
      <c r="D746" s="673">
        <v>39498</v>
      </c>
      <c r="E746" s="674">
        <v>10</v>
      </c>
      <c r="F746" s="675">
        <v>0.1</v>
      </c>
      <c r="G746" s="676">
        <v>1</v>
      </c>
      <c r="H746" s="929">
        <v>0</v>
      </c>
      <c r="I746" s="929">
        <v>0</v>
      </c>
      <c r="J746" s="689">
        <f t="shared" si="12"/>
        <v>1</v>
      </c>
    </row>
    <row r="747" spans="1:10" ht="12.75" customHeight="1" x14ac:dyDescent="0.2">
      <c r="A747" s="681" t="s">
        <v>2370</v>
      </c>
      <c r="B747" s="693" t="s">
        <v>3316</v>
      </c>
      <c r="C747" s="672" t="s">
        <v>787</v>
      </c>
      <c r="D747" s="673">
        <v>40594</v>
      </c>
      <c r="E747" s="674">
        <v>10</v>
      </c>
      <c r="F747" s="675">
        <v>0.1</v>
      </c>
      <c r="G747" s="676">
        <v>1</v>
      </c>
      <c r="H747" s="929">
        <v>0</v>
      </c>
      <c r="I747" s="929">
        <v>0</v>
      </c>
      <c r="J747" s="689">
        <f t="shared" si="12"/>
        <v>1</v>
      </c>
    </row>
    <row r="748" spans="1:10" ht="12.75" customHeight="1" x14ac:dyDescent="0.2">
      <c r="A748" s="681" t="s">
        <v>2370</v>
      </c>
      <c r="B748" s="693" t="s">
        <v>3317</v>
      </c>
      <c r="C748" s="672" t="s">
        <v>787</v>
      </c>
      <c r="D748" s="673">
        <v>40594</v>
      </c>
      <c r="E748" s="674">
        <v>10</v>
      </c>
      <c r="F748" s="675">
        <v>0.1</v>
      </c>
      <c r="G748" s="676">
        <v>1</v>
      </c>
      <c r="H748" s="929">
        <v>0</v>
      </c>
      <c r="I748" s="929">
        <v>0</v>
      </c>
      <c r="J748" s="689">
        <f t="shared" si="12"/>
        <v>1</v>
      </c>
    </row>
    <row r="749" spans="1:10" ht="12.75" customHeight="1" x14ac:dyDescent="0.2">
      <c r="A749" s="681" t="s">
        <v>2370</v>
      </c>
      <c r="B749" s="693" t="s">
        <v>3318</v>
      </c>
      <c r="C749" s="672" t="s">
        <v>787</v>
      </c>
      <c r="D749" s="673">
        <v>40594</v>
      </c>
      <c r="E749" s="674">
        <v>10</v>
      </c>
      <c r="F749" s="675">
        <v>0.1</v>
      </c>
      <c r="G749" s="676">
        <v>1</v>
      </c>
      <c r="H749" s="929">
        <v>0</v>
      </c>
      <c r="I749" s="929">
        <v>0</v>
      </c>
      <c r="J749" s="689">
        <f t="shared" si="12"/>
        <v>1</v>
      </c>
    </row>
    <row r="750" spans="1:10" ht="12.75" customHeight="1" x14ac:dyDescent="0.2">
      <c r="A750" s="681" t="s">
        <v>2370</v>
      </c>
      <c r="B750" s="693" t="s">
        <v>3319</v>
      </c>
      <c r="C750" s="672" t="s">
        <v>787</v>
      </c>
      <c r="D750" s="673">
        <v>40594</v>
      </c>
      <c r="E750" s="674">
        <v>10</v>
      </c>
      <c r="F750" s="675">
        <v>0.1</v>
      </c>
      <c r="G750" s="676">
        <v>1</v>
      </c>
      <c r="H750" s="929">
        <v>0</v>
      </c>
      <c r="I750" s="929">
        <v>0</v>
      </c>
      <c r="J750" s="689">
        <f t="shared" si="12"/>
        <v>1</v>
      </c>
    </row>
    <row r="751" spans="1:10" ht="12.75" customHeight="1" x14ac:dyDescent="0.2">
      <c r="A751" s="681" t="s">
        <v>2370</v>
      </c>
      <c r="B751" s="693" t="s">
        <v>3320</v>
      </c>
      <c r="C751" s="672" t="s">
        <v>790</v>
      </c>
      <c r="D751" s="673">
        <v>40594</v>
      </c>
      <c r="E751" s="674">
        <v>10</v>
      </c>
      <c r="F751" s="675">
        <v>0.1</v>
      </c>
      <c r="G751" s="676">
        <v>1</v>
      </c>
      <c r="H751" s="929">
        <v>0</v>
      </c>
      <c r="I751" s="929">
        <v>0</v>
      </c>
      <c r="J751" s="689">
        <f t="shared" si="12"/>
        <v>1</v>
      </c>
    </row>
    <row r="752" spans="1:10" ht="12.75" customHeight="1" x14ac:dyDescent="0.2">
      <c r="A752" s="681" t="s">
        <v>2370</v>
      </c>
      <c r="B752" s="693" t="s">
        <v>3321</v>
      </c>
      <c r="C752" s="672" t="s">
        <v>785</v>
      </c>
      <c r="D752" s="673">
        <v>35481</v>
      </c>
      <c r="E752" s="674">
        <v>10</v>
      </c>
      <c r="F752" s="675">
        <v>0.1</v>
      </c>
      <c r="G752" s="676">
        <v>1</v>
      </c>
      <c r="H752" s="929">
        <v>0</v>
      </c>
      <c r="I752" s="929">
        <v>0</v>
      </c>
      <c r="J752" s="689">
        <f t="shared" si="12"/>
        <v>1</v>
      </c>
    </row>
    <row r="753" spans="1:10" ht="12.75" customHeight="1" x14ac:dyDescent="0.2">
      <c r="A753" s="681" t="s">
        <v>2370</v>
      </c>
      <c r="B753" s="693" t="s">
        <v>3322</v>
      </c>
      <c r="C753" s="672" t="s">
        <v>785</v>
      </c>
      <c r="D753" s="673">
        <v>39498</v>
      </c>
      <c r="E753" s="674">
        <v>10</v>
      </c>
      <c r="F753" s="675">
        <v>0.1</v>
      </c>
      <c r="G753" s="676">
        <v>1</v>
      </c>
      <c r="H753" s="929">
        <v>0</v>
      </c>
      <c r="I753" s="929">
        <v>0</v>
      </c>
      <c r="J753" s="689">
        <f t="shared" si="12"/>
        <v>1</v>
      </c>
    </row>
    <row r="754" spans="1:10" ht="12.75" customHeight="1" x14ac:dyDescent="0.2">
      <c r="A754" s="681" t="s">
        <v>2370</v>
      </c>
      <c r="B754" s="693" t="s">
        <v>3323</v>
      </c>
      <c r="C754" s="672" t="s">
        <v>785</v>
      </c>
      <c r="D754" s="673">
        <v>40594</v>
      </c>
      <c r="E754" s="674">
        <v>10</v>
      </c>
      <c r="F754" s="675">
        <v>0.1</v>
      </c>
      <c r="G754" s="676">
        <v>1</v>
      </c>
      <c r="H754" s="929">
        <v>0</v>
      </c>
      <c r="I754" s="929">
        <v>0</v>
      </c>
      <c r="J754" s="689">
        <f t="shared" si="12"/>
        <v>1</v>
      </c>
    </row>
    <row r="755" spans="1:10" ht="12.75" customHeight="1" x14ac:dyDescent="0.2">
      <c r="A755" s="681" t="s">
        <v>2370</v>
      </c>
      <c r="B755" s="693" t="s">
        <v>3324</v>
      </c>
      <c r="C755" s="672" t="s">
        <v>785</v>
      </c>
      <c r="D755" s="673">
        <v>40594</v>
      </c>
      <c r="E755" s="674">
        <v>10</v>
      </c>
      <c r="F755" s="675">
        <v>0.1</v>
      </c>
      <c r="G755" s="676">
        <v>1</v>
      </c>
      <c r="H755" s="929">
        <v>0</v>
      </c>
      <c r="I755" s="929">
        <v>0</v>
      </c>
      <c r="J755" s="689">
        <f t="shared" si="12"/>
        <v>1</v>
      </c>
    </row>
    <row r="756" spans="1:10" ht="12.75" customHeight="1" x14ac:dyDescent="0.2">
      <c r="A756" s="681" t="s">
        <v>2370</v>
      </c>
      <c r="B756" s="693" t="s">
        <v>3325</v>
      </c>
      <c r="C756" s="672" t="s">
        <v>785</v>
      </c>
      <c r="D756" s="673">
        <v>40594</v>
      </c>
      <c r="E756" s="674">
        <v>10</v>
      </c>
      <c r="F756" s="675">
        <v>0.1</v>
      </c>
      <c r="G756" s="676">
        <v>1</v>
      </c>
      <c r="H756" s="929">
        <v>0</v>
      </c>
      <c r="I756" s="929">
        <v>0</v>
      </c>
      <c r="J756" s="689">
        <f t="shared" si="12"/>
        <v>1</v>
      </c>
    </row>
    <row r="757" spans="1:10" ht="12.75" customHeight="1" x14ac:dyDescent="0.2">
      <c r="A757" s="681" t="s">
        <v>2370</v>
      </c>
      <c r="B757" s="693" t="s">
        <v>3326</v>
      </c>
      <c r="C757" s="672" t="s">
        <v>785</v>
      </c>
      <c r="D757" s="673">
        <v>40594</v>
      </c>
      <c r="E757" s="674">
        <v>10</v>
      </c>
      <c r="F757" s="675">
        <v>0.1</v>
      </c>
      <c r="G757" s="676">
        <v>1</v>
      </c>
      <c r="H757" s="929">
        <v>0</v>
      </c>
      <c r="I757" s="929">
        <v>0</v>
      </c>
      <c r="J757" s="689">
        <f t="shared" si="12"/>
        <v>1</v>
      </c>
    </row>
    <row r="758" spans="1:10" ht="12.75" customHeight="1" x14ac:dyDescent="0.2">
      <c r="A758" s="681" t="s">
        <v>2370</v>
      </c>
      <c r="B758" s="693" t="s">
        <v>3327</v>
      </c>
      <c r="C758" s="672" t="s">
        <v>785</v>
      </c>
      <c r="D758" s="673">
        <v>38768</v>
      </c>
      <c r="E758" s="674">
        <v>10</v>
      </c>
      <c r="F758" s="675">
        <v>0.1</v>
      </c>
      <c r="G758" s="676">
        <v>1</v>
      </c>
      <c r="H758" s="929">
        <v>0</v>
      </c>
      <c r="I758" s="929">
        <v>0</v>
      </c>
      <c r="J758" s="689">
        <f t="shared" si="12"/>
        <v>1</v>
      </c>
    </row>
    <row r="759" spans="1:10" ht="12.75" customHeight="1" x14ac:dyDescent="0.2">
      <c r="A759" s="681" t="s">
        <v>2370</v>
      </c>
      <c r="B759" s="693" t="s">
        <v>3328</v>
      </c>
      <c r="C759" s="672" t="s">
        <v>791</v>
      </c>
      <c r="D759" s="673">
        <v>38403</v>
      </c>
      <c r="E759" s="674">
        <v>10</v>
      </c>
      <c r="F759" s="675">
        <v>0.1</v>
      </c>
      <c r="G759" s="676">
        <v>1</v>
      </c>
      <c r="H759" s="929">
        <v>0</v>
      </c>
      <c r="I759" s="929">
        <v>0</v>
      </c>
      <c r="J759" s="689">
        <f t="shared" si="12"/>
        <v>1</v>
      </c>
    </row>
    <row r="760" spans="1:10" ht="12.75" customHeight="1" x14ac:dyDescent="0.2">
      <c r="A760" s="681" t="s">
        <v>2370</v>
      </c>
      <c r="B760" s="693" t="s">
        <v>3329</v>
      </c>
      <c r="C760" s="672" t="s">
        <v>785</v>
      </c>
      <c r="D760" s="673">
        <v>36576</v>
      </c>
      <c r="E760" s="674">
        <v>10</v>
      </c>
      <c r="F760" s="675">
        <v>0.1</v>
      </c>
      <c r="G760" s="676">
        <v>1</v>
      </c>
      <c r="H760" s="929">
        <v>0</v>
      </c>
      <c r="I760" s="929">
        <v>0</v>
      </c>
      <c r="J760" s="689">
        <f t="shared" si="12"/>
        <v>1</v>
      </c>
    </row>
    <row r="761" spans="1:10" ht="12.75" customHeight="1" x14ac:dyDescent="0.2">
      <c r="A761" s="681" t="s">
        <v>2370</v>
      </c>
      <c r="B761" s="693" t="s">
        <v>3330</v>
      </c>
      <c r="C761" s="672" t="s">
        <v>785</v>
      </c>
      <c r="D761" s="673">
        <v>37672</v>
      </c>
      <c r="E761" s="674">
        <v>10</v>
      </c>
      <c r="F761" s="675">
        <v>0.1</v>
      </c>
      <c r="G761" s="676">
        <v>1</v>
      </c>
      <c r="H761" s="929">
        <v>0</v>
      </c>
      <c r="I761" s="929">
        <v>0</v>
      </c>
      <c r="J761" s="689">
        <f t="shared" si="12"/>
        <v>1</v>
      </c>
    </row>
    <row r="762" spans="1:10" ht="12.75" customHeight="1" x14ac:dyDescent="0.2">
      <c r="A762" s="681" t="s">
        <v>2370</v>
      </c>
      <c r="B762" s="693" t="s">
        <v>3331</v>
      </c>
      <c r="C762" s="672" t="s">
        <v>785</v>
      </c>
      <c r="D762" s="673">
        <v>35481</v>
      </c>
      <c r="E762" s="674">
        <v>10</v>
      </c>
      <c r="F762" s="675">
        <v>0.1</v>
      </c>
      <c r="G762" s="676">
        <v>1</v>
      </c>
      <c r="H762" s="929">
        <v>0</v>
      </c>
      <c r="I762" s="929">
        <v>0</v>
      </c>
      <c r="J762" s="689">
        <f t="shared" si="12"/>
        <v>1</v>
      </c>
    </row>
    <row r="763" spans="1:10" ht="12.75" customHeight="1" x14ac:dyDescent="0.2">
      <c r="A763" s="681" t="s">
        <v>2370</v>
      </c>
      <c r="B763" s="693" t="s">
        <v>3332</v>
      </c>
      <c r="C763" s="672" t="s">
        <v>785</v>
      </c>
      <c r="D763" s="673">
        <v>35481</v>
      </c>
      <c r="E763" s="674">
        <v>10</v>
      </c>
      <c r="F763" s="675">
        <v>0.1</v>
      </c>
      <c r="G763" s="676">
        <v>1</v>
      </c>
      <c r="H763" s="929">
        <v>0</v>
      </c>
      <c r="I763" s="929">
        <v>0</v>
      </c>
      <c r="J763" s="689">
        <f t="shared" si="12"/>
        <v>1</v>
      </c>
    </row>
    <row r="764" spans="1:10" ht="12.75" customHeight="1" x14ac:dyDescent="0.2">
      <c r="A764" s="681" t="s">
        <v>2370</v>
      </c>
      <c r="B764" s="693" t="s">
        <v>3333</v>
      </c>
      <c r="C764" s="672" t="s">
        <v>785</v>
      </c>
      <c r="D764" s="673">
        <v>35481</v>
      </c>
      <c r="E764" s="674">
        <v>10</v>
      </c>
      <c r="F764" s="675">
        <v>0.1</v>
      </c>
      <c r="G764" s="676">
        <v>1</v>
      </c>
      <c r="H764" s="929">
        <v>0</v>
      </c>
      <c r="I764" s="929">
        <v>0</v>
      </c>
      <c r="J764" s="689">
        <f t="shared" si="12"/>
        <v>1</v>
      </c>
    </row>
    <row r="765" spans="1:10" ht="12.75" customHeight="1" x14ac:dyDescent="0.2">
      <c r="A765" s="681" t="s">
        <v>2370</v>
      </c>
      <c r="B765" s="693" t="s">
        <v>3334</v>
      </c>
      <c r="C765" s="672" t="s">
        <v>785</v>
      </c>
      <c r="D765" s="673">
        <v>35481</v>
      </c>
      <c r="E765" s="674">
        <v>10</v>
      </c>
      <c r="F765" s="675">
        <v>0.1</v>
      </c>
      <c r="G765" s="676">
        <v>1</v>
      </c>
      <c r="H765" s="929">
        <v>0</v>
      </c>
      <c r="I765" s="929">
        <v>0</v>
      </c>
      <c r="J765" s="689">
        <f t="shared" si="12"/>
        <v>1</v>
      </c>
    </row>
    <row r="766" spans="1:10" ht="12.75" customHeight="1" x14ac:dyDescent="0.2">
      <c r="A766" s="681" t="s">
        <v>2370</v>
      </c>
      <c r="B766" s="693" t="s">
        <v>3335</v>
      </c>
      <c r="C766" s="672" t="s">
        <v>785</v>
      </c>
      <c r="D766" s="673">
        <v>35481</v>
      </c>
      <c r="E766" s="674">
        <v>10</v>
      </c>
      <c r="F766" s="675">
        <v>0.1</v>
      </c>
      <c r="G766" s="676">
        <v>1</v>
      </c>
      <c r="H766" s="929">
        <v>0</v>
      </c>
      <c r="I766" s="929">
        <v>0</v>
      </c>
      <c r="J766" s="689">
        <f t="shared" si="12"/>
        <v>1</v>
      </c>
    </row>
    <row r="767" spans="1:10" ht="12.75" customHeight="1" x14ac:dyDescent="0.2">
      <c r="A767" s="681" t="s">
        <v>2370</v>
      </c>
      <c r="B767" s="693" t="s">
        <v>3336</v>
      </c>
      <c r="C767" s="672" t="s">
        <v>791</v>
      </c>
      <c r="D767" s="673">
        <v>32924</v>
      </c>
      <c r="E767" s="674">
        <v>10</v>
      </c>
      <c r="F767" s="675">
        <v>0.1</v>
      </c>
      <c r="G767" s="676">
        <v>1</v>
      </c>
      <c r="H767" s="929">
        <v>0</v>
      </c>
      <c r="I767" s="929">
        <v>0</v>
      </c>
      <c r="J767" s="689">
        <f t="shared" si="12"/>
        <v>1</v>
      </c>
    </row>
    <row r="768" spans="1:10" ht="12.75" customHeight="1" x14ac:dyDescent="0.2">
      <c r="A768" s="681" t="s">
        <v>2370</v>
      </c>
      <c r="B768" s="693" t="s">
        <v>3337</v>
      </c>
      <c r="C768" s="672" t="s">
        <v>791</v>
      </c>
      <c r="D768" s="673">
        <v>33289</v>
      </c>
      <c r="E768" s="674">
        <v>10</v>
      </c>
      <c r="F768" s="675">
        <v>0.1</v>
      </c>
      <c r="G768" s="676">
        <v>1</v>
      </c>
      <c r="H768" s="929">
        <v>0</v>
      </c>
      <c r="I768" s="929">
        <v>0</v>
      </c>
      <c r="J768" s="689">
        <f t="shared" si="12"/>
        <v>1</v>
      </c>
    </row>
    <row r="769" spans="1:10" ht="12.75" customHeight="1" x14ac:dyDescent="0.2">
      <c r="A769" s="681" t="s">
        <v>2370</v>
      </c>
      <c r="B769" s="693" t="s">
        <v>3338</v>
      </c>
      <c r="C769" s="672" t="s">
        <v>791</v>
      </c>
      <c r="D769" s="673">
        <v>36576</v>
      </c>
      <c r="E769" s="674">
        <v>10</v>
      </c>
      <c r="F769" s="675">
        <v>0.1</v>
      </c>
      <c r="G769" s="676">
        <v>1</v>
      </c>
      <c r="H769" s="929">
        <v>0</v>
      </c>
      <c r="I769" s="929">
        <v>0</v>
      </c>
      <c r="J769" s="689">
        <f t="shared" si="12"/>
        <v>1</v>
      </c>
    </row>
    <row r="770" spans="1:10" ht="12.75" customHeight="1" x14ac:dyDescent="0.2">
      <c r="A770" s="681" t="s">
        <v>2370</v>
      </c>
      <c r="B770" s="693" t="s">
        <v>3339</v>
      </c>
      <c r="C770" s="672" t="s">
        <v>787</v>
      </c>
      <c r="D770" s="673">
        <v>35115</v>
      </c>
      <c r="E770" s="674">
        <v>10</v>
      </c>
      <c r="F770" s="675">
        <v>0.1</v>
      </c>
      <c r="G770" s="676">
        <v>1</v>
      </c>
      <c r="H770" s="929">
        <v>0</v>
      </c>
      <c r="I770" s="929">
        <v>0</v>
      </c>
      <c r="J770" s="689">
        <f t="shared" si="12"/>
        <v>1</v>
      </c>
    </row>
    <row r="771" spans="1:10" ht="12.75" customHeight="1" x14ac:dyDescent="0.2">
      <c r="A771" s="681" t="s">
        <v>2370</v>
      </c>
      <c r="B771" s="693" t="s">
        <v>3340</v>
      </c>
      <c r="C771" s="672" t="s">
        <v>787</v>
      </c>
      <c r="D771" s="673">
        <v>33289</v>
      </c>
      <c r="E771" s="674">
        <v>10</v>
      </c>
      <c r="F771" s="675">
        <v>0.1</v>
      </c>
      <c r="G771" s="676">
        <v>1</v>
      </c>
      <c r="H771" s="929">
        <v>0</v>
      </c>
      <c r="I771" s="929">
        <v>0</v>
      </c>
      <c r="J771" s="689">
        <f t="shared" si="12"/>
        <v>1</v>
      </c>
    </row>
    <row r="772" spans="1:10" ht="12.75" customHeight="1" x14ac:dyDescent="0.2">
      <c r="A772" s="681" t="s">
        <v>2370</v>
      </c>
      <c r="B772" s="693" t="s">
        <v>3341</v>
      </c>
      <c r="C772" s="672" t="s">
        <v>787</v>
      </c>
      <c r="D772" s="673">
        <v>32924</v>
      </c>
      <c r="E772" s="674">
        <v>10</v>
      </c>
      <c r="F772" s="675">
        <v>0.1</v>
      </c>
      <c r="G772" s="676">
        <v>1</v>
      </c>
      <c r="H772" s="929">
        <v>0</v>
      </c>
      <c r="I772" s="929">
        <v>0</v>
      </c>
      <c r="J772" s="689">
        <f t="shared" si="12"/>
        <v>1</v>
      </c>
    </row>
    <row r="773" spans="1:10" ht="12.75" customHeight="1" x14ac:dyDescent="0.2">
      <c r="A773" s="681" t="s">
        <v>2370</v>
      </c>
      <c r="B773" s="693" t="s">
        <v>3342</v>
      </c>
      <c r="C773" s="672" t="s">
        <v>790</v>
      </c>
      <c r="D773" s="673">
        <v>33289</v>
      </c>
      <c r="E773" s="674">
        <v>10</v>
      </c>
      <c r="F773" s="675">
        <v>0.1</v>
      </c>
      <c r="G773" s="676">
        <v>1</v>
      </c>
      <c r="H773" s="929">
        <v>0</v>
      </c>
      <c r="I773" s="929">
        <v>0</v>
      </c>
      <c r="J773" s="689">
        <f t="shared" si="12"/>
        <v>1</v>
      </c>
    </row>
    <row r="774" spans="1:10" ht="12.75" customHeight="1" x14ac:dyDescent="0.2">
      <c r="A774" s="681" t="s">
        <v>2370</v>
      </c>
      <c r="B774" s="693" t="s">
        <v>3343</v>
      </c>
      <c r="C774" s="672" t="s">
        <v>790</v>
      </c>
      <c r="D774" s="673">
        <v>33289</v>
      </c>
      <c r="E774" s="674">
        <v>10</v>
      </c>
      <c r="F774" s="675">
        <v>0.1</v>
      </c>
      <c r="G774" s="676">
        <v>1</v>
      </c>
      <c r="H774" s="929">
        <v>0</v>
      </c>
      <c r="I774" s="929">
        <v>0</v>
      </c>
      <c r="J774" s="689">
        <f t="shared" si="12"/>
        <v>1</v>
      </c>
    </row>
    <row r="775" spans="1:10" ht="12.75" customHeight="1" x14ac:dyDescent="0.2">
      <c r="A775" s="681" t="s">
        <v>2370</v>
      </c>
      <c r="B775" s="693" t="s">
        <v>3344</v>
      </c>
      <c r="C775" s="672" t="s">
        <v>790</v>
      </c>
      <c r="D775" s="673">
        <v>35481</v>
      </c>
      <c r="E775" s="674">
        <v>10</v>
      </c>
      <c r="F775" s="675">
        <v>0.1</v>
      </c>
      <c r="G775" s="676">
        <v>1</v>
      </c>
      <c r="H775" s="929">
        <v>0</v>
      </c>
      <c r="I775" s="929">
        <v>0</v>
      </c>
      <c r="J775" s="689">
        <f t="shared" ref="J775:J838" si="13">G775-I775</f>
        <v>1</v>
      </c>
    </row>
    <row r="776" spans="1:10" ht="12.75" customHeight="1" x14ac:dyDescent="0.2">
      <c r="A776" s="681" t="s">
        <v>2370</v>
      </c>
      <c r="B776" s="693" t="s">
        <v>3345</v>
      </c>
      <c r="C776" s="672" t="s">
        <v>790</v>
      </c>
      <c r="D776" s="673">
        <v>35481</v>
      </c>
      <c r="E776" s="674">
        <v>10</v>
      </c>
      <c r="F776" s="675">
        <v>0.1</v>
      </c>
      <c r="G776" s="676">
        <v>1</v>
      </c>
      <c r="H776" s="929">
        <v>0</v>
      </c>
      <c r="I776" s="929">
        <v>0</v>
      </c>
      <c r="J776" s="689">
        <f t="shared" si="13"/>
        <v>1</v>
      </c>
    </row>
    <row r="777" spans="1:10" ht="12.75" customHeight="1" x14ac:dyDescent="0.2">
      <c r="A777" s="681" t="s">
        <v>2370</v>
      </c>
      <c r="B777" s="693" t="s">
        <v>3346</v>
      </c>
      <c r="C777" s="672" t="s">
        <v>790</v>
      </c>
      <c r="D777" s="673">
        <v>33289</v>
      </c>
      <c r="E777" s="674">
        <v>10</v>
      </c>
      <c r="F777" s="675">
        <v>0.1</v>
      </c>
      <c r="G777" s="676">
        <v>1</v>
      </c>
      <c r="H777" s="929">
        <v>0</v>
      </c>
      <c r="I777" s="929">
        <v>0</v>
      </c>
      <c r="J777" s="689">
        <f t="shared" si="13"/>
        <v>1</v>
      </c>
    </row>
    <row r="778" spans="1:10" ht="12.75" customHeight="1" x14ac:dyDescent="0.2">
      <c r="A778" s="681" t="s">
        <v>2370</v>
      </c>
      <c r="B778" s="693" t="s">
        <v>3347</v>
      </c>
      <c r="C778" s="672" t="s">
        <v>790</v>
      </c>
      <c r="D778" s="673">
        <v>33289</v>
      </c>
      <c r="E778" s="674">
        <v>10</v>
      </c>
      <c r="F778" s="675">
        <v>0.1</v>
      </c>
      <c r="G778" s="676">
        <v>1</v>
      </c>
      <c r="H778" s="929">
        <v>0</v>
      </c>
      <c r="I778" s="929">
        <v>0</v>
      </c>
      <c r="J778" s="689">
        <f t="shared" si="13"/>
        <v>1</v>
      </c>
    </row>
    <row r="779" spans="1:10" ht="12.75" customHeight="1" x14ac:dyDescent="0.2">
      <c r="A779" s="681" t="s">
        <v>2370</v>
      </c>
      <c r="B779" s="693" t="s">
        <v>3348</v>
      </c>
      <c r="C779" s="672" t="s">
        <v>790</v>
      </c>
      <c r="D779" s="673">
        <v>35481</v>
      </c>
      <c r="E779" s="674">
        <v>10</v>
      </c>
      <c r="F779" s="675">
        <v>0.1</v>
      </c>
      <c r="G779" s="676">
        <v>1</v>
      </c>
      <c r="H779" s="929">
        <v>0</v>
      </c>
      <c r="I779" s="929">
        <v>0</v>
      </c>
      <c r="J779" s="689">
        <f t="shared" si="13"/>
        <v>1</v>
      </c>
    </row>
    <row r="780" spans="1:10" ht="12.75" customHeight="1" x14ac:dyDescent="0.2">
      <c r="A780" s="681" t="s">
        <v>2370</v>
      </c>
      <c r="B780" s="693" t="s">
        <v>3349</v>
      </c>
      <c r="C780" s="672" t="s">
        <v>785</v>
      </c>
      <c r="D780" s="673">
        <v>32924</v>
      </c>
      <c r="E780" s="674">
        <v>10</v>
      </c>
      <c r="F780" s="675">
        <v>0.1</v>
      </c>
      <c r="G780" s="676">
        <v>1</v>
      </c>
      <c r="H780" s="929">
        <v>0</v>
      </c>
      <c r="I780" s="929">
        <v>0</v>
      </c>
      <c r="J780" s="689">
        <f t="shared" si="13"/>
        <v>1</v>
      </c>
    </row>
    <row r="781" spans="1:10" ht="12.75" customHeight="1" x14ac:dyDescent="0.2">
      <c r="A781" s="681" t="s">
        <v>2370</v>
      </c>
      <c r="B781" s="693" t="s">
        <v>3350</v>
      </c>
      <c r="C781" s="672" t="s">
        <v>785</v>
      </c>
      <c r="D781" s="673">
        <v>33289</v>
      </c>
      <c r="E781" s="674">
        <v>10</v>
      </c>
      <c r="F781" s="675">
        <v>0.1</v>
      </c>
      <c r="G781" s="676">
        <v>1</v>
      </c>
      <c r="H781" s="929">
        <v>0</v>
      </c>
      <c r="I781" s="929">
        <v>0</v>
      </c>
      <c r="J781" s="689">
        <f t="shared" si="13"/>
        <v>1</v>
      </c>
    </row>
    <row r="782" spans="1:10" ht="12.75" customHeight="1" x14ac:dyDescent="0.2">
      <c r="A782" s="681" t="s">
        <v>2370</v>
      </c>
      <c r="B782" s="693" t="s">
        <v>3351</v>
      </c>
      <c r="C782" s="672" t="s">
        <v>785</v>
      </c>
      <c r="D782" s="673">
        <v>33289</v>
      </c>
      <c r="E782" s="674">
        <v>10</v>
      </c>
      <c r="F782" s="675">
        <v>0.1</v>
      </c>
      <c r="G782" s="676">
        <v>1</v>
      </c>
      <c r="H782" s="929">
        <v>0</v>
      </c>
      <c r="I782" s="929">
        <v>0</v>
      </c>
      <c r="J782" s="689">
        <f t="shared" si="13"/>
        <v>1</v>
      </c>
    </row>
    <row r="783" spans="1:10" ht="12.75" customHeight="1" x14ac:dyDescent="0.2">
      <c r="A783" s="681" t="s">
        <v>2370</v>
      </c>
      <c r="B783" s="693" t="s">
        <v>3352</v>
      </c>
      <c r="C783" s="672" t="s">
        <v>785</v>
      </c>
      <c r="D783" s="673">
        <v>38403</v>
      </c>
      <c r="E783" s="674">
        <v>10</v>
      </c>
      <c r="F783" s="675">
        <v>0.1</v>
      </c>
      <c r="G783" s="676">
        <v>1</v>
      </c>
      <c r="H783" s="929">
        <v>0</v>
      </c>
      <c r="I783" s="929">
        <v>0</v>
      </c>
      <c r="J783" s="689">
        <f t="shared" si="13"/>
        <v>1</v>
      </c>
    </row>
    <row r="784" spans="1:10" ht="12.75" customHeight="1" x14ac:dyDescent="0.2">
      <c r="A784" s="681" t="s">
        <v>2370</v>
      </c>
      <c r="B784" s="693" t="s">
        <v>3353</v>
      </c>
      <c r="C784" s="672" t="s">
        <v>785</v>
      </c>
      <c r="D784" s="673">
        <v>38403</v>
      </c>
      <c r="E784" s="674">
        <v>10</v>
      </c>
      <c r="F784" s="675">
        <v>0.1</v>
      </c>
      <c r="G784" s="676">
        <v>1</v>
      </c>
      <c r="H784" s="929">
        <v>0</v>
      </c>
      <c r="I784" s="929">
        <v>0</v>
      </c>
      <c r="J784" s="689">
        <f t="shared" si="13"/>
        <v>1</v>
      </c>
    </row>
    <row r="785" spans="1:10" ht="12.75" customHeight="1" x14ac:dyDescent="0.2">
      <c r="A785" s="681" t="s">
        <v>2370</v>
      </c>
      <c r="B785" s="693" t="s">
        <v>3354</v>
      </c>
      <c r="C785" s="672" t="s">
        <v>785</v>
      </c>
      <c r="D785" s="673">
        <v>38403</v>
      </c>
      <c r="E785" s="674">
        <v>10</v>
      </c>
      <c r="F785" s="675">
        <v>0.1</v>
      </c>
      <c r="G785" s="676">
        <v>1</v>
      </c>
      <c r="H785" s="929">
        <v>0</v>
      </c>
      <c r="I785" s="929">
        <v>0</v>
      </c>
      <c r="J785" s="689">
        <f t="shared" si="13"/>
        <v>1</v>
      </c>
    </row>
    <row r="786" spans="1:10" ht="12.75" customHeight="1" x14ac:dyDescent="0.2">
      <c r="A786" s="681" t="s">
        <v>2370</v>
      </c>
      <c r="B786" s="693" t="s">
        <v>3355</v>
      </c>
      <c r="C786" s="672" t="s">
        <v>819</v>
      </c>
      <c r="D786" s="673">
        <v>33289</v>
      </c>
      <c r="E786" s="674">
        <v>10</v>
      </c>
      <c r="F786" s="675">
        <v>0.1</v>
      </c>
      <c r="G786" s="676">
        <v>1</v>
      </c>
      <c r="H786" s="929">
        <v>0</v>
      </c>
      <c r="I786" s="929">
        <v>0</v>
      </c>
      <c r="J786" s="689">
        <f t="shared" si="13"/>
        <v>1</v>
      </c>
    </row>
    <row r="787" spans="1:10" ht="12.75" customHeight="1" x14ac:dyDescent="0.2">
      <c r="A787" s="681" t="s">
        <v>2370</v>
      </c>
      <c r="B787" s="693" t="s">
        <v>3356</v>
      </c>
      <c r="C787" s="672" t="s">
        <v>819</v>
      </c>
      <c r="D787" s="673">
        <v>33289</v>
      </c>
      <c r="E787" s="674">
        <v>10</v>
      </c>
      <c r="F787" s="675">
        <v>0.1</v>
      </c>
      <c r="G787" s="676">
        <v>1</v>
      </c>
      <c r="H787" s="929">
        <v>0</v>
      </c>
      <c r="I787" s="929">
        <v>0</v>
      </c>
      <c r="J787" s="689">
        <f t="shared" si="13"/>
        <v>1</v>
      </c>
    </row>
    <row r="788" spans="1:10" ht="12.75" customHeight="1" x14ac:dyDescent="0.2">
      <c r="A788" s="681" t="s">
        <v>2370</v>
      </c>
      <c r="B788" s="693" t="s">
        <v>3357</v>
      </c>
      <c r="C788" s="672" t="s">
        <v>785</v>
      </c>
      <c r="D788" s="673">
        <v>36576</v>
      </c>
      <c r="E788" s="674">
        <v>10</v>
      </c>
      <c r="F788" s="675">
        <v>0.1</v>
      </c>
      <c r="G788" s="676">
        <v>1</v>
      </c>
      <c r="H788" s="929">
        <v>0</v>
      </c>
      <c r="I788" s="929">
        <v>0</v>
      </c>
      <c r="J788" s="689">
        <f t="shared" si="13"/>
        <v>1</v>
      </c>
    </row>
    <row r="789" spans="1:10" ht="12.75" customHeight="1" x14ac:dyDescent="0.2">
      <c r="A789" s="681" t="s">
        <v>2370</v>
      </c>
      <c r="B789" s="693" t="s">
        <v>3358</v>
      </c>
      <c r="C789" s="672" t="s">
        <v>785</v>
      </c>
      <c r="D789" s="673">
        <v>33289</v>
      </c>
      <c r="E789" s="674">
        <v>10</v>
      </c>
      <c r="F789" s="675">
        <v>0.1</v>
      </c>
      <c r="G789" s="676">
        <v>1</v>
      </c>
      <c r="H789" s="929">
        <v>0</v>
      </c>
      <c r="I789" s="929">
        <v>0</v>
      </c>
      <c r="J789" s="689">
        <f t="shared" si="13"/>
        <v>1</v>
      </c>
    </row>
    <row r="790" spans="1:10" ht="12.75" customHeight="1" x14ac:dyDescent="0.2">
      <c r="A790" s="681" t="s">
        <v>2370</v>
      </c>
      <c r="B790" s="693" t="s">
        <v>3359</v>
      </c>
      <c r="C790" s="672" t="s">
        <v>785</v>
      </c>
      <c r="D790" s="673">
        <v>37672</v>
      </c>
      <c r="E790" s="674">
        <v>10</v>
      </c>
      <c r="F790" s="675">
        <v>0.1</v>
      </c>
      <c r="G790" s="676">
        <v>1</v>
      </c>
      <c r="H790" s="929">
        <v>0</v>
      </c>
      <c r="I790" s="929">
        <v>0</v>
      </c>
      <c r="J790" s="689">
        <f t="shared" si="13"/>
        <v>1</v>
      </c>
    </row>
    <row r="791" spans="1:10" ht="12.75" customHeight="1" x14ac:dyDescent="0.2">
      <c r="A791" s="681" t="s">
        <v>2370</v>
      </c>
      <c r="B791" s="693" t="s">
        <v>3360</v>
      </c>
      <c r="C791" s="672" t="s">
        <v>786</v>
      </c>
      <c r="D791" s="673">
        <v>39498</v>
      </c>
      <c r="E791" s="674">
        <v>10</v>
      </c>
      <c r="F791" s="675">
        <v>0.1</v>
      </c>
      <c r="G791" s="676">
        <v>1</v>
      </c>
      <c r="H791" s="929">
        <v>0</v>
      </c>
      <c r="I791" s="929">
        <v>0</v>
      </c>
      <c r="J791" s="689">
        <f t="shared" si="13"/>
        <v>1</v>
      </c>
    </row>
    <row r="792" spans="1:10" ht="12.75" customHeight="1" x14ac:dyDescent="0.2">
      <c r="A792" s="681" t="s">
        <v>2370</v>
      </c>
      <c r="B792" s="693" t="s">
        <v>3361</v>
      </c>
      <c r="C792" s="672" t="s">
        <v>819</v>
      </c>
      <c r="D792" s="673">
        <v>39498</v>
      </c>
      <c r="E792" s="674">
        <v>10</v>
      </c>
      <c r="F792" s="675">
        <v>0.1</v>
      </c>
      <c r="G792" s="676">
        <v>1</v>
      </c>
      <c r="H792" s="929">
        <v>0</v>
      </c>
      <c r="I792" s="929">
        <v>0</v>
      </c>
      <c r="J792" s="689">
        <f t="shared" si="13"/>
        <v>1</v>
      </c>
    </row>
    <row r="793" spans="1:10" ht="12.75" customHeight="1" x14ac:dyDescent="0.2">
      <c r="A793" s="681" t="s">
        <v>2370</v>
      </c>
      <c r="B793" s="693" t="s">
        <v>3362</v>
      </c>
      <c r="C793" s="672" t="s">
        <v>787</v>
      </c>
      <c r="D793" s="673">
        <v>39133</v>
      </c>
      <c r="E793" s="674">
        <v>10</v>
      </c>
      <c r="F793" s="675">
        <v>0.1</v>
      </c>
      <c r="G793" s="676">
        <v>1</v>
      </c>
      <c r="H793" s="929">
        <v>0</v>
      </c>
      <c r="I793" s="929">
        <v>0</v>
      </c>
      <c r="J793" s="689">
        <f t="shared" si="13"/>
        <v>1</v>
      </c>
    </row>
    <row r="794" spans="1:10" ht="12.75" customHeight="1" x14ac:dyDescent="0.2">
      <c r="A794" s="681" t="s">
        <v>2370</v>
      </c>
      <c r="B794" s="693" t="s">
        <v>3363</v>
      </c>
      <c r="C794" s="672" t="s">
        <v>787</v>
      </c>
      <c r="D794" s="673">
        <v>39498</v>
      </c>
      <c r="E794" s="674">
        <v>10</v>
      </c>
      <c r="F794" s="675">
        <v>0.1</v>
      </c>
      <c r="G794" s="676">
        <v>1</v>
      </c>
      <c r="H794" s="929">
        <v>0</v>
      </c>
      <c r="I794" s="929">
        <v>0</v>
      </c>
      <c r="J794" s="689">
        <f t="shared" si="13"/>
        <v>1</v>
      </c>
    </row>
    <row r="795" spans="1:10" ht="12.75" customHeight="1" x14ac:dyDescent="0.2">
      <c r="A795" s="681" t="s">
        <v>2370</v>
      </c>
      <c r="B795" s="693" t="s">
        <v>3364</v>
      </c>
      <c r="C795" s="672" t="s">
        <v>787</v>
      </c>
      <c r="D795" s="673">
        <v>37307</v>
      </c>
      <c r="E795" s="674">
        <v>10</v>
      </c>
      <c r="F795" s="675">
        <v>0.1</v>
      </c>
      <c r="G795" s="676">
        <v>1</v>
      </c>
      <c r="H795" s="929">
        <v>0</v>
      </c>
      <c r="I795" s="929">
        <v>0</v>
      </c>
      <c r="J795" s="689">
        <f t="shared" si="13"/>
        <v>1</v>
      </c>
    </row>
    <row r="796" spans="1:10" ht="12.75" customHeight="1" x14ac:dyDescent="0.2">
      <c r="A796" s="681" t="s">
        <v>2370</v>
      </c>
      <c r="B796" s="693" t="s">
        <v>3365</v>
      </c>
      <c r="C796" s="672" t="s">
        <v>785</v>
      </c>
      <c r="D796" s="673">
        <v>37307</v>
      </c>
      <c r="E796" s="674">
        <v>10</v>
      </c>
      <c r="F796" s="675">
        <v>0.1</v>
      </c>
      <c r="G796" s="676">
        <v>1</v>
      </c>
      <c r="H796" s="929">
        <v>0</v>
      </c>
      <c r="I796" s="929">
        <v>0</v>
      </c>
      <c r="J796" s="689">
        <f t="shared" si="13"/>
        <v>1</v>
      </c>
    </row>
    <row r="797" spans="1:10" ht="12.75" customHeight="1" x14ac:dyDescent="0.2">
      <c r="A797" s="681" t="s">
        <v>2370</v>
      </c>
      <c r="B797" s="693" t="s">
        <v>3366</v>
      </c>
      <c r="C797" s="672" t="s">
        <v>853</v>
      </c>
      <c r="D797" s="673">
        <v>40594</v>
      </c>
      <c r="E797" s="674">
        <v>10</v>
      </c>
      <c r="F797" s="675">
        <v>0.1</v>
      </c>
      <c r="G797" s="676">
        <v>1</v>
      </c>
      <c r="H797" s="929">
        <v>0</v>
      </c>
      <c r="I797" s="929">
        <v>0</v>
      </c>
      <c r="J797" s="689">
        <f t="shared" si="13"/>
        <v>1</v>
      </c>
    </row>
    <row r="798" spans="1:10" ht="12.75" customHeight="1" x14ac:dyDescent="0.2">
      <c r="A798" s="681" t="s">
        <v>2370</v>
      </c>
      <c r="B798" s="693" t="s">
        <v>3367</v>
      </c>
      <c r="C798" s="672" t="s">
        <v>790</v>
      </c>
      <c r="D798" s="673">
        <v>40594</v>
      </c>
      <c r="E798" s="674">
        <v>10</v>
      </c>
      <c r="F798" s="675">
        <v>0.1</v>
      </c>
      <c r="G798" s="676">
        <v>1</v>
      </c>
      <c r="H798" s="929">
        <v>0</v>
      </c>
      <c r="I798" s="929">
        <v>0</v>
      </c>
      <c r="J798" s="689">
        <f t="shared" si="13"/>
        <v>1</v>
      </c>
    </row>
    <row r="799" spans="1:10" ht="12.75" customHeight="1" x14ac:dyDescent="0.2">
      <c r="A799" s="681" t="s">
        <v>2370</v>
      </c>
      <c r="B799" s="693" t="s">
        <v>3368</v>
      </c>
      <c r="C799" s="672" t="s">
        <v>785</v>
      </c>
      <c r="D799" s="673">
        <v>40594</v>
      </c>
      <c r="E799" s="674">
        <v>10</v>
      </c>
      <c r="F799" s="675">
        <v>0.1</v>
      </c>
      <c r="G799" s="676">
        <v>1</v>
      </c>
      <c r="H799" s="929">
        <v>0</v>
      </c>
      <c r="I799" s="929">
        <v>0</v>
      </c>
      <c r="J799" s="689">
        <f t="shared" si="13"/>
        <v>1</v>
      </c>
    </row>
    <row r="800" spans="1:10" ht="12.75" customHeight="1" x14ac:dyDescent="0.2">
      <c r="A800" s="681" t="s">
        <v>2370</v>
      </c>
      <c r="B800" s="693" t="s">
        <v>3369</v>
      </c>
      <c r="C800" s="672" t="s">
        <v>785</v>
      </c>
      <c r="D800" s="673">
        <v>40594</v>
      </c>
      <c r="E800" s="674">
        <v>10</v>
      </c>
      <c r="F800" s="675">
        <v>0.1</v>
      </c>
      <c r="G800" s="676">
        <v>1</v>
      </c>
      <c r="H800" s="929">
        <v>0</v>
      </c>
      <c r="I800" s="929">
        <v>0</v>
      </c>
      <c r="J800" s="689">
        <f t="shared" si="13"/>
        <v>1</v>
      </c>
    </row>
    <row r="801" spans="1:10" ht="12.75" customHeight="1" x14ac:dyDescent="0.2">
      <c r="A801" s="681" t="s">
        <v>2370</v>
      </c>
      <c r="B801" s="693" t="s">
        <v>3370</v>
      </c>
      <c r="C801" s="672" t="s">
        <v>785</v>
      </c>
      <c r="D801" s="673">
        <v>40594</v>
      </c>
      <c r="E801" s="674">
        <v>10</v>
      </c>
      <c r="F801" s="675">
        <v>0.1</v>
      </c>
      <c r="G801" s="676">
        <v>1</v>
      </c>
      <c r="H801" s="929">
        <v>0</v>
      </c>
      <c r="I801" s="929">
        <v>0</v>
      </c>
      <c r="J801" s="689">
        <f t="shared" si="13"/>
        <v>1</v>
      </c>
    </row>
    <row r="802" spans="1:10" ht="12.75" customHeight="1" x14ac:dyDescent="0.2">
      <c r="A802" s="681" t="s">
        <v>2370</v>
      </c>
      <c r="B802" s="693" t="s">
        <v>3371</v>
      </c>
      <c r="C802" s="672" t="s">
        <v>785</v>
      </c>
      <c r="D802" s="673">
        <v>40594</v>
      </c>
      <c r="E802" s="674">
        <v>10</v>
      </c>
      <c r="F802" s="675">
        <v>0.1</v>
      </c>
      <c r="G802" s="676">
        <v>1</v>
      </c>
      <c r="H802" s="929">
        <v>0</v>
      </c>
      <c r="I802" s="929">
        <v>0</v>
      </c>
      <c r="J802" s="689">
        <f t="shared" si="13"/>
        <v>1</v>
      </c>
    </row>
    <row r="803" spans="1:10" ht="12.75" customHeight="1" x14ac:dyDescent="0.2">
      <c r="A803" s="681" t="s">
        <v>2370</v>
      </c>
      <c r="B803" s="693" t="s">
        <v>3372</v>
      </c>
      <c r="C803" s="672" t="s">
        <v>785</v>
      </c>
      <c r="D803" s="673">
        <v>40594</v>
      </c>
      <c r="E803" s="674">
        <v>10</v>
      </c>
      <c r="F803" s="675">
        <v>0.1</v>
      </c>
      <c r="G803" s="676">
        <v>1</v>
      </c>
      <c r="H803" s="929">
        <v>0</v>
      </c>
      <c r="I803" s="929">
        <v>0</v>
      </c>
      <c r="J803" s="689">
        <f t="shared" si="13"/>
        <v>1</v>
      </c>
    </row>
    <row r="804" spans="1:10" ht="12.75" customHeight="1" x14ac:dyDescent="0.2">
      <c r="A804" s="681" t="s">
        <v>2370</v>
      </c>
      <c r="B804" s="693" t="s">
        <v>3373</v>
      </c>
      <c r="C804" s="672" t="s">
        <v>786</v>
      </c>
      <c r="D804" s="673">
        <v>40594</v>
      </c>
      <c r="E804" s="674">
        <v>10</v>
      </c>
      <c r="F804" s="675">
        <v>0.1</v>
      </c>
      <c r="G804" s="676">
        <v>1</v>
      </c>
      <c r="H804" s="929">
        <v>0</v>
      </c>
      <c r="I804" s="929">
        <v>0</v>
      </c>
      <c r="J804" s="689">
        <f t="shared" si="13"/>
        <v>1</v>
      </c>
    </row>
    <row r="805" spans="1:10" ht="12.75" customHeight="1" x14ac:dyDescent="0.2">
      <c r="A805" s="681" t="s">
        <v>2370</v>
      </c>
      <c r="B805" s="693" t="s">
        <v>3374</v>
      </c>
      <c r="C805" s="672" t="s">
        <v>785</v>
      </c>
      <c r="D805" s="673">
        <v>40594</v>
      </c>
      <c r="E805" s="674">
        <v>10</v>
      </c>
      <c r="F805" s="675">
        <v>0.1</v>
      </c>
      <c r="G805" s="676">
        <v>1</v>
      </c>
      <c r="H805" s="929">
        <v>0</v>
      </c>
      <c r="I805" s="929">
        <v>0</v>
      </c>
      <c r="J805" s="689">
        <f t="shared" si="13"/>
        <v>1</v>
      </c>
    </row>
    <row r="806" spans="1:10" ht="12.75" customHeight="1" x14ac:dyDescent="0.2">
      <c r="A806" s="681" t="s">
        <v>2370</v>
      </c>
      <c r="B806" s="693" t="s">
        <v>3375</v>
      </c>
      <c r="C806" s="672" t="s">
        <v>791</v>
      </c>
      <c r="D806" s="673">
        <v>40594</v>
      </c>
      <c r="E806" s="674">
        <v>10</v>
      </c>
      <c r="F806" s="675">
        <v>0.1</v>
      </c>
      <c r="G806" s="676">
        <v>1</v>
      </c>
      <c r="H806" s="929">
        <v>0</v>
      </c>
      <c r="I806" s="929">
        <v>0</v>
      </c>
      <c r="J806" s="689">
        <f t="shared" si="13"/>
        <v>1</v>
      </c>
    </row>
    <row r="807" spans="1:10" ht="12.75" customHeight="1" x14ac:dyDescent="0.2">
      <c r="A807" s="681" t="s">
        <v>2370</v>
      </c>
      <c r="B807" s="693" t="s">
        <v>3376</v>
      </c>
      <c r="C807" s="672" t="s">
        <v>806</v>
      </c>
      <c r="D807" s="673">
        <v>33289</v>
      </c>
      <c r="E807" s="674">
        <v>10</v>
      </c>
      <c r="F807" s="675">
        <v>0.1</v>
      </c>
      <c r="G807" s="676">
        <v>1</v>
      </c>
      <c r="H807" s="929">
        <v>0</v>
      </c>
      <c r="I807" s="929">
        <v>0</v>
      </c>
      <c r="J807" s="689">
        <f t="shared" si="13"/>
        <v>1</v>
      </c>
    </row>
    <row r="808" spans="1:10" ht="12.75" customHeight="1" x14ac:dyDescent="0.2">
      <c r="A808" s="681" t="s">
        <v>2370</v>
      </c>
      <c r="B808" s="693" t="s">
        <v>3377</v>
      </c>
      <c r="C808" s="672" t="s">
        <v>790</v>
      </c>
      <c r="D808" s="673">
        <v>40594</v>
      </c>
      <c r="E808" s="674">
        <v>10</v>
      </c>
      <c r="F808" s="675">
        <v>0.1</v>
      </c>
      <c r="G808" s="676">
        <v>1</v>
      </c>
      <c r="H808" s="929">
        <v>0</v>
      </c>
      <c r="I808" s="929">
        <v>0</v>
      </c>
      <c r="J808" s="689">
        <f t="shared" si="13"/>
        <v>1</v>
      </c>
    </row>
    <row r="809" spans="1:10" ht="12.75" customHeight="1" x14ac:dyDescent="0.2">
      <c r="A809" s="681" t="s">
        <v>2370</v>
      </c>
      <c r="B809" s="693" t="s">
        <v>3378</v>
      </c>
      <c r="C809" s="672" t="s">
        <v>785</v>
      </c>
      <c r="D809" s="673">
        <v>33289</v>
      </c>
      <c r="E809" s="674">
        <v>10</v>
      </c>
      <c r="F809" s="675">
        <v>0.1</v>
      </c>
      <c r="G809" s="676">
        <v>1</v>
      </c>
      <c r="H809" s="929">
        <v>0</v>
      </c>
      <c r="I809" s="929">
        <v>0</v>
      </c>
      <c r="J809" s="689">
        <f t="shared" si="13"/>
        <v>1</v>
      </c>
    </row>
    <row r="810" spans="1:10" ht="12.75" customHeight="1" x14ac:dyDescent="0.2">
      <c r="A810" s="681" t="s">
        <v>2370</v>
      </c>
      <c r="B810" s="693" t="s">
        <v>3379</v>
      </c>
      <c r="C810" s="672" t="s">
        <v>785</v>
      </c>
      <c r="D810" s="673">
        <v>33289</v>
      </c>
      <c r="E810" s="674">
        <v>10</v>
      </c>
      <c r="F810" s="675">
        <v>0.1</v>
      </c>
      <c r="G810" s="676">
        <v>1</v>
      </c>
      <c r="H810" s="929">
        <v>0</v>
      </c>
      <c r="I810" s="929">
        <v>0</v>
      </c>
      <c r="J810" s="689">
        <f t="shared" si="13"/>
        <v>1</v>
      </c>
    </row>
    <row r="811" spans="1:10" ht="12.75" customHeight="1" x14ac:dyDescent="0.2">
      <c r="A811" s="681" t="s">
        <v>2370</v>
      </c>
      <c r="B811" s="693" t="s">
        <v>3380</v>
      </c>
      <c r="C811" s="672" t="s">
        <v>785</v>
      </c>
      <c r="D811" s="673">
        <v>40594</v>
      </c>
      <c r="E811" s="674">
        <v>10</v>
      </c>
      <c r="F811" s="675">
        <v>0.1</v>
      </c>
      <c r="G811" s="676">
        <v>1</v>
      </c>
      <c r="H811" s="929">
        <v>0</v>
      </c>
      <c r="I811" s="929">
        <v>0</v>
      </c>
      <c r="J811" s="689">
        <f t="shared" si="13"/>
        <v>1</v>
      </c>
    </row>
    <row r="812" spans="1:10" ht="12.75" customHeight="1" x14ac:dyDescent="0.2">
      <c r="A812" s="681" t="s">
        <v>2370</v>
      </c>
      <c r="B812" s="693" t="s">
        <v>3381</v>
      </c>
      <c r="C812" s="672" t="s">
        <v>787</v>
      </c>
      <c r="D812" s="673">
        <v>40594</v>
      </c>
      <c r="E812" s="674">
        <v>10</v>
      </c>
      <c r="F812" s="675">
        <v>0.1</v>
      </c>
      <c r="G812" s="676">
        <v>1</v>
      </c>
      <c r="H812" s="929">
        <v>0</v>
      </c>
      <c r="I812" s="929">
        <v>0</v>
      </c>
      <c r="J812" s="689">
        <f t="shared" si="13"/>
        <v>1</v>
      </c>
    </row>
    <row r="813" spans="1:10" ht="12.75" customHeight="1" x14ac:dyDescent="0.2">
      <c r="A813" s="681" t="s">
        <v>2370</v>
      </c>
      <c r="B813" s="693" t="s">
        <v>3382</v>
      </c>
      <c r="C813" s="672" t="s">
        <v>792</v>
      </c>
      <c r="D813" s="673">
        <v>40594</v>
      </c>
      <c r="E813" s="674">
        <v>10</v>
      </c>
      <c r="F813" s="675">
        <v>0.1</v>
      </c>
      <c r="G813" s="676">
        <v>1</v>
      </c>
      <c r="H813" s="929">
        <v>0</v>
      </c>
      <c r="I813" s="929">
        <v>0</v>
      </c>
      <c r="J813" s="689">
        <f t="shared" si="13"/>
        <v>1</v>
      </c>
    </row>
    <row r="814" spans="1:10" ht="12.75" customHeight="1" x14ac:dyDescent="0.2">
      <c r="A814" s="681" t="s">
        <v>2370</v>
      </c>
      <c r="B814" s="693" t="s">
        <v>3383</v>
      </c>
      <c r="C814" s="672" t="s">
        <v>785</v>
      </c>
      <c r="D814" s="673">
        <v>39498</v>
      </c>
      <c r="E814" s="674">
        <v>10</v>
      </c>
      <c r="F814" s="675">
        <v>0.1</v>
      </c>
      <c r="G814" s="676">
        <v>1</v>
      </c>
      <c r="H814" s="929">
        <v>0</v>
      </c>
      <c r="I814" s="929">
        <v>0</v>
      </c>
      <c r="J814" s="689">
        <f t="shared" si="13"/>
        <v>1</v>
      </c>
    </row>
    <row r="815" spans="1:10" ht="12.75" customHeight="1" x14ac:dyDescent="0.2">
      <c r="A815" s="681" t="s">
        <v>2370</v>
      </c>
      <c r="B815" s="693" t="s">
        <v>3384</v>
      </c>
      <c r="C815" s="672" t="s">
        <v>788</v>
      </c>
      <c r="D815" s="673">
        <v>40229</v>
      </c>
      <c r="E815" s="674">
        <v>10</v>
      </c>
      <c r="F815" s="675">
        <v>0.1</v>
      </c>
      <c r="G815" s="676">
        <v>1</v>
      </c>
      <c r="H815" s="929">
        <v>0</v>
      </c>
      <c r="I815" s="929">
        <v>0</v>
      </c>
      <c r="J815" s="689">
        <f t="shared" si="13"/>
        <v>1</v>
      </c>
    </row>
    <row r="816" spans="1:10" ht="12.75" customHeight="1" x14ac:dyDescent="0.2">
      <c r="A816" s="681" t="s">
        <v>2370</v>
      </c>
      <c r="B816" s="693" t="s">
        <v>3385</v>
      </c>
      <c r="C816" s="672" t="s">
        <v>787</v>
      </c>
      <c r="D816" s="673">
        <v>40594</v>
      </c>
      <c r="E816" s="674">
        <v>10</v>
      </c>
      <c r="F816" s="675">
        <v>0.1</v>
      </c>
      <c r="G816" s="676">
        <v>1</v>
      </c>
      <c r="H816" s="929">
        <v>0</v>
      </c>
      <c r="I816" s="929">
        <v>0</v>
      </c>
      <c r="J816" s="689">
        <f t="shared" si="13"/>
        <v>1</v>
      </c>
    </row>
    <row r="817" spans="1:10" ht="12.75" customHeight="1" x14ac:dyDescent="0.2">
      <c r="A817" s="681" t="s">
        <v>2370</v>
      </c>
      <c r="B817" s="693" t="s">
        <v>3386</v>
      </c>
      <c r="C817" s="672" t="s">
        <v>785</v>
      </c>
      <c r="D817" s="673">
        <v>38037</v>
      </c>
      <c r="E817" s="674">
        <v>10</v>
      </c>
      <c r="F817" s="675">
        <v>0.1</v>
      </c>
      <c r="G817" s="676">
        <v>1</v>
      </c>
      <c r="H817" s="929">
        <v>0</v>
      </c>
      <c r="I817" s="929">
        <v>0</v>
      </c>
      <c r="J817" s="689">
        <f t="shared" si="13"/>
        <v>1</v>
      </c>
    </row>
    <row r="818" spans="1:10" ht="12.75" customHeight="1" x14ac:dyDescent="0.2">
      <c r="A818" s="681" t="s">
        <v>2370</v>
      </c>
      <c r="B818" s="693" t="s">
        <v>3387</v>
      </c>
      <c r="C818" s="672" t="s">
        <v>785</v>
      </c>
      <c r="D818" s="673">
        <v>38037</v>
      </c>
      <c r="E818" s="674">
        <v>10</v>
      </c>
      <c r="F818" s="675">
        <v>0.1</v>
      </c>
      <c r="G818" s="676">
        <v>1</v>
      </c>
      <c r="H818" s="929">
        <v>0</v>
      </c>
      <c r="I818" s="929">
        <v>0</v>
      </c>
      <c r="J818" s="689">
        <f t="shared" si="13"/>
        <v>1</v>
      </c>
    </row>
    <row r="819" spans="1:10" ht="12.75" customHeight="1" x14ac:dyDescent="0.2">
      <c r="A819" s="681" t="s">
        <v>2370</v>
      </c>
      <c r="B819" s="693" t="s">
        <v>3388</v>
      </c>
      <c r="C819" s="672" t="s">
        <v>791</v>
      </c>
      <c r="D819" s="673">
        <v>32924</v>
      </c>
      <c r="E819" s="674">
        <v>10</v>
      </c>
      <c r="F819" s="675">
        <v>0.1</v>
      </c>
      <c r="G819" s="676">
        <v>1</v>
      </c>
      <c r="H819" s="929">
        <v>0</v>
      </c>
      <c r="I819" s="929">
        <v>0</v>
      </c>
      <c r="J819" s="689">
        <f t="shared" si="13"/>
        <v>1</v>
      </c>
    </row>
    <row r="820" spans="1:10" ht="12.75" customHeight="1" x14ac:dyDescent="0.2">
      <c r="A820" s="681" t="s">
        <v>2370</v>
      </c>
      <c r="B820" s="693" t="s">
        <v>3389</v>
      </c>
      <c r="C820" s="672" t="s">
        <v>788</v>
      </c>
      <c r="D820" s="673">
        <v>40229</v>
      </c>
      <c r="E820" s="674">
        <v>10</v>
      </c>
      <c r="F820" s="675">
        <v>0.1</v>
      </c>
      <c r="G820" s="676">
        <v>1</v>
      </c>
      <c r="H820" s="929">
        <v>0</v>
      </c>
      <c r="I820" s="929">
        <v>0</v>
      </c>
      <c r="J820" s="689">
        <f t="shared" si="13"/>
        <v>1</v>
      </c>
    </row>
    <row r="821" spans="1:10" ht="12.75" customHeight="1" x14ac:dyDescent="0.2">
      <c r="A821" s="681" t="s">
        <v>2370</v>
      </c>
      <c r="B821" s="693" t="s">
        <v>3390</v>
      </c>
      <c r="C821" s="672" t="s">
        <v>786</v>
      </c>
      <c r="D821" s="673">
        <v>38403</v>
      </c>
      <c r="E821" s="674">
        <v>10</v>
      </c>
      <c r="F821" s="675">
        <v>0.1</v>
      </c>
      <c r="G821" s="676">
        <v>1</v>
      </c>
      <c r="H821" s="929">
        <v>0</v>
      </c>
      <c r="I821" s="929">
        <v>0</v>
      </c>
      <c r="J821" s="689">
        <f t="shared" si="13"/>
        <v>1</v>
      </c>
    </row>
    <row r="822" spans="1:10" ht="12.75" customHeight="1" x14ac:dyDescent="0.2">
      <c r="A822" s="681" t="s">
        <v>2370</v>
      </c>
      <c r="B822" s="693" t="s">
        <v>3391</v>
      </c>
      <c r="C822" s="672" t="s">
        <v>791</v>
      </c>
      <c r="D822" s="673">
        <v>38037</v>
      </c>
      <c r="E822" s="674">
        <v>10</v>
      </c>
      <c r="F822" s="675">
        <v>0.1</v>
      </c>
      <c r="G822" s="676">
        <v>1</v>
      </c>
      <c r="H822" s="929">
        <v>0</v>
      </c>
      <c r="I822" s="929">
        <v>0</v>
      </c>
      <c r="J822" s="689">
        <f t="shared" si="13"/>
        <v>1</v>
      </c>
    </row>
    <row r="823" spans="1:10" ht="12.75" customHeight="1" x14ac:dyDescent="0.2">
      <c r="A823" s="681" t="s">
        <v>2370</v>
      </c>
      <c r="B823" s="693" t="s">
        <v>3392</v>
      </c>
      <c r="C823" s="672" t="s">
        <v>791</v>
      </c>
      <c r="D823" s="673">
        <v>38037</v>
      </c>
      <c r="E823" s="674">
        <v>10</v>
      </c>
      <c r="F823" s="675">
        <v>0.1</v>
      </c>
      <c r="G823" s="676">
        <v>1</v>
      </c>
      <c r="H823" s="929">
        <v>0</v>
      </c>
      <c r="I823" s="929">
        <v>0</v>
      </c>
      <c r="J823" s="689">
        <f t="shared" si="13"/>
        <v>1</v>
      </c>
    </row>
    <row r="824" spans="1:10" ht="12.75" customHeight="1" x14ac:dyDescent="0.2">
      <c r="A824" s="681" t="s">
        <v>2370</v>
      </c>
      <c r="B824" s="693" t="s">
        <v>3393</v>
      </c>
      <c r="C824" s="672" t="s">
        <v>791</v>
      </c>
      <c r="D824" s="673">
        <v>38037</v>
      </c>
      <c r="E824" s="674">
        <v>10</v>
      </c>
      <c r="F824" s="675">
        <v>0.1</v>
      </c>
      <c r="G824" s="676">
        <v>1</v>
      </c>
      <c r="H824" s="929">
        <v>0</v>
      </c>
      <c r="I824" s="929">
        <v>0</v>
      </c>
      <c r="J824" s="689">
        <f t="shared" si="13"/>
        <v>1</v>
      </c>
    </row>
    <row r="825" spans="1:10" ht="12.75" customHeight="1" x14ac:dyDescent="0.2">
      <c r="A825" s="681" t="s">
        <v>2370</v>
      </c>
      <c r="B825" s="693" t="s">
        <v>3394</v>
      </c>
      <c r="C825" s="672" t="s">
        <v>791</v>
      </c>
      <c r="D825" s="673">
        <v>38037</v>
      </c>
      <c r="E825" s="674">
        <v>10</v>
      </c>
      <c r="F825" s="675">
        <v>0.1</v>
      </c>
      <c r="G825" s="676">
        <v>1</v>
      </c>
      <c r="H825" s="929">
        <v>0</v>
      </c>
      <c r="I825" s="929">
        <v>0</v>
      </c>
      <c r="J825" s="689">
        <f t="shared" si="13"/>
        <v>1</v>
      </c>
    </row>
    <row r="826" spans="1:10" ht="12.75" customHeight="1" x14ac:dyDescent="0.2">
      <c r="A826" s="681" t="s">
        <v>2370</v>
      </c>
      <c r="B826" s="693" t="s">
        <v>3395</v>
      </c>
      <c r="C826" s="672" t="s">
        <v>806</v>
      </c>
      <c r="D826" s="673">
        <v>38037</v>
      </c>
      <c r="E826" s="674">
        <v>10</v>
      </c>
      <c r="F826" s="675">
        <v>0.1</v>
      </c>
      <c r="G826" s="676">
        <v>1</v>
      </c>
      <c r="H826" s="929">
        <v>0</v>
      </c>
      <c r="I826" s="929">
        <v>0</v>
      </c>
      <c r="J826" s="689">
        <f t="shared" si="13"/>
        <v>1</v>
      </c>
    </row>
    <row r="827" spans="1:10" ht="12.75" customHeight="1" x14ac:dyDescent="0.2">
      <c r="A827" s="681" t="s">
        <v>2370</v>
      </c>
      <c r="B827" s="693" t="s">
        <v>3396</v>
      </c>
      <c r="C827" s="672" t="s">
        <v>790</v>
      </c>
      <c r="D827" s="673">
        <v>40594</v>
      </c>
      <c r="E827" s="674">
        <v>10</v>
      </c>
      <c r="F827" s="675">
        <v>0.1</v>
      </c>
      <c r="G827" s="676">
        <v>1</v>
      </c>
      <c r="H827" s="929">
        <v>0</v>
      </c>
      <c r="I827" s="929">
        <v>0</v>
      </c>
      <c r="J827" s="689">
        <f t="shared" si="13"/>
        <v>1</v>
      </c>
    </row>
    <row r="828" spans="1:10" ht="12.75" customHeight="1" x14ac:dyDescent="0.2">
      <c r="A828" s="681" t="s">
        <v>2370</v>
      </c>
      <c r="B828" s="693" t="s">
        <v>3397</v>
      </c>
      <c r="C828" s="672" t="s">
        <v>790</v>
      </c>
      <c r="D828" s="673">
        <v>38037</v>
      </c>
      <c r="E828" s="674">
        <v>10</v>
      </c>
      <c r="F828" s="675">
        <v>0.1</v>
      </c>
      <c r="G828" s="676">
        <v>1</v>
      </c>
      <c r="H828" s="929">
        <v>0</v>
      </c>
      <c r="I828" s="929">
        <v>0</v>
      </c>
      <c r="J828" s="689">
        <f t="shared" si="13"/>
        <v>1</v>
      </c>
    </row>
    <row r="829" spans="1:10" ht="12.75" customHeight="1" x14ac:dyDescent="0.2">
      <c r="A829" s="681" t="s">
        <v>2370</v>
      </c>
      <c r="B829" s="693" t="s">
        <v>3398</v>
      </c>
      <c r="C829" s="672" t="s">
        <v>790</v>
      </c>
      <c r="D829" s="673">
        <v>38037</v>
      </c>
      <c r="E829" s="674">
        <v>10</v>
      </c>
      <c r="F829" s="675">
        <v>0.1</v>
      </c>
      <c r="G829" s="676">
        <v>1</v>
      </c>
      <c r="H829" s="929">
        <v>0</v>
      </c>
      <c r="I829" s="929">
        <v>0</v>
      </c>
      <c r="J829" s="689">
        <f t="shared" si="13"/>
        <v>1</v>
      </c>
    </row>
    <row r="830" spans="1:10" ht="12.75" customHeight="1" x14ac:dyDescent="0.2">
      <c r="A830" s="681" t="s">
        <v>2370</v>
      </c>
      <c r="B830" s="693" t="s">
        <v>3399</v>
      </c>
      <c r="C830" s="672" t="s">
        <v>785</v>
      </c>
      <c r="D830" s="673">
        <v>38037</v>
      </c>
      <c r="E830" s="674">
        <v>10</v>
      </c>
      <c r="F830" s="675">
        <v>0.1</v>
      </c>
      <c r="G830" s="676">
        <v>1</v>
      </c>
      <c r="H830" s="929">
        <v>0</v>
      </c>
      <c r="I830" s="929">
        <v>0</v>
      </c>
      <c r="J830" s="689">
        <f t="shared" si="13"/>
        <v>1</v>
      </c>
    </row>
    <row r="831" spans="1:10" ht="12.75" customHeight="1" x14ac:dyDescent="0.2">
      <c r="A831" s="681" t="s">
        <v>2370</v>
      </c>
      <c r="B831" s="693" t="s">
        <v>3400</v>
      </c>
      <c r="C831" s="672" t="s">
        <v>785</v>
      </c>
      <c r="D831" s="673">
        <v>38037</v>
      </c>
      <c r="E831" s="674">
        <v>10</v>
      </c>
      <c r="F831" s="675">
        <v>0.1</v>
      </c>
      <c r="G831" s="676">
        <v>1</v>
      </c>
      <c r="H831" s="929">
        <v>0</v>
      </c>
      <c r="I831" s="929">
        <v>0</v>
      </c>
      <c r="J831" s="689">
        <f t="shared" si="13"/>
        <v>1</v>
      </c>
    </row>
    <row r="832" spans="1:10" ht="12.75" customHeight="1" x14ac:dyDescent="0.2">
      <c r="A832" s="681" t="s">
        <v>2370</v>
      </c>
      <c r="B832" s="693" t="s">
        <v>3401</v>
      </c>
      <c r="C832" s="672" t="s">
        <v>785</v>
      </c>
      <c r="D832" s="673">
        <v>38037</v>
      </c>
      <c r="E832" s="674">
        <v>10</v>
      </c>
      <c r="F832" s="675">
        <v>0.1</v>
      </c>
      <c r="G832" s="676">
        <v>1</v>
      </c>
      <c r="H832" s="929">
        <v>0</v>
      </c>
      <c r="I832" s="929">
        <v>0</v>
      </c>
      <c r="J832" s="689">
        <f t="shared" si="13"/>
        <v>1</v>
      </c>
    </row>
    <row r="833" spans="1:10" ht="12.75" customHeight="1" x14ac:dyDescent="0.2">
      <c r="A833" s="681" t="s">
        <v>2370</v>
      </c>
      <c r="B833" s="693" t="s">
        <v>3402</v>
      </c>
      <c r="C833" s="672" t="s">
        <v>785</v>
      </c>
      <c r="D833" s="673">
        <v>38037</v>
      </c>
      <c r="E833" s="674">
        <v>10</v>
      </c>
      <c r="F833" s="675">
        <v>0.1</v>
      </c>
      <c r="G833" s="676">
        <v>1</v>
      </c>
      <c r="H833" s="929">
        <v>0</v>
      </c>
      <c r="I833" s="929">
        <v>0</v>
      </c>
      <c r="J833" s="689">
        <f t="shared" si="13"/>
        <v>1</v>
      </c>
    </row>
    <row r="834" spans="1:10" ht="12.75" customHeight="1" x14ac:dyDescent="0.2">
      <c r="A834" s="681" t="s">
        <v>2370</v>
      </c>
      <c r="B834" s="693" t="s">
        <v>3403</v>
      </c>
      <c r="C834" s="672" t="s">
        <v>785</v>
      </c>
      <c r="D834" s="673">
        <v>38037</v>
      </c>
      <c r="E834" s="674">
        <v>10</v>
      </c>
      <c r="F834" s="675">
        <v>0.1</v>
      </c>
      <c r="G834" s="676">
        <v>1</v>
      </c>
      <c r="H834" s="929">
        <v>0</v>
      </c>
      <c r="I834" s="929">
        <v>0</v>
      </c>
      <c r="J834" s="689">
        <f t="shared" si="13"/>
        <v>1</v>
      </c>
    </row>
    <row r="835" spans="1:10" ht="12.75" customHeight="1" x14ac:dyDescent="0.2">
      <c r="A835" s="681" t="s">
        <v>2370</v>
      </c>
      <c r="B835" s="693" t="s">
        <v>3404</v>
      </c>
      <c r="C835" s="672" t="s">
        <v>785</v>
      </c>
      <c r="D835" s="673">
        <v>38037</v>
      </c>
      <c r="E835" s="674">
        <v>10</v>
      </c>
      <c r="F835" s="675">
        <v>0.1</v>
      </c>
      <c r="G835" s="676">
        <v>1</v>
      </c>
      <c r="H835" s="929">
        <v>0</v>
      </c>
      <c r="I835" s="929">
        <v>0</v>
      </c>
      <c r="J835" s="689">
        <f t="shared" si="13"/>
        <v>1</v>
      </c>
    </row>
    <row r="836" spans="1:10" ht="12.75" customHeight="1" x14ac:dyDescent="0.2">
      <c r="A836" s="681" t="s">
        <v>2370</v>
      </c>
      <c r="B836" s="693" t="s">
        <v>3405</v>
      </c>
      <c r="C836" s="672" t="s">
        <v>785</v>
      </c>
      <c r="D836" s="673">
        <v>38037</v>
      </c>
      <c r="E836" s="674">
        <v>10</v>
      </c>
      <c r="F836" s="675">
        <v>0.1</v>
      </c>
      <c r="G836" s="676">
        <v>1</v>
      </c>
      <c r="H836" s="929">
        <v>0</v>
      </c>
      <c r="I836" s="929">
        <v>0</v>
      </c>
      <c r="J836" s="689">
        <f t="shared" si="13"/>
        <v>1</v>
      </c>
    </row>
    <row r="837" spans="1:10" ht="12.75" customHeight="1" x14ac:dyDescent="0.2">
      <c r="A837" s="681" t="s">
        <v>2370</v>
      </c>
      <c r="B837" s="693" t="s">
        <v>3406</v>
      </c>
      <c r="C837" s="672" t="s">
        <v>785</v>
      </c>
      <c r="D837" s="673">
        <v>38037</v>
      </c>
      <c r="E837" s="674">
        <v>10</v>
      </c>
      <c r="F837" s="675">
        <v>0.1</v>
      </c>
      <c r="G837" s="676">
        <v>1</v>
      </c>
      <c r="H837" s="929">
        <v>0</v>
      </c>
      <c r="I837" s="929">
        <v>0</v>
      </c>
      <c r="J837" s="689">
        <f t="shared" si="13"/>
        <v>1</v>
      </c>
    </row>
    <row r="838" spans="1:10" ht="12.75" customHeight="1" x14ac:dyDescent="0.2">
      <c r="A838" s="681" t="s">
        <v>2370</v>
      </c>
      <c r="B838" s="693" t="s">
        <v>3407</v>
      </c>
      <c r="C838" s="672" t="s">
        <v>785</v>
      </c>
      <c r="D838" s="673">
        <v>38037</v>
      </c>
      <c r="E838" s="674">
        <v>10</v>
      </c>
      <c r="F838" s="675">
        <v>0.1</v>
      </c>
      <c r="G838" s="676">
        <v>1</v>
      </c>
      <c r="H838" s="929">
        <v>0</v>
      </c>
      <c r="I838" s="929">
        <v>0</v>
      </c>
      <c r="J838" s="689">
        <f t="shared" si="13"/>
        <v>1</v>
      </c>
    </row>
    <row r="839" spans="1:10" ht="12.75" customHeight="1" x14ac:dyDescent="0.2">
      <c r="A839" s="681" t="s">
        <v>2370</v>
      </c>
      <c r="B839" s="693" t="s">
        <v>3408</v>
      </c>
      <c r="C839" s="672" t="s">
        <v>785</v>
      </c>
      <c r="D839" s="673">
        <v>38037</v>
      </c>
      <c r="E839" s="674">
        <v>10</v>
      </c>
      <c r="F839" s="675">
        <v>0.1</v>
      </c>
      <c r="G839" s="676">
        <v>1</v>
      </c>
      <c r="H839" s="929">
        <v>0</v>
      </c>
      <c r="I839" s="929">
        <v>0</v>
      </c>
      <c r="J839" s="689">
        <f t="shared" ref="J839:J902" si="14">G839-I839</f>
        <v>1</v>
      </c>
    </row>
    <row r="840" spans="1:10" ht="12.75" customHeight="1" x14ac:dyDescent="0.2">
      <c r="A840" s="681" t="s">
        <v>2370</v>
      </c>
      <c r="B840" s="693" t="s">
        <v>3409</v>
      </c>
      <c r="C840" s="672" t="s">
        <v>785</v>
      </c>
      <c r="D840" s="673">
        <v>38037</v>
      </c>
      <c r="E840" s="674">
        <v>10</v>
      </c>
      <c r="F840" s="675">
        <v>0.1</v>
      </c>
      <c r="G840" s="676">
        <v>1</v>
      </c>
      <c r="H840" s="929">
        <v>0</v>
      </c>
      <c r="I840" s="929">
        <v>0</v>
      </c>
      <c r="J840" s="689">
        <f t="shared" si="14"/>
        <v>1</v>
      </c>
    </row>
    <row r="841" spans="1:10" ht="12.75" customHeight="1" x14ac:dyDescent="0.2">
      <c r="A841" s="681" t="s">
        <v>2370</v>
      </c>
      <c r="B841" s="693" t="s">
        <v>3410</v>
      </c>
      <c r="C841" s="672" t="s">
        <v>785</v>
      </c>
      <c r="D841" s="673">
        <v>38037</v>
      </c>
      <c r="E841" s="674">
        <v>10</v>
      </c>
      <c r="F841" s="675">
        <v>0.1</v>
      </c>
      <c r="G841" s="676">
        <v>1</v>
      </c>
      <c r="H841" s="929">
        <v>0</v>
      </c>
      <c r="I841" s="929">
        <v>0</v>
      </c>
      <c r="J841" s="689">
        <f t="shared" si="14"/>
        <v>1</v>
      </c>
    </row>
    <row r="842" spans="1:10" ht="12.75" customHeight="1" x14ac:dyDescent="0.2">
      <c r="A842" s="681" t="s">
        <v>2370</v>
      </c>
      <c r="B842" s="693" t="s">
        <v>3411</v>
      </c>
      <c r="C842" s="672" t="s">
        <v>785</v>
      </c>
      <c r="D842" s="673">
        <v>38037</v>
      </c>
      <c r="E842" s="674">
        <v>10</v>
      </c>
      <c r="F842" s="675">
        <v>0.1</v>
      </c>
      <c r="G842" s="676">
        <v>1</v>
      </c>
      <c r="H842" s="929">
        <v>0</v>
      </c>
      <c r="I842" s="929">
        <v>0</v>
      </c>
      <c r="J842" s="689">
        <f t="shared" si="14"/>
        <v>1</v>
      </c>
    </row>
    <row r="843" spans="1:10" ht="12.75" customHeight="1" x14ac:dyDescent="0.2">
      <c r="A843" s="681" t="s">
        <v>2370</v>
      </c>
      <c r="B843" s="693" t="s">
        <v>3412</v>
      </c>
      <c r="C843" s="672" t="s">
        <v>785</v>
      </c>
      <c r="D843" s="673">
        <v>38768</v>
      </c>
      <c r="E843" s="674">
        <v>10</v>
      </c>
      <c r="F843" s="675">
        <v>0.1</v>
      </c>
      <c r="G843" s="676">
        <v>1</v>
      </c>
      <c r="H843" s="929">
        <v>0</v>
      </c>
      <c r="I843" s="929">
        <v>0</v>
      </c>
      <c r="J843" s="689">
        <f t="shared" si="14"/>
        <v>1</v>
      </c>
    </row>
    <row r="844" spans="1:10" ht="12.75" customHeight="1" x14ac:dyDescent="0.2">
      <c r="A844" s="681" t="s">
        <v>2370</v>
      </c>
      <c r="B844" s="693" t="s">
        <v>3413</v>
      </c>
      <c r="C844" s="672" t="s">
        <v>785</v>
      </c>
      <c r="D844" s="673">
        <v>38768</v>
      </c>
      <c r="E844" s="674">
        <v>10</v>
      </c>
      <c r="F844" s="675">
        <v>0.1</v>
      </c>
      <c r="G844" s="676">
        <v>1</v>
      </c>
      <c r="H844" s="929">
        <v>0</v>
      </c>
      <c r="I844" s="929">
        <v>0</v>
      </c>
      <c r="J844" s="689">
        <f t="shared" si="14"/>
        <v>1</v>
      </c>
    </row>
    <row r="845" spans="1:10" ht="12.75" customHeight="1" x14ac:dyDescent="0.2">
      <c r="A845" s="681" t="s">
        <v>2370</v>
      </c>
      <c r="B845" s="693" t="s">
        <v>3414</v>
      </c>
      <c r="C845" s="672" t="s">
        <v>786</v>
      </c>
      <c r="D845" s="673">
        <v>36576</v>
      </c>
      <c r="E845" s="674">
        <v>10</v>
      </c>
      <c r="F845" s="675">
        <v>0.1</v>
      </c>
      <c r="G845" s="676">
        <v>1</v>
      </c>
      <c r="H845" s="929">
        <v>0</v>
      </c>
      <c r="I845" s="929">
        <v>0</v>
      </c>
      <c r="J845" s="689">
        <f t="shared" si="14"/>
        <v>1</v>
      </c>
    </row>
    <row r="846" spans="1:10" ht="12.75" customHeight="1" x14ac:dyDescent="0.2">
      <c r="A846" s="681" t="s">
        <v>2370</v>
      </c>
      <c r="B846" s="693" t="s">
        <v>3415</v>
      </c>
      <c r="C846" s="672" t="s">
        <v>786</v>
      </c>
      <c r="D846" s="673">
        <v>38403</v>
      </c>
      <c r="E846" s="674">
        <v>10</v>
      </c>
      <c r="F846" s="675">
        <v>0.1</v>
      </c>
      <c r="G846" s="676">
        <v>1</v>
      </c>
      <c r="H846" s="929">
        <v>0</v>
      </c>
      <c r="I846" s="929">
        <v>0</v>
      </c>
      <c r="J846" s="689">
        <f t="shared" si="14"/>
        <v>1</v>
      </c>
    </row>
    <row r="847" spans="1:10" ht="12.75" customHeight="1" x14ac:dyDescent="0.2">
      <c r="A847" s="681" t="s">
        <v>2370</v>
      </c>
      <c r="B847" s="693" t="s">
        <v>3416</v>
      </c>
      <c r="C847" s="672" t="s">
        <v>786</v>
      </c>
      <c r="D847" s="673">
        <v>38403</v>
      </c>
      <c r="E847" s="674">
        <v>10</v>
      </c>
      <c r="F847" s="675">
        <v>0.1</v>
      </c>
      <c r="G847" s="676">
        <v>1</v>
      </c>
      <c r="H847" s="929">
        <v>0</v>
      </c>
      <c r="I847" s="929">
        <v>0</v>
      </c>
      <c r="J847" s="689">
        <f t="shared" si="14"/>
        <v>1</v>
      </c>
    </row>
    <row r="848" spans="1:10" ht="12.75" customHeight="1" x14ac:dyDescent="0.2">
      <c r="A848" s="681" t="s">
        <v>2370</v>
      </c>
      <c r="B848" s="693" t="s">
        <v>3417</v>
      </c>
      <c r="C848" s="672" t="s">
        <v>786</v>
      </c>
      <c r="D848" s="673">
        <v>38403</v>
      </c>
      <c r="E848" s="674">
        <v>10</v>
      </c>
      <c r="F848" s="675">
        <v>0.1</v>
      </c>
      <c r="G848" s="676">
        <v>1</v>
      </c>
      <c r="H848" s="929">
        <v>0</v>
      </c>
      <c r="I848" s="929">
        <v>0</v>
      </c>
      <c r="J848" s="689">
        <f t="shared" si="14"/>
        <v>1</v>
      </c>
    </row>
    <row r="849" spans="1:10" ht="12.75" customHeight="1" x14ac:dyDescent="0.2">
      <c r="A849" s="681" t="s">
        <v>2370</v>
      </c>
      <c r="B849" s="693" t="s">
        <v>3418</v>
      </c>
      <c r="C849" s="672" t="s">
        <v>813</v>
      </c>
      <c r="D849" s="673">
        <v>38768</v>
      </c>
      <c r="E849" s="674">
        <v>10</v>
      </c>
      <c r="F849" s="675">
        <v>0.1</v>
      </c>
      <c r="G849" s="676">
        <v>1</v>
      </c>
      <c r="H849" s="929">
        <v>0</v>
      </c>
      <c r="I849" s="929">
        <v>0</v>
      </c>
      <c r="J849" s="689">
        <f t="shared" si="14"/>
        <v>1</v>
      </c>
    </row>
    <row r="850" spans="1:10" ht="12.75" customHeight="1" x14ac:dyDescent="0.2">
      <c r="A850" s="681" t="s">
        <v>2370</v>
      </c>
      <c r="B850" s="693" t="s">
        <v>3419</v>
      </c>
      <c r="C850" s="672" t="s">
        <v>857</v>
      </c>
      <c r="D850" s="673">
        <v>38037</v>
      </c>
      <c r="E850" s="674">
        <v>10</v>
      </c>
      <c r="F850" s="675">
        <v>0.1</v>
      </c>
      <c r="G850" s="676">
        <v>1</v>
      </c>
      <c r="H850" s="929">
        <v>0</v>
      </c>
      <c r="I850" s="929">
        <v>0</v>
      </c>
      <c r="J850" s="689">
        <f t="shared" si="14"/>
        <v>1</v>
      </c>
    </row>
    <row r="851" spans="1:10" ht="12.75" customHeight="1" x14ac:dyDescent="0.2">
      <c r="A851" s="681" t="s">
        <v>2370</v>
      </c>
      <c r="B851" s="693" t="s">
        <v>3420</v>
      </c>
      <c r="C851" s="672" t="s">
        <v>858</v>
      </c>
      <c r="D851" s="673">
        <v>38037</v>
      </c>
      <c r="E851" s="674">
        <v>10</v>
      </c>
      <c r="F851" s="675">
        <v>0.1</v>
      </c>
      <c r="G851" s="676">
        <v>1</v>
      </c>
      <c r="H851" s="929">
        <v>0</v>
      </c>
      <c r="I851" s="929">
        <v>0</v>
      </c>
      <c r="J851" s="689">
        <f t="shared" si="14"/>
        <v>1</v>
      </c>
    </row>
    <row r="852" spans="1:10" ht="12.75" customHeight="1" x14ac:dyDescent="0.2">
      <c r="A852" s="681" t="s">
        <v>2370</v>
      </c>
      <c r="B852" s="693" t="s">
        <v>3421</v>
      </c>
      <c r="C852" s="672" t="s">
        <v>787</v>
      </c>
      <c r="D852" s="673">
        <v>39498</v>
      </c>
      <c r="E852" s="674">
        <v>10</v>
      </c>
      <c r="F852" s="675">
        <v>0.1</v>
      </c>
      <c r="G852" s="676">
        <v>1</v>
      </c>
      <c r="H852" s="929">
        <v>0</v>
      </c>
      <c r="I852" s="929">
        <v>0</v>
      </c>
      <c r="J852" s="689">
        <f t="shared" si="14"/>
        <v>1</v>
      </c>
    </row>
    <row r="853" spans="1:10" ht="12.75" customHeight="1" x14ac:dyDescent="0.2">
      <c r="A853" s="681" t="s">
        <v>2370</v>
      </c>
      <c r="B853" s="693" t="s">
        <v>3422</v>
      </c>
      <c r="C853" s="672" t="s">
        <v>866</v>
      </c>
      <c r="D853" s="673">
        <v>35115</v>
      </c>
      <c r="E853" s="674">
        <v>10</v>
      </c>
      <c r="F853" s="675">
        <v>0.1</v>
      </c>
      <c r="G853" s="676">
        <v>1</v>
      </c>
      <c r="H853" s="929">
        <v>0</v>
      </c>
      <c r="I853" s="929">
        <v>0</v>
      </c>
      <c r="J853" s="689">
        <f t="shared" si="14"/>
        <v>1</v>
      </c>
    </row>
    <row r="854" spans="1:10" ht="12.75" customHeight="1" x14ac:dyDescent="0.2">
      <c r="A854" s="681" t="s">
        <v>2370</v>
      </c>
      <c r="B854" s="693" t="s">
        <v>3423</v>
      </c>
      <c r="C854" s="672" t="s">
        <v>864</v>
      </c>
      <c r="D854" s="673">
        <v>39498</v>
      </c>
      <c r="E854" s="674">
        <v>10</v>
      </c>
      <c r="F854" s="675">
        <v>0.1</v>
      </c>
      <c r="G854" s="676">
        <v>1</v>
      </c>
      <c r="H854" s="929">
        <v>0</v>
      </c>
      <c r="I854" s="929">
        <v>0</v>
      </c>
      <c r="J854" s="689">
        <f t="shared" si="14"/>
        <v>1</v>
      </c>
    </row>
    <row r="855" spans="1:10" ht="12.75" customHeight="1" x14ac:dyDescent="0.2">
      <c r="A855" s="681" t="s">
        <v>2370</v>
      </c>
      <c r="B855" s="693" t="s">
        <v>3424</v>
      </c>
      <c r="C855" s="672" t="s">
        <v>864</v>
      </c>
      <c r="D855" s="673">
        <v>39498</v>
      </c>
      <c r="E855" s="674">
        <v>10</v>
      </c>
      <c r="F855" s="675">
        <v>0.1</v>
      </c>
      <c r="G855" s="676">
        <v>1</v>
      </c>
      <c r="H855" s="929">
        <v>0</v>
      </c>
      <c r="I855" s="929">
        <v>0</v>
      </c>
      <c r="J855" s="689">
        <f t="shared" si="14"/>
        <v>1</v>
      </c>
    </row>
    <row r="856" spans="1:10" ht="12.75" customHeight="1" x14ac:dyDescent="0.2">
      <c r="A856" s="681" t="s">
        <v>2370</v>
      </c>
      <c r="B856" s="693" t="s">
        <v>3425</v>
      </c>
      <c r="C856" s="672" t="s">
        <v>864</v>
      </c>
      <c r="D856" s="673">
        <v>39133</v>
      </c>
      <c r="E856" s="674">
        <v>10</v>
      </c>
      <c r="F856" s="675">
        <v>0.1</v>
      </c>
      <c r="G856" s="676">
        <v>1</v>
      </c>
      <c r="H856" s="929">
        <v>0</v>
      </c>
      <c r="I856" s="929">
        <v>0</v>
      </c>
      <c r="J856" s="689">
        <f t="shared" si="14"/>
        <v>1</v>
      </c>
    </row>
    <row r="857" spans="1:10" ht="12.75" customHeight="1" x14ac:dyDescent="0.2">
      <c r="A857" s="681" t="s">
        <v>2370</v>
      </c>
      <c r="B857" s="693" t="s">
        <v>3426</v>
      </c>
      <c r="C857" s="672" t="s">
        <v>864</v>
      </c>
      <c r="D857" s="673">
        <v>39133</v>
      </c>
      <c r="E857" s="674">
        <v>10</v>
      </c>
      <c r="F857" s="675">
        <v>0.1</v>
      </c>
      <c r="G857" s="676">
        <v>1</v>
      </c>
      <c r="H857" s="929">
        <v>0</v>
      </c>
      <c r="I857" s="929">
        <v>0</v>
      </c>
      <c r="J857" s="689">
        <f t="shared" si="14"/>
        <v>1</v>
      </c>
    </row>
    <row r="858" spans="1:10" ht="12.75" customHeight="1" x14ac:dyDescent="0.2">
      <c r="A858" s="681" t="s">
        <v>2370</v>
      </c>
      <c r="B858" s="693" t="s">
        <v>3427</v>
      </c>
      <c r="C858" s="672" t="s">
        <v>871</v>
      </c>
      <c r="D858" s="673">
        <v>37672</v>
      </c>
      <c r="E858" s="674">
        <v>10</v>
      </c>
      <c r="F858" s="675">
        <v>0.1</v>
      </c>
      <c r="G858" s="676">
        <v>1</v>
      </c>
      <c r="H858" s="929">
        <v>0</v>
      </c>
      <c r="I858" s="929">
        <v>0</v>
      </c>
      <c r="J858" s="689">
        <f t="shared" si="14"/>
        <v>1</v>
      </c>
    </row>
    <row r="859" spans="1:10" ht="12.75" customHeight="1" x14ac:dyDescent="0.2">
      <c r="A859" s="681" t="s">
        <v>2370</v>
      </c>
      <c r="B859" s="693" t="s">
        <v>3428</v>
      </c>
      <c r="C859" s="672" t="s">
        <v>872</v>
      </c>
      <c r="D859" s="673">
        <v>36576</v>
      </c>
      <c r="E859" s="674">
        <v>10</v>
      </c>
      <c r="F859" s="675">
        <v>0.1</v>
      </c>
      <c r="G859" s="676">
        <v>1</v>
      </c>
      <c r="H859" s="929">
        <v>0</v>
      </c>
      <c r="I859" s="929">
        <v>0</v>
      </c>
      <c r="J859" s="689">
        <f t="shared" si="14"/>
        <v>1</v>
      </c>
    </row>
    <row r="860" spans="1:10" ht="12.75" customHeight="1" x14ac:dyDescent="0.2">
      <c r="A860" s="681" t="s">
        <v>2370</v>
      </c>
      <c r="B860" s="693" t="s">
        <v>3429</v>
      </c>
      <c r="C860" s="672" t="s">
        <v>872</v>
      </c>
      <c r="D860" s="673">
        <v>38403</v>
      </c>
      <c r="E860" s="674">
        <v>10</v>
      </c>
      <c r="F860" s="675">
        <v>0.1</v>
      </c>
      <c r="G860" s="676">
        <v>1</v>
      </c>
      <c r="H860" s="929">
        <v>0</v>
      </c>
      <c r="I860" s="929">
        <v>0</v>
      </c>
      <c r="J860" s="689">
        <f t="shared" si="14"/>
        <v>1</v>
      </c>
    </row>
    <row r="861" spans="1:10" ht="12.75" customHeight="1" x14ac:dyDescent="0.2">
      <c r="A861" s="681" t="s">
        <v>2370</v>
      </c>
      <c r="B861" s="693" t="s">
        <v>3430</v>
      </c>
      <c r="C861" s="672" t="s">
        <v>873</v>
      </c>
      <c r="D861" s="673">
        <v>32924</v>
      </c>
      <c r="E861" s="674">
        <v>10</v>
      </c>
      <c r="F861" s="675">
        <v>0.1</v>
      </c>
      <c r="G861" s="676">
        <v>1</v>
      </c>
      <c r="H861" s="929">
        <v>0</v>
      </c>
      <c r="I861" s="929">
        <v>0</v>
      </c>
      <c r="J861" s="689">
        <f t="shared" si="14"/>
        <v>1</v>
      </c>
    </row>
    <row r="862" spans="1:10" ht="12.75" customHeight="1" x14ac:dyDescent="0.2">
      <c r="A862" s="681" t="s">
        <v>2370</v>
      </c>
      <c r="B862" s="693" t="s">
        <v>3431</v>
      </c>
      <c r="C862" s="672" t="s">
        <v>863</v>
      </c>
      <c r="D862" s="673">
        <v>38768</v>
      </c>
      <c r="E862" s="674">
        <v>10</v>
      </c>
      <c r="F862" s="675">
        <v>0.1</v>
      </c>
      <c r="G862" s="676">
        <v>1</v>
      </c>
      <c r="H862" s="929">
        <v>0</v>
      </c>
      <c r="I862" s="929">
        <v>0</v>
      </c>
      <c r="J862" s="689">
        <f t="shared" si="14"/>
        <v>1</v>
      </c>
    </row>
    <row r="863" spans="1:10" ht="12.75" customHeight="1" x14ac:dyDescent="0.2">
      <c r="A863" s="681" t="s">
        <v>2370</v>
      </c>
      <c r="B863" s="693" t="s">
        <v>3432</v>
      </c>
      <c r="C863" s="672" t="s">
        <v>863</v>
      </c>
      <c r="D863" s="673">
        <v>38037</v>
      </c>
      <c r="E863" s="674">
        <v>10</v>
      </c>
      <c r="F863" s="675">
        <v>0.1</v>
      </c>
      <c r="G863" s="676">
        <v>1</v>
      </c>
      <c r="H863" s="929">
        <v>0</v>
      </c>
      <c r="I863" s="929">
        <v>0</v>
      </c>
      <c r="J863" s="689">
        <f t="shared" si="14"/>
        <v>1</v>
      </c>
    </row>
    <row r="864" spans="1:10" ht="12.75" customHeight="1" x14ac:dyDescent="0.2">
      <c r="A864" s="681" t="s">
        <v>2370</v>
      </c>
      <c r="B864" s="693" t="s">
        <v>3433</v>
      </c>
      <c r="C864" s="672" t="s">
        <v>877</v>
      </c>
      <c r="D864" s="673">
        <v>36576</v>
      </c>
      <c r="E864" s="674">
        <v>10</v>
      </c>
      <c r="F864" s="675">
        <v>0.1</v>
      </c>
      <c r="G864" s="676">
        <v>1</v>
      </c>
      <c r="H864" s="929">
        <v>0</v>
      </c>
      <c r="I864" s="929">
        <v>0</v>
      </c>
      <c r="J864" s="689">
        <f t="shared" si="14"/>
        <v>1</v>
      </c>
    </row>
    <row r="865" spans="1:10" ht="12.75" customHeight="1" x14ac:dyDescent="0.2">
      <c r="A865" s="681" t="s">
        <v>2370</v>
      </c>
      <c r="B865" s="693" t="s">
        <v>3434</v>
      </c>
      <c r="C865" s="672" t="s">
        <v>877</v>
      </c>
      <c r="D865" s="673">
        <v>35481</v>
      </c>
      <c r="E865" s="674">
        <v>10</v>
      </c>
      <c r="F865" s="675">
        <v>0.1</v>
      </c>
      <c r="G865" s="676">
        <v>1</v>
      </c>
      <c r="H865" s="929">
        <v>0</v>
      </c>
      <c r="I865" s="929">
        <v>0</v>
      </c>
      <c r="J865" s="689">
        <f t="shared" si="14"/>
        <v>1</v>
      </c>
    </row>
    <row r="866" spans="1:10" ht="12.75" customHeight="1" x14ac:dyDescent="0.2">
      <c r="A866" s="681" t="s">
        <v>2370</v>
      </c>
      <c r="B866" s="693" t="s">
        <v>3435</v>
      </c>
      <c r="C866" s="672" t="s">
        <v>885</v>
      </c>
      <c r="D866" s="673">
        <v>38037</v>
      </c>
      <c r="E866" s="674">
        <v>3</v>
      </c>
      <c r="F866" s="675">
        <v>0.33</v>
      </c>
      <c r="G866" s="676">
        <v>1</v>
      </c>
      <c r="H866" s="929">
        <v>0</v>
      </c>
      <c r="I866" s="929">
        <v>0</v>
      </c>
      <c r="J866" s="689">
        <f t="shared" si="14"/>
        <v>1</v>
      </c>
    </row>
    <row r="867" spans="1:10" ht="12.75" customHeight="1" x14ac:dyDescent="0.2">
      <c r="A867" s="681" t="s">
        <v>2370</v>
      </c>
      <c r="B867" s="693" t="s">
        <v>3436</v>
      </c>
      <c r="C867" s="672" t="s">
        <v>886</v>
      </c>
      <c r="D867" s="673">
        <v>38403</v>
      </c>
      <c r="E867" s="674">
        <v>3</v>
      </c>
      <c r="F867" s="675">
        <v>0.33</v>
      </c>
      <c r="G867" s="676">
        <v>1</v>
      </c>
      <c r="H867" s="929">
        <v>0</v>
      </c>
      <c r="I867" s="929">
        <v>0</v>
      </c>
      <c r="J867" s="689">
        <f t="shared" si="14"/>
        <v>1</v>
      </c>
    </row>
    <row r="868" spans="1:10" ht="12.75" customHeight="1" x14ac:dyDescent="0.2">
      <c r="A868" s="681" t="s">
        <v>2370</v>
      </c>
      <c r="B868" s="693" t="s">
        <v>3437</v>
      </c>
      <c r="C868" s="672" t="s">
        <v>885</v>
      </c>
      <c r="D868" s="673">
        <v>36576</v>
      </c>
      <c r="E868" s="674">
        <v>3</v>
      </c>
      <c r="F868" s="675">
        <v>0.33</v>
      </c>
      <c r="G868" s="676">
        <v>1</v>
      </c>
      <c r="H868" s="929">
        <v>0</v>
      </c>
      <c r="I868" s="929">
        <v>0</v>
      </c>
      <c r="J868" s="689">
        <f t="shared" si="14"/>
        <v>1</v>
      </c>
    </row>
    <row r="869" spans="1:10" ht="12.75" customHeight="1" x14ac:dyDescent="0.2">
      <c r="A869" s="681" t="s">
        <v>2370</v>
      </c>
      <c r="B869" s="693" t="s">
        <v>3438</v>
      </c>
      <c r="C869" s="672" t="s">
        <v>885</v>
      </c>
      <c r="D869" s="673">
        <v>38403</v>
      </c>
      <c r="E869" s="674">
        <v>3</v>
      </c>
      <c r="F869" s="675">
        <v>0.33</v>
      </c>
      <c r="G869" s="676">
        <v>1</v>
      </c>
      <c r="H869" s="929">
        <v>0</v>
      </c>
      <c r="I869" s="929">
        <v>0</v>
      </c>
      <c r="J869" s="689">
        <f t="shared" si="14"/>
        <v>1</v>
      </c>
    </row>
    <row r="870" spans="1:10" ht="12.75" customHeight="1" x14ac:dyDescent="0.2">
      <c r="A870" s="681" t="s">
        <v>2370</v>
      </c>
      <c r="B870" s="693" t="s">
        <v>3439</v>
      </c>
      <c r="C870" s="672" t="s">
        <v>885</v>
      </c>
      <c r="D870" s="673">
        <v>40229</v>
      </c>
      <c r="E870" s="674">
        <v>3</v>
      </c>
      <c r="F870" s="675">
        <v>0.33</v>
      </c>
      <c r="G870" s="676">
        <v>1</v>
      </c>
      <c r="H870" s="929">
        <v>0</v>
      </c>
      <c r="I870" s="929">
        <v>0</v>
      </c>
      <c r="J870" s="689">
        <f t="shared" si="14"/>
        <v>1</v>
      </c>
    </row>
    <row r="871" spans="1:10" ht="12.75" customHeight="1" x14ac:dyDescent="0.2">
      <c r="A871" s="681" t="s">
        <v>2370</v>
      </c>
      <c r="B871" s="693" t="s">
        <v>3440</v>
      </c>
      <c r="C871" s="672" t="s">
        <v>889</v>
      </c>
      <c r="D871" s="673">
        <v>39133</v>
      </c>
      <c r="E871" s="674">
        <v>3</v>
      </c>
      <c r="F871" s="675">
        <v>0.33</v>
      </c>
      <c r="G871" s="676">
        <v>1</v>
      </c>
      <c r="H871" s="929">
        <v>0</v>
      </c>
      <c r="I871" s="929">
        <v>0</v>
      </c>
      <c r="J871" s="689">
        <f t="shared" si="14"/>
        <v>1</v>
      </c>
    </row>
    <row r="872" spans="1:10" ht="12.75" customHeight="1" x14ac:dyDescent="0.2">
      <c r="A872" s="681" t="s">
        <v>2370</v>
      </c>
      <c r="B872" s="693" t="s">
        <v>3441</v>
      </c>
      <c r="C872" s="672" t="s">
        <v>889</v>
      </c>
      <c r="D872" s="673">
        <v>39498</v>
      </c>
      <c r="E872" s="674">
        <v>3</v>
      </c>
      <c r="F872" s="675">
        <v>0.33</v>
      </c>
      <c r="G872" s="676">
        <v>1</v>
      </c>
      <c r="H872" s="929">
        <v>0</v>
      </c>
      <c r="I872" s="929">
        <v>0</v>
      </c>
      <c r="J872" s="689">
        <f t="shared" si="14"/>
        <v>1</v>
      </c>
    </row>
    <row r="873" spans="1:10" ht="12.75" customHeight="1" x14ac:dyDescent="0.2">
      <c r="A873" s="681" t="s">
        <v>2370</v>
      </c>
      <c r="B873" s="693" t="s">
        <v>3442</v>
      </c>
      <c r="C873" s="672" t="s">
        <v>889</v>
      </c>
      <c r="D873" s="673">
        <v>38403</v>
      </c>
      <c r="E873" s="674">
        <v>3</v>
      </c>
      <c r="F873" s="675">
        <v>0.33</v>
      </c>
      <c r="G873" s="676">
        <v>1</v>
      </c>
      <c r="H873" s="929">
        <v>0</v>
      </c>
      <c r="I873" s="929">
        <v>0</v>
      </c>
      <c r="J873" s="689">
        <f t="shared" si="14"/>
        <v>1</v>
      </c>
    </row>
    <row r="874" spans="1:10" ht="12.75" customHeight="1" x14ac:dyDescent="0.2">
      <c r="A874" s="681" t="s">
        <v>2370</v>
      </c>
      <c r="B874" s="693" t="s">
        <v>3443</v>
      </c>
      <c r="C874" s="672" t="s">
        <v>889</v>
      </c>
      <c r="D874" s="673">
        <v>39133</v>
      </c>
      <c r="E874" s="674">
        <v>3</v>
      </c>
      <c r="F874" s="675">
        <v>0.33</v>
      </c>
      <c r="G874" s="676">
        <v>1</v>
      </c>
      <c r="H874" s="929">
        <v>0</v>
      </c>
      <c r="I874" s="929">
        <v>0</v>
      </c>
      <c r="J874" s="689">
        <f t="shared" si="14"/>
        <v>1</v>
      </c>
    </row>
    <row r="875" spans="1:10" ht="12.75" customHeight="1" x14ac:dyDescent="0.2">
      <c r="A875" s="681" t="s">
        <v>2370</v>
      </c>
      <c r="B875" s="693" t="s">
        <v>3444</v>
      </c>
      <c r="C875" s="672" t="s">
        <v>889</v>
      </c>
      <c r="D875" s="673">
        <v>38037</v>
      </c>
      <c r="E875" s="674">
        <v>3</v>
      </c>
      <c r="F875" s="675">
        <v>0.33</v>
      </c>
      <c r="G875" s="676">
        <v>1</v>
      </c>
      <c r="H875" s="929">
        <v>0</v>
      </c>
      <c r="I875" s="929">
        <v>0</v>
      </c>
      <c r="J875" s="689">
        <f t="shared" si="14"/>
        <v>1</v>
      </c>
    </row>
    <row r="876" spans="1:10" ht="12.75" customHeight="1" x14ac:dyDescent="0.2">
      <c r="A876" s="681" t="s">
        <v>2370</v>
      </c>
      <c r="B876" s="693" t="s">
        <v>3445</v>
      </c>
      <c r="C876" s="672" t="s">
        <v>889</v>
      </c>
      <c r="D876" s="673">
        <v>40594</v>
      </c>
      <c r="E876" s="674">
        <v>3</v>
      </c>
      <c r="F876" s="675">
        <v>0.33</v>
      </c>
      <c r="G876" s="676">
        <v>1</v>
      </c>
      <c r="H876" s="929">
        <v>0</v>
      </c>
      <c r="I876" s="929">
        <v>0</v>
      </c>
      <c r="J876" s="689">
        <f t="shared" si="14"/>
        <v>1</v>
      </c>
    </row>
    <row r="877" spans="1:10" ht="12.75" customHeight="1" x14ac:dyDescent="0.2">
      <c r="A877" s="681" t="s">
        <v>2370</v>
      </c>
      <c r="B877" s="693" t="s">
        <v>3446</v>
      </c>
      <c r="C877" s="672" t="s">
        <v>889</v>
      </c>
      <c r="D877" s="673">
        <v>40594</v>
      </c>
      <c r="E877" s="674">
        <v>3</v>
      </c>
      <c r="F877" s="675">
        <v>0.33</v>
      </c>
      <c r="G877" s="676">
        <v>1</v>
      </c>
      <c r="H877" s="929">
        <v>0</v>
      </c>
      <c r="I877" s="929">
        <v>0</v>
      </c>
      <c r="J877" s="689">
        <f t="shared" si="14"/>
        <v>1</v>
      </c>
    </row>
    <row r="878" spans="1:10" ht="12.75" customHeight="1" x14ac:dyDescent="0.2">
      <c r="A878" s="681" t="s">
        <v>2370</v>
      </c>
      <c r="B878" s="693" t="s">
        <v>3447</v>
      </c>
      <c r="C878" s="672" t="s">
        <v>736</v>
      </c>
      <c r="D878" s="673">
        <v>37672</v>
      </c>
      <c r="E878" s="674">
        <v>3</v>
      </c>
      <c r="F878" s="675">
        <v>0.33</v>
      </c>
      <c r="G878" s="676">
        <v>1</v>
      </c>
      <c r="H878" s="929">
        <v>0</v>
      </c>
      <c r="I878" s="929">
        <v>0</v>
      </c>
      <c r="J878" s="689">
        <f t="shared" si="14"/>
        <v>1</v>
      </c>
    </row>
    <row r="879" spans="1:10" ht="12.75" customHeight="1" x14ac:dyDescent="0.2">
      <c r="A879" s="681" t="s">
        <v>2370</v>
      </c>
      <c r="B879" s="693" t="s">
        <v>3448</v>
      </c>
      <c r="C879" s="672" t="s">
        <v>894</v>
      </c>
      <c r="D879" s="673">
        <v>37672</v>
      </c>
      <c r="E879" s="674">
        <v>3</v>
      </c>
      <c r="F879" s="675">
        <v>0.33</v>
      </c>
      <c r="G879" s="676">
        <v>1</v>
      </c>
      <c r="H879" s="929">
        <v>0</v>
      </c>
      <c r="I879" s="929">
        <v>0</v>
      </c>
      <c r="J879" s="689">
        <f t="shared" si="14"/>
        <v>1</v>
      </c>
    </row>
    <row r="880" spans="1:10" ht="12.75" customHeight="1" x14ac:dyDescent="0.2">
      <c r="A880" s="681" t="s">
        <v>2370</v>
      </c>
      <c r="B880" s="693" t="s">
        <v>3449</v>
      </c>
      <c r="C880" s="672" t="s">
        <v>889</v>
      </c>
      <c r="D880" s="673">
        <v>40594</v>
      </c>
      <c r="E880" s="674">
        <v>3</v>
      </c>
      <c r="F880" s="675">
        <v>0.33</v>
      </c>
      <c r="G880" s="676">
        <v>1</v>
      </c>
      <c r="H880" s="929">
        <v>0</v>
      </c>
      <c r="I880" s="929">
        <v>0</v>
      </c>
      <c r="J880" s="689">
        <f t="shared" si="14"/>
        <v>1</v>
      </c>
    </row>
    <row r="881" spans="1:10" ht="12.75" customHeight="1" x14ac:dyDescent="0.2">
      <c r="A881" s="681" t="s">
        <v>2370</v>
      </c>
      <c r="B881" s="693" t="s">
        <v>3450</v>
      </c>
      <c r="C881" s="672" t="s">
        <v>736</v>
      </c>
      <c r="D881" s="673">
        <v>37307</v>
      </c>
      <c r="E881" s="674">
        <v>3</v>
      </c>
      <c r="F881" s="675">
        <v>0.33</v>
      </c>
      <c r="G881" s="676">
        <v>1</v>
      </c>
      <c r="H881" s="929">
        <v>0</v>
      </c>
      <c r="I881" s="929">
        <v>0</v>
      </c>
      <c r="J881" s="689">
        <f t="shared" si="14"/>
        <v>1</v>
      </c>
    </row>
    <row r="882" spans="1:10" ht="12.75" customHeight="1" x14ac:dyDescent="0.2">
      <c r="A882" s="681" t="s">
        <v>2370</v>
      </c>
      <c r="B882" s="693" t="s">
        <v>3451</v>
      </c>
      <c r="C882" s="672" t="s">
        <v>736</v>
      </c>
      <c r="D882" s="673">
        <v>39498</v>
      </c>
      <c r="E882" s="674">
        <v>3</v>
      </c>
      <c r="F882" s="675">
        <v>0.33</v>
      </c>
      <c r="G882" s="676">
        <v>1</v>
      </c>
      <c r="H882" s="929">
        <v>0</v>
      </c>
      <c r="I882" s="929">
        <v>0</v>
      </c>
      <c r="J882" s="689">
        <f t="shared" si="14"/>
        <v>1</v>
      </c>
    </row>
    <row r="883" spans="1:10" ht="12.75" customHeight="1" x14ac:dyDescent="0.2">
      <c r="A883" s="681" t="s">
        <v>2370</v>
      </c>
      <c r="B883" s="693" t="s">
        <v>3452</v>
      </c>
      <c r="C883" s="672" t="s">
        <v>736</v>
      </c>
      <c r="D883" s="673">
        <v>39498</v>
      </c>
      <c r="E883" s="674">
        <v>3</v>
      </c>
      <c r="F883" s="675">
        <v>0.33</v>
      </c>
      <c r="G883" s="676">
        <v>1</v>
      </c>
      <c r="H883" s="929">
        <v>0</v>
      </c>
      <c r="I883" s="929">
        <v>0</v>
      </c>
      <c r="J883" s="689">
        <f t="shared" si="14"/>
        <v>1</v>
      </c>
    </row>
    <row r="884" spans="1:10" ht="12.75" customHeight="1" x14ac:dyDescent="0.2">
      <c r="A884" s="681" t="s">
        <v>2370</v>
      </c>
      <c r="B884" s="693" t="s">
        <v>3453</v>
      </c>
      <c r="C884" s="672" t="s">
        <v>893</v>
      </c>
      <c r="D884" s="673">
        <v>39133</v>
      </c>
      <c r="E884" s="674">
        <v>3</v>
      </c>
      <c r="F884" s="675">
        <v>0.33</v>
      </c>
      <c r="G884" s="676">
        <v>1</v>
      </c>
      <c r="H884" s="929">
        <v>0</v>
      </c>
      <c r="I884" s="929">
        <v>0</v>
      </c>
      <c r="J884" s="689">
        <f t="shared" si="14"/>
        <v>1</v>
      </c>
    </row>
    <row r="885" spans="1:10" ht="12.75" customHeight="1" x14ac:dyDescent="0.2">
      <c r="A885" s="681" t="s">
        <v>2370</v>
      </c>
      <c r="B885" s="693" t="s">
        <v>3454</v>
      </c>
      <c r="C885" s="672" t="s">
        <v>890</v>
      </c>
      <c r="D885" s="673">
        <v>39498</v>
      </c>
      <c r="E885" s="674">
        <v>3</v>
      </c>
      <c r="F885" s="675">
        <v>0.33</v>
      </c>
      <c r="G885" s="676">
        <v>1</v>
      </c>
      <c r="H885" s="929">
        <v>0</v>
      </c>
      <c r="I885" s="929">
        <v>0</v>
      </c>
      <c r="J885" s="689">
        <f t="shared" si="14"/>
        <v>1</v>
      </c>
    </row>
    <row r="886" spans="1:10" ht="12.75" customHeight="1" x14ac:dyDescent="0.2">
      <c r="A886" s="681" t="s">
        <v>2370</v>
      </c>
      <c r="B886" s="693" t="s">
        <v>3455</v>
      </c>
      <c r="C886" s="672" t="s">
        <v>736</v>
      </c>
      <c r="D886" s="673">
        <v>37307</v>
      </c>
      <c r="E886" s="674">
        <v>3</v>
      </c>
      <c r="F886" s="675">
        <v>0.33</v>
      </c>
      <c r="G886" s="676">
        <v>1</v>
      </c>
      <c r="H886" s="929">
        <v>0</v>
      </c>
      <c r="I886" s="929">
        <v>0</v>
      </c>
      <c r="J886" s="689">
        <f t="shared" si="14"/>
        <v>1</v>
      </c>
    </row>
    <row r="887" spans="1:10" ht="12.75" customHeight="1" x14ac:dyDescent="0.2">
      <c r="A887" s="681" t="s">
        <v>2370</v>
      </c>
      <c r="B887" s="693" t="s">
        <v>3456</v>
      </c>
      <c r="C887" s="672" t="s">
        <v>890</v>
      </c>
      <c r="D887" s="673">
        <v>39498</v>
      </c>
      <c r="E887" s="674">
        <v>3</v>
      </c>
      <c r="F887" s="675">
        <v>0.33</v>
      </c>
      <c r="G887" s="676">
        <v>1</v>
      </c>
      <c r="H887" s="929">
        <v>0</v>
      </c>
      <c r="I887" s="929">
        <v>0</v>
      </c>
      <c r="J887" s="689">
        <f t="shared" si="14"/>
        <v>1</v>
      </c>
    </row>
    <row r="888" spans="1:10" ht="12.75" customHeight="1" x14ac:dyDescent="0.2">
      <c r="A888" s="681" t="s">
        <v>2370</v>
      </c>
      <c r="B888" s="693" t="s">
        <v>3457</v>
      </c>
      <c r="C888" s="672" t="s">
        <v>736</v>
      </c>
      <c r="D888" s="673">
        <v>39498</v>
      </c>
      <c r="E888" s="674">
        <v>3</v>
      </c>
      <c r="F888" s="675">
        <v>0.33</v>
      </c>
      <c r="G888" s="676">
        <v>1</v>
      </c>
      <c r="H888" s="929">
        <v>0</v>
      </c>
      <c r="I888" s="929">
        <v>0</v>
      </c>
      <c r="J888" s="689">
        <f t="shared" si="14"/>
        <v>1</v>
      </c>
    </row>
    <row r="889" spans="1:10" ht="12.75" customHeight="1" x14ac:dyDescent="0.2">
      <c r="A889" s="681" t="s">
        <v>2370</v>
      </c>
      <c r="B889" s="693" t="s">
        <v>3458</v>
      </c>
      <c r="C889" s="672" t="s">
        <v>736</v>
      </c>
      <c r="D889" s="673">
        <v>37307</v>
      </c>
      <c r="E889" s="674">
        <v>3</v>
      </c>
      <c r="F889" s="675">
        <v>0.33</v>
      </c>
      <c r="G889" s="676">
        <v>1</v>
      </c>
      <c r="H889" s="929">
        <v>0</v>
      </c>
      <c r="I889" s="929">
        <v>0</v>
      </c>
      <c r="J889" s="689">
        <f t="shared" si="14"/>
        <v>1</v>
      </c>
    </row>
    <row r="890" spans="1:10" ht="12.75" customHeight="1" x14ac:dyDescent="0.2">
      <c r="A890" s="681" t="s">
        <v>2370</v>
      </c>
      <c r="B890" s="693" t="s">
        <v>3459</v>
      </c>
      <c r="C890" s="672" t="s">
        <v>894</v>
      </c>
      <c r="D890" s="673">
        <v>38768</v>
      </c>
      <c r="E890" s="674">
        <v>3</v>
      </c>
      <c r="F890" s="675">
        <v>0.33</v>
      </c>
      <c r="G890" s="676">
        <v>1</v>
      </c>
      <c r="H890" s="929">
        <v>0</v>
      </c>
      <c r="I890" s="929">
        <v>0</v>
      </c>
      <c r="J890" s="689">
        <f t="shared" si="14"/>
        <v>1</v>
      </c>
    </row>
    <row r="891" spans="1:10" ht="12.75" customHeight="1" x14ac:dyDescent="0.2">
      <c r="A891" s="681" t="s">
        <v>2370</v>
      </c>
      <c r="B891" s="693" t="s">
        <v>3460</v>
      </c>
      <c r="C891" s="672" t="s">
        <v>890</v>
      </c>
      <c r="D891" s="673">
        <v>38768</v>
      </c>
      <c r="E891" s="674">
        <v>3</v>
      </c>
      <c r="F891" s="675">
        <v>0.33</v>
      </c>
      <c r="G891" s="676">
        <v>1</v>
      </c>
      <c r="H891" s="929">
        <v>0</v>
      </c>
      <c r="I891" s="929">
        <v>0</v>
      </c>
      <c r="J891" s="689">
        <f t="shared" si="14"/>
        <v>1</v>
      </c>
    </row>
    <row r="892" spans="1:10" ht="12.75" customHeight="1" x14ac:dyDescent="0.2">
      <c r="A892" s="681" t="s">
        <v>2370</v>
      </c>
      <c r="B892" s="693" t="s">
        <v>3461</v>
      </c>
      <c r="C892" s="672" t="s">
        <v>890</v>
      </c>
      <c r="D892" s="673">
        <v>39498</v>
      </c>
      <c r="E892" s="674">
        <v>3</v>
      </c>
      <c r="F892" s="675">
        <v>0.33</v>
      </c>
      <c r="G892" s="676">
        <v>1</v>
      </c>
      <c r="H892" s="929">
        <v>0</v>
      </c>
      <c r="I892" s="929">
        <v>0</v>
      </c>
      <c r="J892" s="689">
        <f t="shared" si="14"/>
        <v>1</v>
      </c>
    </row>
    <row r="893" spans="1:10" ht="12.75" customHeight="1" x14ac:dyDescent="0.2">
      <c r="A893" s="681" t="s">
        <v>2370</v>
      </c>
      <c r="B893" s="693" t="s">
        <v>3462</v>
      </c>
      <c r="C893" s="672" t="s">
        <v>736</v>
      </c>
      <c r="D893" s="673">
        <v>37307</v>
      </c>
      <c r="E893" s="674">
        <v>3</v>
      </c>
      <c r="F893" s="675">
        <v>0.33</v>
      </c>
      <c r="G893" s="676">
        <v>1</v>
      </c>
      <c r="H893" s="929">
        <v>0</v>
      </c>
      <c r="I893" s="929">
        <v>0</v>
      </c>
      <c r="J893" s="689">
        <f t="shared" si="14"/>
        <v>1</v>
      </c>
    </row>
    <row r="894" spans="1:10" ht="12.75" customHeight="1" x14ac:dyDescent="0.2">
      <c r="A894" s="681" t="s">
        <v>2370</v>
      </c>
      <c r="B894" s="693" t="s">
        <v>3463</v>
      </c>
      <c r="C894" s="672" t="s">
        <v>736</v>
      </c>
      <c r="D894" s="673">
        <v>38768</v>
      </c>
      <c r="E894" s="674">
        <v>3</v>
      </c>
      <c r="F894" s="675">
        <v>0.33</v>
      </c>
      <c r="G894" s="676">
        <v>1</v>
      </c>
      <c r="H894" s="929">
        <v>0</v>
      </c>
      <c r="I894" s="929">
        <v>0</v>
      </c>
      <c r="J894" s="689">
        <f t="shared" si="14"/>
        <v>1</v>
      </c>
    </row>
    <row r="895" spans="1:10" ht="12.75" customHeight="1" x14ac:dyDescent="0.2">
      <c r="A895" s="681" t="s">
        <v>2370</v>
      </c>
      <c r="B895" s="693" t="s">
        <v>3464</v>
      </c>
      <c r="C895" s="672" t="s">
        <v>736</v>
      </c>
      <c r="D895" s="673">
        <v>37307</v>
      </c>
      <c r="E895" s="674">
        <v>3</v>
      </c>
      <c r="F895" s="675">
        <v>0.33</v>
      </c>
      <c r="G895" s="676">
        <v>1</v>
      </c>
      <c r="H895" s="929">
        <v>0</v>
      </c>
      <c r="I895" s="929">
        <v>0</v>
      </c>
      <c r="J895" s="689">
        <f t="shared" si="14"/>
        <v>1</v>
      </c>
    </row>
    <row r="896" spans="1:10" ht="12.75" customHeight="1" x14ac:dyDescent="0.2">
      <c r="A896" s="681" t="s">
        <v>2370</v>
      </c>
      <c r="B896" s="693" t="s">
        <v>3465</v>
      </c>
      <c r="C896" s="672" t="s">
        <v>904</v>
      </c>
      <c r="D896" s="673">
        <v>38768</v>
      </c>
      <c r="E896" s="674">
        <v>3</v>
      </c>
      <c r="F896" s="675">
        <v>0.33</v>
      </c>
      <c r="G896" s="676">
        <v>1</v>
      </c>
      <c r="H896" s="929">
        <v>0</v>
      </c>
      <c r="I896" s="929">
        <v>0</v>
      </c>
      <c r="J896" s="689">
        <f t="shared" si="14"/>
        <v>1</v>
      </c>
    </row>
    <row r="897" spans="1:10" ht="12.75" customHeight="1" x14ac:dyDescent="0.2">
      <c r="A897" s="681" t="s">
        <v>2370</v>
      </c>
      <c r="B897" s="693" t="s">
        <v>3466</v>
      </c>
      <c r="C897" s="672" t="s">
        <v>890</v>
      </c>
      <c r="D897" s="673">
        <v>39498</v>
      </c>
      <c r="E897" s="674">
        <v>3</v>
      </c>
      <c r="F897" s="675">
        <v>0.33</v>
      </c>
      <c r="G897" s="676">
        <v>1</v>
      </c>
      <c r="H897" s="929">
        <v>0</v>
      </c>
      <c r="I897" s="929">
        <v>0</v>
      </c>
      <c r="J897" s="689">
        <f t="shared" si="14"/>
        <v>1</v>
      </c>
    </row>
    <row r="898" spans="1:10" ht="12.75" customHeight="1" x14ac:dyDescent="0.2">
      <c r="A898" s="681" t="s">
        <v>2370</v>
      </c>
      <c r="B898" s="693" t="s">
        <v>3467</v>
      </c>
      <c r="C898" s="672" t="s">
        <v>889</v>
      </c>
      <c r="D898" s="673">
        <v>39498</v>
      </c>
      <c r="E898" s="674">
        <v>3</v>
      </c>
      <c r="F898" s="675">
        <v>0.33</v>
      </c>
      <c r="G898" s="676">
        <v>1</v>
      </c>
      <c r="H898" s="929">
        <v>0</v>
      </c>
      <c r="I898" s="929">
        <v>0</v>
      </c>
      <c r="J898" s="689">
        <f t="shared" si="14"/>
        <v>1</v>
      </c>
    </row>
    <row r="899" spans="1:10" ht="12.75" customHeight="1" x14ac:dyDescent="0.2">
      <c r="A899" s="681" t="s">
        <v>2370</v>
      </c>
      <c r="B899" s="693" t="s">
        <v>3468</v>
      </c>
      <c r="C899" s="672" t="s">
        <v>893</v>
      </c>
      <c r="D899" s="673">
        <v>39498</v>
      </c>
      <c r="E899" s="674">
        <v>3</v>
      </c>
      <c r="F899" s="675">
        <v>0.33</v>
      </c>
      <c r="G899" s="676">
        <v>1</v>
      </c>
      <c r="H899" s="929">
        <v>0</v>
      </c>
      <c r="I899" s="929">
        <v>0</v>
      </c>
      <c r="J899" s="689">
        <f t="shared" si="14"/>
        <v>1</v>
      </c>
    </row>
    <row r="900" spans="1:10" ht="12.75" customHeight="1" x14ac:dyDescent="0.2">
      <c r="A900" s="681" t="s">
        <v>2370</v>
      </c>
      <c r="B900" s="693" t="s">
        <v>3469</v>
      </c>
      <c r="C900" s="672" t="s">
        <v>893</v>
      </c>
      <c r="D900" s="673">
        <v>39498</v>
      </c>
      <c r="E900" s="674">
        <v>3</v>
      </c>
      <c r="F900" s="675">
        <v>0.33</v>
      </c>
      <c r="G900" s="676">
        <v>1</v>
      </c>
      <c r="H900" s="929">
        <v>0</v>
      </c>
      <c r="I900" s="929">
        <v>0</v>
      </c>
      <c r="J900" s="689">
        <f t="shared" si="14"/>
        <v>1</v>
      </c>
    </row>
    <row r="901" spans="1:10" ht="12.75" customHeight="1" x14ac:dyDescent="0.2">
      <c r="A901" s="681" t="s">
        <v>2370</v>
      </c>
      <c r="B901" s="693" t="s">
        <v>3470</v>
      </c>
      <c r="C901" s="672" t="s">
        <v>889</v>
      </c>
      <c r="D901" s="673">
        <v>39498</v>
      </c>
      <c r="E901" s="674">
        <v>3</v>
      </c>
      <c r="F901" s="675">
        <v>0.33</v>
      </c>
      <c r="G901" s="676">
        <v>1</v>
      </c>
      <c r="H901" s="929">
        <v>0</v>
      </c>
      <c r="I901" s="929">
        <v>0</v>
      </c>
      <c r="J901" s="689">
        <f t="shared" si="14"/>
        <v>1</v>
      </c>
    </row>
    <row r="902" spans="1:10" ht="12.75" customHeight="1" x14ac:dyDescent="0.2">
      <c r="A902" s="681" t="s">
        <v>2370</v>
      </c>
      <c r="B902" s="693" t="s">
        <v>3471</v>
      </c>
      <c r="C902" s="672" t="s">
        <v>893</v>
      </c>
      <c r="D902" s="673">
        <v>39498</v>
      </c>
      <c r="E902" s="674">
        <v>3</v>
      </c>
      <c r="F902" s="675">
        <v>0.33</v>
      </c>
      <c r="G902" s="676">
        <v>1</v>
      </c>
      <c r="H902" s="929">
        <v>0</v>
      </c>
      <c r="I902" s="929">
        <v>0</v>
      </c>
      <c r="J902" s="689">
        <f t="shared" si="14"/>
        <v>1</v>
      </c>
    </row>
    <row r="903" spans="1:10" ht="12.75" customHeight="1" x14ac:dyDescent="0.2">
      <c r="A903" s="681" t="s">
        <v>2370</v>
      </c>
      <c r="B903" s="693" t="s">
        <v>3472</v>
      </c>
      <c r="C903" s="672" t="s">
        <v>893</v>
      </c>
      <c r="D903" s="673">
        <v>39498</v>
      </c>
      <c r="E903" s="674">
        <v>3</v>
      </c>
      <c r="F903" s="675">
        <v>0.33</v>
      </c>
      <c r="G903" s="676">
        <v>1</v>
      </c>
      <c r="H903" s="929">
        <v>0</v>
      </c>
      <c r="I903" s="929">
        <v>0</v>
      </c>
      <c r="J903" s="689">
        <f t="shared" ref="J903:J966" si="15">G903-I903</f>
        <v>1</v>
      </c>
    </row>
    <row r="904" spans="1:10" ht="12.75" customHeight="1" x14ac:dyDescent="0.2">
      <c r="A904" s="681" t="s">
        <v>2370</v>
      </c>
      <c r="B904" s="693" t="s">
        <v>3473</v>
      </c>
      <c r="C904" s="672" t="s">
        <v>897</v>
      </c>
      <c r="D904" s="673">
        <v>39498</v>
      </c>
      <c r="E904" s="674">
        <v>3</v>
      </c>
      <c r="F904" s="675">
        <v>0.33</v>
      </c>
      <c r="G904" s="676">
        <v>1</v>
      </c>
      <c r="H904" s="929">
        <v>0</v>
      </c>
      <c r="I904" s="929">
        <v>0</v>
      </c>
      <c r="J904" s="689">
        <f t="shared" si="15"/>
        <v>1</v>
      </c>
    </row>
    <row r="905" spans="1:10" ht="12.75" customHeight="1" x14ac:dyDescent="0.2">
      <c r="A905" s="681" t="s">
        <v>2370</v>
      </c>
      <c r="B905" s="693" t="s">
        <v>3474</v>
      </c>
      <c r="C905" s="672" t="s">
        <v>897</v>
      </c>
      <c r="D905" s="673">
        <v>38037</v>
      </c>
      <c r="E905" s="674">
        <v>3</v>
      </c>
      <c r="F905" s="675">
        <v>0.33</v>
      </c>
      <c r="G905" s="676">
        <v>1</v>
      </c>
      <c r="H905" s="929">
        <v>0</v>
      </c>
      <c r="I905" s="929">
        <v>0</v>
      </c>
      <c r="J905" s="689">
        <f t="shared" si="15"/>
        <v>1</v>
      </c>
    </row>
    <row r="906" spans="1:10" ht="12.75" customHeight="1" x14ac:dyDescent="0.2">
      <c r="A906" s="681" t="s">
        <v>2370</v>
      </c>
      <c r="B906" s="693" t="s">
        <v>3475</v>
      </c>
      <c r="C906" s="672" t="s">
        <v>894</v>
      </c>
      <c r="D906" s="673">
        <v>39498</v>
      </c>
      <c r="E906" s="674">
        <v>3</v>
      </c>
      <c r="F906" s="675">
        <v>0.33</v>
      </c>
      <c r="G906" s="676">
        <v>1</v>
      </c>
      <c r="H906" s="929">
        <v>0</v>
      </c>
      <c r="I906" s="929">
        <v>0</v>
      </c>
      <c r="J906" s="689">
        <f t="shared" si="15"/>
        <v>1</v>
      </c>
    </row>
    <row r="907" spans="1:10" ht="12.75" customHeight="1" x14ac:dyDescent="0.2">
      <c r="A907" s="681" t="s">
        <v>2370</v>
      </c>
      <c r="B907" s="693" t="s">
        <v>3476</v>
      </c>
      <c r="C907" s="672" t="s">
        <v>894</v>
      </c>
      <c r="D907" s="673">
        <v>39498</v>
      </c>
      <c r="E907" s="674">
        <v>3</v>
      </c>
      <c r="F907" s="675">
        <v>0.33</v>
      </c>
      <c r="G907" s="676">
        <v>1</v>
      </c>
      <c r="H907" s="929">
        <v>0</v>
      </c>
      <c r="I907" s="929">
        <v>0</v>
      </c>
      <c r="J907" s="689">
        <f t="shared" si="15"/>
        <v>1</v>
      </c>
    </row>
    <row r="908" spans="1:10" ht="12.75" customHeight="1" x14ac:dyDescent="0.2">
      <c r="A908" s="681" t="s">
        <v>2370</v>
      </c>
      <c r="B908" s="693" t="s">
        <v>3477</v>
      </c>
      <c r="C908" s="672" t="s">
        <v>894</v>
      </c>
      <c r="D908" s="673">
        <v>39498</v>
      </c>
      <c r="E908" s="674">
        <v>3</v>
      </c>
      <c r="F908" s="675">
        <v>0.33</v>
      </c>
      <c r="G908" s="676">
        <v>1</v>
      </c>
      <c r="H908" s="929">
        <v>0</v>
      </c>
      <c r="I908" s="929">
        <v>0</v>
      </c>
      <c r="J908" s="689">
        <f t="shared" si="15"/>
        <v>1</v>
      </c>
    </row>
    <row r="909" spans="1:10" ht="12.75" customHeight="1" x14ac:dyDescent="0.2">
      <c r="A909" s="681" t="s">
        <v>2370</v>
      </c>
      <c r="B909" s="693" t="s">
        <v>3478</v>
      </c>
      <c r="C909" s="672" t="s">
        <v>889</v>
      </c>
      <c r="D909" s="673">
        <v>39498</v>
      </c>
      <c r="E909" s="674">
        <v>3</v>
      </c>
      <c r="F909" s="675">
        <v>0.33</v>
      </c>
      <c r="G909" s="676">
        <v>1</v>
      </c>
      <c r="H909" s="929">
        <v>0</v>
      </c>
      <c r="I909" s="929">
        <v>0</v>
      </c>
      <c r="J909" s="689">
        <f t="shared" si="15"/>
        <v>1</v>
      </c>
    </row>
    <row r="910" spans="1:10" ht="12.75" customHeight="1" x14ac:dyDescent="0.2">
      <c r="A910" s="681" t="s">
        <v>2370</v>
      </c>
      <c r="B910" s="693" t="s">
        <v>3479</v>
      </c>
      <c r="C910" s="672" t="s">
        <v>889</v>
      </c>
      <c r="D910" s="673">
        <v>38768</v>
      </c>
      <c r="E910" s="674">
        <v>3</v>
      </c>
      <c r="F910" s="675">
        <v>0.33</v>
      </c>
      <c r="G910" s="676">
        <v>1</v>
      </c>
      <c r="H910" s="929">
        <v>0</v>
      </c>
      <c r="I910" s="929">
        <v>0</v>
      </c>
      <c r="J910" s="689">
        <f t="shared" si="15"/>
        <v>1</v>
      </c>
    </row>
    <row r="911" spans="1:10" ht="12.75" customHeight="1" x14ac:dyDescent="0.2">
      <c r="A911" s="681" t="s">
        <v>2370</v>
      </c>
      <c r="B911" s="693" t="s">
        <v>3480</v>
      </c>
      <c r="C911" s="672" t="s">
        <v>889</v>
      </c>
      <c r="D911" s="673">
        <v>39498</v>
      </c>
      <c r="E911" s="674">
        <v>3</v>
      </c>
      <c r="F911" s="675">
        <v>0.33</v>
      </c>
      <c r="G911" s="676">
        <v>1</v>
      </c>
      <c r="H911" s="929">
        <v>0</v>
      </c>
      <c r="I911" s="929">
        <v>0</v>
      </c>
      <c r="J911" s="689">
        <f t="shared" si="15"/>
        <v>1</v>
      </c>
    </row>
    <row r="912" spans="1:10" ht="12.75" customHeight="1" x14ac:dyDescent="0.2">
      <c r="A912" s="681" t="s">
        <v>2370</v>
      </c>
      <c r="B912" s="693" t="s">
        <v>3481</v>
      </c>
      <c r="C912" s="672" t="s">
        <v>889</v>
      </c>
      <c r="D912" s="673">
        <v>39498</v>
      </c>
      <c r="E912" s="674">
        <v>3</v>
      </c>
      <c r="F912" s="675">
        <v>0.33</v>
      </c>
      <c r="G912" s="676">
        <v>1</v>
      </c>
      <c r="H912" s="929">
        <v>0</v>
      </c>
      <c r="I912" s="929">
        <v>0</v>
      </c>
      <c r="J912" s="689">
        <f t="shared" si="15"/>
        <v>1</v>
      </c>
    </row>
    <row r="913" spans="1:10" ht="12.75" customHeight="1" x14ac:dyDescent="0.2">
      <c r="A913" s="681" t="s">
        <v>2370</v>
      </c>
      <c r="B913" s="693" t="s">
        <v>3482</v>
      </c>
      <c r="C913" s="672" t="s">
        <v>889</v>
      </c>
      <c r="D913" s="673">
        <v>39498</v>
      </c>
      <c r="E913" s="674">
        <v>3</v>
      </c>
      <c r="F913" s="675">
        <v>0.33</v>
      </c>
      <c r="G913" s="676">
        <v>1</v>
      </c>
      <c r="H913" s="929">
        <v>0</v>
      </c>
      <c r="I913" s="929">
        <v>0</v>
      </c>
      <c r="J913" s="689">
        <f t="shared" si="15"/>
        <v>1</v>
      </c>
    </row>
    <row r="914" spans="1:10" ht="12.75" customHeight="1" x14ac:dyDescent="0.2">
      <c r="A914" s="681" t="s">
        <v>2370</v>
      </c>
      <c r="B914" s="693" t="s">
        <v>3483</v>
      </c>
      <c r="C914" s="672" t="s">
        <v>889</v>
      </c>
      <c r="D914" s="673">
        <v>39498</v>
      </c>
      <c r="E914" s="674">
        <v>3</v>
      </c>
      <c r="F914" s="675">
        <v>0.33</v>
      </c>
      <c r="G914" s="676">
        <v>1</v>
      </c>
      <c r="H914" s="929">
        <v>0</v>
      </c>
      <c r="I914" s="929">
        <v>0</v>
      </c>
      <c r="J914" s="689">
        <f t="shared" si="15"/>
        <v>1</v>
      </c>
    </row>
    <row r="915" spans="1:10" ht="12.75" customHeight="1" x14ac:dyDescent="0.2">
      <c r="A915" s="681" t="s">
        <v>2370</v>
      </c>
      <c r="B915" s="693" t="s">
        <v>3484</v>
      </c>
      <c r="C915" s="672" t="s">
        <v>736</v>
      </c>
      <c r="D915" s="673">
        <v>39498</v>
      </c>
      <c r="E915" s="674">
        <v>3</v>
      </c>
      <c r="F915" s="675">
        <v>0.33</v>
      </c>
      <c r="G915" s="676">
        <v>1</v>
      </c>
      <c r="H915" s="929">
        <v>0</v>
      </c>
      <c r="I915" s="929">
        <v>0</v>
      </c>
      <c r="J915" s="689">
        <f t="shared" si="15"/>
        <v>1</v>
      </c>
    </row>
    <row r="916" spans="1:10" ht="12.75" customHeight="1" x14ac:dyDescent="0.2">
      <c r="A916" s="681" t="s">
        <v>2370</v>
      </c>
      <c r="B916" s="693" t="s">
        <v>3485</v>
      </c>
      <c r="C916" s="672" t="s">
        <v>897</v>
      </c>
      <c r="D916" s="673">
        <v>39864</v>
      </c>
      <c r="E916" s="674">
        <v>3</v>
      </c>
      <c r="F916" s="675">
        <v>0.33</v>
      </c>
      <c r="G916" s="676">
        <v>1</v>
      </c>
      <c r="H916" s="929">
        <v>0</v>
      </c>
      <c r="I916" s="929">
        <v>0</v>
      </c>
      <c r="J916" s="689">
        <f t="shared" si="15"/>
        <v>1</v>
      </c>
    </row>
    <row r="917" spans="1:10" ht="12.75" customHeight="1" x14ac:dyDescent="0.2">
      <c r="A917" s="681" t="s">
        <v>2370</v>
      </c>
      <c r="B917" s="693" t="s">
        <v>3486</v>
      </c>
      <c r="C917" s="672" t="s">
        <v>897</v>
      </c>
      <c r="D917" s="673">
        <v>39864</v>
      </c>
      <c r="E917" s="674">
        <v>3</v>
      </c>
      <c r="F917" s="675">
        <v>0.33</v>
      </c>
      <c r="G917" s="676">
        <v>1</v>
      </c>
      <c r="H917" s="929">
        <v>0</v>
      </c>
      <c r="I917" s="929">
        <v>0</v>
      </c>
      <c r="J917" s="689">
        <f t="shared" si="15"/>
        <v>1</v>
      </c>
    </row>
    <row r="918" spans="1:10" ht="12.75" customHeight="1" x14ac:dyDescent="0.2">
      <c r="A918" s="681" t="s">
        <v>2370</v>
      </c>
      <c r="B918" s="693" t="s">
        <v>3487</v>
      </c>
      <c r="C918" s="672" t="s">
        <v>897</v>
      </c>
      <c r="D918" s="673">
        <v>39864</v>
      </c>
      <c r="E918" s="674">
        <v>3</v>
      </c>
      <c r="F918" s="675">
        <v>0.33</v>
      </c>
      <c r="G918" s="676">
        <v>1</v>
      </c>
      <c r="H918" s="929">
        <v>0</v>
      </c>
      <c r="I918" s="929">
        <v>0</v>
      </c>
      <c r="J918" s="689">
        <f t="shared" si="15"/>
        <v>1</v>
      </c>
    </row>
    <row r="919" spans="1:10" ht="12.75" customHeight="1" x14ac:dyDescent="0.2">
      <c r="A919" s="681" t="s">
        <v>2370</v>
      </c>
      <c r="B919" s="693" t="s">
        <v>3488</v>
      </c>
      <c r="C919" s="672" t="s">
        <v>894</v>
      </c>
      <c r="D919" s="673">
        <v>39498</v>
      </c>
      <c r="E919" s="674">
        <v>3</v>
      </c>
      <c r="F919" s="675">
        <v>0.33</v>
      </c>
      <c r="G919" s="676">
        <v>1</v>
      </c>
      <c r="H919" s="929">
        <v>0</v>
      </c>
      <c r="I919" s="929">
        <v>0</v>
      </c>
      <c r="J919" s="689">
        <f t="shared" si="15"/>
        <v>1</v>
      </c>
    </row>
    <row r="920" spans="1:10" ht="12.75" customHeight="1" x14ac:dyDescent="0.2">
      <c r="A920" s="681" t="s">
        <v>2370</v>
      </c>
      <c r="B920" s="693" t="s">
        <v>3489</v>
      </c>
      <c r="C920" s="672" t="s">
        <v>894</v>
      </c>
      <c r="D920" s="673">
        <v>39498</v>
      </c>
      <c r="E920" s="674">
        <v>3</v>
      </c>
      <c r="F920" s="675">
        <v>0.33</v>
      </c>
      <c r="G920" s="676">
        <v>1</v>
      </c>
      <c r="H920" s="929">
        <v>0</v>
      </c>
      <c r="I920" s="929">
        <v>0</v>
      </c>
      <c r="J920" s="689">
        <f t="shared" si="15"/>
        <v>1</v>
      </c>
    </row>
    <row r="921" spans="1:10" ht="12.75" customHeight="1" x14ac:dyDescent="0.2">
      <c r="A921" s="681" t="s">
        <v>2370</v>
      </c>
      <c r="B921" s="693" t="s">
        <v>3490</v>
      </c>
      <c r="C921" s="672" t="s">
        <v>894</v>
      </c>
      <c r="D921" s="673">
        <v>39498</v>
      </c>
      <c r="E921" s="674">
        <v>3</v>
      </c>
      <c r="F921" s="675">
        <v>0.33</v>
      </c>
      <c r="G921" s="676">
        <v>1</v>
      </c>
      <c r="H921" s="929">
        <v>0</v>
      </c>
      <c r="I921" s="929">
        <v>0</v>
      </c>
      <c r="J921" s="689">
        <f t="shared" si="15"/>
        <v>1</v>
      </c>
    </row>
    <row r="922" spans="1:10" ht="12.75" customHeight="1" x14ac:dyDescent="0.2">
      <c r="A922" s="681" t="s">
        <v>2370</v>
      </c>
      <c r="B922" s="693" t="s">
        <v>3491</v>
      </c>
      <c r="C922" s="672" t="s">
        <v>889</v>
      </c>
      <c r="D922" s="673">
        <v>39498</v>
      </c>
      <c r="E922" s="674">
        <v>3</v>
      </c>
      <c r="F922" s="675">
        <v>0.33</v>
      </c>
      <c r="G922" s="676">
        <v>1</v>
      </c>
      <c r="H922" s="929">
        <v>0</v>
      </c>
      <c r="I922" s="929">
        <v>0</v>
      </c>
      <c r="J922" s="689">
        <f t="shared" si="15"/>
        <v>1</v>
      </c>
    </row>
    <row r="923" spans="1:10" ht="12.75" customHeight="1" x14ac:dyDescent="0.2">
      <c r="A923" s="681" t="s">
        <v>2370</v>
      </c>
      <c r="B923" s="693" t="s">
        <v>3492</v>
      </c>
      <c r="C923" s="672" t="s">
        <v>889</v>
      </c>
      <c r="D923" s="673">
        <v>39498</v>
      </c>
      <c r="E923" s="674">
        <v>3</v>
      </c>
      <c r="F923" s="675">
        <v>0.33</v>
      </c>
      <c r="G923" s="676">
        <v>1</v>
      </c>
      <c r="H923" s="929">
        <v>0</v>
      </c>
      <c r="I923" s="929">
        <v>0</v>
      </c>
      <c r="J923" s="689">
        <f t="shared" si="15"/>
        <v>1</v>
      </c>
    </row>
    <row r="924" spans="1:10" ht="12.75" customHeight="1" x14ac:dyDescent="0.2">
      <c r="A924" s="681" t="s">
        <v>2370</v>
      </c>
      <c r="B924" s="693" t="s">
        <v>3493</v>
      </c>
      <c r="C924" s="672" t="s">
        <v>889</v>
      </c>
      <c r="D924" s="673">
        <v>39498</v>
      </c>
      <c r="E924" s="674">
        <v>3</v>
      </c>
      <c r="F924" s="675">
        <v>0.33</v>
      </c>
      <c r="G924" s="676">
        <v>1</v>
      </c>
      <c r="H924" s="929">
        <v>0</v>
      </c>
      <c r="I924" s="929">
        <v>0</v>
      </c>
      <c r="J924" s="689">
        <f t="shared" si="15"/>
        <v>1</v>
      </c>
    </row>
    <row r="925" spans="1:10" ht="12.75" customHeight="1" x14ac:dyDescent="0.2">
      <c r="A925" s="681" t="s">
        <v>2370</v>
      </c>
      <c r="B925" s="693" t="s">
        <v>3494</v>
      </c>
      <c r="C925" s="672" t="s">
        <v>889</v>
      </c>
      <c r="D925" s="673">
        <v>39498</v>
      </c>
      <c r="E925" s="674">
        <v>3</v>
      </c>
      <c r="F925" s="675">
        <v>0.33</v>
      </c>
      <c r="G925" s="676">
        <v>1</v>
      </c>
      <c r="H925" s="929">
        <v>0</v>
      </c>
      <c r="I925" s="929">
        <v>0</v>
      </c>
      <c r="J925" s="689">
        <f t="shared" si="15"/>
        <v>1</v>
      </c>
    </row>
    <row r="926" spans="1:10" ht="12.75" customHeight="1" x14ac:dyDescent="0.2">
      <c r="A926" s="681" t="s">
        <v>2370</v>
      </c>
      <c r="B926" s="693" t="s">
        <v>3495</v>
      </c>
      <c r="C926" s="672" t="s">
        <v>889</v>
      </c>
      <c r="D926" s="673">
        <v>39864</v>
      </c>
      <c r="E926" s="674">
        <v>3</v>
      </c>
      <c r="F926" s="675">
        <v>0.33</v>
      </c>
      <c r="G926" s="676">
        <v>1</v>
      </c>
      <c r="H926" s="929">
        <v>0</v>
      </c>
      <c r="I926" s="929">
        <v>0</v>
      </c>
      <c r="J926" s="689">
        <f t="shared" si="15"/>
        <v>1</v>
      </c>
    </row>
    <row r="927" spans="1:10" ht="12.75" customHeight="1" x14ac:dyDescent="0.2">
      <c r="A927" s="681" t="s">
        <v>2370</v>
      </c>
      <c r="B927" s="693" t="s">
        <v>3496</v>
      </c>
      <c r="C927" s="672" t="s">
        <v>889</v>
      </c>
      <c r="D927" s="673">
        <v>39498</v>
      </c>
      <c r="E927" s="674">
        <v>3</v>
      </c>
      <c r="F927" s="675">
        <v>0.33</v>
      </c>
      <c r="G927" s="676">
        <v>1</v>
      </c>
      <c r="H927" s="929">
        <v>0</v>
      </c>
      <c r="I927" s="929">
        <v>0</v>
      </c>
      <c r="J927" s="689">
        <f t="shared" si="15"/>
        <v>1</v>
      </c>
    </row>
    <row r="928" spans="1:10" ht="12.75" customHeight="1" x14ac:dyDescent="0.2">
      <c r="A928" s="681" t="s">
        <v>2370</v>
      </c>
      <c r="B928" s="693" t="s">
        <v>3497</v>
      </c>
      <c r="C928" s="672" t="s">
        <v>889</v>
      </c>
      <c r="D928" s="673">
        <v>39498</v>
      </c>
      <c r="E928" s="674">
        <v>3</v>
      </c>
      <c r="F928" s="675">
        <v>0.33</v>
      </c>
      <c r="G928" s="676">
        <v>1</v>
      </c>
      <c r="H928" s="929">
        <v>0</v>
      </c>
      <c r="I928" s="929">
        <v>0</v>
      </c>
      <c r="J928" s="689">
        <f t="shared" si="15"/>
        <v>1</v>
      </c>
    </row>
    <row r="929" spans="1:10" ht="12.75" customHeight="1" x14ac:dyDescent="0.2">
      <c r="A929" s="681" t="s">
        <v>2370</v>
      </c>
      <c r="B929" s="693" t="s">
        <v>3498</v>
      </c>
      <c r="C929" s="672" t="s">
        <v>736</v>
      </c>
      <c r="D929" s="673">
        <v>39498</v>
      </c>
      <c r="E929" s="674">
        <v>3</v>
      </c>
      <c r="F929" s="675">
        <v>0.33</v>
      </c>
      <c r="G929" s="676">
        <v>1</v>
      </c>
      <c r="H929" s="929">
        <v>0</v>
      </c>
      <c r="I929" s="929">
        <v>0</v>
      </c>
      <c r="J929" s="689">
        <f t="shared" si="15"/>
        <v>1</v>
      </c>
    </row>
    <row r="930" spans="1:10" ht="12.75" customHeight="1" x14ac:dyDescent="0.2">
      <c r="A930" s="681" t="s">
        <v>2370</v>
      </c>
      <c r="B930" s="693" t="s">
        <v>3499</v>
      </c>
      <c r="C930" s="672" t="s">
        <v>736</v>
      </c>
      <c r="D930" s="673">
        <v>39864</v>
      </c>
      <c r="E930" s="674">
        <v>3</v>
      </c>
      <c r="F930" s="675">
        <v>0.33</v>
      </c>
      <c r="G930" s="676">
        <v>1</v>
      </c>
      <c r="H930" s="929">
        <v>0</v>
      </c>
      <c r="I930" s="929">
        <v>0</v>
      </c>
      <c r="J930" s="689">
        <f t="shared" si="15"/>
        <v>1</v>
      </c>
    </row>
    <row r="931" spans="1:10" ht="12.75" customHeight="1" x14ac:dyDescent="0.2">
      <c r="A931" s="681" t="s">
        <v>2370</v>
      </c>
      <c r="B931" s="693" t="s">
        <v>3500</v>
      </c>
      <c r="C931" s="672" t="s">
        <v>893</v>
      </c>
      <c r="D931" s="673">
        <v>39864</v>
      </c>
      <c r="E931" s="674">
        <v>3</v>
      </c>
      <c r="F931" s="675">
        <v>0.33</v>
      </c>
      <c r="G931" s="676">
        <v>1</v>
      </c>
      <c r="H931" s="929">
        <v>0</v>
      </c>
      <c r="I931" s="929">
        <v>0</v>
      </c>
      <c r="J931" s="689">
        <f t="shared" si="15"/>
        <v>1</v>
      </c>
    </row>
    <row r="932" spans="1:10" ht="12.75" customHeight="1" x14ac:dyDescent="0.2">
      <c r="A932" s="681" t="s">
        <v>2370</v>
      </c>
      <c r="B932" s="693" t="s">
        <v>3501</v>
      </c>
      <c r="C932" s="672" t="s">
        <v>894</v>
      </c>
      <c r="D932" s="673">
        <v>39864</v>
      </c>
      <c r="E932" s="674">
        <v>3</v>
      </c>
      <c r="F932" s="675">
        <v>0.33</v>
      </c>
      <c r="G932" s="676">
        <v>1</v>
      </c>
      <c r="H932" s="929">
        <v>0</v>
      </c>
      <c r="I932" s="929">
        <v>0</v>
      </c>
      <c r="J932" s="689">
        <f t="shared" si="15"/>
        <v>1</v>
      </c>
    </row>
    <row r="933" spans="1:10" ht="12.75" customHeight="1" x14ac:dyDescent="0.2">
      <c r="A933" s="681" t="s">
        <v>2370</v>
      </c>
      <c r="B933" s="693" t="s">
        <v>3502</v>
      </c>
      <c r="C933" s="672" t="s">
        <v>893</v>
      </c>
      <c r="D933" s="673">
        <v>39498</v>
      </c>
      <c r="E933" s="674">
        <v>3</v>
      </c>
      <c r="F933" s="675">
        <v>0.33</v>
      </c>
      <c r="G933" s="676">
        <v>1</v>
      </c>
      <c r="H933" s="929">
        <v>0</v>
      </c>
      <c r="I933" s="929">
        <v>0</v>
      </c>
      <c r="J933" s="689">
        <f t="shared" si="15"/>
        <v>1</v>
      </c>
    </row>
    <row r="934" spans="1:10" ht="12.75" customHeight="1" x14ac:dyDescent="0.2">
      <c r="A934" s="681" t="s">
        <v>2370</v>
      </c>
      <c r="B934" s="693" t="s">
        <v>3503</v>
      </c>
      <c r="C934" s="672" t="s">
        <v>889</v>
      </c>
      <c r="D934" s="673">
        <v>39498</v>
      </c>
      <c r="E934" s="674">
        <v>3</v>
      </c>
      <c r="F934" s="675">
        <v>0.33</v>
      </c>
      <c r="G934" s="676">
        <v>1</v>
      </c>
      <c r="H934" s="929">
        <v>0</v>
      </c>
      <c r="I934" s="929">
        <v>0</v>
      </c>
      <c r="J934" s="689">
        <f t="shared" si="15"/>
        <v>1</v>
      </c>
    </row>
    <row r="935" spans="1:10" ht="12.75" customHeight="1" x14ac:dyDescent="0.2">
      <c r="A935" s="681" t="s">
        <v>2370</v>
      </c>
      <c r="B935" s="693" t="s">
        <v>3504</v>
      </c>
      <c r="C935" s="672" t="s">
        <v>907</v>
      </c>
      <c r="D935" s="673">
        <v>36576</v>
      </c>
      <c r="E935" s="674">
        <v>3</v>
      </c>
      <c r="F935" s="675">
        <v>0.33</v>
      </c>
      <c r="G935" s="676">
        <v>1</v>
      </c>
      <c r="H935" s="929">
        <v>0</v>
      </c>
      <c r="I935" s="929">
        <v>0</v>
      </c>
      <c r="J935" s="689">
        <f t="shared" si="15"/>
        <v>1</v>
      </c>
    </row>
    <row r="936" spans="1:10" ht="12.75" customHeight="1" x14ac:dyDescent="0.2">
      <c r="A936" s="681" t="s">
        <v>2370</v>
      </c>
      <c r="B936" s="693" t="s">
        <v>3505</v>
      </c>
      <c r="C936" s="672" t="s">
        <v>907</v>
      </c>
      <c r="D936" s="673">
        <v>36576</v>
      </c>
      <c r="E936" s="674">
        <v>3</v>
      </c>
      <c r="F936" s="675">
        <v>0.33</v>
      </c>
      <c r="G936" s="676">
        <v>1</v>
      </c>
      <c r="H936" s="929">
        <v>0</v>
      </c>
      <c r="I936" s="929">
        <v>0</v>
      </c>
      <c r="J936" s="689">
        <f t="shared" si="15"/>
        <v>1</v>
      </c>
    </row>
    <row r="937" spans="1:10" ht="12.75" customHeight="1" x14ac:dyDescent="0.2">
      <c r="A937" s="681" t="s">
        <v>2370</v>
      </c>
      <c r="B937" s="693" t="s">
        <v>3506</v>
      </c>
      <c r="C937" s="672" t="s">
        <v>897</v>
      </c>
      <c r="D937" s="673">
        <v>36576</v>
      </c>
      <c r="E937" s="674">
        <v>3</v>
      </c>
      <c r="F937" s="675">
        <v>0.33</v>
      </c>
      <c r="G937" s="676">
        <v>1</v>
      </c>
      <c r="H937" s="929">
        <v>0</v>
      </c>
      <c r="I937" s="929">
        <v>0</v>
      </c>
      <c r="J937" s="689">
        <f t="shared" si="15"/>
        <v>1</v>
      </c>
    </row>
    <row r="938" spans="1:10" ht="12.75" customHeight="1" x14ac:dyDescent="0.2">
      <c r="A938" s="681" t="s">
        <v>2370</v>
      </c>
      <c r="B938" s="693" t="s">
        <v>3507</v>
      </c>
      <c r="C938" s="672" t="s">
        <v>897</v>
      </c>
      <c r="D938" s="673">
        <v>40594</v>
      </c>
      <c r="E938" s="674">
        <v>3</v>
      </c>
      <c r="F938" s="675">
        <v>0.33</v>
      </c>
      <c r="G938" s="676">
        <v>1</v>
      </c>
      <c r="H938" s="929">
        <v>0</v>
      </c>
      <c r="I938" s="929">
        <v>0</v>
      </c>
      <c r="J938" s="689">
        <f t="shared" si="15"/>
        <v>1</v>
      </c>
    </row>
    <row r="939" spans="1:10" ht="12.75" customHeight="1" x14ac:dyDescent="0.2">
      <c r="A939" s="681" t="s">
        <v>2370</v>
      </c>
      <c r="B939" s="693" t="s">
        <v>3508</v>
      </c>
      <c r="C939" s="672" t="s">
        <v>897</v>
      </c>
      <c r="D939" s="673">
        <v>40594</v>
      </c>
      <c r="E939" s="674">
        <v>3</v>
      </c>
      <c r="F939" s="675">
        <v>0.33</v>
      </c>
      <c r="G939" s="676">
        <v>1</v>
      </c>
      <c r="H939" s="929">
        <v>0</v>
      </c>
      <c r="I939" s="929">
        <v>0</v>
      </c>
      <c r="J939" s="689">
        <f t="shared" si="15"/>
        <v>1</v>
      </c>
    </row>
    <row r="940" spans="1:10" ht="12.75" customHeight="1" x14ac:dyDescent="0.2">
      <c r="A940" s="681" t="s">
        <v>2370</v>
      </c>
      <c r="B940" s="693" t="s">
        <v>3509</v>
      </c>
      <c r="C940" s="672" t="s">
        <v>897</v>
      </c>
      <c r="D940" s="673">
        <v>40594</v>
      </c>
      <c r="E940" s="674">
        <v>3</v>
      </c>
      <c r="F940" s="675">
        <v>0.33</v>
      </c>
      <c r="G940" s="676">
        <v>1</v>
      </c>
      <c r="H940" s="929">
        <v>0</v>
      </c>
      <c r="I940" s="929">
        <v>0</v>
      </c>
      <c r="J940" s="689">
        <f t="shared" si="15"/>
        <v>1</v>
      </c>
    </row>
    <row r="941" spans="1:10" ht="12.75" customHeight="1" x14ac:dyDescent="0.2">
      <c r="A941" s="681" t="s">
        <v>2370</v>
      </c>
      <c r="B941" s="693" t="s">
        <v>3510</v>
      </c>
      <c r="C941" s="672" t="s">
        <v>893</v>
      </c>
      <c r="D941" s="673">
        <v>36576</v>
      </c>
      <c r="E941" s="674">
        <v>3</v>
      </c>
      <c r="F941" s="675">
        <v>0.33</v>
      </c>
      <c r="G941" s="676">
        <v>1</v>
      </c>
      <c r="H941" s="929">
        <v>0</v>
      </c>
      <c r="I941" s="929">
        <v>0</v>
      </c>
      <c r="J941" s="689">
        <f t="shared" si="15"/>
        <v>1</v>
      </c>
    </row>
    <row r="942" spans="1:10" ht="12.75" customHeight="1" x14ac:dyDescent="0.2">
      <c r="A942" s="681" t="s">
        <v>2370</v>
      </c>
      <c r="B942" s="693" t="s">
        <v>3511</v>
      </c>
      <c r="C942" s="672" t="s">
        <v>893</v>
      </c>
      <c r="D942" s="673">
        <v>39498</v>
      </c>
      <c r="E942" s="674">
        <v>3</v>
      </c>
      <c r="F942" s="675">
        <v>0.33</v>
      </c>
      <c r="G942" s="676">
        <v>1</v>
      </c>
      <c r="H942" s="929">
        <v>0</v>
      </c>
      <c r="I942" s="929">
        <v>0</v>
      </c>
      <c r="J942" s="689">
        <f t="shared" si="15"/>
        <v>1</v>
      </c>
    </row>
    <row r="943" spans="1:10" ht="12.75" customHeight="1" x14ac:dyDescent="0.2">
      <c r="A943" s="681" t="s">
        <v>2370</v>
      </c>
      <c r="B943" s="693" t="s">
        <v>3512</v>
      </c>
      <c r="C943" s="672" t="s">
        <v>889</v>
      </c>
      <c r="D943" s="673">
        <v>39133</v>
      </c>
      <c r="E943" s="674">
        <v>3</v>
      </c>
      <c r="F943" s="675">
        <v>0.33</v>
      </c>
      <c r="G943" s="676">
        <v>1</v>
      </c>
      <c r="H943" s="929">
        <v>0</v>
      </c>
      <c r="I943" s="929">
        <v>0</v>
      </c>
      <c r="J943" s="689">
        <f t="shared" si="15"/>
        <v>1</v>
      </c>
    </row>
    <row r="944" spans="1:10" ht="12.75" customHeight="1" x14ac:dyDescent="0.2">
      <c r="A944" s="681" t="s">
        <v>2370</v>
      </c>
      <c r="B944" s="693" t="s">
        <v>3513</v>
      </c>
      <c r="C944" s="672" t="s">
        <v>890</v>
      </c>
      <c r="D944" s="673">
        <v>39498</v>
      </c>
      <c r="E944" s="674">
        <v>3</v>
      </c>
      <c r="F944" s="675">
        <v>0.33</v>
      </c>
      <c r="G944" s="676">
        <v>1</v>
      </c>
      <c r="H944" s="929">
        <v>0</v>
      </c>
      <c r="I944" s="929">
        <v>0</v>
      </c>
      <c r="J944" s="689">
        <f t="shared" si="15"/>
        <v>1</v>
      </c>
    </row>
    <row r="945" spans="1:10" ht="12.75" customHeight="1" x14ac:dyDescent="0.2">
      <c r="A945" s="681" t="s">
        <v>2370</v>
      </c>
      <c r="B945" s="693" t="s">
        <v>3514</v>
      </c>
      <c r="C945" s="672" t="s">
        <v>890</v>
      </c>
      <c r="D945" s="673">
        <v>39498</v>
      </c>
      <c r="E945" s="674">
        <v>3</v>
      </c>
      <c r="F945" s="675">
        <v>0.33</v>
      </c>
      <c r="G945" s="676">
        <v>1</v>
      </c>
      <c r="H945" s="929">
        <v>0</v>
      </c>
      <c r="I945" s="929">
        <v>0</v>
      </c>
      <c r="J945" s="689">
        <f t="shared" si="15"/>
        <v>1</v>
      </c>
    </row>
    <row r="946" spans="1:10" ht="12.75" customHeight="1" x14ac:dyDescent="0.2">
      <c r="A946" s="681" t="s">
        <v>2370</v>
      </c>
      <c r="B946" s="693" t="s">
        <v>3515</v>
      </c>
      <c r="C946" s="672" t="s">
        <v>890</v>
      </c>
      <c r="D946" s="673">
        <v>39498</v>
      </c>
      <c r="E946" s="674">
        <v>3</v>
      </c>
      <c r="F946" s="675">
        <v>0.33</v>
      </c>
      <c r="G946" s="676">
        <v>1</v>
      </c>
      <c r="H946" s="929">
        <v>0</v>
      </c>
      <c r="I946" s="929">
        <v>0</v>
      </c>
      <c r="J946" s="689">
        <f t="shared" si="15"/>
        <v>1</v>
      </c>
    </row>
    <row r="947" spans="1:10" ht="12.75" customHeight="1" x14ac:dyDescent="0.2">
      <c r="A947" s="681" t="s">
        <v>2370</v>
      </c>
      <c r="B947" s="693" t="s">
        <v>3516</v>
      </c>
      <c r="C947" s="672" t="s">
        <v>890</v>
      </c>
      <c r="D947" s="673">
        <v>39498</v>
      </c>
      <c r="E947" s="674">
        <v>3</v>
      </c>
      <c r="F947" s="675">
        <v>0.33</v>
      </c>
      <c r="G947" s="676">
        <v>1</v>
      </c>
      <c r="H947" s="929">
        <v>0</v>
      </c>
      <c r="I947" s="929">
        <v>0</v>
      </c>
      <c r="J947" s="689">
        <f t="shared" si="15"/>
        <v>1</v>
      </c>
    </row>
    <row r="948" spans="1:10" ht="12.75" customHeight="1" x14ac:dyDescent="0.2">
      <c r="A948" s="681" t="s">
        <v>2370</v>
      </c>
      <c r="B948" s="693" t="s">
        <v>3517</v>
      </c>
      <c r="C948" s="672" t="s">
        <v>890</v>
      </c>
      <c r="D948" s="673">
        <v>38037</v>
      </c>
      <c r="E948" s="674">
        <v>3</v>
      </c>
      <c r="F948" s="675">
        <v>0.33</v>
      </c>
      <c r="G948" s="676">
        <v>1</v>
      </c>
      <c r="H948" s="929">
        <v>0</v>
      </c>
      <c r="I948" s="929">
        <v>0</v>
      </c>
      <c r="J948" s="689">
        <f t="shared" si="15"/>
        <v>1</v>
      </c>
    </row>
    <row r="949" spans="1:10" ht="12.75" customHeight="1" x14ac:dyDescent="0.2">
      <c r="A949" s="681" t="s">
        <v>2370</v>
      </c>
      <c r="B949" s="693" t="s">
        <v>3518</v>
      </c>
      <c r="C949" s="672" t="s">
        <v>890</v>
      </c>
      <c r="D949" s="673">
        <v>39498</v>
      </c>
      <c r="E949" s="674">
        <v>3</v>
      </c>
      <c r="F949" s="675">
        <v>0.33</v>
      </c>
      <c r="G949" s="676">
        <v>1</v>
      </c>
      <c r="H949" s="929">
        <v>0</v>
      </c>
      <c r="I949" s="929">
        <v>0</v>
      </c>
      <c r="J949" s="689">
        <f t="shared" si="15"/>
        <v>1</v>
      </c>
    </row>
    <row r="950" spans="1:10" ht="12.75" customHeight="1" x14ac:dyDescent="0.2">
      <c r="A950" s="681" t="s">
        <v>2370</v>
      </c>
      <c r="B950" s="693" t="s">
        <v>3519</v>
      </c>
      <c r="C950" s="672" t="s">
        <v>890</v>
      </c>
      <c r="D950" s="673">
        <v>39498</v>
      </c>
      <c r="E950" s="674">
        <v>3</v>
      </c>
      <c r="F950" s="675">
        <v>0.33</v>
      </c>
      <c r="G950" s="676">
        <v>1</v>
      </c>
      <c r="H950" s="929">
        <v>0</v>
      </c>
      <c r="I950" s="929">
        <v>0</v>
      </c>
      <c r="J950" s="689">
        <f t="shared" si="15"/>
        <v>1</v>
      </c>
    </row>
    <row r="951" spans="1:10" ht="12.75" customHeight="1" x14ac:dyDescent="0.2">
      <c r="A951" s="681" t="s">
        <v>2370</v>
      </c>
      <c r="B951" s="693" t="s">
        <v>3520</v>
      </c>
      <c r="C951" s="672" t="s">
        <v>736</v>
      </c>
      <c r="D951" s="673">
        <v>39498</v>
      </c>
      <c r="E951" s="674">
        <v>3</v>
      </c>
      <c r="F951" s="675">
        <v>0.33</v>
      </c>
      <c r="G951" s="676">
        <v>1</v>
      </c>
      <c r="H951" s="929">
        <v>0</v>
      </c>
      <c r="I951" s="929">
        <v>0</v>
      </c>
      <c r="J951" s="689">
        <f t="shared" si="15"/>
        <v>1</v>
      </c>
    </row>
    <row r="952" spans="1:10" ht="12.75" customHeight="1" x14ac:dyDescent="0.2">
      <c r="A952" s="681" t="s">
        <v>2370</v>
      </c>
      <c r="B952" s="693" t="s">
        <v>3521</v>
      </c>
      <c r="C952" s="672" t="s">
        <v>893</v>
      </c>
      <c r="D952" s="673">
        <v>39498</v>
      </c>
      <c r="E952" s="674">
        <v>3</v>
      </c>
      <c r="F952" s="675">
        <v>0.33</v>
      </c>
      <c r="G952" s="676">
        <v>1</v>
      </c>
      <c r="H952" s="929">
        <v>0</v>
      </c>
      <c r="I952" s="929">
        <v>0</v>
      </c>
      <c r="J952" s="689">
        <f t="shared" si="15"/>
        <v>1</v>
      </c>
    </row>
    <row r="953" spans="1:10" ht="12.75" customHeight="1" x14ac:dyDescent="0.2">
      <c r="A953" s="681" t="s">
        <v>2370</v>
      </c>
      <c r="B953" s="693" t="s">
        <v>3522</v>
      </c>
      <c r="C953" s="672" t="s">
        <v>893</v>
      </c>
      <c r="D953" s="673">
        <v>39498</v>
      </c>
      <c r="E953" s="674">
        <v>3</v>
      </c>
      <c r="F953" s="675">
        <v>0.33</v>
      </c>
      <c r="G953" s="676">
        <v>1</v>
      </c>
      <c r="H953" s="929">
        <v>0</v>
      </c>
      <c r="I953" s="929">
        <v>0</v>
      </c>
      <c r="J953" s="689">
        <f t="shared" si="15"/>
        <v>1</v>
      </c>
    </row>
    <row r="954" spans="1:10" ht="12.75" customHeight="1" x14ac:dyDescent="0.2">
      <c r="A954" s="681" t="s">
        <v>2370</v>
      </c>
      <c r="B954" s="693" t="s">
        <v>3523</v>
      </c>
      <c r="C954" s="672" t="s">
        <v>897</v>
      </c>
      <c r="D954" s="673">
        <v>39133</v>
      </c>
      <c r="E954" s="674">
        <v>3</v>
      </c>
      <c r="F954" s="675">
        <v>0.33</v>
      </c>
      <c r="G954" s="676">
        <v>1</v>
      </c>
      <c r="H954" s="929">
        <v>0</v>
      </c>
      <c r="I954" s="929">
        <v>0</v>
      </c>
      <c r="J954" s="689">
        <f t="shared" si="15"/>
        <v>1</v>
      </c>
    </row>
    <row r="955" spans="1:10" ht="12.75" customHeight="1" x14ac:dyDescent="0.2">
      <c r="A955" s="681" t="s">
        <v>2370</v>
      </c>
      <c r="B955" s="693" t="s">
        <v>3524</v>
      </c>
      <c r="C955" s="672" t="s">
        <v>736</v>
      </c>
      <c r="D955" s="673">
        <v>39133</v>
      </c>
      <c r="E955" s="674">
        <v>3</v>
      </c>
      <c r="F955" s="675">
        <v>0.33</v>
      </c>
      <c r="G955" s="676">
        <v>1</v>
      </c>
      <c r="H955" s="929">
        <v>0</v>
      </c>
      <c r="I955" s="929">
        <v>0</v>
      </c>
      <c r="J955" s="689">
        <f t="shared" si="15"/>
        <v>1</v>
      </c>
    </row>
    <row r="956" spans="1:10" ht="12.75" customHeight="1" x14ac:dyDescent="0.2">
      <c r="A956" s="681" t="s">
        <v>2370</v>
      </c>
      <c r="B956" s="693" t="s">
        <v>3525</v>
      </c>
      <c r="C956" s="672" t="s">
        <v>897</v>
      </c>
      <c r="D956" s="673">
        <v>40594</v>
      </c>
      <c r="E956" s="674">
        <v>3</v>
      </c>
      <c r="F956" s="675">
        <v>0.33</v>
      </c>
      <c r="G956" s="676">
        <v>1</v>
      </c>
      <c r="H956" s="929">
        <v>0</v>
      </c>
      <c r="I956" s="929">
        <v>0</v>
      </c>
      <c r="J956" s="689">
        <f t="shared" si="15"/>
        <v>1</v>
      </c>
    </row>
    <row r="957" spans="1:10" ht="12.75" customHeight="1" x14ac:dyDescent="0.2">
      <c r="A957" s="681" t="s">
        <v>2370</v>
      </c>
      <c r="B957" s="693" t="s">
        <v>3526</v>
      </c>
      <c r="C957" s="672" t="s">
        <v>889</v>
      </c>
      <c r="D957" s="673">
        <v>38768</v>
      </c>
      <c r="E957" s="674">
        <v>3</v>
      </c>
      <c r="F957" s="675">
        <v>0.33</v>
      </c>
      <c r="G957" s="676">
        <v>1</v>
      </c>
      <c r="H957" s="929">
        <v>0</v>
      </c>
      <c r="I957" s="929">
        <v>0</v>
      </c>
      <c r="J957" s="689">
        <f t="shared" si="15"/>
        <v>1</v>
      </c>
    </row>
    <row r="958" spans="1:10" ht="12.75" customHeight="1" x14ac:dyDescent="0.2">
      <c r="A958" s="681" t="s">
        <v>2370</v>
      </c>
      <c r="B958" s="693" t="s">
        <v>3527</v>
      </c>
      <c r="C958" s="672" t="s">
        <v>890</v>
      </c>
      <c r="D958" s="673">
        <v>39498</v>
      </c>
      <c r="E958" s="674">
        <v>3</v>
      </c>
      <c r="F958" s="675">
        <v>0.33</v>
      </c>
      <c r="G958" s="676">
        <v>1</v>
      </c>
      <c r="H958" s="929">
        <v>0</v>
      </c>
      <c r="I958" s="929">
        <v>0</v>
      </c>
      <c r="J958" s="689">
        <f t="shared" si="15"/>
        <v>1</v>
      </c>
    </row>
    <row r="959" spans="1:10" ht="12.75" customHeight="1" x14ac:dyDescent="0.2">
      <c r="A959" s="681" t="s">
        <v>2370</v>
      </c>
      <c r="B959" s="693" t="s">
        <v>3528</v>
      </c>
      <c r="C959" s="672" t="s">
        <v>736</v>
      </c>
      <c r="D959" s="673">
        <v>39498</v>
      </c>
      <c r="E959" s="674">
        <v>3</v>
      </c>
      <c r="F959" s="675">
        <v>0.33</v>
      </c>
      <c r="G959" s="676">
        <v>1</v>
      </c>
      <c r="H959" s="929">
        <v>0</v>
      </c>
      <c r="I959" s="929">
        <v>0</v>
      </c>
      <c r="J959" s="689">
        <f t="shared" si="15"/>
        <v>1</v>
      </c>
    </row>
    <row r="960" spans="1:10" ht="12.75" customHeight="1" x14ac:dyDescent="0.2">
      <c r="A960" s="681" t="s">
        <v>2370</v>
      </c>
      <c r="B960" s="693" t="s">
        <v>3529</v>
      </c>
      <c r="C960" s="672" t="s">
        <v>889</v>
      </c>
      <c r="D960" s="673">
        <v>39498</v>
      </c>
      <c r="E960" s="674">
        <v>3</v>
      </c>
      <c r="F960" s="675">
        <v>0.33</v>
      </c>
      <c r="G960" s="676">
        <v>1</v>
      </c>
      <c r="H960" s="929">
        <v>0</v>
      </c>
      <c r="I960" s="929">
        <v>0</v>
      </c>
      <c r="J960" s="689">
        <f t="shared" si="15"/>
        <v>1</v>
      </c>
    </row>
    <row r="961" spans="1:10" ht="12.75" customHeight="1" x14ac:dyDescent="0.2">
      <c r="A961" s="681" t="s">
        <v>2370</v>
      </c>
      <c r="B961" s="693" t="s">
        <v>3530</v>
      </c>
      <c r="C961" s="672" t="s">
        <v>736</v>
      </c>
      <c r="D961" s="673">
        <v>37672</v>
      </c>
      <c r="E961" s="674">
        <v>3</v>
      </c>
      <c r="F961" s="675">
        <v>0.33</v>
      </c>
      <c r="G961" s="676">
        <v>1</v>
      </c>
      <c r="H961" s="929">
        <v>0</v>
      </c>
      <c r="I961" s="929">
        <v>0</v>
      </c>
      <c r="J961" s="689">
        <f t="shared" si="15"/>
        <v>1</v>
      </c>
    </row>
    <row r="962" spans="1:10" ht="12.75" customHeight="1" x14ac:dyDescent="0.2">
      <c r="A962" s="681" t="s">
        <v>2370</v>
      </c>
      <c r="B962" s="693" t="s">
        <v>3531</v>
      </c>
      <c r="C962" s="672" t="s">
        <v>893</v>
      </c>
      <c r="D962" s="673">
        <v>39498</v>
      </c>
      <c r="E962" s="674">
        <v>3</v>
      </c>
      <c r="F962" s="675">
        <v>0.33</v>
      </c>
      <c r="G962" s="676">
        <v>1</v>
      </c>
      <c r="H962" s="929">
        <v>0</v>
      </c>
      <c r="I962" s="929">
        <v>0</v>
      </c>
      <c r="J962" s="689">
        <f t="shared" si="15"/>
        <v>1</v>
      </c>
    </row>
    <row r="963" spans="1:10" ht="12.75" customHeight="1" x14ac:dyDescent="0.2">
      <c r="A963" s="681" t="s">
        <v>2370</v>
      </c>
      <c r="B963" s="693" t="s">
        <v>3532</v>
      </c>
      <c r="C963" s="672" t="s">
        <v>894</v>
      </c>
      <c r="D963" s="673">
        <v>38768</v>
      </c>
      <c r="E963" s="674">
        <v>3</v>
      </c>
      <c r="F963" s="675">
        <v>0.33</v>
      </c>
      <c r="G963" s="676">
        <v>1</v>
      </c>
      <c r="H963" s="929">
        <v>0</v>
      </c>
      <c r="I963" s="929">
        <v>0</v>
      </c>
      <c r="J963" s="689">
        <f t="shared" si="15"/>
        <v>1</v>
      </c>
    </row>
    <row r="964" spans="1:10" ht="12.75" customHeight="1" x14ac:dyDescent="0.2">
      <c r="A964" s="681" t="s">
        <v>2370</v>
      </c>
      <c r="B964" s="693" t="s">
        <v>3533</v>
      </c>
      <c r="C964" s="672" t="s">
        <v>889</v>
      </c>
      <c r="D964" s="673">
        <v>39133</v>
      </c>
      <c r="E964" s="674">
        <v>3</v>
      </c>
      <c r="F964" s="675">
        <v>0.33</v>
      </c>
      <c r="G964" s="676">
        <v>1</v>
      </c>
      <c r="H964" s="929">
        <v>0</v>
      </c>
      <c r="I964" s="929">
        <v>0</v>
      </c>
      <c r="J964" s="689">
        <f t="shared" si="15"/>
        <v>1</v>
      </c>
    </row>
    <row r="965" spans="1:10" ht="12.75" customHeight="1" x14ac:dyDescent="0.2">
      <c r="A965" s="681" t="s">
        <v>2370</v>
      </c>
      <c r="B965" s="693" t="s">
        <v>3534</v>
      </c>
      <c r="C965" s="672" t="s">
        <v>890</v>
      </c>
      <c r="D965" s="673">
        <v>39498</v>
      </c>
      <c r="E965" s="674">
        <v>3</v>
      </c>
      <c r="F965" s="675">
        <v>0.33</v>
      </c>
      <c r="G965" s="676">
        <v>1</v>
      </c>
      <c r="H965" s="929">
        <v>0</v>
      </c>
      <c r="I965" s="929">
        <v>0</v>
      </c>
      <c r="J965" s="689">
        <f t="shared" si="15"/>
        <v>1</v>
      </c>
    </row>
    <row r="966" spans="1:10" ht="12.75" customHeight="1" x14ac:dyDescent="0.2">
      <c r="A966" s="681" t="s">
        <v>2370</v>
      </c>
      <c r="B966" s="693" t="s">
        <v>3535</v>
      </c>
      <c r="C966" s="672" t="s">
        <v>890</v>
      </c>
      <c r="D966" s="673">
        <v>39498</v>
      </c>
      <c r="E966" s="674">
        <v>3</v>
      </c>
      <c r="F966" s="675">
        <v>0.33</v>
      </c>
      <c r="G966" s="676">
        <v>1</v>
      </c>
      <c r="H966" s="929">
        <v>0</v>
      </c>
      <c r="I966" s="929">
        <v>0</v>
      </c>
      <c r="J966" s="689">
        <f t="shared" si="15"/>
        <v>1</v>
      </c>
    </row>
    <row r="967" spans="1:10" ht="12.75" customHeight="1" x14ac:dyDescent="0.2">
      <c r="A967" s="681" t="s">
        <v>2370</v>
      </c>
      <c r="B967" s="693" t="s">
        <v>3536</v>
      </c>
      <c r="C967" s="672" t="s">
        <v>890</v>
      </c>
      <c r="D967" s="673">
        <v>39498</v>
      </c>
      <c r="E967" s="674">
        <v>3</v>
      </c>
      <c r="F967" s="675">
        <v>0.33</v>
      </c>
      <c r="G967" s="676">
        <v>1</v>
      </c>
      <c r="H967" s="929">
        <v>0</v>
      </c>
      <c r="I967" s="929">
        <v>0</v>
      </c>
      <c r="J967" s="689">
        <f t="shared" ref="J967:J1030" si="16">G967-I967</f>
        <v>1</v>
      </c>
    </row>
    <row r="968" spans="1:10" ht="12.75" customHeight="1" x14ac:dyDescent="0.2">
      <c r="A968" s="681" t="s">
        <v>2370</v>
      </c>
      <c r="B968" s="693" t="s">
        <v>3537</v>
      </c>
      <c r="C968" s="672" t="s">
        <v>889</v>
      </c>
      <c r="D968" s="673">
        <v>39498</v>
      </c>
      <c r="E968" s="674">
        <v>3</v>
      </c>
      <c r="F968" s="675">
        <v>0.33</v>
      </c>
      <c r="G968" s="676">
        <v>1</v>
      </c>
      <c r="H968" s="929">
        <v>0</v>
      </c>
      <c r="I968" s="929">
        <v>0</v>
      </c>
      <c r="J968" s="689">
        <f t="shared" si="16"/>
        <v>1</v>
      </c>
    </row>
    <row r="969" spans="1:10" ht="12.75" customHeight="1" x14ac:dyDescent="0.2">
      <c r="A969" s="681" t="s">
        <v>2370</v>
      </c>
      <c r="B969" s="693" t="s">
        <v>3538</v>
      </c>
      <c r="C969" s="672" t="s">
        <v>736</v>
      </c>
      <c r="D969" s="673">
        <v>39498</v>
      </c>
      <c r="E969" s="674">
        <v>3</v>
      </c>
      <c r="F969" s="675">
        <v>0.33</v>
      </c>
      <c r="G969" s="676">
        <v>1</v>
      </c>
      <c r="H969" s="929">
        <v>0</v>
      </c>
      <c r="I969" s="929">
        <v>0</v>
      </c>
      <c r="J969" s="689">
        <f t="shared" si="16"/>
        <v>1</v>
      </c>
    </row>
    <row r="970" spans="1:10" ht="12.75" customHeight="1" x14ac:dyDescent="0.2">
      <c r="A970" s="681" t="s">
        <v>2370</v>
      </c>
      <c r="B970" s="693" t="s">
        <v>3539</v>
      </c>
      <c r="C970" s="672" t="s">
        <v>736</v>
      </c>
      <c r="D970" s="673">
        <v>38768</v>
      </c>
      <c r="E970" s="674">
        <v>3</v>
      </c>
      <c r="F970" s="675">
        <v>0.33</v>
      </c>
      <c r="G970" s="676">
        <v>1</v>
      </c>
      <c r="H970" s="929">
        <v>0</v>
      </c>
      <c r="I970" s="929">
        <v>0</v>
      </c>
      <c r="J970" s="689">
        <f t="shared" si="16"/>
        <v>1</v>
      </c>
    </row>
    <row r="971" spans="1:10" ht="12.75" customHeight="1" x14ac:dyDescent="0.2">
      <c r="A971" s="681" t="s">
        <v>2370</v>
      </c>
      <c r="B971" s="693" t="s">
        <v>3540</v>
      </c>
      <c r="C971" s="672" t="s">
        <v>890</v>
      </c>
      <c r="D971" s="673">
        <v>39498</v>
      </c>
      <c r="E971" s="674">
        <v>3</v>
      </c>
      <c r="F971" s="675">
        <v>0.33</v>
      </c>
      <c r="G971" s="676">
        <v>1</v>
      </c>
      <c r="H971" s="929">
        <v>0</v>
      </c>
      <c r="I971" s="929">
        <v>0</v>
      </c>
      <c r="J971" s="689">
        <f t="shared" si="16"/>
        <v>1</v>
      </c>
    </row>
    <row r="972" spans="1:10" ht="12.75" customHeight="1" x14ac:dyDescent="0.2">
      <c r="A972" s="681" t="s">
        <v>2370</v>
      </c>
      <c r="B972" s="693" t="s">
        <v>3541</v>
      </c>
      <c r="C972" s="672" t="s">
        <v>893</v>
      </c>
      <c r="D972" s="673">
        <v>38768</v>
      </c>
      <c r="E972" s="674">
        <v>3</v>
      </c>
      <c r="F972" s="675">
        <v>0.33</v>
      </c>
      <c r="G972" s="676">
        <v>1</v>
      </c>
      <c r="H972" s="929">
        <v>0</v>
      </c>
      <c r="I972" s="929">
        <v>0</v>
      </c>
      <c r="J972" s="689">
        <f t="shared" si="16"/>
        <v>1</v>
      </c>
    </row>
    <row r="973" spans="1:10" ht="12.75" customHeight="1" x14ac:dyDescent="0.2">
      <c r="A973" s="681" t="s">
        <v>2370</v>
      </c>
      <c r="B973" s="693" t="s">
        <v>3542</v>
      </c>
      <c r="C973" s="672" t="s">
        <v>894</v>
      </c>
      <c r="D973" s="673">
        <v>39133</v>
      </c>
      <c r="E973" s="674">
        <v>3</v>
      </c>
      <c r="F973" s="675">
        <v>0.33</v>
      </c>
      <c r="G973" s="676">
        <v>1</v>
      </c>
      <c r="H973" s="929">
        <v>0</v>
      </c>
      <c r="I973" s="929">
        <v>0</v>
      </c>
      <c r="J973" s="689">
        <f t="shared" si="16"/>
        <v>1</v>
      </c>
    </row>
    <row r="974" spans="1:10" ht="12.75" customHeight="1" x14ac:dyDescent="0.2">
      <c r="A974" s="681" t="s">
        <v>2370</v>
      </c>
      <c r="B974" s="693" t="s">
        <v>3543</v>
      </c>
      <c r="C974" s="672" t="s">
        <v>892</v>
      </c>
      <c r="D974" s="673">
        <v>38403</v>
      </c>
      <c r="E974" s="674">
        <v>3</v>
      </c>
      <c r="F974" s="675">
        <v>0.33</v>
      </c>
      <c r="G974" s="676">
        <v>1</v>
      </c>
      <c r="H974" s="929">
        <v>0</v>
      </c>
      <c r="I974" s="929">
        <v>0</v>
      </c>
      <c r="J974" s="689">
        <f t="shared" si="16"/>
        <v>1</v>
      </c>
    </row>
    <row r="975" spans="1:10" ht="12.75" customHeight="1" x14ac:dyDescent="0.2">
      <c r="A975" s="681" t="s">
        <v>2370</v>
      </c>
      <c r="B975" s="693" t="s">
        <v>3544</v>
      </c>
      <c r="C975" s="672" t="s">
        <v>893</v>
      </c>
      <c r="D975" s="673">
        <v>39498</v>
      </c>
      <c r="E975" s="674">
        <v>3</v>
      </c>
      <c r="F975" s="675">
        <v>0.33</v>
      </c>
      <c r="G975" s="676">
        <v>1</v>
      </c>
      <c r="H975" s="929">
        <v>0</v>
      </c>
      <c r="I975" s="929">
        <v>0</v>
      </c>
      <c r="J975" s="689">
        <f t="shared" si="16"/>
        <v>1</v>
      </c>
    </row>
    <row r="976" spans="1:10" ht="12.75" customHeight="1" x14ac:dyDescent="0.2">
      <c r="A976" s="681" t="s">
        <v>2370</v>
      </c>
      <c r="B976" s="693" t="s">
        <v>3545</v>
      </c>
      <c r="C976" s="672" t="s">
        <v>894</v>
      </c>
      <c r="D976" s="673">
        <v>39133</v>
      </c>
      <c r="E976" s="674">
        <v>3</v>
      </c>
      <c r="F976" s="675">
        <v>0.33</v>
      </c>
      <c r="G976" s="676">
        <v>1</v>
      </c>
      <c r="H976" s="929">
        <v>0</v>
      </c>
      <c r="I976" s="929">
        <v>0</v>
      </c>
      <c r="J976" s="689">
        <f t="shared" si="16"/>
        <v>1</v>
      </c>
    </row>
    <row r="977" spans="1:10" ht="12.75" customHeight="1" x14ac:dyDescent="0.2">
      <c r="A977" s="681" t="s">
        <v>2370</v>
      </c>
      <c r="B977" s="693" t="s">
        <v>3546</v>
      </c>
      <c r="C977" s="672" t="s">
        <v>890</v>
      </c>
      <c r="D977" s="673">
        <v>39498</v>
      </c>
      <c r="E977" s="674">
        <v>3</v>
      </c>
      <c r="F977" s="675">
        <v>0.33</v>
      </c>
      <c r="G977" s="676">
        <v>1</v>
      </c>
      <c r="H977" s="929">
        <v>0</v>
      </c>
      <c r="I977" s="929">
        <v>0</v>
      </c>
      <c r="J977" s="689">
        <f t="shared" si="16"/>
        <v>1</v>
      </c>
    </row>
    <row r="978" spans="1:10" ht="12.75" customHeight="1" x14ac:dyDescent="0.2">
      <c r="A978" s="681" t="s">
        <v>2370</v>
      </c>
      <c r="B978" s="693" t="s">
        <v>3547</v>
      </c>
      <c r="C978" s="672" t="s">
        <v>736</v>
      </c>
      <c r="D978" s="673">
        <v>37307</v>
      </c>
      <c r="E978" s="674">
        <v>3</v>
      </c>
      <c r="F978" s="675">
        <v>0.33</v>
      </c>
      <c r="G978" s="676">
        <v>1</v>
      </c>
      <c r="H978" s="929">
        <v>0</v>
      </c>
      <c r="I978" s="929">
        <v>0</v>
      </c>
      <c r="J978" s="689">
        <f t="shared" si="16"/>
        <v>1</v>
      </c>
    </row>
    <row r="979" spans="1:10" ht="12.75" customHeight="1" x14ac:dyDescent="0.2">
      <c r="A979" s="681" t="s">
        <v>2370</v>
      </c>
      <c r="B979" s="693" t="s">
        <v>3548</v>
      </c>
      <c r="C979" s="672" t="s">
        <v>894</v>
      </c>
      <c r="D979" s="673">
        <v>39498</v>
      </c>
      <c r="E979" s="674">
        <v>3</v>
      </c>
      <c r="F979" s="675">
        <v>0.33</v>
      </c>
      <c r="G979" s="676">
        <v>1</v>
      </c>
      <c r="H979" s="929">
        <v>0</v>
      </c>
      <c r="I979" s="929">
        <v>0</v>
      </c>
      <c r="J979" s="689">
        <f t="shared" si="16"/>
        <v>1</v>
      </c>
    </row>
    <row r="980" spans="1:10" ht="12.75" customHeight="1" x14ac:dyDescent="0.2">
      <c r="A980" s="681" t="s">
        <v>2370</v>
      </c>
      <c r="B980" s="693" t="s">
        <v>3549</v>
      </c>
      <c r="C980" s="672" t="s">
        <v>893</v>
      </c>
      <c r="D980" s="673">
        <v>39498</v>
      </c>
      <c r="E980" s="674">
        <v>3</v>
      </c>
      <c r="F980" s="675">
        <v>0.33</v>
      </c>
      <c r="G980" s="676">
        <v>1</v>
      </c>
      <c r="H980" s="929">
        <v>0</v>
      </c>
      <c r="I980" s="929">
        <v>0</v>
      </c>
      <c r="J980" s="689">
        <f t="shared" si="16"/>
        <v>1</v>
      </c>
    </row>
    <row r="981" spans="1:10" ht="12.75" customHeight="1" x14ac:dyDescent="0.2">
      <c r="A981" s="681" t="s">
        <v>2370</v>
      </c>
      <c r="B981" s="693" t="s">
        <v>3550</v>
      </c>
      <c r="C981" s="672" t="s">
        <v>893</v>
      </c>
      <c r="D981" s="673">
        <v>39498</v>
      </c>
      <c r="E981" s="674">
        <v>3</v>
      </c>
      <c r="F981" s="675">
        <v>0.33</v>
      </c>
      <c r="G981" s="676">
        <v>1</v>
      </c>
      <c r="H981" s="929">
        <v>0</v>
      </c>
      <c r="I981" s="929">
        <v>0</v>
      </c>
      <c r="J981" s="689">
        <f t="shared" si="16"/>
        <v>1</v>
      </c>
    </row>
    <row r="982" spans="1:10" ht="12.75" customHeight="1" x14ac:dyDescent="0.2">
      <c r="A982" s="681" t="s">
        <v>2370</v>
      </c>
      <c r="B982" s="693" t="s">
        <v>3551</v>
      </c>
      <c r="C982" s="672" t="s">
        <v>889</v>
      </c>
      <c r="D982" s="673">
        <v>39498</v>
      </c>
      <c r="E982" s="674">
        <v>3</v>
      </c>
      <c r="F982" s="675">
        <v>0.33</v>
      </c>
      <c r="G982" s="676">
        <v>1</v>
      </c>
      <c r="H982" s="929">
        <v>0</v>
      </c>
      <c r="I982" s="929">
        <v>0</v>
      </c>
      <c r="J982" s="689">
        <f t="shared" si="16"/>
        <v>1</v>
      </c>
    </row>
    <row r="983" spans="1:10" ht="12.75" customHeight="1" x14ac:dyDescent="0.2">
      <c r="A983" s="681" t="s">
        <v>2370</v>
      </c>
      <c r="B983" s="693" t="s">
        <v>3552</v>
      </c>
      <c r="C983" s="672" t="s">
        <v>736</v>
      </c>
      <c r="D983" s="673">
        <v>39498</v>
      </c>
      <c r="E983" s="674">
        <v>3</v>
      </c>
      <c r="F983" s="675">
        <v>0.33</v>
      </c>
      <c r="G983" s="676">
        <v>1</v>
      </c>
      <c r="H983" s="929">
        <v>0</v>
      </c>
      <c r="I983" s="929">
        <v>0</v>
      </c>
      <c r="J983" s="689">
        <f t="shared" si="16"/>
        <v>1</v>
      </c>
    </row>
    <row r="984" spans="1:10" ht="12.75" customHeight="1" x14ac:dyDescent="0.2">
      <c r="A984" s="681" t="s">
        <v>2370</v>
      </c>
      <c r="B984" s="693" t="s">
        <v>3553</v>
      </c>
      <c r="C984" s="672" t="s">
        <v>893</v>
      </c>
      <c r="D984" s="673">
        <v>39498</v>
      </c>
      <c r="E984" s="674">
        <v>3</v>
      </c>
      <c r="F984" s="675">
        <v>0.33</v>
      </c>
      <c r="G984" s="676">
        <v>1</v>
      </c>
      <c r="H984" s="929">
        <v>0</v>
      </c>
      <c r="I984" s="929">
        <v>0</v>
      </c>
      <c r="J984" s="689">
        <f t="shared" si="16"/>
        <v>1</v>
      </c>
    </row>
    <row r="985" spans="1:10" ht="12.75" customHeight="1" x14ac:dyDescent="0.2">
      <c r="A985" s="681" t="s">
        <v>2370</v>
      </c>
      <c r="B985" s="693" t="s">
        <v>3554</v>
      </c>
      <c r="C985" s="672" t="s">
        <v>894</v>
      </c>
      <c r="D985" s="673">
        <v>39498</v>
      </c>
      <c r="E985" s="674">
        <v>3</v>
      </c>
      <c r="F985" s="675">
        <v>0.33</v>
      </c>
      <c r="G985" s="676">
        <v>1</v>
      </c>
      <c r="H985" s="929">
        <v>0</v>
      </c>
      <c r="I985" s="929">
        <v>0</v>
      </c>
      <c r="J985" s="689">
        <f t="shared" si="16"/>
        <v>1</v>
      </c>
    </row>
    <row r="986" spans="1:10" ht="12.75" customHeight="1" x14ac:dyDescent="0.2">
      <c r="A986" s="681" t="s">
        <v>2370</v>
      </c>
      <c r="B986" s="693" t="s">
        <v>3555</v>
      </c>
      <c r="C986" s="672" t="s">
        <v>892</v>
      </c>
      <c r="D986" s="673">
        <v>39498</v>
      </c>
      <c r="E986" s="674">
        <v>3</v>
      </c>
      <c r="F986" s="675">
        <v>0.33</v>
      </c>
      <c r="G986" s="676">
        <v>1</v>
      </c>
      <c r="H986" s="929">
        <v>0</v>
      </c>
      <c r="I986" s="929">
        <v>0</v>
      </c>
      <c r="J986" s="689">
        <f t="shared" si="16"/>
        <v>1</v>
      </c>
    </row>
    <row r="987" spans="1:10" ht="12.75" customHeight="1" x14ac:dyDescent="0.2">
      <c r="A987" s="681" t="s">
        <v>2370</v>
      </c>
      <c r="B987" s="693" t="s">
        <v>3556</v>
      </c>
      <c r="C987" s="672" t="s">
        <v>889</v>
      </c>
      <c r="D987" s="673">
        <v>37307</v>
      </c>
      <c r="E987" s="674">
        <v>3</v>
      </c>
      <c r="F987" s="675">
        <v>0.33</v>
      </c>
      <c r="G987" s="676">
        <v>1</v>
      </c>
      <c r="H987" s="929">
        <v>0</v>
      </c>
      <c r="I987" s="929">
        <v>0</v>
      </c>
      <c r="J987" s="689">
        <f t="shared" si="16"/>
        <v>1</v>
      </c>
    </row>
    <row r="988" spans="1:10" ht="12.75" customHeight="1" x14ac:dyDescent="0.2">
      <c r="A988" s="681" t="s">
        <v>2370</v>
      </c>
      <c r="B988" s="693" t="s">
        <v>3557</v>
      </c>
      <c r="C988" s="672" t="s">
        <v>889</v>
      </c>
      <c r="D988" s="673">
        <v>39498</v>
      </c>
      <c r="E988" s="674">
        <v>3</v>
      </c>
      <c r="F988" s="675">
        <v>0.33</v>
      </c>
      <c r="G988" s="676">
        <v>1</v>
      </c>
      <c r="H988" s="929">
        <v>0</v>
      </c>
      <c r="I988" s="929">
        <v>0</v>
      </c>
      <c r="J988" s="689">
        <f t="shared" si="16"/>
        <v>1</v>
      </c>
    </row>
    <row r="989" spans="1:10" ht="12.75" customHeight="1" x14ac:dyDescent="0.2">
      <c r="A989" s="681" t="s">
        <v>2370</v>
      </c>
      <c r="B989" s="693" t="s">
        <v>3558</v>
      </c>
      <c r="C989" s="672" t="s">
        <v>893</v>
      </c>
      <c r="D989" s="673">
        <v>39498</v>
      </c>
      <c r="E989" s="674">
        <v>3</v>
      </c>
      <c r="F989" s="675">
        <v>0.33</v>
      </c>
      <c r="G989" s="676">
        <v>1</v>
      </c>
      <c r="H989" s="929">
        <v>0</v>
      </c>
      <c r="I989" s="929">
        <v>0</v>
      </c>
      <c r="J989" s="689">
        <f t="shared" si="16"/>
        <v>1</v>
      </c>
    </row>
    <row r="990" spans="1:10" ht="12.75" customHeight="1" x14ac:dyDescent="0.2">
      <c r="A990" s="681" t="s">
        <v>2370</v>
      </c>
      <c r="B990" s="693" t="s">
        <v>3559</v>
      </c>
      <c r="C990" s="672" t="s">
        <v>894</v>
      </c>
      <c r="D990" s="673">
        <v>39498</v>
      </c>
      <c r="E990" s="674">
        <v>3</v>
      </c>
      <c r="F990" s="675">
        <v>0.33</v>
      </c>
      <c r="G990" s="676">
        <v>1</v>
      </c>
      <c r="H990" s="929">
        <v>0</v>
      </c>
      <c r="I990" s="929">
        <v>0</v>
      </c>
      <c r="J990" s="689">
        <f t="shared" si="16"/>
        <v>1</v>
      </c>
    </row>
    <row r="991" spans="1:10" ht="12.75" customHeight="1" x14ac:dyDescent="0.2">
      <c r="A991" s="681" t="s">
        <v>2370</v>
      </c>
      <c r="B991" s="693" t="s">
        <v>3560</v>
      </c>
      <c r="C991" s="672" t="s">
        <v>889</v>
      </c>
      <c r="D991" s="673">
        <v>39498</v>
      </c>
      <c r="E991" s="674">
        <v>3</v>
      </c>
      <c r="F991" s="675">
        <v>0.33</v>
      </c>
      <c r="G991" s="676">
        <v>1</v>
      </c>
      <c r="H991" s="929">
        <v>0</v>
      </c>
      <c r="I991" s="929">
        <v>0</v>
      </c>
      <c r="J991" s="689">
        <f t="shared" si="16"/>
        <v>1</v>
      </c>
    </row>
    <row r="992" spans="1:10" ht="12.75" customHeight="1" x14ac:dyDescent="0.2">
      <c r="A992" s="681" t="s">
        <v>2370</v>
      </c>
      <c r="B992" s="693" t="s">
        <v>3561</v>
      </c>
      <c r="C992" s="672" t="s">
        <v>889</v>
      </c>
      <c r="D992" s="673">
        <v>39498</v>
      </c>
      <c r="E992" s="674">
        <v>3</v>
      </c>
      <c r="F992" s="675">
        <v>0.33</v>
      </c>
      <c r="G992" s="676">
        <v>1</v>
      </c>
      <c r="H992" s="929">
        <v>0</v>
      </c>
      <c r="I992" s="929">
        <v>0</v>
      </c>
      <c r="J992" s="689">
        <f t="shared" si="16"/>
        <v>1</v>
      </c>
    </row>
    <row r="993" spans="1:10" ht="12.75" customHeight="1" x14ac:dyDescent="0.2">
      <c r="A993" s="681" t="s">
        <v>2370</v>
      </c>
      <c r="B993" s="693" t="s">
        <v>3562</v>
      </c>
      <c r="C993" s="672" t="s">
        <v>892</v>
      </c>
      <c r="D993" s="673">
        <v>39133</v>
      </c>
      <c r="E993" s="674">
        <v>3</v>
      </c>
      <c r="F993" s="675">
        <v>0.33</v>
      </c>
      <c r="G993" s="676">
        <v>1</v>
      </c>
      <c r="H993" s="929">
        <v>0</v>
      </c>
      <c r="I993" s="929">
        <v>0</v>
      </c>
      <c r="J993" s="689">
        <f t="shared" si="16"/>
        <v>1</v>
      </c>
    </row>
    <row r="994" spans="1:10" ht="12.75" customHeight="1" x14ac:dyDescent="0.2">
      <c r="A994" s="681" t="s">
        <v>2370</v>
      </c>
      <c r="B994" s="693" t="s">
        <v>3563</v>
      </c>
      <c r="C994" s="672" t="s">
        <v>889</v>
      </c>
      <c r="D994" s="673">
        <v>39498</v>
      </c>
      <c r="E994" s="674">
        <v>3</v>
      </c>
      <c r="F994" s="675">
        <v>0.33</v>
      </c>
      <c r="G994" s="676">
        <v>1</v>
      </c>
      <c r="H994" s="929">
        <v>0</v>
      </c>
      <c r="I994" s="929">
        <v>0</v>
      </c>
      <c r="J994" s="689">
        <f t="shared" si="16"/>
        <v>1</v>
      </c>
    </row>
    <row r="995" spans="1:10" ht="12.75" customHeight="1" x14ac:dyDescent="0.2">
      <c r="A995" s="681" t="s">
        <v>2370</v>
      </c>
      <c r="B995" s="693" t="s">
        <v>3564</v>
      </c>
      <c r="C995" s="672" t="s">
        <v>897</v>
      </c>
      <c r="D995" s="673">
        <v>36576</v>
      </c>
      <c r="E995" s="674">
        <v>3</v>
      </c>
      <c r="F995" s="675">
        <v>0.33</v>
      </c>
      <c r="G995" s="676">
        <v>1</v>
      </c>
      <c r="H995" s="929">
        <v>0</v>
      </c>
      <c r="I995" s="929">
        <v>0</v>
      </c>
      <c r="J995" s="689">
        <f t="shared" si="16"/>
        <v>1</v>
      </c>
    </row>
    <row r="996" spans="1:10" ht="12.75" customHeight="1" x14ac:dyDescent="0.2">
      <c r="A996" s="681" t="s">
        <v>2370</v>
      </c>
      <c r="B996" s="693" t="s">
        <v>3565</v>
      </c>
      <c r="C996" s="672" t="s">
        <v>893</v>
      </c>
      <c r="D996" s="673">
        <v>39498</v>
      </c>
      <c r="E996" s="674">
        <v>3</v>
      </c>
      <c r="F996" s="675">
        <v>0.33</v>
      </c>
      <c r="G996" s="676">
        <v>1</v>
      </c>
      <c r="H996" s="929">
        <v>0</v>
      </c>
      <c r="I996" s="929">
        <v>0</v>
      </c>
      <c r="J996" s="689">
        <f t="shared" si="16"/>
        <v>1</v>
      </c>
    </row>
    <row r="997" spans="1:10" ht="12.75" customHeight="1" x14ac:dyDescent="0.2">
      <c r="A997" s="681" t="s">
        <v>2370</v>
      </c>
      <c r="B997" s="693" t="s">
        <v>3566</v>
      </c>
      <c r="C997" s="672" t="s">
        <v>894</v>
      </c>
      <c r="D997" s="673">
        <v>39498</v>
      </c>
      <c r="E997" s="674">
        <v>3</v>
      </c>
      <c r="F997" s="675">
        <v>0.33</v>
      </c>
      <c r="G997" s="676">
        <v>1</v>
      </c>
      <c r="H997" s="929">
        <v>0</v>
      </c>
      <c r="I997" s="929">
        <v>0</v>
      </c>
      <c r="J997" s="689">
        <f t="shared" si="16"/>
        <v>1</v>
      </c>
    </row>
    <row r="998" spans="1:10" ht="12.75" customHeight="1" x14ac:dyDescent="0.2">
      <c r="A998" s="681" t="s">
        <v>2370</v>
      </c>
      <c r="B998" s="693" t="s">
        <v>3567</v>
      </c>
      <c r="C998" s="672" t="s">
        <v>897</v>
      </c>
      <c r="D998" s="673">
        <v>39498</v>
      </c>
      <c r="E998" s="674">
        <v>3</v>
      </c>
      <c r="F998" s="675">
        <v>0.33</v>
      </c>
      <c r="G998" s="676">
        <v>1</v>
      </c>
      <c r="H998" s="929">
        <v>0</v>
      </c>
      <c r="I998" s="929">
        <v>0</v>
      </c>
      <c r="J998" s="689">
        <f t="shared" si="16"/>
        <v>1</v>
      </c>
    </row>
    <row r="999" spans="1:10" ht="12.75" customHeight="1" x14ac:dyDescent="0.2">
      <c r="A999" s="681" t="s">
        <v>2370</v>
      </c>
      <c r="B999" s="693" t="s">
        <v>3568</v>
      </c>
      <c r="C999" s="672" t="s">
        <v>897</v>
      </c>
      <c r="D999" s="673">
        <v>39498</v>
      </c>
      <c r="E999" s="674">
        <v>3</v>
      </c>
      <c r="F999" s="675">
        <v>0.33</v>
      </c>
      <c r="G999" s="676">
        <v>1</v>
      </c>
      <c r="H999" s="929">
        <v>0</v>
      </c>
      <c r="I999" s="929">
        <v>0</v>
      </c>
      <c r="J999" s="689">
        <f t="shared" si="16"/>
        <v>1</v>
      </c>
    </row>
    <row r="1000" spans="1:10" ht="12.75" customHeight="1" x14ac:dyDescent="0.2">
      <c r="A1000" s="681" t="s">
        <v>2370</v>
      </c>
      <c r="B1000" s="693" t="s">
        <v>3569</v>
      </c>
      <c r="C1000" s="672" t="s">
        <v>897</v>
      </c>
      <c r="D1000" s="673">
        <v>39498</v>
      </c>
      <c r="E1000" s="674">
        <v>3</v>
      </c>
      <c r="F1000" s="675">
        <v>0.33</v>
      </c>
      <c r="G1000" s="676">
        <v>1</v>
      </c>
      <c r="H1000" s="929">
        <v>0</v>
      </c>
      <c r="I1000" s="929">
        <v>0</v>
      </c>
      <c r="J1000" s="689">
        <f t="shared" si="16"/>
        <v>1</v>
      </c>
    </row>
    <row r="1001" spans="1:10" ht="12.75" customHeight="1" x14ac:dyDescent="0.2">
      <c r="A1001" s="681" t="s">
        <v>2370</v>
      </c>
      <c r="B1001" s="693" t="s">
        <v>3570</v>
      </c>
      <c r="C1001" s="672" t="s">
        <v>897</v>
      </c>
      <c r="D1001" s="673">
        <v>39498</v>
      </c>
      <c r="E1001" s="674">
        <v>3</v>
      </c>
      <c r="F1001" s="675">
        <v>0.33</v>
      </c>
      <c r="G1001" s="676">
        <v>1</v>
      </c>
      <c r="H1001" s="929">
        <v>0</v>
      </c>
      <c r="I1001" s="929">
        <v>0</v>
      </c>
      <c r="J1001" s="689">
        <f t="shared" si="16"/>
        <v>1</v>
      </c>
    </row>
    <row r="1002" spans="1:10" ht="12.75" customHeight="1" x14ac:dyDescent="0.2">
      <c r="A1002" s="681" t="s">
        <v>2370</v>
      </c>
      <c r="B1002" s="693" t="s">
        <v>3571</v>
      </c>
      <c r="C1002" s="672" t="s">
        <v>736</v>
      </c>
      <c r="D1002" s="673">
        <v>39498</v>
      </c>
      <c r="E1002" s="674">
        <v>3</v>
      </c>
      <c r="F1002" s="675">
        <v>0.33</v>
      </c>
      <c r="G1002" s="676">
        <v>1</v>
      </c>
      <c r="H1002" s="929">
        <v>0</v>
      </c>
      <c r="I1002" s="929">
        <v>0</v>
      </c>
      <c r="J1002" s="689">
        <f t="shared" si="16"/>
        <v>1</v>
      </c>
    </row>
    <row r="1003" spans="1:10" ht="12.75" customHeight="1" x14ac:dyDescent="0.2">
      <c r="A1003" s="681" t="s">
        <v>2370</v>
      </c>
      <c r="B1003" s="693" t="s">
        <v>3572</v>
      </c>
      <c r="C1003" s="672" t="s">
        <v>736</v>
      </c>
      <c r="D1003" s="673">
        <v>39498</v>
      </c>
      <c r="E1003" s="674">
        <v>3</v>
      </c>
      <c r="F1003" s="675">
        <v>0.33</v>
      </c>
      <c r="G1003" s="676">
        <v>1</v>
      </c>
      <c r="H1003" s="929">
        <v>0</v>
      </c>
      <c r="I1003" s="929">
        <v>0</v>
      </c>
      <c r="J1003" s="689">
        <f t="shared" si="16"/>
        <v>1</v>
      </c>
    </row>
    <row r="1004" spans="1:10" ht="12.75" customHeight="1" x14ac:dyDescent="0.2">
      <c r="A1004" s="681" t="s">
        <v>2370</v>
      </c>
      <c r="B1004" s="693" t="s">
        <v>3573</v>
      </c>
      <c r="C1004" s="672" t="s">
        <v>736</v>
      </c>
      <c r="D1004" s="673">
        <v>39498</v>
      </c>
      <c r="E1004" s="674">
        <v>3</v>
      </c>
      <c r="F1004" s="675">
        <v>0.33</v>
      </c>
      <c r="G1004" s="676">
        <v>1</v>
      </c>
      <c r="H1004" s="929">
        <v>0</v>
      </c>
      <c r="I1004" s="929">
        <v>0</v>
      </c>
      <c r="J1004" s="689">
        <f t="shared" si="16"/>
        <v>1</v>
      </c>
    </row>
    <row r="1005" spans="1:10" ht="12.75" customHeight="1" x14ac:dyDescent="0.2">
      <c r="A1005" s="681" t="s">
        <v>2370</v>
      </c>
      <c r="B1005" s="693" t="s">
        <v>3574</v>
      </c>
      <c r="C1005" s="672" t="s">
        <v>736</v>
      </c>
      <c r="D1005" s="673">
        <v>39498</v>
      </c>
      <c r="E1005" s="674">
        <v>3</v>
      </c>
      <c r="F1005" s="675">
        <v>0.33</v>
      </c>
      <c r="G1005" s="676">
        <v>1</v>
      </c>
      <c r="H1005" s="929">
        <v>0</v>
      </c>
      <c r="I1005" s="929">
        <v>0</v>
      </c>
      <c r="J1005" s="689">
        <f t="shared" si="16"/>
        <v>1</v>
      </c>
    </row>
    <row r="1006" spans="1:10" ht="12.75" customHeight="1" x14ac:dyDescent="0.2">
      <c r="A1006" s="681" t="s">
        <v>2370</v>
      </c>
      <c r="B1006" s="693" t="s">
        <v>3575</v>
      </c>
      <c r="C1006" s="672" t="s">
        <v>736</v>
      </c>
      <c r="D1006" s="673">
        <v>39498</v>
      </c>
      <c r="E1006" s="674">
        <v>3</v>
      </c>
      <c r="F1006" s="675">
        <v>0.33</v>
      </c>
      <c r="G1006" s="676">
        <v>1</v>
      </c>
      <c r="H1006" s="929">
        <v>0</v>
      </c>
      <c r="I1006" s="929">
        <v>0</v>
      </c>
      <c r="J1006" s="689">
        <f t="shared" si="16"/>
        <v>1</v>
      </c>
    </row>
    <row r="1007" spans="1:10" ht="12.75" customHeight="1" x14ac:dyDescent="0.2">
      <c r="A1007" s="681" t="s">
        <v>2370</v>
      </c>
      <c r="B1007" s="693" t="s">
        <v>3576</v>
      </c>
      <c r="C1007" s="672" t="s">
        <v>736</v>
      </c>
      <c r="D1007" s="673">
        <v>39498</v>
      </c>
      <c r="E1007" s="674">
        <v>3</v>
      </c>
      <c r="F1007" s="675">
        <v>0.33</v>
      </c>
      <c r="G1007" s="676">
        <v>1</v>
      </c>
      <c r="H1007" s="929">
        <v>0</v>
      </c>
      <c r="I1007" s="929">
        <v>0</v>
      </c>
      <c r="J1007" s="689">
        <f t="shared" si="16"/>
        <v>1</v>
      </c>
    </row>
    <row r="1008" spans="1:10" ht="12.75" customHeight="1" x14ac:dyDescent="0.2">
      <c r="A1008" s="681" t="s">
        <v>2370</v>
      </c>
      <c r="B1008" s="693" t="s">
        <v>3577</v>
      </c>
      <c r="C1008" s="672" t="s">
        <v>893</v>
      </c>
      <c r="D1008" s="673">
        <v>39498</v>
      </c>
      <c r="E1008" s="674">
        <v>3</v>
      </c>
      <c r="F1008" s="675">
        <v>0.33</v>
      </c>
      <c r="G1008" s="676">
        <v>1</v>
      </c>
      <c r="H1008" s="929">
        <v>0</v>
      </c>
      <c r="I1008" s="929">
        <v>0</v>
      </c>
      <c r="J1008" s="689">
        <f t="shared" si="16"/>
        <v>1</v>
      </c>
    </row>
    <row r="1009" spans="1:10" ht="12.75" customHeight="1" x14ac:dyDescent="0.2">
      <c r="A1009" s="681" t="s">
        <v>2370</v>
      </c>
      <c r="B1009" s="693" t="s">
        <v>3578</v>
      </c>
      <c r="C1009" s="672" t="s">
        <v>897</v>
      </c>
      <c r="D1009" s="673">
        <v>39498</v>
      </c>
      <c r="E1009" s="674">
        <v>3</v>
      </c>
      <c r="F1009" s="675">
        <v>0.33</v>
      </c>
      <c r="G1009" s="676">
        <v>1</v>
      </c>
      <c r="H1009" s="929">
        <v>0</v>
      </c>
      <c r="I1009" s="929">
        <v>0</v>
      </c>
      <c r="J1009" s="689">
        <f t="shared" si="16"/>
        <v>1</v>
      </c>
    </row>
    <row r="1010" spans="1:10" ht="12.75" customHeight="1" x14ac:dyDescent="0.2">
      <c r="A1010" s="681" t="s">
        <v>2370</v>
      </c>
      <c r="B1010" s="693" t="s">
        <v>3579</v>
      </c>
      <c r="C1010" s="672" t="s">
        <v>897</v>
      </c>
      <c r="D1010" s="673">
        <v>39498</v>
      </c>
      <c r="E1010" s="674">
        <v>3</v>
      </c>
      <c r="F1010" s="675">
        <v>0.33</v>
      </c>
      <c r="G1010" s="676">
        <v>1</v>
      </c>
      <c r="H1010" s="929">
        <v>0</v>
      </c>
      <c r="I1010" s="929">
        <v>0</v>
      </c>
      <c r="J1010" s="689">
        <f t="shared" si="16"/>
        <v>1</v>
      </c>
    </row>
    <row r="1011" spans="1:10" ht="12.75" customHeight="1" x14ac:dyDescent="0.2">
      <c r="A1011" s="681" t="s">
        <v>2370</v>
      </c>
      <c r="B1011" s="693" t="s">
        <v>3580</v>
      </c>
      <c r="C1011" s="672" t="s">
        <v>894</v>
      </c>
      <c r="D1011" s="673">
        <v>39498</v>
      </c>
      <c r="E1011" s="674">
        <v>3</v>
      </c>
      <c r="F1011" s="675">
        <v>0.33</v>
      </c>
      <c r="G1011" s="676">
        <v>1</v>
      </c>
      <c r="H1011" s="929">
        <v>0</v>
      </c>
      <c r="I1011" s="929">
        <v>0</v>
      </c>
      <c r="J1011" s="689">
        <f t="shared" si="16"/>
        <v>1</v>
      </c>
    </row>
    <row r="1012" spans="1:10" ht="12.75" customHeight="1" x14ac:dyDescent="0.2">
      <c r="A1012" s="681" t="s">
        <v>2370</v>
      </c>
      <c r="B1012" s="693" t="s">
        <v>3581</v>
      </c>
      <c r="C1012" s="672" t="s">
        <v>893</v>
      </c>
      <c r="D1012" s="673">
        <v>39498</v>
      </c>
      <c r="E1012" s="674">
        <v>3</v>
      </c>
      <c r="F1012" s="675">
        <v>0.33</v>
      </c>
      <c r="G1012" s="676">
        <v>1</v>
      </c>
      <c r="H1012" s="929">
        <v>0</v>
      </c>
      <c r="I1012" s="929">
        <v>0</v>
      </c>
      <c r="J1012" s="689">
        <f t="shared" si="16"/>
        <v>1</v>
      </c>
    </row>
    <row r="1013" spans="1:10" ht="12.75" customHeight="1" x14ac:dyDescent="0.2">
      <c r="A1013" s="681" t="s">
        <v>2370</v>
      </c>
      <c r="B1013" s="693" t="s">
        <v>3582</v>
      </c>
      <c r="C1013" s="672" t="s">
        <v>897</v>
      </c>
      <c r="D1013" s="673">
        <v>39498</v>
      </c>
      <c r="E1013" s="674">
        <v>3</v>
      </c>
      <c r="F1013" s="675">
        <v>0.33</v>
      </c>
      <c r="G1013" s="676">
        <v>1</v>
      </c>
      <c r="H1013" s="929">
        <v>0</v>
      </c>
      <c r="I1013" s="929">
        <v>0</v>
      </c>
      <c r="J1013" s="689">
        <f t="shared" si="16"/>
        <v>1</v>
      </c>
    </row>
    <row r="1014" spans="1:10" ht="12.75" customHeight="1" x14ac:dyDescent="0.2">
      <c r="A1014" s="681" t="s">
        <v>2370</v>
      </c>
      <c r="B1014" s="693" t="s">
        <v>3583</v>
      </c>
      <c r="C1014" s="672" t="s">
        <v>892</v>
      </c>
      <c r="D1014" s="673">
        <v>39498</v>
      </c>
      <c r="E1014" s="674">
        <v>3</v>
      </c>
      <c r="F1014" s="675">
        <v>0.33</v>
      </c>
      <c r="G1014" s="676">
        <v>1</v>
      </c>
      <c r="H1014" s="929">
        <v>0</v>
      </c>
      <c r="I1014" s="929">
        <v>0</v>
      </c>
      <c r="J1014" s="689">
        <f t="shared" si="16"/>
        <v>1</v>
      </c>
    </row>
    <row r="1015" spans="1:10" ht="12.75" customHeight="1" x14ac:dyDescent="0.2">
      <c r="A1015" s="681" t="s">
        <v>2370</v>
      </c>
      <c r="B1015" s="693" t="s">
        <v>3584</v>
      </c>
      <c r="C1015" s="672" t="s">
        <v>897</v>
      </c>
      <c r="D1015" s="673">
        <v>39498</v>
      </c>
      <c r="E1015" s="674">
        <v>3</v>
      </c>
      <c r="F1015" s="675">
        <v>0.33</v>
      </c>
      <c r="G1015" s="676">
        <v>1</v>
      </c>
      <c r="H1015" s="929">
        <v>0</v>
      </c>
      <c r="I1015" s="929">
        <v>0</v>
      </c>
      <c r="J1015" s="689">
        <f t="shared" si="16"/>
        <v>1</v>
      </c>
    </row>
    <row r="1016" spans="1:10" ht="12.75" customHeight="1" x14ac:dyDescent="0.2">
      <c r="A1016" s="681" t="s">
        <v>2370</v>
      </c>
      <c r="B1016" s="693" t="s">
        <v>3585</v>
      </c>
      <c r="C1016" s="672" t="s">
        <v>893</v>
      </c>
      <c r="D1016" s="673">
        <v>39498</v>
      </c>
      <c r="E1016" s="674">
        <v>3</v>
      </c>
      <c r="F1016" s="675">
        <v>0.33</v>
      </c>
      <c r="G1016" s="676">
        <v>1</v>
      </c>
      <c r="H1016" s="929">
        <v>0</v>
      </c>
      <c r="I1016" s="929">
        <v>0</v>
      </c>
      <c r="J1016" s="689">
        <f t="shared" si="16"/>
        <v>1</v>
      </c>
    </row>
    <row r="1017" spans="1:10" ht="12.75" customHeight="1" x14ac:dyDescent="0.2">
      <c r="A1017" s="681" t="s">
        <v>2370</v>
      </c>
      <c r="B1017" s="693" t="s">
        <v>3586</v>
      </c>
      <c r="C1017" s="672" t="s">
        <v>892</v>
      </c>
      <c r="D1017" s="673">
        <v>39498</v>
      </c>
      <c r="E1017" s="674">
        <v>3</v>
      </c>
      <c r="F1017" s="675">
        <v>0.33</v>
      </c>
      <c r="G1017" s="676">
        <v>1</v>
      </c>
      <c r="H1017" s="929">
        <v>0</v>
      </c>
      <c r="I1017" s="929">
        <v>0</v>
      </c>
      <c r="J1017" s="689">
        <f t="shared" si="16"/>
        <v>1</v>
      </c>
    </row>
    <row r="1018" spans="1:10" ht="12.75" customHeight="1" x14ac:dyDescent="0.2">
      <c r="A1018" s="681" t="s">
        <v>2370</v>
      </c>
      <c r="B1018" s="693" t="s">
        <v>3587</v>
      </c>
      <c r="C1018" s="672" t="s">
        <v>893</v>
      </c>
      <c r="D1018" s="673">
        <v>39498</v>
      </c>
      <c r="E1018" s="674">
        <v>3</v>
      </c>
      <c r="F1018" s="675">
        <v>0.33</v>
      </c>
      <c r="G1018" s="676">
        <v>1</v>
      </c>
      <c r="H1018" s="929">
        <v>0</v>
      </c>
      <c r="I1018" s="929">
        <v>0</v>
      </c>
      <c r="J1018" s="689">
        <f t="shared" si="16"/>
        <v>1</v>
      </c>
    </row>
    <row r="1019" spans="1:10" ht="12.75" customHeight="1" x14ac:dyDescent="0.2">
      <c r="A1019" s="681" t="s">
        <v>2370</v>
      </c>
      <c r="B1019" s="693" t="s">
        <v>3588</v>
      </c>
      <c r="C1019" s="672" t="s">
        <v>893</v>
      </c>
      <c r="D1019" s="673">
        <v>39498</v>
      </c>
      <c r="E1019" s="674">
        <v>3</v>
      </c>
      <c r="F1019" s="675">
        <v>0.33</v>
      </c>
      <c r="G1019" s="676">
        <v>1</v>
      </c>
      <c r="H1019" s="929">
        <v>0</v>
      </c>
      <c r="I1019" s="929">
        <v>0</v>
      </c>
      <c r="J1019" s="689">
        <f t="shared" si="16"/>
        <v>1</v>
      </c>
    </row>
    <row r="1020" spans="1:10" ht="12.75" customHeight="1" x14ac:dyDescent="0.2">
      <c r="A1020" s="681" t="s">
        <v>2370</v>
      </c>
      <c r="B1020" s="693" t="s">
        <v>3589</v>
      </c>
      <c r="C1020" s="672" t="s">
        <v>897</v>
      </c>
      <c r="D1020" s="673">
        <v>39498</v>
      </c>
      <c r="E1020" s="674">
        <v>3</v>
      </c>
      <c r="F1020" s="675">
        <v>0.33</v>
      </c>
      <c r="G1020" s="676">
        <v>1</v>
      </c>
      <c r="H1020" s="929">
        <v>0</v>
      </c>
      <c r="I1020" s="929">
        <v>0</v>
      </c>
      <c r="J1020" s="689">
        <f t="shared" si="16"/>
        <v>1</v>
      </c>
    </row>
    <row r="1021" spans="1:10" ht="12.75" customHeight="1" x14ac:dyDescent="0.2">
      <c r="A1021" s="681" t="s">
        <v>2370</v>
      </c>
      <c r="B1021" s="693" t="s">
        <v>3590</v>
      </c>
      <c r="C1021" s="672" t="s">
        <v>894</v>
      </c>
      <c r="D1021" s="673">
        <v>39498</v>
      </c>
      <c r="E1021" s="674">
        <v>3</v>
      </c>
      <c r="F1021" s="675">
        <v>0.33</v>
      </c>
      <c r="G1021" s="676">
        <v>1</v>
      </c>
      <c r="H1021" s="929">
        <v>0</v>
      </c>
      <c r="I1021" s="929">
        <v>0</v>
      </c>
      <c r="J1021" s="689">
        <f t="shared" si="16"/>
        <v>1</v>
      </c>
    </row>
    <row r="1022" spans="1:10" ht="12.75" customHeight="1" x14ac:dyDescent="0.2">
      <c r="A1022" s="681" t="s">
        <v>2370</v>
      </c>
      <c r="B1022" s="693" t="s">
        <v>3591</v>
      </c>
      <c r="C1022" s="672" t="s">
        <v>736</v>
      </c>
      <c r="D1022" s="673">
        <v>39498</v>
      </c>
      <c r="E1022" s="674">
        <v>3</v>
      </c>
      <c r="F1022" s="675">
        <v>0.33</v>
      </c>
      <c r="G1022" s="676">
        <v>1</v>
      </c>
      <c r="H1022" s="929">
        <v>0</v>
      </c>
      <c r="I1022" s="929">
        <v>0</v>
      </c>
      <c r="J1022" s="689">
        <f t="shared" si="16"/>
        <v>1</v>
      </c>
    </row>
    <row r="1023" spans="1:10" ht="12.75" customHeight="1" x14ac:dyDescent="0.2">
      <c r="A1023" s="681" t="s">
        <v>2370</v>
      </c>
      <c r="B1023" s="693" t="s">
        <v>3592</v>
      </c>
      <c r="C1023" s="672" t="s">
        <v>893</v>
      </c>
      <c r="D1023" s="673">
        <v>38037</v>
      </c>
      <c r="E1023" s="674">
        <v>3</v>
      </c>
      <c r="F1023" s="675">
        <v>0.33</v>
      </c>
      <c r="G1023" s="676">
        <v>1</v>
      </c>
      <c r="H1023" s="929">
        <v>0</v>
      </c>
      <c r="I1023" s="929">
        <v>0</v>
      </c>
      <c r="J1023" s="689">
        <f t="shared" si="16"/>
        <v>1</v>
      </c>
    </row>
    <row r="1024" spans="1:10" ht="12.75" customHeight="1" x14ac:dyDescent="0.2">
      <c r="A1024" s="681" t="s">
        <v>2370</v>
      </c>
      <c r="B1024" s="693" t="s">
        <v>3593</v>
      </c>
      <c r="C1024" s="672" t="s">
        <v>889</v>
      </c>
      <c r="D1024" s="673">
        <v>39498</v>
      </c>
      <c r="E1024" s="674">
        <v>3</v>
      </c>
      <c r="F1024" s="675">
        <v>0.33</v>
      </c>
      <c r="G1024" s="676">
        <v>1</v>
      </c>
      <c r="H1024" s="929">
        <v>0</v>
      </c>
      <c r="I1024" s="929">
        <v>0</v>
      </c>
      <c r="J1024" s="689">
        <f t="shared" si="16"/>
        <v>1</v>
      </c>
    </row>
    <row r="1025" spans="1:10" ht="12.75" customHeight="1" x14ac:dyDescent="0.2">
      <c r="A1025" s="681" t="s">
        <v>2370</v>
      </c>
      <c r="B1025" s="693" t="s">
        <v>3594</v>
      </c>
      <c r="C1025" s="672" t="s">
        <v>736</v>
      </c>
      <c r="D1025" s="673">
        <v>39498</v>
      </c>
      <c r="E1025" s="674">
        <v>3</v>
      </c>
      <c r="F1025" s="675">
        <v>0.33</v>
      </c>
      <c r="G1025" s="676">
        <v>1</v>
      </c>
      <c r="H1025" s="929">
        <v>0</v>
      </c>
      <c r="I1025" s="929">
        <v>0</v>
      </c>
      <c r="J1025" s="689">
        <f t="shared" si="16"/>
        <v>1</v>
      </c>
    </row>
    <row r="1026" spans="1:10" ht="12.75" customHeight="1" x14ac:dyDescent="0.2">
      <c r="A1026" s="681" t="s">
        <v>2370</v>
      </c>
      <c r="B1026" s="693" t="s">
        <v>3595</v>
      </c>
      <c r="C1026" s="672" t="s">
        <v>889</v>
      </c>
      <c r="D1026" s="673">
        <v>39498</v>
      </c>
      <c r="E1026" s="674">
        <v>3</v>
      </c>
      <c r="F1026" s="675">
        <v>0.33</v>
      </c>
      <c r="G1026" s="676">
        <v>1</v>
      </c>
      <c r="H1026" s="929">
        <v>0</v>
      </c>
      <c r="I1026" s="929">
        <v>0</v>
      </c>
      <c r="J1026" s="689">
        <f t="shared" si="16"/>
        <v>1</v>
      </c>
    </row>
    <row r="1027" spans="1:10" ht="12.75" customHeight="1" x14ac:dyDescent="0.2">
      <c r="A1027" s="681" t="s">
        <v>2370</v>
      </c>
      <c r="B1027" s="693" t="s">
        <v>3596</v>
      </c>
      <c r="C1027" s="672" t="s">
        <v>889</v>
      </c>
      <c r="D1027" s="673">
        <v>39498</v>
      </c>
      <c r="E1027" s="674">
        <v>3</v>
      </c>
      <c r="F1027" s="675">
        <v>0.33</v>
      </c>
      <c r="G1027" s="676">
        <v>1</v>
      </c>
      <c r="H1027" s="929">
        <v>0</v>
      </c>
      <c r="I1027" s="929">
        <v>0</v>
      </c>
      <c r="J1027" s="689">
        <f t="shared" si="16"/>
        <v>1</v>
      </c>
    </row>
    <row r="1028" spans="1:10" ht="12.75" customHeight="1" x14ac:dyDescent="0.2">
      <c r="A1028" s="681" t="s">
        <v>2370</v>
      </c>
      <c r="B1028" s="693" t="s">
        <v>3597</v>
      </c>
      <c r="C1028" s="672" t="s">
        <v>889</v>
      </c>
      <c r="D1028" s="673">
        <v>39498</v>
      </c>
      <c r="E1028" s="674">
        <v>3</v>
      </c>
      <c r="F1028" s="675">
        <v>0.33</v>
      </c>
      <c r="G1028" s="676">
        <v>1</v>
      </c>
      <c r="H1028" s="929">
        <v>0</v>
      </c>
      <c r="I1028" s="929">
        <v>0</v>
      </c>
      <c r="J1028" s="689">
        <f t="shared" si="16"/>
        <v>1</v>
      </c>
    </row>
    <row r="1029" spans="1:10" ht="12.75" customHeight="1" x14ac:dyDescent="0.2">
      <c r="A1029" s="681" t="s">
        <v>2370</v>
      </c>
      <c r="B1029" s="693" t="s">
        <v>3598</v>
      </c>
      <c r="C1029" s="672" t="s">
        <v>911</v>
      </c>
      <c r="D1029" s="673">
        <v>39498</v>
      </c>
      <c r="E1029" s="674">
        <v>3</v>
      </c>
      <c r="F1029" s="675">
        <v>0.33</v>
      </c>
      <c r="G1029" s="676">
        <v>1</v>
      </c>
      <c r="H1029" s="929">
        <v>0</v>
      </c>
      <c r="I1029" s="929">
        <v>0</v>
      </c>
      <c r="J1029" s="689">
        <f t="shared" si="16"/>
        <v>1</v>
      </c>
    </row>
    <row r="1030" spans="1:10" ht="12.75" customHeight="1" x14ac:dyDescent="0.2">
      <c r="A1030" s="681" t="s">
        <v>2370</v>
      </c>
      <c r="B1030" s="693" t="s">
        <v>3599</v>
      </c>
      <c r="C1030" s="672" t="s">
        <v>893</v>
      </c>
      <c r="D1030" s="673">
        <v>38037</v>
      </c>
      <c r="E1030" s="674">
        <v>3</v>
      </c>
      <c r="F1030" s="675">
        <v>0.33</v>
      </c>
      <c r="G1030" s="676">
        <v>1</v>
      </c>
      <c r="H1030" s="929">
        <v>0</v>
      </c>
      <c r="I1030" s="929">
        <v>0</v>
      </c>
      <c r="J1030" s="689">
        <f t="shared" si="16"/>
        <v>1</v>
      </c>
    </row>
    <row r="1031" spans="1:10" ht="12.75" customHeight="1" x14ac:dyDescent="0.2">
      <c r="A1031" s="681" t="s">
        <v>2370</v>
      </c>
      <c r="B1031" s="693" t="s">
        <v>3600</v>
      </c>
      <c r="C1031" s="672" t="s">
        <v>893</v>
      </c>
      <c r="D1031" s="673">
        <v>38037</v>
      </c>
      <c r="E1031" s="674">
        <v>3</v>
      </c>
      <c r="F1031" s="675">
        <v>0.33</v>
      </c>
      <c r="G1031" s="676">
        <v>1</v>
      </c>
      <c r="H1031" s="929">
        <v>0</v>
      </c>
      <c r="I1031" s="929">
        <v>0</v>
      </c>
      <c r="J1031" s="689">
        <f t="shared" ref="J1031:J1094" si="17">G1031-I1031</f>
        <v>1</v>
      </c>
    </row>
    <row r="1032" spans="1:10" ht="12.75" customHeight="1" x14ac:dyDescent="0.2">
      <c r="A1032" s="681" t="s">
        <v>2370</v>
      </c>
      <c r="B1032" s="693" t="s">
        <v>3601</v>
      </c>
      <c r="C1032" s="672" t="s">
        <v>894</v>
      </c>
      <c r="D1032" s="673">
        <v>38037</v>
      </c>
      <c r="E1032" s="674">
        <v>3</v>
      </c>
      <c r="F1032" s="675">
        <v>0.33</v>
      </c>
      <c r="G1032" s="676">
        <v>1</v>
      </c>
      <c r="H1032" s="929">
        <v>0</v>
      </c>
      <c r="I1032" s="929">
        <v>0</v>
      </c>
      <c r="J1032" s="689">
        <f t="shared" si="17"/>
        <v>1</v>
      </c>
    </row>
    <row r="1033" spans="1:10" ht="12.75" customHeight="1" x14ac:dyDescent="0.2">
      <c r="A1033" s="681" t="s">
        <v>2370</v>
      </c>
      <c r="B1033" s="693" t="s">
        <v>3602</v>
      </c>
      <c r="C1033" s="672" t="s">
        <v>894</v>
      </c>
      <c r="D1033" s="673">
        <v>38037</v>
      </c>
      <c r="E1033" s="674">
        <v>3</v>
      </c>
      <c r="F1033" s="675">
        <v>0.33</v>
      </c>
      <c r="G1033" s="676">
        <v>1</v>
      </c>
      <c r="H1033" s="929">
        <v>0</v>
      </c>
      <c r="I1033" s="929">
        <v>0</v>
      </c>
      <c r="J1033" s="689">
        <f t="shared" si="17"/>
        <v>1</v>
      </c>
    </row>
    <row r="1034" spans="1:10" ht="12.75" customHeight="1" x14ac:dyDescent="0.2">
      <c r="A1034" s="681" t="s">
        <v>2370</v>
      </c>
      <c r="B1034" s="693" t="s">
        <v>3603</v>
      </c>
      <c r="C1034" s="672" t="s">
        <v>889</v>
      </c>
      <c r="D1034" s="673">
        <v>39498</v>
      </c>
      <c r="E1034" s="674">
        <v>3</v>
      </c>
      <c r="F1034" s="675">
        <v>0.33</v>
      </c>
      <c r="G1034" s="676">
        <v>1</v>
      </c>
      <c r="H1034" s="929">
        <v>0</v>
      </c>
      <c r="I1034" s="929">
        <v>0</v>
      </c>
      <c r="J1034" s="689">
        <f t="shared" si="17"/>
        <v>1</v>
      </c>
    </row>
    <row r="1035" spans="1:10" ht="12.75" customHeight="1" x14ac:dyDescent="0.2">
      <c r="A1035" s="681" t="s">
        <v>2370</v>
      </c>
      <c r="B1035" s="693" t="s">
        <v>3604</v>
      </c>
      <c r="C1035" s="672" t="s">
        <v>891</v>
      </c>
      <c r="D1035" s="673">
        <v>39498</v>
      </c>
      <c r="E1035" s="674">
        <v>3</v>
      </c>
      <c r="F1035" s="675">
        <v>0.33</v>
      </c>
      <c r="G1035" s="676">
        <v>1</v>
      </c>
      <c r="H1035" s="929">
        <v>0</v>
      </c>
      <c r="I1035" s="929">
        <v>0</v>
      </c>
      <c r="J1035" s="689">
        <f t="shared" si="17"/>
        <v>1</v>
      </c>
    </row>
    <row r="1036" spans="1:10" ht="12.75" customHeight="1" x14ac:dyDescent="0.2">
      <c r="A1036" s="681" t="s">
        <v>2370</v>
      </c>
      <c r="B1036" s="693" t="s">
        <v>3605</v>
      </c>
      <c r="C1036" s="672" t="s">
        <v>922</v>
      </c>
      <c r="D1036" s="673">
        <v>39498</v>
      </c>
      <c r="E1036" s="674">
        <v>10</v>
      </c>
      <c r="F1036" s="675">
        <v>0.1</v>
      </c>
      <c r="G1036" s="676">
        <v>1</v>
      </c>
      <c r="H1036" s="929">
        <v>0</v>
      </c>
      <c r="I1036" s="929">
        <v>0</v>
      </c>
      <c r="J1036" s="689">
        <f t="shared" si="17"/>
        <v>1</v>
      </c>
    </row>
    <row r="1037" spans="1:10" ht="12.75" customHeight="1" x14ac:dyDescent="0.2">
      <c r="A1037" s="681" t="s">
        <v>2370</v>
      </c>
      <c r="B1037" s="693" t="s">
        <v>3606</v>
      </c>
      <c r="C1037" s="672" t="s">
        <v>924</v>
      </c>
      <c r="D1037" s="673">
        <v>33289</v>
      </c>
      <c r="E1037" s="674">
        <v>10</v>
      </c>
      <c r="F1037" s="675">
        <v>0.1</v>
      </c>
      <c r="G1037" s="676">
        <v>1</v>
      </c>
      <c r="H1037" s="929">
        <v>0</v>
      </c>
      <c r="I1037" s="929">
        <v>0</v>
      </c>
      <c r="J1037" s="689">
        <f t="shared" si="17"/>
        <v>1</v>
      </c>
    </row>
    <row r="1038" spans="1:10" ht="12.75" customHeight="1" x14ac:dyDescent="0.2">
      <c r="A1038" s="681" t="s">
        <v>2370</v>
      </c>
      <c r="B1038" s="693" t="s">
        <v>3607</v>
      </c>
      <c r="C1038" s="672" t="s">
        <v>925</v>
      </c>
      <c r="D1038" s="673">
        <v>40229</v>
      </c>
      <c r="E1038" s="674">
        <v>10</v>
      </c>
      <c r="F1038" s="675">
        <v>0.1</v>
      </c>
      <c r="G1038" s="676">
        <v>1</v>
      </c>
      <c r="H1038" s="929">
        <v>0</v>
      </c>
      <c r="I1038" s="929">
        <v>0</v>
      </c>
      <c r="J1038" s="689">
        <f t="shared" si="17"/>
        <v>1</v>
      </c>
    </row>
    <row r="1039" spans="1:10" ht="12.75" customHeight="1" x14ac:dyDescent="0.2">
      <c r="A1039" s="681" t="s">
        <v>2370</v>
      </c>
      <c r="B1039" s="693" t="s">
        <v>3608</v>
      </c>
      <c r="C1039" s="672" t="s">
        <v>921</v>
      </c>
      <c r="D1039" s="673">
        <v>35115</v>
      </c>
      <c r="E1039" s="674">
        <v>10</v>
      </c>
      <c r="F1039" s="675">
        <v>0.1</v>
      </c>
      <c r="G1039" s="676">
        <v>1</v>
      </c>
      <c r="H1039" s="929">
        <v>0</v>
      </c>
      <c r="I1039" s="929">
        <v>0</v>
      </c>
      <c r="J1039" s="689">
        <f t="shared" si="17"/>
        <v>1</v>
      </c>
    </row>
    <row r="1040" spans="1:10" ht="12.75" customHeight="1" x14ac:dyDescent="0.2">
      <c r="A1040" s="681" t="s">
        <v>2370</v>
      </c>
      <c r="B1040" s="693" t="s">
        <v>3609</v>
      </c>
      <c r="C1040" s="672" t="s">
        <v>930</v>
      </c>
      <c r="D1040" s="673">
        <v>36576</v>
      </c>
      <c r="E1040" s="674">
        <v>10</v>
      </c>
      <c r="F1040" s="675">
        <v>0.1</v>
      </c>
      <c r="G1040" s="676">
        <v>1</v>
      </c>
      <c r="H1040" s="929">
        <v>0</v>
      </c>
      <c r="I1040" s="929">
        <v>0</v>
      </c>
      <c r="J1040" s="689">
        <f t="shared" si="17"/>
        <v>1</v>
      </c>
    </row>
    <row r="1041" spans="1:10" ht="12.75" customHeight="1" x14ac:dyDescent="0.2">
      <c r="A1041" s="681" t="s">
        <v>2370</v>
      </c>
      <c r="B1041" s="693" t="s">
        <v>3610</v>
      </c>
      <c r="C1041" s="672" t="s">
        <v>930</v>
      </c>
      <c r="D1041" s="673">
        <v>36576</v>
      </c>
      <c r="E1041" s="674">
        <v>10</v>
      </c>
      <c r="F1041" s="675">
        <v>0.1</v>
      </c>
      <c r="G1041" s="676">
        <v>1</v>
      </c>
      <c r="H1041" s="929">
        <v>0</v>
      </c>
      <c r="I1041" s="929">
        <v>0</v>
      </c>
      <c r="J1041" s="689">
        <f t="shared" si="17"/>
        <v>1</v>
      </c>
    </row>
    <row r="1042" spans="1:10" ht="12.75" customHeight="1" x14ac:dyDescent="0.2">
      <c r="A1042" s="681" t="s">
        <v>2370</v>
      </c>
      <c r="B1042" s="693" t="s">
        <v>3611</v>
      </c>
      <c r="C1042" s="672" t="s">
        <v>932</v>
      </c>
      <c r="D1042" s="673">
        <v>39498</v>
      </c>
      <c r="E1042" s="674">
        <v>10</v>
      </c>
      <c r="F1042" s="675">
        <v>0.1</v>
      </c>
      <c r="G1042" s="676">
        <v>1</v>
      </c>
      <c r="H1042" s="929">
        <v>0</v>
      </c>
      <c r="I1042" s="929">
        <v>0</v>
      </c>
      <c r="J1042" s="689">
        <f t="shared" si="17"/>
        <v>1</v>
      </c>
    </row>
    <row r="1043" spans="1:10" ht="12.75" customHeight="1" x14ac:dyDescent="0.2">
      <c r="A1043" s="681" t="s">
        <v>2370</v>
      </c>
      <c r="B1043" s="693" t="s">
        <v>3612</v>
      </c>
      <c r="C1043" s="672" t="s">
        <v>933</v>
      </c>
      <c r="D1043" s="673">
        <v>38403</v>
      </c>
      <c r="E1043" s="674">
        <v>10</v>
      </c>
      <c r="F1043" s="675">
        <v>0.1</v>
      </c>
      <c r="G1043" s="676">
        <v>1</v>
      </c>
      <c r="H1043" s="929">
        <v>0</v>
      </c>
      <c r="I1043" s="929">
        <v>0</v>
      </c>
      <c r="J1043" s="689">
        <f t="shared" si="17"/>
        <v>1</v>
      </c>
    </row>
    <row r="1044" spans="1:10" ht="12.75" customHeight="1" x14ac:dyDescent="0.2">
      <c r="A1044" s="681" t="s">
        <v>2370</v>
      </c>
      <c r="B1044" s="693" t="s">
        <v>3613</v>
      </c>
      <c r="C1044" s="672" t="s">
        <v>934</v>
      </c>
      <c r="D1044" s="673">
        <v>36576</v>
      </c>
      <c r="E1044" s="674">
        <v>10</v>
      </c>
      <c r="F1044" s="675">
        <v>0.1</v>
      </c>
      <c r="G1044" s="676">
        <v>1</v>
      </c>
      <c r="H1044" s="929">
        <v>0</v>
      </c>
      <c r="I1044" s="929">
        <v>0</v>
      </c>
      <c r="J1044" s="689">
        <f t="shared" si="17"/>
        <v>1</v>
      </c>
    </row>
    <row r="1045" spans="1:10" ht="12.75" customHeight="1" x14ac:dyDescent="0.2">
      <c r="A1045" s="681" t="s">
        <v>2370</v>
      </c>
      <c r="B1045" s="693" t="s">
        <v>3614</v>
      </c>
      <c r="C1045" s="672" t="s">
        <v>921</v>
      </c>
      <c r="D1045" s="673">
        <v>32924</v>
      </c>
      <c r="E1045" s="674">
        <v>10</v>
      </c>
      <c r="F1045" s="675">
        <v>0.1</v>
      </c>
      <c r="G1045" s="676">
        <v>1</v>
      </c>
      <c r="H1045" s="929">
        <v>0</v>
      </c>
      <c r="I1045" s="929">
        <v>0</v>
      </c>
      <c r="J1045" s="689">
        <f t="shared" si="17"/>
        <v>1</v>
      </c>
    </row>
    <row r="1046" spans="1:10" ht="12.75" customHeight="1" x14ac:dyDescent="0.2">
      <c r="A1046" s="681" t="s">
        <v>2370</v>
      </c>
      <c r="B1046" s="693" t="s">
        <v>3615</v>
      </c>
      <c r="C1046" s="672" t="s">
        <v>939</v>
      </c>
      <c r="D1046" s="673">
        <v>39864</v>
      </c>
      <c r="E1046" s="674">
        <v>10</v>
      </c>
      <c r="F1046" s="675">
        <v>0.1</v>
      </c>
      <c r="G1046" s="676">
        <v>1</v>
      </c>
      <c r="H1046" s="929">
        <v>0</v>
      </c>
      <c r="I1046" s="929">
        <v>0</v>
      </c>
      <c r="J1046" s="689">
        <f t="shared" si="17"/>
        <v>1</v>
      </c>
    </row>
    <row r="1047" spans="1:10" ht="12.75" customHeight="1" x14ac:dyDescent="0.2">
      <c r="A1047" s="681" t="s">
        <v>2370</v>
      </c>
      <c r="B1047" s="693" t="s">
        <v>3616</v>
      </c>
      <c r="C1047" s="672" t="s">
        <v>926</v>
      </c>
      <c r="D1047" s="673">
        <v>40594</v>
      </c>
      <c r="E1047" s="674">
        <v>10</v>
      </c>
      <c r="F1047" s="675">
        <v>0.1</v>
      </c>
      <c r="G1047" s="676">
        <v>1</v>
      </c>
      <c r="H1047" s="929">
        <v>0</v>
      </c>
      <c r="I1047" s="929">
        <v>0</v>
      </c>
      <c r="J1047" s="689">
        <f t="shared" si="17"/>
        <v>1</v>
      </c>
    </row>
    <row r="1048" spans="1:10" ht="12.75" customHeight="1" x14ac:dyDescent="0.2">
      <c r="A1048" s="681" t="s">
        <v>2371</v>
      </c>
      <c r="B1048" s="693" t="s">
        <v>3617</v>
      </c>
      <c r="C1048" s="672" t="s">
        <v>970</v>
      </c>
      <c r="D1048" s="673">
        <v>39133</v>
      </c>
      <c r="E1048" s="674">
        <v>10</v>
      </c>
      <c r="F1048" s="675">
        <v>0.1</v>
      </c>
      <c r="G1048" s="676">
        <v>1</v>
      </c>
      <c r="H1048" s="929">
        <v>0</v>
      </c>
      <c r="I1048" s="929">
        <v>0</v>
      </c>
      <c r="J1048" s="689">
        <f t="shared" si="17"/>
        <v>1</v>
      </c>
    </row>
    <row r="1049" spans="1:10" ht="12.75" customHeight="1" x14ac:dyDescent="0.2">
      <c r="A1049" s="681" t="s">
        <v>1208</v>
      </c>
      <c r="B1049" s="693" t="s">
        <v>3618</v>
      </c>
      <c r="C1049" s="672" t="s">
        <v>981</v>
      </c>
      <c r="D1049" s="673">
        <v>2010</v>
      </c>
      <c r="E1049" s="674">
        <v>5</v>
      </c>
      <c r="F1049" s="675">
        <v>0.2</v>
      </c>
      <c r="G1049" s="676">
        <v>1</v>
      </c>
      <c r="H1049" s="929">
        <v>0</v>
      </c>
      <c r="I1049" s="929">
        <v>0</v>
      </c>
      <c r="J1049" s="689">
        <f t="shared" si="17"/>
        <v>1</v>
      </c>
    </row>
    <row r="1050" spans="1:10" ht="12.75" customHeight="1" x14ac:dyDescent="0.2">
      <c r="A1050" s="681" t="s">
        <v>1208</v>
      </c>
      <c r="B1050" s="693" t="s">
        <v>3619</v>
      </c>
      <c r="C1050" s="672" t="s">
        <v>983</v>
      </c>
      <c r="D1050" s="673">
        <v>2008</v>
      </c>
      <c r="E1050" s="674">
        <v>5</v>
      </c>
      <c r="F1050" s="675">
        <v>0.2</v>
      </c>
      <c r="G1050" s="676">
        <v>1</v>
      </c>
      <c r="H1050" s="929">
        <v>0</v>
      </c>
      <c r="I1050" s="929">
        <v>0</v>
      </c>
      <c r="J1050" s="689">
        <f t="shared" si="17"/>
        <v>1</v>
      </c>
    </row>
    <row r="1051" spans="1:10" ht="12.75" customHeight="1" x14ac:dyDescent="0.2">
      <c r="A1051" s="681" t="s">
        <v>1208</v>
      </c>
      <c r="B1051" s="693" t="s">
        <v>3620</v>
      </c>
      <c r="C1051" s="672" t="s">
        <v>984</v>
      </c>
      <c r="D1051" s="673">
        <v>1982</v>
      </c>
      <c r="E1051" s="674">
        <v>5</v>
      </c>
      <c r="F1051" s="675">
        <v>0.2</v>
      </c>
      <c r="G1051" s="676">
        <v>1</v>
      </c>
      <c r="H1051" s="929">
        <v>0</v>
      </c>
      <c r="I1051" s="929">
        <v>0</v>
      </c>
      <c r="J1051" s="689">
        <f t="shared" si="17"/>
        <v>1</v>
      </c>
    </row>
    <row r="1052" spans="1:10" ht="12.75" customHeight="1" x14ac:dyDescent="0.2">
      <c r="A1052" s="681" t="s">
        <v>1208</v>
      </c>
      <c r="B1052" s="693" t="s">
        <v>3621</v>
      </c>
      <c r="C1052" s="672" t="s">
        <v>978</v>
      </c>
      <c r="D1052" s="673">
        <v>2008</v>
      </c>
      <c r="E1052" s="674">
        <v>5</v>
      </c>
      <c r="F1052" s="675">
        <v>0.2</v>
      </c>
      <c r="G1052" s="676">
        <v>1</v>
      </c>
      <c r="H1052" s="929">
        <v>0</v>
      </c>
      <c r="I1052" s="929">
        <v>0</v>
      </c>
      <c r="J1052" s="689">
        <f t="shared" si="17"/>
        <v>1</v>
      </c>
    </row>
    <row r="1053" spans="1:10" ht="12.75" customHeight="1" x14ac:dyDescent="0.2">
      <c r="A1053" s="681" t="s">
        <v>1208</v>
      </c>
      <c r="B1053" s="693" t="s">
        <v>3622</v>
      </c>
      <c r="C1053" s="672" t="s">
        <v>986</v>
      </c>
      <c r="D1053" s="673">
        <v>2008</v>
      </c>
      <c r="E1053" s="674">
        <v>10</v>
      </c>
      <c r="F1053" s="675">
        <v>0.1</v>
      </c>
      <c r="G1053" s="676">
        <v>1</v>
      </c>
      <c r="H1053" s="929">
        <v>0</v>
      </c>
      <c r="I1053" s="929">
        <v>0</v>
      </c>
      <c r="J1053" s="689">
        <f t="shared" si="17"/>
        <v>1</v>
      </c>
    </row>
    <row r="1054" spans="1:10" ht="12.75" customHeight="1" x14ac:dyDescent="0.2">
      <c r="A1054" s="681" t="s">
        <v>1208</v>
      </c>
      <c r="B1054" s="693" t="s">
        <v>3623</v>
      </c>
      <c r="C1054" s="672" t="s">
        <v>986</v>
      </c>
      <c r="D1054" s="673">
        <v>2004</v>
      </c>
      <c r="E1054" s="674">
        <v>10</v>
      </c>
      <c r="F1054" s="675">
        <v>0.1</v>
      </c>
      <c r="G1054" s="676">
        <v>1</v>
      </c>
      <c r="H1054" s="929">
        <v>0</v>
      </c>
      <c r="I1054" s="929">
        <v>0</v>
      </c>
      <c r="J1054" s="689">
        <f t="shared" si="17"/>
        <v>1</v>
      </c>
    </row>
    <row r="1055" spans="1:10" ht="12.75" customHeight="1" x14ac:dyDescent="0.2">
      <c r="A1055" s="681" t="s">
        <v>1208</v>
      </c>
      <c r="B1055" s="693" t="s">
        <v>3624</v>
      </c>
      <c r="C1055" s="672" t="s">
        <v>986</v>
      </c>
      <c r="D1055" s="673">
        <v>2008</v>
      </c>
      <c r="E1055" s="674">
        <v>10</v>
      </c>
      <c r="F1055" s="675">
        <v>0.1</v>
      </c>
      <c r="G1055" s="676">
        <v>1</v>
      </c>
      <c r="H1055" s="929">
        <v>0</v>
      </c>
      <c r="I1055" s="929">
        <v>0</v>
      </c>
      <c r="J1055" s="689">
        <f t="shared" si="17"/>
        <v>1</v>
      </c>
    </row>
    <row r="1056" spans="1:10" ht="12.75" customHeight="1" x14ac:dyDescent="0.2">
      <c r="A1056" s="681" t="s">
        <v>1208</v>
      </c>
      <c r="B1056" s="693" t="s">
        <v>3625</v>
      </c>
      <c r="C1056" s="672" t="s">
        <v>986</v>
      </c>
      <c r="D1056" s="673">
        <v>2008</v>
      </c>
      <c r="E1056" s="674">
        <v>10</v>
      </c>
      <c r="F1056" s="675">
        <v>0.1</v>
      </c>
      <c r="G1056" s="676">
        <v>1</v>
      </c>
      <c r="H1056" s="929">
        <v>0</v>
      </c>
      <c r="I1056" s="929">
        <v>0</v>
      </c>
      <c r="J1056" s="689">
        <f t="shared" si="17"/>
        <v>1</v>
      </c>
    </row>
    <row r="1057" spans="1:10" ht="12.75" customHeight="1" x14ac:dyDescent="0.2">
      <c r="A1057" s="681" t="s">
        <v>1208</v>
      </c>
      <c r="B1057" s="693" t="s">
        <v>3626</v>
      </c>
      <c r="C1057" s="672" t="s">
        <v>986</v>
      </c>
      <c r="D1057" s="673">
        <v>2008</v>
      </c>
      <c r="E1057" s="674">
        <v>10</v>
      </c>
      <c r="F1057" s="675">
        <v>0.1</v>
      </c>
      <c r="G1057" s="676">
        <v>1</v>
      </c>
      <c r="H1057" s="929">
        <v>0</v>
      </c>
      <c r="I1057" s="929">
        <v>0</v>
      </c>
      <c r="J1057" s="689">
        <f t="shared" si="17"/>
        <v>1</v>
      </c>
    </row>
    <row r="1058" spans="1:10" ht="12.75" customHeight="1" x14ac:dyDescent="0.2">
      <c r="A1058" s="681" t="s">
        <v>1208</v>
      </c>
      <c r="B1058" s="693" t="s">
        <v>3627</v>
      </c>
      <c r="C1058" s="672" t="s">
        <v>986</v>
      </c>
      <c r="D1058" s="673">
        <v>2008</v>
      </c>
      <c r="E1058" s="674">
        <v>10</v>
      </c>
      <c r="F1058" s="675">
        <v>0.1</v>
      </c>
      <c r="G1058" s="676">
        <v>1</v>
      </c>
      <c r="H1058" s="929">
        <v>0</v>
      </c>
      <c r="I1058" s="929">
        <v>0</v>
      </c>
      <c r="J1058" s="689">
        <f t="shared" si="17"/>
        <v>1</v>
      </c>
    </row>
    <row r="1059" spans="1:10" ht="12.75" customHeight="1" x14ac:dyDescent="0.2">
      <c r="A1059" s="681" t="s">
        <v>1208</v>
      </c>
      <c r="B1059" s="693" t="s">
        <v>3628</v>
      </c>
      <c r="C1059" s="672" t="s">
        <v>986</v>
      </c>
      <c r="D1059" s="673">
        <v>2008</v>
      </c>
      <c r="E1059" s="674">
        <v>10</v>
      </c>
      <c r="F1059" s="675">
        <v>0.1</v>
      </c>
      <c r="G1059" s="676">
        <v>1</v>
      </c>
      <c r="H1059" s="929">
        <v>0</v>
      </c>
      <c r="I1059" s="929">
        <v>0</v>
      </c>
      <c r="J1059" s="689">
        <f t="shared" si="17"/>
        <v>1</v>
      </c>
    </row>
    <row r="1060" spans="1:10" ht="12.75" customHeight="1" x14ac:dyDescent="0.2">
      <c r="A1060" s="681" t="s">
        <v>1208</v>
      </c>
      <c r="B1060" s="693" t="s">
        <v>3629</v>
      </c>
      <c r="C1060" s="672" t="s">
        <v>986</v>
      </c>
      <c r="D1060" s="673">
        <v>2008</v>
      </c>
      <c r="E1060" s="674">
        <v>10</v>
      </c>
      <c r="F1060" s="675">
        <v>0.1</v>
      </c>
      <c r="G1060" s="676">
        <v>1</v>
      </c>
      <c r="H1060" s="929">
        <v>0</v>
      </c>
      <c r="I1060" s="929">
        <v>0</v>
      </c>
      <c r="J1060" s="689">
        <f t="shared" si="17"/>
        <v>1</v>
      </c>
    </row>
    <row r="1061" spans="1:10" ht="12.75" customHeight="1" x14ac:dyDescent="0.2">
      <c r="A1061" s="681" t="s">
        <v>1208</v>
      </c>
      <c r="B1061" s="693" t="s">
        <v>3630</v>
      </c>
      <c r="C1061" s="672" t="s">
        <v>986</v>
      </c>
      <c r="D1061" s="673">
        <v>2004</v>
      </c>
      <c r="E1061" s="674">
        <v>10</v>
      </c>
      <c r="F1061" s="675">
        <v>0.1</v>
      </c>
      <c r="G1061" s="676">
        <v>1</v>
      </c>
      <c r="H1061" s="929">
        <v>0</v>
      </c>
      <c r="I1061" s="929">
        <v>0</v>
      </c>
      <c r="J1061" s="689">
        <f t="shared" si="17"/>
        <v>1</v>
      </c>
    </row>
    <row r="1062" spans="1:10" ht="12.75" customHeight="1" x14ac:dyDescent="0.2">
      <c r="A1062" s="681" t="s">
        <v>1208</v>
      </c>
      <c r="B1062" s="693" t="s">
        <v>3631</v>
      </c>
      <c r="C1062" s="672" t="s">
        <v>977</v>
      </c>
      <c r="D1062" s="673">
        <v>2005</v>
      </c>
      <c r="E1062" s="674">
        <v>5</v>
      </c>
      <c r="F1062" s="675">
        <v>0.2</v>
      </c>
      <c r="G1062" s="676">
        <v>1</v>
      </c>
      <c r="H1062" s="929">
        <v>0</v>
      </c>
      <c r="I1062" s="929">
        <v>0</v>
      </c>
      <c r="J1062" s="689">
        <f t="shared" si="17"/>
        <v>1</v>
      </c>
    </row>
    <row r="1063" spans="1:10" ht="12.75" customHeight="1" x14ac:dyDescent="0.2">
      <c r="A1063" s="681" t="s">
        <v>1208</v>
      </c>
      <c r="B1063" s="693" t="s">
        <v>3632</v>
      </c>
      <c r="C1063" s="672" t="s">
        <v>977</v>
      </c>
      <c r="D1063" s="673">
        <v>1999</v>
      </c>
      <c r="E1063" s="674">
        <v>5</v>
      </c>
      <c r="F1063" s="675">
        <v>0.2</v>
      </c>
      <c r="G1063" s="676">
        <v>1</v>
      </c>
      <c r="H1063" s="929">
        <v>0</v>
      </c>
      <c r="I1063" s="929">
        <v>0</v>
      </c>
      <c r="J1063" s="689">
        <f t="shared" si="17"/>
        <v>1</v>
      </c>
    </row>
    <row r="1064" spans="1:10" ht="12.75" customHeight="1" x14ac:dyDescent="0.2">
      <c r="A1064" s="681" t="s">
        <v>1208</v>
      </c>
      <c r="B1064" s="693" t="s">
        <v>3633</v>
      </c>
      <c r="C1064" s="672" t="s">
        <v>987</v>
      </c>
      <c r="D1064" s="673">
        <v>1979</v>
      </c>
      <c r="E1064" s="674">
        <v>5</v>
      </c>
      <c r="F1064" s="675">
        <v>0.2</v>
      </c>
      <c r="G1064" s="676">
        <v>1</v>
      </c>
      <c r="H1064" s="929">
        <v>0</v>
      </c>
      <c r="I1064" s="929">
        <v>0</v>
      </c>
      <c r="J1064" s="689">
        <f t="shared" si="17"/>
        <v>1</v>
      </c>
    </row>
    <row r="1065" spans="1:10" ht="12.75" customHeight="1" x14ac:dyDescent="0.2">
      <c r="A1065" s="681" t="s">
        <v>1208</v>
      </c>
      <c r="B1065" s="693" t="s">
        <v>3634</v>
      </c>
      <c r="C1065" s="672" t="s">
        <v>988</v>
      </c>
      <c r="D1065" s="673">
        <v>2005</v>
      </c>
      <c r="E1065" s="674">
        <v>5</v>
      </c>
      <c r="F1065" s="675">
        <v>0.2</v>
      </c>
      <c r="G1065" s="676">
        <v>1</v>
      </c>
      <c r="H1065" s="929">
        <v>0</v>
      </c>
      <c r="I1065" s="929">
        <v>0</v>
      </c>
      <c r="J1065" s="689">
        <f t="shared" si="17"/>
        <v>1</v>
      </c>
    </row>
    <row r="1066" spans="1:10" ht="12.75" customHeight="1" x14ac:dyDescent="0.2">
      <c r="A1066" s="681" t="s">
        <v>1208</v>
      </c>
      <c r="B1066" s="693" t="s">
        <v>3635</v>
      </c>
      <c r="C1066" s="672" t="s">
        <v>988</v>
      </c>
      <c r="D1066" s="673">
        <v>2005</v>
      </c>
      <c r="E1066" s="674">
        <v>5</v>
      </c>
      <c r="F1066" s="675">
        <v>0.2</v>
      </c>
      <c r="G1066" s="676">
        <v>1</v>
      </c>
      <c r="H1066" s="929">
        <v>0</v>
      </c>
      <c r="I1066" s="929">
        <v>0</v>
      </c>
      <c r="J1066" s="689">
        <f t="shared" si="17"/>
        <v>1</v>
      </c>
    </row>
    <row r="1067" spans="1:10" ht="12.75" customHeight="1" x14ac:dyDescent="0.2">
      <c r="A1067" s="681" t="s">
        <v>1208</v>
      </c>
      <c r="B1067" s="693" t="s">
        <v>3636</v>
      </c>
      <c r="C1067" s="672" t="s">
        <v>988</v>
      </c>
      <c r="D1067" s="673">
        <v>1987</v>
      </c>
      <c r="E1067" s="674">
        <v>5</v>
      </c>
      <c r="F1067" s="675">
        <v>0.2</v>
      </c>
      <c r="G1067" s="676">
        <v>1</v>
      </c>
      <c r="H1067" s="929">
        <v>0</v>
      </c>
      <c r="I1067" s="929">
        <v>0</v>
      </c>
      <c r="J1067" s="689">
        <f t="shared" si="17"/>
        <v>1</v>
      </c>
    </row>
    <row r="1068" spans="1:10" ht="12.75" customHeight="1" x14ac:dyDescent="0.2">
      <c r="A1068" s="681" t="s">
        <v>1208</v>
      </c>
      <c r="B1068" s="693" t="s">
        <v>3637</v>
      </c>
      <c r="C1068" s="672" t="s">
        <v>988</v>
      </c>
      <c r="D1068" s="673">
        <v>1988</v>
      </c>
      <c r="E1068" s="674">
        <v>5</v>
      </c>
      <c r="F1068" s="675">
        <v>0.2</v>
      </c>
      <c r="G1068" s="676">
        <v>1</v>
      </c>
      <c r="H1068" s="929">
        <v>0</v>
      </c>
      <c r="I1068" s="929">
        <v>0</v>
      </c>
      <c r="J1068" s="689">
        <f t="shared" si="17"/>
        <v>1</v>
      </c>
    </row>
    <row r="1069" spans="1:10" ht="12.75" customHeight="1" x14ac:dyDescent="0.2">
      <c r="A1069" s="681" t="s">
        <v>1208</v>
      </c>
      <c r="B1069" s="693" t="s">
        <v>3638</v>
      </c>
      <c r="C1069" s="672" t="s">
        <v>989</v>
      </c>
      <c r="D1069" s="673">
        <v>2002</v>
      </c>
      <c r="E1069" s="674">
        <v>5</v>
      </c>
      <c r="F1069" s="675">
        <v>0.2</v>
      </c>
      <c r="G1069" s="676">
        <v>1</v>
      </c>
      <c r="H1069" s="929">
        <v>0</v>
      </c>
      <c r="I1069" s="929">
        <v>0</v>
      </c>
      <c r="J1069" s="689">
        <f t="shared" si="17"/>
        <v>1</v>
      </c>
    </row>
    <row r="1070" spans="1:10" ht="12.75" customHeight="1" x14ac:dyDescent="0.2">
      <c r="A1070" s="681" t="s">
        <v>1208</v>
      </c>
      <c r="B1070" s="693" t="s">
        <v>3639</v>
      </c>
      <c r="C1070" s="672" t="s">
        <v>989</v>
      </c>
      <c r="D1070" s="673">
        <v>2005</v>
      </c>
      <c r="E1070" s="674">
        <v>5</v>
      </c>
      <c r="F1070" s="675">
        <v>0.2</v>
      </c>
      <c r="G1070" s="676">
        <v>1</v>
      </c>
      <c r="H1070" s="929">
        <v>0</v>
      </c>
      <c r="I1070" s="929">
        <v>0</v>
      </c>
      <c r="J1070" s="689">
        <f t="shared" si="17"/>
        <v>1</v>
      </c>
    </row>
    <row r="1071" spans="1:10" ht="12.75" customHeight="1" x14ac:dyDescent="0.2">
      <c r="A1071" s="681" t="s">
        <v>1208</v>
      </c>
      <c r="B1071" s="693" t="s">
        <v>3640</v>
      </c>
      <c r="C1071" s="672" t="s">
        <v>989</v>
      </c>
      <c r="D1071" s="673">
        <v>2005</v>
      </c>
      <c r="E1071" s="674">
        <v>5</v>
      </c>
      <c r="F1071" s="675">
        <v>0.2</v>
      </c>
      <c r="G1071" s="676">
        <v>1</v>
      </c>
      <c r="H1071" s="929">
        <v>0</v>
      </c>
      <c r="I1071" s="929">
        <v>0</v>
      </c>
      <c r="J1071" s="689">
        <f t="shared" si="17"/>
        <v>1</v>
      </c>
    </row>
    <row r="1072" spans="1:10" ht="12.75" customHeight="1" x14ac:dyDescent="0.2">
      <c r="A1072" s="681" t="s">
        <v>1208</v>
      </c>
      <c r="B1072" s="693" t="s">
        <v>3641</v>
      </c>
      <c r="C1072" s="672" t="s">
        <v>988</v>
      </c>
      <c r="D1072" s="673">
        <v>2004</v>
      </c>
      <c r="E1072" s="674">
        <v>5</v>
      </c>
      <c r="F1072" s="675">
        <v>0.2</v>
      </c>
      <c r="G1072" s="676">
        <v>1</v>
      </c>
      <c r="H1072" s="929">
        <v>0</v>
      </c>
      <c r="I1072" s="929">
        <v>0</v>
      </c>
      <c r="J1072" s="689">
        <f t="shared" si="17"/>
        <v>1</v>
      </c>
    </row>
    <row r="1073" spans="1:10" ht="12.75" customHeight="1" x14ac:dyDescent="0.2">
      <c r="A1073" s="681" t="s">
        <v>1208</v>
      </c>
      <c r="B1073" s="693" t="s">
        <v>3642</v>
      </c>
      <c r="C1073" s="672" t="s">
        <v>988</v>
      </c>
      <c r="D1073" s="673">
        <v>2004</v>
      </c>
      <c r="E1073" s="674">
        <v>5</v>
      </c>
      <c r="F1073" s="675">
        <v>0.2</v>
      </c>
      <c r="G1073" s="676">
        <v>1</v>
      </c>
      <c r="H1073" s="929">
        <v>0</v>
      </c>
      <c r="I1073" s="929">
        <v>0</v>
      </c>
      <c r="J1073" s="689">
        <f t="shared" si="17"/>
        <v>1</v>
      </c>
    </row>
    <row r="1074" spans="1:10" ht="12.75" customHeight="1" x14ac:dyDescent="0.2">
      <c r="A1074" s="681" t="s">
        <v>1208</v>
      </c>
      <c r="B1074" s="693" t="s">
        <v>3643</v>
      </c>
      <c r="C1074" s="672" t="s">
        <v>988</v>
      </c>
      <c r="D1074" s="673">
        <v>2005</v>
      </c>
      <c r="E1074" s="674">
        <v>5</v>
      </c>
      <c r="F1074" s="675">
        <v>0.2</v>
      </c>
      <c r="G1074" s="676">
        <v>1</v>
      </c>
      <c r="H1074" s="929">
        <v>0</v>
      </c>
      <c r="I1074" s="929">
        <v>0</v>
      </c>
      <c r="J1074" s="689">
        <f t="shared" si="17"/>
        <v>1</v>
      </c>
    </row>
    <row r="1075" spans="1:10" ht="12.75" customHeight="1" x14ac:dyDescent="0.2">
      <c r="A1075" s="681" t="s">
        <v>1208</v>
      </c>
      <c r="B1075" s="693" t="s">
        <v>3644</v>
      </c>
      <c r="C1075" s="672" t="s">
        <v>989</v>
      </c>
      <c r="D1075" s="673">
        <v>2008</v>
      </c>
      <c r="E1075" s="674">
        <v>5</v>
      </c>
      <c r="F1075" s="675">
        <v>0.2</v>
      </c>
      <c r="G1075" s="676">
        <v>1</v>
      </c>
      <c r="H1075" s="929">
        <v>0</v>
      </c>
      <c r="I1075" s="929">
        <v>0</v>
      </c>
      <c r="J1075" s="689">
        <f t="shared" si="17"/>
        <v>1</v>
      </c>
    </row>
    <row r="1076" spans="1:10" ht="12.75" customHeight="1" x14ac:dyDescent="0.2">
      <c r="A1076" s="681" t="s">
        <v>1208</v>
      </c>
      <c r="B1076" s="693" t="s">
        <v>3645</v>
      </c>
      <c r="C1076" s="672" t="s">
        <v>984</v>
      </c>
      <c r="D1076" s="673">
        <v>1998</v>
      </c>
      <c r="E1076" s="674">
        <v>5</v>
      </c>
      <c r="F1076" s="675">
        <v>0.2</v>
      </c>
      <c r="G1076" s="676">
        <v>1</v>
      </c>
      <c r="H1076" s="929">
        <v>0</v>
      </c>
      <c r="I1076" s="929">
        <v>0</v>
      </c>
      <c r="J1076" s="689">
        <f t="shared" si="17"/>
        <v>1</v>
      </c>
    </row>
    <row r="1077" spans="1:10" ht="12.75" customHeight="1" x14ac:dyDescent="0.2">
      <c r="A1077" s="681" t="s">
        <v>1208</v>
      </c>
      <c r="B1077" s="693" t="s">
        <v>3646</v>
      </c>
      <c r="C1077" s="672" t="s">
        <v>986</v>
      </c>
      <c r="D1077" s="673">
        <v>1985</v>
      </c>
      <c r="E1077" s="674">
        <v>10</v>
      </c>
      <c r="F1077" s="675">
        <v>0.1</v>
      </c>
      <c r="G1077" s="676">
        <v>1</v>
      </c>
      <c r="H1077" s="929">
        <v>0</v>
      </c>
      <c r="I1077" s="929">
        <v>0</v>
      </c>
      <c r="J1077" s="689">
        <f t="shared" si="17"/>
        <v>1</v>
      </c>
    </row>
    <row r="1078" spans="1:10" ht="12.75" customHeight="1" x14ac:dyDescent="0.2">
      <c r="A1078" s="681" t="s">
        <v>1208</v>
      </c>
      <c r="B1078" s="693" t="s">
        <v>3647</v>
      </c>
      <c r="C1078" s="672" t="s">
        <v>986</v>
      </c>
      <c r="D1078" s="673">
        <v>1985</v>
      </c>
      <c r="E1078" s="674">
        <v>10</v>
      </c>
      <c r="F1078" s="675">
        <v>0.1</v>
      </c>
      <c r="G1078" s="676">
        <v>1</v>
      </c>
      <c r="H1078" s="929">
        <v>0</v>
      </c>
      <c r="I1078" s="929">
        <v>0</v>
      </c>
      <c r="J1078" s="689">
        <f t="shared" si="17"/>
        <v>1</v>
      </c>
    </row>
    <row r="1079" spans="1:10" ht="12.75" customHeight="1" x14ac:dyDescent="0.2">
      <c r="A1079" s="681" t="s">
        <v>1208</v>
      </c>
      <c r="B1079" s="693" t="s">
        <v>3648</v>
      </c>
      <c r="C1079" s="672" t="s">
        <v>977</v>
      </c>
      <c r="D1079" s="673">
        <v>1996</v>
      </c>
      <c r="E1079" s="674">
        <v>5</v>
      </c>
      <c r="F1079" s="675">
        <v>0.2</v>
      </c>
      <c r="G1079" s="676">
        <v>1</v>
      </c>
      <c r="H1079" s="929">
        <v>0</v>
      </c>
      <c r="I1079" s="929">
        <v>0</v>
      </c>
      <c r="J1079" s="689">
        <f t="shared" si="17"/>
        <v>1</v>
      </c>
    </row>
    <row r="1080" spans="1:10" ht="12.75" customHeight="1" x14ac:dyDescent="0.2">
      <c r="A1080" s="681" t="s">
        <v>1208</v>
      </c>
      <c r="B1080" s="693" t="s">
        <v>3649</v>
      </c>
      <c r="C1080" s="672" t="s">
        <v>993</v>
      </c>
      <c r="D1080" s="673">
        <v>1980</v>
      </c>
      <c r="E1080" s="674">
        <v>10</v>
      </c>
      <c r="F1080" s="675">
        <v>0.1</v>
      </c>
      <c r="G1080" s="676">
        <v>1</v>
      </c>
      <c r="H1080" s="929">
        <v>0</v>
      </c>
      <c r="I1080" s="929">
        <v>0</v>
      </c>
      <c r="J1080" s="689">
        <f t="shared" si="17"/>
        <v>1</v>
      </c>
    </row>
    <row r="1081" spans="1:10" ht="12.75" customHeight="1" x14ac:dyDescent="0.2">
      <c r="A1081" s="681" t="s">
        <v>1208</v>
      </c>
      <c r="B1081" s="693" t="s">
        <v>3650</v>
      </c>
      <c r="C1081" s="672" t="s">
        <v>993</v>
      </c>
      <c r="D1081" s="673">
        <v>1986</v>
      </c>
      <c r="E1081" s="674">
        <v>10</v>
      </c>
      <c r="F1081" s="675">
        <v>0.1</v>
      </c>
      <c r="G1081" s="676">
        <v>1</v>
      </c>
      <c r="H1081" s="929">
        <v>0</v>
      </c>
      <c r="I1081" s="929">
        <v>0</v>
      </c>
      <c r="J1081" s="689">
        <f t="shared" si="17"/>
        <v>1</v>
      </c>
    </row>
    <row r="1082" spans="1:10" ht="12.75" customHeight="1" x14ac:dyDescent="0.2">
      <c r="A1082" s="681" t="s">
        <v>1208</v>
      </c>
      <c r="B1082" s="693" t="s">
        <v>3651</v>
      </c>
      <c r="C1082" s="672" t="s">
        <v>994</v>
      </c>
      <c r="D1082" s="673">
        <v>2008</v>
      </c>
      <c r="E1082" s="674">
        <v>10</v>
      </c>
      <c r="F1082" s="675">
        <v>0.1</v>
      </c>
      <c r="G1082" s="676">
        <v>1</v>
      </c>
      <c r="H1082" s="929">
        <v>0</v>
      </c>
      <c r="I1082" s="929">
        <v>0</v>
      </c>
      <c r="J1082" s="689">
        <f t="shared" si="17"/>
        <v>1</v>
      </c>
    </row>
    <row r="1083" spans="1:10" ht="12.75" customHeight="1" x14ac:dyDescent="0.2">
      <c r="A1083" s="681" t="s">
        <v>1208</v>
      </c>
      <c r="B1083" s="693" t="s">
        <v>3652</v>
      </c>
      <c r="C1083" s="672" t="s">
        <v>995</v>
      </c>
      <c r="D1083" s="673">
        <v>2008</v>
      </c>
      <c r="E1083" s="674">
        <v>10</v>
      </c>
      <c r="F1083" s="675">
        <v>0.1</v>
      </c>
      <c r="G1083" s="676">
        <v>1</v>
      </c>
      <c r="H1083" s="929">
        <v>0</v>
      </c>
      <c r="I1083" s="929">
        <v>0</v>
      </c>
      <c r="J1083" s="689">
        <f t="shared" si="17"/>
        <v>1</v>
      </c>
    </row>
    <row r="1084" spans="1:10" ht="12.75" customHeight="1" x14ac:dyDescent="0.2">
      <c r="A1084" s="681" t="s">
        <v>1208</v>
      </c>
      <c r="B1084" s="693" t="s">
        <v>3653</v>
      </c>
      <c r="C1084" s="672" t="s">
        <v>996</v>
      </c>
      <c r="D1084" s="673">
        <v>1999</v>
      </c>
      <c r="E1084" s="674">
        <v>5</v>
      </c>
      <c r="F1084" s="675">
        <v>0.2</v>
      </c>
      <c r="G1084" s="676">
        <v>1</v>
      </c>
      <c r="H1084" s="929">
        <v>0</v>
      </c>
      <c r="I1084" s="929">
        <v>0</v>
      </c>
      <c r="J1084" s="689">
        <f t="shared" si="17"/>
        <v>1</v>
      </c>
    </row>
    <row r="1085" spans="1:10" ht="12.75" customHeight="1" x14ac:dyDescent="0.2">
      <c r="A1085" s="681" t="s">
        <v>1208</v>
      </c>
      <c r="B1085" s="693" t="s">
        <v>3654</v>
      </c>
      <c r="C1085" s="672" t="s">
        <v>997</v>
      </c>
      <c r="D1085" s="673">
        <v>1989</v>
      </c>
      <c r="E1085" s="674">
        <v>5</v>
      </c>
      <c r="F1085" s="675">
        <v>0.2</v>
      </c>
      <c r="G1085" s="676">
        <v>1</v>
      </c>
      <c r="H1085" s="929">
        <v>0</v>
      </c>
      <c r="I1085" s="929">
        <v>0</v>
      </c>
      <c r="J1085" s="689">
        <f t="shared" si="17"/>
        <v>1</v>
      </c>
    </row>
    <row r="1086" spans="1:10" ht="12.75" customHeight="1" x14ac:dyDescent="0.2">
      <c r="A1086" s="681" t="s">
        <v>1208</v>
      </c>
      <c r="B1086" s="693" t="s">
        <v>3655</v>
      </c>
      <c r="C1086" s="672" t="s">
        <v>999</v>
      </c>
      <c r="D1086" s="673">
        <v>1994</v>
      </c>
      <c r="E1086" s="674">
        <v>5</v>
      </c>
      <c r="F1086" s="675">
        <v>0.2</v>
      </c>
      <c r="G1086" s="676">
        <v>1</v>
      </c>
      <c r="H1086" s="929">
        <v>0</v>
      </c>
      <c r="I1086" s="929">
        <v>0</v>
      </c>
      <c r="J1086" s="689">
        <f t="shared" si="17"/>
        <v>1</v>
      </c>
    </row>
    <row r="1087" spans="1:10" ht="12.75" customHeight="1" x14ac:dyDescent="0.2">
      <c r="A1087" s="681" t="s">
        <v>1208</v>
      </c>
      <c r="B1087" s="693" t="s">
        <v>3656</v>
      </c>
      <c r="C1087" s="672" t="s">
        <v>1001</v>
      </c>
      <c r="D1087" s="673">
        <v>39498</v>
      </c>
      <c r="E1087" s="674">
        <v>5</v>
      </c>
      <c r="F1087" s="675">
        <v>0.2</v>
      </c>
      <c r="G1087" s="676">
        <v>1</v>
      </c>
      <c r="H1087" s="929">
        <v>0</v>
      </c>
      <c r="I1087" s="929">
        <v>0</v>
      </c>
      <c r="J1087" s="689">
        <f t="shared" si="17"/>
        <v>1</v>
      </c>
    </row>
    <row r="1088" spans="1:10" ht="12.75" customHeight="1" x14ac:dyDescent="0.2">
      <c r="A1088" s="681" t="s">
        <v>1208</v>
      </c>
      <c r="B1088" s="693" t="s">
        <v>3657</v>
      </c>
      <c r="C1088" s="672" t="s">
        <v>1001</v>
      </c>
      <c r="D1088" s="673">
        <v>39498</v>
      </c>
      <c r="E1088" s="674">
        <v>5</v>
      </c>
      <c r="F1088" s="675">
        <v>0.2</v>
      </c>
      <c r="G1088" s="676">
        <v>1</v>
      </c>
      <c r="H1088" s="929">
        <v>0</v>
      </c>
      <c r="I1088" s="929">
        <v>0</v>
      </c>
      <c r="J1088" s="689">
        <f t="shared" si="17"/>
        <v>1</v>
      </c>
    </row>
    <row r="1089" spans="1:10" ht="12.75" customHeight="1" x14ac:dyDescent="0.2">
      <c r="A1089" s="681" t="s">
        <v>1208</v>
      </c>
      <c r="B1089" s="693" t="s">
        <v>3658</v>
      </c>
      <c r="C1089" s="672" t="s">
        <v>1001</v>
      </c>
      <c r="D1089" s="673">
        <v>39498</v>
      </c>
      <c r="E1089" s="674">
        <v>5</v>
      </c>
      <c r="F1089" s="675">
        <v>0.2</v>
      </c>
      <c r="G1089" s="676">
        <v>1</v>
      </c>
      <c r="H1089" s="929">
        <v>0</v>
      </c>
      <c r="I1089" s="929">
        <v>0</v>
      </c>
      <c r="J1089" s="689">
        <f t="shared" si="17"/>
        <v>1</v>
      </c>
    </row>
    <row r="1090" spans="1:10" ht="12.75" customHeight="1" x14ac:dyDescent="0.2">
      <c r="A1090" s="681" t="s">
        <v>1208</v>
      </c>
      <c r="B1090" s="693" t="s">
        <v>3659</v>
      </c>
      <c r="C1090" s="672" t="s">
        <v>1001</v>
      </c>
      <c r="D1090" s="673">
        <v>39498</v>
      </c>
      <c r="E1090" s="674">
        <v>5</v>
      </c>
      <c r="F1090" s="675">
        <v>0.2</v>
      </c>
      <c r="G1090" s="676">
        <v>1</v>
      </c>
      <c r="H1090" s="929">
        <v>0</v>
      </c>
      <c r="I1090" s="929">
        <v>0</v>
      </c>
      <c r="J1090" s="689">
        <f t="shared" si="17"/>
        <v>1</v>
      </c>
    </row>
    <row r="1091" spans="1:10" ht="12.75" customHeight="1" x14ac:dyDescent="0.2">
      <c r="A1091" s="681" t="s">
        <v>1208</v>
      </c>
      <c r="B1091" s="693" t="s">
        <v>3660</v>
      </c>
      <c r="C1091" s="672" t="s">
        <v>1001</v>
      </c>
      <c r="D1091" s="673">
        <v>39498</v>
      </c>
      <c r="E1091" s="674">
        <v>5</v>
      </c>
      <c r="F1091" s="675">
        <v>0.2</v>
      </c>
      <c r="G1091" s="676">
        <v>1</v>
      </c>
      <c r="H1091" s="929">
        <v>0</v>
      </c>
      <c r="I1091" s="929">
        <v>0</v>
      </c>
      <c r="J1091" s="689">
        <f t="shared" si="17"/>
        <v>1</v>
      </c>
    </row>
    <row r="1092" spans="1:10" ht="12.75" customHeight="1" x14ac:dyDescent="0.2">
      <c r="A1092" s="681" t="s">
        <v>1208</v>
      </c>
      <c r="B1092" s="693" t="s">
        <v>3661</v>
      </c>
      <c r="C1092" s="672" t="s">
        <v>1001</v>
      </c>
      <c r="D1092" s="673">
        <v>39498</v>
      </c>
      <c r="E1092" s="674">
        <v>5</v>
      </c>
      <c r="F1092" s="675">
        <v>0.2</v>
      </c>
      <c r="G1092" s="676">
        <v>1</v>
      </c>
      <c r="H1092" s="929">
        <v>0</v>
      </c>
      <c r="I1092" s="929">
        <v>0</v>
      </c>
      <c r="J1092" s="689">
        <f t="shared" si="17"/>
        <v>1</v>
      </c>
    </row>
    <row r="1093" spans="1:10" ht="12.75" customHeight="1" x14ac:dyDescent="0.2">
      <c r="A1093" s="681" t="s">
        <v>1208</v>
      </c>
      <c r="B1093" s="693" t="s">
        <v>3662</v>
      </c>
      <c r="C1093" s="672" t="s">
        <v>1001</v>
      </c>
      <c r="D1093" s="673">
        <v>39498</v>
      </c>
      <c r="E1093" s="674">
        <v>5</v>
      </c>
      <c r="F1093" s="675">
        <v>0.2</v>
      </c>
      <c r="G1093" s="676">
        <v>1</v>
      </c>
      <c r="H1093" s="929">
        <v>0</v>
      </c>
      <c r="I1093" s="929">
        <v>0</v>
      </c>
      <c r="J1093" s="689">
        <f t="shared" si="17"/>
        <v>1</v>
      </c>
    </row>
    <row r="1094" spans="1:10" ht="12.75" customHeight="1" x14ac:dyDescent="0.2">
      <c r="A1094" s="681" t="s">
        <v>1208</v>
      </c>
      <c r="B1094" s="693" t="s">
        <v>3663</v>
      </c>
      <c r="C1094" s="672" t="s">
        <v>1001</v>
      </c>
      <c r="D1094" s="673">
        <v>39498</v>
      </c>
      <c r="E1094" s="674">
        <v>5</v>
      </c>
      <c r="F1094" s="675">
        <v>0.2</v>
      </c>
      <c r="G1094" s="676">
        <v>1</v>
      </c>
      <c r="H1094" s="929">
        <v>0</v>
      </c>
      <c r="I1094" s="929">
        <v>0</v>
      </c>
      <c r="J1094" s="689">
        <f t="shared" si="17"/>
        <v>1</v>
      </c>
    </row>
    <row r="1095" spans="1:10" ht="12.75" customHeight="1" x14ac:dyDescent="0.2">
      <c r="A1095" s="681" t="s">
        <v>1208</v>
      </c>
      <c r="B1095" s="693" t="s">
        <v>3664</v>
      </c>
      <c r="C1095" s="672" t="s">
        <v>1001</v>
      </c>
      <c r="D1095" s="673">
        <v>39498</v>
      </c>
      <c r="E1095" s="674">
        <v>5</v>
      </c>
      <c r="F1095" s="675">
        <v>0.2</v>
      </c>
      <c r="G1095" s="676">
        <v>1</v>
      </c>
      <c r="H1095" s="929">
        <v>0</v>
      </c>
      <c r="I1095" s="929">
        <v>0</v>
      </c>
      <c r="J1095" s="689">
        <f t="shared" ref="J1095:J1158" si="18">G1095-I1095</f>
        <v>1</v>
      </c>
    </row>
    <row r="1096" spans="1:10" ht="12.75" customHeight="1" x14ac:dyDescent="0.2">
      <c r="A1096" s="681" t="s">
        <v>1208</v>
      </c>
      <c r="B1096" s="693" t="s">
        <v>3665</v>
      </c>
      <c r="C1096" s="672" t="s">
        <v>1001</v>
      </c>
      <c r="D1096" s="673">
        <v>39498</v>
      </c>
      <c r="E1096" s="674">
        <v>5</v>
      </c>
      <c r="F1096" s="675">
        <v>0.2</v>
      </c>
      <c r="G1096" s="676">
        <v>1</v>
      </c>
      <c r="H1096" s="929">
        <v>0</v>
      </c>
      <c r="I1096" s="929">
        <v>0</v>
      </c>
      <c r="J1096" s="689">
        <f t="shared" si="18"/>
        <v>1</v>
      </c>
    </row>
    <row r="1097" spans="1:10" ht="12.75" customHeight="1" x14ac:dyDescent="0.2">
      <c r="A1097" s="681" t="s">
        <v>1208</v>
      </c>
      <c r="B1097" s="693" t="s">
        <v>3666</v>
      </c>
      <c r="C1097" s="672" t="s">
        <v>1001</v>
      </c>
      <c r="D1097" s="673">
        <v>39498</v>
      </c>
      <c r="E1097" s="674">
        <v>5</v>
      </c>
      <c r="F1097" s="675">
        <v>0.2</v>
      </c>
      <c r="G1097" s="676">
        <v>1</v>
      </c>
      <c r="H1097" s="929">
        <v>0</v>
      </c>
      <c r="I1097" s="929">
        <v>0</v>
      </c>
      <c r="J1097" s="689">
        <f t="shared" si="18"/>
        <v>1</v>
      </c>
    </row>
    <row r="1098" spans="1:10" ht="12.75" customHeight="1" x14ac:dyDescent="0.2">
      <c r="A1098" s="681" t="s">
        <v>1208</v>
      </c>
      <c r="B1098" s="693" t="s">
        <v>3667</v>
      </c>
      <c r="C1098" s="672" t="s">
        <v>1001</v>
      </c>
      <c r="D1098" s="673">
        <v>39498</v>
      </c>
      <c r="E1098" s="674">
        <v>5</v>
      </c>
      <c r="F1098" s="675">
        <v>0.2</v>
      </c>
      <c r="G1098" s="676">
        <v>1</v>
      </c>
      <c r="H1098" s="929">
        <v>0</v>
      </c>
      <c r="I1098" s="929">
        <v>0</v>
      </c>
      <c r="J1098" s="689">
        <f t="shared" si="18"/>
        <v>1</v>
      </c>
    </row>
    <row r="1099" spans="1:10" ht="12.75" customHeight="1" x14ac:dyDescent="0.2">
      <c r="A1099" s="681" t="s">
        <v>1208</v>
      </c>
      <c r="B1099" s="693" t="s">
        <v>3668</v>
      </c>
      <c r="C1099" s="672" t="s">
        <v>1001</v>
      </c>
      <c r="D1099" s="673">
        <v>39498</v>
      </c>
      <c r="E1099" s="674">
        <v>5</v>
      </c>
      <c r="F1099" s="675">
        <v>0.2</v>
      </c>
      <c r="G1099" s="676">
        <v>1</v>
      </c>
      <c r="H1099" s="929">
        <v>0</v>
      </c>
      <c r="I1099" s="929">
        <v>0</v>
      </c>
      <c r="J1099" s="689">
        <f t="shared" si="18"/>
        <v>1</v>
      </c>
    </row>
    <row r="1100" spans="1:10" ht="12.75" customHeight="1" x14ac:dyDescent="0.2">
      <c r="A1100" s="681" t="s">
        <v>1208</v>
      </c>
      <c r="B1100" s="693" t="s">
        <v>3669</v>
      </c>
      <c r="C1100" s="672" t="s">
        <v>1001</v>
      </c>
      <c r="D1100" s="673">
        <v>39498</v>
      </c>
      <c r="E1100" s="674">
        <v>5</v>
      </c>
      <c r="F1100" s="675">
        <v>0.2</v>
      </c>
      <c r="G1100" s="676">
        <v>1</v>
      </c>
      <c r="H1100" s="929">
        <v>0</v>
      </c>
      <c r="I1100" s="929">
        <v>0</v>
      </c>
      <c r="J1100" s="689">
        <f t="shared" si="18"/>
        <v>1</v>
      </c>
    </row>
    <row r="1101" spans="1:10" ht="12.75" customHeight="1" x14ac:dyDescent="0.2">
      <c r="A1101" s="681" t="s">
        <v>1208</v>
      </c>
      <c r="B1101" s="693" t="s">
        <v>3670</v>
      </c>
      <c r="C1101" s="672" t="s">
        <v>1000</v>
      </c>
      <c r="D1101" s="673">
        <v>39498</v>
      </c>
      <c r="E1101" s="674">
        <v>5</v>
      </c>
      <c r="F1101" s="675">
        <v>0.2</v>
      </c>
      <c r="G1101" s="676">
        <v>1</v>
      </c>
      <c r="H1101" s="929">
        <v>0</v>
      </c>
      <c r="I1101" s="929">
        <v>0</v>
      </c>
      <c r="J1101" s="689">
        <f t="shared" si="18"/>
        <v>1</v>
      </c>
    </row>
    <row r="1102" spans="1:10" ht="12.75" customHeight="1" x14ac:dyDescent="0.2">
      <c r="A1102" s="681" t="s">
        <v>1208</v>
      </c>
      <c r="B1102" s="693" t="s">
        <v>3671</v>
      </c>
      <c r="C1102" s="672" t="s">
        <v>1000</v>
      </c>
      <c r="D1102" s="673">
        <v>39498</v>
      </c>
      <c r="E1102" s="674">
        <v>5</v>
      </c>
      <c r="F1102" s="675">
        <v>0.2</v>
      </c>
      <c r="G1102" s="676">
        <v>1</v>
      </c>
      <c r="H1102" s="929">
        <v>0</v>
      </c>
      <c r="I1102" s="929">
        <v>0</v>
      </c>
      <c r="J1102" s="689">
        <f t="shared" si="18"/>
        <v>1</v>
      </c>
    </row>
    <row r="1103" spans="1:10" ht="12.75" customHeight="1" x14ac:dyDescent="0.2">
      <c r="A1103" s="681" t="s">
        <v>1208</v>
      </c>
      <c r="B1103" s="693" t="s">
        <v>3672</v>
      </c>
      <c r="C1103" s="672" t="s">
        <v>1000</v>
      </c>
      <c r="D1103" s="673">
        <v>39498</v>
      </c>
      <c r="E1103" s="674">
        <v>5</v>
      </c>
      <c r="F1103" s="675">
        <v>0.2</v>
      </c>
      <c r="G1103" s="676">
        <v>1</v>
      </c>
      <c r="H1103" s="929">
        <v>0</v>
      </c>
      <c r="I1103" s="929">
        <v>0</v>
      </c>
      <c r="J1103" s="689">
        <f t="shared" si="18"/>
        <v>1</v>
      </c>
    </row>
    <row r="1104" spans="1:10" ht="12.75" customHeight="1" x14ac:dyDescent="0.2">
      <c r="A1104" s="681" t="s">
        <v>1208</v>
      </c>
      <c r="B1104" s="693" t="s">
        <v>3673</v>
      </c>
      <c r="C1104" s="672" t="s">
        <v>1000</v>
      </c>
      <c r="D1104" s="673">
        <v>39498</v>
      </c>
      <c r="E1104" s="674">
        <v>5</v>
      </c>
      <c r="F1104" s="675">
        <v>0.2</v>
      </c>
      <c r="G1104" s="676">
        <v>1</v>
      </c>
      <c r="H1104" s="929">
        <v>0</v>
      </c>
      <c r="I1104" s="929">
        <v>0</v>
      </c>
      <c r="J1104" s="689">
        <f t="shared" si="18"/>
        <v>1</v>
      </c>
    </row>
    <row r="1105" spans="1:10" ht="12.75" customHeight="1" x14ac:dyDescent="0.2">
      <c r="A1105" s="681" t="s">
        <v>1208</v>
      </c>
      <c r="B1105" s="693" t="s">
        <v>3674</v>
      </c>
      <c r="C1105" s="672" t="s">
        <v>1000</v>
      </c>
      <c r="D1105" s="673">
        <v>39498</v>
      </c>
      <c r="E1105" s="674">
        <v>5</v>
      </c>
      <c r="F1105" s="675">
        <v>0.2</v>
      </c>
      <c r="G1105" s="676">
        <v>1</v>
      </c>
      <c r="H1105" s="929">
        <v>0</v>
      </c>
      <c r="I1105" s="929">
        <v>0</v>
      </c>
      <c r="J1105" s="689">
        <f t="shared" si="18"/>
        <v>1</v>
      </c>
    </row>
    <row r="1106" spans="1:10" ht="12.75" customHeight="1" x14ac:dyDescent="0.2">
      <c r="A1106" s="681" t="s">
        <v>2372</v>
      </c>
      <c r="B1106" s="693" t="s">
        <v>3675</v>
      </c>
      <c r="C1106" s="672" t="s">
        <v>1007</v>
      </c>
      <c r="D1106" s="673">
        <v>34750</v>
      </c>
      <c r="E1106" s="674">
        <v>10</v>
      </c>
      <c r="F1106" s="675">
        <v>0.1</v>
      </c>
      <c r="G1106" s="676">
        <v>1</v>
      </c>
      <c r="H1106" s="929">
        <v>0</v>
      </c>
      <c r="I1106" s="929">
        <v>0</v>
      </c>
      <c r="J1106" s="689">
        <f t="shared" si="18"/>
        <v>1</v>
      </c>
    </row>
    <row r="1107" spans="1:10" ht="12.75" customHeight="1" x14ac:dyDescent="0.2">
      <c r="A1107" s="681" t="s">
        <v>2372</v>
      </c>
      <c r="B1107" s="693" t="s">
        <v>3676</v>
      </c>
      <c r="C1107" s="672" t="s">
        <v>1007</v>
      </c>
      <c r="D1107" s="673">
        <v>35115</v>
      </c>
      <c r="E1107" s="674">
        <v>10</v>
      </c>
      <c r="F1107" s="675">
        <v>0.1</v>
      </c>
      <c r="G1107" s="676">
        <v>1</v>
      </c>
      <c r="H1107" s="929">
        <v>0</v>
      </c>
      <c r="I1107" s="929">
        <v>0</v>
      </c>
      <c r="J1107" s="689">
        <f t="shared" si="18"/>
        <v>1</v>
      </c>
    </row>
    <row r="1108" spans="1:10" ht="12.75" customHeight="1" x14ac:dyDescent="0.2">
      <c r="A1108" s="681" t="s">
        <v>2372</v>
      </c>
      <c r="B1108" s="693" t="s">
        <v>3677</v>
      </c>
      <c r="C1108" s="672" t="s">
        <v>1007</v>
      </c>
      <c r="D1108" s="673">
        <v>39864</v>
      </c>
      <c r="E1108" s="674">
        <v>10</v>
      </c>
      <c r="F1108" s="675">
        <v>0.1</v>
      </c>
      <c r="G1108" s="676">
        <v>1</v>
      </c>
      <c r="H1108" s="929">
        <v>0</v>
      </c>
      <c r="I1108" s="929">
        <v>0</v>
      </c>
      <c r="J1108" s="689">
        <f t="shared" si="18"/>
        <v>1</v>
      </c>
    </row>
    <row r="1109" spans="1:10" ht="12.75" customHeight="1" x14ac:dyDescent="0.2">
      <c r="A1109" s="681" t="s">
        <v>2372</v>
      </c>
      <c r="B1109" s="693" t="s">
        <v>3678</v>
      </c>
      <c r="C1109" s="672" t="s">
        <v>1007</v>
      </c>
      <c r="D1109" s="673">
        <v>40594</v>
      </c>
      <c r="E1109" s="674">
        <v>10</v>
      </c>
      <c r="F1109" s="675">
        <v>0.1</v>
      </c>
      <c r="G1109" s="676">
        <v>1</v>
      </c>
      <c r="H1109" s="929">
        <v>0</v>
      </c>
      <c r="I1109" s="929">
        <v>0</v>
      </c>
      <c r="J1109" s="689">
        <f t="shared" si="18"/>
        <v>1</v>
      </c>
    </row>
    <row r="1110" spans="1:10" ht="12.75" customHeight="1" x14ac:dyDescent="0.2">
      <c r="A1110" s="681" t="s">
        <v>2372</v>
      </c>
      <c r="B1110" s="693" t="s">
        <v>3679</v>
      </c>
      <c r="C1110" s="672" t="s">
        <v>1007</v>
      </c>
      <c r="D1110" s="673">
        <v>40594</v>
      </c>
      <c r="E1110" s="674">
        <v>10</v>
      </c>
      <c r="F1110" s="675">
        <v>0.1</v>
      </c>
      <c r="G1110" s="676">
        <v>1</v>
      </c>
      <c r="H1110" s="929">
        <v>0</v>
      </c>
      <c r="I1110" s="929">
        <v>0</v>
      </c>
      <c r="J1110" s="689">
        <f t="shared" si="18"/>
        <v>1</v>
      </c>
    </row>
    <row r="1111" spans="1:10" ht="12.75" customHeight="1" x14ac:dyDescent="0.2">
      <c r="A1111" s="681" t="s">
        <v>2372</v>
      </c>
      <c r="B1111" s="693" t="s">
        <v>3680</v>
      </c>
      <c r="C1111" s="672" t="s">
        <v>1007</v>
      </c>
      <c r="D1111" s="673">
        <v>39864</v>
      </c>
      <c r="E1111" s="674">
        <v>10</v>
      </c>
      <c r="F1111" s="675">
        <v>0.1</v>
      </c>
      <c r="G1111" s="676">
        <v>1</v>
      </c>
      <c r="H1111" s="929">
        <v>0</v>
      </c>
      <c r="I1111" s="929">
        <v>0</v>
      </c>
      <c r="J1111" s="689">
        <f t="shared" si="18"/>
        <v>1</v>
      </c>
    </row>
    <row r="1112" spans="1:10" ht="12.75" customHeight="1" x14ac:dyDescent="0.2">
      <c r="A1112" s="681" t="s">
        <v>2372</v>
      </c>
      <c r="B1112" s="693" t="s">
        <v>3681</v>
      </c>
      <c r="C1112" s="672" t="s">
        <v>1007</v>
      </c>
      <c r="D1112" s="673">
        <v>39498</v>
      </c>
      <c r="E1112" s="674">
        <v>10</v>
      </c>
      <c r="F1112" s="675">
        <v>0.1</v>
      </c>
      <c r="G1112" s="676">
        <v>1</v>
      </c>
      <c r="H1112" s="929">
        <v>0</v>
      </c>
      <c r="I1112" s="929">
        <v>0</v>
      </c>
      <c r="J1112" s="689">
        <f t="shared" si="18"/>
        <v>1</v>
      </c>
    </row>
    <row r="1113" spans="1:10" ht="12.75" customHeight="1" x14ac:dyDescent="0.2">
      <c r="A1113" s="681" t="s">
        <v>2372</v>
      </c>
      <c r="B1113" s="693" t="s">
        <v>3682</v>
      </c>
      <c r="C1113" s="672" t="s">
        <v>1007</v>
      </c>
      <c r="D1113" s="673">
        <v>39498</v>
      </c>
      <c r="E1113" s="674">
        <v>10</v>
      </c>
      <c r="F1113" s="675">
        <v>0.1</v>
      </c>
      <c r="G1113" s="676">
        <v>1</v>
      </c>
      <c r="H1113" s="929">
        <v>0</v>
      </c>
      <c r="I1113" s="929">
        <v>0</v>
      </c>
      <c r="J1113" s="689">
        <f t="shared" si="18"/>
        <v>1</v>
      </c>
    </row>
    <row r="1114" spans="1:10" ht="12.75" customHeight="1" x14ac:dyDescent="0.2">
      <c r="A1114" s="681" t="s">
        <v>2372</v>
      </c>
      <c r="B1114" s="693" t="s">
        <v>3683</v>
      </c>
      <c r="C1114" s="672" t="s">
        <v>1007</v>
      </c>
      <c r="D1114" s="673">
        <v>39498</v>
      </c>
      <c r="E1114" s="674">
        <v>10</v>
      </c>
      <c r="F1114" s="675">
        <v>0.1</v>
      </c>
      <c r="G1114" s="676">
        <v>1</v>
      </c>
      <c r="H1114" s="929">
        <v>0</v>
      </c>
      <c r="I1114" s="929">
        <v>0</v>
      </c>
      <c r="J1114" s="689">
        <f t="shared" si="18"/>
        <v>1</v>
      </c>
    </row>
    <row r="1115" spans="1:10" ht="12.75" customHeight="1" x14ac:dyDescent="0.2">
      <c r="A1115" s="681" t="s">
        <v>2372</v>
      </c>
      <c r="B1115" s="693" t="s">
        <v>3684</v>
      </c>
      <c r="C1115" s="672" t="s">
        <v>1007</v>
      </c>
      <c r="D1115" s="673">
        <v>39498</v>
      </c>
      <c r="E1115" s="674">
        <v>10</v>
      </c>
      <c r="F1115" s="675">
        <v>0.1</v>
      </c>
      <c r="G1115" s="676">
        <v>1</v>
      </c>
      <c r="H1115" s="929">
        <v>0</v>
      </c>
      <c r="I1115" s="929">
        <v>0</v>
      </c>
      <c r="J1115" s="689">
        <f t="shared" si="18"/>
        <v>1</v>
      </c>
    </row>
    <row r="1116" spans="1:10" ht="12.75" customHeight="1" x14ac:dyDescent="0.2">
      <c r="A1116" s="681" t="s">
        <v>2372</v>
      </c>
      <c r="B1116" s="693" t="s">
        <v>3685</v>
      </c>
      <c r="C1116" s="672" t="s">
        <v>1007</v>
      </c>
      <c r="D1116" s="673">
        <v>39498</v>
      </c>
      <c r="E1116" s="674">
        <v>10</v>
      </c>
      <c r="F1116" s="675">
        <v>0.1</v>
      </c>
      <c r="G1116" s="676">
        <v>1</v>
      </c>
      <c r="H1116" s="929">
        <v>0</v>
      </c>
      <c r="I1116" s="929">
        <v>0</v>
      </c>
      <c r="J1116" s="689">
        <f t="shared" si="18"/>
        <v>1</v>
      </c>
    </row>
    <row r="1117" spans="1:10" ht="12.75" customHeight="1" x14ac:dyDescent="0.2">
      <c r="A1117" s="681" t="s">
        <v>2372</v>
      </c>
      <c r="B1117" s="693" t="s">
        <v>3686</v>
      </c>
      <c r="C1117" s="672" t="s">
        <v>1007</v>
      </c>
      <c r="D1117" s="673">
        <v>39498</v>
      </c>
      <c r="E1117" s="674">
        <v>10</v>
      </c>
      <c r="F1117" s="675">
        <v>0.1</v>
      </c>
      <c r="G1117" s="676">
        <v>1</v>
      </c>
      <c r="H1117" s="929">
        <v>0</v>
      </c>
      <c r="I1117" s="929">
        <v>0</v>
      </c>
      <c r="J1117" s="689">
        <f t="shared" si="18"/>
        <v>1</v>
      </c>
    </row>
    <row r="1118" spans="1:10" ht="12.75" customHeight="1" x14ac:dyDescent="0.2">
      <c r="A1118" s="681" t="s">
        <v>2372</v>
      </c>
      <c r="B1118" s="693" t="s">
        <v>3687</v>
      </c>
      <c r="C1118" s="672" t="s">
        <v>1007</v>
      </c>
      <c r="D1118" s="673">
        <v>39864</v>
      </c>
      <c r="E1118" s="674">
        <v>10</v>
      </c>
      <c r="F1118" s="675">
        <v>0.1</v>
      </c>
      <c r="G1118" s="676">
        <v>1</v>
      </c>
      <c r="H1118" s="929">
        <v>0</v>
      </c>
      <c r="I1118" s="929">
        <v>0</v>
      </c>
      <c r="J1118" s="689">
        <f t="shared" si="18"/>
        <v>1</v>
      </c>
    </row>
    <row r="1119" spans="1:10" ht="12.75" customHeight="1" x14ac:dyDescent="0.2">
      <c r="A1119" s="681" t="s">
        <v>2372</v>
      </c>
      <c r="B1119" s="693" t="s">
        <v>3688</v>
      </c>
      <c r="C1119" s="672" t="s">
        <v>1007</v>
      </c>
      <c r="D1119" s="673">
        <v>39864</v>
      </c>
      <c r="E1119" s="674">
        <v>10</v>
      </c>
      <c r="F1119" s="675">
        <v>0.1</v>
      </c>
      <c r="G1119" s="676">
        <v>1</v>
      </c>
      <c r="H1119" s="929">
        <v>0</v>
      </c>
      <c r="I1119" s="929">
        <v>0</v>
      </c>
      <c r="J1119" s="689">
        <f t="shared" si="18"/>
        <v>1</v>
      </c>
    </row>
    <row r="1120" spans="1:10" ht="12.75" customHeight="1" x14ac:dyDescent="0.2">
      <c r="A1120" s="681" t="s">
        <v>2372</v>
      </c>
      <c r="B1120" s="693" t="s">
        <v>3689</v>
      </c>
      <c r="C1120" s="672" t="s">
        <v>1007</v>
      </c>
      <c r="D1120" s="673">
        <v>39498</v>
      </c>
      <c r="E1120" s="674">
        <v>10</v>
      </c>
      <c r="F1120" s="675">
        <v>0.1</v>
      </c>
      <c r="G1120" s="676">
        <v>1</v>
      </c>
      <c r="H1120" s="929">
        <v>0</v>
      </c>
      <c r="I1120" s="929">
        <v>0</v>
      </c>
      <c r="J1120" s="689">
        <f t="shared" si="18"/>
        <v>1</v>
      </c>
    </row>
    <row r="1121" spans="1:10" ht="12.75" customHeight="1" x14ac:dyDescent="0.2">
      <c r="A1121" s="681" t="s">
        <v>2372</v>
      </c>
      <c r="B1121" s="693" t="s">
        <v>3690</v>
      </c>
      <c r="C1121" s="672" t="s">
        <v>1007</v>
      </c>
      <c r="D1121" s="673">
        <v>39864</v>
      </c>
      <c r="E1121" s="674">
        <v>10</v>
      </c>
      <c r="F1121" s="675">
        <v>0.1</v>
      </c>
      <c r="G1121" s="676">
        <v>1</v>
      </c>
      <c r="H1121" s="929">
        <v>0</v>
      </c>
      <c r="I1121" s="929">
        <v>0</v>
      </c>
      <c r="J1121" s="689">
        <f t="shared" si="18"/>
        <v>1</v>
      </c>
    </row>
    <row r="1122" spans="1:10" ht="12.75" customHeight="1" x14ac:dyDescent="0.2">
      <c r="A1122" s="681" t="s">
        <v>2372</v>
      </c>
      <c r="B1122" s="693" t="s">
        <v>3691</v>
      </c>
      <c r="C1122" s="672" t="s">
        <v>1007</v>
      </c>
      <c r="D1122" s="673">
        <v>39133</v>
      </c>
      <c r="E1122" s="674">
        <v>10</v>
      </c>
      <c r="F1122" s="675">
        <v>0.1</v>
      </c>
      <c r="G1122" s="676">
        <v>1</v>
      </c>
      <c r="H1122" s="929">
        <v>0</v>
      </c>
      <c r="I1122" s="929">
        <v>0</v>
      </c>
      <c r="J1122" s="689">
        <f t="shared" si="18"/>
        <v>1</v>
      </c>
    </row>
    <row r="1123" spans="1:10" ht="12.75" customHeight="1" x14ac:dyDescent="0.2">
      <c r="A1123" s="681" t="s">
        <v>2372</v>
      </c>
      <c r="B1123" s="693" t="s">
        <v>3692</v>
      </c>
      <c r="C1123" s="672" t="s">
        <v>1007</v>
      </c>
      <c r="D1123" s="673">
        <v>36576</v>
      </c>
      <c r="E1123" s="674">
        <v>10</v>
      </c>
      <c r="F1123" s="675">
        <v>0.1</v>
      </c>
      <c r="G1123" s="676">
        <v>1</v>
      </c>
      <c r="H1123" s="929">
        <v>0</v>
      </c>
      <c r="I1123" s="929">
        <v>0</v>
      </c>
      <c r="J1123" s="689">
        <f t="shared" si="18"/>
        <v>1</v>
      </c>
    </row>
    <row r="1124" spans="1:10" ht="12.75" customHeight="1" x14ac:dyDescent="0.2">
      <c r="A1124" s="681" t="s">
        <v>2372</v>
      </c>
      <c r="B1124" s="693" t="s">
        <v>3693</v>
      </c>
      <c r="C1124" s="672" t="s">
        <v>1007</v>
      </c>
      <c r="D1124" s="673">
        <v>36576</v>
      </c>
      <c r="E1124" s="674">
        <v>10</v>
      </c>
      <c r="F1124" s="675">
        <v>0.1</v>
      </c>
      <c r="G1124" s="676">
        <v>1</v>
      </c>
      <c r="H1124" s="929">
        <v>0</v>
      </c>
      <c r="I1124" s="929">
        <v>0</v>
      </c>
      <c r="J1124" s="689">
        <f t="shared" si="18"/>
        <v>1</v>
      </c>
    </row>
    <row r="1125" spans="1:10" ht="12.75" customHeight="1" x14ac:dyDescent="0.2">
      <c r="A1125" s="681" t="s">
        <v>2372</v>
      </c>
      <c r="B1125" s="693" t="s">
        <v>3694</v>
      </c>
      <c r="C1125" s="672" t="s">
        <v>1009</v>
      </c>
      <c r="D1125" s="673">
        <v>36576</v>
      </c>
      <c r="E1125" s="674">
        <v>10</v>
      </c>
      <c r="F1125" s="675">
        <v>0.1</v>
      </c>
      <c r="G1125" s="676">
        <v>1</v>
      </c>
      <c r="H1125" s="929">
        <v>0</v>
      </c>
      <c r="I1125" s="929">
        <v>0</v>
      </c>
      <c r="J1125" s="689">
        <f t="shared" si="18"/>
        <v>1</v>
      </c>
    </row>
    <row r="1126" spans="1:10" ht="12.75" customHeight="1" x14ac:dyDescent="0.2">
      <c r="A1126" s="681" t="s">
        <v>2372</v>
      </c>
      <c r="B1126" s="693" t="s">
        <v>3695</v>
      </c>
      <c r="C1126" s="672" t="s">
        <v>1007</v>
      </c>
      <c r="D1126" s="673">
        <v>36576</v>
      </c>
      <c r="E1126" s="674">
        <v>10</v>
      </c>
      <c r="F1126" s="675">
        <v>0.1</v>
      </c>
      <c r="G1126" s="676">
        <v>1</v>
      </c>
      <c r="H1126" s="929">
        <v>0</v>
      </c>
      <c r="I1126" s="929">
        <v>0</v>
      </c>
      <c r="J1126" s="689">
        <f t="shared" si="18"/>
        <v>1</v>
      </c>
    </row>
    <row r="1127" spans="1:10" ht="12.75" customHeight="1" x14ac:dyDescent="0.2">
      <c r="A1127" s="681" t="s">
        <v>2372</v>
      </c>
      <c r="B1127" s="693" t="s">
        <v>3696</v>
      </c>
      <c r="C1127" s="672" t="s">
        <v>1007</v>
      </c>
      <c r="D1127" s="673">
        <v>35115</v>
      </c>
      <c r="E1127" s="674">
        <v>10</v>
      </c>
      <c r="F1127" s="675">
        <v>0.1</v>
      </c>
      <c r="G1127" s="676">
        <v>1</v>
      </c>
      <c r="H1127" s="929">
        <v>0</v>
      </c>
      <c r="I1127" s="929">
        <v>0</v>
      </c>
      <c r="J1127" s="689">
        <f t="shared" si="18"/>
        <v>1</v>
      </c>
    </row>
    <row r="1128" spans="1:10" ht="12.75" customHeight="1" x14ac:dyDescent="0.2">
      <c r="A1128" s="681" t="s">
        <v>2372</v>
      </c>
      <c r="B1128" s="693" t="s">
        <v>3697</v>
      </c>
      <c r="C1128" s="672" t="s">
        <v>1007</v>
      </c>
      <c r="D1128" s="673">
        <v>32924</v>
      </c>
      <c r="E1128" s="674">
        <v>10</v>
      </c>
      <c r="F1128" s="675">
        <v>0.1</v>
      </c>
      <c r="G1128" s="676">
        <v>1</v>
      </c>
      <c r="H1128" s="929">
        <v>0</v>
      </c>
      <c r="I1128" s="929">
        <v>0</v>
      </c>
      <c r="J1128" s="689">
        <f t="shared" si="18"/>
        <v>1</v>
      </c>
    </row>
    <row r="1129" spans="1:10" ht="12.75" customHeight="1" x14ac:dyDescent="0.2">
      <c r="A1129" s="681" t="s">
        <v>2372</v>
      </c>
      <c r="B1129" s="693" t="s">
        <v>3698</v>
      </c>
      <c r="C1129" s="672" t="s">
        <v>1009</v>
      </c>
      <c r="D1129" s="673">
        <v>40594</v>
      </c>
      <c r="E1129" s="674">
        <v>10</v>
      </c>
      <c r="F1129" s="675">
        <v>0.1</v>
      </c>
      <c r="G1129" s="676">
        <v>1</v>
      </c>
      <c r="H1129" s="929">
        <v>0</v>
      </c>
      <c r="I1129" s="929">
        <v>0</v>
      </c>
      <c r="J1129" s="689">
        <f t="shared" si="18"/>
        <v>1</v>
      </c>
    </row>
    <row r="1130" spans="1:10" ht="12.75" customHeight="1" x14ac:dyDescent="0.2">
      <c r="A1130" s="681" t="s">
        <v>2372</v>
      </c>
      <c r="B1130" s="693" t="s">
        <v>3699</v>
      </c>
      <c r="C1130" s="672" t="s">
        <v>1007</v>
      </c>
      <c r="D1130" s="673">
        <v>33289</v>
      </c>
      <c r="E1130" s="674">
        <v>10</v>
      </c>
      <c r="F1130" s="675">
        <v>0.1</v>
      </c>
      <c r="G1130" s="676">
        <v>1</v>
      </c>
      <c r="H1130" s="929">
        <v>0</v>
      </c>
      <c r="I1130" s="929">
        <v>0</v>
      </c>
      <c r="J1130" s="689">
        <f t="shared" si="18"/>
        <v>1</v>
      </c>
    </row>
    <row r="1131" spans="1:10" ht="12.75" customHeight="1" x14ac:dyDescent="0.2">
      <c r="A1131" s="681" t="s">
        <v>2372</v>
      </c>
      <c r="B1131" s="693" t="s">
        <v>3700</v>
      </c>
      <c r="C1131" s="672" t="s">
        <v>1007</v>
      </c>
      <c r="D1131" s="673">
        <v>32924</v>
      </c>
      <c r="E1131" s="674">
        <v>10</v>
      </c>
      <c r="F1131" s="675">
        <v>0.1</v>
      </c>
      <c r="G1131" s="676">
        <v>1</v>
      </c>
      <c r="H1131" s="929">
        <v>0</v>
      </c>
      <c r="I1131" s="929">
        <v>0</v>
      </c>
      <c r="J1131" s="689">
        <f t="shared" si="18"/>
        <v>1</v>
      </c>
    </row>
    <row r="1132" spans="1:10" ht="12.75" customHeight="1" x14ac:dyDescent="0.2">
      <c r="A1132" s="681" t="s">
        <v>2372</v>
      </c>
      <c r="B1132" s="693" t="s">
        <v>3701</v>
      </c>
      <c r="C1132" s="672" t="s">
        <v>1010</v>
      </c>
      <c r="D1132" s="673">
        <v>32924</v>
      </c>
      <c r="E1132" s="674">
        <v>10</v>
      </c>
      <c r="F1132" s="675">
        <v>0.1</v>
      </c>
      <c r="G1132" s="676">
        <v>1</v>
      </c>
      <c r="H1132" s="929">
        <v>0</v>
      </c>
      <c r="I1132" s="929">
        <v>0</v>
      </c>
      <c r="J1132" s="689">
        <f t="shared" si="18"/>
        <v>1</v>
      </c>
    </row>
    <row r="1133" spans="1:10" ht="12.75" customHeight="1" x14ac:dyDescent="0.2">
      <c r="A1133" s="681" t="s">
        <v>2372</v>
      </c>
      <c r="B1133" s="693" t="s">
        <v>3702</v>
      </c>
      <c r="C1133" s="672" t="s">
        <v>1010</v>
      </c>
      <c r="D1133" s="673">
        <v>36211</v>
      </c>
      <c r="E1133" s="674">
        <v>10</v>
      </c>
      <c r="F1133" s="675">
        <v>0.1</v>
      </c>
      <c r="G1133" s="676">
        <v>1</v>
      </c>
      <c r="H1133" s="929">
        <v>0</v>
      </c>
      <c r="I1133" s="929">
        <v>0</v>
      </c>
      <c r="J1133" s="689">
        <f t="shared" si="18"/>
        <v>1</v>
      </c>
    </row>
    <row r="1134" spans="1:10" ht="12.75" customHeight="1" x14ac:dyDescent="0.2">
      <c r="A1134" s="681" t="s">
        <v>2372</v>
      </c>
      <c r="B1134" s="693" t="s">
        <v>3703</v>
      </c>
      <c r="C1134" s="672" t="s">
        <v>1007</v>
      </c>
      <c r="D1134" s="673">
        <v>36211</v>
      </c>
      <c r="E1134" s="674">
        <v>10</v>
      </c>
      <c r="F1134" s="675">
        <v>0.1</v>
      </c>
      <c r="G1134" s="676">
        <v>1</v>
      </c>
      <c r="H1134" s="929">
        <v>0</v>
      </c>
      <c r="I1134" s="929">
        <v>0</v>
      </c>
      <c r="J1134" s="689">
        <f t="shared" si="18"/>
        <v>1</v>
      </c>
    </row>
    <row r="1135" spans="1:10" ht="12.75" customHeight="1" x14ac:dyDescent="0.2">
      <c r="A1135" s="681" t="s">
        <v>2372</v>
      </c>
      <c r="B1135" s="693" t="s">
        <v>3704</v>
      </c>
      <c r="C1135" s="672" t="s">
        <v>1007</v>
      </c>
      <c r="D1135" s="673">
        <v>36211</v>
      </c>
      <c r="E1135" s="674">
        <v>10</v>
      </c>
      <c r="F1135" s="675">
        <v>0.1</v>
      </c>
      <c r="G1135" s="676">
        <v>1</v>
      </c>
      <c r="H1135" s="929">
        <v>0</v>
      </c>
      <c r="I1135" s="929">
        <v>0</v>
      </c>
      <c r="J1135" s="689">
        <f t="shared" si="18"/>
        <v>1</v>
      </c>
    </row>
    <row r="1136" spans="1:10" ht="12.75" customHeight="1" x14ac:dyDescent="0.2">
      <c r="A1136" s="681" t="s">
        <v>2372</v>
      </c>
      <c r="B1136" s="693" t="s">
        <v>3705</v>
      </c>
      <c r="C1136" s="672" t="s">
        <v>1007</v>
      </c>
      <c r="D1136" s="673">
        <v>35481</v>
      </c>
      <c r="E1136" s="674">
        <v>10</v>
      </c>
      <c r="F1136" s="675">
        <v>0.1</v>
      </c>
      <c r="G1136" s="676">
        <v>1</v>
      </c>
      <c r="H1136" s="929">
        <v>0</v>
      </c>
      <c r="I1136" s="929">
        <v>0</v>
      </c>
      <c r="J1136" s="689">
        <f t="shared" si="18"/>
        <v>1</v>
      </c>
    </row>
    <row r="1137" spans="1:10" ht="12.75" customHeight="1" x14ac:dyDescent="0.2">
      <c r="A1137" s="681" t="s">
        <v>2372</v>
      </c>
      <c r="B1137" s="693" t="s">
        <v>3706</v>
      </c>
      <c r="C1137" s="672" t="s">
        <v>1010</v>
      </c>
      <c r="D1137" s="673">
        <v>40594</v>
      </c>
      <c r="E1137" s="674">
        <v>10</v>
      </c>
      <c r="F1137" s="675">
        <v>0.1</v>
      </c>
      <c r="G1137" s="676">
        <v>1</v>
      </c>
      <c r="H1137" s="929">
        <v>0</v>
      </c>
      <c r="I1137" s="929">
        <v>0</v>
      </c>
      <c r="J1137" s="689">
        <f t="shared" si="18"/>
        <v>1</v>
      </c>
    </row>
    <row r="1138" spans="1:10" ht="12.75" customHeight="1" x14ac:dyDescent="0.2">
      <c r="A1138" s="681" t="s">
        <v>2372</v>
      </c>
      <c r="B1138" s="693" t="s">
        <v>3707</v>
      </c>
      <c r="C1138" s="672" t="s">
        <v>1010</v>
      </c>
      <c r="D1138" s="673">
        <v>40594</v>
      </c>
      <c r="E1138" s="674">
        <v>10</v>
      </c>
      <c r="F1138" s="675">
        <v>0.1</v>
      </c>
      <c r="G1138" s="676">
        <v>1</v>
      </c>
      <c r="H1138" s="929">
        <v>0</v>
      </c>
      <c r="I1138" s="929">
        <v>0</v>
      </c>
      <c r="J1138" s="689">
        <f t="shared" si="18"/>
        <v>1</v>
      </c>
    </row>
    <row r="1139" spans="1:10" ht="12.75" customHeight="1" x14ac:dyDescent="0.2">
      <c r="A1139" s="681" t="s">
        <v>2372</v>
      </c>
      <c r="B1139" s="693" t="s">
        <v>3708</v>
      </c>
      <c r="C1139" s="672" t="s">
        <v>1007</v>
      </c>
      <c r="D1139" s="673">
        <v>40594</v>
      </c>
      <c r="E1139" s="674">
        <v>10</v>
      </c>
      <c r="F1139" s="675">
        <v>0.1</v>
      </c>
      <c r="G1139" s="676">
        <v>1</v>
      </c>
      <c r="H1139" s="929">
        <v>0</v>
      </c>
      <c r="I1139" s="929">
        <v>0</v>
      </c>
      <c r="J1139" s="689">
        <f t="shared" si="18"/>
        <v>1</v>
      </c>
    </row>
    <row r="1140" spans="1:10" ht="12.75" customHeight="1" x14ac:dyDescent="0.2">
      <c r="A1140" s="681" t="s">
        <v>2372</v>
      </c>
      <c r="B1140" s="693" t="s">
        <v>3709</v>
      </c>
      <c r="C1140" s="672" t="s">
        <v>1007</v>
      </c>
      <c r="D1140" s="673">
        <v>32924</v>
      </c>
      <c r="E1140" s="674">
        <v>10</v>
      </c>
      <c r="F1140" s="675">
        <v>0.1</v>
      </c>
      <c r="G1140" s="676">
        <v>1</v>
      </c>
      <c r="H1140" s="929">
        <v>0</v>
      </c>
      <c r="I1140" s="929">
        <v>0</v>
      </c>
      <c r="J1140" s="689">
        <f t="shared" si="18"/>
        <v>1</v>
      </c>
    </row>
    <row r="1141" spans="1:10" ht="12.75" customHeight="1" x14ac:dyDescent="0.2">
      <c r="A1141" s="681" t="s">
        <v>2372</v>
      </c>
      <c r="B1141" s="693" t="s">
        <v>3710</v>
      </c>
      <c r="C1141" s="672" t="s">
        <v>1007</v>
      </c>
      <c r="D1141" s="673">
        <v>40594</v>
      </c>
      <c r="E1141" s="674">
        <v>10</v>
      </c>
      <c r="F1141" s="675">
        <v>0.1</v>
      </c>
      <c r="G1141" s="676">
        <v>1</v>
      </c>
      <c r="H1141" s="929">
        <v>0</v>
      </c>
      <c r="I1141" s="929">
        <v>0</v>
      </c>
      <c r="J1141" s="689">
        <f t="shared" si="18"/>
        <v>1</v>
      </c>
    </row>
    <row r="1142" spans="1:10" ht="12.75" customHeight="1" x14ac:dyDescent="0.2">
      <c r="A1142" s="681" t="s">
        <v>2372</v>
      </c>
      <c r="B1142" s="693" t="s">
        <v>3711</v>
      </c>
      <c r="C1142" s="672" t="s">
        <v>1009</v>
      </c>
      <c r="D1142" s="673">
        <v>40594</v>
      </c>
      <c r="E1142" s="674">
        <v>10</v>
      </c>
      <c r="F1142" s="675">
        <v>0.1</v>
      </c>
      <c r="G1142" s="676">
        <v>1</v>
      </c>
      <c r="H1142" s="929">
        <v>0</v>
      </c>
      <c r="I1142" s="929">
        <v>0</v>
      </c>
      <c r="J1142" s="689">
        <f t="shared" si="18"/>
        <v>1</v>
      </c>
    </row>
    <row r="1143" spans="1:10" ht="12.75" customHeight="1" x14ac:dyDescent="0.2">
      <c r="A1143" s="681" t="s">
        <v>2372</v>
      </c>
      <c r="B1143" s="693" t="s">
        <v>3712</v>
      </c>
      <c r="C1143" s="672" t="s">
        <v>1007</v>
      </c>
      <c r="D1143" s="673">
        <v>40594</v>
      </c>
      <c r="E1143" s="674">
        <v>10</v>
      </c>
      <c r="F1143" s="675">
        <v>0.1</v>
      </c>
      <c r="G1143" s="676">
        <v>1</v>
      </c>
      <c r="H1143" s="929">
        <v>0</v>
      </c>
      <c r="I1143" s="929">
        <v>0</v>
      </c>
      <c r="J1143" s="689">
        <f t="shared" si="18"/>
        <v>1</v>
      </c>
    </row>
    <row r="1144" spans="1:10" ht="12.75" customHeight="1" x14ac:dyDescent="0.2">
      <c r="A1144" s="681" t="s">
        <v>2372</v>
      </c>
      <c r="B1144" s="693" t="s">
        <v>3713</v>
      </c>
      <c r="C1144" s="672" t="s">
        <v>1009</v>
      </c>
      <c r="D1144" s="673">
        <v>38037</v>
      </c>
      <c r="E1144" s="674">
        <v>10</v>
      </c>
      <c r="F1144" s="675">
        <v>0.1</v>
      </c>
      <c r="G1144" s="676">
        <v>1</v>
      </c>
      <c r="H1144" s="929">
        <v>0</v>
      </c>
      <c r="I1144" s="929">
        <v>0</v>
      </c>
      <c r="J1144" s="689">
        <f t="shared" si="18"/>
        <v>1</v>
      </c>
    </row>
    <row r="1145" spans="1:10" ht="12.75" customHeight="1" x14ac:dyDescent="0.2">
      <c r="A1145" s="681" t="s">
        <v>2372</v>
      </c>
      <c r="B1145" s="693" t="s">
        <v>3714</v>
      </c>
      <c r="C1145" s="672" t="s">
        <v>895</v>
      </c>
      <c r="D1145" s="673">
        <v>39498</v>
      </c>
      <c r="E1145" s="674">
        <v>3</v>
      </c>
      <c r="F1145" s="675">
        <v>0.33</v>
      </c>
      <c r="G1145" s="676">
        <v>1</v>
      </c>
      <c r="H1145" s="929">
        <v>0</v>
      </c>
      <c r="I1145" s="929">
        <v>0</v>
      </c>
      <c r="J1145" s="689">
        <f t="shared" si="18"/>
        <v>1</v>
      </c>
    </row>
    <row r="1146" spans="1:10" ht="12.75" customHeight="1" x14ac:dyDescent="0.2">
      <c r="A1146" s="681" t="s">
        <v>2372</v>
      </c>
      <c r="B1146" s="693" t="s">
        <v>3715</v>
      </c>
      <c r="C1146" s="672" t="s">
        <v>915</v>
      </c>
      <c r="D1146" s="673">
        <v>39498</v>
      </c>
      <c r="E1146" s="674">
        <v>3</v>
      </c>
      <c r="F1146" s="675">
        <v>0.33</v>
      </c>
      <c r="G1146" s="676">
        <v>1</v>
      </c>
      <c r="H1146" s="929">
        <v>0</v>
      </c>
      <c r="I1146" s="929">
        <v>0</v>
      </c>
      <c r="J1146" s="689">
        <f t="shared" si="18"/>
        <v>1</v>
      </c>
    </row>
    <row r="1147" spans="1:10" ht="12.75" customHeight="1" x14ac:dyDescent="0.2">
      <c r="A1147" s="681" t="s">
        <v>2372</v>
      </c>
      <c r="B1147" s="693" t="s">
        <v>3716</v>
      </c>
      <c r="C1147" s="672" t="s">
        <v>915</v>
      </c>
      <c r="D1147" s="673">
        <v>39864</v>
      </c>
      <c r="E1147" s="674">
        <v>3</v>
      </c>
      <c r="F1147" s="675">
        <v>0.33</v>
      </c>
      <c r="G1147" s="676">
        <v>1</v>
      </c>
      <c r="H1147" s="929">
        <v>0</v>
      </c>
      <c r="I1147" s="929">
        <v>0</v>
      </c>
      <c r="J1147" s="689">
        <f t="shared" si="18"/>
        <v>1</v>
      </c>
    </row>
    <row r="1148" spans="1:10" ht="12.75" customHeight="1" x14ac:dyDescent="0.2">
      <c r="A1148" s="681" t="s">
        <v>2372</v>
      </c>
      <c r="B1148" s="693" t="s">
        <v>3717</v>
      </c>
      <c r="C1148" s="672" t="s">
        <v>915</v>
      </c>
      <c r="D1148" s="673">
        <v>34750</v>
      </c>
      <c r="E1148" s="674">
        <v>3</v>
      </c>
      <c r="F1148" s="675">
        <v>0.33</v>
      </c>
      <c r="G1148" s="676">
        <v>1</v>
      </c>
      <c r="H1148" s="929">
        <v>0</v>
      </c>
      <c r="I1148" s="929">
        <v>0</v>
      </c>
      <c r="J1148" s="689">
        <f t="shared" si="18"/>
        <v>1</v>
      </c>
    </row>
    <row r="1149" spans="1:10" ht="12.75" customHeight="1" x14ac:dyDescent="0.2">
      <c r="A1149" s="681" t="s">
        <v>2372</v>
      </c>
      <c r="B1149" s="693" t="s">
        <v>3718</v>
      </c>
      <c r="C1149" s="672" t="s">
        <v>915</v>
      </c>
      <c r="D1149" s="673">
        <v>38037</v>
      </c>
      <c r="E1149" s="674">
        <v>3</v>
      </c>
      <c r="F1149" s="675">
        <v>0.33</v>
      </c>
      <c r="G1149" s="676">
        <v>1</v>
      </c>
      <c r="H1149" s="929">
        <v>0</v>
      </c>
      <c r="I1149" s="929">
        <v>0</v>
      </c>
      <c r="J1149" s="689">
        <f t="shared" si="18"/>
        <v>1</v>
      </c>
    </row>
    <row r="1150" spans="1:10" ht="12.75" customHeight="1" x14ac:dyDescent="0.2">
      <c r="A1150" s="681" t="s">
        <v>2372</v>
      </c>
      <c r="B1150" s="693" t="s">
        <v>3719</v>
      </c>
      <c r="C1150" s="672" t="s">
        <v>915</v>
      </c>
      <c r="D1150" s="673">
        <v>38403</v>
      </c>
      <c r="E1150" s="674">
        <v>3</v>
      </c>
      <c r="F1150" s="675">
        <v>0.33</v>
      </c>
      <c r="G1150" s="676">
        <v>1</v>
      </c>
      <c r="H1150" s="929">
        <v>0</v>
      </c>
      <c r="I1150" s="929">
        <v>0</v>
      </c>
      <c r="J1150" s="689">
        <f t="shared" si="18"/>
        <v>1</v>
      </c>
    </row>
    <row r="1151" spans="1:10" ht="12.75" customHeight="1" x14ac:dyDescent="0.2">
      <c r="A1151" s="681" t="s">
        <v>2372</v>
      </c>
      <c r="B1151" s="693" t="s">
        <v>3720</v>
      </c>
      <c r="C1151" s="672" t="s">
        <v>915</v>
      </c>
      <c r="D1151" s="673">
        <v>38403</v>
      </c>
      <c r="E1151" s="674">
        <v>3</v>
      </c>
      <c r="F1151" s="675">
        <v>0.33</v>
      </c>
      <c r="G1151" s="676">
        <v>1</v>
      </c>
      <c r="H1151" s="929">
        <v>0</v>
      </c>
      <c r="I1151" s="929">
        <v>0</v>
      </c>
      <c r="J1151" s="689">
        <f t="shared" si="18"/>
        <v>1</v>
      </c>
    </row>
    <row r="1152" spans="1:10" ht="12.75" customHeight="1" x14ac:dyDescent="0.2">
      <c r="A1152" s="681" t="s">
        <v>2372</v>
      </c>
      <c r="B1152" s="693" t="s">
        <v>3721</v>
      </c>
      <c r="C1152" s="672" t="s">
        <v>915</v>
      </c>
      <c r="D1152" s="673">
        <v>38403</v>
      </c>
      <c r="E1152" s="674">
        <v>3</v>
      </c>
      <c r="F1152" s="675">
        <v>0.33</v>
      </c>
      <c r="G1152" s="676">
        <v>1</v>
      </c>
      <c r="H1152" s="929">
        <v>0</v>
      </c>
      <c r="I1152" s="929">
        <v>0</v>
      </c>
      <c r="J1152" s="689">
        <f t="shared" si="18"/>
        <v>1</v>
      </c>
    </row>
    <row r="1153" spans="1:10" ht="12.75" customHeight="1" x14ac:dyDescent="0.2">
      <c r="A1153" s="681" t="s">
        <v>2372</v>
      </c>
      <c r="B1153" s="693" t="s">
        <v>3722</v>
      </c>
      <c r="C1153" s="672" t="s">
        <v>915</v>
      </c>
      <c r="D1153" s="673">
        <v>38403</v>
      </c>
      <c r="E1153" s="674">
        <v>3</v>
      </c>
      <c r="F1153" s="675">
        <v>0.33</v>
      </c>
      <c r="G1153" s="676">
        <v>1</v>
      </c>
      <c r="H1153" s="929">
        <v>0</v>
      </c>
      <c r="I1153" s="929">
        <v>0</v>
      </c>
      <c r="J1153" s="689">
        <f t="shared" si="18"/>
        <v>1</v>
      </c>
    </row>
    <row r="1154" spans="1:10" ht="12.75" customHeight="1" x14ac:dyDescent="0.2">
      <c r="A1154" s="681" t="s">
        <v>2372</v>
      </c>
      <c r="B1154" s="693" t="s">
        <v>3723</v>
      </c>
      <c r="C1154" s="672" t="s">
        <v>915</v>
      </c>
      <c r="D1154" s="673">
        <v>38403</v>
      </c>
      <c r="E1154" s="674">
        <v>3</v>
      </c>
      <c r="F1154" s="675">
        <v>0.33</v>
      </c>
      <c r="G1154" s="676">
        <v>1</v>
      </c>
      <c r="H1154" s="929">
        <v>0</v>
      </c>
      <c r="I1154" s="929">
        <v>0</v>
      </c>
      <c r="J1154" s="689">
        <f t="shared" si="18"/>
        <v>1</v>
      </c>
    </row>
    <row r="1155" spans="1:10" ht="12.75" customHeight="1" x14ac:dyDescent="0.2">
      <c r="A1155" s="681" t="s">
        <v>2372</v>
      </c>
      <c r="B1155" s="693" t="s">
        <v>3724</v>
      </c>
      <c r="C1155" s="672" t="s">
        <v>895</v>
      </c>
      <c r="D1155" s="673">
        <v>39498</v>
      </c>
      <c r="E1155" s="674">
        <v>3</v>
      </c>
      <c r="F1155" s="675">
        <v>0.33</v>
      </c>
      <c r="G1155" s="676">
        <v>1</v>
      </c>
      <c r="H1155" s="929">
        <v>0</v>
      </c>
      <c r="I1155" s="929">
        <v>0</v>
      </c>
      <c r="J1155" s="689">
        <f t="shared" si="18"/>
        <v>1</v>
      </c>
    </row>
    <row r="1156" spans="1:10" ht="12.75" customHeight="1" x14ac:dyDescent="0.2">
      <c r="A1156" s="681" t="s">
        <v>2372</v>
      </c>
      <c r="B1156" s="693" t="s">
        <v>3725</v>
      </c>
      <c r="C1156" s="672" t="s">
        <v>895</v>
      </c>
      <c r="D1156" s="673">
        <v>38403</v>
      </c>
      <c r="E1156" s="674">
        <v>3</v>
      </c>
      <c r="F1156" s="675">
        <v>0.33</v>
      </c>
      <c r="G1156" s="676">
        <v>1</v>
      </c>
      <c r="H1156" s="929">
        <v>0</v>
      </c>
      <c r="I1156" s="929">
        <v>0</v>
      </c>
      <c r="J1156" s="689">
        <f t="shared" si="18"/>
        <v>1</v>
      </c>
    </row>
    <row r="1157" spans="1:10" ht="12.75" customHeight="1" x14ac:dyDescent="0.2">
      <c r="A1157" s="681" t="s">
        <v>2372</v>
      </c>
      <c r="B1157" s="693" t="s">
        <v>3726</v>
      </c>
      <c r="C1157" s="672" t="s">
        <v>1020</v>
      </c>
      <c r="D1157" s="673">
        <v>39498</v>
      </c>
      <c r="E1157" s="674">
        <v>3</v>
      </c>
      <c r="F1157" s="675">
        <v>0.33</v>
      </c>
      <c r="G1157" s="676">
        <v>1</v>
      </c>
      <c r="H1157" s="929">
        <v>0</v>
      </c>
      <c r="I1157" s="929">
        <v>0</v>
      </c>
      <c r="J1157" s="689">
        <f t="shared" si="18"/>
        <v>1</v>
      </c>
    </row>
    <row r="1158" spans="1:10" ht="12.75" customHeight="1" x14ac:dyDescent="0.2">
      <c r="A1158" s="681" t="s">
        <v>2372</v>
      </c>
      <c r="B1158" s="693" t="s">
        <v>3727</v>
      </c>
      <c r="C1158" s="672" t="s">
        <v>1020</v>
      </c>
      <c r="D1158" s="673">
        <v>39864</v>
      </c>
      <c r="E1158" s="674">
        <v>3</v>
      </c>
      <c r="F1158" s="675">
        <v>0.33</v>
      </c>
      <c r="G1158" s="676">
        <v>1</v>
      </c>
      <c r="H1158" s="929">
        <v>0</v>
      </c>
      <c r="I1158" s="929">
        <v>0</v>
      </c>
      <c r="J1158" s="689">
        <f t="shared" si="18"/>
        <v>1</v>
      </c>
    </row>
    <row r="1159" spans="1:10" ht="12.75" customHeight="1" x14ac:dyDescent="0.2">
      <c r="A1159" s="681" t="s">
        <v>2372</v>
      </c>
      <c r="B1159" s="693" t="s">
        <v>3728</v>
      </c>
      <c r="C1159" s="672" t="s">
        <v>1020</v>
      </c>
      <c r="D1159" s="673">
        <v>40229</v>
      </c>
      <c r="E1159" s="674">
        <v>3</v>
      </c>
      <c r="F1159" s="675">
        <v>0.33</v>
      </c>
      <c r="G1159" s="676">
        <v>1</v>
      </c>
      <c r="H1159" s="929">
        <v>0</v>
      </c>
      <c r="I1159" s="929">
        <v>0</v>
      </c>
      <c r="J1159" s="689">
        <f t="shared" ref="J1159:J1222" si="19">G1159-I1159</f>
        <v>1</v>
      </c>
    </row>
    <row r="1160" spans="1:10" ht="12.75" customHeight="1" x14ac:dyDescent="0.2">
      <c r="A1160" s="681" t="s">
        <v>2372</v>
      </c>
      <c r="B1160" s="693" t="s">
        <v>3729</v>
      </c>
      <c r="C1160" s="672" t="s">
        <v>1020</v>
      </c>
      <c r="D1160" s="673">
        <v>39498</v>
      </c>
      <c r="E1160" s="674">
        <v>3</v>
      </c>
      <c r="F1160" s="675">
        <v>0.33</v>
      </c>
      <c r="G1160" s="676">
        <v>1</v>
      </c>
      <c r="H1160" s="929">
        <v>0</v>
      </c>
      <c r="I1160" s="929">
        <v>0</v>
      </c>
      <c r="J1160" s="689">
        <f t="shared" si="19"/>
        <v>1</v>
      </c>
    </row>
    <row r="1161" spans="1:10" ht="12.75" customHeight="1" x14ac:dyDescent="0.2">
      <c r="A1161" s="681" t="s">
        <v>2372</v>
      </c>
      <c r="B1161" s="693" t="s">
        <v>3730</v>
      </c>
      <c r="C1161" s="672" t="s">
        <v>1020</v>
      </c>
      <c r="D1161" s="673">
        <v>39498</v>
      </c>
      <c r="E1161" s="674">
        <v>3</v>
      </c>
      <c r="F1161" s="675">
        <v>0.33</v>
      </c>
      <c r="G1161" s="676">
        <v>1</v>
      </c>
      <c r="H1161" s="929">
        <v>0</v>
      </c>
      <c r="I1161" s="929">
        <v>0</v>
      </c>
      <c r="J1161" s="689">
        <f t="shared" si="19"/>
        <v>1</v>
      </c>
    </row>
    <row r="1162" spans="1:10" ht="12.75" customHeight="1" x14ac:dyDescent="0.2">
      <c r="A1162" s="681" t="s">
        <v>2372</v>
      </c>
      <c r="B1162" s="693" t="s">
        <v>3731</v>
      </c>
      <c r="C1162" s="672" t="s">
        <v>1020</v>
      </c>
      <c r="D1162" s="673">
        <v>39498</v>
      </c>
      <c r="E1162" s="674">
        <v>3</v>
      </c>
      <c r="F1162" s="675">
        <v>0.33</v>
      </c>
      <c r="G1162" s="676">
        <v>1</v>
      </c>
      <c r="H1162" s="929">
        <v>0</v>
      </c>
      <c r="I1162" s="929">
        <v>0</v>
      </c>
      <c r="J1162" s="689">
        <f t="shared" si="19"/>
        <v>1</v>
      </c>
    </row>
    <row r="1163" spans="1:10" ht="12.75" customHeight="1" x14ac:dyDescent="0.2">
      <c r="A1163" s="681" t="s">
        <v>2372</v>
      </c>
      <c r="B1163" s="693" t="s">
        <v>3732</v>
      </c>
      <c r="C1163" s="672" t="s">
        <v>915</v>
      </c>
      <c r="D1163" s="673">
        <v>39498</v>
      </c>
      <c r="E1163" s="674">
        <v>3</v>
      </c>
      <c r="F1163" s="675">
        <v>0.33</v>
      </c>
      <c r="G1163" s="676">
        <v>1</v>
      </c>
      <c r="H1163" s="929">
        <v>0</v>
      </c>
      <c r="I1163" s="929">
        <v>0</v>
      </c>
      <c r="J1163" s="689">
        <f t="shared" si="19"/>
        <v>1</v>
      </c>
    </row>
    <row r="1164" spans="1:10" ht="12.75" customHeight="1" x14ac:dyDescent="0.2">
      <c r="A1164" s="681" t="s">
        <v>2372</v>
      </c>
      <c r="B1164" s="693" t="s">
        <v>3733</v>
      </c>
      <c r="C1164" s="672" t="s">
        <v>1020</v>
      </c>
      <c r="D1164" s="673">
        <v>40594</v>
      </c>
      <c r="E1164" s="674">
        <v>3</v>
      </c>
      <c r="F1164" s="675">
        <v>0.33</v>
      </c>
      <c r="G1164" s="676">
        <v>1</v>
      </c>
      <c r="H1164" s="929">
        <v>0</v>
      </c>
      <c r="I1164" s="929">
        <v>0</v>
      </c>
      <c r="J1164" s="689">
        <f t="shared" si="19"/>
        <v>1</v>
      </c>
    </row>
    <row r="1165" spans="1:10" ht="12.75" customHeight="1" x14ac:dyDescent="0.2">
      <c r="A1165" s="681" t="s">
        <v>2372</v>
      </c>
      <c r="B1165" s="693" t="s">
        <v>3734</v>
      </c>
      <c r="C1165" s="672" t="s">
        <v>1020</v>
      </c>
      <c r="D1165" s="673">
        <v>40229</v>
      </c>
      <c r="E1165" s="674">
        <v>3</v>
      </c>
      <c r="F1165" s="675">
        <v>0.33</v>
      </c>
      <c r="G1165" s="676">
        <v>1</v>
      </c>
      <c r="H1165" s="929">
        <v>0</v>
      </c>
      <c r="I1165" s="929">
        <v>0</v>
      </c>
      <c r="J1165" s="689">
        <f t="shared" si="19"/>
        <v>1</v>
      </c>
    </row>
    <row r="1166" spans="1:10" ht="12.75" customHeight="1" x14ac:dyDescent="0.2">
      <c r="A1166" s="681" t="s">
        <v>2372</v>
      </c>
      <c r="B1166" s="693" t="s">
        <v>3735</v>
      </c>
      <c r="C1166" s="672" t="s">
        <v>1020</v>
      </c>
      <c r="D1166" s="673">
        <v>39498</v>
      </c>
      <c r="E1166" s="674">
        <v>3</v>
      </c>
      <c r="F1166" s="675">
        <v>0.33</v>
      </c>
      <c r="G1166" s="676">
        <v>1</v>
      </c>
      <c r="H1166" s="929">
        <v>0</v>
      </c>
      <c r="I1166" s="929">
        <v>0</v>
      </c>
      <c r="J1166" s="689">
        <f t="shared" si="19"/>
        <v>1</v>
      </c>
    </row>
    <row r="1167" spans="1:10" ht="12.75" customHeight="1" x14ac:dyDescent="0.2">
      <c r="A1167" s="681" t="s">
        <v>2372</v>
      </c>
      <c r="B1167" s="693" t="s">
        <v>3736</v>
      </c>
      <c r="C1167" s="672" t="s">
        <v>1026</v>
      </c>
      <c r="D1167" s="673">
        <v>39498</v>
      </c>
      <c r="E1167" s="674">
        <v>3</v>
      </c>
      <c r="F1167" s="675">
        <v>0.33</v>
      </c>
      <c r="G1167" s="676">
        <v>1</v>
      </c>
      <c r="H1167" s="929">
        <v>0</v>
      </c>
      <c r="I1167" s="929">
        <v>0</v>
      </c>
      <c r="J1167" s="689">
        <f t="shared" si="19"/>
        <v>1</v>
      </c>
    </row>
    <row r="1168" spans="1:10" ht="12.75" customHeight="1" x14ac:dyDescent="0.2">
      <c r="A1168" s="681" t="s">
        <v>2372</v>
      </c>
      <c r="B1168" s="693" t="s">
        <v>3737</v>
      </c>
      <c r="C1168" s="672" t="s">
        <v>1027</v>
      </c>
      <c r="D1168" s="673">
        <v>39498</v>
      </c>
      <c r="E1168" s="674">
        <v>3</v>
      </c>
      <c r="F1168" s="675">
        <v>0.33</v>
      </c>
      <c r="G1168" s="676">
        <v>1</v>
      </c>
      <c r="H1168" s="929">
        <v>0</v>
      </c>
      <c r="I1168" s="929">
        <v>0</v>
      </c>
      <c r="J1168" s="689">
        <f t="shared" si="19"/>
        <v>1</v>
      </c>
    </row>
    <row r="1169" spans="1:10" ht="12.75" customHeight="1" x14ac:dyDescent="0.2">
      <c r="A1169" s="681" t="s">
        <v>2372</v>
      </c>
      <c r="B1169" s="693" t="s">
        <v>3738</v>
      </c>
      <c r="C1169" s="672" t="s">
        <v>1020</v>
      </c>
      <c r="D1169" s="673">
        <v>37672</v>
      </c>
      <c r="E1169" s="674">
        <v>3</v>
      </c>
      <c r="F1169" s="675">
        <v>0.33</v>
      </c>
      <c r="G1169" s="676">
        <v>1</v>
      </c>
      <c r="H1169" s="929">
        <v>0</v>
      </c>
      <c r="I1169" s="929">
        <v>0</v>
      </c>
      <c r="J1169" s="689">
        <f t="shared" si="19"/>
        <v>1</v>
      </c>
    </row>
    <row r="1170" spans="1:10" ht="12.75" customHeight="1" x14ac:dyDescent="0.2">
      <c r="A1170" s="681" t="s">
        <v>2372</v>
      </c>
      <c r="B1170" s="693" t="s">
        <v>3739</v>
      </c>
      <c r="C1170" s="672" t="s">
        <v>1020</v>
      </c>
      <c r="D1170" s="673">
        <v>37672</v>
      </c>
      <c r="E1170" s="674">
        <v>3</v>
      </c>
      <c r="F1170" s="675">
        <v>0.33</v>
      </c>
      <c r="G1170" s="676">
        <v>1</v>
      </c>
      <c r="H1170" s="929">
        <v>0</v>
      </c>
      <c r="I1170" s="929">
        <v>0</v>
      </c>
      <c r="J1170" s="689">
        <f t="shared" si="19"/>
        <v>1</v>
      </c>
    </row>
    <row r="1171" spans="1:10" ht="12.75" customHeight="1" x14ac:dyDescent="0.2">
      <c r="A1171" s="681" t="s">
        <v>2372</v>
      </c>
      <c r="B1171" s="693" t="s">
        <v>3740</v>
      </c>
      <c r="C1171" s="672" t="s">
        <v>1020</v>
      </c>
      <c r="D1171" s="673">
        <v>39498</v>
      </c>
      <c r="E1171" s="674">
        <v>3</v>
      </c>
      <c r="F1171" s="675">
        <v>0.33</v>
      </c>
      <c r="G1171" s="676">
        <v>1</v>
      </c>
      <c r="H1171" s="929">
        <v>0</v>
      </c>
      <c r="I1171" s="929">
        <v>0</v>
      </c>
      <c r="J1171" s="689">
        <f t="shared" si="19"/>
        <v>1</v>
      </c>
    </row>
    <row r="1172" spans="1:10" ht="12.75" customHeight="1" x14ac:dyDescent="0.2">
      <c r="A1172" s="681" t="s">
        <v>2372</v>
      </c>
      <c r="B1172" s="693" t="s">
        <v>3741</v>
      </c>
      <c r="C1172" s="672" t="s">
        <v>1020</v>
      </c>
      <c r="D1172" s="673">
        <v>39864</v>
      </c>
      <c r="E1172" s="674">
        <v>3</v>
      </c>
      <c r="F1172" s="675">
        <v>0.33</v>
      </c>
      <c r="G1172" s="676">
        <v>1</v>
      </c>
      <c r="H1172" s="929">
        <v>0</v>
      </c>
      <c r="I1172" s="929">
        <v>0</v>
      </c>
      <c r="J1172" s="689">
        <f t="shared" si="19"/>
        <v>1</v>
      </c>
    </row>
    <row r="1173" spans="1:10" ht="12.75" customHeight="1" x14ac:dyDescent="0.2">
      <c r="A1173" s="681" t="s">
        <v>2372</v>
      </c>
      <c r="B1173" s="693" t="s">
        <v>3742</v>
      </c>
      <c r="C1173" s="672" t="s">
        <v>1020</v>
      </c>
      <c r="D1173" s="673">
        <v>38768</v>
      </c>
      <c r="E1173" s="674">
        <v>3</v>
      </c>
      <c r="F1173" s="675">
        <v>0.33</v>
      </c>
      <c r="G1173" s="676">
        <v>1</v>
      </c>
      <c r="H1173" s="929">
        <v>0</v>
      </c>
      <c r="I1173" s="929">
        <v>0</v>
      </c>
      <c r="J1173" s="689">
        <f t="shared" si="19"/>
        <v>1</v>
      </c>
    </row>
    <row r="1174" spans="1:10" ht="12.75" customHeight="1" x14ac:dyDescent="0.2">
      <c r="A1174" s="681" t="s">
        <v>2372</v>
      </c>
      <c r="B1174" s="693" t="s">
        <v>3743</v>
      </c>
      <c r="C1174" s="672" t="s">
        <v>1037</v>
      </c>
      <c r="D1174" s="673">
        <v>38403</v>
      </c>
      <c r="E1174" s="674">
        <v>3</v>
      </c>
      <c r="F1174" s="675">
        <v>0.33</v>
      </c>
      <c r="G1174" s="676">
        <v>1</v>
      </c>
      <c r="H1174" s="929">
        <v>0</v>
      </c>
      <c r="I1174" s="929">
        <v>0</v>
      </c>
      <c r="J1174" s="689">
        <f t="shared" si="19"/>
        <v>1</v>
      </c>
    </row>
    <row r="1175" spans="1:10" ht="12.75" customHeight="1" x14ac:dyDescent="0.2">
      <c r="A1175" s="681" t="s">
        <v>2372</v>
      </c>
      <c r="B1175" s="693" t="s">
        <v>3744</v>
      </c>
      <c r="C1175" s="672" t="s">
        <v>1020</v>
      </c>
      <c r="D1175" s="673">
        <v>39498</v>
      </c>
      <c r="E1175" s="674">
        <v>3</v>
      </c>
      <c r="F1175" s="675">
        <v>0.33</v>
      </c>
      <c r="G1175" s="676">
        <v>1</v>
      </c>
      <c r="H1175" s="929">
        <v>0</v>
      </c>
      <c r="I1175" s="929">
        <v>0</v>
      </c>
      <c r="J1175" s="689">
        <f t="shared" si="19"/>
        <v>1</v>
      </c>
    </row>
    <row r="1176" spans="1:10" ht="12.75" customHeight="1" x14ac:dyDescent="0.2">
      <c r="A1176" s="681" t="s">
        <v>2372</v>
      </c>
      <c r="B1176" s="693" t="s">
        <v>3745</v>
      </c>
      <c r="C1176" s="672" t="s">
        <v>1020</v>
      </c>
      <c r="D1176" s="673">
        <v>38768</v>
      </c>
      <c r="E1176" s="674">
        <v>3</v>
      </c>
      <c r="F1176" s="675">
        <v>0.33</v>
      </c>
      <c r="G1176" s="676">
        <v>1</v>
      </c>
      <c r="H1176" s="929">
        <v>0</v>
      </c>
      <c r="I1176" s="929">
        <v>0</v>
      </c>
      <c r="J1176" s="689">
        <f t="shared" si="19"/>
        <v>1</v>
      </c>
    </row>
    <row r="1177" spans="1:10" ht="12.75" customHeight="1" x14ac:dyDescent="0.2">
      <c r="A1177" s="681" t="s">
        <v>2372</v>
      </c>
      <c r="B1177" s="693" t="s">
        <v>3746</v>
      </c>
      <c r="C1177" s="672" t="s">
        <v>1040</v>
      </c>
      <c r="D1177" s="673">
        <v>36211</v>
      </c>
      <c r="E1177" s="674">
        <v>3</v>
      </c>
      <c r="F1177" s="675">
        <v>0.33</v>
      </c>
      <c r="G1177" s="676">
        <v>1</v>
      </c>
      <c r="H1177" s="929">
        <v>0</v>
      </c>
      <c r="I1177" s="929">
        <v>0</v>
      </c>
      <c r="J1177" s="689">
        <f t="shared" si="19"/>
        <v>1</v>
      </c>
    </row>
    <row r="1178" spans="1:10" ht="12.75" customHeight="1" x14ac:dyDescent="0.2">
      <c r="A1178" s="681" t="s">
        <v>2372</v>
      </c>
      <c r="B1178" s="693" t="s">
        <v>3747</v>
      </c>
      <c r="C1178" s="672" t="s">
        <v>1020</v>
      </c>
      <c r="D1178" s="673">
        <v>37672</v>
      </c>
      <c r="E1178" s="674">
        <v>3</v>
      </c>
      <c r="F1178" s="675">
        <v>0.33</v>
      </c>
      <c r="G1178" s="676">
        <v>1</v>
      </c>
      <c r="H1178" s="929">
        <v>0</v>
      </c>
      <c r="I1178" s="929">
        <v>0</v>
      </c>
      <c r="J1178" s="689">
        <f t="shared" si="19"/>
        <v>1</v>
      </c>
    </row>
    <row r="1179" spans="1:10" ht="12.75" customHeight="1" x14ac:dyDescent="0.2">
      <c r="A1179" s="681" t="s">
        <v>2372</v>
      </c>
      <c r="B1179" s="693" t="s">
        <v>3748</v>
      </c>
      <c r="C1179" s="672" t="s">
        <v>1020</v>
      </c>
      <c r="D1179" s="673">
        <v>37672</v>
      </c>
      <c r="E1179" s="674">
        <v>3</v>
      </c>
      <c r="F1179" s="675">
        <v>0.33</v>
      </c>
      <c r="G1179" s="676">
        <v>1</v>
      </c>
      <c r="H1179" s="929">
        <v>0</v>
      </c>
      <c r="I1179" s="929">
        <v>0</v>
      </c>
      <c r="J1179" s="689">
        <f t="shared" si="19"/>
        <v>1</v>
      </c>
    </row>
    <row r="1180" spans="1:10" ht="12.75" customHeight="1" x14ac:dyDescent="0.2">
      <c r="A1180" s="681" t="s">
        <v>2372</v>
      </c>
      <c r="B1180" s="693" t="s">
        <v>3749</v>
      </c>
      <c r="C1180" s="672" t="s">
        <v>1044</v>
      </c>
      <c r="D1180" s="673">
        <v>39498</v>
      </c>
      <c r="E1180" s="674">
        <v>3</v>
      </c>
      <c r="F1180" s="675">
        <v>0.33</v>
      </c>
      <c r="G1180" s="676">
        <v>1</v>
      </c>
      <c r="H1180" s="929">
        <v>0</v>
      </c>
      <c r="I1180" s="929">
        <v>0</v>
      </c>
      <c r="J1180" s="689">
        <f t="shared" si="19"/>
        <v>1</v>
      </c>
    </row>
    <row r="1181" spans="1:10" ht="12.75" customHeight="1" x14ac:dyDescent="0.2">
      <c r="A1181" s="681" t="s">
        <v>2372</v>
      </c>
      <c r="B1181" s="693" t="s">
        <v>3750</v>
      </c>
      <c r="C1181" s="672" t="s">
        <v>1020</v>
      </c>
      <c r="D1181" s="673">
        <v>39498</v>
      </c>
      <c r="E1181" s="674">
        <v>3</v>
      </c>
      <c r="F1181" s="675">
        <v>0.33</v>
      </c>
      <c r="G1181" s="676">
        <v>1</v>
      </c>
      <c r="H1181" s="929">
        <v>0</v>
      </c>
      <c r="I1181" s="929">
        <v>0</v>
      </c>
      <c r="J1181" s="689">
        <f t="shared" si="19"/>
        <v>1</v>
      </c>
    </row>
    <row r="1182" spans="1:10" ht="12.75" customHeight="1" x14ac:dyDescent="0.2">
      <c r="A1182" s="681" t="s">
        <v>2372</v>
      </c>
      <c r="B1182" s="693" t="s">
        <v>3751</v>
      </c>
      <c r="C1182" s="672" t="s">
        <v>1046</v>
      </c>
      <c r="D1182" s="673">
        <v>38037</v>
      </c>
      <c r="E1182" s="674">
        <v>3</v>
      </c>
      <c r="F1182" s="675">
        <v>0.33</v>
      </c>
      <c r="G1182" s="676">
        <v>1</v>
      </c>
      <c r="H1182" s="929">
        <v>0</v>
      </c>
      <c r="I1182" s="929">
        <v>0</v>
      </c>
      <c r="J1182" s="689">
        <f t="shared" si="19"/>
        <v>1</v>
      </c>
    </row>
    <row r="1183" spans="1:10" ht="12.75" customHeight="1" x14ac:dyDescent="0.2">
      <c r="A1183" s="681" t="s">
        <v>2372</v>
      </c>
      <c r="B1183" s="693" t="s">
        <v>3752</v>
      </c>
      <c r="C1183" s="672" t="s">
        <v>1046</v>
      </c>
      <c r="D1183" s="673">
        <v>38037</v>
      </c>
      <c r="E1183" s="674">
        <v>3</v>
      </c>
      <c r="F1183" s="675">
        <v>0.33</v>
      </c>
      <c r="G1183" s="676">
        <v>1</v>
      </c>
      <c r="H1183" s="929">
        <v>0</v>
      </c>
      <c r="I1183" s="929">
        <v>0</v>
      </c>
      <c r="J1183" s="689">
        <f t="shared" si="19"/>
        <v>1</v>
      </c>
    </row>
    <row r="1184" spans="1:10" ht="12.75" customHeight="1" x14ac:dyDescent="0.2">
      <c r="A1184" s="681" t="s">
        <v>2372</v>
      </c>
      <c r="B1184" s="693" t="s">
        <v>3753</v>
      </c>
      <c r="C1184" s="672" t="s">
        <v>1020</v>
      </c>
      <c r="D1184" s="673">
        <v>38403</v>
      </c>
      <c r="E1184" s="674">
        <v>3</v>
      </c>
      <c r="F1184" s="675">
        <v>0.33</v>
      </c>
      <c r="G1184" s="676">
        <v>1</v>
      </c>
      <c r="H1184" s="929">
        <v>0</v>
      </c>
      <c r="I1184" s="929">
        <v>0</v>
      </c>
      <c r="J1184" s="689">
        <f t="shared" si="19"/>
        <v>1</v>
      </c>
    </row>
    <row r="1185" spans="1:10" ht="12.75" customHeight="1" x14ac:dyDescent="0.2">
      <c r="A1185" s="681" t="s">
        <v>2372</v>
      </c>
      <c r="B1185" s="693" t="s">
        <v>3754</v>
      </c>
      <c r="C1185" s="672" t="s">
        <v>1020</v>
      </c>
      <c r="D1185" s="673">
        <v>37307</v>
      </c>
      <c r="E1185" s="674">
        <v>3</v>
      </c>
      <c r="F1185" s="675">
        <v>0.33</v>
      </c>
      <c r="G1185" s="676">
        <v>1</v>
      </c>
      <c r="H1185" s="929">
        <v>0</v>
      </c>
      <c r="I1185" s="929">
        <v>0</v>
      </c>
      <c r="J1185" s="689">
        <f t="shared" si="19"/>
        <v>1</v>
      </c>
    </row>
    <row r="1186" spans="1:10" ht="12.75" customHeight="1" x14ac:dyDescent="0.2">
      <c r="A1186" s="681" t="s">
        <v>2372</v>
      </c>
      <c r="B1186" s="693" t="s">
        <v>3755</v>
      </c>
      <c r="C1186" s="672" t="s">
        <v>1048</v>
      </c>
      <c r="D1186" s="673">
        <v>39864</v>
      </c>
      <c r="E1186" s="674">
        <v>10</v>
      </c>
      <c r="F1186" s="675">
        <v>0.1</v>
      </c>
      <c r="G1186" s="676">
        <v>1</v>
      </c>
      <c r="H1186" s="929">
        <v>0</v>
      </c>
      <c r="I1186" s="929">
        <v>0</v>
      </c>
      <c r="J1186" s="689">
        <f t="shared" si="19"/>
        <v>1</v>
      </c>
    </row>
    <row r="1187" spans="1:10" ht="12.75" customHeight="1" x14ac:dyDescent="0.2">
      <c r="A1187" s="681" t="s">
        <v>2372</v>
      </c>
      <c r="B1187" s="693" t="s">
        <v>3756</v>
      </c>
      <c r="C1187" s="672" t="s">
        <v>1052</v>
      </c>
      <c r="D1187" s="673">
        <v>35115</v>
      </c>
      <c r="E1187" s="674">
        <v>10</v>
      </c>
      <c r="F1187" s="675">
        <v>0.1</v>
      </c>
      <c r="G1187" s="676">
        <v>1</v>
      </c>
      <c r="H1187" s="929">
        <v>0</v>
      </c>
      <c r="I1187" s="929">
        <v>0</v>
      </c>
      <c r="J1187" s="689">
        <f t="shared" si="19"/>
        <v>1</v>
      </c>
    </row>
    <row r="1188" spans="1:10" ht="12.75" customHeight="1" x14ac:dyDescent="0.2">
      <c r="A1188" s="681" t="s">
        <v>2372</v>
      </c>
      <c r="B1188" s="693" t="s">
        <v>3757</v>
      </c>
      <c r="C1188" s="672" t="s">
        <v>1057</v>
      </c>
      <c r="D1188" s="673">
        <v>39498</v>
      </c>
      <c r="E1188" s="674">
        <v>10</v>
      </c>
      <c r="F1188" s="675">
        <v>0.1</v>
      </c>
      <c r="G1188" s="676">
        <v>1</v>
      </c>
      <c r="H1188" s="929">
        <v>0</v>
      </c>
      <c r="I1188" s="929">
        <v>0</v>
      </c>
      <c r="J1188" s="689">
        <f t="shared" si="19"/>
        <v>1</v>
      </c>
    </row>
    <row r="1189" spans="1:10" ht="12.75" customHeight="1" x14ac:dyDescent="0.2">
      <c r="A1189" s="681" t="s">
        <v>2372</v>
      </c>
      <c r="B1189" s="693" t="s">
        <v>3758</v>
      </c>
      <c r="C1189" s="672" t="s">
        <v>1054</v>
      </c>
      <c r="D1189" s="673">
        <v>39498</v>
      </c>
      <c r="E1189" s="674">
        <v>10</v>
      </c>
      <c r="F1189" s="675">
        <v>0.1</v>
      </c>
      <c r="G1189" s="676">
        <v>1</v>
      </c>
      <c r="H1189" s="929">
        <v>0</v>
      </c>
      <c r="I1189" s="929">
        <v>0</v>
      </c>
      <c r="J1189" s="689">
        <f t="shared" si="19"/>
        <v>1</v>
      </c>
    </row>
    <row r="1190" spans="1:10" ht="12.75" customHeight="1" x14ac:dyDescent="0.2">
      <c r="A1190" s="681" t="s">
        <v>2372</v>
      </c>
      <c r="B1190" s="693" t="s">
        <v>3759</v>
      </c>
      <c r="C1190" s="672" t="s">
        <v>1054</v>
      </c>
      <c r="D1190" s="673">
        <v>39498</v>
      </c>
      <c r="E1190" s="674">
        <v>10</v>
      </c>
      <c r="F1190" s="675">
        <v>0.1</v>
      </c>
      <c r="G1190" s="676">
        <v>1</v>
      </c>
      <c r="H1190" s="929">
        <v>0</v>
      </c>
      <c r="I1190" s="929">
        <v>0</v>
      </c>
      <c r="J1190" s="689">
        <f t="shared" si="19"/>
        <v>1</v>
      </c>
    </row>
    <row r="1191" spans="1:10" ht="12.75" customHeight="1" x14ac:dyDescent="0.2">
      <c r="A1191" s="681" t="s">
        <v>2372</v>
      </c>
      <c r="B1191" s="693" t="s">
        <v>3760</v>
      </c>
      <c r="C1191" s="672" t="s">
        <v>1054</v>
      </c>
      <c r="D1191" s="673">
        <v>40229</v>
      </c>
      <c r="E1191" s="674">
        <v>10</v>
      </c>
      <c r="F1191" s="675">
        <v>0.1</v>
      </c>
      <c r="G1191" s="676">
        <v>1</v>
      </c>
      <c r="H1191" s="929">
        <v>0</v>
      </c>
      <c r="I1191" s="929">
        <v>0</v>
      </c>
      <c r="J1191" s="689">
        <f t="shared" si="19"/>
        <v>1</v>
      </c>
    </row>
    <row r="1192" spans="1:10" ht="12.75" customHeight="1" x14ac:dyDescent="0.2">
      <c r="A1192" s="681" t="s">
        <v>2372</v>
      </c>
      <c r="B1192" s="693" t="s">
        <v>3761</v>
      </c>
      <c r="C1192" s="672" t="s">
        <v>1054</v>
      </c>
      <c r="D1192" s="673">
        <v>39498</v>
      </c>
      <c r="E1192" s="674">
        <v>10</v>
      </c>
      <c r="F1192" s="675">
        <v>0.1</v>
      </c>
      <c r="G1192" s="676">
        <v>1</v>
      </c>
      <c r="H1192" s="929">
        <v>0</v>
      </c>
      <c r="I1192" s="929">
        <v>0</v>
      </c>
      <c r="J1192" s="689">
        <f t="shared" si="19"/>
        <v>1</v>
      </c>
    </row>
    <row r="1193" spans="1:10" ht="12.75" customHeight="1" x14ac:dyDescent="0.2">
      <c r="A1193" s="681" t="s">
        <v>2372</v>
      </c>
      <c r="B1193" s="693" t="s">
        <v>3762</v>
      </c>
      <c r="C1193" s="672" t="s">
        <v>1054</v>
      </c>
      <c r="D1193" s="673">
        <v>39498</v>
      </c>
      <c r="E1193" s="674">
        <v>10</v>
      </c>
      <c r="F1193" s="675">
        <v>0.1</v>
      </c>
      <c r="G1193" s="676">
        <v>1</v>
      </c>
      <c r="H1193" s="929">
        <v>0</v>
      </c>
      <c r="I1193" s="929">
        <v>0</v>
      </c>
      <c r="J1193" s="689">
        <f t="shared" si="19"/>
        <v>1</v>
      </c>
    </row>
    <row r="1194" spans="1:10" ht="12.75" customHeight="1" x14ac:dyDescent="0.2">
      <c r="A1194" s="681" t="s">
        <v>2372</v>
      </c>
      <c r="B1194" s="693" t="s">
        <v>3763</v>
      </c>
      <c r="C1194" s="672" t="s">
        <v>1054</v>
      </c>
      <c r="D1194" s="673">
        <v>39498</v>
      </c>
      <c r="E1194" s="674">
        <v>10</v>
      </c>
      <c r="F1194" s="675">
        <v>0.1</v>
      </c>
      <c r="G1194" s="676">
        <v>1</v>
      </c>
      <c r="H1194" s="929">
        <v>0</v>
      </c>
      <c r="I1194" s="929">
        <v>0</v>
      </c>
      <c r="J1194" s="689">
        <f t="shared" si="19"/>
        <v>1</v>
      </c>
    </row>
    <row r="1195" spans="1:10" ht="12.75" customHeight="1" x14ac:dyDescent="0.2">
      <c r="A1195" s="681" t="s">
        <v>2372</v>
      </c>
      <c r="B1195" s="693" t="s">
        <v>3764</v>
      </c>
      <c r="C1195" s="672" t="s">
        <v>1056</v>
      </c>
      <c r="D1195" s="673">
        <v>40594</v>
      </c>
      <c r="E1195" s="674">
        <v>10</v>
      </c>
      <c r="F1195" s="675">
        <v>0.1</v>
      </c>
      <c r="G1195" s="676">
        <v>1</v>
      </c>
      <c r="H1195" s="929">
        <v>0</v>
      </c>
      <c r="I1195" s="929">
        <v>0</v>
      </c>
      <c r="J1195" s="689">
        <f t="shared" si="19"/>
        <v>1</v>
      </c>
    </row>
    <row r="1196" spans="1:10" ht="12.75" customHeight="1" x14ac:dyDescent="0.2">
      <c r="A1196" s="681" t="s">
        <v>2372</v>
      </c>
      <c r="B1196" s="693" t="s">
        <v>3765</v>
      </c>
      <c r="C1196" s="672" t="s">
        <v>1056</v>
      </c>
      <c r="D1196" s="673">
        <v>40594</v>
      </c>
      <c r="E1196" s="674">
        <v>10</v>
      </c>
      <c r="F1196" s="675">
        <v>0.1</v>
      </c>
      <c r="G1196" s="676">
        <v>1</v>
      </c>
      <c r="H1196" s="929">
        <v>0</v>
      </c>
      <c r="I1196" s="929">
        <v>0</v>
      </c>
      <c r="J1196" s="689">
        <f t="shared" si="19"/>
        <v>1</v>
      </c>
    </row>
    <row r="1197" spans="1:10" ht="12.75" customHeight="1" x14ac:dyDescent="0.2">
      <c r="A1197" s="681" t="s">
        <v>2372</v>
      </c>
      <c r="B1197" s="693" t="s">
        <v>3766</v>
      </c>
      <c r="C1197" s="672" t="s">
        <v>1056</v>
      </c>
      <c r="D1197" s="673">
        <v>39864</v>
      </c>
      <c r="E1197" s="674">
        <v>10</v>
      </c>
      <c r="F1197" s="675">
        <v>0.1</v>
      </c>
      <c r="G1197" s="676">
        <v>1</v>
      </c>
      <c r="H1197" s="929">
        <v>0</v>
      </c>
      <c r="I1197" s="929">
        <v>0</v>
      </c>
      <c r="J1197" s="689">
        <f t="shared" si="19"/>
        <v>1</v>
      </c>
    </row>
    <row r="1198" spans="1:10" ht="12.75" customHeight="1" x14ac:dyDescent="0.2">
      <c r="A1198" s="681" t="s">
        <v>2372</v>
      </c>
      <c r="B1198" s="693" t="s">
        <v>3767</v>
      </c>
      <c r="C1198" s="672" t="s">
        <v>1058</v>
      </c>
      <c r="D1198" s="673">
        <v>36211</v>
      </c>
      <c r="E1198" s="674">
        <v>10</v>
      </c>
      <c r="F1198" s="675">
        <v>0.1</v>
      </c>
      <c r="G1198" s="676">
        <v>1</v>
      </c>
      <c r="H1198" s="929">
        <v>0</v>
      </c>
      <c r="I1198" s="929">
        <v>0</v>
      </c>
      <c r="J1198" s="689">
        <f t="shared" si="19"/>
        <v>1</v>
      </c>
    </row>
    <row r="1199" spans="1:10" ht="12.75" customHeight="1" x14ac:dyDescent="0.2">
      <c r="A1199" s="681" t="s">
        <v>2372</v>
      </c>
      <c r="B1199" s="693" t="s">
        <v>3768</v>
      </c>
      <c r="C1199" s="672" t="s">
        <v>1061</v>
      </c>
      <c r="D1199" s="673">
        <v>35481</v>
      </c>
      <c r="E1199" s="674">
        <v>10</v>
      </c>
      <c r="F1199" s="675">
        <v>0.1</v>
      </c>
      <c r="G1199" s="676">
        <v>1</v>
      </c>
      <c r="H1199" s="929">
        <v>0</v>
      </c>
      <c r="I1199" s="929">
        <v>0</v>
      </c>
      <c r="J1199" s="689">
        <f t="shared" si="19"/>
        <v>1</v>
      </c>
    </row>
    <row r="1200" spans="1:10" ht="12.75" customHeight="1" x14ac:dyDescent="0.2">
      <c r="A1200" s="681" t="s">
        <v>2372</v>
      </c>
      <c r="B1200" s="693" t="s">
        <v>3769</v>
      </c>
      <c r="C1200" s="672" t="s">
        <v>1061</v>
      </c>
      <c r="D1200" s="673">
        <v>35481</v>
      </c>
      <c r="E1200" s="674">
        <v>10</v>
      </c>
      <c r="F1200" s="675">
        <v>0.1</v>
      </c>
      <c r="G1200" s="676">
        <v>1</v>
      </c>
      <c r="H1200" s="929">
        <v>0</v>
      </c>
      <c r="I1200" s="929">
        <v>0</v>
      </c>
      <c r="J1200" s="689">
        <f t="shared" si="19"/>
        <v>1</v>
      </c>
    </row>
    <row r="1201" spans="1:10" ht="12.75" customHeight="1" x14ac:dyDescent="0.2">
      <c r="A1201" s="681" t="s">
        <v>2372</v>
      </c>
      <c r="B1201" s="693" t="s">
        <v>3770</v>
      </c>
      <c r="C1201" s="672" t="s">
        <v>1063</v>
      </c>
      <c r="D1201" s="673">
        <v>32924</v>
      </c>
      <c r="E1201" s="674">
        <v>10</v>
      </c>
      <c r="F1201" s="675">
        <v>0.1</v>
      </c>
      <c r="G1201" s="676">
        <v>1</v>
      </c>
      <c r="H1201" s="929">
        <v>0</v>
      </c>
      <c r="I1201" s="929">
        <v>0</v>
      </c>
      <c r="J1201" s="689">
        <f t="shared" si="19"/>
        <v>1</v>
      </c>
    </row>
    <row r="1202" spans="1:10" ht="12.75" customHeight="1" x14ac:dyDescent="0.2">
      <c r="A1202" s="681" t="s">
        <v>2372</v>
      </c>
      <c r="B1202" s="693" t="s">
        <v>3771</v>
      </c>
      <c r="C1202" s="672" t="s">
        <v>1066</v>
      </c>
      <c r="D1202" s="673">
        <v>35481</v>
      </c>
      <c r="E1202" s="674">
        <v>10</v>
      </c>
      <c r="F1202" s="675">
        <v>0.1</v>
      </c>
      <c r="G1202" s="676">
        <v>1</v>
      </c>
      <c r="H1202" s="929">
        <v>0</v>
      </c>
      <c r="I1202" s="929">
        <v>0</v>
      </c>
      <c r="J1202" s="689">
        <f t="shared" si="19"/>
        <v>1</v>
      </c>
    </row>
    <row r="1203" spans="1:10" ht="12.75" customHeight="1" x14ac:dyDescent="0.2">
      <c r="A1203" s="681" t="s">
        <v>2372</v>
      </c>
      <c r="B1203" s="693" t="s">
        <v>3772</v>
      </c>
      <c r="C1203" s="672" t="s">
        <v>1071</v>
      </c>
      <c r="D1203" s="673">
        <v>35481</v>
      </c>
      <c r="E1203" s="674">
        <v>10</v>
      </c>
      <c r="F1203" s="675">
        <v>0.1</v>
      </c>
      <c r="G1203" s="676">
        <v>1</v>
      </c>
      <c r="H1203" s="929">
        <v>0</v>
      </c>
      <c r="I1203" s="929">
        <v>0</v>
      </c>
      <c r="J1203" s="689">
        <f t="shared" si="19"/>
        <v>1</v>
      </c>
    </row>
    <row r="1204" spans="1:10" ht="12.75" customHeight="1" x14ac:dyDescent="0.2">
      <c r="A1204" s="681" t="s">
        <v>2372</v>
      </c>
      <c r="B1204" s="693" t="s">
        <v>3773</v>
      </c>
      <c r="C1204" s="672" t="s">
        <v>1065</v>
      </c>
      <c r="D1204" s="673">
        <v>39498</v>
      </c>
      <c r="E1204" s="674">
        <v>10</v>
      </c>
      <c r="F1204" s="675">
        <v>0.1</v>
      </c>
      <c r="G1204" s="676">
        <v>1</v>
      </c>
      <c r="H1204" s="929">
        <v>0</v>
      </c>
      <c r="I1204" s="929">
        <v>0</v>
      </c>
      <c r="J1204" s="689">
        <f t="shared" si="19"/>
        <v>1</v>
      </c>
    </row>
    <row r="1205" spans="1:10" ht="12.75" customHeight="1" x14ac:dyDescent="0.2">
      <c r="A1205" s="681" t="s">
        <v>2372</v>
      </c>
      <c r="B1205" s="693" t="s">
        <v>3774</v>
      </c>
      <c r="C1205" s="672" t="s">
        <v>1065</v>
      </c>
      <c r="D1205" s="673">
        <v>39498</v>
      </c>
      <c r="E1205" s="674">
        <v>10</v>
      </c>
      <c r="F1205" s="675">
        <v>0.1</v>
      </c>
      <c r="G1205" s="676">
        <v>1</v>
      </c>
      <c r="H1205" s="929">
        <v>0</v>
      </c>
      <c r="I1205" s="929">
        <v>0</v>
      </c>
      <c r="J1205" s="689">
        <f t="shared" si="19"/>
        <v>1</v>
      </c>
    </row>
    <row r="1206" spans="1:10" ht="12.75" customHeight="1" x14ac:dyDescent="0.2">
      <c r="A1206" s="681" t="s">
        <v>2372</v>
      </c>
      <c r="B1206" s="693" t="s">
        <v>3775</v>
      </c>
      <c r="C1206" s="672" t="s">
        <v>1105</v>
      </c>
      <c r="D1206" s="673">
        <v>38037</v>
      </c>
      <c r="E1206" s="674">
        <v>10</v>
      </c>
      <c r="F1206" s="675">
        <v>0.1</v>
      </c>
      <c r="G1206" s="676">
        <v>1</v>
      </c>
      <c r="H1206" s="929">
        <v>0</v>
      </c>
      <c r="I1206" s="929">
        <v>0</v>
      </c>
      <c r="J1206" s="689">
        <f t="shared" si="19"/>
        <v>1</v>
      </c>
    </row>
    <row r="1207" spans="1:10" ht="12.75" customHeight="1" x14ac:dyDescent="0.2">
      <c r="A1207" s="681" t="s">
        <v>2372</v>
      </c>
      <c r="B1207" s="693" t="s">
        <v>3776</v>
      </c>
      <c r="C1207" s="672" t="s">
        <v>1105</v>
      </c>
      <c r="D1207" s="673">
        <v>38037</v>
      </c>
      <c r="E1207" s="674">
        <v>10</v>
      </c>
      <c r="F1207" s="675">
        <v>0.1</v>
      </c>
      <c r="G1207" s="676">
        <v>1</v>
      </c>
      <c r="H1207" s="929">
        <v>0</v>
      </c>
      <c r="I1207" s="929">
        <v>0</v>
      </c>
      <c r="J1207" s="689">
        <f t="shared" si="19"/>
        <v>1</v>
      </c>
    </row>
    <row r="1208" spans="1:10" ht="12.75" customHeight="1" x14ac:dyDescent="0.2">
      <c r="A1208" s="681"/>
      <c r="B1208" s="693"/>
      <c r="C1208" s="672"/>
      <c r="D1208" s="673"/>
      <c r="E1208" s="674"/>
      <c r="F1208" s="675"/>
      <c r="G1208" s="676"/>
      <c r="H1208" s="929"/>
      <c r="I1208" s="929"/>
      <c r="J1208" s="689"/>
    </row>
    <row r="1209" spans="1:10" ht="12.75" customHeight="1" x14ac:dyDescent="0.2">
      <c r="A1209" s="681" t="s">
        <v>2370</v>
      </c>
      <c r="B1209" s="693" t="s">
        <v>3777</v>
      </c>
      <c r="C1209" s="672" t="s">
        <v>785</v>
      </c>
      <c r="D1209" s="673">
        <v>36942</v>
      </c>
      <c r="E1209" s="674">
        <v>10</v>
      </c>
      <c r="F1209" s="675">
        <v>0.1</v>
      </c>
      <c r="G1209" s="676">
        <v>32</v>
      </c>
      <c r="H1209" s="929">
        <v>0</v>
      </c>
      <c r="I1209" s="929">
        <v>31</v>
      </c>
      <c r="J1209" s="689">
        <f t="shared" si="19"/>
        <v>1</v>
      </c>
    </row>
    <row r="1210" spans="1:10" ht="12.75" customHeight="1" x14ac:dyDescent="0.2">
      <c r="A1210" s="681" t="s">
        <v>2370</v>
      </c>
      <c r="B1210" s="693" t="s">
        <v>3778</v>
      </c>
      <c r="C1210" s="672" t="s">
        <v>785</v>
      </c>
      <c r="D1210" s="673">
        <v>35115</v>
      </c>
      <c r="E1210" s="674">
        <v>10</v>
      </c>
      <c r="F1210" s="675">
        <v>0.1</v>
      </c>
      <c r="G1210" s="676">
        <v>48</v>
      </c>
      <c r="H1210" s="929">
        <v>0</v>
      </c>
      <c r="I1210" s="929">
        <v>47</v>
      </c>
      <c r="J1210" s="689">
        <f t="shared" si="19"/>
        <v>1</v>
      </c>
    </row>
    <row r="1211" spans="1:10" ht="12.75" customHeight="1" x14ac:dyDescent="0.2">
      <c r="A1211" s="681" t="s">
        <v>2370</v>
      </c>
      <c r="B1211" s="693" t="s">
        <v>3779</v>
      </c>
      <c r="C1211" s="672" t="s">
        <v>785</v>
      </c>
      <c r="D1211" s="673">
        <v>35115</v>
      </c>
      <c r="E1211" s="674">
        <v>10</v>
      </c>
      <c r="F1211" s="675">
        <v>0.1</v>
      </c>
      <c r="G1211" s="676">
        <v>48</v>
      </c>
      <c r="H1211" s="929">
        <v>0</v>
      </c>
      <c r="I1211" s="929">
        <v>47</v>
      </c>
      <c r="J1211" s="689">
        <f t="shared" si="19"/>
        <v>1</v>
      </c>
    </row>
    <row r="1212" spans="1:10" ht="12.75" customHeight="1" x14ac:dyDescent="0.2">
      <c r="A1212" s="681" t="s">
        <v>2370</v>
      </c>
      <c r="B1212" s="693" t="s">
        <v>3780</v>
      </c>
      <c r="C1212" s="672" t="s">
        <v>736</v>
      </c>
      <c r="D1212" s="673">
        <v>39498</v>
      </c>
      <c r="E1212" s="674">
        <v>3</v>
      </c>
      <c r="F1212" s="675">
        <v>0.33</v>
      </c>
      <c r="G1212" s="676">
        <v>70</v>
      </c>
      <c r="H1212" s="929">
        <v>0</v>
      </c>
      <c r="I1212" s="929">
        <v>69</v>
      </c>
      <c r="J1212" s="689">
        <f t="shared" si="19"/>
        <v>1</v>
      </c>
    </row>
    <row r="1213" spans="1:10" ht="12.75" customHeight="1" x14ac:dyDescent="0.2">
      <c r="A1213" s="681" t="s">
        <v>2370</v>
      </c>
      <c r="B1213" s="693" t="s">
        <v>3781</v>
      </c>
      <c r="C1213" s="672" t="s">
        <v>736</v>
      </c>
      <c r="D1213" s="673">
        <v>39498</v>
      </c>
      <c r="E1213" s="674">
        <v>3</v>
      </c>
      <c r="F1213" s="675">
        <v>0.33</v>
      </c>
      <c r="G1213" s="676">
        <v>88</v>
      </c>
      <c r="H1213" s="929">
        <v>0</v>
      </c>
      <c r="I1213" s="929">
        <v>87</v>
      </c>
      <c r="J1213" s="689">
        <f t="shared" si="19"/>
        <v>1</v>
      </c>
    </row>
    <row r="1214" spans="1:10" ht="12.75" customHeight="1" x14ac:dyDescent="0.2">
      <c r="A1214" s="681" t="s">
        <v>2370</v>
      </c>
      <c r="B1214" s="693" t="s">
        <v>3782</v>
      </c>
      <c r="C1214" s="672" t="s">
        <v>736</v>
      </c>
      <c r="D1214" s="673">
        <v>39498</v>
      </c>
      <c r="E1214" s="674">
        <v>3</v>
      </c>
      <c r="F1214" s="675">
        <v>0.33</v>
      </c>
      <c r="G1214" s="676">
        <v>88</v>
      </c>
      <c r="H1214" s="929">
        <v>0</v>
      </c>
      <c r="I1214" s="929">
        <v>87</v>
      </c>
      <c r="J1214" s="689">
        <f t="shared" si="19"/>
        <v>1</v>
      </c>
    </row>
    <row r="1215" spans="1:10" ht="12.75" customHeight="1" x14ac:dyDescent="0.2">
      <c r="A1215" s="681" t="s">
        <v>2370</v>
      </c>
      <c r="B1215" s="693" t="s">
        <v>3783</v>
      </c>
      <c r="C1215" s="672" t="s">
        <v>736</v>
      </c>
      <c r="D1215" s="673">
        <v>39498</v>
      </c>
      <c r="E1215" s="674">
        <v>3</v>
      </c>
      <c r="F1215" s="675">
        <v>0.33</v>
      </c>
      <c r="G1215" s="676">
        <v>88</v>
      </c>
      <c r="H1215" s="929">
        <v>0</v>
      </c>
      <c r="I1215" s="929">
        <v>87</v>
      </c>
      <c r="J1215" s="689">
        <f t="shared" si="19"/>
        <v>1</v>
      </c>
    </row>
    <row r="1216" spans="1:10" ht="12.75" customHeight="1" x14ac:dyDescent="0.2">
      <c r="A1216" s="681" t="s">
        <v>2370</v>
      </c>
      <c r="B1216" s="693" t="s">
        <v>3784</v>
      </c>
      <c r="C1216" s="672" t="s">
        <v>736</v>
      </c>
      <c r="D1216" s="673">
        <v>39498</v>
      </c>
      <c r="E1216" s="674">
        <v>3</v>
      </c>
      <c r="F1216" s="675">
        <v>0.33</v>
      </c>
      <c r="G1216" s="676">
        <v>88</v>
      </c>
      <c r="H1216" s="929">
        <v>0</v>
      </c>
      <c r="I1216" s="929">
        <v>87</v>
      </c>
      <c r="J1216" s="689">
        <f t="shared" si="19"/>
        <v>1</v>
      </c>
    </row>
    <row r="1217" spans="1:10" ht="12.75" customHeight="1" x14ac:dyDescent="0.2">
      <c r="A1217" s="681" t="s">
        <v>2370</v>
      </c>
      <c r="B1217" s="693" t="s">
        <v>3785</v>
      </c>
      <c r="C1217" s="672" t="s">
        <v>736</v>
      </c>
      <c r="D1217" s="673">
        <v>39498</v>
      </c>
      <c r="E1217" s="674">
        <v>3</v>
      </c>
      <c r="F1217" s="675">
        <v>0.33</v>
      </c>
      <c r="G1217" s="676">
        <v>88</v>
      </c>
      <c r="H1217" s="929">
        <v>0</v>
      </c>
      <c r="I1217" s="929">
        <v>87</v>
      </c>
      <c r="J1217" s="689">
        <f t="shared" si="19"/>
        <v>1</v>
      </c>
    </row>
    <row r="1218" spans="1:10" ht="12.75" customHeight="1" x14ac:dyDescent="0.2">
      <c r="A1218" s="681" t="s">
        <v>2370</v>
      </c>
      <c r="B1218" s="693" t="s">
        <v>3786</v>
      </c>
      <c r="C1218" s="672" t="s">
        <v>897</v>
      </c>
      <c r="D1218" s="673">
        <v>37307</v>
      </c>
      <c r="E1218" s="674">
        <v>3</v>
      </c>
      <c r="F1218" s="675">
        <v>0.33</v>
      </c>
      <c r="G1218" s="676">
        <v>97.56</v>
      </c>
      <c r="H1218" s="929">
        <v>0</v>
      </c>
      <c r="I1218" s="929">
        <v>96.56</v>
      </c>
      <c r="J1218" s="689">
        <f t="shared" si="19"/>
        <v>1</v>
      </c>
    </row>
    <row r="1219" spans="1:10" ht="12.75" customHeight="1" x14ac:dyDescent="0.2">
      <c r="A1219" s="681" t="s">
        <v>2370</v>
      </c>
      <c r="B1219" s="693" t="s">
        <v>3787</v>
      </c>
      <c r="C1219" s="672" t="s">
        <v>736</v>
      </c>
      <c r="D1219" s="673">
        <v>39498</v>
      </c>
      <c r="E1219" s="674">
        <v>3</v>
      </c>
      <c r="F1219" s="675">
        <v>0.33</v>
      </c>
      <c r="G1219" s="676">
        <v>99</v>
      </c>
      <c r="H1219" s="929">
        <v>0</v>
      </c>
      <c r="I1219" s="929">
        <v>98</v>
      </c>
      <c r="J1219" s="689">
        <f t="shared" si="19"/>
        <v>1</v>
      </c>
    </row>
    <row r="1220" spans="1:10" ht="12.75" customHeight="1" x14ac:dyDescent="0.2">
      <c r="A1220" s="681" t="s">
        <v>2370</v>
      </c>
      <c r="B1220" s="693" t="s">
        <v>3788</v>
      </c>
      <c r="C1220" s="672" t="s">
        <v>785</v>
      </c>
      <c r="D1220" s="673">
        <v>35846</v>
      </c>
      <c r="E1220" s="674">
        <v>10</v>
      </c>
      <c r="F1220" s="675">
        <v>0.1</v>
      </c>
      <c r="G1220" s="676">
        <v>100</v>
      </c>
      <c r="H1220" s="929">
        <v>0</v>
      </c>
      <c r="I1220" s="929">
        <v>99</v>
      </c>
      <c r="J1220" s="689">
        <f t="shared" si="19"/>
        <v>1</v>
      </c>
    </row>
    <row r="1221" spans="1:10" ht="12.75" customHeight="1" x14ac:dyDescent="0.2">
      <c r="A1221" s="681" t="s">
        <v>2370</v>
      </c>
      <c r="B1221" s="693" t="s">
        <v>3789</v>
      </c>
      <c r="C1221" s="672" t="s">
        <v>785</v>
      </c>
      <c r="D1221" s="673">
        <v>35846</v>
      </c>
      <c r="E1221" s="674">
        <v>10</v>
      </c>
      <c r="F1221" s="675">
        <v>0.1</v>
      </c>
      <c r="G1221" s="676">
        <v>100</v>
      </c>
      <c r="H1221" s="929">
        <v>0</v>
      </c>
      <c r="I1221" s="929">
        <v>99</v>
      </c>
      <c r="J1221" s="689">
        <f t="shared" si="19"/>
        <v>1</v>
      </c>
    </row>
    <row r="1222" spans="1:10" ht="12.75" customHeight="1" x14ac:dyDescent="0.2">
      <c r="A1222" s="681" t="s">
        <v>2370</v>
      </c>
      <c r="B1222" s="693" t="s">
        <v>3790</v>
      </c>
      <c r="C1222" s="672" t="s">
        <v>785</v>
      </c>
      <c r="D1222" s="673">
        <v>35846</v>
      </c>
      <c r="E1222" s="674">
        <v>10</v>
      </c>
      <c r="F1222" s="675">
        <v>0.1</v>
      </c>
      <c r="G1222" s="676">
        <v>100</v>
      </c>
      <c r="H1222" s="929">
        <v>0</v>
      </c>
      <c r="I1222" s="929">
        <v>99</v>
      </c>
      <c r="J1222" s="689">
        <f t="shared" si="19"/>
        <v>1</v>
      </c>
    </row>
    <row r="1223" spans="1:10" ht="12.75" customHeight="1" x14ac:dyDescent="0.2">
      <c r="A1223" s="681" t="s">
        <v>2370</v>
      </c>
      <c r="B1223" s="693" t="s">
        <v>3791</v>
      </c>
      <c r="C1223" s="672" t="s">
        <v>736</v>
      </c>
      <c r="D1223" s="673">
        <v>40594</v>
      </c>
      <c r="E1223" s="674">
        <v>3</v>
      </c>
      <c r="F1223" s="675">
        <v>0.33</v>
      </c>
      <c r="G1223" s="676">
        <v>100</v>
      </c>
      <c r="H1223" s="929">
        <v>0</v>
      </c>
      <c r="I1223" s="929">
        <v>99</v>
      </c>
      <c r="J1223" s="689">
        <f t="shared" ref="J1223:J1286" si="20">G1223-I1223</f>
        <v>1</v>
      </c>
    </row>
    <row r="1224" spans="1:10" ht="12.75" customHeight="1" x14ac:dyDescent="0.2">
      <c r="A1224" s="681" t="s">
        <v>2370</v>
      </c>
      <c r="B1224" s="693" t="s">
        <v>3792</v>
      </c>
      <c r="C1224" s="672" t="s">
        <v>736</v>
      </c>
      <c r="D1224" s="673">
        <v>39498</v>
      </c>
      <c r="E1224" s="674">
        <v>3</v>
      </c>
      <c r="F1224" s="675">
        <v>0.33</v>
      </c>
      <c r="G1224" s="676">
        <v>105</v>
      </c>
      <c r="H1224" s="929">
        <v>0</v>
      </c>
      <c r="I1224" s="929">
        <v>104</v>
      </c>
      <c r="J1224" s="689">
        <f t="shared" si="20"/>
        <v>1</v>
      </c>
    </row>
    <row r="1225" spans="1:10" ht="12.75" customHeight="1" x14ac:dyDescent="0.2">
      <c r="A1225" s="681" t="s">
        <v>2370</v>
      </c>
      <c r="B1225" s="693" t="s">
        <v>3793</v>
      </c>
      <c r="C1225" s="672" t="s">
        <v>785</v>
      </c>
      <c r="D1225" s="673">
        <v>35846</v>
      </c>
      <c r="E1225" s="674">
        <v>10</v>
      </c>
      <c r="F1225" s="675">
        <v>0.1</v>
      </c>
      <c r="G1225" s="676">
        <v>110</v>
      </c>
      <c r="H1225" s="929">
        <v>0</v>
      </c>
      <c r="I1225" s="929">
        <v>109</v>
      </c>
      <c r="J1225" s="689">
        <f t="shared" si="20"/>
        <v>1</v>
      </c>
    </row>
    <row r="1226" spans="1:10" ht="12.75" customHeight="1" x14ac:dyDescent="0.2">
      <c r="A1226" s="681" t="s">
        <v>2370</v>
      </c>
      <c r="B1226" s="693" t="s">
        <v>3794</v>
      </c>
      <c r="C1226" s="672" t="s">
        <v>785</v>
      </c>
      <c r="D1226" s="673">
        <v>35846</v>
      </c>
      <c r="E1226" s="674">
        <v>10</v>
      </c>
      <c r="F1226" s="675">
        <v>0.1</v>
      </c>
      <c r="G1226" s="676">
        <v>110</v>
      </c>
      <c r="H1226" s="929">
        <v>0</v>
      </c>
      <c r="I1226" s="929">
        <v>109</v>
      </c>
      <c r="J1226" s="689">
        <f t="shared" si="20"/>
        <v>1</v>
      </c>
    </row>
    <row r="1227" spans="1:10" ht="12.75" customHeight="1" x14ac:dyDescent="0.2">
      <c r="A1227" s="681" t="s">
        <v>2370</v>
      </c>
      <c r="B1227" s="693" t="s">
        <v>3795</v>
      </c>
      <c r="C1227" s="672" t="s">
        <v>785</v>
      </c>
      <c r="D1227" s="673">
        <v>35846</v>
      </c>
      <c r="E1227" s="674">
        <v>10</v>
      </c>
      <c r="F1227" s="675">
        <v>0.1</v>
      </c>
      <c r="G1227" s="676">
        <v>110</v>
      </c>
      <c r="H1227" s="929">
        <v>0</v>
      </c>
      <c r="I1227" s="929">
        <v>109</v>
      </c>
      <c r="J1227" s="689">
        <f t="shared" si="20"/>
        <v>1</v>
      </c>
    </row>
    <row r="1228" spans="1:10" ht="12.75" customHeight="1" x14ac:dyDescent="0.2">
      <c r="A1228" s="681" t="s">
        <v>2370</v>
      </c>
      <c r="B1228" s="693" t="s">
        <v>3796</v>
      </c>
      <c r="C1228" s="672" t="s">
        <v>785</v>
      </c>
      <c r="D1228" s="673">
        <v>35846</v>
      </c>
      <c r="E1228" s="674">
        <v>10</v>
      </c>
      <c r="F1228" s="675">
        <v>0.1</v>
      </c>
      <c r="G1228" s="676">
        <v>110</v>
      </c>
      <c r="H1228" s="929">
        <v>0</v>
      </c>
      <c r="I1228" s="929">
        <v>109</v>
      </c>
      <c r="J1228" s="689">
        <f t="shared" si="20"/>
        <v>1</v>
      </c>
    </row>
    <row r="1229" spans="1:10" ht="12.75" customHeight="1" x14ac:dyDescent="0.2">
      <c r="A1229" s="681" t="s">
        <v>2370</v>
      </c>
      <c r="B1229" s="693" t="s">
        <v>3797</v>
      </c>
      <c r="C1229" s="672" t="s">
        <v>785</v>
      </c>
      <c r="D1229" s="673">
        <v>35846</v>
      </c>
      <c r="E1229" s="674">
        <v>10</v>
      </c>
      <c r="F1229" s="675">
        <v>0.1</v>
      </c>
      <c r="G1229" s="676">
        <v>110</v>
      </c>
      <c r="H1229" s="929">
        <v>0</v>
      </c>
      <c r="I1229" s="929">
        <v>109</v>
      </c>
      <c r="J1229" s="689">
        <f t="shared" si="20"/>
        <v>1</v>
      </c>
    </row>
    <row r="1230" spans="1:10" ht="12.75" customHeight="1" x14ac:dyDescent="0.2">
      <c r="A1230" s="681" t="s">
        <v>2370</v>
      </c>
      <c r="B1230" s="693" t="s">
        <v>3798</v>
      </c>
      <c r="C1230" s="672" t="s">
        <v>736</v>
      </c>
      <c r="D1230" s="673">
        <v>39498</v>
      </c>
      <c r="E1230" s="674">
        <v>3</v>
      </c>
      <c r="F1230" s="675">
        <v>0.33</v>
      </c>
      <c r="G1230" s="676">
        <v>110</v>
      </c>
      <c r="H1230" s="929">
        <v>0</v>
      </c>
      <c r="I1230" s="929">
        <v>109</v>
      </c>
      <c r="J1230" s="689">
        <f t="shared" si="20"/>
        <v>1</v>
      </c>
    </row>
    <row r="1231" spans="1:10" ht="12.75" customHeight="1" x14ac:dyDescent="0.2">
      <c r="A1231" s="681" t="s">
        <v>2370</v>
      </c>
      <c r="B1231" s="693" t="s">
        <v>3799</v>
      </c>
      <c r="C1231" s="672" t="s">
        <v>736</v>
      </c>
      <c r="D1231" s="673">
        <v>39498</v>
      </c>
      <c r="E1231" s="674">
        <v>3</v>
      </c>
      <c r="F1231" s="675">
        <v>0.33</v>
      </c>
      <c r="G1231" s="676">
        <v>110</v>
      </c>
      <c r="H1231" s="929">
        <v>0</v>
      </c>
      <c r="I1231" s="929">
        <v>109</v>
      </c>
      <c r="J1231" s="689">
        <f t="shared" si="20"/>
        <v>1</v>
      </c>
    </row>
    <row r="1232" spans="1:10" ht="12.75" customHeight="1" x14ac:dyDescent="0.2">
      <c r="A1232" s="681" t="s">
        <v>2370</v>
      </c>
      <c r="B1232" s="693" t="s">
        <v>3800</v>
      </c>
      <c r="C1232" s="672" t="s">
        <v>736</v>
      </c>
      <c r="D1232" s="673">
        <v>39498</v>
      </c>
      <c r="E1232" s="674">
        <v>3</v>
      </c>
      <c r="F1232" s="675">
        <v>0.33</v>
      </c>
      <c r="G1232" s="676">
        <v>110</v>
      </c>
      <c r="H1232" s="929">
        <v>0</v>
      </c>
      <c r="I1232" s="929">
        <v>109</v>
      </c>
      <c r="J1232" s="689">
        <f t="shared" si="20"/>
        <v>1</v>
      </c>
    </row>
    <row r="1233" spans="1:10" ht="12.75" customHeight="1" x14ac:dyDescent="0.2">
      <c r="A1233" s="681" t="s">
        <v>2370</v>
      </c>
      <c r="B1233" s="693" t="s">
        <v>3801</v>
      </c>
      <c r="C1233" s="672" t="s">
        <v>736</v>
      </c>
      <c r="D1233" s="673">
        <v>39498</v>
      </c>
      <c r="E1233" s="674">
        <v>3</v>
      </c>
      <c r="F1233" s="675">
        <v>0.33</v>
      </c>
      <c r="G1233" s="676">
        <v>110</v>
      </c>
      <c r="H1233" s="929">
        <v>0</v>
      </c>
      <c r="I1233" s="929">
        <v>109</v>
      </c>
      <c r="J1233" s="689">
        <f t="shared" si="20"/>
        <v>1</v>
      </c>
    </row>
    <row r="1234" spans="1:10" ht="12.75" customHeight="1" x14ac:dyDescent="0.2">
      <c r="A1234" s="681" t="s">
        <v>2370</v>
      </c>
      <c r="B1234" s="693" t="s">
        <v>3802</v>
      </c>
      <c r="C1234" s="672" t="s">
        <v>736</v>
      </c>
      <c r="D1234" s="673">
        <v>40594</v>
      </c>
      <c r="E1234" s="674">
        <v>3</v>
      </c>
      <c r="F1234" s="675">
        <v>0.33</v>
      </c>
      <c r="G1234" s="676">
        <v>110</v>
      </c>
      <c r="H1234" s="929">
        <v>0</v>
      </c>
      <c r="I1234" s="929">
        <v>109</v>
      </c>
      <c r="J1234" s="689">
        <f t="shared" si="20"/>
        <v>1</v>
      </c>
    </row>
    <row r="1235" spans="1:10" ht="12.75" customHeight="1" x14ac:dyDescent="0.2">
      <c r="A1235" s="681" t="s">
        <v>2370</v>
      </c>
      <c r="B1235" s="693" t="s">
        <v>3803</v>
      </c>
      <c r="C1235" s="672" t="s">
        <v>736</v>
      </c>
      <c r="D1235" s="673">
        <v>40594</v>
      </c>
      <c r="E1235" s="674">
        <v>3</v>
      </c>
      <c r="F1235" s="675">
        <v>0.33</v>
      </c>
      <c r="G1235" s="676">
        <v>110</v>
      </c>
      <c r="H1235" s="929">
        <v>0</v>
      </c>
      <c r="I1235" s="929">
        <v>109</v>
      </c>
      <c r="J1235" s="689">
        <f t="shared" si="20"/>
        <v>1</v>
      </c>
    </row>
    <row r="1236" spans="1:10" ht="12.75" customHeight="1" x14ac:dyDescent="0.2">
      <c r="A1236" s="681" t="s">
        <v>2370</v>
      </c>
      <c r="B1236" s="693" t="s">
        <v>3804</v>
      </c>
      <c r="C1236" s="672" t="s">
        <v>736</v>
      </c>
      <c r="D1236" s="673">
        <v>40594</v>
      </c>
      <c r="E1236" s="674">
        <v>3</v>
      </c>
      <c r="F1236" s="675">
        <v>0.33</v>
      </c>
      <c r="G1236" s="676">
        <v>110</v>
      </c>
      <c r="H1236" s="929">
        <v>0</v>
      </c>
      <c r="I1236" s="929">
        <v>109</v>
      </c>
      <c r="J1236" s="689">
        <f t="shared" si="20"/>
        <v>1</v>
      </c>
    </row>
    <row r="1237" spans="1:10" ht="12.75" customHeight="1" x14ac:dyDescent="0.2">
      <c r="A1237" s="681" t="s">
        <v>2370</v>
      </c>
      <c r="B1237" s="693" t="s">
        <v>3805</v>
      </c>
      <c r="C1237" s="672" t="s">
        <v>736</v>
      </c>
      <c r="D1237" s="673">
        <v>37307</v>
      </c>
      <c r="E1237" s="674">
        <v>3</v>
      </c>
      <c r="F1237" s="675">
        <v>0.33</v>
      </c>
      <c r="G1237" s="676">
        <v>110</v>
      </c>
      <c r="H1237" s="929">
        <v>0</v>
      </c>
      <c r="I1237" s="929">
        <v>109</v>
      </c>
      <c r="J1237" s="689">
        <f t="shared" si="20"/>
        <v>1</v>
      </c>
    </row>
    <row r="1238" spans="1:10" ht="12.75" customHeight="1" x14ac:dyDescent="0.2">
      <c r="A1238" s="681" t="s">
        <v>2370</v>
      </c>
      <c r="B1238" s="693" t="s">
        <v>3806</v>
      </c>
      <c r="C1238" s="672" t="s">
        <v>736</v>
      </c>
      <c r="D1238" s="673">
        <v>39498</v>
      </c>
      <c r="E1238" s="674">
        <v>3</v>
      </c>
      <c r="F1238" s="675">
        <v>0.33</v>
      </c>
      <c r="G1238" s="676">
        <v>110</v>
      </c>
      <c r="H1238" s="929">
        <v>0</v>
      </c>
      <c r="I1238" s="929">
        <v>109</v>
      </c>
      <c r="J1238" s="689">
        <f t="shared" si="20"/>
        <v>1</v>
      </c>
    </row>
    <row r="1239" spans="1:10" ht="12.75" customHeight="1" x14ac:dyDescent="0.2">
      <c r="A1239" s="681" t="s">
        <v>2370</v>
      </c>
      <c r="B1239" s="693" t="s">
        <v>3807</v>
      </c>
      <c r="C1239" s="672" t="s">
        <v>736</v>
      </c>
      <c r="D1239" s="673">
        <v>39498</v>
      </c>
      <c r="E1239" s="674">
        <v>3</v>
      </c>
      <c r="F1239" s="675">
        <v>0.33</v>
      </c>
      <c r="G1239" s="676">
        <v>110</v>
      </c>
      <c r="H1239" s="929">
        <v>0</v>
      </c>
      <c r="I1239" s="929">
        <v>109</v>
      </c>
      <c r="J1239" s="689">
        <f t="shared" si="20"/>
        <v>1</v>
      </c>
    </row>
    <row r="1240" spans="1:10" ht="12.75" customHeight="1" x14ac:dyDescent="0.2">
      <c r="A1240" s="681" t="s">
        <v>2370</v>
      </c>
      <c r="B1240" s="693" t="s">
        <v>3808</v>
      </c>
      <c r="C1240" s="672" t="s">
        <v>736</v>
      </c>
      <c r="D1240" s="673">
        <v>39498</v>
      </c>
      <c r="E1240" s="674">
        <v>3</v>
      </c>
      <c r="F1240" s="675">
        <v>0.33</v>
      </c>
      <c r="G1240" s="676">
        <v>110</v>
      </c>
      <c r="H1240" s="929">
        <v>0</v>
      </c>
      <c r="I1240" s="929">
        <v>109</v>
      </c>
      <c r="J1240" s="689">
        <f t="shared" si="20"/>
        <v>1</v>
      </c>
    </row>
    <row r="1241" spans="1:10" ht="12.75" customHeight="1" x14ac:dyDescent="0.2">
      <c r="A1241" s="681" t="s">
        <v>2370</v>
      </c>
      <c r="B1241" s="693" t="s">
        <v>3809</v>
      </c>
      <c r="C1241" s="672" t="s">
        <v>736</v>
      </c>
      <c r="D1241" s="673">
        <v>39498</v>
      </c>
      <c r="E1241" s="674">
        <v>3</v>
      </c>
      <c r="F1241" s="675">
        <v>0.33</v>
      </c>
      <c r="G1241" s="676">
        <v>110</v>
      </c>
      <c r="H1241" s="929">
        <v>0</v>
      </c>
      <c r="I1241" s="929">
        <v>109</v>
      </c>
      <c r="J1241" s="689">
        <f t="shared" si="20"/>
        <v>1</v>
      </c>
    </row>
    <row r="1242" spans="1:10" ht="12.75" customHeight="1" x14ac:dyDescent="0.2">
      <c r="A1242" s="681" t="s">
        <v>2370</v>
      </c>
      <c r="B1242" s="693" t="s">
        <v>3810</v>
      </c>
      <c r="C1242" s="672" t="s">
        <v>736</v>
      </c>
      <c r="D1242" s="673">
        <v>39498</v>
      </c>
      <c r="E1242" s="674">
        <v>3</v>
      </c>
      <c r="F1242" s="675">
        <v>0.33</v>
      </c>
      <c r="G1242" s="676">
        <v>110</v>
      </c>
      <c r="H1242" s="929">
        <v>0</v>
      </c>
      <c r="I1242" s="929">
        <v>109</v>
      </c>
      <c r="J1242" s="689">
        <f t="shared" si="20"/>
        <v>1</v>
      </c>
    </row>
    <row r="1243" spans="1:10" ht="12.75" customHeight="1" x14ac:dyDescent="0.2">
      <c r="A1243" s="681" t="s">
        <v>2370</v>
      </c>
      <c r="B1243" s="693" t="s">
        <v>3811</v>
      </c>
      <c r="C1243" s="672" t="s">
        <v>736</v>
      </c>
      <c r="D1243" s="673">
        <v>39498</v>
      </c>
      <c r="E1243" s="674">
        <v>3</v>
      </c>
      <c r="F1243" s="675">
        <v>0.33</v>
      </c>
      <c r="G1243" s="676">
        <v>110</v>
      </c>
      <c r="H1243" s="929">
        <v>0</v>
      </c>
      <c r="I1243" s="929">
        <v>109</v>
      </c>
      <c r="J1243" s="689">
        <f t="shared" si="20"/>
        <v>1</v>
      </c>
    </row>
    <row r="1244" spans="1:10" ht="12.75" customHeight="1" x14ac:dyDescent="0.2">
      <c r="A1244" s="681" t="s">
        <v>2370</v>
      </c>
      <c r="B1244" s="693" t="s">
        <v>3812</v>
      </c>
      <c r="C1244" s="672" t="s">
        <v>785</v>
      </c>
      <c r="D1244" s="673">
        <v>35115</v>
      </c>
      <c r="E1244" s="674">
        <v>10</v>
      </c>
      <c r="F1244" s="675">
        <v>0.1</v>
      </c>
      <c r="G1244" s="676">
        <v>113</v>
      </c>
      <c r="H1244" s="929">
        <v>0</v>
      </c>
      <c r="I1244" s="929">
        <v>112</v>
      </c>
      <c r="J1244" s="689">
        <f t="shared" si="20"/>
        <v>1</v>
      </c>
    </row>
    <row r="1245" spans="1:10" ht="12.75" customHeight="1" x14ac:dyDescent="0.2">
      <c r="A1245" s="681" t="s">
        <v>2370</v>
      </c>
      <c r="B1245" s="693" t="s">
        <v>3813</v>
      </c>
      <c r="C1245" s="672" t="s">
        <v>785</v>
      </c>
      <c r="D1245" s="673">
        <v>35115</v>
      </c>
      <c r="E1245" s="674">
        <v>10</v>
      </c>
      <c r="F1245" s="675">
        <v>0.1</v>
      </c>
      <c r="G1245" s="676">
        <v>115</v>
      </c>
      <c r="H1245" s="929">
        <v>0</v>
      </c>
      <c r="I1245" s="929">
        <v>114</v>
      </c>
      <c r="J1245" s="689">
        <f t="shared" si="20"/>
        <v>1</v>
      </c>
    </row>
    <row r="1246" spans="1:10" ht="12.75" customHeight="1" x14ac:dyDescent="0.2">
      <c r="A1246" s="681" t="s">
        <v>2370</v>
      </c>
      <c r="B1246" s="693" t="s">
        <v>3814</v>
      </c>
      <c r="C1246" s="672" t="s">
        <v>785</v>
      </c>
      <c r="D1246" s="673">
        <v>35115</v>
      </c>
      <c r="E1246" s="674">
        <v>10</v>
      </c>
      <c r="F1246" s="675">
        <v>0.1</v>
      </c>
      <c r="G1246" s="676">
        <v>115</v>
      </c>
      <c r="H1246" s="929">
        <v>0</v>
      </c>
      <c r="I1246" s="929">
        <v>114</v>
      </c>
      <c r="J1246" s="689">
        <f t="shared" si="20"/>
        <v>1</v>
      </c>
    </row>
    <row r="1247" spans="1:10" ht="12.75" customHeight="1" x14ac:dyDescent="0.2">
      <c r="A1247" s="681" t="s">
        <v>2370</v>
      </c>
      <c r="B1247" s="693" t="s">
        <v>3815</v>
      </c>
      <c r="C1247" s="672" t="s">
        <v>785</v>
      </c>
      <c r="D1247" s="673">
        <v>35115</v>
      </c>
      <c r="E1247" s="674">
        <v>10</v>
      </c>
      <c r="F1247" s="675">
        <v>0.1</v>
      </c>
      <c r="G1247" s="676">
        <v>115</v>
      </c>
      <c r="H1247" s="929">
        <v>0</v>
      </c>
      <c r="I1247" s="929">
        <v>114</v>
      </c>
      <c r="J1247" s="689">
        <f t="shared" si="20"/>
        <v>1</v>
      </c>
    </row>
    <row r="1248" spans="1:10" ht="12.75" customHeight="1" x14ac:dyDescent="0.2">
      <c r="A1248" s="681" t="s">
        <v>2370</v>
      </c>
      <c r="B1248" s="693" t="s">
        <v>3816</v>
      </c>
      <c r="C1248" s="672" t="s">
        <v>785</v>
      </c>
      <c r="D1248" s="673">
        <v>35115</v>
      </c>
      <c r="E1248" s="674">
        <v>10</v>
      </c>
      <c r="F1248" s="675">
        <v>0.1</v>
      </c>
      <c r="G1248" s="676">
        <v>115</v>
      </c>
      <c r="H1248" s="929">
        <v>0</v>
      </c>
      <c r="I1248" s="929">
        <v>114</v>
      </c>
      <c r="J1248" s="689">
        <f t="shared" si="20"/>
        <v>1</v>
      </c>
    </row>
    <row r="1249" spans="1:10" ht="12.75" customHeight="1" x14ac:dyDescent="0.2">
      <c r="A1249" s="681" t="s">
        <v>2370</v>
      </c>
      <c r="B1249" s="693" t="s">
        <v>3817</v>
      </c>
      <c r="C1249" s="672" t="s">
        <v>785</v>
      </c>
      <c r="D1249" s="673">
        <v>35115</v>
      </c>
      <c r="E1249" s="674">
        <v>10</v>
      </c>
      <c r="F1249" s="675">
        <v>0.1</v>
      </c>
      <c r="G1249" s="676">
        <v>115</v>
      </c>
      <c r="H1249" s="929">
        <v>0</v>
      </c>
      <c r="I1249" s="929">
        <v>114</v>
      </c>
      <c r="J1249" s="689">
        <f t="shared" si="20"/>
        <v>1</v>
      </c>
    </row>
    <row r="1250" spans="1:10" ht="12.75" customHeight="1" x14ac:dyDescent="0.2">
      <c r="A1250" s="681" t="s">
        <v>2370</v>
      </c>
      <c r="B1250" s="693" t="s">
        <v>3818</v>
      </c>
      <c r="C1250" s="672" t="s">
        <v>785</v>
      </c>
      <c r="D1250" s="673">
        <v>35115</v>
      </c>
      <c r="E1250" s="674">
        <v>10</v>
      </c>
      <c r="F1250" s="675">
        <v>0.1</v>
      </c>
      <c r="G1250" s="676">
        <v>115</v>
      </c>
      <c r="H1250" s="929">
        <v>0</v>
      </c>
      <c r="I1250" s="929">
        <v>114</v>
      </c>
      <c r="J1250" s="689">
        <f t="shared" si="20"/>
        <v>1</v>
      </c>
    </row>
    <row r="1251" spans="1:10" ht="12.75" customHeight="1" x14ac:dyDescent="0.2">
      <c r="A1251" s="681" t="s">
        <v>2370</v>
      </c>
      <c r="B1251" s="693" t="s">
        <v>3819</v>
      </c>
      <c r="C1251" s="672" t="s">
        <v>785</v>
      </c>
      <c r="D1251" s="673">
        <v>37307</v>
      </c>
      <c r="E1251" s="674">
        <v>10</v>
      </c>
      <c r="F1251" s="675">
        <v>0.1</v>
      </c>
      <c r="G1251" s="676">
        <v>115</v>
      </c>
      <c r="H1251" s="929">
        <v>0</v>
      </c>
      <c r="I1251" s="929">
        <v>114</v>
      </c>
      <c r="J1251" s="689">
        <f t="shared" si="20"/>
        <v>1</v>
      </c>
    </row>
    <row r="1252" spans="1:10" ht="12.75" customHeight="1" x14ac:dyDescent="0.2">
      <c r="A1252" s="681" t="s">
        <v>2370</v>
      </c>
      <c r="B1252" s="693" t="s">
        <v>3820</v>
      </c>
      <c r="C1252" s="672" t="s">
        <v>785</v>
      </c>
      <c r="D1252" s="673">
        <v>37307</v>
      </c>
      <c r="E1252" s="674">
        <v>10</v>
      </c>
      <c r="F1252" s="675">
        <v>0.1</v>
      </c>
      <c r="G1252" s="676">
        <v>115</v>
      </c>
      <c r="H1252" s="929">
        <v>0</v>
      </c>
      <c r="I1252" s="929">
        <v>114</v>
      </c>
      <c r="J1252" s="689">
        <f t="shared" si="20"/>
        <v>1</v>
      </c>
    </row>
    <row r="1253" spans="1:10" ht="12.75" customHeight="1" x14ac:dyDescent="0.2">
      <c r="A1253" s="681" t="s">
        <v>2370</v>
      </c>
      <c r="B1253" s="693" t="s">
        <v>3821</v>
      </c>
      <c r="C1253" s="672" t="s">
        <v>785</v>
      </c>
      <c r="D1253" s="673">
        <v>37307</v>
      </c>
      <c r="E1253" s="674">
        <v>10</v>
      </c>
      <c r="F1253" s="675">
        <v>0.1</v>
      </c>
      <c r="G1253" s="676">
        <v>115</v>
      </c>
      <c r="H1253" s="929">
        <v>0</v>
      </c>
      <c r="I1253" s="929">
        <v>114</v>
      </c>
      <c r="J1253" s="689">
        <f t="shared" si="20"/>
        <v>1</v>
      </c>
    </row>
    <row r="1254" spans="1:10" ht="12.75" customHeight="1" x14ac:dyDescent="0.2">
      <c r="A1254" s="681" t="s">
        <v>2370</v>
      </c>
      <c r="B1254" s="693" t="s">
        <v>3822</v>
      </c>
      <c r="C1254" s="672" t="s">
        <v>785</v>
      </c>
      <c r="D1254" s="673">
        <v>37307</v>
      </c>
      <c r="E1254" s="674">
        <v>10</v>
      </c>
      <c r="F1254" s="675">
        <v>0.1</v>
      </c>
      <c r="G1254" s="676">
        <v>115</v>
      </c>
      <c r="H1254" s="929">
        <v>0</v>
      </c>
      <c r="I1254" s="929">
        <v>114</v>
      </c>
      <c r="J1254" s="689">
        <f t="shared" si="20"/>
        <v>1</v>
      </c>
    </row>
    <row r="1255" spans="1:10" ht="12.75" customHeight="1" x14ac:dyDescent="0.2">
      <c r="A1255" s="681" t="s">
        <v>2370</v>
      </c>
      <c r="B1255" s="693" t="s">
        <v>3823</v>
      </c>
      <c r="C1255" s="672" t="s">
        <v>736</v>
      </c>
      <c r="D1255" s="673">
        <v>39498</v>
      </c>
      <c r="E1255" s="674">
        <v>3</v>
      </c>
      <c r="F1255" s="675">
        <v>0.33</v>
      </c>
      <c r="G1255" s="676">
        <v>115</v>
      </c>
      <c r="H1255" s="929">
        <v>0</v>
      </c>
      <c r="I1255" s="929">
        <v>114</v>
      </c>
      <c r="J1255" s="689">
        <f t="shared" si="20"/>
        <v>1</v>
      </c>
    </row>
    <row r="1256" spans="1:10" ht="12.75" customHeight="1" x14ac:dyDescent="0.2">
      <c r="A1256" s="681" t="s">
        <v>2370</v>
      </c>
      <c r="B1256" s="693" t="s">
        <v>3824</v>
      </c>
      <c r="C1256" s="672" t="s">
        <v>736</v>
      </c>
      <c r="D1256" s="673">
        <v>39498</v>
      </c>
      <c r="E1256" s="674">
        <v>3</v>
      </c>
      <c r="F1256" s="675">
        <v>0.33</v>
      </c>
      <c r="G1256" s="676">
        <v>115</v>
      </c>
      <c r="H1256" s="929">
        <v>0</v>
      </c>
      <c r="I1256" s="929">
        <v>114</v>
      </c>
      <c r="J1256" s="689">
        <f t="shared" si="20"/>
        <v>1</v>
      </c>
    </row>
    <row r="1257" spans="1:10" ht="12.75" customHeight="1" x14ac:dyDescent="0.2">
      <c r="A1257" s="681" t="s">
        <v>2370</v>
      </c>
      <c r="B1257" s="693" t="s">
        <v>3825</v>
      </c>
      <c r="C1257" s="672" t="s">
        <v>736</v>
      </c>
      <c r="D1257" s="673">
        <v>39498</v>
      </c>
      <c r="E1257" s="674">
        <v>3</v>
      </c>
      <c r="F1257" s="675">
        <v>0.33</v>
      </c>
      <c r="G1257" s="676">
        <v>126</v>
      </c>
      <c r="H1257" s="929">
        <v>0</v>
      </c>
      <c r="I1257" s="929">
        <v>125</v>
      </c>
      <c r="J1257" s="689">
        <f t="shared" si="20"/>
        <v>1</v>
      </c>
    </row>
    <row r="1258" spans="1:10" ht="12.75" customHeight="1" x14ac:dyDescent="0.2">
      <c r="A1258" s="681" t="s">
        <v>2370</v>
      </c>
      <c r="B1258" s="693" t="s">
        <v>3826</v>
      </c>
      <c r="C1258" s="672" t="s">
        <v>785</v>
      </c>
      <c r="D1258" s="673">
        <v>35846</v>
      </c>
      <c r="E1258" s="674">
        <v>10</v>
      </c>
      <c r="F1258" s="675">
        <v>0.1</v>
      </c>
      <c r="G1258" s="676">
        <v>135</v>
      </c>
      <c r="H1258" s="929">
        <v>0</v>
      </c>
      <c r="I1258" s="929">
        <v>134</v>
      </c>
      <c r="J1258" s="689">
        <f t="shared" si="20"/>
        <v>1</v>
      </c>
    </row>
    <row r="1259" spans="1:10" ht="12.75" customHeight="1" x14ac:dyDescent="0.2">
      <c r="A1259" s="681" t="s">
        <v>2370</v>
      </c>
      <c r="B1259" s="693" t="s">
        <v>3827</v>
      </c>
      <c r="C1259" s="672" t="s">
        <v>785</v>
      </c>
      <c r="D1259" s="673">
        <v>35846</v>
      </c>
      <c r="E1259" s="674">
        <v>10</v>
      </c>
      <c r="F1259" s="675">
        <v>0.1</v>
      </c>
      <c r="G1259" s="676">
        <v>135</v>
      </c>
      <c r="H1259" s="929">
        <v>0</v>
      </c>
      <c r="I1259" s="929">
        <v>134</v>
      </c>
      <c r="J1259" s="689">
        <f t="shared" si="20"/>
        <v>1</v>
      </c>
    </row>
    <row r="1260" spans="1:10" ht="12.75" customHeight="1" x14ac:dyDescent="0.2">
      <c r="A1260" s="681" t="s">
        <v>2370</v>
      </c>
      <c r="B1260" s="693" t="s">
        <v>3828</v>
      </c>
      <c r="C1260" s="672" t="s">
        <v>785</v>
      </c>
      <c r="D1260" s="673">
        <v>35846</v>
      </c>
      <c r="E1260" s="674">
        <v>10</v>
      </c>
      <c r="F1260" s="675">
        <v>0.1</v>
      </c>
      <c r="G1260" s="676">
        <v>135</v>
      </c>
      <c r="H1260" s="929">
        <v>0</v>
      </c>
      <c r="I1260" s="929">
        <v>134</v>
      </c>
      <c r="J1260" s="689">
        <f t="shared" si="20"/>
        <v>1</v>
      </c>
    </row>
    <row r="1261" spans="1:10" ht="12.75" customHeight="1" x14ac:dyDescent="0.2">
      <c r="A1261" s="681" t="s">
        <v>2370</v>
      </c>
      <c r="B1261" s="693" t="s">
        <v>3829</v>
      </c>
      <c r="C1261" s="672" t="s">
        <v>785</v>
      </c>
      <c r="D1261" s="673">
        <v>35846</v>
      </c>
      <c r="E1261" s="674">
        <v>10</v>
      </c>
      <c r="F1261" s="675">
        <v>0.1</v>
      </c>
      <c r="G1261" s="676">
        <v>135</v>
      </c>
      <c r="H1261" s="929">
        <v>0</v>
      </c>
      <c r="I1261" s="929">
        <v>134</v>
      </c>
      <c r="J1261" s="689">
        <f t="shared" si="20"/>
        <v>1</v>
      </c>
    </row>
    <row r="1262" spans="1:10" ht="12.75" customHeight="1" x14ac:dyDescent="0.2">
      <c r="A1262" s="681" t="s">
        <v>2370</v>
      </c>
      <c r="B1262" s="693" t="s">
        <v>3830</v>
      </c>
      <c r="C1262" s="672" t="s">
        <v>785</v>
      </c>
      <c r="D1262" s="673">
        <v>35846</v>
      </c>
      <c r="E1262" s="674">
        <v>10</v>
      </c>
      <c r="F1262" s="675">
        <v>0.1</v>
      </c>
      <c r="G1262" s="676">
        <v>135</v>
      </c>
      <c r="H1262" s="929">
        <v>0</v>
      </c>
      <c r="I1262" s="929">
        <v>134</v>
      </c>
      <c r="J1262" s="689">
        <f t="shared" si="20"/>
        <v>1</v>
      </c>
    </row>
    <row r="1263" spans="1:10" ht="12.75" customHeight="1" x14ac:dyDescent="0.2">
      <c r="A1263" s="681" t="s">
        <v>2370</v>
      </c>
      <c r="B1263" s="693" t="s">
        <v>3831</v>
      </c>
      <c r="C1263" s="672" t="s">
        <v>785</v>
      </c>
      <c r="D1263" s="673">
        <v>35846</v>
      </c>
      <c r="E1263" s="674">
        <v>10</v>
      </c>
      <c r="F1263" s="675">
        <v>0.1</v>
      </c>
      <c r="G1263" s="676">
        <v>135</v>
      </c>
      <c r="H1263" s="929">
        <v>0</v>
      </c>
      <c r="I1263" s="929">
        <v>134</v>
      </c>
      <c r="J1263" s="689">
        <f t="shared" si="20"/>
        <v>1</v>
      </c>
    </row>
    <row r="1264" spans="1:10" ht="12.75" customHeight="1" x14ac:dyDescent="0.2">
      <c r="A1264" s="681" t="s">
        <v>2370</v>
      </c>
      <c r="B1264" s="693" t="s">
        <v>3832</v>
      </c>
      <c r="C1264" s="672" t="s">
        <v>785</v>
      </c>
      <c r="D1264" s="673">
        <v>35846</v>
      </c>
      <c r="E1264" s="674">
        <v>10</v>
      </c>
      <c r="F1264" s="675">
        <v>0.1</v>
      </c>
      <c r="G1264" s="676">
        <v>135</v>
      </c>
      <c r="H1264" s="929">
        <v>0</v>
      </c>
      <c r="I1264" s="929">
        <v>134</v>
      </c>
      <c r="J1264" s="689">
        <f t="shared" si="20"/>
        <v>1</v>
      </c>
    </row>
    <row r="1265" spans="1:10" ht="12.75" customHeight="1" x14ac:dyDescent="0.2">
      <c r="A1265" s="681" t="s">
        <v>2370</v>
      </c>
      <c r="B1265" s="693" t="s">
        <v>3833</v>
      </c>
      <c r="C1265" s="672" t="s">
        <v>785</v>
      </c>
      <c r="D1265" s="673">
        <v>35846</v>
      </c>
      <c r="E1265" s="674">
        <v>10</v>
      </c>
      <c r="F1265" s="675">
        <v>0.1</v>
      </c>
      <c r="G1265" s="676">
        <v>135</v>
      </c>
      <c r="H1265" s="929">
        <v>0</v>
      </c>
      <c r="I1265" s="929">
        <v>134</v>
      </c>
      <c r="J1265" s="689">
        <f t="shared" si="20"/>
        <v>1</v>
      </c>
    </row>
    <row r="1266" spans="1:10" ht="12.75" customHeight="1" x14ac:dyDescent="0.2">
      <c r="A1266" s="681" t="s">
        <v>2370</v>
      </c>
      <c r="B1266" s="693" t="s">
        <v>3834</v>
      </c>
      <c r="C1266" s="672" t="s">
        <v>785</v>
      </c>
      <c r="D1266" s="673">
        <v>35846</v>
      </c>
      <c r="E1266" s="674">
        <v>10</v>
      </c>
      <c r="F1266" s="675">
        <v>0.1</v>
      </c>
      <c r="G1266" s="676">
        <v>135</v>
      </c>
      <c r="H1266" s="929">
        <v>0</v>
      </c>
      <c r="I1266" s="929">
        <v>134</v>
      </c>
      <c r="J1266" s="689">
        <f t="shared" si="20"/>
        <v>1</v>
      </c>
    </row>
    <row r="1267" spans="1:10" ht="12.75" customHeight="1" x14ac:dyDescent="0.2">
      <c r="A1267" s="681" t="s">
        <v>2370</v>
      </c>
      <c r="B1267" s="693" t="s">
        <v>3835</v>
      </c>
      <c r="C1267" s="672" t="s">
        <v>785</v>
      </c>
      <c r="D1267" s="673">
        <v>35846</v>
      </c>
      <c r="E1267" s="674">
        <v>10</v>
      </c>
      <c r="F1267" s="675">
        <v>0.1</v>
      </c>
      <c r="G1267" s="676">
        <v>135</v>
      </c>
      <c r="H1267" s="929">
        <v>0</v>
      </c>
      <c r="I1267" s="929">
        <v>134</v>
      </c>
      <c r="J1267" s="689">
        <f t="shared" si="20"/>
        <v>1</v>
      </c>
    </row>
    <row r="1268" spans="1:10" ht="12.75" customHeight="1" x14ac:dyDescent="0.2">
      <c r="A1268" s="681" t="s">
        <v>2370</v>
      </c>
      <c r="B1268" s="693" t="s">
        <v>3836</v>
      </c>
      <c r="C1268" s="672" t="s">
        <v>785</v>
      </c>
      <c r="D1268" s="673">
        <v>35846</v>
      </c>
      <c r="E1268" s="674">
        <v>10</v>
      </c>
      <c r="F1268" s="675">
        <v>0.1</v>
      </c>
      <c r="G1268" s="676">
        <v>135</v>
      </c>
      <c r="H1268" s="929">
        <v>0</v>
      </c>
      <c r="I1268" s="929">
        <v>134</v>
      </c>
      <c r="J1268" s="689">
        <f t="shared" si="20"/>
        <v>1</v>
      </c>
    </row>
    <row r="1269" spans="1:10" ht="12.75" customHeight="1" x14ac:dyDescent="0.2">
      <c r="A1269" s="681" t="s">
        <v>2370</v>
      </c>
      <c r="B1269" s="693" t="s">
        <v>3837</v>
      </c>
      <c r="C1269" s="672" t="s">
        <v>785</v>
      </c>
      <c r="D1269" s="673">
        <v>35846</v>
      </c>
      <c r="E1269" s="674">
        <v>10</v>
      </c>
      <c r="F1269" s="675">
        <v>0.1</v>
      </c>
      <c r="G1269" s="676">
        <v>135</v>
      </c>
      <c r="H1269" s="929">
        <v>0</v>
      </c>
      <c r="I1269" s="929">
        <v>134</v>
      </c>
      <c r="J1269" s="689">
        <f t="shared" si="20"/>
        <v>1</v>
      </c>
    </row>
    <row r="1270" spans="1:10" ht="12.75" customHeight="1" x14ac:dyDescent="0.2">
      <c r="A1270" s="681" t="s">
        <v>2370</v>
      </c>
      <c r="B1270" s="693" t="s">
        <v>3838</v>
      </c>
      <c r="C1270" s="672" t="s">
        <v>785</v>
      </c>
      <c r="D1270" s="673">
        <v>35846</v>
      </c>
      <c r="E1270" s="674">
        <v>10</v>
      </c>
      <c r="F1270" s="675">
        <v>0.1</v>
      </c>
      <c r="G1270" s="676">
        <v>135</v>
      </c>
      <c r="H1270" s="929">
        <v>0</v>
      </c>
      <c r="I1270" s="929">
        <v>134</v>
      </c>
      <c r="J1270" s="689">
        <f t="shared" si="20"/>
        <v>1</v>
      </c>
    </row>
    <row r="1271" spans="1:10" ht="12.75" customHeight="1" x14ac:dyDescent="0.2">
      <c r="A1271" s="681" t="s">
        <v>2370</v>
      </c>
      <c r="B1271" s="693" t="s">
        <v>3839</v>
      </c>
      <c r="C1271" s="672" t="s">
        <v>876</v>
      </c>
      <c r="D1271" s="673">
        <v>35115</v>
      </c>
      <c r="E1271" s="674">
        <v>10</v>
      </c>
      <c r="F1271" s="675">
        <v>0.1</v>
      </c>
      <c r="G1271" s="676">
        <v>144</v>
      </c>
      <c r="H1271" s="929">
        <v>0</v>
      </c>
      <c r="I1271" s="929">
        <v>143</v>
      </c>
      <c r="J1271" s="689">
        <f t="shared" si="20"/>
        <v>1</v>
      </c>
    </row>
    <row r="1272" spans="1:10" ht="12.75" customHeight="1" x14ac:dyDescent="0.2">
      <c r="A1272" s="681" t="s">
        <v>2370</v>
      </c>
      <c r="B1272" s="693" t="s">
        <v>3840</v>
      </c>
      <c r="C1272" s="672" t="s">
        <v>863</v>
      </c>
      <c r="D1272" s="673">
        <v>35115</v>
      </c>
      <c r="E1272" s="674">
        <v>10</v>
      </c>
      <c r="F1272" s="675">
        <v>0.1</v>
      </c>
      <c r="G1272" s="676">
        <v>148</v>
      </c>
      <c r="H1272" s="929">
        <v>0</v>
      </c>
      <c r="I1272" s="929">
        <v>147</v>
      </c>
      <c r="J1272" s="689">
        <f t="shared" si="20"/>
        <v>1</v>
      </c>
    </row>
    <row r="1273" spans="1:10" ht="12.75" customHeight="1" x14ac:dyDescent="0.2">
      <c r="A1273" s="681" t="s">
        <v>2370</v>
      </c>
      <c r="B1273" s="693" t="s">
        <v>3841</v>
      </c>
      <c r="C1273" s="672" t="s">
        <v>863</v>
      </c>
      <c r="D1273" s="673">
        <v>37307</v>
      </c>
      <c r="E1273" s="674">
        <v>10</v>
      </c>
      <c r="F1273" s="675">
        <v>0.1</v>
      </c>
      <c r="G1273" s="676">
        <v>148</v>
      </c>
      <c r="H1273" s="929">
        <v>0</v>
      </c>
      <c r="I1273" s="929">
        <v>147</v>
      </c>
      <c r="J1273" s="689">
        <f t="shared" si="20"/>
        <v>1</v>
      </c>
    </row>
    <row r="1274" spans="1:10" ht="12.75" customHeight="1" x14ac:dyDescent="0.2">
      <c r="A1274" s="681" t="s">
        <v>2370</v>
      </c>
      <c r="B1274" s="693" t="s">
        <v>3842</v>
      </c>
      <c r="C1274" s="672" t="s">
        <v>897</v>
      </c>
      <c r="D1274" s="673">
        <v>36576</v>
      </c>
      <c r="E1274" s="674">
        <v>3</v>
      </c>
      <c r="F1274" s="675">
        <v>0.33</v>
      </c>
      <c r="G1274" s="676">
        <v>150</v>
      </c>
      <c r="H1274" s="929">
        <v>0</v>
      </c>
      <c r="I1274" s="929">
        <v>149</v>
      </c>
      <c r="J1274" s="689">
        <f t="shared" si="20"/>
        <v>1</v>
      </c>
    </row>
    <row r="1275" spans="1:10" ht="12.75" customHeight="1" x14ac:dyDescent="0.2">
      <c r="A1275" s="681" t="s">
        <v>2370</v>
      </c>
      <c r="B1275" s="693" t="s">
        <v>3843</v>
      </c>
      <c r="C1275" s="672" t="s">
        <v>785</v>
      </c>
      <c r="D1275" s="673">
        <v>35846</v>
      </c>
      <c r="E1275" s="674">
        <v>10</v>
      </c>
      <c r="F1275" s="675">
        <v>0.1</v>
      </c>
      <c r="G1275" s="676">
        <v>155</v>
      </c>
      <c r="H1275" s="929">
        <v>0</v>
      </c>
      <c r="I1275" s="929">
        <v>154</v>
      </c>
      <c r="J1275" s="689">
        <f t="shared" si="20"/>
        <v>1</v>
      </c>
    </row>
    <row r="1276" spans="1:10" ht="12.75" customHeight="1" x14ac:dyDescent="0.2">
      <c r="A1276" s="681" t="s">
        <v>2370</v>
      </c>
      <c r="B1276" s="693" t="s">
        <v>3844</v>
      </c>
      <c r="C1276" s="672" t="s">
        <v>793</v>
      </c>
      <c r="D1276" s="673">
        <v>35115</v>
      </c>
      <c r="E1276" s="674">
        <v>10</v>
      </c>
      <c r="F1276" s="675">
        <v>0.1</v>
      </c>
      <c r="G1276" s="676">
        <v>156</v>
      </c>
      <c r="H1276" s="929">
        <v>0</v>
      </c>
      <c r="I1276" s="929">
        <v>155</v>
      </c>
      <c r="J1276" s="689">
        <f t="shared" si="20"/>
        <v>1</v>
      </c>
    </row>
    <row r="1277" spans="1:10" ht="12.75" customHeight="1" x14ac:dyDescent="0.2">
      <c r="A1277" s="681" t="s">
        <v>2370</v>
      </c>
      <c r="B1277" s="693" t="s">
        <v>3845</v>
      </c>
      <c r="C1277" s="672" t="s">
        <v>785</v>
      </c>
      <c r="D1277" s="673">
        <v>35115</v>
      </c>
      <c r="E1277" s="674">
        <v>10</v>
      </c>
      <c r="F1277" s="675">
        <v>0.1</v>
      </c>
      <c r="G1277" s="676">
        <v>156</v>
      </c>
      <c r="H1277" s="929">
        <v>0</v>
      </c>
      <c r="I1277" s="929">
        <v>155</v>
      </c>
      <c r="J1277" s="689">
        <f t="shared" si="20"/>
        <v>1</v>
      </c>
    </row>
    <row r="1278" spans="1:10" ht="12.75" customHeight="1" x14ac:dyDescent="0.2">
      <c r="A1278" s="681" t="s">
        <v>2370</v>
      </c>
      <c r="B1278" s="693" t="s">
        <v>3846</v>
      </c>
      <c r="C1278" s="672" t="s">
        <v>785</v>
      </c>
      <c r="D1278" s="673">
        <v>36211</v>
      </c>
      <c r="E1278" s="674">
        <v>10</v>
      </c>
      <c r="F1278" s="675">
        <v>0.1</v>
      </c>
      <c r="G1278" s="676">
        <v>156</v>
      </c>
      <c r="H1278" s="929">
        <v>0</v>
      </c>
      <c r="I1278" s="929">
        <v>155</v>
      </c>
      <c r="J1278" s="689">
        <f t="shared" si="20"/>
        <v>1</v>
      </c>
    </row>
    <row r="1279" spans="1:10" ht="12.75" customHeight="1" x14ac:dyDescent="0.2">
      <c r="A1279" s="681" t="s">
        <v>2370</v>
      </c>
      <c r="B1279" s="693" t="s">
        <v>3847</v>
      </c>
      <c r="C1279" s="672" t="s">
        <v>785</v>
      </c>
      <c r="D1279" s="673">
        <v>35115</v>
      </c>
      <c r="E1279" s="674">
        <v>10</v>
      </c>
      <c r="F1279" s="675">
        <v>0.1</v>
      </c>
      <c r="G1279" s="676">
        <v>156</v>
      </c>
      <c r="H1279" s="929">
        <v>0</v>
      </c>
      <c r="I1279" s="929">
        <v>155</v>
      </c>
      <c r="J1279" s="689">
        <f t="shared" si="20"/>
        <v>1</v>
      </c>
    </row>
    <row r="1280" spans="1:10" ht="12.75" customHeight="1" x14ac:dyDescent="0.2">
      <c r="A1280" s="681" t="s">
        <v>2370</v>
      </c>
      <c r="B1280" s="693" t="s">
        <v>3848</v>
      </c>
      <c r="C1280" s="672" t="s">
        <v>785</v>
      </c>
      <c r="D1280" s="673">
        <v>35115</v>
      </c>
      <c r="E1280" s="674">
        <v>10</v>
      </c>
      <c r="F1280" s="675">
        <v>0.1</v>
      </c>
      <c r="G1280" s="676">
        <v>156</v>
      </c>
      <c r="H1280" s="929">
        <v>0</v>
      </c>
      <c r="I1280" s="929">
        <v>155</v>
      </c>
      <c r="J1280" s="689">
        <f t="shared" si="20"/>
        <v>1</v>
      </c>
    </row>
    <row r="1281" spans="1:10" ht="12.75" customHeight="1" x14ac:dyDescent="0.2">
      <c r="A1281" s="681" t="s">
        <v>2370</v>
      </c>
      <c r="B1281" s="693" t="s">
        <v>3849</v>
      </c>
      <c r="C1281" s="672" t="s">
        <v>785</v>
      </c>
      <c r="D1281" s="673">
        <v>35115</v>
      </c>
      <c r="E1281" s="674">
        <v>10</v>
      </c>
      <c r="F1281" s="675">
        <v>0.1</v>
      </c>
      <c r="G1281" s="676">
        <v>156</v>
      </c>
      <c r="H1281" s="929">
        <v>0</v>
      </c>
      <c r="I1281" s="929">
        <v>155</v>
      </c>
      <c r="J1281" s="689">
        <f t="shared" si="20"/>
        <v>1</v>
      </c>
    </row>
    <row r="1282" spans="1:10" ht="12.75" customHeight="1" x14ac:dyDescent="0.2">
      <c r="A1282" s="681" t="s">
        <v>2370</v>
      </c>
      <c r="B1282" s="693" t="s">
        <v>3850</v>
      </c>
      <c r="C1282" s="672" t="s">
        <v>736</v>
      </c>
      <c r="D1282" s="673">
        <v>40594</v>
      </c>
      <c r="E1282" s="674">
        <v>10</v>
      </c>
      <c r="F1282" s="675">
        <v>0.1</v>
      </c>
      <c r="G1282" s="676">
        <v>160</v>
      </c>
      <c r="H1282" s="929">
        <v>0</v>
      </c>
      <c r="I1282" s="929">
        <v>159</v>
      </c>
      <c r="J1282" s="689">
        <f t="shared" si="20"/>
        <v>1</v>
      </c>
    </row>
    <row r="1283" spans="1:10" ht="12.75" customHeight="1" x14ac:dyDescent="0.2">
      <c r="A1283" s="681" t="s">
        <v>2370</v>
      </c>
      <c r="B1283" s="693" t="s">
        <v>3851</v>
      </c>
      <c r="C1283" s="672" t="s">
        <v>736</v>
      </c>
      <c r="D1283" s="673">
        <v>40594</v>
      </c>
      <c r="E1283" s="674">
        <v>10</v>
      </c>
      <c r="F1283" s="675">
        <v>0.1</v>
      </c>
      <c r="G1283" s="676">
        <v>160</v>
      </c>
      <c r="H1283" s="929">
        <v>0</v>
      </c>
      <c r="I1283" s="929">
        <v>159</v>
      </c>
      <c r="J1283" s="689">
        <f t="shared" si="20"/>
        <v>1</v>
      </c>
    </row>
    <row r="1284" spans="1:10" ht="12.75" customHeight="1" x14ac:dyDescent="0.2">
      <c r="A1284" s="681" t="s">
        <v>2370</v>
      </c>
      <c r="B1284" s="693" t="s">
        <v>3852</v>
      </c>
      <c r="C1284" s="672" t="s">
        <v>785</v>
      </c>
      <c r="D1284" s="673">
        <v>37307</v>
      </c>
      <c r="E1284" s="674">
        <v>10</v>
      </c>
      <c r="F1284" s="675">
        <v>0.1</v>
      </c>
      <c r="G1284" s="676">
        <v>170</v>
      </c>
      <c r="H1284" s="929">
        <v>0</v>
      </c>
      <c r="I1284" s="929">
        <v>169</v>
      </c>
      <c r="J1284" s="689">
        <f t="shared" si="20"/>
        <v>1</v>
      </c>
    </row>
    <row r="1285" spans="1:10" ht="12.75" customHeight="1" x14ac:dyDescent="0.2">
      <c r="A1285" s="681" t="s">
        <v>2370</v>
      </c>
      <c r="B1285" s="693" t="s">
        <v>3853</v>
      </c>
      <c r="C1285" s="672" t="s">
        <v>785</v>
      </c>
      <c r="D1285" s="673">
        <v>37307</v>
      </c>
      <c r="E1285" s="674">
        <v>10</v>
      </c>
      <c r="F1285" s="675">
        <v>0.1</v>
      </c>
      <c r="G1285" s="676">
        <v>170</v>
      </c>
      <c r="H1285" s="929">
        <v>0</v>
      </c>
      <c r="I1285" s="929">
        <v>169</v>
      </c>
      <c r="J1285" s="689">
        <f t="shared" si="20"/>
        <v>1</v>
      </c>
    </row>
    <row r="1286" spans="1:10" ht="12.75" customHeight="1" x14ac:dyDescent="0.2">
      <c r="A1286" s="681" t="s">
        <v>2370</v>
      </c>
      <c r="B1286" s="693" t="s">
        <v>3854</v>
      </c>
      <c r="C1286" s="672" t="s">
        <v>785</v>
      </c>
      <c r="D1286" s="673">
        <v>37307</v>
      </c>
      <c r="E1286" s="674">
        <v>10</v>
      </c>
      <c r="F1286" s="675">
        <v>0.1</v>
      </c>
      <c r="G1286" s="676">
        <v>170</v>
      </c>
      <c r="H1286" s="929">
        <v>0</v>
      </c>
      <c r="I1286" s="929">
        <v>169</v>
      </c>
      <c r="J1286" s="689">
        <f t="shared" si="20"/>
        <v>1</v>
      </c>
    </row>
    <row r="1287" spans="1:10" ht="12.75" customHeight="1" x14ac:dyDescent="0.2">
      <c r="A1287" s="681" t="s">
        <v>2370</v>
      </c>
      <c r="B1287" s="693" t="s">
        <v>3855</v>
      </c>
      <c r="C1287" s="672" t="s">
        <v>785</v>
      </c>
      <c r="D1287" s="673">
        <v>37307</v>
      </c>
      <c r="E1287" s="674">
        <v>10</v>
      </c>
      <c r="F1287" s="675">
        <v>0.1</v>
      </c>
      <c r="G1287" s="676">
        <v>170</v>
      </c>
      <c r="H1287" s="929">
        <v>0</v>
      </c>
      <c r="I1287" s="929">
        <v>169</v>
      </c>
      <c r="J1287" s="689">
        <f t="shared" ref="J1287:J1350" si="21">G1287-I1287</f>
        <v>1</v>
      </c>
    </row>
    <row r="1288" spans="1:10" ht="12.75" customHeight="1" x14ac:dyDescent="0.2">
      <c r="A1288" s="681" t="s">
        <v>2370</v>
      </c>
      <c r="B1288" s="693" t="s">
        <v>3856</v>
      </c>
      <c r="C1288" s="672" t="s">
        <v>785</v>
      </c>
      <c r="D1288" s="673">
        <v>37307</v>
      </c>
      <c r="E1288" s="674">
        <v>10</v>
      </c>
      <c r="F1288" s="675">
        <v>0.1</v>
      </c>
      <c r="G1288" s="676">
        <v>170</v>
      </c>
      <c r="H1288" s="929">
        <v>0</v>
      </c>
      <c r="I1288" s="929">
        <v>169</v>
      </c>
      <c r="J1288" s="689">
        <f t="shared" si="21"/>
        <v>1</v>
      </c>
    </row>
    <row r="1289" spans="1:10" ht="12.75" customHeight="1" x14ac:dyDescent="0.2">
      <c r="A1289" s="681" t="s">
        <v>2370</v>
      </c>
      <c r="B1289" s="693" t="s">
        <v>3857</v>
      </c>
      <c r="C1289" s="672" t="s">
        <v>785</v>
      </c>
      <c r="D1289" s="673">
        <v>37307</v>
      </c>
      <c r="E1289" s="674">
        <v>10</v>
      </c>
      <c r="F1289" s="675">
        <v>0.1</v>
      </c>
      <c r="G1289" s="676">
        <v>170</v>
      </c>
      <c r="H1289" s="929">
        <v>0</v>
      </c>
      <c r="I1289" s="929">
        <v>169</v>
      </c>
      <c r="J1289" s="689">
        <f t="shared" si="21"/>
        <v>1</v>
      </c>
    </row>
    <row r="1290" spans="1:10" ht="12.75" customHeight="1" x14ac:dyDescent="0.2">
      <c r="A1290" s="681" t="s">
        <v>2370</v>
      </c>
      <c r="B1290" s="693" t="s">
        <v>3858</v>
      </c>
      <c r="C1290" s="672" t="s">
        <v>785</v>
      </c>
      <c r="D1290" s="673">
        <v>37307</v>
      </c>
      <c r="E1290" s="674">
        <v>10</v>
      </c>
      <c r="F1290" s="675">
        <v>0.1</v>
      </c>
      <c r="G1290" s="676">
        <v>170</v>
      </c>
      <c r="H1290" s="929">
        <v>0</v>
      </c>
      <c r="I1290" s="929">
        <v>169</v>
      </c>
      <c r="J1290" s="689">
        <f t="shared" si="21"/>
        <v>1</v>
      </c>
    </row>
    <row r="1291" spans="1:10" ht="12.75" customHeight="1" x14ac:dyDescent="0.2">
      <c r="A1291" s="681" t="s">
        <v>2370</v>
      </c>
      <c r="B1291" s="693" t="s">
        <v>3859</v>
      </c>
      <c r="C1291" s="672" t="s">
        <v>889</v>
      </c>
      <c r="D1291" s="673">
        <v>38768</v>
      </c>
      <c r="E1291" s="674">
        <v>3</v>
      </c>
      <c r="F1291" s="675">
        <v>0.33</v>
      </c>
      <c r="G1291" s="676">
        <v>170</v>
      </c>
      <c r="H1291" s="929">
        <v>0</v>
      </c>
      <c r="I1291" s="929">
        <v>169</v>
      </c>
      <c r="J1291" s="689">
        <f t="shared" si="21"/>
        <v>1</v>
      </c>
    </row>
    <row r="1292" spans="1:10" ht="12.75" customHeight="1" x14ac:dyDescent="0.2">
      <c r="A1292" s="681" t="s">
        <v>2370</v>
      </c>
      <c r="B1292" s="693" t="s">
        <v>3860</v>
      </c>
      <c r="C1292" s="672" t="s">
        <v>785</v>
      </c>
      <c r="D1292" s="673">
        <v>37307</v>
      </c>
      <c r="E1292" s="674">
        <v>10</v>
      </c>
      <c r="F1292" s="675">
        <v>0.1</v>
      </c>
      <c r="G1292" s="676">
        <v>172</v>
      </c>
      <c r="H1292" s="929">
        <v>0</v>
      </c>
      <c r="I1292" s="929">
        <v>171</v>
      </c>
      <c r="J1292" s="689">
        <f t="shared" si="21"/>
        <v>1</v>
      </c>
    </row>
    <row r="1293" spans="1:10" ht="12.75" customHeight="1" x14ac:dyDescent="0.2">
      <c r="A1293" s="681" t="s">
        <v>2370</v>
      </c>
      <c r="B1293" s="693" t="s">
        <v>3861</v>
      </c>
      <c r="C1293" s="672" t="s">
        <v>785</v>
      </c>
      <c r="D1293" s="673">
        <v>37307</v>
      </c>
      <c r="E1293" s="674">
        <v>10</v>
      </c>
      <c r="F1293" s="675">
        <v>0.1</v>
      </c>
      <c r="G1293" s="676">
        <v>172</v>
      </c>
      <c r="H1293" s="929">
        <v>0</v>
      </c>
      <c r="I1293" s="929">
        <v>171</v>
      </c>
      <c r="J1293" s="689">
        <f t="shared" si="21"/>
        <v>1</v>
      </c>
    </row>
    <row r="1294" spans="1:10" ht="12.75" customHeight="1" x14ac:dyDescent="0.2">
      <c r="A1294" s="681" t="s">
        <v>2370</v>
      </c>
      <c r="B1294" s="693" t="s">
        <v>3862</v>
      </c>
      <c r="C1294" s="672" t="s">
        <v>785</v>
      </c>
      <c r="D1294" s="673">
        <v>37307</v>
      </c>
      <c r="E1294" s="674">
        <v>10</v>
      </c>
      <c r="F1294" s="675">
        <v>0.1</v>
      </c>
      <c r="G1294" s="676">
        <v>172</v>
      </c>
      <c r="H1294" s="929">
        <v>0</v>
      </c>
      <c r="I1294" s="929">
        <v>171</v>
      </c>
      <c r="J1294" s="689">
        <f t="shared" si="21"/>
        <v>1</v>
      </c>
    </row>
    <row r="1295" spans="1:10" ht="12.75" customHeight="1" x14ac:dyDescent="0.2">
      <c r="A1295" s="681" t="s">
        <v>2370</v>
      </c>
      <c r="B1295" s="693" t="s">
        <v>3863</v>
      </c>
      <c r="C1295" s="672" t="s">
        <v>785</v>
      </c>
      <c r="D1295" s="673">
        <v>37307</v>
      </c>
      <c r="E1295" s="674">
        <v>10</v>
      </c>
      <c r="F1295" s="675">
        <v>0.1</v>
      </c>
      <c r="G1295" s="676">
        <v>172</v>
      </c>
      <c r="H1295" s="929">
        <v>0</v>
      </c>
      <c r="I1295" s="929">
        <v>171</v>
      </c>
      <c r="J1295" s="689">
        <f t="shared" si="21"/>
        <v>1</v>
      </c>
    </row>
    <row r="1296" spans="1:10" ht="12.75" customHeight="1" x14ac:dyDescent="0.2">
      <c r="A1296" s="681" t="s">
        <v>2370</v>
      </c>
      <c r="B1296" s="693" t="s">
        <v>3864</v>
      </c>
      <c r="C1296" s="672" t="s">
        <v>785</v>
      </c>
      <c r="D1296" s="673">
        <v>37307</v>
      </c>
      <c r="E1296" s="674">
        <v>10</v>
      </c>
      <c r="F1296" s="675">
        <v>0.1</v>
      </c>
      <c r="G1296" s="676">
        <v>172</v>
      </c>
      <c r="H1296" s="929">
        <v>0</v>
      </c>
      <c r="I1296" s="929">
        <v>171</v>
      </c>
      <c r="J1296" s="689">
        <f t="shared" si="21"/>
        <v>1</v>
      </c>
    </row>
    <row r="1297" spans="1:10" ht="12.75" customHeight="1" x14ac:dyDescent="0.2">
      <c r="A1297" s="681" t="s">
        <v>2370</v>
      </c>
      <c r="B1297" s="693" t="s">
        <v>3865</v>
      </c>
      <c r="C1297" s="672" t="s">
        <v>785</v>
      </c>
      <c r="D1297" s="673">
        <v>37307</v>
      </c>
      <c r="E1297" s="674">
        <v>10</v>
      </c>
      <c r="F1297" s="675">
        <v>0.1</v>
      </c>
      <c r="G1297" s="676">
        <v>172</v>
      </c>
      <c r="H1297" s="929">
        <v>0</v>
      </c>
      <c r="I1297" s="929">
        <v>171</v>
      </c>
      <c r="J1297" s="689">
        <f t="shared" si="21"/>
        <v>1</v>
      </c>
    </row>
    <row r="1298" spans="1:10" ht="12.75" customHeight="1" x14ac:dyDescent="0.2">
      <c r="A1298" s="681" t="s">
        <v>2370</v>
      </c>
      <c r="B1298" s="693" t="s">
        <v>3866</v>
      </c>
      <c r="C1298" s="672" t="s">
        <v>785</v>
      </c>
      <c r="D1298" s="673">
        <v>37307</v>
      </c>
      <c r="E1298" s="674">
        <v>10</v>
      </c>
      <c r="F1298" s="675">
        <v>0.1</v>
      </c>
      <c r="G1298" s="676">
        <v>172</v>
      </c>
      <c r="H1298" s="929">
        <v>0</v>
      </c>
      <c r="I1298" s="929">
        <v>171</v>
      </c>
      <c r="J1298" s="689">
        <f t="shared" si="21"/>
        <v>1</v>
      </c>
    </row>
    <row r="1299" spans="1:10" ht="12.75" customHeight="1" x14ac:dyDescent="0.2">
      <c r="A1299" s="681" t="s">
        <v>2370</v>
      </c>
      <c r="B1299" s="693" t="s">
        <v>3867</v>
      </c>
      <c r="C1299" s="672" t="s">
        <v>785</v>
      </c>
      <c r="D1299" s="673">
        <v>37307</v>
      </c>
      <c r="E1299" s="674">
        <v>10</v>
      </c>
      <c r="F1299" s="675">
        <v>0.1</v>
      </c>
      <c r="G1299" s="676">
        <v>172</v>
      </c>
      <c r="H1299" s="929">
        <v>0</v>
      </c>
      <c r="I1299" s="929">
        <v>171</v>
      </c>
      <c r="J1299" s="689">
        <f t="shared" si="21"/>
        <v>1</v>
      </c>
    </row>
    <row r="1300" spans="1:10" ht="12.75" customHeight="1" x14ac:dyDescent="0.2">
      <c r="A1300" s="681" t="s">
        <v>2370</v>
      </c>
      <c r="B1300" s="693" t="s">
        <v>3868</v>
      </c>
      <c r="C1300" s="672" t="s">
        <v>785</v>
      </c>
      <c r="D1300" s="673">
        <v>37307</v>
      </c>
      <c r="E1300" s="674">
        <v>10</v>
      </c>
      <c r="F1300" s="675">
        <v>0.1</v>
      </c>
      <c r="G1300" s="676">
        <v>172</v>
      </c>
      <c r="H1300" s="929">
        <v>0</v>
      </c>
      <c r="I1300" s="929">
        <v>171</v>
      </c>
      <c r="J1300" s="689">
        <f t="shared" si="21"/>
        <v>1</v>
      </c>
    </row>
    <row r="1301" spans="1:10" ht="12.75" customHeight="1" x14ac:dyDescent="0.2">
      <c r="A1301" s="681" t="s">
        <v>2370</v>
      </c>
      <c r="B1301" s="693" t="s">
        <v>3869</v>
      </c>
      <c r="C1301" s="672" t="s">
        <v>785</v>
      </c>
      <c r="D1301" s="673">
        <v>37307</v>
      </c>
      <c r="E1301" s="674">
        <v>10</v>
      </c>
      <c r="F1301" s="675">
        <v>0.1</v>
      </c>
      <c r="G1301" s="676">
        <v>172</v>
      </c>
      <c r="H1301" s="929">
        <v>0</v>
      </c>
      <c r="I1301" s="929">
        <v>171</v>
      </c>
      <c r="J1301" s="689">
        <f t="shared" si="21"/>
        <v>1</v>
      </c>
    </row>
    <row r="1302" spans="1:10" ht="12.75" customHeight="1" x14ac:dyDescent="0.2">
      <c r="A1302" s="681" t="s">
        <v>2370</v>
      </c>
      <c r="B1302" s="693" t="s">
        <v>3870</v>
      </c>
      <c r="C1302" s="672" t="s">
        <v>785</v>
      </c>
      <c r="D1302" s="673">
        <v>37307</v>
      </c>
      <c r="E1302" s="674">
        <v>10</v>
      </c>
      <c r="F1302" s="675">
        <v>0.1</v>
      </c>
      <c r="G1302" s="676">
        <v>172</v>
      </c>
      <c r="H1302" s="929">
        <v>0</v>
      </c>
      <c r="I1302" s="929">
        <v>171</v>
      </c>
      <c r="J1302" s="689">
        <f t="shared" si="21"/>
        <v>1</v>
      </c>
    </row>
    <row r="1303" spans="1:10" ht="12.75" customHeight="1" x14ac:dyDescent="0.2">
      <c r="A1303" s="681" t="s">
        <v>2370</v>
      </c>
      <c r="B1303" s="693" t="s">
        <v>3871</v>
      </c>
      <c r="C1303" s="672" t="s">
        <v>785</v>
      </c>
      <c r="D1303" s="673">
        <v>37307</v>
      </c>
      <c r="E1303" s="674">
        <v>10</v>
      </c>
      <c r="F1303" s="675">
        <v>0.1</v>
      </c>
      <c r="G1303" s="676">
        <v>172</v>
      </c>
      <c r="H1303" s="929">
        <v>0</v>
      </c>
      <c r="I1303" s="929">
        <v>171</v>
      </c>
      <c r="J1303" s="689">
        <f t="shared" si="21"/>
        <v>1</v>
      </c>
    </row>
    <row r="1304" spans="1:10" ht="12.75" customHeight="1" x14ac:dyDescent="0.2">
      <c r="A1304" s="681" t="s">
        <v>2370</v>
      </c>
      <c r="B1304" s="693" t="s">
        <v>3872</v>
      </c>
      <c r="C1304" s="672" t="s">
        <v>785</v>
      </c>
      <c r="D1304" s="673">
        <v>37307</v>
      </c>
      <c r="E1304" s="674">
        <v>10</v>
      </c>
      <c r="F1304" s="675">
        <v>0.1</v>
      </c>
      <c r="G1304" s="676">
        <v>172</v>
      </c>
      <c r="H1304" s="929">
        <v>0</v>
      </c>
      <c r="I1304" s="929">
        <v>171</v>
      </c>
      <c r="J1304" s="689">
        <f t="shared" si="21"/>
        <v>1</v>
      </c>
    </row>
    <row r="1305" spans="1:10" ht="12.75" customHeight="1" x14ac:dyDescent="0.2">
      <c r="A1305" s="681" t="s">
        <v>2370</v>
      </c>
      <c r="B1305" s="693" t="s">
        <v>3873</v>
      </c>
      <c r="C1305" s="672" t="s">
        <v>785</v>
      </c>
      <c r="D1305" s="673">
        <v>37307</v>
      </c>
      <c r="E1305" s="674">
        <v>10</v>
      </c>
      <c r="F1305" s="675">
        <v>0.1</v>
      </c>
      <c r="G1305" s="676">
        <v>172</v>
      </c>
      <c r="H1305" s="929">
        <v>0</v>
      </c>
      <c r="I1305" s="929">
        <v>171</v>
      </c>
      <c r="J1305" s="689">
        <f t="shared" si="21"/>
        <v>1</v>
      </c>
    </row>
    <row r="1306" spans="1:10" ht="12.75" customHeight="1" x14ac:dyDescent="0.2">
      <c r="A1306" s="681" t="s">
        <v>2370</v>
      </c>
      <c r="B1306" s="693" t="s">
        <v>3874</v>
      </c>
      <c r="C1306" s="672" t="s">
        <v>785</v>
      </c>
      <c r="D1306" s="673">
        <v>37307</v>
      </c>
      <c r="E1306" s="674">
        <v>10</v>
      </c>
      <c r="F1306" s="675">
        <v>0.1</v>
      </c>
      <c r="G1306" s="676">
        <v>172</v>
      </c>
      <c r="H1306" s="929">
        <v>0</v>
      </c>
      <c r="I1306" s="929">
        <v>171</v>
      </c>
      <c r="J1306" s="689">
        <f t="shared" si="21"/>
        <v>1</v>
      </c>
    </row>
    <row r="1307" spans="1:10" ht="12.75" customHeight="1" x14ac:dyDescent="0.2">
      <c r="A1307" s="681" t="s">
        <v>2370</v>
      </c>
      <c r="B1307" s="693" t="s">
        <v>3875</v>
      </c>
      <c r="C1307" s="672" t="s">
        <v>785</v>
      </c>
      <c r="D1307" s="673">
        <v>37307</v>
      </c>
      <c r="E1307" s="674">
        <v>10</v>
      </c>
      <c r="F1307" s="675">
        <v>0.1</v>
      </c>
      <c r="G1307" s="676">
        <v>172</v>
      </c>
      <c r="H1307" s="929">
        <v>0</v>
      </c>
      <c r="I1307" s="929">
        <v>171</v>
      </c>
      <c r="J1307" s="689">
        <f t="shared" si="21"/>
        <v>1</v>
      </c>
    </row>
    <row r="1308" spans="1:10" ht="12.75" customHeight="1" x14ac:dyDescent="0.2">
      <c r="A1308" s="681" t="s">
        <v>2370</v>
      </c>
      <c r="B1308" s="693" t="s">
        <v>3876</v>
      </c>
      <c r="C1308" s="672" t="s">
        <v>785</v>
      </c>
      <c r="D1308" s="673">
        <v>37307</v>
      </c>
      <c r="E1308" s="674">
        <v>10</v>
      </c>
      <c r="F1308" s="675">
        <v>0.1</v>
      </c>
      <c r="G1308" s="676">
        <v>172</v>
      </c>
      <c r="H1308" s="929">
        <v>0</v>
      </c>
      <c r="I1308" s="929">
        <v>171</v>
      </c>
      <c r="J1308" s="689">
        <f t="shared" si="21"/>
        <v>1</v>
      </c>
    </row>
    <row r="1309" spans="1:10" ht="12.75" customHeight="1" x14ac:dyDescent="0.2">
      <c r="A1309" s="681" t="s">
        <v>2370</v>
      </c>
      <c r="B1309" s="693" t="s">
        <v>3877</v>
      </c>
      <c r="C1309" s="672" t="s">
        <v>785</v>
      </c>
      <c r="D1309" s="673">
        <v>37307</v>
      </c>
      <c r="E1309" s="674">
        <v>10</v>
      </c>
      <c r="F1309" s="675">
        <v>0.1</v>
      </c>
      <c r="G1309" s="676">
        <v>172</v>
      </c>
      <c r="H1309" s="929">
        <v>0</v>
      </c>
      <c r="I1309" s="929">
        <v>171</v>
      </c>
      <c r="J1309" s="689">
        <f t="shared" si="21"/>
        <v>1</v>
      </c>
    </row>
    <row r="1310" spans="1:10" ht="12.75" customHeight="1" x14ac:dyDescent="0.2">
      <c r="A1310" s="681" t="s">
        <v>2370</v>
      </c>
      <c r="B1310" s="693" t="s">
        <v>3878</v>
      </c>
      <c r="C1310" s="672" t="s">
        <v>785</v>
      </c>
      <c r="D1310" s="673">
        <v>37307</v>
      </c>
      <c r="E1310" s="674">
        <v>10</v>
      </c>
      <c r="F1310" s="675">
        <v>0.1</v>
      </c>
      <c r="G1310" s="676">
        <v>172</v>
      </c>
      <c r="H1310" s="929">
        <v>0</v>
      </c>
      <c r="I1310" s="929">
        <v>171</v>
      </c>
      <c r="J1310" s="689">
        <f t="shared" si="21"/>
        <v>1</v>
      </c>
    </row>
    <row r="1311" spans="1:10" ht="12.75" customHeight="1" x14ac:dyDescent="0.2">
      <c r="A1311" s="681" t="s">
        <v>2370</v>
      </c>
      <c r="B1311" s="693" t="s">
        <v>3879</v>
      </c>
      <c r="C1311" s="672" t="s">
        <v>785</v>
      </c>
      <c r="D1311" s="673">
        <v>37307</v>
      </c>
      <c r="E1311" s="674">
        <v>10</v>
      </c>
      <c r="F1311" s="675">
        <v>0.1</v>
      </c>
      <c r="G1311" s="676">
        <v>172</v>
      </c>
      <c r="H1311" s="929">
        <v>0</v>
      </c>
      <c r="I1311" s="929">
        <v>171</v>
      </c>
      <c r="J1311" s="689">
        <f t="shared" si="21"/>
        <v>1</v>
      </c>
    </row>
    <row r="1312" spans="1:10" ht="12.75" customHeight="1" x14ac:dyDescent="0.2">
      <c r="A1312" s="681" t="s">
        <v>2370</v>
      </c>
      <c r="B1312" s="693" t="s">
        <v>3880</v>
      </c>
      <c r="C1312" s="672" t="s">
        <v>890</v>
      </c>
      <c r="D1312" s="673">
        <v>38037</v>
      </c>
      <c r="E1312" s="674">
        <v>3</v>
      </c>
      <c r="F1312" s="675">
        <v>0.33</v>
      </c>
      <c r="G1312" s="676">
        <v>172</v>
      </c>
      <c r="H1312" s="929">
        <v>0</v>
      </c>
      <c r="I1312" s="929">
        <v>171</v>
      </c>
      <c r="J1312" s="689">
        <f t="shared" si="21"/>
        <v>1</v>
      </c>
    </row>
    <row r="1313" spans="1:10" ht="12.75" customHeight="1" x14ac:dyDescent="0.2">
      <c r="A1313" s="681" t="s">
        <v>2370</v>
      </c>
      <c r="B1313" s="693" t="s">
        <v>3881</v>
      </c>
      <c r="C1313" s="672" t="s">
        <v>889</v>
      </c>
      <c r="D1313" s="673">
        <v>37307</v>
      </c>
      <c r="E1313" s="674">
        <v>3</v>
      </c>
      <c r="F1313" s="675">
        <v>0.33</v>
      </c>
      <c r="G1313" s="676">
        <v>174</v>
      </c>
      <c r="H1313" s="929">
        <v>0</v>
      </c>
      <c r="I1313" s="929">
        <v>173</v>
      </c>
      <c r="J1313" s="689">
        <f t="shared" si="21"/>
        <v>1</v>
      </c>
    </row>
    <row r="1314" spans="1:10" ht="12.75" customHeight="1" x14ac:dyDescent="0.2">
      <c r="A1314" s="681" t="s">
        <v>2370</v>
      </c>
      <c r="B1314" s="693" t="s">
        <v>3882</v>
      </c>
      <c r="C1314" s="672" t="s">
        <v>889</v>
      </c>
      <c r="D1314" s="673">
        <v>37307</v>
      </c>
      <c r="E1314" s="674">
        <v>3</v>
      </c>
      <c r="F1314" s="675">
        <v>0.33</v>
      </c>
      <c r="G1314" s="676">
        <v>174</v>
      </c>
      <c r="H1314" s="929">
        <v>0</v>
      </c>
      <c r="I1314" s="929">
        <v>173</v>
      </c>
      <c r="J1314" s="689">
        <f t="shared" si="21"/>
        <v>1</v>
      </c>
    </row>
    <row r="1315" spans="1:10" ht="12.75" customHeight="1" x14ac:dyDescent="0.2">
      <c r="A1315" s="681" t="s">
        <v>2370</v>
      </c>
      <c r="B1315" s="693" t="s">
        <v>3883</v>
      </c>
      <c r="C1315" s="672" t="s">
        <v>814</v>
      </c>
      <c r="D1315" s="673">
        <v>36576</v>
      </c>
      <c r="E1315" s="674">
        <v>3</v>
      </c>
      <c r="F1315" s="675">
        <v>0.33</v>
      </c>
      <c r="G1315" s="676">
        <v>178</v>
      </c>
      <c r="H1315" s="929">
        <v>0</v>
      </c>
      <c r="I1315" s="929">
        <v>177</v>
      </c>
      <c r="J1315" s="689">
        <f t="shared" si="21"/>
        <v>1</v>
      </c>
    </row>
    <row r="1316" spans="1:10" ht="12.75" customHeight="1" x14ac:dyDescent="0.2">
      <c r="A1316" s="681" t="s">
        <v>2370</v>
      </c>
      <c r="B1316" s="693" t="s">
        <v>3884</v>
      </c>
      <c r="C1316" s="672" t="s">
        <v>785</v>
      </c>
      <c r="D1316" s="673">
        <v>37307</v>
      </c>
      <c r="E1316" s="674">
        <v>10</v>
      </c>
      <c r="F1316" s="675">
        <v>0.1</v>
      </c>
      <c r="G1316" s="676">
        <v>179</v>
      </c>
      <c r="H1316" s="929">
        <v>0</v>
      </c>
      <c r="I1316" s="929">
        <v>178</v>
      </c>
      <c r="J1316" s="689">
        <f t="shared" si="21"/>
        <v>1</v>
      </c>
    </row>
    <row r="1317" spans="1:10" ht="12.75" customHeight="1" x14ac:dyDescent="0.2">
      <c r="A1317" s="681" t="s">
        <v>2370</v>
      </c>
      <c r="B1317" s="693" t="s">
        <v>3885</v>
      </c>
      <c r="C1317" s="672" t="s">
        <v>785</v>
      </c>
      <c r="D1317" s="673">
        <v>37307</v>
      </c>
      <c r="E1317" s="674">
        <v>10</v>
      </c>
      <c r="F1317" s="675">
        <v>0.1</v>
      </c>
      <c r="G1317" s="676">
        <v>179</v>
      </c>
      <c r="H1317" s="929">
        <v>0</v>
      </c>
      <c r="I1317" s="929">
        <v>178</v>
      </c>
      <c r="J1317" s="689">
        <f t="shared" si="21"/>
        <v>1</v>
      </c>
    </row>
    <row r="1318" spans="1:10" ht="12.75" customHeight="1" x14ac:dyDescent="0.2">
      <c r="A1318" s="681" t="s">
        <v>2370</v>
      </c>
      <c r="B1318" s="693" t="s">
        <v>3886</v>
      </c>
      <c r="C1318" s="672" t="s">
        <v>785</v>
      </c>
      <c r="D1318" s="673">
        <v>37307</v>
      </c>
      <c r="E1318" s="674">
        <v>10</v>
      </c>
      <c r="F1318" s="675">
        <v>0.1</v>
      </c>
      <c r="G1318" s="676">
        <v>179</v>
      </c>
      <c r="H1318" s="929">
        <v>0</v>
      </c>
      <c r="I1318" s="929">
        <v>178</v>
      </c>
      <c r="J1318" s="689">
        <f t="shared" si="21"/>
        <v>1</v>
      </c>
    </row>
    <row r="1319" spans="1:10" ht="12.75" customHeight="1" x14ac:dyDescent="0.2">
      <c r="A1319" s="681" t="s">
        <v>2370</v>
      </c>
      <c r="B1319" s="693" t="s">
        <v>3887</v>
      </c>
      <c r="C1319" s="672" t="s">
        <v>785</v>
      </c>
      <c r="D1319" s="673">
        <v>37307</v>
      </c>
      <c r="E1319" s="674">
        <v>10</v>
      </c>
      <c r="F1319" s="675">
        <v>0.1</v>
      </c>
      <c r="G1319" s="676">
        <v>179</v>
      </c>
      <c r="H1319" s="929">
        <v>0</v>
      </c>
      <c r="I1319" s="929">
        <v>178</v>
      </c>
      <c r="J1319" s="689">
        <f t="shared" si="21"/>
        <v>1</v>
      </c>
    </row>
    <row r="1320" spans="1:10" ht="12.75" customHeight="1" x14ac:dyDescent="0.2">
      <c r="A1320" s="681" t="s">
        <v>2370</v>
      </c>
      <c r="B1320" s="693" t="s">
        <v>3888</v>
      </c>
      <c r="C1320" s="672" t="s">
        <v>785</v>
      </c>
      <c r="D1320" s="673">
        <v>37307</v>
      </c>
      <c r="E1320" s="674">
        <v>10</v>
      </c>
      <c r="F1320" s="675">
        <v>0.1</v>
      </c>
      <c r="G1320" s="676">
        <v>179</v>
      </c>
      <c r="H1320" s="929">
        <v>0</v>
      </c>
      <c r="I1320" s="929">
        <v>178</v>
      </c>
      <c r="J1320" s="689">
        <f t="shared" si="21"/>
        <v>1</v>
      </c>
    </row>
    <row r="1321" spans="1:10" ht="12.75" customHeight="1" x14ac:dyDescent="0.2">
      <c r="A1321" s="681" t="s">
        <v>2370</v>
      </c>
      <c r="B1321" s="693" t="s">
        <v>3889</v>
      </c>
      <c r="C1321" s="672" t="s">
        <v>818</v>
      </c>
      <c r="D1321" s="673">
        <v>36576</v>
      </c>
      <c r="E1321" s="674">
        <v>10</v>
      </c>
      <c r="F1321" s="675">
        <v>0.1</v>
      </c>
      <c r="G1321" s="676">
        <v>188</v>
      </c>
      <c r="H1321" s="929">
        <v>0</v>
      </c>
      <c r="I1321" s="929">
        <v>187</v>
      </c>
      <c r="J1321" s="689">
        <f t="shared" si="21"/>
        <v>1</v>
      </c>
    </row>
    <row r="1322" spans="1:10" ht="12.75" customHeight="1" x14ac:dyDescent="0.2">
      <c r="A1322" s="681" t="s">
        <v>2370</v>
      </c>
      <c r="B1322" s="693" t="s">
        <v>3890</v>
      </c>
      <c r="C1322" s="672" t="s">
        <v>813</v>
      </c>
      <c r="D1322" s="673">
        <v>37307</v>
      </c>
      <c r="E1322" s="674">
        <v>10</v>
      </c>
      <c r="F1322" s="675">
        <v>0.1</v>
      </c>
      <c r="G1322" s="676">
        <v>190</v>
      </c>
      <c r="H1322" s="929">
        <v>0</v>
      </c>
      <c r="I1322" s="929">
        <v>189</v>
      </c>
      <c r="J1322" s="689">
        <f t="shared" si="21"/>
        <v>1</v>
      </c>
    </row>
    <row r="1323" spans="1:10" ht="12.75" customHeight="1" x14ac:dyDescent="0.2">
      <c r="A1323" s="681" t="s">
        <v>2370</v>
      </c>
      <c r="B1323" s="693" t="s">
        <v>3891</v>
      </c>
      <c r="C1323" s="672" t="s">
        <v>889</v>
      </c>
      <c r="D1323" s="673">
        <v>36942</v>
      </c>
      <c r="E1323" s="674">
        <v>3</v>
      </c>
      <c r="F1323" s="675">
        <v>0.33</v>
      </c>
      <c r="G1323" s="676">
        <v>190</v>
      </c>
      <c r="H1323" s="929">
        <v>0</v>
      </c>
      <c r="I1323" s="929">
        <v>189</v>
      </c>
      <c r="J1323" s="689">
        <f t="shared" si="21"/>
        <v>1</v>
      </c>
    </row>
    <row r="1324" spans="1:10" ht="12.75" customHeight="1" x14ac:dyDescent="0.2">
      <c r="A1324" s="681" t="s">
        <v>2370</v>
      </c>
      <c r="B1324" s="693" t="s">
        <v>3892</v>
      </c>
      <c r="C1324" s="672" t="s">
        <v>889</v>
      </c>
      <c r="D1324" s="673">
        <v>39498</v>
      </c>
      <c r="E1324" s="674">
        <v>3</v>
      </c>
      <c r="F1324" s="675">
        <v>0.33</v>
      </c>
      <c r="G1324" s="676">
        <v>190</v>
      </c>
      <c r="H1324" s="929">
        <v>0</v>
      </c>
      <c r="I1324" s="929">
        <v>189</v>
      </c>
      <c r="J1324" s="689">
        <f t="shared" si="21"/>
        <v>1</v>
      </c>
    </row>
    <row r="1325" spans="1:10" ht="12.75" customHeight="1" x14ac:dyDescent="0.2">
      <c r="A1325" s="681" t="s">
        <v>2370</v>
      </c>
      <c r="B1325" s="693" t="s">
        <v>3893</v>
      </c>
      <c r="C1325" s="672" t="s">
        <v>889</v>
      </c>
      <c r="D1325" s="673">
        <v>39498</v>
      </c>
      <c r="E1325" s="674">
        <v>3</v>
      </c>
      <c r="F1325" s="675">
        <v>0.33</v>
      </c>
      <c r="G1325" s="676">
        <v>190</v>
      </c>
      <c r="H1325" s="929">
        <v>0</v>
      </c>
      <c r="I1325" s="929">
        <v>189</v>
      </c>
      <c r="J1325" s="689">
        <f t="shared" si="21"/>
        <v>1</v>
      </c>
    </row>
    <row r="1326" spans="1:10" ht="12.75" customHeight="1" x14ac:dyDescent="0.2">
      <c r="A1326" s="681" t="s">
        <v>2370</v>
      </c>
      <c r="B1326" s="693" t="s">
        <v>3894</v>
      </c>
      <c r="C1326" s="672" t="s">
        <v>889</v>
      </c>
      <c r="D1326" s="673">
        <v>39498</v>
      </c>
      <c r="E1326" s="674">
        <v>3</v>
      </c>
      <c r="F1326" s="675">
        <v>0.33</v>
      </c>
      <c r="G1326" s="676">
        <v>190</v>
      </c>
      <c r="H1326" s="929">
        <v>0</v>
      </c>
      <c r="I1326" s="929">
        <v>189</v>
      </c>
      <c r="J1326" s="689">
        <f t="shared" si="21"/>
        <v>1</v>
      </c>
    </row>
    <row r="1327" spans="1:10" ht="12.75" customHeight="1" x14ac:dyDescent="0.2">
      <c r="A1327" s="681" t="s">
        <v>2370</v>
      </c>
      <c r="B1327" s="693" t="s">
        <v>3895</v>
      </c>
      <c r="C1327" s="672" t="s">
        <v>889</v>
      </c>
      <c r="D1327" s="673">
        <v>39498</v>
      </c>
      <c r="E1327" s="674">
        <v>3</v>
      </c>
      <c r="F1327" s="675">
        <v>0.33</v>
      </c>
      <c r="G1327" s="676">
        <v>190</v>
      </c>
      <c r="H1327" s="929">
        <v>0</v>
      </c>
      <c r="I1327" s="929">
        <v>189</v>
      </c>
      <c r="J1327" s="689">
        <f t="shared" si="21"/>
        <v>1</v>
      </c>
    </row>
    <row r="1328" spans="1:10" ht="12.75" customHeight="1" x14ac:dyDescent="0.2">
      <c r="A1328" s="681" t="s">
        <v>2370</v>
      </c>
      <c r="B1328" s="693" t="s">
        <v>3896</v>
      </c>
      <c r="C1328" s="672" t="s">
        <v>785</v>
      </c>
      <c r="D1328" s="673">
        <v>36576</v>
      </c>
      <c r="E1328" s="674">
        <v>10</v>
      </c>
      <c r="F1328" s="675">
        <v>0.1</v>
      </c>
      <c r="G1328" s="676">
        <v>196</v>
      </c>
      <c r="H1328" s="929">
        <v>0</v>
      </c>
      <c r="I1328" s="929">
        <v>195</v>
      </c>
      <c r="J1328" s="689">
        <f t="shared" si="21"/>
        <v>1</v>
      </c>
    </row>
    <row r="1329" spans="1:10" ht="12.75" customHeight="1" x14ac:dyDescent="0.2">
      <c r="A1329" s="681" t="s">
        <v>2370</v>
      </c>
      <c r="B1329" s="693" t="s">
        <v>3897</v>
      </c>
      <c r="C1329" s="672" t="s">
        <v>889</v>
      </c>
      <c r="D1329" s="673">
        <v>37672</v>
      </c>
      <c r="E1329" s="674">
        <v>3</v>
      </c>
      <c r="F1329" s="675">
        <v>0.33</v>
      </c>
      <c r="G1329" s="676">
        <v>200</v>
      </c>
      <c r="H1329" s="929">
        <v>0</v>
      </c>
      <c r="I1329" s="929">
        <v>199</v>
      </c>
      <c r="J1329" s="689">
        <f t="shared" si="21"/>
        <v>1</v>
      </c>
    </row>
    <row r="1330" spans="1:10" ht="12.75" customHeight="1" x14ac:dyDescent="0.2">
      <c r="A1330" s="681" t="s">
        <v>2370</v>
      </c>
      <c r="B1330" s="693" t="s">
        <v>3898</v>
      </c>
      <c r="C1330" s="672" t="s">
        <v>889</v>
      </c>
      <c r="D1330" s="673">
        <v>35481</v>
      </c>
      <c r="E1330" s="674">
        <v>3</v>
      </c>
      <c r="F1330" s="675">
        <v>0.33</v>
      </c>
      <c r="G1330" s="676">
        <v>203</v>
      </c>
      <c r="H1330" s="929">
        <v>0</v>
      </c>
      <c r="I1330" s="929">
        <v>202</v>
      </c>
      <c r="J1330" s="689">
        <f t="shared" si="21"/>
        <v>1</v>
      </c>
    </row>
    <row r="1331" spans="1:10" ht="12.75" customHeight="1" x14ac:dyDescent="0.2">
      <c r="A1331" s="681" t="s">
        <v>2370</v>
      </c>
      <c r="B1331" s="693" t="s">
        <v>3899</v>
      </c>
      <c r="C1331" s="672" t="s">
        <v>790</v>
      </c>
      <c r="D1331" s="673">
        <v>35846</v>
      </c>
      <c r="E1331" s="674">
        <v>10</v>
      </c>
      <c r="F1331" s="675">
        <v>0.1</v>
      </c>
      <c r="G1331" s="676">
        <v>212</v>
      </c>
      <c r="H1331" s="929">
        <v>0</v>
      </c>
      <c r="I1331" s="929">
        <v>211</v>
      </c>
      <c r="J1331" s="689">
        <f t="shared" si="21"/>
        <v>1</v>
      </c>
    </row>
    <row r="1332" spans="1:10" ht="12.75" customHeight="1" x14ac:dyDescent="0.2">
      <c r="A1332" s="681" t="s">
        <v>2370</v>
      </c>
      <c r="B1332" s="693" t="s">
        <v>3900</v>
      </c>
      <c r="C1332" s="672" t="s">
        <v>790</v>
      </c>
      <c r="D1332" s="673">
        <v>35846</v>
      </c>
      <c r="E1332" s="674">
        <v>10</v>
      </c>
      <c r="F1332" s="675">
        <v>0.1</v>
      </c>
      <c r="G1332" s="676">
        <v>212</v>
      </c>
      <c r="H1332" s="929">
        <v>0</v>
      </c>
      <c r="I1332" s="929">
        <v>211</v>
      </c>
      <c r="J1332" s="689">
        <f t="shared" si="21"/>
        <v>1</v>
      </c>
    </row>
    <row r="1333" spans="1:10" ht="12.75" customHeight="1" x14ac:dyDescent="0.2">
      <c r="A1333" s="681" t="s">
        <v>2370</v>
      </c>
      <c r="B1333" s="693" t="s">
        <v>3901</v>
      </c>
      <c r="C1333" s="672" t="s">
        <v>790</v>
      </c>
      <c r="D1333" s="673">
        <v>35846</v>
      </c>
      <c r="E1333" s="674">
        <v>10</v>
      </c>
      <c r="F1333" s="675">
        <v>0.1</v>
      </c>
      <c r="G1333" s="676">
        <v>212</v>
      </c>
      <c r="H1333" s="929">
        <v>0</v>
      </c>
      <c r="I1333" s="929">
        <v>211</v>
      </c>
      <c r="J1333" s="689">
        <f t="shared" si="21"/>
        <v>1</v>
      </c>
    </row>
    <row r="1334" spans="1:10" ht="12.75" customHeight="1" x14ac:dyDescent="0.2">
      <c r="A1334" s="681" t="s">
        <v>2370</v>
      </c>
      <c r="B1334" s="693" t="s">
        <v>3902</v>
      </c>
      <c r="C1334" s="672" t="s">
        <v>790</v>
      </c>
      <c r="D1334" s="673">
        <v>35846</v>
      </c>
      <c r="E1334" s="674">
        <v>10</v>
      </c>
      <c r="F1334" s="675">
        <v>0.1</v>
      </c>
      <c r="G1334" s="676">
        <v>212</v>
      </c>
      <c r="H1334" s="929">
        <v>0</v>
      </c>
      <c r="I1334" s="929">
        <v>211</v>
      </c>
      <c r="J1334" s="689">
        <f t="shared" si="21"/>
        <v>1</v>
      </c>
    </row>
    <row r="1335" spans="1:10" ht="12.75" customHeight="1" x14ac:dyDescent="0.2">
      <c r="A1335" s="681" t="s">
        <v>2370</v>
      </c>
      <c r="B1335" s="693" t="s">
        <v>3903</v>
      </c>
      <c r="C1335" s="672" t="s">
        <v>790</v>
      </c>
      <c r="D1335" s="673">
        <v>35846</v>
      </c>
      <c r="E1335" s="674">
        <v>10</v>
      </c>
      <c r="F1335" s="675">
        <v>0.1</v>
      </c>
      <c r="G1335" s="676">
        <v>212</v>
      </c>
      <c r="H1335" s="929">
        <v>0</v>
      </c>
      <c r="I1335" s="929">
        <v>211</v>
      </c>
      <c r="J1335" s="689">
        <f t="shared" si="21"/>
        <v>1</v>
      </c>
    </row>
    <row r="1336" spans="1:10" ht="12.75" customHeight="1" x14ac:dyDescent="0.2">
      <c r="A1336" s="681" t="s">
        <v>2370</v>
      </c>
      <c r="B1336" s="693" t="s">
        <v>3904</v>
      </c>
      <c r="C1336" s="672" t="s">
        <v>790</v>
      </c>
      <c r="D1336" s="673">
        <v>35846</v>
      </c>
      <c r="E1336" s="674">
        <v>10</v>
      </c>
      <c r="F1336" s="675">
        <v>0.1</v>
      </c>
      <c r="G1336" s="676">
        <v>212</v>
      </c>
      <c r="H1336" s="929">
        <v>0</v>
      </c>
      <c r="I1336" s="929">
        <v>211</v>
      </c>
      <c r="J1336" s="689">
        <f t="shared" si="21"/>
        <v>1</v>
      </c>
    </row>
    <row r="1337" spans="1:10" ht="12.75" customHeight="1" x14ac:dyDescent="0.2">
      <c r="A1337" s="681" t="s">
        <v>2370</v>
      </c>
      <c r="B1337" s="693" t="s">
        <v>3905</v>
      </c>
      <c r="C1337" s="672" t="s">
        <v>889</v>
      </c>
      <c r="D1337" s="673">
        <v>36211</v>
      </c>
      <c r="E1337" s="674">
        <v>3</v>
      </c>
      <c r="F1337" s="675">
        <v>0.33</v>
      </c>
      <c r="G1337" s="676">
        <v>215</v>
      </c>
      <c r="H1337" s="929">
        <v>0</v>
      </c>
      <c r="I1337" s="929">
        <v>214</v>
      </c>
      <c r="J1337" s="689">
        <f t="shared" si="21"/>
        <v>1</v>
      </c>
    </row>
    <row r="1338" spans="1:10" ht="12.75" customHeight="1" x14ac:dyDescent="0.2">
      <c r="A1338" s="681" t="s">
        <v>2372</v>
      </c>
      <c r="B1338" s="693" t="s">
        <v>3906</v>
      </c>
      <c r="C1338" s="672" t="s">
        <v>1075</v>
      </c>
      <c r="D1338" s="673">
        <v>36211</v>
      </c>
      <c r="E1338" s="674">
        <v>10</v>
      </c>
      <c r="F1338" s="675">
        <v>0.1</v>
      </c>
      <c r="G1338" s="676">
        <v>215</v>
      </c>
      <c r="H1338" s="929">
        <v>0</v>
      </c>
      <c r="I1338" s="929">
        <v>214</v>
      </c>
      <c r="J1338" s="689">
        <f t="shared" si="21"/>
        <v>1</v>
      </c>
    </row>
    <row r="1339" spans="1:10" ht="12.75" customHeight="1" x14ac:dyDescent="0.2">
      <c r="A1339" s="681" t="s">
        <v>2370</v>
      </c>
      <c r="B1339" s="693" t="s">
        <v>3907</v>
      </c>
      <c r="C1339" s="672" t="s">
        <v>813</v>
      </c>
      <c r="D1339" s="673">
        <v>37307</v>
      </c>
      <c r="E1339" s="674">
        <v>10</v>
      </c>
      <c r="F1339" s="675">
        <v>0.1</v>
      </c>
      <c r="G1339" s="676">
        <v>216</v>
      </c>
      <c r="H1339" s="929">
        <v>0</v>
      </c>
      <c r="I1339" s="929">
        <v>215</v>
      </c>
      <c r="J1339" s="689">
        <f t="shared" si="21"/>
        <v>1</v>
      </c>
    </row>
    <row r="1340" spans="1:10" ht="12.75" customHeight="1" x14ac:dyDescent="0.2">
      <c r="A1340" s="681" t="s">
        <v>2370</v>
      </c>
      <c r="B1340" s="693" t="s">
        <v>3908</v>
      </c>
      <c r="C1340" s="672" t="s">
        <v>813</v>
      </c>
      <c r="D1340" s="673">
        <v>37307</v>
      </c>
      <c r="E1340" s="674">
        <v>10</v>
      </c>
      <c r="F1340" s="675">
        <v>0.1</v>
      </c>
      <c r="G1340" s="676">
        <v>216</v>
      </c>
      <c r="H1340" s="929">
        <v>0</v>
      </c>
      <c r="I1340" s="929">
        <v>215</v>
      </c>
      <c r="J1340" s="689">
        <f t="shared" si="21"/>
        <v>1</v>
      </c>
    </row>
    <row r="1341" spans="1:10" ht="12.75" customHeight="1" x14ac:dyDescent="0.2">
      <c r="A1341" s="681" t="s">
        <v>2370</v>
      </c>
      <c r="B1341" s="693" t="s">
        <v>3909</v>
      </c>
      <c r="C1341" s="672" t="s">
        <v>813</v>
      </c>
      <c r="D1341" s="673">
        <v>34750</v>
      </c>
      <c r="E1341" s="674">
        <v>10</v>
      </c>
      <c r="F1341" s="675">
        <v>0.1</v>
      </c>
      <c r="G1341" s="676">
        <v>217</v>
      </c>
      <c r="H1341" s="929">
        <v>0</v>
      </c>
      <c r="I1341" s="929">
        <v>216</v>
      </c>
      <c r="J1341" s="689">
        <f t="shared" si="21"/>
        <v>1</v>
      </c>
    </row>
    <row r="1342" spans="1:10" ht="12.75" customHeight="1" x14ac:dyDescent="0.2">
      <c r="A1342" s="681" t="s">
        <v>2370</v>
      </c>
      <c r="B1342" s="693" t="s">
        <v>3910</v>
      </c>
      <c r="C1342" s="672" t="s">
        <v>790</v>
      </c>
      <c r="D1342" s="673">
        <v>35115</v>
      </c>
      <c r="E1342" s="674">
        <v>10</v>
      </c>
      <c r="F1342" s="675">
        <v>0.1</v>
      </c>
      <c r="G1342" s="676">
        <v>224</v>
      </c>
      <c r="H1342" s="929">
        <v>0</v>
      </c>
      <c r="I1342" s="929">
        <v>223</v>
      </c>
      <c r="J1342" s="689">
        <f t="shared" si="21"/>
        <v>1</v>
      </c>
    </row>
    <row r="1343" spans="1:10" ht="12.75" customHeight="1" x14ac:dyDescent="0.2">
      <c r="A1343" s="681" t="s">
        <v>2370</v>
      </c>
      <c r="B1343" s="693" t="s">
        <v>3911</v>
      </c>
      <c r="C1343" s="672" t="s">
        <v>889</v>
      </c>
      <c r="D1343" s="673">
        <v>36576</v>
      </c>
      <c r="E1343" s="674">
        <v>3</v>
      </c>
      <c r="F1343" s="675">
        <v>0.33</v>
      </c>
      <c r="G1343" s="676">
        <v>230</v>
      </c>
      <c r="H1343" s="929">
        <v>0</v>
      </c>
      <c r="I1343" s="929">
        <v>229</v>
      </c>
      <c r="J1343" s="689">
        <f t="shared" si="21"/>
        <v>1</v>
      </c>
    </row>
    <row r="1344" spans="1:10" ht="12.75" customHeight="1" x14ac:dyDescent="0.2">
      <c r="A1344" s="681" t="s">
        <v>2370</v>
      </c>
      <c r="B1344" s="693" t="s">
        <v>3912</v>
      </c>
      <c r="C1344" s="672" t="s">
        <v>889</v>
      </c>
      <c r="D1344" s="673">
        <v>36576</v>
      </c>
      <c r="E1344" s="674">
        <v>3</v>
      </c>
      <c r="F1344" s="675">
        <v>0.33</v>
      </c>
      <c r="G1344" s="676">
        <v>230</v>
      </c>
      <c r="H1344" s="929">
        <v>0</v>
      </c>
      <c r="I1344" s="929">
        <v>229</v>
      </c>
      <c r="J1344" s="689">
        <f t="shared" si="21"/>
        <v>1</v>
      </c>
    </row>
    <row r="1345" spans="1:10" ht="12.75" customHeight="1" x14ac:dyDescent="0.2">
      <c r="A1345" s="681" t="s">
        <v>2370</v>
      </c>
      <c r="B1345" s="693" t="s">
        <v>3913</v>
      </c>
      <c r="C1345" s="672" t="s">
        <v>890</v>
      </c>
      <c r="D1345" s="673">
        <v>38037</v>
      </c>
      <c r="E1345" s="674">
        <v>3</v>
      </c>
      <c r="F1345" s="675">
        <v>0.33</v>
      </c>
      <c r="G1345" s="676">
        <v>230</v>
      </c>
      <c r="H1345" s="929">
        <v>0</v>
      </c>
      <c r="I1345" s="929">
        <v>229</v>
      </c>
      <c r="J1345" s="689">
        <f t="shared" si="21"/>
        <v>1</v>
      </c>
    </row>
    <row r="1346" spans="1:10" ht="12.75" customHeight="1" x14ac:dyDescent="0.2">
      <c r="A1346" s="681" t="s">
        <v>2370</v>
      </c>
      <c r="B1346" s="693" t="s">
        <v>3914</v>
      </c>
      <c r="C1346" s="672" t="s">
        <v>889</v>
      </c>
      <c r="D1346" s="673">
        <v>35115</v>
      </c>
      <c r="E1346" s="674">
        <v>3</v>
      </c>
      <c r="F1346" s="675">
        <v>0.33</v>
      </c>
      <c r="G1346" s="676">
        <v>230</v>
      </c>
      <c r="H1346" s="929">
        <v>0</v>
      </c>
      <c r="I1346" s="929">
        <v>229</v>
      </c>
      <c r="J1346" s="689">
        <f t="shared" si="21"/>
        <v>1</v>
      </c>
    </row>
    <row r="1347" spans="1:10" ht="12.75" customHeight="1" x14ac:dyDescent="0.2">
      <c r="A1347" s="681" t="s">
        <v>2370</v>
      </c>
      <c r="B1347" s="693" t="s">
        <v>3915</v>
      </c>
      <c r="C1347" s="672" t="s">
        <v>889</v>
      </c>
      <c r="D1347" s="673">
        <v>38403</v>
      </c>
      <c r="E1347" s="674">
        <v>3</v>
      </c>
      <c r="F1347" s="675">
        <v>0.33</v>
      </c>
      <c r="G1347" s="676">
        <v>230</v>
      </c>
      <c r="H1347" s="929">
        <v>0</v>
      </c>
      <c r="I1347" s="929">
        <v>229</v>
      </c>
      <c r="J1347" s="689">
        <f t="shared" si="21"/>
        <v>1</v>
      </c>
    </row>
    <row r="1348" spans="1:10" ht="12.75" customHeight="1" x14ac:dyDescent="0.2">
      <c r="A1348" s="681" t="s">
        <v>2370</v>
      </c>
      <c r="B1348" s="693" t="s">
        <v>3916</v>
      </c>
      <c r="C1348" s="672" t="s">
        <v>736</v>
      </c>
      <c r="D1348" s="673">
        <v>37307</v>
      </c>
      <c r="E1348" s="674">
        <v>3</v>
      </c>
      <c r="F1348" s="675">
        <v>0.33</v>
      </c>
      <c r="G1348" s="676">
        <v>230</v>
      </c>
      <c r="H1348" s="929">
        <v>0</v>
      </c>
      <c r="I1348" s="929">
        <v>229</v>
      </c>
      <c r="J1348" s="689">
        <f t="shared" si="21"/>
        <v>1</v>
      </c>
    </row>
    <row r="1349" spans="1:10" ht="12.75" customHeight="1" x14ac:dyDescent="0.2">
      <c r="A1349" s="681" t="s">
        <v>2370</v>
      </c>
      <c r="B1349" s="693" t="s">
        <v>3917</v>
      </c>
      <c r="C1349" s="672" t="s">
        <v>736</v>
      </c>
      <c r="D1349" s="673">
        <v>37307</v>
      </c>
      <c r="E1349" s="674">
        <v>3</v>
      </c>
      <c r="F1349" s="675">
        <v>0.33</v>
      </c>
      <c r="G1349" s="676">
        <v>230</v>
      </c>
      <c r="H1349" s="929">
        <v>0</v>
      </c>
      <c r="I1349" s="929">
        <v>229</v>
      </c>
      <c r="J1349" s="689">
        <f t="shared" si="21"/>
        <v>1</v>
      </c>
    </row>
    <row r="1350" spans="1:10" ht="12.75" customHeight="1" x14ac:dyDescent="0.2">
      <c r="A1350" s="681" t="s">
        <v>2370</v>
      </c>
      <c r="B1350" s="693" t="s">
        <v>3918</v>
      </c>
      <c r="C1350" s="672" t="s">
        <v>736</v>
      </c>
      <c r="D1350" s="673">
        <v>37307</v>
      </c>
      <c r="E1350" s="674">
        <v>3</v>
      </c>
      <c r="F1350" s="675">
        <v>0.33</v>
      </c>
      <c r="G1350" s="676">
        <v>230</v>
      </c>
      <c r="H1350" s="929">
        <v>0</v>
      </c>
      <c r="I1350" s="929">
        <v>229</v>
      </c>
      <c r="J1350" s="689">
        <f t="shared" si="21"/>
        <v>1</v>
      </c>
    </row>
    <row r="1351" spans="1:10" ht="12.75" customHeight="1" x14ac:dyDescent="0.2">
      <c r="A1351" s="681" t="s">
        <v>2370</v>
      </c>
      <c r="B1351" s="693" t="s">
        <v>3919</v>
      </c>
      <c r="C1351" s="672" t="s">
        <v>736</v>
      </c>
      <c r="D1351" s="673">
        <v>37672</v>
      </c>
      <c r="E1351" s="674">
        <v>3</v>
      </c>
      <c r="F1351" s="675">
        <v>0.33</v>
      </c>
      <c r="G1351" s="676">
        <v>230</v>
      </c>
      <c r="H1351" s="929">
        <v>0</v>
      </c>
      <c r="I1351" s="929">
        <v>229</v>
      </c>
      <c r="J1351" s="689">
        <f t="shared" ref="J1351:J1414" si="22">G1351-I1351</f>
        <v>1</v>
      </c>
    </row>
    <row r="1352" spans="1:10" ht="12.75" customHeight="1" x14ac:dyDescent="0.2">
      <c r="A1352" s="681" t="s">
        <v>2370</v>
      </c>
      <c r="B1352" s="693" t="s">
        <v>3920</v>
      </c>
      <c r="C1352" s="672" t="s">
        <v>736</v>
      </c>
      <c r="D1352" s="673">
        <v>39498</v>
      </c>
      <c r="E1352" s="674">
        <v>3</v>
      </c>
      <c r="F1352" s="675">
        <v>0.33</v>
      </c>
      <c r="G1352" s="676">
        <v>239</v>
      </c>
      <c r="H1352" s="929">
        <v>0</v>
      </c>
      <c r="I1352" s="929">
        <v>238</v>
      </c>
      <c r="J1352" s="689">
        <f t="shared" si="22"/>
        <v>1</v>
      </c>
    </row>
    <row r="1353" spans="1:10" ht="12.75" customHeight="1" x14ac:dyDescent="0.2">
      <c r="A1353" s="681" t="s">
        <v>2370</v>
      </c>
      <c r="B1353" s="693" t="s">
        <v>3921</v>
      </c>
      <c r="C1353" s="672" t="s">
        <v>889</v>
      </c>
      <c r="D1353" s="673">
        <v>36576</v>
      </c>
      <c r="E1353" s="674">
        <v>3</v>
      </c>
      <c r="F1353" s="675">
        <v>0.33</v>
      </c>
      <c r="G1353" s="676">
        <v>240</v>
      </c>
      <c r="H1353" s="929">
        <v>0</v>
      </c>
      <c r="I1353" s="929">
        <v>239</v>
      </c>
      <c r="J1353" s="689">
        <f t="shared" si="22"/>
        <v>1</v>
      </c>
    </row>
    <row r="1354" spans="1:10" ht="12.75" customHeight="1" x14ac:dyDescent="0.2">
      <c r="A1354" s="681" t="s">
        <v>2370</v>
      </c>
      <c r="B1354" s="693" t="s">
        <v>3922</v>
      </c>
      <c r="C1354" s="672" t="s">
        <v>889</v>
      </c>
      <c r="D1354" s="673">
        <v>36211</v>
      </c>
      <c r="E1354" s="674">
        <v>3</v>
      </c>
      <c r="F1354" s="675">
        <v>0.33</v>
      </c>
      <c r="G1354" s="676">
        <v>240</v>
      </c>
      <c r="H1354" s="929">
        <v>0</v>
      </c>
      <c r="I1354" s="929">
        <v>239</v>
      </c>
      <c r="J1354" s="689">
        <f t="shared" si="22"/>
        <v>1</v>
      </c>
    </row>
    <row r="1355" spans="1:10" ht="12.75" customHeight="1" x14ac:dyDescent="0.2">
      <c r="A1355" s="681" t="s">
        <v>2370</v>
      </c>
      <c r="B1355" s="693" t="s">
        <v>3923</v>
      </c>
      <c r="C1355" s="672" t="s">
        <v>889</v>
      </c>
      <c r="D1355" s="673">
        <v>36576</v>
      </c>
      <c r="E1355" s="674">
        <v>3</v>
      </c>
      <c r="F1355" s="675">
        <v>0.33</v>
      </c>
      <c r="G1355" s="676">
        <v>240</v>
      </c>
      <c r="H1355" s="929">
        <v>0</v>
      </c>
      <c r="I1355" s="929">
        <v>239</v>
      </c>
      <c r="J1355" s="689">
        <f t="shared" si="22"/>
        <v>1</v>
      </c>
    </row>
    <row r="1356" spans="1:10" ht="12.75" customHeight="1" x14ac:dyDescent="0.2">
      <c r="A1356" s="681" t="s">
        <v>2372</v>
      </c>
      <c r="B1356" s="693" t="s">
        <v>3924</v>
      </c>
      <c r="C1356" s="672" t="s">
        <v>895</v>
      </c>
      <c r="D1356" s="673">
        <v>39498</v>
      </c>
      <c r="E1356" s="674">
        <v>3</v>
      </c>
      <c r="F1356" s="675">
        <v>0.33</v>
      </c>
      <c r="G1356" s="676">
        <v>240</v>
      </c>
      <c r="H1356" s="929">
        <v>0</v>
      </c>
      <c r="I1356" s="929">
        <v>239</v>
      </c>
      <c r="J1356" s="689">
        <f t="shared" si="22"/>
        <v>1</v>
      </c>
    </row>
    <row r="1357" spans="1:10" ht="12.75" customHeight="1" x14ac:dyDescent="0.2">
      <c r="A1357" s="681" t="s">
        <v>2370</v>
      </c>
      <c r="B1357" s="693" t="s">
        <v>3925</v>
      </c>
      <c r="C1357" s="672" t="s">
        <v>819</v>
      </c>
      <c r="D1357" s="673">
        <v>37307</v>
      </c>
      <c r="E1357" s="674">
        <v>10</v>
      </c>
      <c r="F1357" s="675">
        <v>0.1</v>
      </c>
      <c r="G1357" s="676">
        <v>245</v>
      </c>
      <c r="H1357" s="929">
        <v>0</v>
      </c>
      <c r="I1357" s="929">
        <v>244</v>
      </c>
      <c r="J1357" s="689">
        <f t="shared" si="22"/>
        <v>1</v>
      </c>
    </row>
    <row r="1358" spans="1:10" ht="12.75" customHeight="1" x14ac:dyDescent="0.2">
      <c r="A1358" s="681" t="s">
        <v>2370</v>
      </c>
      <c r="B1358" s="693" t="s">
        <v>3926</v>
      </c>
      <c r="C1358" s="672" t="s">
        <v>889</v>
      </c>
      <c r="D1358" s="673">
        <v>37307</v>
      </c>
      <c r="E1358" s="674">
        <v>3</v>
      </c>
      <c r="F1358" s="675">
        <v>0.33</v>
      </c>
      <c r="G1358" s="676">
        <v>245</v>
      </c>
      <c r="H1358" s="929">
        <v>0</v>
      </c>
      <c r="I1358" s="929">
        <v>244</v>
      </c>
      <c r="J1358" s="689">
        <f t="shared" si="22"/>
        <v>1</v>
      </c>
    </row>
    <row r="1359" spans="1:10" ht="12.75" customHeight="1" x14ac:dyDescent="0.2">
      <c r="A1359" s="681" t="s">
        <v>2370</v>
      </c>
      <c r="B1359" s="693" t="s">
        <v>3927</v>
      </c>
      <c r="C1359" s="672" t="s">
        <v>889</v>
      </c>
      <c r="D1359" s="673">
        <v>37307</v>
      </c>
      <c r="E1359" s="674">
        <v>3</v>
      </c>
      <c r="F1359" s="675">
        <v>0.33</v>
      </c>
      <c r="G1359" s="676">
        <v>245</v>
      </c>
      <c r="H1359" s="929">
        <v>0</v>
      </c>
      <c r="I1359" s="929">
        <v>244</v>
      </c>
      <c r="J1359" s="689">
        <f t="shared" si="22"/>
        <v>1</v>
      </c>
    </row>
    <row r="1360" spans="1:10" ht="12.75" customHeight="1" x14ac:dyDescent="0.2">
      <c r="A1360" s="681" t="s">
        <v>2370</v>
      </c>
      <c r="B1360" s="693" t="s">
        <v>3928</v>
      </c>
      <c r="C1360" s="672" t="s">
        <v>889</v>
      </c>
      <c r="D1360" s="673">
        <v>37307</v>
      </c>
      <c r="E1360" s="674">
        <v>3</v>
      </c>
      <c r="F1360" s="675">
        <v>0.33</v>
      </c>
      <c r="G1360" s="676">
        <v>245</v>
      </c>
      <c r="H1360" s="929">
        <v>0</v>
      </c>
      <c r="I1360" s="929">
        <v>244</v>
      </c>
      <c r="J1360" s="689">
        <f t="shared" si="22"/>
        <v>1</v>
      </c>
    </row>
    <row r="1361" spans="1:10" ht="12.75" customHeight="1" x14ac:dyDescent="0.2">
      <c r="A1361" s="681" t="s">
        <v>2370</v>
      </c>
      <c r="B1361" s="693" t="s">
        <v>3929</v>
      </c>
      <c r="C1361" s="672" t="s">
        <v>889</v>
      </c>
      <c r="D1361" s="673">
        <v>37307</v>
      </c>
      <c r="E1361" s="674">
        <v>3</v>
      </c>
      <c r="F1361" s="675">
        <v>0.33</v>
      </c>
      <c r="G1361" s="676">
        <v>245</v>
      </c>
      <c r="H1361" s="929">
        <v>0</v>
      </c>
      <c r="I1361" s="929">
        <v>244</v>
      </c>
      <c r="J1361" s="689">
        <f t="shared" si="22"/>
        <v>1</v>
      </c>
    </row>
    <row r="1362" spans="1:10" ht="12.75" customHeight="1" x14ac:dyDescent="0.2">
      <c r="A1362" s="681" t="s">
        <v>2370</v>
      </c>
      <c r="B1362" s="693" t="s">
        <v>3930</v>
      </c>
      <c r="C1362" s="672" t="s">
        <v>889</v>
      </c>
      <c r="D1362" s="673">
        <v>37307</v>
      </c>
      <c r="E1362" s="674">
        <v>3</v>
      </c>
      <c r="F1362" s="675">
        <v>0.33</v>
      </c>
      <c r="G1362" s="676">
        <v>245</v>
      </c>
      <c r="H1362" s="929">
        <v>0</v>
      </c>
      <c r="I1362" s="929">
        <v>244</v>
      </c>
      <c r="J1362" s="689">
        <f t="shared" si="22"/>
        <v>1</v>
      </c>
    </row>
    <row r="1363" spans="1:10" ht="12.75" customHeight="1" x14ac:dyDescent="0.2">
      <c r="A1363" s="681" t="s">
        <v>2370</v>
      </c>
      <c r="B1363" s="693" t="s">
        <v>3931</v>
      </c>
      <c r="C1363" s="672" t="s">
        <v>889</v>
      </c>
      <c r="D1363" s="673">
        <v>40594</v>
      </c>
      <c r="E1363" s="674">
        <v>3</v>
      </c>
      <c r="F1363" s="675">
        <v>0.33</v>
      </c>
      <c r="G1363" s="676">
        <v>253.52</v>
      </c>
      <c r="H1363" s="929">
        <v>0</v>
      </c>
      <c r="I1363" s="929">
        <v>252.52</v>
      </c>
      <c r="J1363" s="689">
        <f t="shared" si="22"/>
        <v>1</v>
      </c>
    </row>
    <row r="1364" spans="1:10" ht="12.75" customHeight="1" x14ac:dyDescent="0.2">
      <c r="A1364" s="681" t="s">
        <v>2370</v>
      </c>
      <c r="B1364" s="693" t="s">
        <v>3932</v>
      </c>
      <c r="C1364" s="672" t="s">
        <v>889</v>
      </c>
      <c r="D1364" s="673">
        <v>40594</v>
      </c>
      <c r="E1364" s="674">
        <v>3</v>
      </c>
      <c r="F1364" s="675">
        <v>0.33</v>
      </c>
      <c r="G1364" s="676">
        <v>253.52</v>
      </c>
      <c r="H1364" s="929">
        <v>0</v>
      </c>
      <c r="I1364" s="929">
        <v>252.52</v>
      </c>
      <c r="J1364" s="689">
        <f t="shared" si="22"/>
        <v>1</v>
      </c>
    </row>
    <row r="1365" spans="1:10" ht="12.75" customHeight="1" x14ac:dyDescent="0.2">
      <c r="A1365" s="681" t="s">
        <v>2370</v>
      </c>
      <c r="B1365" s="693" t="s">
        <v>3933</v>
      </c>
      <c r="C1365" s="672" t="s">
        <v>889</v>
      </c>
      <c r="D1365" s="673">
        <v>40594</v>
      </c>
      <c r="E1365" s="674">
        <v>3</v>
      </c>
      <c r="F1365" s="675">
        <v>0.33</v>
      </c>
      <c r="G1365" s="676">
        <v>256.82</v>
      </c>
      <c r="H1365" s="929">
        <v>0</v>
      </c>
      <c r="I1365" s="929">
        <v>255.82</v>
      </c>
      <c r="J1365" s="689">
        <f t="shared" si="22"/>
        <v>1</v>
      </c>
    </row>
    <row r="1366" spans="1:10" ht="12.75" customHeight="1" x14ac:dyDescent="0.2">
      <c r="A1366" s="681" t="s">
        <v>2370</v>
      </c>
      <c r="B1366" s="693" t="s">
        <v>3934</v>
      </c>
      <c r="C1366" s="672" t="s">
        <v>889</v>
      </c>
      <c r="D1366" s="673">
        <v>40594</v>
      </c>
      <c r="E1366" s="674">
        <v>3</v>
      </c>
      <c r="F1366" s="675">
        <v>0.33</v>
      </c>
      <c r="G1366" s="676">
        <v>257</v>
      </c>
      <c r="H1366" s="929">
        <v>0</v>
      </c>
      <c r="I1366" s="929">
        <v>256</v>
      </c>
      <c r="J1366" s="689">
        <f t="shared" si="22"/>
        <v>1</v>
      </c>
    </row>
    <row r="1367" spans="1:10" ht="12.75" customHeight="1" x14ac:dyDescent="0.2">
      <c r="A1367" s="681" t="s">
        <v>2370</v>
      </c>
      <c r="B1367" s="693" t="s">
        <v>3935</v>
      </c>
      <c r="C1367" s="672" t="s">
        <v>889</v>
      </c>
      <c r="D1367" s="673">
        <v>40594</v>
      </c>
      <c r="E1367" s="674">
        <v>3</v>
      </c>
      <c r="F1367" s="675">
        <v>0.33</v>
      </c>
      <c r="G1367" s="676">
        <v>257</v>
      </c>
      <c r="H1367" s="929">
        <v>0</v>
      </c>
      <c r="I1367" s="929">
        <v>256</v>
      </c>
      <c r="J1367" s="689">
        <f t="shared" si="22"/>
        <v>1</v>
      </c>
    </row>
    <row r="1368" spans="1:10" ht="12.75" customHeight="1" x14ac:dyDescent="0.2">
      <c r="A1368" s="681" t="s">
        <v>2370</v>
      </c>
      <c r="B1368" s="693" t="s">
        <v>3936</v>
      </c>
      <c r="C1368" s="672" t="s">
        <v>889</v>
      </c>
      <c r="D1368" s="673">
        <v>39498</v>
      </c>
      <c r="E1368" s="674">
        <v>3</v>
      </c>
      <c r="F1368" s="675">
        <v>0.33</v>
      </c>
      <c r="G1368" s="676">
        <v>257</v>
      </c>
      <c r="H1368" s="929">
        <v>0</v>
      </c>
      <c r="I1368" s="929">
        <v>256</v>
      </c>
      <c r="J1368" s="689">
        <f t="shared" si="22"/>
        <v>1</v>
      </c>
    </row>
    <row r="1369" spans="1:10" ht="12.75" customHeight="1" x14ac:dyDescent="0.2">
      <c r="A1369" s="681" t="s">
        <v>2370</v>
      </c>
      <c r="B1369" s="693" t="s">
        <v>3937</v>
      </c>
      <c r="C1369" s="672" t="s">
        <v>889</v>
      </c>
      <c r="D1369" s="673">
        <v>36576</v>
      </c>
      <c r="E1369" s="674">
        <v>3</v>
      </c>
      <c r="F1369" s="675">
        <v>0.33</v>
      </c>
      <c r="G1369" s="676">
        <v>259</v>
      </c>
      <c r="H1369" s="929">
        <v>0</v>
      </c>
      <c r="I1369" s="929">
        <v>258</v>
      </c>
      <c r="J1369" s="689">
        <f t="shared" si="22"/>
        <v>1</v>
      </c>
    </row>
    <row r="1370" spans="1:10" ht="12.75" customHeight="1" x14ac:dyDescent="0.2">
      <c r="A1370" s="681" t="s">
        <v>2370</v>
      </c>
      <c r="B1370" s="693" t="s">
        <v>3938</v>
      </c>
      <c r="C1370" s="672" t="s">
        <v>889</v>
      </c>
      <c r="D1370" s="673">
        <v>36211</v>
      </c>
      <c r="E1370" s="674">
        <v>3</v>
      </c>
      <c r="F1370" s="675">
        <v>0.33</v>
      </c>
      <c r="G1370" s="676">
        <v>259</v>
      </c>
      <c r="H1370" s="929">
        <v>0</v>
      </c>
      <c r="I1370" s="929">
        <v>258</v>
      </c>
      <c r="J1370" s="689">
        <f t="shared" si="22"/>
        <v>1</v>
      </c>
    </row>
    <row r="1371" spans="1:10" ht="12.75" customHeight="1" x14ac:dyDescent="0.2">
      <c r="A1371" s="681" t="s">
        <v>2370</v>
      </c>
      <c r="B1371" s="693" t="s">
        <v>3939</v>
      </c>
      <c r="C1371" s="672" t="s">
        <v>736</v>
      </c>
      <c r="D1371" s="673">
        <v>39864</v>
      </c>
      <c r="E1371" s="674">
        <v>3</v>
      </c>
      <c r="F1371" s="675">
        <v>0.33</v>
      </c>
      <c r="G1371" s="676">
        <v>260</v>
      </c>
      <c r="H1371" s="929">
        <v>0</v>
      </c>
      <c r="I1371" s="929">
        <v>259</v>
      </c>
      <c r="J1371" s="689">
        <f t="shared" si="22"/>
        <v>1</v>
      </c>
    </row>
    <row r="1372" spans="1:10" ht="12.75" customHeight="1" x14ac:dyDescent="0.2">
      <c r="A1372" s="681" t="s">
        <v>2370</v>
      </c>
      <c r="B1372" s="693" t="s">
        <v>3940</v>
      </c>
      <c r="C1372" s="672" t="s">
        <v>785</v>
      </c>
      <c r="D1372" s="673">
        <v>37307</v>
      </c>
      <c r="E1372" s="674">
        <v>10</v>
      </c>
      <c r="F1372" s="675">
        <v>0.1</v>
      </c>
      <c r="G1372" s="676">
        <v>264</v>
      </c>
      <c r="H1372" s="929">
        <v>0</v>
      </c>
      <c r="I1372" s="929">
        <v>263</v>
      </c>
      <c r="J1372" s="689">
        <f t="shared" si="22"/>
        <v>1</v>
      </c>
    </row>
    <row r="1373" spans="1:10" ht="12.75" customHeight="1" x14ac:dyDescent="0.2">
      <c r="A1373" s="681" t="s">
        <v>2370</v>
      </c>
      <c r="B1373" s="693" t="s">
        <v>3941</v>
      </c>
      <c r="C1373" s="672" t="s">
        <v>785</v>
      </c>
      <c r="D1373" s="673">
        <v>37307</v>
      </c>
      <c r="E1373" s="674">
        <v>10</v>
      </c>
      <c r="F1373" s="675">
        <v>0.1</v>
      </c>
      <c r="G1373" s="676">
        <v>264</v>
      </c>
      <c r="H1373" s="929">
        <v>0</v>
      </c>
      <c r="I1373" s="929">
        <v>263</v>
      </c>
      <c r="J1373" s="689">
        <f t="shared" si="22"/>
        <v>1</v>
      </c>
    </row>
    <row r="1374" spans="1:10" ht="12.75" customHeight="1" x14ac:dyDescent="0.2">
      <c r="A1374" s="681" t="s">
        <v>2370</v>
      </c>
      <c r="B1374" s="693" t="s">
        <v>3942</v>
      </c>
      <c r="C1374" s="672" t="s">
        <v>889</v>
      </c>
      <c r="D1374" s="673">
        <v>38403</v>
      </c>
      <c r="E1374" s="674">
        <v>3</v>
      </c>
      <c r="F1374" s="675">
        <v>0.33</v>
      </c>
      <c r="G1374" s="676">
        <v>264</v>
      </c>
      <c r="H1374" s="929">
        <v>0</v>
      </c>
      <c r="I1374" s="929">
        <v>263</v>
      </c>
      <c r="J1374" s="689">
        <f t="shared" si="22"/>
        <v>1</v>
      </c>
    </row>
    <row r="1375" spans="1:10" ht="12.75" customHeight="1" x14ac:dyDescent="0.2">
      <c r="A1375" s="681" t="s">
        <v>2370</v>
      </c>
      <c r="B1375" s="693" t="s">
        <v>3943</v>
      </c>
      <c r="C1375" s="672" t="s">
        <v>785</v>
      </c>
      <c r="D1375" s="673">
        <v>37307</v>
      </c>
      <c r="E1375" s="674">
        <v>10</v>
      </c>
      <c r="F1375" s="675">
        <v>0.1</v>
      </c>
      <c r="G1375" s="676">
        <v>273</v>
      </c>
      <c r="H1375" s="929">
        <v>0</v>
      </c>
      <c r="I1375" s="929">
        <v>272</v>
      </c>
      <c r="J1375" s="689">
        <f t="shared" si="22"/>
        <v>1</v>
      </c>
    </row>
    <row r="1376" spans="1:10" ht="12.75" customHeight="1" x14ac:dyDescent="0.2">
      <c r="A1376" s="681" t="s">
        <v>2370</v>
      </c>
      <c r="B1376" s="693" t="s">
        <v>3944</v>
      </c>
      <c r="C1376" s="672" t="s">
        <v>785</v>
      </c>
      <c r="D1376" s="673">
        <v>36211</v>
      </c>
      <c r="E1376" s="674">
        <v>10</v>
      </c>
      <c r="F1376" s="675">
        <v>0.1</v>
      </c>
      <c r="G1376" s="676">
        <v>276</v>
      </c>
      <c r="H1376" s="929">
        <v>0</v>
      </c>
      <c r="I1376" s="929">
        <v>275</v>
      </c>
      <c r="J1376" s="689">
        <f t="shared" si="22"/>
        <v>1</v>
      </c>
    </row>
    <row r="1377" spans="1:10" ht="12.75" customHeight="1" x14ac:dyDescent="0.2">
      <c r="A1377" s="681" t="s">
        <v>2370</v>
      </c>
      <c r="B1377" s="693" t="s">
        <v>3945</v>
      </c>
      <c r="C1377" s="672" t="s">
        <v>785</v>
      </c>
      <c r="D1377" s="673">
        <v>36211</v>
      </c>
      <c r="E1377" s="674">
        <v>10</v>
      </c>
      <c r="F1377" s="675">
        <v>0.1</v>
      </c>
      <c r="G1377" s="676">
        <v>276</v>
      </c>
      <c r="H1377" s="929">
        <v>0</v>
      </c>
      <c r="I1377" s="929">
        <v>275</v>
      </c>
      <c r="J1377" s="689">
        <f t="shared" si="22"/>
        <v>1</v>
      </c>
    </row>
    <row r="1378" spans="1:10" ht="12.75" customHeight="1" x14ac:dyDescent="0.2">
      <c r="A1378" s="681" t="s">
        <v>2370</v>
      </c>
      <c r="B1378" s="693" t="s">
        <v>3946</v>
      </c>
      <c r="C1378" s="672" t="s">
        <v>785</v>
      </c>
      <c r="D1378" s="673">
        <v>36211</v>
      </c>
      <c r="E1378" s="674">
        <v>10</v>
      </c>
      <c r="F1378" s="675">
        <v>0.1</v>
      </c>
      <c r="G1378" s="676">
        <v>276</v>
      </c>
      <c r="H1378" s="929">
        <v>0</v>
      </c>
      <c r="I1378" s="929">
        <v>275</v>
      </c>
      <c r="J1378" s="689">
        <f t="shared" si="22"/>
        <v>1</v>
      </c>
    </row>
    <row r="1379" spans="1:10" ht="12.75" customHeight="1" x14ac:dyDescent="0.2">
      <c r="A1379" s="681" t="s">
        <v>2370</v>
      </c>
      <c r="B1379" s="693" t="s">
        <v>3947</v>
      </c>
      <c r="C1379" s="672" t="s">
        <v>785</v>
      </c>
      <c r="D1379" s="673">
        <v>36211</v>
      </c>
      <c r="E1379" s="674">
        <v>10</v>
      </c>
      <c r="F1379" s="675">
        <v>0.1</v>
      </c>
      <c r="G1379" s="676">
        <v>278</v>
      </c>
      <c r="H1379" s="929">
        <v>0</v>
      </c>
      <c r="I1379" s="929">
        <v>277</v>
      </c>
      <c r="J1379" s="689">
        <f t="shared" si="22"/>
        <v>1</v>
      </c>
    </row>
    <row r="1380" spans="1:10" ht="12.75" customHeight="1" x14ac:dyDescent="0.2">
      <c r="A1380" s="681" t="s">
        <v>2370</v>
      </c>
      <c r="B1380" s="693" t="s">
        <v>3948</v>
      </c>
      <c r="C1380" s="672" t="s">
        <v>785</v>
      </c>
      <c r="D1380" s="673">
        <v>36211</v>
      </c>
      <c r="E1380" s="674">
        <v>10</v>
      </c>
      <c r="F1380" s="675">
        <v>0.1</v>
      </c>
      <c r="G1380" s="676">
        <v>278</v>
      </c>
      <c r="H1380" s="929">
        <v>0</v>
      </c>
      <c r="I1380" s="929">
        <v>277</v>
      </c>
      <c r="J1380" s="689">
        <f t="shared" si="22"/>
        <v>1</v>
      </c>
    </row>
    <row r="1381" spans="1:10" ht="12.75" customHeight="1" x14ac:dyDescent="0.2">
      <c r="A1381" s="681" t="s">
        <v>2370</v>
      </c>
      <c r="B1381" s="693" t="s">
        <v>3949</v>
      </c>
      <c r="C1381" s="672" t="s">
        <v>790</v>
      </c>
      <c r="D1381" s="673">
        <v>35846</v>
      </c>
      <c r="E1381" s="674">
        <v>10</v>
      </c>
      <c r="F1381" s="675">
        <v>0.1</v>
      </c>
      <c r="G1381" s="676">
        <v>279</v>
      </c>
      <c r="H1381" s="929">
        <v>0</v>
      </c>
      <c r="I1381" s="929">
        <v>278</v>
      </c>
      <c r="J1381" s="689">
        <f t="shared" si="22"/>
        <v>1</v>
      </c>
    </row>
    <row r="1382" spans="1:10" ht="12.75" customHeight="1" x14ac:dyDescent="0.2">
      <c r="A1382" s="681" t="s">
        <v>2370</v>
      </c>
      <c r="B1382" s="693" t="s">
        <v>3950</v>
      </c>
      <c r="C1382" s="672" t="s">
        <v>790</v>
      </c>
      <c r="D1382" s="673">
        <v>35846</v>
      </c>
      <c r="E1382" s="674">
        <v>10</v>
      </c>
      <c r="F1382" s="675">
        <v>0.1</v>
      </c>
      <c r="G1382" s="676">
        <v>279</v>
      </c>
      <c r="H1382" s="929">
        <v>0</v>
      </c>
      <c r="I1382" s="929">
        <v>278</v>
      </c>
      <c r="J1382" s="689">
        <f t="shared" si="22"/>
        <v>1</v>
      </c>
    </row>
    <row r="1383" spans="1:10" ht="12.75" customHeight="1" x14ac:dyDescent="0.2">
      <c r="A1383" s="681" t="s">
        <v>2370</v>
      </c>
      <c r="B1383" s="693" t="s">
        <v>3951</v>
      </c>
      <c r="C1383" s="672" t="s">
        <v>790</v>
      </c>
      <c r="D1383" s="673">
        <v>35846</v>
      </c>
      <c r="E1383" s="674">
        <v>10</v>
      </c>
      <c r="F1383" s="675">
        <v>0.1</v>
      </c>
      <c r="G1383" s="676">
        <v>279</v>
      </c>
      <c r="H1383" s="929">
        <v>0</v>
      </c>
      <c r="I1383" s="929">
        <v>278</v>
      </c>
      <c r="J1383" s="689">
        <f t="shared" si="22"/>
        <v>1</v>
      </c>
    </row>
    <row r="1384" spans="1:10" ht="12.75" customHeight="1" x14ac:dyDescent="0.2">
      <c r="A1384" s="681" t="s">
        <v>2370</v>
      </c>
      <c r="B1384" s="693" t="s">
        <v>3952</v>
      </c>
      <c r="C1384" s="672" t="s">
        <v>790</v>
      </c>
      <c r="D1384" s="673">
        <v>35846</v>
      </c>
      <c r="E1384" s="674">
        <v>10</v>
      </c>
      <c r="F1384" s="675">
        <v>0.1</v>
      </c>
      <c r="G1384" s="676">
        <v>279</v>
      </c>
      <c r="H1384" s="929">
        <v>0</v>
      </c>
      <c r="I1384" s="929">
        <v>278</v>
      </c>
      <c r="J1384" s="689">
        <f t="shared" si="22"/>
        <v>1</v>
      </c>
    </row>
    <row r="1385" spans="1:10" ht="12.75" customHeight="1" x14ac:dyDescent="0.2">
      <c r="A1385" s="681" t="s">
        <v>2370</v>
      </c>
      <c r="B1385" s="693" t="s">
        <v>3953</v>
      </c>
      <c r="C1385" s="672" t="s">
        <v>790</v>
      </c>
      <c r="D1385" s="673">
        <v>35846</v>
      </c>
      <c r="E1385" s="674">
        <v>10</v>
      </c>
      <c r="F1385" s="675">
        <v>0.1</v>
      </c>
      <c r="G1385" s="676">
        <v>279</v>
      </c>
      <c r="H1385" s="929">
        <v>0</v>
      </c>
      <c r="I1385" s="929">
        <v>278</v>
      </c>
      <c r="J1385" s="689">
        <f t="shared" si="22"/>
        <v>1</v>
      </c>
    </row>
    <row r="1386" spans="1:10" ht="12.75" customHeight="1" x14ac:dyDescent="0.2">
      <c r="A1386" s="681" t="s">
        <v>2370</v>
      </c>
      <c r="B1386" s="693" t="s">
        <v>3954</v>
      </c>
      <c r="C1386" s="672" t="s">
        <v>790</v>
      </c>
      <c r="D1386" s="673">
        <v>35846</v>
      </c>
      <c r="E1386" s="674">
        <v>10</v>
      </c>
      <c r="F1386" s="675">
        <v>0.1</v>
      </c>
      <c r="G1386" s="676">
        <v>279</v>
      </c>
      <c r="H1386" s="929">
        <v>0</v>
      </c>
      <c r="I1386" s="929">
        <v>278</v>
      </c>
      <c r="J1386" s="689">
        <f t="shared" si="22"/>
        <v>1</v>
      </c>
    </row>
    <row r="1387" spans="1:10" ht="12.75" customHeight="1" x14ac:dyDescent="0.2">
      <c r="A1387" s="681" t="s">
        <v>2370</v>
      </c>
      <c r="B1387" s="693" t="s">
        <v>3955</v>
      </c>
      <c r="C1387" s="672" t="s">
        <v>790</v>
      </c>
      <c r="D1387" s="673">
        <v>35846</v>
      </c>
      <c r="E1387" s="674">
        <v>10</v>
      </c>
      <c r="F1387" s="675">
        <v>0.1</v>
      </c>
      <c r="G1387" s="676">
        <v>279</v>
      </c>
      <c r="H1387" s="929">
        <v>0</v>
      </c>
      <c r="I1387" s="929">
        <v>278</v>
      </c>
      <c r="J1387" s="689">
        <f t="shared" si="22"/>
        <v>1</v>
      </c>
    </row>
    <row r="1388" spans="1:10" ht="12.75" customHeight="1" x14ac:dyDescent="0.2">
      <c r="A1388" s="681" t="s">
        <v>2370</v>
      </c>
      <c r="B1388" s="693" t="s">
        <v>3956</v>
      </c>
      <c r="C1388" s="672" t="s">
        <v>889</v>
      </c>
      <c r="D1388" s="673">
        <v>39498</v>
      </c>
      <c r="E1388" s="674">
        <v>3</v>
      </c>
      <c r="F1388" s="675">
        <v>0.33</v>
      </c>
      <c r="G1388" s="676">
        <v>288</v>
      </c>
      <c r="H1388" s="929">
        <v>0</v>
      </c>
      <c r="I1388" s="929">
        <v>287</v>
      </c>
      <c r="J1388" s="689">
        <f t="shared" si="22"/>
        <v>1</v>
      </c>
    </row>
    <row r="1389" spans="1:10" ht="12.75" customHeight="1" x14ac:dyDescent="0.2">
      <c r="A1389" s="681" t="s">
        <v>2370</v>
      </c>
      <c r="B1389" s="693" t="s">
        <v>3957</v>
      </c>
      <c r="C1389" s="672" t="s">
        <v>889</v>
      </c>
      <c r="D1389" s="673">
        <v>39498</v>
      </c>
      <c r="E1389" s="674">
        <v>3</v>
      </c>
      <c r="F1389" s="675">
        <v>0.33</v>
      </c>
      <c r="G1389" s="676">
        <v>288</v>
      </c>
      <c r="H1389" s="929">
        <v>0</v>
      </c>
      <c r="I1389" s="929">
        <v>287</v>
      </c>
      <c r="J1389" s="689">
        <f t="shared" si="22"/>
        <v>1</v>
      </c>
    </row>
    <row r="1390" spans="1:10" ht="12.75" customHeight="1" x14ac:dyDescent="0.2">
      <c r="A1390" s="681" t="s">
        <v>2370</v>
      </c>
      <c r="B1390" s="693" t="s">
        <v>3958</v>
      </c>
      <c r="C1390" s="672" t="s">
        <v>889</v>
      </c>
      <c r="D1390" s="673">
        <v>39498</v>
      </c>
      <c r="E1390" s="674">
        <v>3</v>
      </c>
      <c r="F1390" s="675">
        <v>0.33</v>
      </c>
      <c r="G1390" s="676">
        <v>288</v>
      </c>
      <c r="H1390" s="929">
        <v>0</v>
      </c>
      <c r="I1390" s="929">
        <v>287</v>
      </c>
      <c r="J1390" s="689">
        <f t="shared" si="22"/>
        <v>1</v>
      </c>
    </row>
    <row r="1391" spans="1:10" ht="12.75" customHeight="1" x14ac:dyDescent="0.2">
      <c r="A1391" s="681" t="s">
        <v>2370</v>
      </c>
      <c r="B1391" s="693" t="s">
        <v>3959</v>
      </c>
      <c r="C1391" s="672" t="s">
        <v>889</v>
      </c>
      <c r="D1391" s="673">
        <v>39498</v>
      </c>
      <c r="E1391" s="674">
        <v>3</v>
      </c>
      <c r="F1391" s="675">
        <v>0.33</v>
      </c>
      <c r="G1391" s="676">
        <v>288</v>
      </c>
      <c r="H1391" s="929">
        <v>0</v>
      </c>
      <c r="I1391" s="929">
        <v>287</v>
      </c>
      <c r="J1391" s="689">
        <f t="shared" si="22"/>
        <v>1</v>
      </c>
    </row>
    <row r="1392" spans="1:10" ht="12.75" customHeight="1" x14ac:dyDescent="0.2">
      <c r="A1392" s="681" t="s">
        <v>2370</v>
      </c>
      <c r="B1392" s="693" t="s">
        <v>3960</v>
      </c>
      <c r="C1392" s="672" t="s">
        <v>889</v>
      </c>
      <c r="D1392" s="673">
        <v>39498</v>
      </c>
      <c r="E1392" s="674">
        <v>3</v>
      </c>
      <c r="F1392" s="675">
        <v>0.33</v>
      </c>
      <c r="G1392" s="676">
        <v>288</v>
      </c>
      <c r="H1392" s="929">
        <v>0</v>
      </c>
      <c r="I1392" s="929">
        <v>287</v>
      </c>
      <c r="J1392" s="689">
        <f t="shared" si="22"/>
        <v>1</v>
      </c>
    </row>
    <row r="1393" spans="1:10" ht="12.75" customHeight="1" x14ac:dyDescent="0.2">
      <c r="A1393" s="681" t="s">
        <v>2370</v>
      </c>
      <c r="B1393" s="693" t="s">
        <v>3961</v>
      </c>
      <c r="C1393" s="672" t="s">
        <v>889</v>
      </c>
      <c r="D1393" s="673">
        <v>39498</v>
      </c>
      <c r="E1393" s="674">
        <v>3</v>
      </c>
      <c r="F1393" s="675">
        <v>0.33</v>
      </c>
      <c r="G1393" s="676">
        <v>288</v>
      </c>
      <c r="H1393" s="929">
        <v>0</v>
      </c>
      <c r="I1393" s="929">
        <v>287</v>
      </c>
      <c r="J1393" s="689">
        <f t="shared" si="22"/>
        <v>1</v>
      </c>
    </row>
    <row r="1394" spans="1:10" ht="12.75" customHeight="1" x14ac:dyDescent="0.2">
      <c r="A1394" s="681" t="s">
        <v>2370</v>
      </c>
      <c r="B1394" s="693" t="s">
        <v>3962</v>
      </c>
      <c r="C1394" s="672" t="s">
        <v>890</v>
      </c>
      <c r="D1394" s="673">
        <v>39498</v>
      </c>
      <c r="E1394" s="674">
        <v>3</v>
      </c>
      <c r="F1394" s="675">
        <v>0.33</v>
      </c>
      <c r="G1394" s="676">
        <v>288</v>
      </c>
      <c r="H1394" s="929">
        <v>0</v>
      </c>
      <c r="I1394" s="929">
        <v>287</v>
      </c>
      <c r="J1394" s="689">
        <f t="shared" si="22"/>
        <v>1</v>
      </c>
    </row>
    <row r="1395" spans="1:10" ht="12.75" customHeight="1" x14ac:dyDescent="0.2">
      <c r="A1395" s="681" t="s">
        <v>2370</v>
      </c>
      <c r="B1395" s="693" t="s">
        <v>3963</v>
      </c>
      <c r="C1395" s="672" t="s">
        <v>890</v>
      </c>
      <c r="D1395" s="673">
        <v>39498</v>
      </c>
      <c r="E1395" s="674">
        <v>3</v>
      </c>
      <c r="F1395" s="675">
        <v>0.33</v>
      </c>
      <c r="G1395" s="676">
        <v>288</v>
      </c>
      <c r="H1395" s="929">
        <v>0</v>
      </c>
      <c r="I1395" s="929">
        <v>287</v>
      </c>
      <c r="J1395" s="689">
        <f t="shared" si="22"/>
        <v>1</v>
      </c>
    </row>
    <row r="1396" spans="1:10" ht="12.75" customHeight="1" x14ac:dyDescent="0.2">
      <c r="A1396" s="681" t="s">
        <v>2370</v>
      </c>
      <c r="B1396" s="693" t="s">
        <v>3964</v>
      </c>
      <c r="C1396" s="672" t="s">
        <v>890</v>
      </c>
      <c r="D1396" s="673">
        <v>39498</v>
      </c>
      <c r="E1396" s="674">
        <v>3</v>
      </c>
      <c r="F1396" s="675">
        <v>0.33</v>
      </c>
      <c r="G1396" s="676">
        <v>288</v>
      </c>
      <c r="H1396" s="929">
        <v>0</v>
      </c>
      <c r="I1396" s="929">
        <v>287</v>
      </c>
      <c r="J1396" s="689">
        <f t="shared" si="22"/>
        <v>1</v>
      </c>
    </row>
    <row r="1397" spans="1:10" ht="12.75" customHeight="1" x14ac:dyDescent="0.2">
      <c r="A1397" s="681" t="s">
        <v>2370</v>
      </c>
      <c r="B1397" s="693" t="s">
        <v>3965</v>
      </c>
      <c r="C1397" s="672" t="s">
        <v>889</v>
      </c>
      <c r="D1397" s="673">
        <v>39498</v>
      </c>
      <c r="E1397" s="674">
        <v>3</v>
      </c>
      <c r="F1397" s="675">
        <v>0.33</v>
      </c>
      <c r="G1397" s="676">
        <v>288</v>
      </c>
      <c r="H1397" s="929">
        <v>0</v>
      </c>
      <c r="I1397" s="929">
        <v>287</v>
      </c>
      <c r="J1397" s="689">
        <f t="shared" si="22"/>
        <v>1</v>
      </c>
    </row>
    <row r="1398" spans="1:10" ht="12.75" customHeight="1" x14ac:dyDescent="0.2">
      <c r="A1398" s="681" t="s">
        <v>2370</v>
      </c>
      <c r="B1398" s="693" t="s">
        <v>3966</v>
      </c>
      <c r="C1398" s="672" t="s">
        <v>889</v>
      </c>
      <c r="D1398" s="673">
        <v>39498</v>
      </c>
      <c r="E1398" s="674">
        <v>3</v>
      </c>
      <c r="F1398" s="675">
        <v>0.33</v>
      </c>
      <c r="G1398" s="676">
        <v>288</v>
      </c>
      <c r="H1398" s="929">
        <v>0</v>
      </c>
      <c r="I1398" s="929">
        <v>287</v>
      </c>
      <c r="J1398" s="689">
        <f t="shared" si="22"/>
        <v>1</v>
      </c>
    </row>
    <row r="1399" spans="1:10" ht="12.75" customHeight="1" x14ac:dyDescent="0.2">
      <c r="A1399" s="681" t="s">
        <v>2370</v>
      </c>
      <c r="B1399" s="693" t="s">
        <v>3967</v>
      </c>
      <c r="C1399" s="672" t="s">
        <v>889</v>
      </c>
      <c r="D1399" s="673">
        <v>39498</v>
      </c>
      <c r="E1399" s="674">
        <v>3</v>
      </c>
      <c r="F1399" s="675">
        <v>0.33</v>
      </c>
      <c r="G1399" s="676">
        <v>288</v>
      </c>
      <c r="H1399" s="929">
        <v>0</v>
      </c>
      <c r="I1399" s="929">
        <v>287</v>
      </c>
      <c r="J1399" s="689">
        <f t="shared" si="22"/>
        <v>1</v>
      </c>
    </row>
    <row r="1400" spans="1:10" ht="12.75" customHeight="1" x14ac:dyDescent="0.2">
      <c r="A1400" s="681" t="s">
        <v>2370</v>
      </c>
      <c r="B1400" s="693" t="s">
        <v>3968</v>
      </c>
      <c r="C1400" s="672" t="s">
        <v>736</v>
      </c>
      <c r="D1400" s="673">
        <v>37307</v>
      </c>
      <c r="E1400" s="674">
        <v>3</v>
      </c>
      <c r="F1400" s="675">
        <v>0.33</v>
      </c>
      <c r="G1400" s="676">
        <v>288</v>
      </c>
      <c r="H1400" s="929">
        <v>0</v>
      </c>
      <c r="I1400" s="929">
        <v>287</v>
      </c>
      <c r="J1400" s="689">
        <f t="shared" si="22"/>
        <v>1</v>
      </c>
    </row>
    <row r="1401" spans="1:10" ht="12.75" customHeight="1" x14ac:dyDescent="0.2">
      <c r="A1401" s="681" t="s">
        <v>2370</v>
      </c>
      <c r="B1401" s="693" t="s">
        <v>3969</v>
      </c>
      <c r="C1401" s="672" t="s">
        <v>736</v>
      </c>
      <c r="D1401" s="673">
        <v>37307</v>
      </c>
      <c r="E1401" s="674">
        <v>3</v>
      </c>
      <c r="F1401" s="675">
        <v>0.33</v>
      </c>
      <c r="G1401" s="676">
        <v>288</v>
      </c>
      <c r="H1401" s="929">
        <v>0</v>
      </c>
      <c r="I1401" s="929">
        <v>287</v>
      </c>
      <c r="J1401" s="689">
        <f t="shared" si="22"/>
        <v>1</v>
      </c>
    </row>
    <row r="1402" spans="1:10" ht="12.75" customHeight="1" x14ac:dyDescent="0.2">
      <c r="A1402" s="681" t="s">
        <v>2370</v>
      </c>
      <c r="B1402" s="693" t="s">
        <v>3970</v>
      </c>
      <c r="C1402" s="672" t="s">
        <v>736</v>
      </c>
      <c r="D1402" s="673">
        <v>39498</v>
      </c>
      <c r="E1402" s="674">
        <v>3</v>
      </c>
      <c r="F1402" s="675">
        <v>0.33</v>
      </c>
      <c r="G1402" s="676">
        <v>288</v>
      </c>
      <c r="H1402" s="929">
        <v>0</v>
      </c>
      <c r="I1402" s="929">
        <v>287</v>
      </c>
      <c r="J1402" s="689">
        <f t="shared" si="22"/>
        <v>1</v>
      </c>
    </row>
    <row r="1403" spans="1:10" ht="12.75" customHeight="1" x14ac:dyDescent="0.2">
      <c r="A1403" s="681" t="s">
        <v>2370</v>
      </c>
      <c r="B1403" s="693" t="s">
        <v>3971</v>
      </c>
      <c r="C1403" s="672" t="s">
        <v>813</v>
      </c>
      <c r="D1403" s="673">
        <v>36211</v>
      </c>
      <c r="E1403" s="674">
        <v>10</v>
      </c>
      <c r="F1403" s="675">
        <v>0.1</v>
      </c>
      <c r="G1403" s="676">
        <v>289</v>
      </c>
      <c r="H1403" s="929">
        <v>0</v>
      </c>
      <c r="I1403" s="929">
        <v>288</v>
      </c>
      <c r="J1403" s="689">
        <f t="shared" si="22"/>
        <v>1</v>
      </c>
    </row>
    <row r="1404" spans="1:10" ht="12.75" customHeight="1" x14ac:dyDescent="0.2">
      <c r="A1404" s="681" t="s">
        <v>2372</v>
      </c>
      <c r="B1404" s="693" t="s">
        <v>3972</v>
      </c>
      <c r="C1404" s="672" t="s">
        <v>1070</v>
      </c>
      <c r="D1404" s="673">
        <v>36211</v>
      </c>
      <c r="E1404" s="674">
        <v>10</v>
      </c>
      <c r="F1404" s="675">
        <v>0.1</v>
      </c>
      <c r="G1404" s="676">
        <v>289</v>
      </c>
      <c r="H1404" s="929">
        <v>0</v>
      </c>
      <c r="I1404" s="929">
        <v>288</v>
      </c>
      <c r="J1404" s="689">
        <f t="shared" si="22"/>
        <v>1</v>
      </c>
    </row>
    <row r="1405" spans="1:10" ht="12.75" customHeight="1" x14ac:dyDescent="0.2">
      <c r="A1405" s="681" t="s">
        <v>2370</v>
      </c>
      <c r="B1405" s="693" t="s">
        <v>3973</v>
      </c>
      <c r="C1405" s="672" t="s">
        <v>785</v>
      </c>
      <c r="D1405" s="673">
        <v>36211</v>
      </c>
      <c r="E1405" s="674">
        <v>10</v>
      </c>
      <c r="F1405" s="675">
        <v>0.1</v>
      </c>
      <c r="G1405" s="676">
        <v>299</v>
      </c>
      <c r="H1405" s="929">
        <v>0</v>
      </c>
      <c r="I1405" s="929">
        <v>298</v>
      </c>
      <c r="J1405" s="689">
        <f t="shared" si="22"/>
        <v>1</v>
      </c>
    </row>
    <row r="1406" spans="1:10" ht="12.75" customHeight="1" x14ac:dyDescent="0.2">
      <c r="A1406" s="681" t="s">
        <v>2370</v>
      </c>
      <c r="B1406" s="693" t="s">
        <v>3974</v>
      </c>
      <c r="C1406" s="672" t="s">
        <v>785</v>
      </c>
      <c r="D1406" s="673">
        <v>36576</v>
      </c>
      <c r="E1406" s="674">
        <v>10</v>
      </c>
      <c r="F1406" s="675">
        <v>0.1</v>
      </c>
      <c r="G1406" s="676">
        <v>299</v>
      </c>
      <c r="H1406" s="929">
        <v>0</v>
      </c>
      <c r="I1406" s="929">
        <v>298</v>
      </c>
      <c r="J1406" s="689">
        <f t="shared" si="22"/>
        <v>1</v>
      </c>
    </row>
    <row r="1407" spans="1:10" ht="12.75" customHeight="1" x14ac:dyDescent="0.2">
      <c r="A1407" s="681" t="s">
        <v>2370</v>
      </c>
      <c r="B1407" s="693" t="s">
        <v>3975</v>
      </c>
      <c r="C1407" s="672" t="s">
        <v>785</v>
      </c>
      <c r="D1407" s="673">
        <v>36211</v>
      </c>
      <c r="E1407" s="674">
        <v>10</v>
      </c>
      <c r="F1407" s="675">
        <v>0.1</v>
      </c>
      <c r="G1407" s="676">
        <v>299</v>
      </c>
      <c r="H1407" s="929">
        <v>0</v>
      </c>
      <c r="I1407" s="929">
        <v>298</v>
      </c>
      <c r="J1407" s="689">
        <f t="shared" si="22"/>
        <v>1</v>
      </c>
    </row>
    <row r="1408" spans="1:10" ht="12.75" customHeight="1" x14ac:dyDescent="0.2">
      <c r="A1408" s="681" t="s">
        <v>2370</v>
      </c>
      <c r="B1408" s="693" t="s">
        <v>3976</v>
      </c>
      <c r="C1408" s="672" t="s">
        <v>785</v>
      </c>
      <c r="D1408" s="673">
        <v>36211</v>
      </c>
      <c r="E1408" s="674">
        <v>10</v>
      </c>
      <c r="F1408" s="675">
        <v>0.1</v>
      </c>
      <c r="G1408" s="676">
        <v>299</v>
      </c>
      <c r="H1408" s="929">
        <v>0</v>
      </c>
      <c r="I1408" s="929">
        <v>298</v>
      </c>
      <c r="J1408" s="689">
        <f t="shared" si="22"/>
        <v>1</v>
      </c>
    </row>
    <row r="1409" spans="1:10" ht="12.75" customHeight="1" x14ac:dyDescent="0.2">
      <c r="A1409" s="681" t="s">
        <v>2370</v>
      </c>
      <c r="B1409" s="693" t="s">
        <v>3977</v>
      </c>
      <c r="C1409" s="672" t="s">
        <v>785</v>
      </c>
      <c r="D1409" s="673">
        <v>36211</v>
      </c>
      <c r="E1409" s="674">
        <v>10</v>
      </c>
      <c r="F1409" s="675">
        <v>0.1</v>
      </c>
      <c r="G1409" s="676">
        <v>299</v>
      </c>
      <c r="H1409" s="929">
        <v>0</v>
      </c>
      <c r="I1409" s="929">
        <v>298</v>
      </c>
      <c r="J1409" s="689">
        <f t="shared" si="22"/>
        <v>1</v>
      </c>
    </row>
    <row r="1410" spans="1:10" ht="12.75" customHeight="1" x14ac:dyDescent="0.2">
      <c r="A1410" s="681" t="s">
        <v>2370</v>
      </c>
      <c r="B1410" s="693" t="s">
        <v>3978</v>
      </c>
      <c r="C1410" s="672" t="s">
        <v>785</v>
      </c>
      <c r="D1410" s="673">
        <v>36211</v>
      </c>
      <c r="E1410" s="674">
        <v>10</v>
      </c>
      <c r="F1410" s="675">
        <v>0.1</v>
      </c>
      <c r="G1410" s="676">
        <v>299</v>
      </c>
      <c r="H1410" s="929">
        <v>0</v>
      </c>
      <c r="I1410" s="929">
        <v>298</v>
      </c>
      <c r="J1410" s="689">
        <f t="shared" si="22"/>
        <v>1</v>
      </c>
    </row>
    <row r="1411" spans="1:10" ht="12.75" customHeight="1" x14ac:dyDescent="0.2">
      <c r="A1411" s="681" t="s">
        <v>2370</v>
      </c>
      <c r="B1411" s="693" t="s">
        <v>3979</v>
      </c>
      <c r="C1411" s="672" t="s">
        <v>785</v>
      </c>
      <c r="D1411" s="673">
        <v>36211</v>
      </c>
      <c r="E1411" s="674">
        <v>10</v>
      </c>
      <c r="F1411" s="675">
        <v>0.1</v>
      </c>
      <c r="G1411" s="676">
        <v>299</v>
      </c>
      <c r="H1411" s="929">
        <v>0</v>
      </c>
      <c r="I1411" s="929">
        <v>298</v>
      </c>
      <c r="J1411" s="689">
        <f t="shared" si="22"/>
        <v>1</v>
      </c>
    </row>
    <row r="1412" spans="1:10" ht="12.75" customHeight="1" x14ac:dyDescent="0.2">
      <c r="A1412" s="681" t="s">
        <v>2370</v>
      </c>
      <c r="B1412" s="693" t="s">
        <v>3980</v>
      </c>
      <c r="C1412" s="672" t="s">
        <v>785</v>
      </c>
      <c r="D1412" s="673">
        <v>36211</v>
      </c>
      <c r="E1412" s="674">
        <v>10</v>
      </c>
      <c r="F1412" s="675">
        <v>0.1</v>
      </c>
      <c r="G1412" s="676">
        <v>299</v>
      </c>
      <c r="H1412" s="929">
        <v>0</v>
      </c>
      <c r="I1412" s="929">
        <v>298</v>
      </c>
      <c r="J1412" s="689">
        <f t="shared" si="22"/>
        <v>1</v>
      </c>
    </row>
    <row r="1413" spans="1:10" ht="12.75" customHeight="1" x14ac:dyDescent="0.2">
      <c r="A1413" s="681" t="s">
        <v>2370</v>
      </c>
      <c r="B1413" s="693" t="s">
        <v>3981</v>
      </c>
      <c r="C1413" s="672" t="s">
        <v>736</v>
      </c>
      <c r="D1413" s="673">
        <v>39498</v>
      </c>
      <c r="E1413" s="674">
        <v>3</v>
      </c>
      <c r="F1413" s="675">
        <v>0.33</v>
      </c>
      <c r="G1413" s="676">
        <v>300</v>
      </c>
      <c r="H1413" s="929">
        <v>0</v>
      </c>
      <c r="I1413" s="929">
        <v>299</v>
      </c>
      <c r="J1413" s="689">
        <f t="shared" si="22"/>
        <v>1</v>
      </c>
    </row>
    <row r="1414" spans="1:10" ht="12.75" customHeight="1" x14ac:dyDescent="0.2">
      <c r="A1414" s="681" t="s">
        <v>2370</v>
      </c>
      <c r="B1414" s="693" t="s">
        <v>3982</v>
      </c>
      <c r="C1414" s="672" t="s">
        <v>785</v>
      </c>
      <c r="D1414" s="673">
        <v>37307</v>
      </c>
      <c r="E1414" s="674">
        <v>10</v>
      </c>
      <c r="F1414" s="675">
        <v>0.1</v>
      </c>
      <c r="G1414" s="676">
        <v>304</v>
      </c>
      <c r="H1414" s="929">
        <v>0</v>
      </c>
      <c r="I1414" s="929">
        <v>303</v>
      </c>
      <c r="J1414" s="689">
        <f t="shared" si="22"/>
        <v>1</v>
      </c>
    </row>
    <row r="1415" spans="1:10" ht="12.75" customHeight="1" x14ac:dyDescent="0.2">
      <c r="A1415" s="681" t="s">
        <v>2370</v>
      </c>
      <c r="B1415" s="693" t="s">
        <v>3983</v>
      </c>
      <c r="C1415" s="672" t="s">
        <v>785</v>
      </c>
      <c r="D1415" s="673">
        <v>37307</v>
      </c>
      <c r="E1415" s="674">
        <v>10</v>
      </c>
      <c r="F1415" s="675">
        <v>0.1</v>
      </c>
      <c r="G1415" s="676">
        <v>304</v>
      </c>
      <c r="H1415" s="929">
        <v>0</v>
      </c>
      <c r="I1415" s="929">
        <v>303</v>
      </c>
      <c r="J1415" s="689">
        <f t="shared" ref="J1415:J1478" si="23">G1415-I1415</f>
        <v>1</v>
      </c>
    </row>
    <row r="1416" spans="1:10" ht="12.75" customHeight="1" x14ac:dyDescent="0.2">
      <c r="A1416" s="681" t="s">
        <v>2370</v>
      </c>
      <c r="B1416" s="693" t="s">
        <v>3984</v>
      </c>
      <c r="C1416" s="672" t="s">
        <v>785</v>
      </c>
      <c r="D1416" s="673">
        <v>37307</v>
      </c>
      <c r="E1416" s="674">
        <v>10</v>
      </c>
      <c r="F1416" s="675">
        <v>0.1</v>
      </c>
      <c r="G1416" s="676">
        <v>304</v>
      </c>
      <c r="H1416" s="929">
        <v>0</v>
      </c>
      <c r="I1416" s="929">
        <v>303</v>
      </c>
      <c r="J1416" s="689">
        <f t="shared" si="23"/>
        <v>1</v>
      </c>
    </row>
    <row r="1417" spans="1:10" ht="12.75" customHeight="1" x14ac:dyDescent="0.2">
      <c r="A1417" s="681" t="s">
        <v>2370</v>
      </c>
      <c r="B1417" s="693" t="s">
        <v>3985</v>
      </c>
      <c r="C1417" s="672" t="s">
        <v>785</v>
      </c>
      <c r="D1417" s="673">
        <v>37307</v>
      </c>
      <c r="E1417" s="674">
        <v>10</v>
      </c>
      <c r="F1417" s="675">
        <v>0.1</v>
      </c>
      <c r="G1417" s="676">
        <v>304</v>
      </c>
      <c r="H1417" s="929">
        <v>0</v>
      </c>
      <c r="I1417" s="929">
        <v>303</v>
      </c>
      <c r="J1417" s="689">
        <f t="shared" si="23"/>
        <v>1</v>
      </c>
    </row>
    <row r="1418" spans="1:10" ht="12.75" customHeight="1" x14ac:dyDescent="0.2">
      <c r="A1418" s="681" t="s">
        <v>2370</v>
      </c>
      <c r="B1418" s="693" t="s">
        <v>3986</v>
      </c>
      <c r="C1418" s="672" t="s">
        <v>785</v>
      </c>
      <c r="D1418" s="673">
        <v>36942</v>
      </c>
      <c r="E1418" s="674">
        <v>10</v>
      </c>
      <c r="F1418" s="675">
        <v>0.1</v>
      </c>
      <c r="G1418" s="676">
        <v>310</v>
      </c>
      <c r="H1418" s="929">
        <v>0</v>
      </c>
      <c r="I1418" s="929">
        <v>309</v>
      </c>
      <c r="J1418" s="689">
        <f t="shared" si="23"/>
        <v>1</v>
      </c>
    </row>
    <row r="1419" spans="1:10" ht="12.75" customHeight="1" x14ac:dyDescent="0.2">
      <c r="A1419" s="681" t="s">
        <v>2370</v>
      </c>
      <c r="B1419" s="693" t="s">
        <v>3987</v>
      </c>
      <c r="C1419" s="672" t="s">
        <v>863</v>
      </c>
      <c r="D1419" s="673">
        <v>37307</v>
      </c>
      <c r="E1419" s="674">
        <v>10</v>
      </c>
      <c r="F1419" s="675">
        <v>0.1</v>
      </c>
      <c r="G1419" s="676">
        <v>310</v>
      </c>
      <c r="H1419" s="929">
        <v>0</v>
      </c>
      <c r="I1419" s="929">
        <v>309</v>
      </c>
      <c r="J1419" s="689">
        <f t="shared" si="23"/>
        <v>1</v>
      </c>
    </row>
    <row r="1420" spans="1:10" ht="12.75" customHeight="1" x14ac:dyDescent="0.2">
      <c r="A1420" s="681" t="s">
        <v>2372</v>
      </c>
      <c r="B1420" s="693" t="s">
        <v>3988</v>
      </c>
      <c r="C1420" s="672" t="s">
        <v>895</v>
      </c>
      <c r="D1420" s="673">
        <v>40594</v>
      </c>
      <c r="E1420" s="674">
        <v>3</v>
      </c>
      <c r="F1420" s="675">
        <v>0.33</v>
      </c>
      <c r="G1420" s="676">
        <v>314</v>
      </c>
      <c r="H1420" s="929">
        <v>0</v>
      </c>
      <c r="I1420" s="929">
        <v>313</v>
      </c>
      <c r="J1420" s="689">
        <f t="shared" si="23"/>
        <v>1</v>
      </c>
    </row>
    <row r="1421" spans="1:10" ht="12.75" customHeight="1" x14ac:dyDescent="0.2">
      <c r="A1421" s="681" t="s">
        <v>2370</v>
      </c>
      <c r="B1421" s="693" t="s">
        <v>3989</v>
      </c>
      <c r="C1421" s="672" t="s">
        <v>785</v>
      </c>
      <c r="D1421" s="673">
        <v>37307</v>
      </c>
      <c r="E1421" s="674">
        <v>10</v>
      </c>
      <c r="F1421" s="675">
        <v>0.1</v>
      </c>
      <c r="G1421" s="676">
        <v>316</v>
      </c>
      <c r="H1421" s="929">
        <v>0</v>
      </c>
      <c r="I1421" s="929">
        <v>315</v>
      </c>
      <c r="J1421" s="689">
        <f t="shared" si="23"/>
        <v>1</v>
      </c>
    </row>
    <row r="1422" spans="1:10" ht="12.75" customHeight="1" x14ac:dyDescent="0.2">
      <c r="A1422" s="681" t="s">
        <v>2370</v>
      </c>
      <c r="B1422" s="693" t="s">
        <v>3990</v>
      </c>
      <c r="C1422" s="672" t="s">
        <v>785</v>
      </c>
      <c r="D1422" s="673">
        <v>37307</v>
      </c>
      <c r="E1422" s="674">
        <v>10</v>
      </c>
      <c r="F1422" s="675">
        <v>0.1</v>
      </c>
      <c r="G1422" s="676">
        <v>316</v>
      </c>
      <c r="H1422" s="929">
        <v>0</v>
      </c>
      <c r="I1422" s="929">
        <v>315</v>
      </c>
      <c r="J1422" s="689">
        <f t="shared" si="23"/>
        <v>1</v>
      </c>
    </row>
    <row r="1423" spans="1:10" ht="12.75" customHeight="1" x14ac:dyDescent="0.2">
      <c r="A1423" s="681" t="s">
        <v>2370</v>
      </c>
      <c r="B1423" s="693" t="s">
        <v>3991</v>
      </c>
      <c r="C1423" s="672" t="s">
        <v>785</v>
      </c>
      <c r="D1423" s="673">
        <v>37307</v>
      </c>
      <c r="E1423" s="674">
        <v>10</v>
      </c>
      <c r="F1423" s="675">
        <v>0.1</v>
      </c>
      <c r="G1423" s="676">
        <v>316</v>
      </c>
      <c r="H1423" s="929">
        <v>0</v>
      </c>
      <c r="I1423" s="929">
        <v>315</v>
      </c>
      <c r="J1423" s="689">
        <f t="shared" si="23"/>
        <v>1</v>
      </c>
    </row>
    <row r="1424" spans="1:10" ht="12.75" customHeight="1" x14ac:dyDescent="0.2">
      <c r="A1424" s="681" t="s">
        <v>2370</v>
      </c>
      <c r="B1424" s="693" t="s">
        <v>3992</v>
      </c>
      <c r="C1424" s="672" t="s">
        <v>785</v>
      </c>
      <c r="D1424" s="673">
        <v>37307</v>
      </c>
      <c r="E1424" s="674">
        <v>10</v>
      </c>
      <c r="F1424" s="675">
        <v>0.1</v>
      </c>
      <c r="G1424" s="676">
        <v>316</v>
      </c>
      <c r="H1424" s="929">
        <v>0</v>
      </c>
      <c r="I1424" s="929">
        <v>315</v>
      </c>
      <c r="J1424" s="689">
        <f t="shared" si="23"/>
        <v>1</v>
      </c>
    </row>
    <row r="1425" spans="1:10" ht="12.75" customHeight="1" x14ac:dyDescent="0.2">
      <c r="A1425" s="681" t="s">
        <v>2370</v>
      </c>
      <c r="B1425" s="693" t="s">
        <v>3993</v>
      </c>
      <c r="C1425" s="672" t="s">
        <v>785</v>
      </c>
      <c r="D1425" s="673">
        <v>37307</v>
      </c>
      <c r="E1425" s="674">
        <v>10</v>
      </c>
      <c r="F1425" s="675">
        <v>0.1</v>
      </c>
      <c r="G1425" s="676">
        <v>316</v>
      </c>
      <c r="H1425" s="929">
        <v>0</v>
      </c>
      <c r="I1425" s="929">
        <v>315</v>
      </c>
      <c r="J1425" s="689">
        <f t="shared" si="23"/>
        <v>1</v>
      </c>
    </row>
    <row r="1426" spans="1:10" ht="12.75" customHeight="1" x14ac:dyDescent="0.2">
      <c r="A1426" s="681" t="s">
        <v>2370</v>
      </c>
      <c r="B1426" s="693" t="s">
        <v>3994</v>
      </c>
      <c r="C1426" s="672" t="s">
        <v>785</v>
      </c>
      <c r="D1426" s="673">
        <v>37307</v>
      </c>
      <c r="E1426" s="674">
        <v>10</v>
      </c>
      <c r="F1426" s="675">
        <v>0.1</v>
      </c>
      <c r="G1426" s="676">
        <v>316</v>
      </c>
      <c r="H1426" s="929">
        <v>0</v>
      </c>
      <c r="I1426" s="929">
        <v>315</v>
      </c>
      <c r="J1426" s="689">
        <f t="shared" si="23"/>
        <v>1</v>
      </c>
    </row>
    <row r="1427" spans="1:10" ht="12.75" customHeight="1" x14ac:dyDescent="0.2">
      <c r="A1427" s="681" t="s">
        <v>2370</v>
      </c>
      <c r="B1427" s="693" t="s">
        <v>3995</v>
      </c>
      <c r="C1427" s="672" t="s">
        <v>912</v>
      </c>
      <c r="D1427" s="673">
        <v>36211</v>
      </c>
      <c r="E1427" s="674">
        <v>3</v>
      </c>
      <c r="F1427" s="675">
        <v>0.33</v>
      </c>
      <c r="G1427" s="676">
        <v>321</v>
      </c>
      <c r="H1427" s="929">
        <v>0</v>
      </c>
      <c r="I1427" s="929">
        <v>320</v>
      </c>
      <c r="J1427" s="689">
        <f t="shared" si="23"/>
        <v>1</v>
      </c>
    </row>
    <row r="1428" spans="1:10" ht="12.75" customHeight="1" x14ac:dyDescent="0.2">
      <c r="A1428" s="681" t="s">
        <v>2370</v>
      </c>
      <c r="B1428" s="693" t="s">
        <v>3996</v>
      </c>
      <c r="C1428" s="672" t="s">
        <v>785</v>
      </c>
      <c r="D1428" s="673">
        <v>36211</v>
      </c>
      <c r="E1428" s="674">
        <v>10</v>
      </c>
      <c r="F1428" s="675">
        <v>0.1</v>
      </c>
      <c r="G1428" s="676">
        <v>328</v>
      </c>
      <c r="H1428" s="929">
        <v>0</v>
      </c>
      <c r="I1428" s="929">
        <v>327</v>
      </c>
      <c r="J1428" s="689">
        <f t="shared" si="23"/>
        <v>1</v>
      </c>
    </row>
    <row r="1429" spans="1:10" ht="12.75" customHeight="1" x14ac:dyDescent="0.2">
      <c r="A1429" s="681" t="s">
        <v>2370</v>
      </c>
      <c r="B1429" s="693" t="s">
        <v>3997</v>
      </c>
      <c r="C1429" s="672" t="s">
        <v>785</v>
      </c>
      <c r="D1429" s="673">
        <v>36211</v>
      </c>
      <c r="E1429" s="674">
        <v>10</v>
      </c>
      <c r="F1429" s="675">
        <v>0.1</v>
      </c>
      <c r="G1429" s="676">
        <v>328</v>
      </c>
      <c r="H1429" s="929">
        <v>0</v>
      </c>
      <c r="I1429" s="929">
        <v>327</v>
      </c>
      <c r="J1429" s="689">
        <f t="shared" si="23"/>
        <v>1</v>
      </c>
    </row>
    <row r="1430" spans="1:10" ht="12.75" customHeight="1" x14ac:dyDescent="0.2">
      <c r="A1430" s="681" t="s">
        <v>2370</v>
      </c>
      <c r="B1430" s="693" t="s">
        <v>3998</v>
      </c>
      <c r="C1430" s="672" t="s">
        <v>785</v>
      </c>
      <c r="D1430" s="673">
        <v>36211</v>
      </c>
      <c r="E1430" s="674">
        <v>10</v>
      </c>
      <c r="F1430" s="675">
        <v>0.1</v>
      </c>
      <c r="G1430" s="676">
        <v>328</v>
      </c>
      <c r="H1430" s="929">
        <v>0</v>
      </c>
      <c r="I1430" s="929">
        <v>327</v>
      </c>
      <c r="J1430" s="689">
        <f t="shared" si="23"/>
        <v>1</v>
      </c>
    </row>
    <row r="1431" spans="1:10" ht="12.75" customHeight="1" x14ac:dyDescent="0.2">
      <c r="A1431" s="681" t="s">
        <v>2370</v>
      </c>
      <c r="B1431" s="693" t="s">
        <v>3999</v>
      </c>
      <c r="C1431" s="672" t="s">
        <v>785</v>
      </c>
      <c r="D1431" s="673">
        <v>36211</v>
      </c>
      <c r="E1431" s="674">
        <v>10</v>
      </c>
      <c r="F1431" s="675">
        <v>0.1</v>
      </c>
      <c r="G1431" s="676">
        <v>328</v>
      </c>
      <c r="H1431" s="929">
        <v>0</v>
      </c>
      <c r="I1431" s="929">
        <v>327</v>
      </c>
      <c r="J1431" s="689">
        <f t="shared" si="23"/>
        <v>1</v>
      </c>
    </row>
    <row r="1432" spans="1:10" ht="12.75" customHeight="1" x14ac:dyDescent="0.2">
      <c r="A1432" s="681" t="s">
        <v>2370</v>
      </c>
      <c r="B1432" s="693" t="s">
        <v>4000</v>
      </c>
      <c r="C1432" s="672" t="s">
        <v>785</v>
      </c>
      <c r="D1432" s="673">
        <v>38037</v>
      </c>
      <c r="E1432" s="674">
        <v>10</v>
      </c>
      <c r="F1432" s="675">
        <v>0.1</v>
      </c>
      <c r="G1432" s="676">
        <v>331</v>
      </c>
      <c r="H1432" s="929">
        <v>0</v>
      </c>
      <c r="I1432" s="929">
        <v>330</v>
      </c>
      <c r="J1432" s="689">
        <f t="shared" si="23"/>
        <v>1</v>
      </c>
    </row>
    <row r="1433" spans="1:10" ht="12.75" customHeight="1" x14ac:dyDescent="0.2">
      <c r="A1433" s="681" t="s">
        <v>2370</v>
      </c>
      <c r="B1433" s="693" t="s">
        <v>4001</v>
      </c>
      <c r="C1433" s="672" t="s">
        <v>785</v>
      </c>
      <c r="D1433" s="673">
        <v>38037</v>
      </c>
      <c r="E1433" s="674">
        <v>10</v>
      </c>
      <c r="F1433" s="675">
        <v>0.1</v>
      </c>
      <c r="G1433" s="676">
        <v>331</v>
      </c>
      <c r="H1433" s="929">
        <v>0</v>
      </c>
      <c r="I1433" s="929">
        <v>330</v>
      </c>
      <c r="J1433" s="689">
        <f t="shared" si="23"/>
        <v>1</v>
      </c>
    </row>
    <row r="1434" spans="1:10" ht="12.75" customHeight="1" x14ac:dyDescent="0.2">
      <c r="A1434" s="681" t="s">
        <v>2370</v>
      </c>
      <c r="B1434" s="693" t="s">
        <v>4002</v>
      </c>
      <c r="C1434" s="672" t="s">
        <v>785</v>
      </c>
      <c r="D1434" s="673">
        <v>38037</v>
      </c>
      <c r="E1434" s="674">
        <v>10</v>
      </c>
      <c r="F1434" s="675">
        <v>0.1</v>
      </c>
      <c r="G1434" s="676">
        <v>331</v>
      </c>
      <c r="H1434" s="929">
        <v>0</v>
      </c>
      <c r="I1434" s="929">
        <v>330</v>
      </c>
      <c r="J1434" s="689">
        <f t="shared" si="23"/>
        <v>1</v>
      </c>
    </row>
    <row r="1435" spans="1:10" ht="12.75" customHeight="1" x14ac:dyDescent="0.2">
      <c r="A1435" s="681" t="s">
        <v>2370</v>
      </c>
      <c r="B1435" s="693" t="s">
        <v>4003</v>
      </c>
      <c r="C1435" s="672" t="s">
        <v>785</v>
      </c>
      <c r="D1435" s="673">
        <v>38037</v>
      </c>
      <c r="E1435" s="674">
        <v>10</v>
      </c>
      <c r="F1435" s="675">
        <v>0.1</v>
      </c>
      <c r="G1435" s="676">
        <v>331</v>
      </c>
      <c r="H1435" s="929">
        <v>0</v>
      </c>
      <c r="I1435" s="929">
        <v>330</v>
      </c>
      <c r="J1435" s="689">
        <f t="shared" si="23"/>
        <v>1</v>
      </c>
    </row>
    <row r="1436" spans="1:10" ht="12.75" customHeight="1" x14ac:dyDescent="0.2">
      <c r="A1436" s="681" t="s">
        <v>2370</v>
      </c>
      <c r="B1436" s="693" t="s">
        <v>4004</v>
      </c>
      <c r="C1436" s="672" t="s">
        <v>785</v>
      </c>
      <c r="D1436" s="673">
        <v>36576</v>
      </c>
      <c r="E1436" s="674">
        <v>10</v>
      </c>
      <c r="F1436" s="675">
        <v>0.1</v>
      </c>
      <c r="G1436" s="676">
        <v>334</v>
      </c>
      <c r="H1436" s="929">
        <v>0</v>
      </c>
      <c r="I1436" s="929">
        <v>333</v>
      </c>
      <c r="J1436" s="689">
        <f t="shared" si="23"/>
        <v>1</v>
      </c>
    </row>
    <row r="1437" spans="1:10" ht="12.75" customHeight="1" x14ac:dyDescent="0.2">
      <c r="A1437" s="681" t="s">
        <v>2370</v>
      </c>
      <c r="B1437" s="693" t="s">
        <v>4005</v>
      </c>
      <c r="C1437" s="672" t="s">
        <v>785</v>
      </c>
      <c r="D1437" s="673">
        <v>36576</v>
      </c>
      <c r="E1437" s="674">
        <v>10</v>
      </c>
      <c r="F1437" s="675">
        <v>0.1</v>
      </c>
      <c r="G1437" s="676">
        <v>334</v>
      </c>
      <c r="H1437" s="929">
        <v>0</v>
      </c>
      <c r="I1437" s="929">
        <v>333</v>
      </c>
      <c r="J1437" s="689">
        <f t="shared" si="23"/>
        <v>1</v>
      </c>
    </row>
    <row r="1438" spans="1:10" ht="12.75" customHeight="1" x14ac:dyDescent="0.2">
      <c r="A1438" s="681" t="s">
        <v>2370</v>
      </c>
      <c r="B1438" s="693" t="s">
        <v>4006</v>
      </c>
      <c r="C1438" s="672" t="s">
        <v>785</v>
      </c>
      <c r="D1438" s="673">
        <v>37307</v>
      </c>
      <c r="E1438" s="674">
        <v>10</v>
      </c>
      <c r="F1438" s="675">
        <v>0.1</v>
      </c>
      <c r="G1438" s="676">
        <v>334</v>
      </c>
      <c r="H1438" s="929">
        <v>0</v>
      </c>
      <c r="I1438" s="929">
        <v>333</v>
      </c>
      <c r="J1438" s="689">
        <f t="shared" si="23"/>
        <v>1</v>
      </c>
    </row>
    <row r="1439" spans="1:10" ht="12.75" customHeight="1" x14ac:dyDescent="0.2">
      <c r="A1439" s="681" t="s">
        <v>2370</v>
      </c>
      <c r="B1439" s="693" t="s">
        <v>4007</v>
      </c>
      <c r="C1439" s="672" t="s">
        <v>785</v>
      </c>
      <c r="D1439" s="673">
        <v>36576</v>
      </c>
      <c r="E1439" s="674">
        <v>10</v>
      </c>
      <c r="F1439" s="675">
        <v>0.1</v>
      </c>
      <c r="G1439" s="676">
        <v>334</v>
      </c>
      <c r="H1439" s="929">
        <v>0</v>
      </c>
      <c r="I1439" s="929">
        <v>333</v>
      </c>
      <c r="J1439" s="689">
        <f t="shared" si="23"/>
        <v>1</v>
      </c>
    </row>
    <row r="1440" spans="1:10" ht="12.75" customHeight="1" x14ac:dyDescent="0.2">
      <c r="A1440" s="681" t="s">
        <v>2370</v>
      </c>
      <c r="B1440" s="693" t="s">
        <v>4008</v>
      </c>
      <c r="C1440" s="672" t="s">
        <v>785</v>
      </c>
      <c r="D1440" s="673">
        <v>36576</v>
      </c>
      <c r="E1440" s="674">
        <v>10</v>
      </c>
      <c r="F1440" s="675">
        <v>0.1</v>
      </c>
      <c r="G1440" s="676">
        <v>334</v>
      </c>
      <c r="H1440" s="929">
        <v>0</v>
      </c>
      <c r="I1440" s="929">
        <v>333</v>
      </c>
      <c r="J1440" s="689">
        <f t="shared" si="23"/>
        <v>1</v>
      </c>
    </row>
    <row r="1441" spans="1:10" ht="12.75" customHeight="1" x14ac:dyDescent="0.2">
      <c r="A1441" s="681" t="s">
        <v>2370</v>
      </c>
      <c r="B1441" s="693" t="s">
        <v>4009</v>
      </c>
      <c r="C1441" s="672" t="s">
        <v>785</v>
      </c>
      <c r="D1441" s="673">
        <v>36576</v>
      </c>
      <c r="E1441" s="674">
        <v>10</v>
      </c>
      <c r="F1441" s="675">
        <v>0.1</v>
      </c>
      <c r="G1441" s="676">
        <v>334</v>
      </c>
      <c r="H1441" s="929">
        <v>0</v>
      </c>
      <c r="I1441" s="929">
        <v>333</v>
      </c>
      <c r="J1441" s="689">
        <f t="shared" si="23"/>
        <v>1</v>
      </c>
    </row>
    <row r="1442" spans="1:10" ht="12.75" customHeight="1" x14ac:dyDescent="0.2">
      <c r="A1442" s="681" t="s">
        <v>2370</v>
      </c>
      <c r="B1442" s="693" t="s">
        <v>4010</v>
      </c>
      <c r="C1442" s="672" t="s">
        <v>785</v>
      </c>
      <c r="D1442" s="673">
        <v>36576</v>
      </c>
      <c r="E1442" s="674">
        <v>10</v>
      </c>
      <c r="F1442" s="675">
        <v>0.1</v>
      </c>
      <c r="G1442" s="676">
        <v>334</v>
      </c>
      <c r="H1442" s="929">
        <v>0</v>
      </c>
      <c r="I1442" s="929">
        <v>333</v>
      </c>
      <c r="J1442" s="689">
        <f t="shared" si="23"/>
        <v>1</v>
      </c>
    </row>
    <row r="1443" spans="1:10" ht="12.75" customHeight="1" x14ac:dyDescent="0.2">
      <c r="A1443" s="681" t="s">
        <v>2370</v>
      </c>
      <c r="B1443" s="693" t="s">
        <v>4011</v>
      </c>
      <c r="C1443" s="672" t="s">
        <v>785</v>
      </c>
      <c r="D1443" s="673">
        <v>36576</v>
      </c>
      <c r="E1443" s="674">
        <v>10</v>
      </c>
      <c r="F1443" s="675">
        <v>0.1</v>
      </c>
      <c r="G1443" s="676">
        <v>334</v>
      </c>
      <c r="H1443" s="929">
        <v>0</v>
      </c>
      <c r="I1443" s="929">
        <v>333</v>
      </c>
      <c r="J1443" s="689">
        <f t="shared" si="23"/>
        <v>1</v>
      </c>
    </row>
    <row r="1444" spans="1:10" ht="12.75" customHeight="1" x14ac:dyDescent="0.2">
      <c r="A1444" s="681" t="s">
        <v>2370</v>
      </c>
      <c r="B1444" s="693" t="s">
        <v>4012</v>
      </c>
      <c r="C1444" s="672" t="s">
        <v>785</v>
      </c>
      <c r="D1444" s="673">
        <v>36576</v>
      </c>
      <c r="E1444" s="674">
        <v>10</v>
      </c>
      <c r="F1444" s="675">
        <v>0.1</v>
      </c>
      <c r="G1444" s="676">
        <v>334</v>
      </c>
      <c r="H1444" s="929">
        <v>0</v>
      </c>
      <c r="I1444" s="929">
        <v>333</v>
      </c>
      <c r="J1444" s="689">
        <f t="shared" si="23"/>
        <v>1</v>
      </c>
    </row>
    <row r="1445" spans="1:10" ht="12.75" customHeight="1" x14ac:dyDescent="0.2">
      <c r="A1445" s="681" t="s">
        <v>2370</v>
      </c>
      <c r="B1445" s="693" t="s">
        <v>4013</v>
      </c>
      <c r="C1445" s="672" t="s">
        <v>785</v>
      </c>
      <c r="D1445" s="673">
        <v>36576</v>
      </c>
      <c r="E1445" s="674">
        <v>10</v>
      </c>
      <c r="F1445" s="675">
        <v>0.1</v>
      </c>
      <c r="G1445" s="676">
        <v>334</v>
      </c>
      <c r="H1445" s="929">
        <v>0</v>
      </c>
      <c r="I1445" s="929">
        <v>333</v>
      </c>
      <c r="J1445" s="689">
        <f t="shared" si="23"/>
        <v>1</v>
      </c>
    </row>
    <row r="1446" spans="1:10" ht="12.75" customHeight="1" x14ac:dyDescent="0.2">
      <c r="A1446" s="681" t="s">
        <v>2370</v>
      </c>
      <c r="B1446" s="693" t="s">
        <v>4014</v>
      </c>
      <c r="C1446" s="672" t="s">
        <v>785</v>
      </c>
      <c r="D1446" s="673">
        <v>36576</v>
      </c>
      <c r="E1446" s="674">
        <v>10</v>
      </c>
      <c r="F1446" s="675">
        <v>0.1</v>
      </c>
      <c r="G1446" s="676">
        <v>334</v>
      </c>
      <c r="H1446" s="929">
        <v>0</v>
      </c>
      <c r="I1446" s="929">
        <v>333</v>
      </c>
      <c r="J1446" s="689">
        <f t="shared" si="23"/>
        <v>1</v>
      </c>
    </row>
    <row r="1447" spans="1:10" ht="12.75" customHeight="1" x14ac:dyDescent="0.2">
      <c r="A1447" s="681" t="s">
        <v>2370</v>
      </c>
      <c r="B1447" s="693" t="s">
        <v>4015</v>
      </c>
      <c r="C1447" s="672" t="s">
        <v>785</v>
      </c>
      <c r="D1447" s="673">
        <v>36576</v>
      </c>
      <c r="E1447" s="674">
        <v>10</v>
      </c>
      <c r="F1447" s="675">
        <v>0.1</v>
      </c>
      <c r="G1447" s="676">
        <v>334</v>
      </c>
      <c r="H1447" s="929">
        <v>0</v>
      </c>
      <c r="I1447" s="929">
        <v>333</v>
      </c>
      <c r="J1447" s="689">
        <f t="shared" si="23"/>
        <v>1</v>
      </c>
    </row>
    <row r="1448" spans="1:10" ht="12.75" customHeight="1" x14ac:dyDescent="0.2">
      <c r="A1448" s="681" t="s">
        <v>2370</v>
      </c>
      <c r="B1448" s="693" t="s">
        <v>4016</v>
      </c>
      <c r="C1448" s="672" t="s">
        <v>785</v>
      </c>
      <c r="D1448" s="673">
        <v>36576</v>
      </c>
      <c r="E1448" s="674">
        <v>10</v>
      </c>
      <c r="F1448" s="675">
        <v>0.1</v>
      </c>
      <c r="G1448" s="676">
        <v>334</v>
      </c>
      <c r="H1448" s="929">
        <v>0</v>
      </c>
      <c r="I1448" s="929">
        <v>333</v>
      </c>
      <c r="J1448" s="689">
        <f t="shared" si="23"/>
        <v>1</v>
      </c>
    </row>
    <row r="1449" spans="1:10" ht="12.75" customHeight="1" x14ac:dyDescent="0.2">
      <c r="A1449" s="681" t="s">
        <v>2370</v>
      </c>
      <c r="B1449" s="693" t="s">
        <v>4017</v>
      </c>
      <c r="C1449" s="672" t="s">
        <v>785</v>
      </c>
      <c r="D1449" s="673">
        <v>36576</v>
      </c>
      <c r="E1449" s="674">
        <v>10</v>
      </c>
      <c r="F1449" s="675">
        <v>0.1</v>
      </c>
      <c r="G1449" s="676">
        <v>334</v>
      </c>
      <c r="H1449" s="929">
        <v>0</v>
      </c>
      <c r="I1449" s="929">
        <v>333</v>
      </c>
      <c r="J1449" s="689">
        <f t="shared" si="23"/>
        <v>1</v>
      </c>
    </row>
    <row r="1450" spans="1:10" ht="12.75" customHeight="1" x14ac:dyDescent="0.2">
      <c r="A1450" s="681" t="s">
        <v>2370</v>
      </c>
      <c r="B1450" s="693" t="s">
        <v>4018</v>
      </c>
      <c r="C1450" s="672" t="s">
        <v>785</v>
      </c>
      <c r="D1450" s="673">
        <v>36576</v>
      </c>
      <c r="E1450" s="674">
        <v>10</v>
      </c>
      <c r="F1450" s="675">
        <v>0.1</v>
      </c>
      <c r="G1450" s="676">
        <v>334</v>
      </c>
      <c r="H1450" s="929">
        <v>0</v>
      </c>
      <c r="I1450" s="929">
        <v>333</v>
      </c>
      <c r="J1450" s="689">
        <f t="shared" si="23"/>
        <v>1</v>
      </c>
    </row>
    <row r="1451" spans="1:10" ht="12.75" customHeight="1" x14ac:dyDescent="0.2">
      <c r="A1451" s="681" t="s">
        <v>2370</v>
      </c>
      <c r="B1451" s="693" t="s">
        <v>4019</v>
      </c>
      <c r="C1451" s="672" t="s">
        <v>785</v>
      </c>
      <c r="D1451" s="673">
        <v>36576</v>
      </c>
      <c r="E1451" s="674">
        <v>10</v>
      </c>
      <c r="F1451" s="675">
        <v>0.1</v>
      </c>
      <c r="G1451" s="676">
        <v>334</v>
      </c>
      <c r="H1451" s="929">
        <v>0</v>
      </c>
      <c r="I1451" s="929">
        <v>333</v>
      </c>
      <c r="J1451" s="689">
        <f t="shared" si="23"/>
        <v>1</v>
      </c>
    </row>
    <row r="1452" spans="1:10" ht="12.75" customHeight="1" x14ac:dyDescent="0.2">
      <c r="A1452" s="681" t="s">
        <v>2370</v>
      </c>
      <c r="B1452" s="693" t="s">
        <v>4020</v>
      </c>
      <c r="C1452" s="672" t="s">
        <v>785</v>
      </c>
      <c r="D1452" s="673">
        <v>36576</v>
      </c>
      <c r="E1452" s="674">
        <v>10</v>
      </c>
      <c r="F1452" s="675">
        <v>0.1</v>
      </c>
      <c r="G1452" s="676">
        <v>334</v>
      </c>
      <c r="H1452" s="929">
        <v>0</v>
      </c>
      <c r="I1452" s="929">
        <v>333</v>
      </c>
      <c r="J1452" s="689">
        <f t="shared" si="23"/>
        <v>1</v>
      </c>
    </row>
    <row r="1453" spans="1:10" ht="12.75" customHeight="1" x14ac:dyDescent="0.2">
      <c r="A1453" s="681" t="s">
        <v>2370</v>
      </c>
      <c r="B1453" s="693" t="s">
        <v>4021</v>
      </c>
      <c r="C1453" s="672" t="s">
        <v>785</v>
      </c>
      <c r="D1453" s="673">
        <v>36576</v>
      </c>
      <c r="E1453" s="674">
        <v>10</v>
      </c>
      <c r="F1453" s="675">
        <v>0.1</v>
      </c>
      <c r="G1453" s="676">
        <v>334</v>
      </c>
      <c r="H1453" s="929">
        <v>0</v>
      </c>
      <c r="I1453" s="929">
        <v>333</v>
      </c>
      <c r="J1453" s="689">
        <f t="shared" si="23"/>
        <v>1</v>
      </c>
    </row>
    <row r="1454" spans="1:10" ht="12.75" customHeight="1" x14ac:dyDescent="0.2">
      <c r="A1454" s="681" t="s">
        <v>2370</v>
      </c>
      <c r="B1454" s="693" t="s">
        <v>4022</v>
      </c>
      <c r="C1454" s="672" t="s">
        <v>785</v>
      </c>
      <c r="D1454" s="673">
        <v>36576</v>
      </c>
      <c r="E1454" s="674">
        <v>10</v>
      </c>
      <c r="F1454" s="675">
        <v>0.1</v>
      </c>
      <c r="G1454" s="676">
        <v>334</v>
      </c>
      <c r="H1454" s="929">
        <v>0</v>
      </c>
      <c r="I1454" s="929">
        <v>333</v>
      </c>
      <c r="J1454" s="689">
        <f t="shared" si="23"/>
        <v>1</v>
      </c>
    </row>
    <row r="1455" spans="1:10" ht="12.75" customHeight="1" x14ac:dyDescent="0.2">
      <c r="A1455" s="681" t="s">
        <v>2370</v>
      </c>
      <c r="B1455" s="693" t="s">
        <v>4023</v>
      </c>
      <c r="C1455" s="672" t="s">
        <v>785</v>
      </c>
      <c r="D1455" s="673">
        <v>36576</v>
      </c>
      <c r="E1455" s="674">
        <v>10</v>
      </c>
      <c r="F1455" s="675">
        <v>0.1</v>
      </c>
      <c r="G1455" s="676">
        <v>334</v>
      </c>
      <c r="H1455" s="929">
        <v>0</v>
      </c>
      <c r="I1455" s="929">
        <v>333</v>
      </c>
      <c r="J1455" s="689">
        <f t="shared" si="23"/>
        <v>1</v>
      </c>
    </row>
    <row r="1456" spans="1:10" ht="12.75" customHeight="1" x14ac:dyDescent="0.2">
      <c r="A1456" s="681" t="s">
        <v>2370</v>
      </c>
      <c r="B1456" s="693" t="s">
        <v>4024</v>
      </c>
      <c r="C1456" s="672" t="s">
        <v>785</v>
      </c>
      <c r="D1456" s="673">
        <v>36576</v>
      </c>
      <c r="E1456" s="674">
        <v>10</v>
      </c>
      <c r="F1456" s="675">
        <v>0.1</v>
      </c>
      <c r="G1456" s="676">
        <v>334</v>
      </c>
      <c r="H1456" s="929">
        <v>0</v>
      </c>
      <c r="I1456" s="929">
        <v>333</v>
      </c>
      <c r="J1456" s="689">
        <f t="shared" si="23"/>
        <v>1</v>
      </c>
    </row>
    <row r="1457" spans="1:10" ht="12.75" customHeight="1" x14ac:dyDescent="0.2">
      <c r="A1457" s="681" t="s">
        <v>2370</v>
      </c>
      <c r="B1457" s="693" t="s">
        <v>4025</v>
      </c>
      <c r="C1457" s="672" t="s">
        <v>785</v>
      </c>
      <c r="D1457" s="673">
        <v>36576</v>
      </c>
      <c r="E1457" s="674">
        <v>10</v>
      </c>
      <c r="F1457" s="675">
        <v>0.1</v>
      </c>
      <c r="G1457" s="676">
        <v>334</v>
      </c>
      <c r="H1457" s="929">
        <v>0</v>
      </c>
      <c r="I1457" s="929">
        <v>333</v>
      </c>
      <c r="J1457" s="689">
        <f t="shared" si="23"/>
        <v>1</v>
      </c>
    </row>
    <row r="1458" spans="1:10" ht="12.75" customHeight="1" x14ac:dyDescent="0.2">
      <c r="A1458" s="681" t="s">
        <v>2370</v>
      </c>
      <c r="B1458" s="693" t="s">
        <v>4026</v>
      </c>
      <c r="C1458" s="672" t="s">
        <v>785</v>
      </c>
      <c r="D1458" s="673">
        <v>36576</v>
      </c>
      <c r="E1458" s="674">
        <v>10</v>
      </c>
      <c r="F1458" s="675">
        <v>0.1</v>
      </c>
      <c r="G1458" s="676">
        <v>334</v>
      </c>
      <c r="H1458" s="929">
        <v>0</v>
      </c>
      <c r="I1458" s="929">
        <v>333</v>
      </c>
      <c r="J1458" s="689">
        <f t="shared" si="23"/>
        <v>1</v>
      </c>
    </row>
    <row r="1459" spans="1:10" ht="12.75" customHeight="1" x14ac:dyDescent="0.2">
      <c r="A1459" s="681" t="s">
        <v>2370</v>
      </c>
      <c r="B1459" s="693" t="s">
        <v>4027</v>
      </c>
      <c r="C1459" s="672" t="s">
        <v>785</v>
      </c>
      <c r="D1459" s="673">
        <v>36576</v>
      </c>
      <c r="E1459" s="674">
        <v>10</v>
      </c>
      <c r="F1459" s="675">
        <v>0.1</v>
      </c>
      <c r="G1459" s="676">
        <v>334</v>
      </c>
      <c r="H1459" s="929">
        <v>0</v>
      </c>
      <c r="I1459" s="929">
        <v>333</v>
      </c>
      <c r="J1459" s="689">
        <f t="shared" si="23"/>
        <v>1</v>
      </c>
    </row>
    <row r="1460" spans="1:10" ht="12.75" customHeight="1" x14ac:dyDescent="0.2">
      <c r="A1460" s="681" t="s">
        <v>2370</v>
      </c>
      <c r="B1460" s="693" t="s">
        <v>4028</v>
      </c>
      <c r="C1460" s="672" t="s">
        <v>785</v>
      </c>
      <c r="D1460" s="673">
        <v>36576</v>
      </c>
      <c r="E1460" s="674">
        <v>10</v>
      </c>
      <c r="F1460" s="675">
        <v>0.1</v>
      </c>
      <c r="G1460" s="676">
        <v>334</v>
      </c>
      <c r="H1460" s="929">
        <v>0</v>
      </c>
      <c r="I1460" s="929">
        <v>333</v>
      </c>
      <c r="J1460" s="689">
        <f t="shared" si="23"/>
        <v>1</v>
      </c>
    </row>
    <row r="1461" spans="1:10" ht="12.75" customHeight="1" x14ac:dyDescent="0.2">
      <c r="A1461" s="681" t="s">
        <v>2370</v>
      </c>
      <c r="B1461" s="693" t="s">
        <v>4029</v>
      </c>
      <c r="C1461" s="672" t="s">
        <v>785</v>
      </c>
      <c r="D1461" s="673">
        <v>36576</v>
      </c>
      <c r="E1461" s="674">
        <v>10</v>
      </c>
      <c r="F1461" s="675">
        <v>0.1</v>
      </c>
      <c r="G1461" s="676">
        <v>334</v>
      </c>
      <c r="H1461" s="929">
        <v>0</v>
      </c>
      <c r="I1461" s="929">
        <v>333</v>
      </c>
      <c r="J1461" s="689">
        <f t="shared" si="23"/>
        <v>1</v>
      </c>
    </row>
    <row r="1462" spans="1:10" ht="12.75" customHeight="1" x14ac:dyDescent="0.2">
      <c r="A1462" s="681" t="s">
        <v>2370</v>
      </c>
      <c r="B1462" s="693" t="s">
        <v>4030</v>
      </c>
      <c r="C1462" s="672" t="s">
        <v>785</v>
      </c>
      <c r="D1462" s="673">
        <v>33289</v>
      </c>
      <c r="E1462" s="674">
        <v>10</v>
      </c>
      <c r="F1462" s="675">
        <v>0.1</v>
      </c>
      <c r="G1462" s="676">
        <v>337</v>
      </c>
      <c r="H1462" s="929">
        <v>0</v>
      </c>
      <c r="I1462" s="929">
        <v>336</v>
      </c>
      <c r="J1462" s="689">
        <f t="shared" si="23"/>
        <v>1</v>
      </c>
    </row>
    <row r="1463" spans="1:10" ht="12.75" customHeight="1" x14ac:dyDescent="0.2">
      <c r="A1463" s="681" t="s">
        <v>2370</v>
      </c>
      <c r="B1463" s="693" t="s">
        <v>4031</v>
      </c>
      <c r="C1463" s="672" t="s">
        <v>785</v>
      </c>
      <c r="D1463" s="673">
        <v>37672</v>
      </c>
      <c r="E1463" s="674">
        <v>10</v>
      </c>
      <c r="F1463" s="675">
        <v>0.1</v>
      </c>
      <c r="G1463" s="676">
        <v>337</v>
      </c>
      <c r="H1463" s="929">
        <v>0</v>
      </c>
      <c r="I1463" s="929">
        <v>336</v>
      </c>
      <c r="J1463" s="689">
        <f t="shared" si="23"/>
        <v>1</v>
      </c>
    </row>
    <row r="1464" spans="1:10" ht="12.75" customHeight="1" x14ac:dyDescent="0.2">
      <c r="A1464" s="681" t="s">
        <v>2370</v>
      </c>
      <c r="B1464" s="693" t="s">
        <v>4032</v>
      </c>
      <c r="C1464" s="672" t="s">
        <v>785</v>
      </c>
      <c r="D1464" s="673">
        <v>37672</v>
      </c>
      <c r="E1464" s="674">
        <v>10</v>
      </c>
      <c r="F1464" s="675">
        <v>0.1</v>
      </c>
      <c r="G1464" s="676">
        <v>337</v>
      </c>
      <c r="H1464" s="929">
        <v>0</v>
      </c>
      <c r="I1464" s="929">
        <v>336</v>
      </c>
      <c r="J1464" s="689">
        <f t="shared" si="23"/>
        <v>1</v>
      </c>
    </row>
    <row r="1465" spans="1:10" ht="12.75" customHeight="1" x14ac:dyDescent="0.2">
      <c r="A1465" s="681" t="s">
        <v>2370</v>
      </c>
      <c r="B1465" s="693" t="s">
        <v>4033</v>
      </c>
      <c r="C1465" s="672" t="s">
        <v>785</v>
      </c>
      <c r="D1465" s="673">
        <v>37672</v>
      </c>
      <c r="E1465" s="674">
        <v>10</v>
      </c>
      <c r="F1465" s="675">
        <v>0.1</v>
      </c>
      <c r="G1465" s="676">
        <v>337</v>
      </c>
      <c r="H1465" s="929">
        <v>0</v>
      </c>
      <c r="I1465" s="929">
        <v>336</v>
      </c>
      <c r="J1465" s="689">
        <f t="shared" si="23"/>
        <v>1</v>
      </c>
    </row>
    <row r="1466" spans="1:10" ht="12.75" customHeight="1" x14ac:dyDescent="0.2">
      <c r="A1466" s="681" t="s">
        <v>2370</v>
      </c>
      <c r="B1466" s="693" t="s">
        <v>4034</v>
      </c>
      <c r="C1466" s="672" t="s">
        <v>785</v>
      </c>
      <c r="D1466" s="673">
        <v>37672</v>
      </c>
      <c r="E1466" s="674">
        <v>10</v>
      </c>
      <c r="F1466" s="675">
        <v>0.1</v>
      </c>
      <c r="G1466" s="676">
        <v>337</v>
      </c>
      <c r="H1466" s="929">
        <v>0</v>
      </c>
      <c r="I1466" s="929">
        <v>336</v>
      </c>
      <c r="J1466" s="689">
        <f t="shared" si="23"/>
        <v>1</v>
      </c>
    </row>
    <row r="1467" spans="1:10" ht="12.75" customHeight="1" x14ac:dyDescent="0.2">
      <c r="A1467" s="681" t="s">
        <v>2370</v>
      </c>
      <c r="B1467" s="693" t="s">
        <v>4035</v>
      </c>
      <c r="C1467" s="672" t="s">
        <v>785</v>
      </c>
      <c r="D1467" s="673">
        <v>37672</v>
      </c>
      <c r="E1467" s="674">
        <v>10</v>
      </c>
      <c r="F1467" s="675">
        <v>0.1</v>
      </c>
      <c r="G1467" s="676">
        <v>337</v>
      </c>
      <c r="H1467" s="929">
        <v>0</v>
      </c>
      <c r="I1467" s="929">
        <v>336</v>
      </c>
      <c r="J1467" s="689">
        <f t="shared" si="23"/>
        <v>1</v>
      </c>
    </row>
    <row r="1468" spans="1:10" ht="12.75" customHeight="1" x14ac:dyDescent="0.2">
      <c r="A1468" s="681" t="s">
        <v>2370</v>
      </c>
      <c r="B1468" s="693" t="s">
        <v>4036</v>
      </c>
      <c r="C1468" s="672" t="s">
        <v>785</v>
      </c>
      <c r="D1468" s="673">
        <v>37307</v>
      </c>
      <c r="E1468" s="674">
        <v>10</v>
      </c>
      <c r="F1468" s="675">
        <v>0.1</v>
      </c>
      <c r="G1468" s="676">
        <v>345</v>
      </c>
      <c r="H1468" s="929">
        <v>0</v>
      </c>
      <c r="I1468" s="929">
        <v>344</v>
      </c>
      <c r="J1468" s="689">
        <f t="shared" si="23"/>
        <v>1</v>
      </c>
    </row>
    <row r="1469" spans="1:10" ht="12.75" customHeight="1" x14ac:dyDescent="0.2">
      <c r="A1469" s="681" t="s">
        <v>2370</v>
      </c>
      <c r="B1469" s="693" t="s">
        <v>4037</v>
      </c>
      <c r="C1469" s="672" t="s">
        <v>785</v>
      </c>
      <c r="D1469" s="673">
        <v>36211</v>
      </c>
      <c r="E1469" s="674">
        <v>10</v>
      </c>
      <c r="F1469" s="675">
        <v>0.1</v>
      </c>
      <c r="G1469" s="676">
        <v>345</v>
      </c>
      <c r="H1469" s="929">
        <v>0</v>
      </c>
      <c r="I1469" s="929">
        <v>344</v>
      </c>
      <c r="J1469" s="689">
        <f t="shared" si="23"/>
        <v>1</v>
      </c>
    </row>
    <row r="1470" spans="1:10" ht="12.75" customHeight="1" x14ac:dyDescent="0.2">
      <c r="A1470" s="681" t="s">
        <v>2370</v>
      </c>
      <c r="B1470" s="693" t="s">
        <v>4038</v>
      </c>
      <c r="C1470" s="672" t="s">
        <v>785</v>
      </c>
      <c r="D1470" s="673">
        <v>36211</v>
      </c>
      <c r="E1470" s="674">
        <v>10</v>
      </c>
      <c r="F1470" s="675">
        <v>0.1</v>
      </c>
      <c r="G1470" s="676">
        <v>345</v>
      </c>
      <c r="H1470" s="929">
        <v>0</v>
      </c>
      <c r="I1470" s="929">
        <v>344</v>
      </c>
      <c r="J1470" s="689">
        <f t="shared" si="23"/>
        <v>1</v>
      </c>
    </row>
    <row r="1471" spans="1:10" ht="12.75" customHeight="1" x14ac:dyDescent="0.2">
      <c r="A1471" s="681" t="s">
        <v>2370</v>
      </c>
      <c r="B1471" s="693" t="s">
        <v>4039</v>
      </c>
      <c r="C1471" s="672" t="s">
        <v>785</v>
      </c>
      <c r="D1471" s="673">
        <v>37307</v>
      </c>
      <c r="E1471" s="674">
        <v>10</v>
      </c>
      <c r="F1471" s="675">
        <v>0.1</v>
      </c>
      <c r="G1471" s="676">
        <v>345</v>
      </c>
      <c r="H1471" s="929">
        <v>0</v>
      </c>
      <c r="I1471" s="929">
        <v>344</v>
      </c>
      <c r="J1471" s="689">
        <f t="shared" si="23"/>
        <v>1</v>
      </c>
    </row>
    <row r="1472" spans="1:10" ht="12.75" customHeight="1" x14ac:dyDescent="0.2">
      <c r="A1472" s="681" t="s">
        <v>2370</v>
      </c>
      <c r="B1472" s="693" t="s">
        <v>4040</v>
      </c>
      <c r="C1472" s="672" t="s">
        <v>785</v>
      </c>
      <c r="D1472" s="673">
        <v>37307</v>
      </c>
      <c r="E1472" s="674">
        <v>10</v>
      </c>
      <c r="F1472" s="675">
        <v>0.1</v>
      </c>
      <c r="G1472" s="676">
        <v>345</v>
      </c>
      <c r="H1472" s="929">
        <v>0</v>
      </c>
      <c r="I1472" s="929">
        <v>344</v>
      </c>
      <c r="J1472" s="689">
        <f t="shared" si="23"/>
        <v>1</v>
      </c>
    </row>
    <row r="1473" spans="1:10" ht="12.75" customHeight="1" x14ac:dyDescent="0.2">
      <c r="A1473" s="681" t="s">
        <v>2370</v>
      </c>
      <c r="B1473" s="693" t="s">
        <v>4041</v>
      </c>
      <c r="C1473" s="672" t="s">
        <v>785</v>
      </c>
      <c r="D1473" s="673">
        <v>37307</v>
      </c>
      <c r="E1473" s="674">
        <v>10</v>
      </c>
      <c r="F1473" s="675">
        <v>0.1</v>
      </c>
      <c r="G1473" s="676">
        <v>345</v>
      </c>
      <c r="H1473" s="929">
        <v>0</v>
      </c>
      <c r="I1473" s="929">
        <v>344</v>
      </c>
      <c r="J1473" s="689">
        <f t="shared" si="23"/>
        <v>1</v>
      </c>
    </row>
    <row r="1474" spans="1:10" ht="12.75" customHeight="1" x14ac:dyDescent="0.2">
      <c r="A1474" s="681" t="s">
        <v>2370</v>
      </c>
      <c r="B1474" s="693" t="s">
        <v>4042</v>
      </c>
      <c r="C1474" s="672" t="s">
        <v>889</v>
      </c>
      <c r="D1474" s="673">
        <v>35481</v>
      </c>
      <c r="E1474" s="674">
        <v>3</v>
      </c>
      <c r="F1474" s="675">
        <v>0.33</v>
      </c>
      <c r="G1474" s="676">
        <v>345</v>
      </c>
      <c r="H1474" s="929">
        <v>0</v>
      </c>
      <c r="I1474" s="929">
        <v>344</v>
      </c>
      <c r="J1474" s="689">
        <f t="shared" si="23"/>
        <v>1</v>
      </c>
    </row>
    <row r="1475" spans="1:10" ht="12.75" customHeight="1" x14ac:dyDescent="0.2">
      <c r="A1475" s="681" t="s">
        <v>2370</v>
      </c>
      <c r="B1475" s="693" t="s">
        <v>4043</v>
      </c>
      <c r="C1475" s="672" t="s">
        <v>889</v>
      </c>
      <c r="D1475" s="673">
        <v>38037</v>
      </c>
      <c r="E1475" s="674">
        <v>3</v>
      </c>
      <c r="F1475" s="675">
        <v>0.33</v>
      </c>
      <c r="G1475" s="676">
        <v>345</v>
      </c>
      <c r="H1475" s="929">
        <v>0</v>
      </c>
      <c r="I1475" s="929">
        <v>344</v>
      </c>
      <c r="J1475" s="689">
        <f t="shared" si="23"/>
        <v>1</v>
      </c>
    </row>
    <row r="1476" spans="1:10" ht="12.75" customHeight="1" x14ac:dyDescent="0.2">
      <c r="A1476" s="681" t="s">
        <v>2370</v>
      </c>
      <c r="B1476" s="693" t="s">
        <v>4044</v>
      </c>
      <c r="C1476" s="672" t="s">
        <v>890</v>
      </c>
      <c r="D1476" s="673">
        <v>39498</v>
      </c>
      <c r="E1476" s="674">
        <v>3</v>
      </c>
      <c r="F1476" s="675">
        <v>0.33</v>
      </c>
      <c r="G1476" s="676">
        <v>348</v>
      </c>
      <c r="H1476" s="929">
        <v>0</v>
      </c>
      <c r="I1476" s="929">
        <v>347</v>
      </c>
      <c r="J1476" s="689">
        <f t="shared" si="23"/>
        <v>1</v>
      </c>
    </row>
    <row r="1477" spans="1:10" ht="12.75" customHeight="1" x14ac:dyDescent="0.2">
      <c r="A1477" s="681" t="s">
        <v>2370</v>
      </c>
      <c r="B1477" s="693" t="s">
        <v>4045</v>
      </c>
      <c r="C1477" s="672" t="s">
        <v>890</v>
      </c>
      <c r="D1477" s="673">
        <v>39498</v>
      </c>
      <c r="E1477" s="674">
        <v>3</v>
      </c>
      <c r="F1477" s="675">
        <v>0.33</v>
      </c>
      <c r="G1477" s="676">
        <v>348</v>
      </c>
      <c r="H1477" s="929">
        <v>0</v>
      </c>
      <c r="I1477" s="929">
        <v>347</v>
      </c>
      <c r="J1477" s="689">
        <f t="shared" si="23"/>
        <v>1</v>
      </c>
    </row>
    <row r="1478" spans="1:10" ht="12.75" customHeight="1" x14ac:dyDescent="0.2">
      <c r="A1478" s="681" t="s">
        <v>2370</v>
      </c>
      <c r="B1478" s="693" t="s">
        <v>4046</v>
      </c>
      <c r="C1478" s="672" t="s">
        <v>787</v>
      </c>
      <c r="D1478" s="673">
        <v>35115</v>
      </c>
      <c r="E1478" s="674">
        <v>10</v>
      </c>
      <c r="F1478" s="675">
        <v>0.1</v>
      </c>
      <c r="G1478" s="676">
        <v>350</v>
      </c>
      <c r="H1478" s="929">
        <v>0</v>
      </c>
      <c r="I1478" s="929">
        <v>349</v>
      </c>
      <c r="J1478" s="689">
        <f t="shared" si="23"/>
        <v>1</v>
      </c>
    </row>
    <row r="1479" spans="1:10" ht="13.5" customHeight="1" x14ac:dyDescent="0.2">
      <c r="A1479" s="681" t="s">
        <v>2372</v>
      </c>
      <c r="B1479" s="693" t="s">
        <v>4047</v>
      </c>
      <c r="C1479" s="672" t="s">
        <v>895</v>
      </c>
      <c r="D1479" s="673">
        <v>40594</v>
      </c>
      <c r="E1479" s="674">
        <v>3</v>
      </c>
      <c r="F1479" s="675">
        <v>0.33</v>
      </c>
      <c r="G1479" s="676">
        <v>355</v>
      </c>
      <c r="H1479" s="929">
        <v>0</v>
      </c>
      <c r="I1479" s="929">
        <v>354</v>
      </c>
      <c r="J1479" s="689">
        <f t="shared" ref="J1479:J1542" si="24">G1479-I1479</f>
        <v>1</v>
      </c>
    </row>
    <row r="1480" spans="1:10" ht="12.75" customHeight="1" x14ac:dyDescent="0.2">
      <c r="A1480" s="681" t="s">
        <v>2372</v>
      </c>
      <c r="B1480" s="693" t="s">
        <v>4048</v>
      </c>
      <c r="C1480" s="672" t="s">
        <v>895</v>
      </c>
      <c r="D1480" s="673">
        <v>40594</v>
      </c>
      <c r="E1480" s="674">
        <v>3</v>
      </c>
      <c r="F1480" s="675">
        <v>0.33</v>
      </c>
      <c r="G1480" s="676">
        <v>355</v>
      </c>
      <c r="H1480" s="929">
        <v>0</v>
      </c>
      <c r="I1480" s="929">
        <v>354</v>
      </c>
      <c r="J1480" s="689">
        <f t="shared" si="24"/>
        <v>1</v>
      </c>
    </row>
    <row r="1481" spans="1:10" ht="12.75" customHeight="1" x14ac:dyDescent="0.2">
      <c r="A1481" s="681" t="s">
        <v>2372</v>
      </c>
      <c r="B1481" s="693" t="s">
        <v>4049</v>
      </c>
      <c r="C1481" s="672" t="s">
        <v>895</v>
      </c>
      <c r="D1481" s="673">
        <v>40594</v>
      </c>
      <c r="E1481" s="674">
        <v>3</v>
      </c>
      <c r="F1481" s="675">
        <v>0.33</v>
      </c>
      <c r="G1481" s="676">
        <v>355</v>
      </c>
      <c r="H1481" s="929">
        <v>0</v>
      </c>
      <c r="I1481" s="929">
        <v>354</v>
      </c>
      <c r="J1481" s="689">
        <f t="shared" si="24"/>
        <v>1</v>
      </c>
    </row>
    <row r="1482" spans="1:10" ht="12.75" customHeight="1" x14ac:dyDescent="0.2">
      <c r="A1482" s="681" t="s">
        <v>2370</v>
      </c>
      <c r="B1482" s="693" t="s">
        <v>4050</v>
      </c>
      <c r="C1482" s="672" t="s">
        <v>785</v>
      </c>
      <c r="D1482" s="673">
        <v>36576</v>
      </c>
      <c r="E1482" s="674">
        <v>10</v>
      </c>
      <c r="F1482" s="675">
        <v>0.1</v>
      </c>
      <c r="G1482" s="676">
        <v>356</v>
      </c>
      <c r="H1482" s="929">
        <v>0</v>
      </c>
      <c r="I1482" s="929">
        <v>355</v>
      </c>
      <c r="J1482" s="689">
        <f t="shared" si="24"/>
        <v>1</v>
      </c>
    </row>
    <row r="1483" spans="1:10" ht="12.75" customHeight="1" x14ac:dyDescent="0.2">
      <c r="A1483" s="681" t="s">
        <v>2370</v>
      </c>
      <c r="B1483" s="693" t="s">
        <v>4051</v>
      </c>
      <c r="C1483" s="672" t="s">
        <v>785</v>
      </c>
      <c r="D1483" s="673">
        <v>36576</v>
      </c>
      <c r="E1483" s="674">
        <v>10</v>
      </c>
      <c r="F1483" s="675">
        <v>0.1</v>
      </c>
      <c r="G1483" s="676">
        <v>356</v>
      </c>
      <c r="H1483" s="929">
        <v>0</v>
      </c>
      <c r="I1483" s="929">
        <v>355</v>
      </c>
      <c r="J1483" s="689">
        <f t="shared" si="24"/>
        <v>1</v>
      </c>
    </row>
    <row r="1484" spans="1:10" ht="12.75" customHeight="1" x14ac:dyDescent="0.2">
      <c r="A1484" s="681" t="s">
        <v>2370</v>
      </c>
      <c r="B1484" s="693" t="s">
        <v>4052</v>
      </c>
      <c r="C1484" s="672" t="s">
        <v>785</v>
      </c>
      <c r="D1484" s="673">
        <v>36576</v>
      </c>
      <c r="E1484" s="674">
        <v>10</v>
      </c>
      <c r="F1484" s="675">
        <v>0.1</v>
      </c>
      <c r="G1484" s="676">
        <v>356</v>
      </c>
      <c r="H1484" s="929">
        <v>0</v>
      </c>
      <c r="I1484" s="929">
        <v>355</v>
      </c>
      <c r="J1484" s="689">
        <f t="shared" si="24"/>
        <v>1</v>
      </c>
    </row>
    <row r="1485" spans="1:10" ht="12.75" customHeight="1" x14ac:dyDescent="0.2">
      <c r="A1485" s="681" t="s">
        <v>2370</v>
      </c>
      <c r="B1485" s="693" t="s">
        <v>4053</v>
      </c>
      <c r="C1485" s="672" t="s">
        <v>785</v>
      </c>
      <c r="D1485" s="673">
        <v>36576</v>
      </c>
      <c r="E1485" s="674">
        <v>10</v>
      </c>
      <c r="F1485" s="675">
        <v>0.1</v>
      </c>
      <c r="G1485" s="676">
        <v>356</v>
      </c>
      <c r="H1485" s="929">
        <v>0</v>
      </c>
      <c r="I1485" s="929">
        <v>355</v>
      </c>
      <c r="J1485" s="689">
        <f t="shared" si="24"/>
        <v>1</v>
      </c>
    </row>
    <row r="1486" spans="1:10" ht="12.75" customHeight="1" x14ac:dyDescent="0.2">
      <c r="A1486" s="681" t="s">
        <v>2370</v>
      </c>
      <c r="B1486" s="693" t="s">
        <v>4054</v>
      </c>
      <c r="C1486" s="672" t="s">
        <v>785</v>
      </c>
      <c r="D1486" s="673">
        <v>36576</v>
      </c>
      <c r="E1486" s="674">
        <v>10</v>
      </c>
      <c r="F1486" s="675">
        <v>0.1</v>
      </c>
      <c r="G1486" s="676">
        <v>356</v>
      </c>
      <c r="H1486" s="929">
        <v>0</v>
      </c>
      <c r="I1486" s="929">
        <v>355</v>
      </c>
      <c r="J1486" s="689">
        <f t="shared" si="24"/>
        <v>1</v>
      </c>
    </row>
    <row r="1487" spans="1:10" ht="12.75" customHeight="1" x14ac:dyDescent="0.2">
      <c r="A1487" s="681" t="s">
        <v>2370</v>
      </c>
      <c r="B1487" s="693" t="s">
        <v>4055</v>
      </c>
      <c r="C1487" s="672" t="s">
        <v>785</v>
      </c>
      <c r="D1487" s="673">
        <v>36576</v>
      </c>
      <c r="E1487" s="674">
        <v>10</v>
      </c>
      <c r="F1487" s="675">
        <v>0.1</v>
      </c>
      <c r="G1487" s="676">
        <v>356</v>
      </c>
      <c r="H1487" s="929">
        <v>0</v>
      </c>
      <c r="I1487" s="929">
        <v>355</v>
      </c>
      <c r="J1487" s="689">
        <f t="shared" si="24"/>
        <v>1</v>
      </c>
    </row>
    <row r="1488" spans="1:10" ht="12.75" customHeight="1" x14ac:dyDescent="0.2">
      <c r="A1488" s="681" t="s">
        <v>2370</v>
      </c>
      <c r="B1488" s="693" t="s">
        <v>4056</v>
      </c>
      <c r="C1488" s="672" t="s">
        <v>785</v>
      </c>
      <c r="D1488" s="673">
        <v>36576</v>
      </c>
      <c r="E1488" s="674">
        <v>10</v>
      </c>
      <c r="F1488" s="675">
        <v>0.1</v>
      </c>
      <c r="G1488" s="676">
        <v>356</v>
      </c>
      <c r="H1488" s="929">
        <v>0</v>
      </c>
      <c r="I1488" s="929">
        <v>355</v>
      </c>
      <c r="J1488" s="689">
        <f t="shared" si="24"/>
        <v>1</v>
      </c>
    </row>
    <row r="1489" spans="1:10" ht="12.75" customHeight="1" x14ac:dyDescent="0.2">
      <c r="A1489" s="681" t="s">
        <v>2370</v>
      </c>
      <c r="B1489" s="693" t="s">
        <v>4057</v>
      </c>
      <c r="C1489" s="672" t="s">
        <v>785</v>
      </c>
      <c r="D1489" s="673">
        <v>36576</v>
      </c>
      <c r="E1489" s="674">
        <v>10</v>
      </c>
      <c r="F1489" s="675">
        <v>0.1</v>
      </c>
      <c r="G1489" s="676">
        <v>356</v>
      </c>
      <c r="H1489" s="929">
        <v>0</v>
      </c>
      <c r="I1489" s="929">
        <v>355</v>
      </c>
      <c r="J1489" s="689">
        <f t="shared" si="24"/>
        <v>1</v>
      </c>
    </row>
    <row r="1490" spans="1:10" ht="12.75" customHeight="1" x14ac:dyDescent="0.2">
      <c r="A1490" s="681" t="s">
        <v>2370</v>
      </c>
      <c r="B1490" s="693" t="s">
        <v>4058</v>
      </c>
      <c r="C1490" s="672" t="s">
        <v>785</v>
      </c>
      <c r="D1490" s="673">
        <v>36576</v>
      </c>
      <c r="E1490" s="674">
        <v>10</v>
      </c>
      <c r="F1490" s="675">
        <v>0.1</v>
      </c>
      <c r="G1490" s="676">
        <v>356</v>
      </c>
      <c r="H1490" s="929">
        <v>0</v>
      </c>
      <c r="I1490" s="929">
        <v>355</v>
      </c>
      <c r="J1490" s="689">
        <f t="shared" si="24"/>
        <v>1</v>
      </c>
    </row>
    <row r="1491" spans="1:10" ht="12.75" customHeight="1" x14ac:dyDescent="0.2">
      <c r="A1491" s="681" t="s">
        <v>2370</v>
      </c>
      <c r="B1491" s="693" t="s">
        <v>4059</v>
      </c>
      <c r="C1491" s="672" t="s">
        <v>785</v>
      </c>
      <c r="D1491" s="673">
        <v>36576</v>
      </c>
      <c r="E1491" s="674">
        <v>10</v>
      </c>
      <c r="F1491" s="675">
        <v>0.1</v>
      </c>
      <c r="G1491" s="676">
        <v>356</v>
      </c>
      <c r="H1491" s="929">
        <v>0</v>
      </c>
      <c r="I1491" s="929">
        <v>355</v>
      </c>
      <c r="J1491" s="689">
        <f t="shared" si="24"/>
        <v>1</v>
      </c>
    </row>
    <row r="1492" spans="1:10" ht="12.75" customHeight="1" x14ac:dyDescent="0.2">
      <c r="A1492" s="681" t="s">
        <v>2370</v>
      </c>
      <c r="B1492" s="693" t="s">
        <v>4060</v>
      </c>
      <c r="C1492" s="672" t="s">
        <v>785</v>
      </c>
      <c r="D1492" s="673">
        <v>36576</v>
      </c>
      <c r="E1492" s="674">
        <v>10</v>
      </c>
      <c r="F1492" s="675">
        <v>0.1</v>
      </c>
      <c r="G1492" s="676">
        <v>356</v>
      </c>
      <c r="H1492" s="929">
        <v>0</v>
      </c>
      <c r="I1492" s="929">
        <v>355</v>
      </c>
      <c r="J1492" s="689">
        <f t="shared" si="24"/>
        <v>1</v>
      </c>
    </row>
    <row r="1493" spans="1:10" ht="12.75" customHeight="1" x14ac:dyDescent="0.2">
      <c r="A1493" s="681" t="s">
        <v>2370</v>
      </c>
      <c r="B1493" s="693" t="s">
        <v>4061</v>
      </c>
      <c r="C1493" s="672" t="s">
        <v>785</v>
      </c>
      <c r="D1493" s="673">
        <v>36576</v>
      </c>
      <c r="E1493" s="674">
        <v>10</v>
      </c>
      <c r="F1493" s="675">
        <v>0.1</v>
      </c>
      <c r="G1493" s="676">
        <v>356</v>
      </c>
      <c r="H1493" s="929">
        <v>0</v>
      </c>
      <c r="I1493" s="929">
        <v>355</v>
      </c>
      <c r="J1493" s="689">
        <f t="shared" si="24"/>
        <v>1</v>
      </c>
    </row>
    <row r="1494" spans="1:10" ht="12.75" customHeight="1" x14ac:dyDescent="0.2">
      <c r="A1494" s="681" t="s">
        <v>2370</v>
      </c>
      <c r="B1494" s="693" t="s">
        <v>4062</v>
      </c>
      <c r="C1494" s="672" t="s">
        <v>785</v>
      </c>
      <c r="D1494" s="673">
        <v>36576</v>
      </c>
      <c r="E1494" s="674">
        <v>10</v>
      </c>
      <c r="F1494" s="675">
        <v>0.1</v>
      </c>
      <c r="G1494" s="676">
        <v>356</v>
      </c>
      <c r="H1494" s="929">
        <v>0</v>
      </c>
      <c r="I1494" s="929">
        <v>355</v>
      </c>
      <c r="J1494" s="689">
        <f t="shared" si="24"/>
        <v>1</v>
      </c>
    </row>
    <row r="1495" spans="1:10" ht="12.75" customHeight="1" x14ac:dyDescent="0.2">
      <c r="A1495" s="681" t="s">
        <v>2370</v>
      </c>
      <c r="B1495" s="693" t="s">
        <v>4063</v>
      </c>
      <c r="C1495" s="672" t="s">
        <v>790</v>
      </c>
      <c r="D1495" s="673">
        <v>35481</v>
      </c>
      <c r="E1495" s="674">
        <v>10</v>
      </c>
      <c r="F1495" s="675">
        <v>0.1</v>
      </c>
      <c r="G1495" s="676">
        <v>361</v>
      </c>
      <c r="H1495" s="929">
        <v>0</v>
      </c>
      <c r="I1495" s="929">
        <v>360</v>
      </c>
      <c r="J1495" s="689">
        <f t="shared" si="24"/>
        <v>1</v>
      </c>
    </row>
    <row r="1496" spans="1:10" ht="12.75" customHeight="1" x14ac:dyDescent="0.2">
      <c r="A1496" s="681" t="s">
        <v>2370</v>
      </c>
      <c r="B1496" s="693" t="s">
        <v>4064</v>
      </c>
      <c r="C1496" s="672" t="s">
        <v>914</v>
      </c>
      <c r="D1496" s="673">
        <v>38403</v>
      </c>
      <c r="E1496" s="674">
        <v>3</v>
      </c>
      <c r="F1496" s="675">
        <v>0.33</v>
      </c>
      <c r="G1496" s="676">
        <v>365</v>
      </c>
      <c r="H1496" s="929">
        <v>0</v>
      </c>
      <c r="I1496" s="929">
        <v>364</v>
      </c>
      <c r="J1496" s="689">
        <f t="shared" si="24"/>
        <v>1</v>
      </c>
    </row>
    <row r="1497" spans="1:10" ht="12.75" customHeight="1" x14ac:dyDescent="0.2">
      <c r="A1497" s="681" t="s">
        <v>2370</v>
      </c>
      <c r="B1497" s="693" t="s">
        <v>4065</v>
      </c>
      <c r="C1497" s="672" t="s">
        <v>785</v>
      </c>
      <c r="D1497" s="673">
        <v>36211</v>
      </c>
      <c r="E1497" s="674">
        <v>10</v>
      </c>
      <c r="F1497" s="675">
        <v>0.1</v>
      </c>
      <c r="G1497" s="676">
        <v>368</v>
      </c>
      <c r="H1497" s="929">
        <v>0</v>
      </c>
      <c r="I1497" s="929">
        <v>367</v>
      </c>
      <c r="J1497" s="689">
        <f t="shared" si="24"/>
        <v>1</v>
      </c>
    </row>
    <row r="1498" spans="1:10" ht="12.75" customHeight="1" x14ac:dyDescent="0.2">
      <c r="A1498" s="681" t="s">
        <v>2370</v>
      </c>
      <c r="B1498" s="693" t="s">
        <v>4066</v>
      </c>
      <c r="C1498" s="672" t="s">
        <v>785</v>
      </c>
      <c r="D1498" s="673">
        <v>36211</v>
      </c>
      <c r="E1498" s="674">
        <v>10</v>
      </c>
      <c r="F1498" s="675">
        <v>0.1</v>
      </c>
      <c r="G1498" s="676">
        <v>368</v>
      </c>
      <c r="H1498" s="929">
        <v>0</v>
      </c>
      <c r="I1498" s="929">
        <v>367</v>
      </c>
      <c r="J1498" s="689">
        <f t="shared" si="24"/>
        <v>1</v>
      </c>
    </row>
    <row r="1499" spans="1:10" ht="12.75" customHeight="1" x14ac:dyDescent="0.2">
      <c r="A1499" s="681" t="s">
        <v>2370</v>
      </c>
      <c r="B1499" s="693" t="s">
        <v>4067</v>
      </c>
      <c r="C1499" s="672" t="s">
        <v>785</v>
      </c>
      <c r="D1499" s="673">
        <v>36211</v>
      </c>
      <c r="E1499" s="674">
        <v>10</v>
      </c>
      <c r="F1499" s="675">
        <v>0.1</v>
      </c>
      <c r="G1499" s="676">
        <v>368</v>
      </c>
      <c r="H1499" s="929">
        <v>0</v>
      </c>
      <c r="I1499" s="929">
        <v>367</v>
      </c>
      <c r="J1499" s="689">
        <f t="shared" si="24"/>
        <v>1</v>
      </c>
    </row>
    <row r="1500" spans="1:10" ht="12.75" customHeight="1" x14ac:dyDescent="0.2">
      <c r="A1500" s="681" t="s">
        <v>2370</v>
      </c>
      <c r="B1500" s="693" t="s">
        <v>4068</v>
      </c>
      <c r="C1500" s="672" t="s">
        <v>785</v>
      </c>
      <c r="D1500" s="673">
        <v>36211</v>
      </c>
      <c r="E1500" s="674">
        <v>10</v>
      </c>
      <c r="F1500" s="675">
        <v>0.1</v>
      </c>
      <c r="G1500" s="676">
        <v>368</v>
      </c>
      <c r="H1500" s="929">
        <v>0</v>
      </c>
      <c r="I1500" s="929">
        <v>367</v>
      </c>
      <c r="J1500" s="689">
        <f t="shared" si="24"/>
        <v>1</v>
      </c>
    </row>
    <row r="1501" spans="1:10" ht="12.75" customHeight="1" x14ac:dyDescent="0.2">
      <c r="A1501" s="681" t="s">
        <v>2370</v>
      </c>
      <c r="B1501" s="693" t="s">
        <v>4069</v>
      </c>
      <c r="C1501" s="672" t="s">
        <v>787</v>
      </c>
      <c r="D1501" s="673">
        <v>35115</v>
      </c>
      <c r="E1501" s="674">
        <v>10</v>
      </c>
      <c r="F1501" s="675">
        <v>0.1</v>
      </c>
      <c r="G1501" s="676">
        <v>380</v>
      </c>
      <c r="H1501" s="929">
        <v>0</v>
      </c>
      <c r="I1501" s="929">
        <v>379</v>
      </c>
      <c r="J1501" s="689">
        <f t="shared" si="24"/>
        <v>1</v>
      </c>
    </row>
    <row r="1502" spans="1:10" ht="12.75" customHeight="1" x14ac:dyDescent="0.2">
      <c r="A1502" s="681" t="s">
        <v>2370</v>
      </c>
      <c r="B1502" s="693" t="s">
        <v>4070</v>
      </c>
      <c r="C1502" s="672" t="s">
        <v>787</v>
      </c>
      <c r="D1502" s="673">
        <v>35846</v>
      </c>
      <c r="E1502" s="674">
        <v>10</v>
      </c>
      <c r="F1502" s="675">
        <v>0.1</v>
      </c>
      <c r="G1502" s="676">
        <v>380</v>
      </c>
      <c r="H1502" s="929">
        <v>0</v>
      </c>
      <c r="I1502" s="929">
        <v>379</v>
      </c>
      <c r="J1502" s="689">
        <f t="shared" si="24"/>
        <v>1</v>
      </c>
    </row>
    <row r="1503" spans="1:10" ht="12.75" customHeight="1" x14ac:dyDescent="0.2">
      <c r="A1503" s="681" t="s">
        <v>2370</v>
      </c>
      <c r="B1503" s="693" t="s">
        <v>4071</v>
      </c>
      <c r="C1503" s="672" t="s">
        <v>787</v>
      </c>
      <c r="D1503" s="673">
        <v>35115</v>
      </c>
      <c r="E1503" s="674">
        <v>10</v>
      </c>
      <c r="F1503" s="675">
        <v>0.1</v>
      </c>
      <c r="G1503" s="676">
        <v>380</v>
      </c>
      <c r="H1503" s="929">
        <v>0</v>
      </c>
      <c r="I1503" s="929">
        <v>379</v>
      </c>
      <c r="J1503" s="689">
        <f t="shared" si="24"/>
        <v>1</v>
      </c>
    </row>
    <row r="1504" spans="1:10" ht="12.75" customHeight="1" x14ac:dyDescent="0.2">
      <c r="A1504" s="681" t="s">
        <v>2372</v>
      </c>
      <c r="B1504" s="693" t="s">
        <v>4072</v>
      </c>
      <c r="C1504" s="672" t="s">
        <v>895</v>
      </c>
      <c r="D1504" s="673">
        <v>39498</v>
      </c>
      <c r="E1504" s="674">
        <v>3</v>
      </c>
      <c r="F1504" s="675">
        <v>0.33</v>
      </c>
      <c r="G1504" s="676">
        <v>384</v>
      </c>
      <c r="H1504" s="929">
        <v>0</v>
      </c>
      <c r="I1504" s="929">
        <v>383</v>
      </c>
      <c r="J1504" s="689">
        <f t="shared" si="24"/>
        <v>1</v>
      </c>
    </row>
    <row r="1505" spans="1:10" ht="12.75" customHeight="1" x14ac:dyDescent="0.2">
      <c r="A1505" s="681" t="s">
        <v>2370</v>
      </c>
      <c r="B1505" s="693" t="s">
        <v>4073</v>
      </c>
      <c r="C1505" s="672" t="s">
        <v>785</v>
      </c>
      <c r="D1505" s="673">
        <v>37307</v>
      </c>
      <c r="E1505" s="674">
        <v>10</v>
      </c>
      <c r="F1505" s="675">
        <v>0.1</v>
      </c>
      <c r="G1505" s="676">
        <v>395</v>
      </c>
      <c r="H1505" s="929">
        <v>0</v>
      </c>
      <c r="I1505" s="929">
        <v>394</v>
      </c>
      <c r="J1505" s="689">
        <f t="shared" si="24"/>
        <v>1</v>
      </c>
    </row>
    <row r="1506" spans="1:10" ht="12.75" customHeight="1" x14ac:dyDescent="0.2">
      <c r="A1506" s="681" t="s">
        <v>2370</v>
      </c>
      <c r="B1506" s="693" t="s">
        <v>4074</v>
      </c>
      <c r="C1506" s="672" t="s">
        <v>785</v>
      </c>
      <c r="D1506" s="673">
        <v>37307</v>
      </c>
      <c r="E1506" s="674">
        <v>10</v>
      </c>
      <c r="F1506" s="675">
        <v>0.1</v>
      </c>
      <c r="G1506" s="676">
        <v>395</v>
      </c>
      <c r="H1506" s="929">
        <v>0</v>
      </c>
      <c r="I1506" s="929">
        <v>394</v>
      </c>
      <c r="J1506" s="689">
        <f t="shared" si="24"/>
        <v>1</v>
      </c>
    </row>
    <row r="1507" spans="1:10" ht="12.75" customHeight="1" x14ac:dyDescent="0.2">
      <c r="A1507" s="681" t="s">
        <v>2370</v>
      </c>
      <c r="B1507" s="693" t="s">
        <v>4075</v>
      </c>
      <c r="C1507" s="672" t="s">
        <v>785</v>
      </c>
      <c r="D1507" s="673">
        <v>37307</v>
      </c>
      <c r="E1507" s="674">
        <v>10</v>
      </c>
      <c r="F1507" s="675">
        <v>0.1</v>
      </c>
      <c r="G1507" s="676">
        <v>395</v>
      </c>
      <c r="H1507" s="929">
        <v>0</v>
      </c>
      <c r="I1507" s="929">
        <v>394</v>
      </c>
      <c r="J1507" s="689">
        <f t="shared" si="24"/>
        <v>1</v>
      </c>
    </row>
    <row r="1508" spans="1:10" ht="12.75" customHeight="1" x14ac:dyDescent="0.2">
      <c r="A1508" s="681" t="s">
        <v>2370</v>
      </c>
      <c r="B1508" s="693" t="s">
        <v>4076</v>
      </c>
      <c r="C1508" s="672" t="s">
        <v>785</v>
      </c>
      <c r="D1508" s="673">
        <v>37307</v>
      </c>
      <c r="E1508" s="674">
        <v>10</v>
      </c>
      <c r="F1508" s="675">
        <v>0.1</v>
      </c>
      <c r="G1508" s="676">
        <v>395</v>
      </c>
      <c r="H1508" s="929">
        <v>0</v>
      </c>
      <c r="I1508" s="929">
        <v>394</v>
      </c>
      <c r="J1508" s="689">
        <f t="shared" si="24"/>
        <v>1</v>
      </c>
    </row>
    <row r="1509" spans="1:10" ht="12.75" customHeight="1" x14ac:dyDescent="0.2">
      <c r="A1509" s="681" t="s">
        <v>2370</v>
      </c>
      <c r="B1509" s="693" t="s">
        <v>4077</v>
      </c>
      <c r="C1509" s="672" t="s">
        <v>819</v>
      </c>
      <c r="D1509" s="673">
        <v>36211</v>
      </c>
      <c r="E1509" s="674">
        <v>10</v>
      </c>
      <c r="F1509" s="675">
        <v>0.1</v>
      </c>
      <c r="G1509" s="676">
        <v>399</v>
      </c>
      <c r="H1509" s="929">
        <v>0</v>
      </c>
      <c r="I1509" s="929">
        <v>398</v>
      </c>
      <c r="J1509" s="689">
        <f t="shared" si="24"/>
        <v>1</v>
      </c>
    </row>
    <row r="1510" spans="1:10" ht="12.75" customHeight="1" x14ac:dyDescent="0.2">
      <c r="A1510" s="681" t="s">
        <v>2370</v>
      </c>
      <c r="B1510" s="693" t="s">
        <v>4078</v>
      </c>
      <c r="C1510" s="672" t="s">
        <v>789</v>
      </c>
      <c r="D1510" s="673">
        <v>37307</v>
      </c>
      <c r="E1510" s="674">
        <v>10</v>
      </c>
      <c r="F1510" s="675">
        <v>0.1</v>
      </c>
      <c r="G1510" s="676">
        <v>400</v>
      </c>
      <c r="H1510" s="929">
        <v>0</v>
      </c>
      <c r="I1510" s="929">
        <v>399</v>
      </c>
      <c r="J1510" s="689">
        <f t="shared" si="24"/>
        <v>1</v>
      </c>
    </row>
    <row r="1511" spans="1:10" ht="12.75" customHeight="1" x14ac:dyDescent="0.2">
      <c r="A1511" s="681" t="s">
        <v>2370</v>
      </c>
      <c r="B1511" s="693" t="s">
        <v>4079</v>
      </c>
      <c r="C1511" s="672" t="s">
        <v>794</v>
      </c>
      <c r="D1511" s="673">
        <v>36211</v>
      </c>
      <c r="E1511" s="674">
        <v>10</v>
      </c>
      <c r="F1511" s="675">
        <v>0.1</v>
      </c>
      <c r="G1511" s="676">
        <v>402</v>
      </c>
      <c r="H1511" s="929">
        <v>0</v>
      </c>
      <c r="I1511" s="929">
        <v>401</v>
      </c>
      <c r="J1511" s="689">
        <f t="shared" si="24"/>
        <v>1</v>
      </c>
    </row>
    <row r="1512" spans="1:10" ht="12.75" customHeight="1" x14ac:dyDescent="0.2">
      <c r="A1512" s="681" t="s">
        <v>2370</v>
      </c>
      <c r="B1512" s="693" t="s">
        <v>4080</v>
      </c>
      <c r="C1512" s="672" t="s">
        <v>790</v>
      </c>
      <c r="D1512" s="673">
        <v>37672</v>
      </c>
      <c r="E1512" s="674">
        <v>10</v>
      </c>
      <c r="F1512" s="675">
        <v>0.1</v>
      </c>
      <c r="G1512" s="676">
        <v>402</v>
      </c>
      <c r="H1512" s="929">
        <v>0</v>
      </c>
      <c r="I1512" s="929">
        <v>401</v>
      </c>
      <c r="J1512" s="689">
        <f t="shared" si="24"/>
        <v>1</v>
      </c>
    </row>
    <row r="1513" spans="1:10" ht="12.75" customHeight="1" x14ac:dyDescent="0.2">
      <c r="A1513" s="681" t="s">
        <v>2370</v>
      </c>
      <c r="B1513" s="693" t="s">
        <v>4081</v>
      </c>
      <c r="C1513" s="672" t="s">
        <v>790</v>
      </c>
      <c r="D1513" s="673">
        <v>37307</v>
      </c>
      <c r="E1513" s="674">
        <v>10</v>
      </c>
      <c r="F1513" s="675">
        <v>0.1</v>
      </c>
      <c r="G1513" s="676">
        <v>402</v>
      </c>
      <c r="H1513" s="929">
        <v>0</v>
      </c>
      <c r="I1513" s="929">
        <v>401</v>
      </c>
      <c r="J1513" s="689">
        <f t="shared" si="24"/>
        <v>1</v>
      </c>
    </row>
    <row r="1514" spans="1:10" ht="12.75" customHeight="1" x14ac:dyDescent="0.2">
      <c r="A1514" s="681" t="s">
        <v>2370</v>
      </c>
      <c r="B1514" s="693" t="s">
        <v>4082</v>
      </c>
      <c r="C1514" s="672" t="s">
        <v>790</v>
      </c>
      <c r="D1514" s="673">
        <v>37307</v>
      </c>
      <c r="E1514" s="674">
        <v>10</v>
      </c>
      <c r="F1514" s="675">
        <v>0.1</v>
      </c>
      <c r="G1514" s="676">
        <v>402</v>
      </c>
      <c r="H1514" s="929">
        <v>0</v>
      </c>
      <c r="I1514" s="929">
        <v>401</v>
      </c>
      <c r="J1514" s="689">
        <f t="shared" si="24"/>
        <v>1</v>
      </c>
    </row>
    <row r="1515" spans="1:10" ht="12.75" customHeight="1" x14ac:dyDescent="0.2">
      <c r="A1515" s="681" t="s">
        <v>2370</v>
      </c>
      <c r="B1515" s="693" t="s">
        <v>4083</v>
      </c>
      <c r="C1515" s="672" t="s">
        <v>790</v>
      </c>
      <c r="D1515" s="673">
        <v>37307</v>
      </c>
      <c r="E1515" s="674">
        <v>10</v>
      </c>
      <c r="F1515" s="675">
        <v>0.1</v>
      </c>
      <c r="G1515" s="676">
        <v>402</v>
      </c>
      <c r="H1515" s="929">
        <v>0</v>
      </c>
      <c r="I1515" s="929">
        <v>401</v>
      </c>
      <c r="J1515" s="689">
        <f t="shared" si="24"/>
        <v>1</v>
      </c>
    </row>
    <row r="1516" spans="1:10" ht="12.75" customHeight="1" x14ac:dyDescent="0.2">
      <c r="A1516" s="681" t="s">
        <v>2370</v>
      </c>
      <c r="B1516" s="693" t="s">
        <v>4084</v>
      </c>
      <c r="C1516" s="672" t="s">
        <v>790</v>
      </c>
      <c r="D1516" s="673">
        <v>37307</v>
      </c>
      <c r="E1516" s="674">
        <v>10</v>
      </c>
      <c r="F1516" s="675">
        <v>0.1</v>
      </c>
      <c r="G1516" s="676">
        <v>402</v>
      </c>
      <c r="H1516" s="929">
        <v>0</v>
      </c>
      <c r="I1516" s="929">
        <v>401</v>
      </c>
      <c r="J1516" s="689">
        <f t="shared" si="24"/>
        <v>1</v>
      </c>
    </row>
    <row r="1517" spans="1:10" ht="12.75" customHeight="1" x14ac:dyDescent="0.2">
      <c r="A1517" s="681" t="s">
        <v>2370</v>
      </c>
      <c r="B1517" s="693" t="s">
        <v>4085</v>
      </c>
      <c r="C1517" s="672" t="s">
        <v>785</v>
      </c>
      <c r="D1517" s="673">
        <v>36576</v>
      </c>
      <c r="E1517" s="674">
        <v>10</v>
      </c>
      <c r="F1517" s="675">
        <v>0.1</v>
      </c>
      <c r="G1517" s="676">
        <v>402</v>
      </c>
      <c r="H1517" s="929">
        <v>0</v>
      </c>
      <c r="I1517" s="929">
        <v>401</v>
      </c>
      <c r="J1517" s="689">
        <f t="shared" si="24"/>
        <v>1</v>
      </c>
    </row>
    <row r="1518" spans="1:10" ht="12.75" customHeight="1" x14ac:dyDescent="0.2">
      <c r="A1518" s="681" t="s">
        <v>2370</v>
      </c>
      <c r="B1518" s="693" t="s">
        <v>4086</v>
      </c>
      <c r="C1518" s="672" t="s">
        <v>826</v>
      </c>
      <c r="D1518" s="673">
        <v>38037</v>
      </c>
      <c r="E1518" s="674">
        <v>10</v>
      </c>
      <c r="F1518" s="675">
        <v>0.1</v>
      </c>
      <c r="G1518" s="676">
        <v>404</v>
      </c>
      <c r="H1518" s="929">
        <v>0</v>
      </c>
      <c r="I1518" s="929">
        <v>403</v>
      </c>
      <c r="J1518" s="689">
        <f t="shared" si="24"/>
        <v>1</v>
      </c>
    </row>
    <row r="1519" spans="1:10" ht="12.75" customHeight="1" x14ac:dyDescent="0.2">
      <c r="A1519" s="681" t="s">
        <v>2372</v>
      </c>
      <c r="B1519" s="693" t="s">
        <v>4087</v>
      </c>
      <c r="C1519" s="672" t="s">
        <v>895</v>
      </c>
      <c r="D1519" s="673">
        <v>38403</v>
      </c>
      <c r="E1519" s="674">
        <v>3</v>
      </c>
      <c r="F1519" s="675">
        <v>0.33</v>
      </c>
      <c r="G1519" s="676">
        <v>413</v>
      </c>
      <c r="H1519" s="929">
        <v>0</v>
      </c>
      <c r="I1519" s="929">
        <v>412</v>
      </c>
      <c r="J1519" s="689">
        <f t="shared" si="24"/>
        <v>1</v>
      </c>
    </row>
    <row r="1520" spans="1:10" ht="12.75" customHeight="1" x14ac:dyDescent="0.2">
      <c r="A1520" s="681" t="s">
        <v>2370</v>
      </c>
      <c r="B1520" s="693" t="s">
        <v>4088</v>
      </c>
      <c r="C1520" s="672" t="s">
        <v>785</v>
      </c>
      <c r="D1520" s="673">
        <v>37672</v>
      </c>
      <c r="E1520" s="674">
        <v>10</v>
      </c>
      <c r="F1520" s="675">
        <v>0.1</v>
      </c>
      <c r="G1520" s="676">
        <v>414</v>
      </c>
      <c r="H1520" s="929">
        <v>0</v>
      </c>
      <c r="I1520" s="929">
        <v>413</v>
      </c>
      <c r="J1520" s="689">
        <f t="shared" si="24"/>
        <v>1</v>
      </c>
    </row>
    <row r="1521" spans="1:10" ht="12.75" customHeight="1" x14ac:dyDescent="0.2">
      <c r="A1521" s="681" t="s">
        <v>2370</v>
      </c>
      <c r="B1521" s="693" t="s">
        <v>4089</v>
      </c>
      <c r="C1521" s="672" t="s">
        <v>847</v>
      </c>
      <c r="D1521" s="673">
        <v>36211</v>
      </c>
      <c r="E1521" s="674">
        <v>10</v>
      </c>
      <c r="F1521" s="675">
        <v>0.1</v>
      </c>
      <c r="G1521" s="676">
        <v>416</v>
      </c>
      <c r="H1521" s="929">
        <v>0</v>
      </c>
      <c r="I1521" s="929">
        <v>415</v>
      </c>
      <c r="J1521" s="689">
        <f t="shared" si="24"/>
        <v>1</v>
      </c>
    </row>
    <row r="1522" spans="1:10" ht="12.75" customHeight="1" x14ac:dyDescent="0.2">
      <c r="A1522" s="681" t="s">
        <v>2370</v>
      </c>
      <c r="B1522" s="693" t="s">
        <v>4090</v>
      </c>
      <c r="C1522" s="672" t="s">
        <v>826</v>
      </c>
      <c r="D1522" s="673">
        <v>37307</v>
      </c>
      <c r="E1522" s="674">
        <v>10</v>
      </c>
      <c r="F1522" s="675">
        <v>0.1</v>
      </c>
      <c r="G1522" s="676">
        <v>419</v>
      </c>
      <c r="H1522" s="929">
        <v>0</v>
      </c>
      <c r="I1522" s="929">
        <v>418</v>
      </c>
      <c r="J1522" s="689">
        <f t="shared" si="24"/>
        <v>1</v>
      </c>
    </row>
    <row r="1523" spans="1:10" ht="12.75" customHeight="1" x14ac:dyDescent="0.2">
      <c r="A1523" s="681" t="s">
        <v>2370</v>
      </c>
      <c r="B1523" s="693" t="s">
        <v>4091</v>
      </c>
      <c r="C1523" s="672" t="s">
        <v>826</v>
      </c>
      <c r="D1523" s="673">
        <v>37307</v>
      </c>
      <c r="E1523" s="674">
        <v>10</v>
      </c>
      <c r="F1523" s="675">
        <v>0.1</v>
      </c>
      <c r="G1523" s="676">
        <v>419</v>
      </c>
      <c r="H1523" s="929">
        <v>0</v>
      </c>
      <c r="I1523" s="929">
        <v>418</v>
      </c>
      <c r="J1523" s="689">
        <f t="shared" si="24"/>
        <v>1</v>
      </c>
    </row>
    <row r="1524" spans="1:10" ht="12.75" customHeight="1" x14ac:dyDescent="0.2">
      <c r="A1524" s="681" t="s">
        <v>2370</v>
      </c>
      <c r="B1524" s="693" t="s">
        <v>4092</v>
      </c>
      <c r="C1524" s="672" t="s">
        <v>819</v>
      </c>
      <c r="D1524" s="673">
        <v>36576</v>
      </c>
      <c r="E1524" s="674">
        <v>10</v>
      </c>
      <c r="F1524" s="675">
        <v>0.1</v>
      </c>
      <c r="G1524" s="676">
        <v>419</v>
      </c>
      <c r="H1524" s="929">
        <v>0</v>
      </c>
      <c r="I1524" s="929">
        <v>418</v>
      </c>
      <c r="J1524" s="689">
        <f t="shared" si="24"/>
        <v>1</v>
      </c>
    </row>
    <row r="1525" spans="1:10" ht="12.75" customHeight="1" x14ac:dyDescent="0.2">
      <c r="A1525" s="681" t="s">
        <v>2370</v>
      </c>
      <c r="B1525" s="693" t="s">
        <v>4093</v>
      </c>
      <c r="C1525" s="672" t="s">
        <v>785</v>
      </c>
      <c r="D1525" s="673">
        <v>35846</v>
      </c>
      <c r="E1525" s="674">
        <v>10</v>
      </c>
      <c r="F1525" s="675">
        <v>0.1</v>
      </c>
      <c r="G1525" s="676">
        <v>420</v>
      </c>
      <c r="H1525" s="929">
        <v>0</v>
      </c>
      <c r="I1525" s="929">
        <v>419</v>
      </c>
      <c r="J1525" s="689">
        <f t="shared" si="24"/>
        <v>1</v>
      </c>
    </row>
    <row r="1526" spans="1:10" ht="12.75" customHeight="1" x14ac:dyDescent="0.2">
      <c r="A1526" s="681" t="s">
        <v>2370</v>
      </c>
      <c r="B1526" s="693" t="s">
        <v>4094</v>
      </c>
      <c r="C1526" s="672" t="s">
        <v>785</v>
      </c>
      <c r="D1526" s="673">
        <v>36211</v>
      </c>
      <c r="E1526" s="674">
        <v>10</v>
      </c>
      <c r="F1526" s="675">
        <v>0.1</v>
      </c>
      <c r="G1526" s="676">
        <v>420</v>
      </c>
      <c r="H1526" s="929">
        <v>0</v>
      </c>
      <c r="I1526" s="929">
        <v>419</v>
      </c>
      <c r="J1526" s="689">
        <f t="shared" si="24"/>
        <v>1</v>
      </c>
    </row>
    <row r="1527" spans="1:10" ht="12.75" customHeight="1" x14ac:dyDescent="0.2">
      <c r="A1527" s="681" t="s">
        <v>2370</v>
      </c>
      <c r="B1527" s="693" t="s">
        <v>4095</v>
      </c>
      <c r="C1527" s="672" t="s">
        <v>785</v>
      </c>
      <c r="D1527" s="673">
        <v>36576</v>
      </c>
      <c r="E1527" s="674">
        <v>10</v>
      </c>
      <c r="F1527" s="675">
        <v>0.1</v>
      </c>
      <c r="G1527" s="676">
        <v>420</v>
      </c>
      <c r="H1527" s="929">
        <v>0</v>
      </c>
      <c r="I1527" s="929">
        <v>419</v>
      </c>
      <c r="J1527" s="689">
        <f t="shared" si="24"/>
        <v>1</v>
      </c>
    </row>
    <row r="1528" spans="1:10" ht="12.75" customHeight="1" x14ac:dyDescent="0.2">
      <c r="A1528" s="681" t="s">
        <v>2370</v>
      </c>
      <c r="B1528" s="693" t="s">
        <v>4096</v>
      </c>
      <c r="C1528" s="672" t="s">
        <v>785</v>
      </c>
      <c r="D1528" s="673">
        <v>36576</v>
      </c>
      <c r="E1528" s="674">
        <v>10</v>
      </c>
      <c r="F1528" s="675">
        <v>0.1</v>
      </c>
      <c r="G1528" s="676">
        <v>420</v>
      </c>
      <c r="H1528" s="929">
        <v>0</v>
      </c>
      <c r="I1528" s="929">
        <v>419</v>
      </c>
      <c r="J1528" s="689">
        <f t="shared" si="24"/>
        <v>1</v>
      </c>
    </row>
    <row r="1529" spans="1:10" ht="12.75" customHeight="1" x14ac:dyDescent="0.2">
      <c r="A1529" s="681" t="s">
        <v>2370</v>
      </c>
      <c r="B1529" s="693" t="s">
        <v>4097</v>
      </c>
      <c r="C1529" s="672" t="s">
        <v>785</v>
      </c>
      <c r="D1529" s="673">
        <v>37307</v>
      </c>
      <c r="E1529" s="674">
        <v>10</v>
      </c>
      <c r="F1529" s="675">
        <v>0.1</v>
      </c>
      <c r="G1529" s="676">
        <v>420</v>
      </c>
      <c r="H1529" s="929">
        <v>0</v>
      </c>
      <c r="I1529" s="929">
        <v>419</v>
      </c>
      <c r="J1529" s="689">
        <f t="shared" si="24"/>
        <v>1</v>
      </c>
    </row>
    <row r="1530" spans="1:10" ht="12.75" customHeight="1" x14ac:dyDescent="0.2">
      <c r="A1530" s="681" t="s">
        <v>2370</v>
      </c>
      <c r="B1530" s="693" t="s">
        <v>4098</v>
      </c>
      <c r="C1530" s="672" t="s">
        <v>785</v>
      </c>
      <c r="D1530" s="673">
        <v>37672</v>
      </c>
      <c r="E1530" s="674">
        <v>10</v>
      </c>
      <c r="F1530" s="675">
        <v>0.1</v>
      </c>
      <c r="G1530" s="676">
        <v>420</v>
      </c>
      <c r="H1530" s="929">
        <v>0</v>
      </c>
      <c r="I1530" s="929">
        <v>419</v>
      </c>
      <c r="J1530" s="689">
        <f t="shared" si="24"/>
        <v>1</v>
      </c>
    </row>
    <row r="1531" spans="1:10" ht="12.75" customHeight="1" x14ac:dyDescent="0.2">
      <c r="A1531" s="681" t="s">
        <v>2370</v>
      </c>
      <c r="B1531" s="693" t="s">
        <v>4099</v>
      </c>
      <c r="C1531" s="672" t="s">
        <v>785</v>
      </c>
      <c r="D1531" s="673">
        <v>33289</v>
      </c>
      <c r="E1531" s="674">
        <v>10</v>
      </c>
      <c r="F1531" s="675">
        <v>0.1</v>
      </c>
      <c r="G1531" s="676">
        <v>420</v>
      </c>
      <c r="H1531" s="929">
        <v>0</v>
      </c>
      <c r="I1531" s="929">
        <v>419</v>
      </c>
      <c r="J1531" s="689">
        <f t="shared" si="24"/>
        <v>1</v>
      </c>
    </row>
    <row r="1532" spans="1:10" ht="12.75" customHeight="1" x14ac:dyDescent="0.2">
      <c r="A1532" s="681" t="s">
        <v>2370</v>
      </c>
      <c r="B1532" s="693" t="s">
        <v>4100</v>
      </c>
      <c r="C1532" s="672" t="s">
        <v>785</v>
      </c>
      <c r="D1532" s="673">
        <v>33289</v>
      </c>
      <c r="E1532" s="674">
        <v>10</v>
      </c>
      <c r="F1532" s="675">
        <v>0.1</v>
      </c>
      <c r="G1532" s="676">
        <v>420</v>
      </c>
      <c r="H1532" s="929">
        <v>0</v>
      </c>
      <c r="I1532" s="929">
        <v>419</v>
      </c>
      <c r="J1532" s="689">
        <f t="shared" si="24"/>
        <v>1</v>
      </c>
    </row>
    <row r="1533" spans="1:10" ht="12.75" customHeight="1" x14ac:dyDescent="0.2">
      <c r="A1533" s="681" t="s">
        <v>2370</v>
      </c>
      <c r="B1533" s="693" t="s">
        <v>4101</v>
      </c>
      <c r="C1533" s="672" t="s">
        <v>819</v>
      </c>
      <c r="D1533" s="673">
        <v>36576</v>
      </c>
      <c r="E1533" s="674">
        <v>10</v>
      </c>
      <c r="F1533" s="675">
        <v>0.1</v>
      </c>
      <c r="G1533" s="676">
        <v>425</v>
      </c>
      <c r="H1533" s="929">
        <v>0</v>
      </c>
      <c r="I1533" s="929">
        <v>424</v>
      </c>
      <c r="J1533" s="689">
        <f t="shared" si="24"/>
        <v>1</v>
      </c>
    </row>
    <row r="1534" spans="1:10" ht="12.75" customHeight="1" x14ac:dyDescent="0.2">
      <c r="A1534" s="681" t="s">
        <v>2372</v>
      </c>
      <c r="B1534" s="693" t="s">
        <v>4102</v>
      </c>
      <c r="C1534" s="672" t="s">
        <v>895</v>
      </c>
      <c r="D1534" s="673">
        <v>39133</v>
      </c>
      <c r="E1534" s="674">
        <v>3</v>
      </c>
      <c r="F1534" s="675">
        <v>0.33</v>
      </c>
      <c r="G1534" s="676">
        <v>427</v>
      </c>
      <c r="H1534" s="929">
        <v>0</v>
      </c>
      <c r="I1534" s="929">
        <v>426</v>
      </c>
      <c r="J1534" s="689">
        <f t="shared" si="24"/>
        <v>1</v>
      </c>
    </row>
    <row r="1535" spans="1:10" ht="12.75" customHeight="1" x14ac:dyDescent="0.2">
      <c r="A1535" s="681" t="s">
        <v>2372</v>
      </c>
      <c r="B1535" s="693" t="s">
        <v>4103</v>
      </c>
      <c r="C1535" s="672" t="s">
        <v>1049</v>
      </c>
      <c r="D1535" s="673">
        <v>37307</v>
      </c>
      <c r="E1535" s="674">
        <v>10</v>
      </c>
      <c r="F1535" s="675">
        <v>0.1</v>
      </c>
      <c r="G1535" s="676">
        <v>427</v>
      </c>
      <c r="H1535" s="929">
        <v>0</v>
      </c>
      <c r="I1535" s="929">
        <v>426</v>
      </c>
      <c r="J1535" s="689">
        <f t="shared" si="24"/>
        <v>1</v>
      </c>
    </row>
    <row r="1536" spans="1:10" ht="12.75" customHeight="1" x14ac:dyDescent="0.2">
      <c r="A1536" s="681" t="s">
        <v>2370</v>
      </c>
      <c r="B1536" s="693" t="s">
        <v>4104</v>
      </c>
      <c r="C1536" s="672" t="s">
        <v>790</v>
      </c>
      <c r="D1536" s="673">
        <v>36211</v>
      </c>
      <c r="E1536" s="674">
        <v>10</v>
      </c>
      <c r="F1536" s="675">
        <v>0.1</v>
      </c>
      <c r="G1536" s="676">
        <v>437</v>
      </c>
      <c r="H1536" s="929">
        <v>0</v>
      </c>
      <c r="I1536" s="929">
        <v>436</v>
      </c>
      <c r="J1536" s="689">
        <f t="shared" si="24"/>
        <v>1</v>
      </c>
    </row>
    <row r="1537" spans="1:10" ht="12.75" customHeight="1" x14ac:dyDescent="0.2">
      <c r="A1537" s="681" t="s">
        <v>2370</v>
      </c>
      <c r="B1537" s="693" t="s">
        <v>4105</v>
      </c>
      <c r="C1537" s="672" t="s">
        <v>813</v>
      </c>
      <c r="D1537" s="673">
        <v>36576</v>
      </c>
      <c r="E1537" s="674">
        <v>10</v>
      </c>
      <c r="F1537" s="675">
        <v>0.1</v>
      </c>
      <c r="G1537" s="676">
        <v>437</v>
      </c>
      <c r="H1537" s="929">
        <v>0</v>
      </c>
      <c r="I1537" s="929">
        <v>436</v>
      </c>
      <c r="J1537" s="689">
        <f t="shared" si="24"/>
        <v>1</v>
      </c>
    </row>
    <row r="1538" spans="1:10" ht="12.75" customHeight="1" x14ac:dyDescent="0.2">
      <c r="A1538" s="681" t="s">
        <v>2370</v>
      </c>
      <c r="B1538" s="693" t="s">
        <v>4106</v>
      </c>
      <c r="C1538" s="672" t="s">
        <v>785</v>
      </c>
      <c r="D1538" s="673">
        <v>37672</v>
      </c>
      <c r="E1538" s="674">
        <v>10</v>
      </c>
      <c r="F1538" s="675">
        <v>0.1</v>
      </c>
      <c r="G1538" s="676">
        <v>442</v>
      </c>
      <c r="H1538" s="929">
        <v>0</v>
      </c>
      <c r="I1538" s="929">
        <v>441</v>
      </c>
      <c r="J1538" s="689">
        <f t="shared" si="24"/>
        <v>1</v>
      </c>
    </row>
    <row r="1539" spans="1:10" ht="12.75" customHeight="1" x14ac:dyDescent="0.2">
      <c r="A1539" s="681" t="s">
        <v>2370</v>
      </c>
      <c r="B1539" s="693" t="s">
        <v>4107</v>
      </c>
      <c r="C1539" s="672" t="s">
        <v>889</v>
      </c>
      <c r="D1539" s="673">
        <v>38768</v>
      </c>
      <c r="E1539" s="674">
        <v>3</v>
      </c>
      <c r="F1539" s="675">
        <v>0.33</v>
      </c>
      <c r="G1539" s="676">
        <v>446</v>
      </c>
      <c r="H1539" s="929">
        <v>0</v>
      </c>
      <c r="I1539" s="929">
        <v>445</v>
      </c>
      <c r="J1539" s="689">
        <f t="shared" si="24"/>
        <v>1</v>
      </c>
    </row>
    <row r="1540" spans="1:10" ht="12.75" customHeight="1" x14ac:dyDescent="0.2">
      <c r="A1540" s="681" t="s">
        <v>2370</v>
      </c>
      <c r="B1540" s="693" t="s">
        <v>4108</v>
      </c>
      <c r="C1540" s="672" t="s">
        <v>785</v>
      </c>
      <c r="D1540" s="673">
        <v>36576</v>
      </c>
      <c r="E1540" s="674">
        <v>10</v>
      </c>
      <c r="F1540" s="675">
        <v>0.1</v>
      </c>
      <c r="G1540" s="676">
        <v>448</v>
      </c>
      <c r="H1540" s="929">
        <v>0</v>
      </c>
      <c r="I1540" s="929">
        <v>447</v>
      </c>
      <c r="J1540" s="689">
        <f t="shared" si="24"/>
        <v>1</v>
      </c>
    </row>
    <row r="1541" spans="1:10" ht="12.75" customHeight="1" x14ac:dyDescent="0.2">
      <c r="A1541" s="681" t="s">
        <v>2370</v>
      </c>
      <c r="B1541" s="693" t="s">
        <v>4109</v>
      </c>
      <c r="C1541" s="672" t="s">
        <v>785</v>
      </c>
      <c r="D1541" s="673">
        <v>35115</v>
      </c>
      <c r="E1541" s="674">
        <v>10</v>
      </c>
      <c r="F1541" s="675">
        <v>0.1</v>
      </c>
      <c r="G1541" s="676">
        <v>448</v>
      </c>
      <c r="H1541" s="929">
        <v>0</v>
      </c>
      <c r="I1541" s="929">
        <v>447</v>
      </c>
      <c r="J1541" s="689">
        <f t="shared" si="24"/>
        <v>1</v>
      </c>
    </row>
    <row r="1542" spans="1:10" ht="12.75" customHeight="1" x14ac:dyDescent="0.2">
      <c r="A1542" s="681" t="s">
        <v>2370</v>
      </c>
      <c r="B1542" s="693" t="s">
        <v>4110</v>
      </c>
      <c r="C1542" s="672" t="s">
        <v>785</v>
      </c>
      <c r="D1542" s="673">
        <v>35115</v>
      </c>
      <c r="E1542" s="674">
        <v>10</v>
      </c>
      <c r="F1542" s="675">
        <v>0.1</v>
      </c>
      <c r="G1542" s="676">
        <v>448</v>
      </c>
      <c r="H1542" s="929">
        <v>0</v>
      </c>
      <c r="I1542" s="929">
        <v>447</v>
      </c>
      <c r="J1542" s="689">
        <f t="shared" si="24"/>
        <v>1</v>
      </c>
    </row>
    <row r="1543" spans="1:10" ht="12.75" customHeight="1" x14ac:dyDescent="0.2">
      <c r="A1543" s="681" t="s">
        <v>2370</v>
      </c>
      <c r="B1543" s="693" t="s">
        <v>4111</v>
      </c>
      <c r="C1543" s="672" t="s">
        <v>785</v>
      </c>
      <c r="D1543" s="673">
        <v>35115</v>
      </c>
      <c r="E1543" s="674">
        <v>10</v>
      </c>
      <c r="F1543" s="675">
        <v>0.1</v>
      </c>
      <c r="G1543" s="676">
        <v>448</v>
      </c>
      <c r="H1543" s="929">
        <v>0</v>
      </c>
      <c r="I1543" s="929">
        <v>447</v>
      </c>
      <c r="J1543" s="689">
        <f t="shared" ref="J1543:J1606" si="25">G1543-I1543</f>
        <v>1</v>
      </c>
    </row>
    <row r="1544" spans="1:10" ht="12.75" customHeight="1" x14ac:dyDescent="0.2">
      <c r="A1544" s="681" t="s">
        <v>2370</v>
      </c>
      <c r="B1544" s="693" t="s">
        <v>4112</v>
      </c>
      <c r="C1544" s="672" t="s">
        <v>921</v>
      </c>
      <c r="D1544" s="673">
        <v>33289</v>
      </c>
      <c r="E1544" s="674">
        <v>10</v>
      </c>
      <c r="F1544" s="675">
        <v>0.1</v>
      </c>
      <c r="G1544" s="676">
        <v>448</v>
      </c>
      <c r="H1544" s="929">
        <v>0</v>
      </c>
      <c r="I1544" s="929">
        <v>447</v>
      </c>
      <c r="J1544" s="689">
        <f t="shared" si="25"/>
        <v>1</v>
      </c>
    </row>
    <row r="1545" spans="1:10" ht="12.75" customHeight="1" x14ac:dyDescent="0.2">
      <c r="A1545" s="681" t="s">
        <v>2370</v>
      </c>
      <c r="B1545" s="693" t="s">
        <v>4113</v>
      </c>
      <c r="C1545" s="672" t="s">
        <v>790</v>
      </c>
      <c r="D1545" s="673">
        <v>35846</v>
      </c>
      <c r="E1545" s="674">
        <v>10</v>
      </c>
      <c r="F1545" s="675">
        <v>0.1</v>
      </c>
      <c r="G1545" s="676">
        <v>450</v>
      </c>
      <c r="H1545" s="929">
        <v>0</v>
      </c>
      <c r="I1545" s="929">
        <v>449</v>
      </c>
      <c r="J1545" s="689">
        <f t="shared" si="25"/>
        <v>1</v>
      </c>
    </row>
    <row r="1546" spans="1:10" ht="12.75" customHeight="1" x14ac:dyDescent="0.2">
      <c r="A1546" s="681" t="s">
        <v>2370</v>
      </c>
      <c r="B1546" s="693" t="s">
        <v>4114</v>
      </c>
      <c r="C1546" s="672" t="s">
        <v>790</v>
      </c>
      <c r="D1546" s="673">
        <v>35846</v>
      </c>
      <c r="E1546" s="674">
        <v>10</v>
      </c>
      <c r="F1546" s="675">
        <v>0.1</v>
      </c>
      <c r="G1546" s="676">
        <v>450</v>
      </c>
      <c r="H1546" s="929">
        <v>0</v>
      </c>
      <c r="I1546" s="929">
        <v>449</v>
      </c>
      <c r="J1546" s="689">
        <f t="shared" si="25"/>
        <v>1</v>
      </c>
    </row>
    <row r="1547" spans="1:10" ht="12.75" customHeight="1" x14ac:dyDescent="0.2">
      <c r="A1547" s="681" t="s">
        <v>2370</v>
      </c>
      <c r="B1547" s="693" t="s">
        <v>4115</v>
      </c>
      <c r="C1547" s="672" t="s">
        <v>790</v>
      </c>
      <c r="D1547" s="673">
        <v>35846</v>
      </c>
      <c r="E1547" s="674">
        <v>10</v>
      </c>
      <c r="F1547" s="675">
        <v>0.1</v>
      </c>
      <c r="G1547" s="676">
        <v>450</v>
      </c>
      <c r="H1547" s="929">
        <v>0</v>
      </c>
      <c r="I1547" s="929">
        <v>449</v>
      </c>
      <c r="J1547" s="689">
        <f t="shared" si="25"/>
        <v>1</v>
      </c>
    </row>
    <row r="1548" spans="1:10" ht="12.75" customHeight="1" x14ac:dyDescent="0.2">
      <c r="A1548" s="681" t="s">
        <v>2370</v>
      </c>
      <c r="B1548" s="693" t="s">
        <v>4116</v>
      </c>
      <c r="C1548" s="672" t="s">
        <v>847</v>
      </c>
      <c r="D1548" s="673">
        <v>35115</v>
      </c>
      <c r="E1548" s="674">
        <v>10</v>
      </c>
      <c r="F1548" s="675">
        <v>0.1</v>
      </c>
      <c r="G1548" s="676">
        <v>452</v>
      </c>
      <c r="H1548" s="929">
        <v>0</v>
      </c>
      <c r="I1548" s="929">
        <v>451</v>
      </c>
      <c r="J1548" s="689">
        <f t="shared" si="25"/>
        <v>1</v>
      </c>
    </row>
    <row r="1549" spans="1:10" ht="12.75" customHeight="1" x14ac:dyDescent="0.2">
      <c r="A1549" s="681" t="s">
        <v>2372</v>
      </c>
      <c r="B1549" s="693" t="s">
        <v>4117</v>
      </c>
      <c r="C1549" s="672" t="s">
        <v>895</v>
      </c>
      <c r="D1549" s="673">
        <v>39498</v>
      </c>
      <c r="E1549" s="674">
        <v>3</v>
      </c>
      <c r="F1549" s="675">
        <v>0.33</v>
      </c>
      <c r="G1549" s="676">
        <v>452</v>
      </c>
      <c r="H1549" s="929">
        <v>0</v>
      </c>
      <c r="I1549" s="929">
        <v>451</v>
      </c>
      <c r="J1549" s="689">
        <f t="shared" si="25"/>
        <v>1</v>
      </c>
    </row>
    <row r="1550" spans="1:10" ht="12.75" customHeight="1" x14ac:dyDescent="0.2">
      <c r="A1550" s="681" t="s">
        <v>2370</v>
      </c>
      <c r="B1550" s="693" t="s">
        <v>4118</v>
      </c>
      <c r="C1550" s="672" t="s">
        <v>820</v>
      </c>
      <c r="D1550" s="673">
        <v>37307</v>
      </c>
      <c r="E1550" s="674">
        <v>10</v>
      </c>
      <c r="F1550" s="675">
        <v>0.1</v>
      </c>
      <c r="G1550" s="676">
        <v>454</v>
      </c>
      <c r="H1550" s="929">
        <v>0</v>
      </c>
      <c r="I1550" s="929">
        <v>453</v>
      </c>
      <c r="J1550" s="689">
        <f t="shared" si="25"/>
        <v>1</v>
      </c>
    </row>
    <row r="1551" spans="1:10" ht="12.75" customHeight="1" x14ac:dyDescent="0.2">
      <c r="A1551" s="681" t="s">
        <v>2370</v>
      </c>
      <c r="B1551" s="693" t="s">
        <v>4119</v>
      </c>
      <c r="C1551" s="672" t="s">
        <v>819</v>
      </c>
      <c r="D1551" s="673">
        <v>38037</v>
      </c>
      <c r="E1551" s="674">
        <v>10</v>
      </c>
      <c r="F1551" s="675">
        <v>0.1</v>
      </c>
      <c r="G1551" s="676">
        <v>454</v>
      </c>
      <c r="H1551" s="929">
        <v>0</v>
      </c>
      <c r="I1551" s="929">
        <v>453</v>
      </c>
      <c r="J1551" s="689">
        <f t="shared" si="25"/>
        <v>1</v>
      </c>
    </row>
    <row r="1552" spans="1:10" ht="12.75" customHeight="1" x14ac:dyDescent="0.2">
      <c r="A1552" s="681" t="s">
        <v>2370</v>
      </c>
      <c r="B1552" s="693" t="s">
        <v>4120</v>
      </c>
      <c r="C1552" s="672" t="s">
        <v>819</v>
      </c>
      <c r="D1552" s="673">
        <v>38037</v>
      </c>
      <c r="E1552" s="674">
        <v>10</v>
      </c>
      <c r="F1552" s="675">
        <v>0.1</v>
      </c>
      <c r="G1552" s="676">
        <v>454</v>
      </c>
      <c r="H1552" s="929">
        <v>0</v>
      </c>
      <c r="I1552" s="929">
        <v>453</v>
      </c>
      <c r="J1552" s="689">
        <f t="shared" si="25"/>
        <v>1</v>
      </c>
    </row>
    <row r="1553" spans="1:10" ht="12.75" customHeight="1" x14ac:dyDescent="0.2">
      <c r="A1553" s="681" t="s">
        <v>2370</v>
      </c>
      <c r="B1553" s="693" t="s">
        <v>4121</v>
      </c>
      <c r="C1553" s="672" t="s">
        <v>785</v>
      </c>
      <c r="D1553" s="673">
        <v>36211</v>
      </c>
      <c r="E1553" s="674">
        <v>10</v>
      </c>
      <c r="F1553" s="675">
        <v>0.1</v>
      </c>
      <c r="G1553" s="676">
        <v>460</v>
      </c>
      <c r="H1553" s="929">
        <v>0</v>
      </c>
      <c r="I1553" s="929">
        <v>459</v>
      </c>
      <c r="J1553" s="689">
        <f t="shared" si="25"/>
        <v>1</v>
      </c>
    </row>
    <row r="1554" spans="1:10" ht="12.75" customHeight="1" x14ac:dyDescent="0.2">
      <c r="A1554" s="681" t="s">
        <v>2370</v>
      </c>
      <c r="B1554" s="693" t="s">
        <v>4122</v>
      </c>
      <c r="C1554" s="672" t="s">
        <v>785</v>
      </c>
      <c r="D1554" s="673">
        <v>36211</v>
      </c>
      <c r="E1554" s="674">
        <v>10</v>
      </c>
      <c r="F1554" s="675">
        <v>0.1</v>
      </c>
      <c r="G1554" s="676">
        <v>460</v>
      </c>
      <c r="H1554" s="929">
        <v>0</v>
      </c>
      <c r="I1554" s="929">
        <v>459</v>
      </c>
      <c r="J1554" s="689">
        <f t="shared" si="25"/>
        <v>1</v>
      </c>
    </row>
    <row r="1555" spans="1:10" ht="12.75" customHeight="1" x14ac:dyDescent="0.2">
      <c r="A1555" s="681" t="s">
        <v>2370</v>
      </c>
      <c r="B1555" s="693" t="s">
        <v>4123</v>
      </c>
      <c r="C1555" s="672" t="s">
        <v>785</v>
      </c>
      <c r="D1555" s="673">
        <v>36211</v>
      </c>
      <c r="E1555" s="674">
        <v>10</v>
      </c>
      <c r="F1555" s="675">
        <v>0.1</v>
      </c>
      <c r="G1555" s="676">
        <v>460</v>
      </c>
      <c r="H1555" s="929">
        <v>0</v>
      </c>
      <c r="I1555" s="929">
        <v>459</v>
      </c>
      <c r="J1555" s="689">
        <f t="shared" si="25"/>
        <v>1</v>
      </c>
    </row>
    <row r="1556" spans="1:10" ht="12.75" customHeight="1" x14ac:dyDescent="0.2">
      <c r="A1556" s="681" t="s">
        <v>2372</v>
      </c>
      <c r="B1556" s="693" t="s">
        <v>4124</v>
      </c>
      <c r="C1556" s="672" t="s">
        <v>915</v>
      </c>
      <c r="D1556" s="673">
        <v>38037</v>
      </c>
      <c r="E1556" s="674">
        <v>3</v>
      </c>
      <c r="F1556" s="675">
        <v>0.33</v>
      </c>
      <c r="G1556" s="676">
        <v>460</v>
      </c>
      <c r="H1556" s="929">
        <v>0</v>
      </c>
      <c r="I1556" s="929">
        <v>459</v>
      </c>
      <c r="J1556" s="689">
        <f t="shared" si="25"/>
        <v>1</v>
      </c>
    </row>
    <row r="1557" spans="1:10" ht="12.75" customHeight="1" x14ac:dyDescent="0.2">
      <c r="A1557" s="681" t="s">
        <v>2372</v>
      </c>
      <c r="B1557" s="693" t="s">
        <v>4125</v>
      </c>
      <c r="C1557" s="672" t="s">
        <v>915</v>
      </c>
      <c r="D1557" s="673">
        <v>38037</v>
      </c>
      <c r="E1557" s="674">
        <v>3</v>
      </c>
      <c r="F1557" s="675">
        <v>0.33</v>
      </c>
      <c r="G1557" s="676">
        <v>460</v>
      </c>
      <c r="H1557" s="929">
        <v>0</v>
      </c>
      <c r="I1557" s="929">
        <v>459</v>
      </c>
      <c r="J1557" s="689">
        <f t="shared" si="25"/>
        <v>1</v>
      </c>
    </row>
    <row r="1558" spans="1:10" ht="12.75" customHeight="1" x14ac:dyDescent="0.2">
      <c r="A1558" s="681" t="s">
        <v>2372</v>
      </c>
      <c r="B1558" s="693" t="s">
        <v>4126</v>
      </c>
      <c r="C1558" s="672" t="s">
        <v>915</v>
      </c>
      <c r="D1558" s="673">
        <v>38037</v>
      </c>
      <c r="E1558" s="674">
        <v>3</v>
      </c>
      <c r="F1558" s="675">
        <v>0.33</v>
      </c>
      <c r="G1558" s="676">
        <v>460</v>
      </c>
      <c r="H1558" s="929">
        <v>0</v>
      </c>
      <c r="I1558" s="929">
        <v>459</v>
      </c>
      <c r="J1558" s="689">
        <f t="shared" si="25"/>
        <v>1</v>
      </c>
    </row>
    <row r="1559" spans="1:10" ht="12.75" customHeight="1" x14ac:dyDescent="0.2">
      <c r="A1559" s="681" t="s">
        <v>2372</v>
      </c>
      <c r="B1559" s="693" t="s">
        <v>4127</v>
      </c>
      <c r="C1559" s="672" t="s">
        <v>915</v>
      </c>
      <c r="D1559" s="673">
        <v>38037</v>
      </c>
      <c r="E1559" s="674">
        <v>3</v>
      </c>
      <c r="F1559" s="675">
        <v>0.33</v>
      </c>
      <c r="G1559" s="676">
        <v>460</v>
      </c>
      <c r="H1559" s="929">
        <v>0</v>
      </c>
      <c r="I1559" s="929">
        <v>459</v>
      </c>
      <c r="J1559" s="689">
        <f t="shared" si="25"/>
        <v>1</v>
      </c>
    </row>
    <row r="1560" spans="1:10" ht="12.75" customHeight="1" x14ac:dyDescent="0.2">
      <c r="A1560" s="681" t="s">
        <v>2372</v>
      </c>
      <c r="B1560" s="693" t="s">
        <v>4128</v>
      </c>
      <c r="C1560" s="672" t="s">
        <v>895</v>
      </c>
      <c r="D1560" s="673">
        <v>40594</v>
      </c>
      <c r="E1560" s="674">
        <v>3</v>
      </c>
      <c r="F1560" s="675">
        <v>0.33</v>
      </c>
      <c r="G1560" s="676">
        <v>463</v>
      </c>
      <c r="H1560" s="929">
        <v>0</v>
      </c>
      <c r="I1560" s="929">
        <v>462</v>
      </c>
      <c r="J1560" s="689">
        <f t="shared" si="25"/>
        <v>1</v>
      </c>
    </row>
    <row r="1561" spans="1:10" ht="12.75" customHeight="1" x14ac:dyDescent="0.2">
      <c r="A1561" s="681" t="s">
        <v>2370</v>
      </c>
      <c r="B1561" s="693" t="s">
        <v>4129</v>
      </c>
      <c r="C1561" s="672" t="s">
        <v>938</v>
      </c>
      <c r="D1561" s="673">
        <v>37672</v>
      </c>
      <c r="E1561" s="674">
        <v>10</v>
      </c>
      <c r="F1561" s="675">
        <v>0.1</v>
      </c>
      <c r="G1561" s="676">
        <v>466</v>
      </c>
      <c r="H1561" s="929">
        <v>0</v>
      </c>
      <c r="I1561" s="929">
        <v>465</v>
      </c>
      <c r="J1561" s="689">
        <f t="shared" si="25"/>
        <v>1</v>
      </c>
    </row>
    <row r="1562" spans="1:10" ht="12.75" customHeight="1" x14ac:dyDescent="0.2">
      <c r="A1562" s="681" t="s">
        <v>2370</v>
      </c>
      <c r="B1562" s="693" t="s">
        <v>4130</v>
      </c>
      <c r="C1562" s="672" t="s">
        <v>789</v>
      </c>
      <c r="D1562" s="673">
        <v>35115</v>
      </c>
      <c r="E1562" s="674">
        <v>10</v>
      </c>
      <c r="F1562" s="675">
        <v>0.1</v>
      </c>
      <c r="G1562" s="676">
        <v>475</v>
      </c>
      <c r="H1562" s="929">
        <v>0</v>
      </c>
      <c r="I1562" s="929">
        <v>474</v>
      </c>
      <c r="J1562" s="689">
        <f t="shared" si="25"/>
        <v>1</v>
      </c>
    </row>
    <row r="1563" spans="1:10" ht="12.75" customHeight="1" x14ac:dyDescent="0.2">
      <c r="A1563" s="681" t="s">
        <v>2370</v>
      </c>
      <c r="B1563" s="693" t="s">
        <v>4131</v>
      </c>
      <c r="C1563" s="672" t="s">
        <v>787</v>
      </c>
      <c r="D1563" s="673">
        <v>35115</v>
      </c>
      <c r="E1563" s="674">
        <v>10</v>
      </c>
      <c r="F1563" s="675">
        <v>0.1</v>
      </c>
      <c r="G1563" s="676">
        <v>480</v>
      </c>
      <c r="H1563" s="929">
        <v>0</v>
      </c>
      <c r="I1563" s="929">
        <v>479</v>
      </c>
      <c r="J1563" s="689">
        <f t="shared" si="25"/>
        <v>1</v>
      </c>
    </row>
    <row r="1564" spans="1:10" ht="12.75" customHeight="1" x14ac:dyDescent="0.2">
      <c r="A1564" s="681" t="s">
        <v>2370</v>
      </c>
      <c r="B1564" s="693" t="s">
        <v>4132</v>
      </c>
      <c r="C1564" s="672" t="s">
        <v>787</v>
      </c>
      <c r="D1564" s="673">
        <v>35115</v>
      </c>
      <c r="E1564" s="674">
        <v>10</v>
      </c>
      <c r="F1564" s="675">
        <v>0.1</v>
      </c>
      <c r="G1564" s="676">
        <v>480</v>
      </c>
      <c r="H1564" s="929">
        <v>0</v>
      </c>
      <c r="I1564" s="929">
        <v>479</v>
      </c>
      <c r="J1564" s="689">
        <f t="shared" si="25"/>
        <v>1</v>
      </c>
    </row>
    <row r="1565" spans="1:10" ht="12.75" customHeight="1" x14ac:dyDescent="0.2">
      <c r="A1565" s="681" t="s">
        <v>2370</v>
      </c>
      <c r="B1565" s="693" t="s">
        <v>4133</v>
      </c>
      <c r="C1565" s="672" t="s">
        <v>787</v>
      </c>
      <c r="D1565" s="673">
        <v>35115</v>
      </c>
      <c r="E1565" s="674">
        <v>10</v>
      </c>
      <c r="F1565" s="675">
        <v>0.1</v>
      </c>
      <c r="G1565" s="676">
        <v>480</v>
      </c>
      <c r="H1565" s="929">
        <v>0</v>
      </c>
      <c r="I1565" s="929">
        <v>479</v>
      </c>
      <c r="J1565" s="689">
        <f t="shared" si="25"/>
        <v>1</v>
      </c>
    </row>
    <row r="1566" spans="1:10" ht="12.75" customHeight="1" x14ac:dyDescent="0.2">
      <c r="A1566" s="681" t="s">
        <v>2370</v>
      </c>
      <c r="B1566" s="693" t="s">
        <v>4134</v>
      </c>
      <c r="C1566" s="672" t="s">
        <v>787</v>
      </c>
      <c r="D1566" s="673">
        <v>35115</v>
      </c>
      <c r="E1566" s="674">
        <v>10</v>
      </c>
      <c r="F1566" s="675">
        <v>0.1</v>
      </c>
      <c r="G1566" s="676">
        <v>480</v>
      </c>
      <c r="H1566" s="929">
        <v>0</v>
      </c>
      <c r="I1566" s="929">
        <v>479</v>
      </c>
      <c r="J1566" s="689">
        <f t="shared" si="25"/>
        <v>1</v>
      </c>
    </row>
    <row r="1567" spans="1:10" ht="12.75" customHeight="1" x14ac:dyDescent="0.2">
      <c r="A1567" s="681" t="s">
        <v>2370</v>
      </c>
      <c r="B1567" s="693" t="s">
        <v>4135</v>
      </c>
      <c r="C1567" s="672" t="s">
        <v>828</v>
      </c>
      <c r="D1567" s="673">
        <v>36211</v>
      </c>
      <c r="E1567" s="674">
        <v>10</v>
      </c>
      <c r="F1567" s="675">
        <v>0.1</v>
      </c>
      <c r="G1567" s="676">
        <v>484</v>
      </c>
      <c r="H1567" s="929">
        <v>0</v>
      </c>
      <c r="I1567" s="929">
        <v>483</v>
      </c>
      <c r="J1567" s="689">
        <f t="shared" si="25"/>
        <v>1</v>
      </c>
    </row>
    <row r="1568" spans="1:10" ht="12.75" customHeight="1" x14ac:dyDescent="0.2">
      <c r="A1568" s="681" t="s">
        <v>2370</v>
      </c>
      <c r="B1568" s="693" t="s">
        <v>4136</v>
      </c>
      <c r="C1568" s="672" t="s">
        <v>828</v>
      </c>
      <c r="D1568" s="673">
        <v>36211</v>
      </c>
      <c r="E1568" s="674">
        <v>10</v>
      </c>
      <c r="F1568" s="675">
        <v>0.1</v>
      </c>
      <c r="G1568" s="676">
        <v>484</v>
      </c>
      <c r="H1568" s="929">
        <v>0</v>
      </c>
      <c r="I1568" s="929">
        <v>483</v>
      </c>
      <c r="J1568" s="689">
        <f t="shared" si="25"/>
        <v>1</v>
      </c>
    </row>
    <row r="1569" spans="1:10" ht="12.75" customHeight="1" x14ac:dyDescent="0.2">
      <c r="A1569" s="681" t="s">
        <v>2370</v>
      </c>
      <c r="B1569" s="693" t="s">
        <v>4137</v>
      </c>
      <c r="C1569" s="672" t="s">
        <v>828</v>
      </c>
      <c r="D1569" s="673">
        <v>36211</v>
      </c>
      <c r="E1569" s="674">
        <v>10</v>
      </c>
      <c r="F1569" s="675">
        <v>0.1</v>
      </c>
      <c r="G1569" s="676">
        <v>484</v>
      </c>
      <c r="H1569" s="929">
        <v>0</v>
      </c>
      <c r="I1569" s="929">
        <v>483</v>
      </c>
      <c r="J1569" s="689">
        <f t="shared" si="25"/>
        <v>1</v>
      </c>
    </row>
    <row r="1570" spans="1:10" ht="12.75" customHeight="1" x14ac:dyDescent="0.2">
      <c r="A1570" s="681" t="s">
        <v>2370</v>
      </c>
      <c r="B1570" s="693" t="s">
        <v>4138</v>
      </c>
      <c r="C1570" s="672" t="s">
        <v>828</v>
      </c>
      <c r="D1570" s="673">
        <v>36211</v>
      </c>
      <c r="E1570" s="674">
        <v>10</v>
      </c>
      <c r="F1570" s="675">
        <v>0.1</v>
      </c>
      <c r="G1570" s="676">
        <v>484</v>
      </c>
      <c r="H1570" s="929">
        <v>0</v>
      </c>
      <c r="I1570" s="929">
        <v>483</v>
      </c>
      <c r="J1570" s="689">
        <f t="shared" si="25"/>
        <v>1</v>
      </c>
    </row>
    <row r="1571" spans="1:10" ht="12.75" customHeight="1" x14ac:dyDescent="0.2">
      <c r="A1571" s="681" t="s">
        <v>2370</v>
      </c>
      <c r="B1571" s="693" t="s">
        <v>4139</v>
      </c>
      <c r="C1571" s="672" t="s">
        <v>828</v>
      </c>
      <c r="D1571" s="673">
        <v>36211</v>
      </c>
      <c r="E1571" s="674">
        <v>10</v>
      </c>
      <c r="F1571" s="675">
        <v>0.1</v>
      </c>
      <c r="G1571" s="676">
        <v>484</v>
      </c>
      <c r="H1571" s="929">
        <v>0</v>
      </c>
      <c r="I1571" s="929">
        <v>483</v>
      </c>
      <c r="J1571" s="689">
        <f t="shared" si="25"/>
        <v>1</v>
      </c>
    </row>
    <row r="1572" spans="1:10" ht="12.75" customHeight="1" x14ac:dyDescent="0.2">
      <c r="A1572" s="681" t="s">
        <v>2370</v>
      </c>
      <c r="B1572" s="693" t="s">
        <v>4140</v>
      </c>
      <c r="C1572" s="672" t="s">
        <v>828</v>
      </c>
      <c r="D1572" s="673">
        <v>36211</v>
      </c>
      <c r="E1572" s="674">
        <v>10</v>
      </c>
      <c r="F1572" s="675">
        <v>0.1</v>
      </c>
      <c r="G1572" s="676">
        <v>484</v>
      </c>
      <c r="H1572" s="929">
        <v>0</v>
      </c>
      <c r="I1572" s="929">
        <v>483</v>
      </c>
      <c r="J1572" s="689">
        <f t="shared" si="25"/>
        <v>1</v>
      </c>
    </row>
    <row r="1573" spans="1:10" ht="12.75" customHeight="1" x14ac:dyDescent="0.2">
      <c r="A1573" s="681" t="s">
        <v>2370</v>
      </c>
      <c r="B1573" s="693" t="s">
        <v>4141</v>
      </c>
      <c r="C1573" s="672" t="s">
        <v>828</v>
      </c>
      <c r="D1573" s="673">
        <v>36211</v>
      </c>
      <c r="E1573" s="674">
        <v>10</v>
      </c>
      <c r="F1573" s="675">
        <v>0.1</v>
      </c>
      <c r="G1573" s="676">
        <v>484</v>
      </c>
      <c r="H1573" s="929">
        <v>0</v>
      </c>
      <c r="I1573" s="929">
        <v>483</v>
      </c>
      <c r="J1573" s="689">
        <f t="shared" si="25"/>
        <v>1</v>
      </c>
    </row>
    <row r="1574" spans="1:10" ht="12.75" customHeight="1" x14ac:dyDescent="0.2">
      <c r="A1574" s="681" t="s">
        <v>2370</v>
      </c>
      <c r="B1574" s="693" t="s">
        <v>4142</v>
      </c>
      <c r="C1574" s="672" t="s">
        <v>828</v>
      </c>
      <c r="D1574" s="673">
        <v>36211</v>
      </c>
      <c r="E1574" s="674">
        <v>10</v>
      </c>
      <c r="F1574" s="675">
        <v>0.1</v>
      </c>
      <c r="G1574" s="676">
        <v>484</v>
      </c>
      <c r="H1574" s="929">
        <v>0</v>
      </c>
      <c r="I1574" s="929">
        <v>483</v>
      </c>
      <c r="J1574" s="689">
        <f t="shared" si="25"/>
        <v>1</v>
      </c>
    </row>
    <row r="1575" spans="1:10" ht="12.75" customHeight="1" x14ac:dyDescent="0.2">
      <c r="A1575" s="681" t="s">
        <v>2370</v>
      </c>
      <c r="B1575" s="693" t="s">
        <v>4143</v>
      </c>
      <c r="C1575" s="672" t="s">
        <v>828</v>
      </c>
      <c r="D1575" s="673">
        <v>36211</v>
      </c>
      <c r="E1575" s="674">
        <v>10</v>
      </c>
      <c r="F1575" s="675">
        <v>0.1</v>
      </c>
      <c r="G1575" s="676">
        <v>484</v>
      </c>
      <c r="H1575" s="929">
        <v>0</v>
      </c>
      <c r="I1575" s="929">
        <v>483</v>
      </c>
      <c r="J1575" s="689">
        <f t="shared" si="25"/>
        <v>1</v>
      </c>
    </row>
    <row r="1576" spans="1:10" ht="12.75" customHeight="1" x14ac:dyDescent="0.2">
      <c r="A1576" s="681" t="s">
        <v>2370</v>
      </c>
      <c r="B1576" s="693" t="s">
        <v>4144</v>
      </c>
      <c r="C1576" s="672" t="s">
        <v>828</v>
      </c>
      <c r="D1576" s="673">
        <v>36211</v>
      </c>
      <c r="E1576" s="674">
        <v>10</v>
      </c>
      <c r="F1576" s="675">
        <v>0.1</v>
      </c>
      <c r="G1576" s="676">
        <v>484</v>
      </c>
      <c r="H1576" s="929">
        <v>0</v>
      </c>
      <c r="I1576" s="929">
        <v>483</v>
      </c>
      <c r="J1576" s="689">
        <f t="shared" si="25"/>
        <v>1</v>
      </c>
    </row>
    <row r="1577" spans="1:10" ht="12.75" customHeight="1" x14ac:dyDescent="0.2">
      <c r="A1577" s="681" t="s">
        <v>2370</v>
      </c>
      <c r="B1577" s="693" t="s">
        <v>4145</v>
      </c>
      <c r="C1577" s="672" t="s">
        <v>790</v>
      </c>
      <c r="D1577" s="673">
        <v>36211</v>
      </c>
      <c r="E1577" s="674">
        <v>10</v>
      </c>
      <c r="F1577" s="675">
        <v>0.1</v>
      </c>
      <c r="G1577" s="676">
        <v>489</v>
      </c>
      <c r="H1577" s="929">
        <v>0</v>
      </c>
      <c r="I1577" s="929">
        <v>488</v>
      </c>
      <c r="J1577" s="689">
        <f t="shared" si="25"/>
        <v>1</v>
      </c>
    </row>
    <row r="1578" spans="1:10" ht="12.75" customHeight="1" x14ac:dyDescent="0.2">
      <c r="A1578" s="681" t="s">
        <v>2370</v>
      </c>
      <c r="B1578" s="693" t="s">
        <v>4146</v>
      </c>
      <c r="C1578" s="672" t="s">
        <v>785</v>
      </c>
      <c r="D1578" s="673">
        <v>36576</v>
      </c>
      <c r="E1578" s="674">
        <v>10</v>
      </c>
      <c r="F1578" s="675">
        <v>0.1</v>
      </c>
      <c r="G1578" s="676">
        <v>494</v>
      </c>
      <c r="H1578" s="929">
        <v>0</v>
      </c>
      <c r="I1578" s="929">
        <v>493</v>
      </c>
      <c r="J1578" s="689">
        <f t="shared" si="25"/>
        <v>1</v>
      </c>
    </row>
    <row r="1579" spans="1:10" ht="12.75" customHeight="1" x14ac:dyDescent="0.2">
      <c r="A1579" s="681" t="s">
        <v>2370</v>
      </c>
      <c r="B1579" s="693" t="s">
        <v>4147</v>
      </c>
      <c r="C1579" s="672" t="s">
        <v>791</v>
      </c>
      <c r="D1579" s="673">
        <v>34385</v>
      </c>
      <c r="E1579" s="674">
        <v>10</v>
      </c>
      <c r="F1579" s="675">
        <v>0.1</v>
      </c>
      <c r="G1579" s="676">
        <v>495</v>
      </c>
      <c r="H1579" s="929">
        <v>0</v>
      </c>
      <c r="I1579" s="929">
        <v>494</v>
      </c>
      <c r="J1579" s="689">
        <f t="shared" si="25"/>
        <v>1</v>
      </c>
    </row>
    <row r="1580" spans="1:10" ht="12.75" customHeight="1" x14ac:dyDescent="0.2">
      <c r="A1580" s="681" t="s">
        <v>2372</v>
      </c>
      <c r="B1580" s="693" t="s">
        <v>4148</v>
      </c>
      <c r="C1580" s="672" t="s">
        <v>1028</v>
      </c>
      <c r="D1580" s="673">
        <v>40229</v>
      </c>
      <c r="E1580" s="674">
        <v>3</v>
      </c>
      <c r="F1580" s="675">
        <v>0.33</v>
      </c>
      <c r="G1580" s="676">
        <v>503</v>
      </c>
      <c r="H1580" s="929">
        <v>0</v>
      </c>
      <c r="I1580" s="929">
        <v>502</v>
      </c>
      <c r="J1580" s="689">
        <f t="shared" si="25"/>
        <v>1</v>
      </c>
    </row>
    <row r="1581" spans="1:10" ht="12.75" customHeight="1" x14ac:dyDescent="0.2">
      <c r="A1581" s="681" t="s">
        <v>2370</v>
      </c>
      <c r="B1581" s="693" t="s">
        <v>4149</v>
      </c>
      <c r="C1581" s="672" t="s">
        <v>785</v>
      </c>
      <c r="D1581" s="673">
        <v>35846</v>
      </c>
      <c r="E1581" s="674">
        <v>10</v>
      </c>
      <c r="F1581" s="675">
        <v>0.1</v>
      </c>
      <c r="G1581" s="676">
        <v>518</v>
      </c>
      <c r="H1581" s="929">
        <v>0</v>
      </c>
      <c r="I1581" s="929">
        <v>517</v>
      </c>
      <c r="J1581" s="689">
        <f t="shared" si="25"/>
        <v>1</v>
      </c>
    </row>
    <row r="1582" spans="1:10" ht="12.75" customHeight="1" x14ac:dyDescent="0.2">
      <c r="A1582" s="681" t="s">
        <v>2372</v>
      </c>
      <c r="B1582" s="693" t="s">
        <v>4150</v>
      </c>
      <c r="C1582" s="672" t="s">
        <v>1024</v>
      </c>
      <c r="D1582" s="673">
        <v>39498</v>
      </c>
      <c r="E1582" s="674">
        <v>10</v>
      </c>
      <c r="F1582" s="675">
        <v>0.1</v>
      </c>
      <c r="G1582" s="676">
        <v>518</v>
      </c>
      <c r="H1582" s="929">
        <v>0</v>
      </c>
      <c r="I1582" s="929">
        <v>517</v>
      </c>
      <c r="J1582" s="689">
        <f t="shared" si="25"/>
        <v>1</v>
      </c>
    </row>
    <row r="1583" spans="1:10" ht="12.75" customHeight="1" x14ac:dyDescent="0.2">
      <c r="A1583" s="681" t="s">
        <v>2370</v>
      </c>
      <c r="B1583" s="693" t="s">
        <v>4151</v>
      </c>
      <c r="C1583" s="672" t="s">
        <v>819</v>
      </c>
      <c r="D1583" s="673">
        <v>35846</v>
      </c>
      <c r="E1583" s="674">
        <v>10</v>
      </c>
      <c r="F1583" s="675">
        <v>0.1</v>
      </c>
      <c r="G1583" s="676">
        <v>520</v>
      </c>
      <c r="H1583" s="929">
        <v>0</v>
      </c>
      <c r="I1583" s="929">
        <v>519</v>
      </c>
      <c r="J1583" s="689">
        <f t="shared" si="25"/>
        <v>1</v>
      </c>
    </row>
    <row r="1584" spans="1:10" ht="12.75" customHeight="1" x14ac:dyDescent="0.2">
      <c r="A1584" s="681" t="s">
        <v>2370</v>
      </c>
      <c r="B1584" s="693" t="s">
        <v>4152</v>
      </c>
      <c r="C1584" s="672" t="s">
        <v>819</v>
      </c>
      <c r="D1584" s="673">
        <v>35846</v>
      </c>
      <c r="E1584" s="674">
        <v>10</v>
      </c>
      <c r="F1584" s="675">
        <v>0.1</v>
      </c>
      <c r="G1584" s="676">
        <v>520</v>
      </c>
      <c r="H1584" s="929">
        <v>0</v>
      </c>
      <c r="I1584" s="929">
        <v>519</v>
      </c>
      <c r="J1584" s="689">
        <f t="shared" si="25"/>
        <v>1</v>
      </c>
    </row>
    <row r="1585" spans="1:10" ht="12.75" customHeight="1" x14ac:dyDescent="0.2">
      <c r="A1585" s="681" t="s">
        <v>2370</v>
      </c>
      <c r="B1585" s="693" t="s">
        <v>4153</v>
      </c>
      <c r="C1585" s="672" t="s">
        <v>819</v>
      </c>
      <c r="D1585" s="673">
        <v>35846</v>
      </c>
      <c r="E1585" s="674">
        <v>10</v>
      </c>
      <c r="F1585" s="675">
        <v>0.1</v>
      </c>
      <c r="G1585" s="676">
        <v>520</v>
      </c>
      <c r="H1585" s="929">
        <v>0</v>
      </c>
      <c r="I1585" s="929">
        <v>519</v>
      </c>
      <c r="J1585" s="689">
        <f t="shared" si="25"/>
        <v>1</v>
      </c>
    </row>
    <row r="1586" spans="1:10" ht="12.75" customHeight="1" x14ac:dyDescent="0.2">
      <c r="A1586" s="681" t="s">
        <v>2370</v>
      </c>
      <c r="B1586" s="693" t="s">
        <v>4154</v>
      </c>
      <c r="C1586" s="672" t="s">
        <v>785</v>
      </c>
      <c r="D1586" s="673">
        <v>36211</v>
      </c>
      <c r="E1586" s="674">
        <v>10</v>
      </c>
      <c r="F1586" s="675">
        <v>0.1</v>
      </c>
      <c r="G1586" s="676">
        <v>522</v>
      </c>
      <c r="H1586" s="929">
        <v>0</v>
      </c>
      <c r="I1586" s="929">
        <v>521</v>
      </c>
      <c r="J1586" s="689">
        <f t="shared" si="25"/>
        <v>1</v>
      </c>
    </row>
    <row r="1587" spans="1:10" ht="12.75" customHeight="1" x14ac:dyDescent="0.2">
      <c r="A1587" s="681" t="s">
        <v>2370</v>
      </c>
      <c r="B1587" s="693" t="s">
        <v>4155</v>
      </c>
      <c r="C1587" s="672" t="s">
        <v>785</v>
      </c>
      <c r="D1587" s="673">
        <v>36211</v>
      </c>
      <c r="E1587" s="674">
        <v>10</v>
      </c>
      <c r="F1587" s="675">
        <v>0.1</v>
      </c>
      <c r="G1587" s="676">
        <v>522</v>
      </c>
      <c r="H1587" s="929">
        <v>0</v>
      </c>
      <c r="I1587" s="929">
        <v>521</v>
      </c>
      <c r="J1587" s="689">
        <f t="shared" si="25"/>
        <v>1</v>
      </c>
    </row>
    <row r="1588" spans="1:10" ht="12.75" customHeight="1" x14ac:dyDescent="0.2">
      <c r="A1588" s="681" t="s">
        <v>2370</v>
      </c>
      <c r="B1588" s="693" t="s">
        <v>4156</v>
      </c>
      <c r="C1588" s="672" t="s">
        <v>785</v>
      </c>
      <c r="D1588" s="673">
        <v>35481</v>
      </c>
      <c r="E1588" s="674">
        <v>10</v>
      </c>
      <c r="F1588" s="675">
        <v>0.1</v>
      </c>
      <c r="G1588" s="676">
        <v>522</v>
      </c>
      <c r="H1588" s="929">
        <v>0</v>
      </c>
      <c r="I1588" s="929">
        <v>521</v>
      </c>
      <c r="J1588" s="689">
        <f t="shared" si="25"/>
        <v>1</v>
      </c>
    </row>
    <row r="1589" spans="1:10" ht="12.75" customHeight="1" x14ac:dyDescent="0.2">
      <c r="A1589" s="681" t="s">
        <v>2370</v>
      </c>
      <c r="B1589" s="693" t="s">
        <v>4157</v>
      </c>
      <c r="C1589" s="672" t="s">
        <v>889</v>
      </c>
      <c r="D1589" s="673">
        <v>39498</v>
      </c>
      <c r="E1589" s="674">
        <v>3</v>
      </c>
      <c r="F1589" s="675">
        <v>0.33</v>
      </c>
      <c r="G1589" s="676">
        <v>522</v>
      </c>
      <c r="H1589" s="929">
        <v>0</v>
      </c>
      <c r="I1589" s="929">
        <v>521</v>
      </c>
      <c r="J1589" s="689">
        <f t="shared" si="25"/>
        <v>1</v>
      </c>
    </row>
    <row r="1590" spans="1:10" ht="12.75" customHeight="1" x14ac:dyDescent="0.2">
      <c r="A1590" s="681" t="s">
        <v>2370</v>
      </c>
      <c r="B1590" s="693" t="s">
        <v>4158</v>
      </c>
      <c r="C1590" s="672" t="s">
        <v>938</v>
      </c>
      <c r="D1590" s="673">
        <v>36211</v>
      </c>
      <c r="E1590" s="674">
        <v>10</v>
      </c>
      <c r="F1590" s="675">
        <v>0.1</v>
      </c>
      <c r="G1590" s="676">
        <v>525</v>
      </c>
      <c r="H1590" s="929">
        <v>0</v>
      </c>
      <c r="I1590" s="929">
        <v>524</v>
      </c>
      <c r="J1590" s="689">
        <f t="shared" si="25"/>
        <v>1</v>
      </c>
    </row>
    <row r="1591" spans="1:10" ht="12.75" customHeight="1" x14ac:dyDescent="0.2">
      <c r="A1591" s="681" t="s">
        <v>2370</v>
      </c>
      <c r="B1591" s="693" t="s">
        <v>4159</v>
      </c>
      <c r="C1591" s="672" t="s">
        <v>787</v>
      </c>
      <c r="D1591" s="673">
        <v>34020</v>
      </c>
      <c r="E1591" s="674">
        <v>10</v>
      </c>
      <c r="F1591" s="675">
        <v>0.1</v>
      </c>
      <c r="G1591" s="676">
        <v>539</v>
      </c>
      <c r="H1591" s="929">
        <v>0</v>
      </c>
      <c r="I1591" s="929">
        <v>538</v>
      </c>
      <c r="J1591" s="689">
        <f t="shared" si="25"/>
        <v>1</v>
      </c>
    </row>
    <row r="1592" spans="1:10" ht="12.75" customHeight="1" x14ac:dyDescent="0.2">
      <c r="A1592" s="681" t="s">
        <v>2370</v>
      </c>
      <c r="B1592" s="693" t="s">
        <v>4160</v>
      </c>
      <c r="C1592" s="672" t="s">
        <v>819</v>
      </c>
      <c r="D1592" s="673">
        <v>36576</v>
      </c>
      <c r="E1592" s="674">
        <v>10</v>
      </c>
      <c r="F1592" s="675">
        <v>0.1</v>
      </c>
      <c r="G1592" s="676">
        <v>542</v>
      </c>
      <c r="H1592" s="929">
        <v>0</v>
      </c>
      <c r="I1592" s="929">
        <v>541</v>
      </c>
      <c r="J1592" s="689">
        <f t="shared" si="25"/>
        <v>1</v>
      </c>
    </row>
    <row r="1593" spans="1:10" ht="12.75" customHeight="1" x14ac:dyDescent="0.2">
      <c r="A1593" s="681" t="s">
        <v>2370</v>
      </c>
      <c r="B1593" s="693" t="s">
        <v>4161</v>
      </c>
      <c r="C1593" s="672" t="s">
        <v>819</v>
      </c>
      <c r="D1593" s="673">
        <v>36576</v>
      </c>
      <c r="E1593" s="674">
        <v>10</v>
      </c>
      <c r="F1593" s="675">
        <v>0.1</v>
      </c>
      <c r="G1593" s="676">
        <v>542</v>
      </c>
      <c r="H1593" s="929">
        <v>0</v>
      </c>
      <c r="I1593" s="929">
        <v>541</v>
      </c>
      <c r="J1593" s="689">
        <f t="shared" si="25"/>
        <v>1</v>
      </c>
    </row>
    <row r="1594" spans="1:10" ht="12.75" customHeight="1" x14ac:dyDescent="0.2">
      <c r="A1594" s="681" t="s">
        <v>2370</v>
      </c>
      <c r="B1594" s="693" t="s">
        <v>4162</v>
      </c>
      <c r="C1594" s="672" t="s">
        <v>819</v>
      </c>
      <c r="D1594" s="673">
        <v>36576</v>
      </c>
      <c r="E1594" s="674">
        <v>10</v>
      </c>
      <c r="F1594" s="675">
        <v>0.1</v>
      </c>
      <c r="G1594" s="676">
        <v>542</v>
      </c>
      <c r="H1594" s="929">
        <v>0</v>
      </c>
      <c r="I1594" s="929">
        <v>541</v>
      </c>
      <c r="J1594" s="689">
        <f t="shared" si="25"/>
        <v>1</v>
      </c>
    </row>
    <row r="1595" spans="1:10" ht="12.75" customHeight="1" x14ac:dyDescent="0.2">
      <c r="A1595" s="681" t="s">
        <v>2370</v>
      </c>
      <c r="B1595" s="693" t="s">
        <v>4163</v>
      </c>
      <c r="C1595" s="672" t="s">
        <v>819</v>
      </c>
      <c r="D1595" s="673">
        <v>36576</v>
      </c>
      <c r="E1595" s="674">
        <v>10</v>
      </c>
      <c r="F1595" s="675">
        <v>0.1</v>
      </c>
      <c r="G1595" s="676">
        <v>542</v>
      </c>
      <c r="H1595" s="929">
        <v>0</v>
      </c>
      <c r="I1595" s="929">
        <v>541</v>
      </c>
      <c r="J1595" s="689">
        <f t="shared" si="25"/>
        <v>1</v>
      </c>
    </row>
    <row r="1596" spans="1:10" ht="12.75" customHeight="1" x14ac:dyDescent="0.2">
      <c r="A1596" s="681" t="s">
        <v>2370</v>
      </c>
      <c r="B1596" s="693" t="s">
        <v>4164</v>
      </c>
      <c r="C1596" s="672" t="s">
        <v>819</v>
      </c>
      <c r="D1596" s="673">
        <v>36576</v>
      </c>
      <c r="E1596" s="674">
        <v>10</v>
      </c>
      <c r="F1596" s="675">
        <v>0.1</v>
      </c>
      <c r="G1596" s="676">
        <v>542</v>
      </c>
      <c r="H1596" s="929">
        <v>0</v>
      </c>
      <c r="I1596" s="929">
        <v>541</v>
      </c>
      <c r="J1596" s="689">
        <f t="shared" si="25"/>
        <v>1</v>
      </c>
    </row>
    <row r="1597" spans="1:10" ht="12.75" customHeight="1" x14ac:dyDescent="0.2">
      <c r="A1597" s="681" t="s">
        <v>2370</v>
      </c>
      <c r="B1597" s="693" t="s">
        <v>4165</v>
      </c>
      <c r="C1597" s="672" t="s">
        <v>819</v>
      </c>
      <c r="D1597" s="673">
        <v>36576</v>
      </c>
      <c r="E1597" s="674">
        <v>10</v>
      </c>
      <c r="F1597" s="675">
        <v>0.1</v>
      </c>
      <c r="G1597" s="676">
        <v>542</v>
      </c>
      <c r="H1597" s="929">
        <v>0</v>
      </c>
      <c r="I1597" s="929">
        <v>541</v>
      </c>
      <c r="J1597" s="689">
        <f t="shared" si="25"/>
        <v>1</v>
      </c>
    </row>
    <row r="1598" spans="1:10" ht="12.75" customHeight="1" x14ac:dyDescent="0.2">
      <c r="A1598" s="681" t="s">
        <v>2370</v>
      </c>
      <c r="B1598" s="693" t="s">
        <v>4166</v>
      </c>
      <c r="C1598" s="672" t="s">
        <v>819</v>
      </c>
      <c r="D1598" s="673">
        <v>36576</v>
      </c>
      <c r="E1598" s="674">
        <v>10</v>
      </c>
      <c r="F1598" s="675">
        <v>0.1</v>
      </c>
      <c r="G1598" s="676">
        <v>542</v>
      </c>
      <c r="H1598" s="929">
        <v>0</v>
      </c>
      <c r="I1598" s="929">
        <v>541</v>
      </c>
      <c r="J1598" s="689">
        <f t="shared" si="25"/>
        <v>1</v>
      </c>
    </row>
    <row r="1599" spans="1:10" ht="12.75" customHeight="1" x14ac:dyDescent="0.2">
      <c r="A1599" s="681" t="s">
        <v>2370</v>
      </c>
      <c r="B1599" s="693" t="s">
        <v>4167</v>
      </c>
      <c r="C1599" s="672" t="s">
        <v>819</v>
      </c>
      <c r="D1599" s="673">
        <v>36576</v>
      </c>
      <c r="E1599" s="674">
        <v>10</v>
      </c>
      <c r="F1599" s="675">
        <v>0.1</v>
      </c>
      <c r="G1599" s="676">
        <v>542</v>
      </c>
      <c r="H1599" s="929">
        <v>0</v>
      </c>
      <c r="I1599" s="929">
        <v>541</v>
      </c>
      <c r="J1599" s="689">
        <f t="shared" si="25"/>
        <v>1</v>
      </c>
    </row>
    <row r="1600" spans="1:10" ht="12.75" customHeight="1" x14ac:dyDescent="0.2">
      <c r="A1600" s="681" t="s">
        <v>2370</v>
      </c>
      <c r="B1600" s="693" t="s">
        <v>4168</v>
      </c>
      <c r="C1600" s="672" t="s">
        <v>819</v>
      </c>
      <c r="D1600" s="673">
        <v>36576</v>
      </c>
      <c r="E1600" s="674">
        <v>10</v>
      </c>
      <c r="F1600" s="675">
        <v>0.1</v>
      </c>
      <c r="G1600" s="676">
        <v>542</v>
      </c>
      <c r="H1600" s="929">
        <v>0</v>
      </c>
      <c r="I1600" s="929">
        <v>541</v>
      </c>
      <c r="J1600" s="689">
        <f t="shared" si="25"/>
        <v>1</v>
      </c>
    </row>
    <row r="1601" spans="1:10" ht="12.75" customHeight="1" x14ac:dyDescent="0.2">
      <c r="A1601" s="681" t="s">
        <v>2370</v>
      </c>
      <c r="B1601" s="693" t="s">
        <v>4169</v>
      </c>
      <c r="C1601" s="672" t="s">
        <v>819</v>
      </c>
      <c r="D1601" s="673">
        <v>36576</v>
      </c>
      <c r="E1601" s="674">
        <v>10</v>
      </c>
      <c r="F1601" s="675">
        <v>0.1</v>
      </c>
      <c r="G1601" s="676">
        <v>542</v>
      </c>
      <c r="H1601" s="929">
        <v>0</v>
      </c>
      <c r="I1601" s="929">
        <v>541</v>
      </c>
      <c r="J1601" s="689">
        <f t="shared" si="25"/>
        <v>1</v>
      </c>
    </row>
    <row r="1602" spans="1:10" ht="12.75" customHeight="1" x14ac:dyDescent="0.2">
      <c r="A1602" s="681" t="s">
        <v>2370</v>
      </c>
      <c r="B1602" s="693" t="s">
        <v>4170</v>
      </c>
      <c r="C1602" s="672" t="s">
        <v>819</v>
      </c>
      <c r="D1602" s="673">
        <v>36576</v>
      </c>
      <c r="E1602" s="674">
        <v>10</v>
      </c>
      <c r="F1602" s="675">
        <v>0.1</v>
      </c>
      <c r="G1602" s="676">
        <v>542</v>
      </c>
      <c r="H1602" s="929">
        <v>0</v>
      </c>
      <c r="I1602" s="929">
        <v>541</v>
      </c>
      <c r="J1602" s="689">
        <f t="shared" si="25"/>
        <v>1</v>
      </c>
    </row>
    <row r="1603" spans="1:10" ht="12.75" customHeight="1" x14ac:dyDescent="0.2">
      <c r="A1603" s="681" t="s">
        <v>2370</v>
      </c>
      <c r="B1603" s="693" t="s">
        <v>4171</v>
      </c>
      <c r="C1603" s="672" t="s">
        <v>819</v>
      </c>
      <c r="D1603" s="673">
        <v>36576</v>
      </c>
      <c r="E1603" s="674">
        <v>10</v>
      </c>
      <c r="F1603" s="675">
        <v>0.1</v>
      </c>
      <c r="G1603" s="676">
        <v>542</v>
      </c>
      <c r="H1603" s="929">
        <v>0</v>
      </c>
      <c r="I1603" s="929">
        <v>541</v>
      </c>
      <c r="J1603" s="689">
        <f t="shared" si="25"/>
        <v>1</v>
      </c>
    </row>
    <row r="1604" spans="1:10" ht="12.75" customHeight="1" x14ac:dyDescent="0.2">
      <c r="A1604" s="681" t="s">
        <v>2370</v>
      </c>
      <c r="B1604" s="693" t="s">
        <v>4172</v>
      </c>
      <c r="C1604" s="672" t="s">
        <v>819</v>
      </c>
      <c r="D1604" s="673">
        <v>36576</v>
      </c>
      <c r="E1604" s="674">
        <v>10</v>
      </c>
      <c r="F1604" s="675">
        <v>0.1</v>
      </c>
      <c r="G1604" s="676">
        <v>542</v>
      </c>
      <c r="H1604" s="929">
        <v>0</v>
      </c>
      <c r="I1604" s="929">
        <v>541</v>
      </c>
      <c r="J1604" s="689">
        <f t="shared" si="25"/>
        <v>1</v>
      </c>
    </row>
    <row r="1605" spans="1:10" ht="12.75" customHeight="1" x14ac:dyDescent="0.2">
      <c r="A1605" s="681" t="s">
        <v>2370</v>
      </c>
      <c r="B1605" s="693" t="s">
        <v>4173</v>
      </c>
      <c r="C1605" s="672" t="s">
        <v>785</v>
      </c>
      <c r="D1605" s="673">
        <v>36576</v>
      </c>
      <c r="E1605" s="674">
        <v>10</v>
      </c>
      <c r="F1605" s="675">
        <v>0.1</v>
      </c>
      <c r="G1605" s="676">
        <v>543</v>
      </c>
      <c r="H1605" s="929">
        <v>0</v>
      </c>
      <c r="I1605" s="929">
        <v>542</v>
      </c>
      <c r="J1605" s="689">
        <f t="shared" si="25"/>
        <v>1</v>
      </c>
    </row>
    <row r="1606" spans="1:10" ht="12.75" customHeight="1" x14ac:dyDescent="0.2">
      <c r="A1606" s="681" t="s">
        <v>2370</v>
      </c>
      <c r="B1606" s="693" t="s">
        <v>4174</v>
      </c>
      <c r="C1606" s="672" t="s">
        <v>785</v>
      </c>
      <c r="D1606" s="673">
        <v>37307</v>
      </c>
      <c r="E1606" s="674">
        <v>10</v>
      </c>
      <c r="F1606" s="675">
        <v>0.1</v>
      </c>
      <c r="G1606" s="676">
        <v>543</v>
      </c>
      <c r="H1606" s="929">
        <v>0</v>
      </c>
      <c r="I1606" s="929">
        <v>542</v>
      </c>
      <c r="J1606" s="689">
        <f t="shared" si="25"/>
        <v>1</v>
      </c>
    </row>
    <row r="1607" spans="1:10" ht="12.75" customHeight="1" x14ac:dyDescent="0.2">
      <c r="A1607" s="681" t="s">
        <v>2370</v>
      </c>
      <c r="B1607" s="693" t="s">
        <v>4175</v>
      </c>
      <c r="C1607" s="672" t="s">
        <v>790</v>
      </c>
      <c r="D1607" s="673">
        <v>37307</v>
      </c>
      <c r="E1607" s="674">
        <v>10</v>
      </c>
      <c r="F1607" s="675">
        <v>0.1</v>
      </c>
      <c r="G1607" s="676">
        <v>552</v>
      </c>
      <c r="H1607" s="929">
        <v>0</v>
      </c>
      <c r="I1607" s="929">
        <v>551</v>
      </c>
      <c r="J1607" s="689">
        <f t="shared" ref="J1607:J1670" si="26">G1607-I1607</f>
        <v>1</v>
      </c>
    </row>
    <row r="1608" spans="1:10" ht="12.75" customHeight="1" x14ac:dyDescent="0.2">
      <c r="A1608" s="681" t="s">
        <v>2370</v>
      </c>
      <c r="B1608" s="693" t="s">
        <v>4176</v>
      </c>
      <c r="C1608" s="672" t="s">
        <v>790</v>
      </c>
      <c r="D1608" s="673">
        <v>37672</v>
      </c>
      <c r="E1608" s="674">
        <v>10</v>
      </c>
      <c r="F1608" s="675">
        <v>0.1</v>
      </c>
      <c r="G1608" s="676">
        <v>552</v>
      </c>
      <c r="H1608" s="929">
        <v>0</v>
      </c>
      <c r="I1608" s="929">
        <v>551</v>
      </c>
      <c r="J1608" s="689">
        <f t="shared" si="26"/>
        <v>1</v>
      </c>
    </row>
    <row r="1609" spans="1:10" ht="12.75" customHeight="1" x14ac:dyDescent="0.2">
      <c r="A1609" s="681" t="s">
        <v>2370</v>
      </c>
      <c r="B1609" s="693" t="s">
        <v>4177</v>
      </c>
      <c r="C1609" s="672" t="s">
        <v>790</v>
      </c>
      <c r="D1609" s="673">
        <v>37672</v>
      </c>
      <c r="E1609" s="674">
        <v>10</v>
      </c>
      <c r="F1609" s="675">
        <v>0.1</v>
      </c>
      <c r="G1609" s="676">
        <v>552</v>
      </c>
      <c r="H1609" s="929">
        <v>0</v>
      </c>
      <c r="I1609" s="929">
        <v>551</v>
      </c>
      <c r="J1609" s="689">
        <f t="shared" si="26"/>
        <v>1</v>
      </c>
    </row>
    <row r="1610" spans="1:10" ht="12.75" customHeight="1" x14ac:dyDescent="0.2">
      <c r="A1610" s="681" t="s">
        <v>2370</v>
      </c>
      <c r="B1610" s="693" t="s">
        <v>4178</v>
      </c>
      <c r="C1610" s="672" t="s">
        <v>790</v>
      </c>
      <c r="D1610" s="673">
        <v>37672</v>
      </c>
      <c r="E1610" s="674">
        <v>10</v>
      </c>
      <c r="F1610" s="675">
        <v>0.1</v>
      </c>
      <c r="G1610" s="676">
        <v>552</v>
      </c>
      <c r="H1610" s="929">
        <v>0</v>
      </c>
      <c r="I1610" s="929">
        <v>551</v>
      </c>
      <c r="J1610" s="689">
        <f t="shared" si="26"/>
        <v>1</v>
      </c>
    </row>
    <row r="1611" spans="1:10" ht="12.75" customHeight="1" x14ac:dyDescent="0.2">
      <c r="A1611" s="681" t="s">
        <v>2370</v>
      </c>
      <c r="B1611" s="693" t="s">
        <v>4179</v>
      </c>
      <c r="C1611" s="672" t="s">
        <v>790</v>
      </c>
      <c r="D1611" s="673">
        <v>37672</v>
      </c>
      <c r="E1611" s="674">
        <v>10</v>
      </c>
      <c r="F1611" s="675">
        <v>0.1</v>
      </c>
      <c r="G1611" s="676">
        <v>552</v>
      </c>
      <c r="H1611" s="929">
        <v>0</v>
      </c>
      <c r="I1611" s="929">
        <v>551</v>
      </c>
      <c r="J1611" s="689">
        <f t="shared" si="26"/>
        <v>1</v>
      </c>
    </row>
    <row r="1612" spans="1:10" ht="12.75" customHeight="1" x14ac:dyDescent="0.2">
      <c r="A1612" s="681" t="s">
        <v>2370</v>
      </c>
      <c r="B1612" s="693" t="s">
        <v>4180</v>
      </c>
      <c r="C1612" s="672" t="s">
        <v>790</v>
      </c>
      <c r="D1612" s="673">
        <v>37307</v>
      </c>
      <c r="E1612" s="674">
        <v>10</v>
      </c>
      <c r="F1612" s="675">
        <v>0.1</v>
      </c>
      <c r="G1612" s="676">
        <v>552</v>
      </c>
      <c r="H1612" s="929">
        <v>0</v>
      </c>
      <c r="I1612" s="929">
        <v>551</v>
      </c>
      <c r="J1612" s="689">
        <f t="shared" si="26"/>
        <v>1</v>
      </c>
    </row>
    <row r="1613" spans="1:10" ht="12.75" customHeight="1" x14ac:dyDescent="0.2">
      <c r="A1613" s="681" t="s">
        <v>2370</v>
      </c>
      <c r="B1613" s="693" t="s">
        <v>4181</v>
      </c>
      <c r="C1613" s="672" t="s">
        <v>820</v>
      </c>
      <c r="D1613" s="673">
        <v>37307</v>
      </c>
      <c r="E1613" s="674">
        <v>10</v>
      </c>
      <c r="F1613" s="675">
        <v>0.1</v>
      </c>
      <c r="G1613" s="676">
        <v>562</v>
      </c>
      <c r="H1613" s="929">
        <v>0</v>
      </c>
      <c r="I1613" s="929">
        <v>561</v>
      </c>
      <c r="J1613" s="689">
        <f t="shared" si="26"/>
        <v>1</v>
      </c>
    </row>
    <row r="1614" spans="1:10" ht="12.75" customHeight="1" x14ac:dyDescent="0.2">
      <c r="A1614" s="681" t="s">
        <v>2370</v>
      </c>
      <c r="B1614" s="693" t="s">
        <v>4182</v>
      </c>
      <c r="C1614" s="672" t="s">
        <v>820</v>
      </c>
      <c r="D1614" s="673">
        <v>37307</v>
      </c>
      <c r="E1614" s="674">
        <v>10</v>
      </c>
      <c r="F1614" s="675">
        <v>0.1</v>
      </c>
      <c r="G1614" s="676">
        <v>562</v>
      </c>
      <c r="H1614" s="929">
        <v>0</v>
      </c>
      <c r="I1614" s="929">
        <v>561</v>
      </c>
      <c r="J1614" s="689">
        <f t="shared" si="26"/>
        <v>1</v>
      </c>
    </row>
    <row r="1615" spans="1:10" ht="12.75" customHeight="1" x14ac:dyDescent="0.2">
      <c r="A1615" s="681" t="s">
        <v>2370</v>
      </c>
      <c r="B1615" s="693" t="s">
        <v>4183</v>
      </c>
      <c r="C1615" s="672" t="s">
        <v>820</v>
      </c>
      <c r="D1615" s="673">
        <v>37307</v>
      </c>
      <c r="E1615" s="674">
        <v>10</v>
      </c>
      <c r="F1615" s="675">
        <v>0.1</v>
      </c>
      <c r="G1615" s="676">
        <v>562</v>
      </c>
      <c r="H1615" s="929">
        <v>0</v>
      </c>
      <c r="I1615" s="929">
        <v>561</v>
      </c>
      <c r="J1615" s="689">
        <f t="shared" si="26"/>
        <v>1</v>
      </c>
    </row>
    <row r="1616" spans="1:10" ht="12.75" customHeight="1" x14ac:dyDescent="0.2">
      <c r="A1616" s="681" t="s">
        <v>2370</v>
      </c>
      <c r="B1616" s="693" t="s">
        <v>4184</v>
      </c>
      <c r="C1616" s="672" t="s">
        <v>820</v>
      </c>
      <c r="D1616" s="673">
        <v>37307</v>
      </c>
      <c r="E1616" s="674">
        <v>10</v>
      </c>
      <c r="F1616" s="675">
        <v>0.1</v>
      </c>
      <c r="G1616" s="676">
        <v>562</v>
      </c>
      <c r="H1616" s="929">
        <v>0</v>
      </c>
      <c r="I1616" s="929">
        <v>561</v>
      </c>
      <c r="J1616" s="689">
        <f t="shared" si="26"/>
        <v>1</v>
      </c>
    </row>
    <row r="1617" spans="1:10" ht="12.75" customHeight="1" x14ac:dyDescent="0.2">
      <c r="A1617" s="681" t="s">
        <v>2370</v>
      </c>
      <c r="B1617" s="693" t="s">
        <v>4185</v>
      </c>
      <c r="C1617" s="672" t="s">
        <v>820</v>
      </c>
      <c r="D1617" s="673">
        <v>36576</v>
      </c>
      <c r="E1617" s="674">
        <v>10</v>
      </c>
      <c r="F1617" s="675">
        <v>0.1</v>
      </c>
      <c r="G1617" s="676">
        <v>563</v>
      </c>
      <c r="H1617" s="929">
        <v>0</v>
      </c>
      <c r="I1617" s="929">
        <v>562</v>
      </c>
      <c r="J1617" s="689">
        <f t="shared" si="26"/>
        <v>1</v>
      </c>
    </row>
    <row r="1618" spans="1:10" ht="12.75" customHeight="1" x14ac:dyDescent="0.2">
      <c r="A1618" s="681" t="s">
        <v>2370</v>
      </c>
      <c r="B1618" s="693" t="s">
        <v>4186</v>
      </c>
      <c r="C1618" s="672" t="s">
        <v>820</v>
      </c>
      <c r="D1618" s="673">
        <v>36576</v>
      </c>
      <c r="E1618" s="674">
        <v>10</v>
      </c>
      <c r="F1618" s="675">
        <v>0.1</v>
      </c>
      <c r="G1618" s="676">
        <v>563</v>
      </c>
      <c r="H1618" s="929">
        <v>0</v>
      </c>
      <c r="I1618" s="929">
        <v>562</v>
      </c>
      <c r="J1618" s="689">
        <f t="shared" si="26"/>
        <v>1</v>
      </c>
    </row>
    <row r="1619" spans="1:10" ht="12.75" customHeight="1" x14ac:dyDescent="0.2">
      <c r="A1619" s="681" t="s">
        <v>2370</v>
      </c>
      <c r="B1619" s="693" t="s">
        <v>4187</v>
      </c>
      <c r="C1619" s="672" t="s">
        <v>820</v>
      </c>
      <c r="D1619" s="673">
        <v>36576</v>
      </c>
      <c r="E1619" s="674">
        <v>10</v>
      </c>
      <c r="F1619" s="675">
        <v>0.1</v>
      </c>
      <c r="G1619" s="676">
        <v>563</v>
      </c>
      <c r="H1619" s="929">
        <v>0</v>
      </c>
      <c r="I1619" s="929">
        <v>562</v>
      </c>
      <c r="J1619" s="689">
        <f t="shared" si="26"/>
        <v>1</v>
      </c>
    </row>
    <row r="1620" spans="1:10" ht="12.75" customHeight="1" x14ac:dyDescent="0.2">
      <c r="A1620" s="681" t="s">
        <v>2370</v>
      </c>
      <c r="B1620" s="693" t="s">
        <v>4188</v>
      </c>
      <c r="C1620" s="672" t="s">
        <v>820</v>
      </c>
      <c r="D1620" s="673">
        <v>36576</v>
      </c>
      <c r="E1620" s="674">
        <v>10</v>
      </c>
      <c r="F1620" s="675">
        <v>0.1</v>
      </c>
      <c r="G1620" s="676">
        <v>563</v>
      </c>
      <c r="H1620" s="929">
        <v>0</v>
      </c>
      <c r="I1620" s="929">
        <v>562</v>
      </c>
      <c r="J1620" s="689">
        <f t="shared" si="26"/>
        <v>1</v>
      </c>
    </row>
    <row r="1621" spans="1:10" ht="12.75" customHeight="1" x14ac:dyDescent="0.2">
      <c r="A1621" s="681" t="s">
        <v>2370</v>
      </c>
      <c r="B1621" s="693" t="s">
        <v>4189</v>
      </c>
      <c r="C1621" s="672" t="s">
        <v>820</v>
      </c>
      <c r="D1621" s="673">
        <v>36576</v>
      </c>
      <c r="E1621" s="674">
        <v>10</v>
      </c>
      <c r="F1621" s="675">
        <v>0.1</v>
      </c>
      <c r="G1621" s="676">
        <v>564</v>
      </c>
      <c r="H1621" s="929">
        <v>0</v>
      </c>
      <c r="I1621" s="929">
        <v>563</v>
      </c>
      <c r="J1621" s="689">
        <f t="shared" si="26"/>
        <v>1</v>
      </c>
    </row>
    <row r="1622" spans="1:10" ht="12.75" customHeight="1" x14ac:dyDescent="0.2">
      <c r="A1622" s="681" t="s">
        <v>2370</v>
      </c>
      <c r="B1622" s="693" t="s">
        <v>4190</v>
      </c>
      <c r="C1622" s="672" t="s">
        <v>820</v>
      </c>
      <c r="D1622" s="673">
        <v>36576</v>
      </c>
      <c r="E1622" s="674">
        <v>10</v>
      </c>
      <c r="F1622" s="675">
        <v>0.1</v>
      </c>
      <c r="G1622" s="676">
        <v>564</v>
      </c>
      <c r="H1622" s="929">
        <v>0</v>
      </c>
      <c r="I1622" s="929">
        <v>563</v>
      </c>
      <c r="J1622" s="689">
        <f t="shared" si="26"/>
        <v>1</v>
      </c>
    </row>
    <row r="1623" spans="1:10" ht="12.75" customHeight="1" x14ac:dyDescent="0.2">
      <c r="A1623" s="681" t="s">
        <v>2370</v>
      </c>
      <c r="B1623" s="693" t="s">
        <v>4191</v>
      </c>
      <c r="C1623" s="672" t="s">
        <v>820</v>
      </c>
      <c r="D1623" s="673">
        <v>36576</v>
      </c>
      <c r="E1623" s="674">
        <v>10</v>
      </c>
      <c r="F1623" s="675">
        <v>0.1</v>
      </c>
      <c r="G1623" s="676">
        <v>564</v>
      </c>
      <c r="H1623" s="929">
        <v>0</v>
      </c>
      <c r="I1623" s="929">
        <v>563</v>
      </c>
      <c r="J1623" s="689">
        <f t="shared" si="26"/>
        <v>1</v>
      </c>
    </row>
    <row r="1624" spans="1:10" ht="12.75" customHeight="1" x14ac:dyDescent="0.2">
      <c r="A1624" s="681" t="s">
        <v>2370</v>
      </c>
      <c r="B1624" s="693" t="s">
        <v>4192</v>
      </c>
      <c r="C1624" s="672" t="s">
        <v>820</v>
      </c>
      <c r="D1624" s="673">
        <v>36576</v>
      </c>
      <c r="E1624" s="674">
        <v>10</v>
      </c>
      <c r="F1624" s="675">
        <v>0.1</v>
      </c>
      <c r="G1624" s="676">
        <v>564</v>
      </c>
      <c r="H1624" s="929">
        <v>0</v>
      </c>
      <c r="I1624" s="929">
        <v>563</v>
      </c>
      <c r="J1624" s="689">
        <f t="shared" si="26"/>
        <v>1</v>
      </c>
    </row>
    <row r="1625" spans="1:10" ht="12.75" customHeight="1" x14ac:dyDescent="0.2">
      <c r="A1625" s="681" t="s">
        <v>2370</v>
      </c>
      <c r="B1625" s="693" t="s">
        <v>4193</v>
      </c>
      <c r="C1625" s="672" t="s">
        <v>820</v>
      </c>
      <c r="D1625" s="673">
        <v>36576</v>
      </c>
      <c r="E1625" s="674">
        <v>10</v>
      </c>
      <c r="F1625" s="675">
        <v>0.1</v>
      </c>
      <c r="G1625" s="676">
        <v>564</v>
      </c>
      <c r="H1625" s="929">
        <v>0</v>
      </c>
      <c r="I1625" s="929">
        <v>563</v>
      </c>
      <c r="J1625" s="689">
        <f t="shared" si="26"/>
        <v>1</v>
      </c>
    </row>
    <row r="1626" spans="1:10" ht="12.75" customHeight="1" x14ac:dyDescent="0.2">
      <c r="A1626" s="681" t="s">
        <v>2370</v>
      </c>
      <c r="B1626" s="693" t="s">
        <v>4194</v>
      </c>
      <c r="C1626" s="672" t="s">
        <v>820</v>
      </c>
      <c r="D1626" s="673">
        <v>36576</v>
      </c>
      <c r="E1626" s="674">
        <v>10</v>
      </c>
      <c r="F1626" s="675">
        <v>0.1</v>
      </c>
      <c r="G1626" s="676">
        <v>564</v>
      </c>
      <c r="H1626" s="929">
        <v>0</v>
      </c>
      <c r="I1626" s="929">
        <v>563</v>
      </c>
      <c r="J1626" s="689">
        <f t="shared" si="26"/>
        <v>1</v>
      </c>
    </row>
    <row r="1627" spans="1:10" ht="12.75" customHeight="1" x14ac:dyDescent="0.2">
      <c r="A1627" s="681" t="s">
        <v>2370</v>
      </c>
      <c r="B1627" s="693" t="s">
        <v>4195</v>
      </c>
      <c r="C1627" s="672" t="s">
        <v>790</v>
      </c>
      <c r="D1627" s="673">
        <v>36576</v>
      </c>
      <c r="E1627" s="674">
        <v>10</v>
      </c>
      <c r="F1627" s="675">
        <v>0.1</v>
      </c>
      <c r="G1627" s="676">
        <v>569</v>
      </c>
      <c r="H1627" s="929">
        <v>0</v>
      </c>
      <c r="I1627" s="929">
        <v>568</v>
      </c>
      <c r="J1627" s="689">
        <f t="shared" si="26"/>
        <v>1</v>
      </c>
    </row>
    <row r="1628" spans="1:10" ht="12.75" customHeight="1" x14ac:dyDescent="0.2">
      <c r="A1628" s="681" t="s">
        <v>2370</v>
      </c>
      <c r="B1628" s="693" t="s">
        <v>4196</v>
      </c>
      <c r="C1628" s="672" t="s">
        <v>785</v>
      </c>
      <c r="D1628" s="673">
        <v>35115</v>
      </c>
      <c r="E1628" s="674">
        <v>10</v>
      </c>
      <c r="F1628" s="675">
        <v>0.1</v>
      </c>
      <c r="G1628" s="676">
        <v>573</v>
      </c>
      <c r="H1628" s="929">
        <v>0</v>
      </c>
      <c r="I1628" s="929">
        <v>572</v>
      </c>
      <c r="J1628" s="689">
        <f t="shared" si="26"/>
        <v>1</v>
      </c>
    </row>
    <row r="1629" spans="1:10" ht="12.75" customHeight="1" x14ac:dyDescent="0.2">
      <c r="A1629" s="681" t="s">
        <v>2370</v>
      </c>
      <c r="B1629" s="693" t="s">
        <v>4197</v>
      </c>
      <c r="C1629" s="672" t="s">
        <v>785</v>
      </c>
      <c r="D1629" s="673">
        <v>37672</v>
      </c>
      <c r="E1629" s="674">
        <v>10</v>
      </c>
      <c r="F1629" s="675">
        <v>0.1</v>
      </c>
      <c r="G1629" s="676">
        <v>573</v>
      </c>
      <c r="H1629" s="929">
        <v>0</v>
      </c>
      <c r="I1629" s="929">
        <v>572</v>
      </c>
      <c r="J1629" s="689">
        <f t="shared" si="26"/>
        <v>1</v>
      </c>
    </row>
    <row r="1630" spans="1:10" ht="12.75" customHeight="1" x14ac:dyDescent="0.2">
      <c r="A1630" s="681" t="s">
        <v>2370</v>
      </c>
      <c r="B1630" s="693" t="s">
        <v>4198</v>
      </c>
      <c r="C1630" s="672" t="s">
        <v>785</v>
      </c>
      <c r="D1630" s="673">
        <v>37672</v>
      </c>
      <c r="E1630" s="674">
        <v>10</v>
      </c>
      <c r="F1630" s="675">
        <v>0.1</v>
      </c>
      <c r="G1630" s="676">
        <v>573</v>
      </c>
      <c r="H1630" s="929">
        <v>0</v>
      </c>
      <c r="I1630" s="929">
        <v>572</v>
      </c>
      <c r="J1630" s="689">
        <f t="shared" si="26"/>
        <v>1</v>
      </c>
    </row>
    <row r="1631" spans="1:10" ht="12.75" customHeight="1" x14ac:dyDescent="0.2">
      <c r="A1631" s="681" t="s">
        <v>2370</v>
      </c>
      <c r="B1631" s="693" t="s">
        <v>4199</v>
      </c>
      <c r="C1631" s="672" t="s">
        <v>785</v>
      </c>
      <c r="D1631" s="673">
        <v>37672</v>
      </c>
      <c r="E1631" s="674">
        <v>10</v>
      </c>
      <c r="F1631" s="675">
        <v>0.1</v>
      </c>
      <c r="G1631" s="676">
        <v>573</v>
      </c>
      <c r="H1631" s="929">
        <v>0</v>
      </c>
      <c r="I1631" s="929">
        <v>572</v>
      </c>
      <c r="J1631" s="689">
        <f t="shared" si="26"/>
        <v>1</v>
      </c>
    </row>
    <row r="1632" spans="1:10" ht="12.75" customHeight="1" x14ac:dyDescent="0.2">
      <c r="A1632" s="681" t="s">
        <v>2370</v>
      </c>
      <c r="B1632" s="693" t="s">
        <v>4200</v>
      </c>
      <c r="C1632" s="672" t="s">
        <v>785</v>
      </c>
      <c r="D1632" s="673">
        <v>37672</v>
      </c>
      <c r="E1632" s="674">
        <v>10</v>
      </c>
      <c r="F1632" s="675">
        <v>0.1</v>
      </c>
      <c r="G1632" s="676">
        <v>573</v>
      </c>
      <c r="H1632" s="929">
        <v>0</v>
      </c>
      <c r="I1632" s="929">
        <v>572</v>
      </c>
      <c r="J1632" s="689">
        <f t="shared" si="26"/>
        <v>1</v>
      </c>
    </row>
    <row r="1633" spans="1:10" ht="12.75" customHeight="1" x14ac:dyDescent="0.2">
      <c r="A1633" s="681" t="s">
        <v>2370</v>
      </c>
      <c r="B1633" s="693" t="s">
        <v>4201</v>
      </c>
      <c r="C1633" s="672" t="s">
        <v>785</v>
      </c>
      <c r="D1633" s="673">
        <v>37672</v>
      </c>
      <c r="E1633" s="674">
        <v>10</v>
      </c>
      <c r="F1633" s="675">
        <v>0.1</v>
      </c>
      <c r="G1633" s="676">
        <v>573</v>
      </c>
      <c r="H1633" s="929">
        <v>0</v>
      </c>
      <c r="I1633" s="929">
        <v>572</v>
      </c>
      <c r="J1633" s="689">
        <f t="shared" si="26"/>
        <v>1</v>
      </c>
    </row>
    <row r="1634" spans="1:10" ht="12.75" customHeight="1" x14ac:dyDescent="0.2">
      <c r="A1634" s="681" t="s">
        <v>2370</v>
      </c>
      <c r="B1634" s="693" t="s">
        <v>4202</v>
      </c>
      <c r="C1634" s="672" t="s">
        <v>785</v>
      </c>
      <c r="D1634" s="673">
        <v>37672</v>
      </c>
      <c r="E1634" s="674">
        <v>10</v>
      </c>
      <c r="F1634" s="675">
        <v>0.1</v>
      </c>
      <c r="G1634" s="676">
        <v>573</v>
      </c>
      <c r="H1634" s="929">
        <v>0</v>
      </c>
      <c r="I1634" s="929">
        <v>572</v>
      </c>
      <c r="J1634" s="689">
        <f t="shared" si="26"/>
        <v>1</v>
      </c>
    </row>
    <row r="1635" spans="1:10" ht="12.75" customHeight="1" x14ac:dyDescent="0.2">
      <c r="A1635" s="681" t="s">
        <v>2370</v>
      </c>
      <c r="B1635" s="693" t="s">
        <v>4203</v>
      </c>
      <c r="C1635" s="672" t="s">
        <v>785</v>
      </c>
      <c r="D1635" s="673">
        <v>37672</v>
      </c>
      <c r="E1635" s="674">
        <v>10</v>
      </c>
      <c r="F1635" s="675">
        <v>0.1</v>
      </c>
      <c r="G1635" s="676">
        <v>573</v>
      </c>
      <c r="H1635" s="929">
        <v>0</v>
      </c>
      <c r="I1635" s="929">
        <v>572</v>
      </c>
      <c r="J1635" s="689">
        <f t="shared" si="26"/>
        <v>1</v>
      </c>
    </row>
    <row r="1636" spans="1:10" ht="12.75" customHeight="1" x14ac:dyDescent="0.2">
      <c r="A1636" s="681" t="s">
        <v>2370</v>
      </c>
      <c r="B1636" s="693" t="s">
        <v>4204</v>
      </c>
      <c r="C1636" s="672" t="s">
        <v>785</v>
      </c>
      <c r="D1636" s="673">
        <v>37672</v>
      </c>
      <c r="E1636" s="674">
        <v>10</v>
      </c>
      <c r="F1636" s="675">
        <v>0.1</v>
      </c>
      <c r="G1636" s="676">
        <v>573</v>
      </c>
      <c r="H1636" s="929">
        <v>0</v>
      </c>
      <c r="I1636" s="929">
        <v>572</v>
      </c>
      <c r="J1636" s="689">
        <f t="shared" si="26"/>
        <v>1</v>
      </c>
    </row>
    <row r="1637" spans="1:10" ht="12.75" customHeight="1" x14ac:dyDescent="0.2">
      <c r="A1637" s="681" t="s">
        <v>2370</v>
      </c>
      <c r="B1637" s="693" t="s">
        <v>4205</v>
      </c>
      <c r="C1637" s="672" t="s">
        <v>785</v>
      </c>
      <c r="D1637" s="673">
        <v>35115</v>
      </c>
      <c r="E1637" s="674">
        <v>10</v>
      </c>
      <c r="F1637" s="675">
        <v>0.1</v>
      </c>
      <c r="G1637" s="676">
        <v>573</v>
      </c>
      <c r="H1637" s="929">
        <v>0</v>
      </c>
      <c r="I1637" s="929">
        <v>572</v>
      </c>
      <c r="J1637" s="689">
        <f t="shared" si="26"/>
        <v>1</v>
      </c>
    </row>
    <row r="1638" spans="1:10" ht="12.75" customHeight="1" x14ac:dyDescent="0.2">
      <c r="A1638" s="681" t="s">
        <v>2370</v>
      </c>
      <c r="B1638" s="693" t="s">
        <v>4206</v>
      </c>
      <c r="C1638" s="672" t="s">
        <v>790</v>
      </c>
      <c r="D1638" s="673">
        <v>38037</v>
      </c>
      <c r="E1638" s="674">
        <v>10</v>
      </c>
      <c r="F1638" s="675">
        <v>0.1</v>
      </c>
      <c r="G1638" s="676">
        <v>574</v>
      </c>
      <c r="H1638" s="929">
        <v>0</v>
      </c>
      <c r="I1638" s="929">
        <v>573</v>
      </c>
      <c r="J1638" s="689">
        <f t="shared" si="26"/>
        <v>1</v>
      </c>
    </row>
    <row r="1639" spans="1:10" ht="12.75" customHeight="1" x14ac:dyDescent="0.2">
      <c r="A1639" s="681" t="s">
        <v>2370</v>
      </c>
      <c r="B1639" s="693" t="s">
        <v>4207</v>
      </c>
      <c r="C1639" s="672" t="s">
        <v>790</v>
      </c>
      <c r="D1639" s="673">
        <v>36576</v>
      </c>
      <c r="E1639" s="674">
        <v>10</v>
      </c>
      <c r="F1639" s="675">
        <v>0.1</v>
      </c>
      <c r="G1639" s="676">
        <v>575</v>
      </c>
      <c r="H1639" s="929">
        <v>0</v>
      </c>
      <c r="I1639" s="929">
        <v>574</v>
      </c>
      <c r="J1639" s="689">
        <f t="shared" si="26"/>
        <v>1</v>
      </c>
    </row>
    <row r="1640" spans="1:10" ht="12.75" customHeight="1" x14ac:dyDescent="0.2">
      <c r="A1640" s="681" t="s">
        <v>2370</v>
      </c>
      <c r="B1640" s="693" t="s">
        <v>4208</v>
      </c>
      <c r="C1640" s="672" t="s">
        <v>785</v>
      </c>
      <c r="D1640" s="673">
        <v>36211</v>
      </c>
      <c r="E1640" s="674">
        <v>10</v>
      </c>
      <c r="F1640" s="675">
        <v>0.1</v>
      </c>
      <c r="G1640" s="676">
        <v>575</v>
      </c>
      <c r="H1640" s="929">
        <v>0</v>
      </c>
      <c r="I1640" s="929">
        <v>574</v>
      </c>
      <c r="J1640" s="689">
        <f t="shared" si="26"/>
        <v>1</v>
      </c>
    </row>
    <row r="1641" spans="1:10" ht="12.75" customHeight="1" x14ac:dyDescent="0.2">
      <c r="A1641" s="681" t="s">
        <v>2370</v>
      </c>
      <c r="B1641" s="693" t="s">
        <v>4209</v>
      </c>
      <c r="C1641" s="672" t="s">
        <v>820</v>
      </c>
      <c r="D1641" s="673">
        <v>35846</v>
      </c>
      <c r="E1641" s="674">
        <v>10</v>
      </c>
      <c r="F1641" s="675">
        <v>0.1</v>
      </c>
      <c r="G1641" s="676">
        <v>575</v>
      </c>
      <c r="H1641" s="929">
        <v>0</v>
      </c>
      <c r="I1641" s="929">
        <v>574</v>
      </c>
      <c r="J1641" s="689">
        <f t="shared" si="26"/>
        <v>1</v>
      </c>
    </row>
    <row r="1642" spans="1:10" ht="12.75" customHeight="1" x14ac:dyDescent="0.2">
      <c r="A1642" s="681" t="s">
        <v>2370</v>
      </c>
      <c r="B1642" s="693" t="s">
        <v>4210</v>
      </c>
      <c r="C1642" s="672" t="s">
        <v>820</v>
      </c>
      <c r="D1642" s="673">
        <v>35846</v>
      </c>
      <c r="E1642" s="674">
        <v>10</v>
      </c>
      <c r="F1642" s="675">
        <v>0.1</v>
      </c>
      <c r="G1642" s="676">
        <v>575</v>
      </c>
      <c r="H1642" s="929">
        <v>0</v>
      </c>
      <c r="I1642" s="929">
        <v>574</v>
      </c>
      <c r="J1642" s="689">
        <f t="shared" si="26"/>
        <v>1</v>
      </c>
    </row>
    <row r="1643" spans="1:10" ht="12.75" customHeight="1" x14ac:dyDescent="0.2">
      <c r="A1643" s="681" t="s">
        <v>2370</v>
      </c>
      <c r="B1643" s="693" t="s">
        <v>4211</v>
      </c>
      <c r="C1643" s="672" t="s">
        <v>820</v>
      </c>
      <c r="D1643" s="673">
        <v>35846</v>
      </c>
      <c r="E1643" s="674">
        <v>10</v>
      </c>
      <c r="F1643" s="675">
        <v>0.1</v>
      </c>
      <c r="G1643" s="676">
        <v>575</v>
      </c>
      <c r="H1643" s="929">
        <v>0</v>
      </c>
      <c r="I1643" s="929">
        <v>574</v>
      </c>
      <c r="J1643" s="689">
        <f t="shared" si="26"/>
        <v>1</v>
      </c>
    </row>
    <row r="1644" spans="1:10" ht="12.75" customHeight="1" x14ac:dyDescent="0.2">
      <c r="A1644" s="681" t="s">
        <v>2370</v>
      </c>
      <c r="B1644" s="693" t="s">
        <v>4212</v>
      </c>
      <c r="C1644" s="672" t="s">
        <v>820</v>
      </c>
      <c r="D1644" s="673">
        <v>35846</v>
      </c>
      <c r="E1644" s="674">
        <v>10</v>
      </c>
      <c r="F1644" s="675">
        <v>0.1</v>
      </c>
      <c r="G1644" s="676">
        <v>575</v>
      </c>
      <c r="H1644" s="929">
        <v>0</v>
      </c>
      <c r="I1644" s="929">
        <v>574</v>
      </c>
      <c r="J1644" s="689">
        <f t="shared" si="26"/>
        <v>1</v>
      </c>
    </row>
    <row r="1645" spans="1:10" ht="12.75" customHeight="1" x14ac:dyDescent="0.2">
      <c r="A1645" s="681" t="s">
        <v>2370</v>
      </c>
      <c r="B1645" s="693" t="s">
        <v>4213</v>
      </c>
      <c r="C1645" s="672" t="s">
        <v>820</v>
      </c>
      <c r="D1645" s="673">
        <v>35846</v>
      </c>
      <c r="E1645" s="674">
        <v>10</v>
      </c>
      <c r="F1645" s="675">
        <v>0.1</v>
      </c>
      <c r="G1645" s="676">
        <v>575</v>
      </c>
      <c r="H1645" s="929">
        <v>0</v>
      </c>
      <c r="I1645" s="929">
        <v>574</v>
      </c>
      <c r="J1645" s="689">
        <f t="shared" si="26"/>
        <v>1</v>
      </c>
    </row>
    <row r="1646" spans="1:10" ht="12.75" customHeight="1" x14ac:dyDescent="0.2">
      <c r="A1646" s="681" t="s">
        <v>2370</v>
      </c>
      <c r="B1646" s="693" t="s">
        <v>4214</v>
      </c>
      <c r="C1646" s="672" t="s">
        <v>820</v>
      </c>
      <c r="D1646" s="673">
        <v>35846</v>
      </c>
      <c r="E1646" s="674">
        <v>10</v>
      </c>
      <c r="F1646" s="675">
        <v>0.1</v>
      </c>
      <c r="G1646" s="676">
        <v>575</v>
      </c>
      <c r="H1646" s="929">
        <v>0</v>
      </c>
      <c r="I1646" s="929">
        <v>574</v>
      </c>
      <c r="J1646" s="689">
        <f t="shared" si="26"/>
        <v>1</v>
      </c>
    </row>
    <row r="1647" spans="1:10" ht="12.75" customHeight="1" x14ac:dyDescent="0.2">
      <c r="A1647" s="681" t="s">
        <v>2370</v>
      </c>
      <c r="B1647" s="693" t="s">
        <v>4215</v>
      </c>
      <c r="C1647" s="672" t="s">
        <v>820</v>
      </c>
      <c r="D1647" s="673">
        <v>35846</v>
      </c>
      <c r="E1647" s="674">
        <v>10</v>
      </c>
      <c r="F1647" s="675">
        <v>0.1</v>
      </c>
      <c r="G1647" s="676">
        <v>575</v>
      </c>
      <c r="H1647" s="929">
        <v>0</v>
      </c>
      <c r="I1647" s="929">
        <v>574</v>
      </c>
      <c r="J1647" s="689">
        <f t="shared" si="26"/>
        <v>1</v>
      </c>
    </row>
    <row r="1648" spans="1:10" ht="12.75" customHeight="1" x14ac:dyDescent="0.2">
      <c r="A1648" s="681" t="s">
        <v>2370</v>
      </c>
      <c r="B1648" s="693" t="s">
        <v>4216</v>
      </c>
      <c r="C1648" s="672" t="s">
        <v>820</v>
      </c>
      <c r="D1648" s="673">
        <v>35846</v>
      </c>
      <c r="E1648" s="674">
        <v>10</v>
      </c>
      <c r="F1648" s="675">
        <v>0.1</v>
      </c>
      <c r="G1648" s="676">
        <v>575</v>
      </c>
      <c r="H1648" s="929">
        <v>0</v>
      </c>
      <c r="I1648" s="929">
        <v>574</v>
      </c>
      <c r="J1648" s="689">
        <f t="shared" si="26"/>
        <v>1</v>
      </c>
    </row>
    <row r="1649" spans="1:10" ht="12.75" customHeight="1" x14ac:dyDescent="0.2">
      <c r="A1649" s="681" t="s">
        <v>2370</v>
      </c>
      <c r="B1649" s="693" t="s">
        <v>4217</v>
      </c>
      <c r="C1649" s="672" t="s">
        <v>820</v>
      </c>
      <c r="D1649" s="673">
        <v>35846</v>
      </c>
      <c r="E1649" s="674">
        <v>10</v>
      </c>
      <c r="F1649" s="675">
        <v>0.1</v>
      </c>
      <c r="G1649" s="676">
        <v>575</v>
      </c>
      <c r="H1649" s="929">
        <v>0</v>
      </c>
      <c r="I1649" s="929">
        <v>574</v>
      </c>
      <c r="J1649" s="689">
        <f t="shared" si="26"/>
        <v>1</v>
      </c>
    </row>
    <row r="1650" spans="1:10" ht="12.75" customHeight="1" x14ac:dyDescent="0.2">
      <c r="A1650" s="681" t="s">
        <v>2370</v>
      </c>
      <c r="B1650" s="693" t="s">
        <v>4218</v>
      </c>
      <c r="C1650" s="672" t="s">
        <v>820</v>
      </c>
      <c r="D1650" s="673">
        <v>35846</v>
      </c>
      <c r="E1650" s="674">
        <v>10</v>
      </c>
      <c r="F1650" s="675">
        <v>0.1</v>
      </c>
      <c r="G1650" s="676">
        <v>575</v>
      </c>
      <c r="H1650" s="929">
        <v>0</v>
      </c>
      <c r="I1650" s="929">
        <v>574</v>
      </c>
      <c r="J1650" s="689">
        <f t="shared" si="26"/>
        <v>1</v>
      </c>
    </row>
    <row r="1651" spans="1:10" ht="12.75" customHeight="1" x14ac:dyDescent="0.2">
      <c r="A1651" s="681" t="s">
        <v>2370</v>
      </c>
      <c r="B1651" s="693" t="s">
        <v>4219</v>
      </c>
      <c r="C1651" s="672" t="s">
        <v>820</v>
      </c>
      <c r="D1651" s="673">
        <v>35846</v>
      </c>
      <c r="E1651" s="674">
        <v>10</v>
      </c>
      <c r="F1651" s="675">
        <v>0.1</v>
      </c>
      <c r="G1651" s="676">
        <v>575</v>
      </c>
      <c r="H1651" s="929">
        <v>0</v>
      </c>
      <c r="I1651" s="929">
        <v>574</v>
      </c>
      <c r="J1651" s="689">
        <f t="shared" si="26"/>
        <v>1</v>
      </c>
    </row>
    <row r="1652" spans="1:10" ht="12.75" customHeight="1" x14ac:dyDescent="0.2">
      <c r="A1652" s="681" t="s">
        <v>2370</v>
      </c>
      <c r="B1652" s="693" t="s">
        <v>4220</v>
      </c>
      <c r="C1652" s="672" t="s">
        <v>820</v>
      </c>
      <c r="D1652" s="673">
        <v>35846</v>
      </c>
      <c r="E1652" s="674">
        <v>10</v>
      </c>
      <c r="F1652" s="675">
        <v>0.1</v>
      </c>
      <c r="G1652" s="676">
        <v>575</v>
      </c>
      <c r="H1652" s="929">
        <v>0</v>
      </c>
      <c r="I1652" s="929">
        <v>574</v>
      </c>
      <c r="J1652" s="689">
        <f t="shared" si="26"/>
        <v>1</v>
      </c>
    </row>
    <row r="1653" spans="1:10" ht="12.75" customHeight="1" x14ac:dyDescent="0.2">
      <c r="A1653" s="681" t="s">
        <v>2370</v>
      </c>
      <c r="B1653" s="693" t="s">
        <v>4221</v>
      </c>
      <c r="C1653" s="672" t="s">
        <v>820</v>
      </c>
      <c r="D1653" s="673">
        <v>35846</v>
      </c>
      <c r="E1653" s="674">
        <v>10</v>
      </c>
      <c r="F1653" s="675">
        <v>0.1</v>
      </c>
      <c r="G1653" s="676">
        <v>575</v>
      </c>
      <c r="H1653" s="929">
        <v>0</v>
      </c>
      <c r="I1653" s="929">
        <v>574</v>
      </c>
      <c r="J1653" s="689">
        <f t="shared" si="26"/>
        <v>1</v>
      </c>
    </row>
    <row r="1654" spans="1:10" ht="12.75" customHeight="1" x14ac:dyDescent="0.2">
      <c r="A1654" s="681" t="s">
        <v>2370</v>
      </c>
      <c r="B1654" s="693" t="s">
        <v>4222</v>
      </c>
      <c r="C1654" s="672" t="s">
        <v>820</v>
      </c>
      <c r="D1654" s="673">
        <v>35846</v>
      </c>
      <c r="E1654" s="674">
        <v>10</v>
      </c>
      <c r="F1654" s="675">
        <v>0.1</v>
      </c>
      <c r="G1654" s="676">
        <v>575</v>
      </c>
      <c r="H1654" s="929">
        <v>0</v>
      </c>
      <c r="I1654" s="929">
        <v>574</v>
      </c>
      <c r="J1654" s="689">
        <f t="shared" si="26"/>
        <v>1</v>
      </c>
    </row>
    <row r="1655" spans="1:10" ht="12.75" customHeight="1" x14ac:dyDescent="0.2">
      <c r="A1655" s="681" t="s">
        <v>2370</v>
      </c>
      <c r="B1655" s="693" t="s">
        <v>4223</v>
      </c>
      <c r="C1655" s="672" t="s">
        <v>820</v>
      </c>
      <c r="D1655" s="673">
        <v>35846</v>
      </c>
      <c r="E1655" s="674">
        <v>10</v>
      </c>
      <c r="F1655" s="675">
        <v>0.1</v>
      </c>
      <c r="G1655" s="676">
        <v>575</v>
      </c>
      <c r="H1655" s="929">
        <v>0</v>
      </c>
      <c r="I1655" s="929">
        <v>574</v>
      </c>
      <c r="J1655" s="689">
        <f t="shared" si="26"/>
        <v>1</v>
      </c>
    </row>
    <row r="1656" spans="1:10" ht="12.75" customHeight="1" x14ac:dyDescent="0.2">
      <c r="A1656" s="681" t="s">
        <v>2370</v>
      </c>
      <c r="B1656" s="693" t="s">
        <v>4224</v>
      </c>
      <c r="C1656" s="672" t="s">
        <v>820</v>
      </c>
      <c r="D1656" s="673">
        <v>35846</v>
      </c>
      <c r="E1656" s="674">
        <v>10</v>
      </c>
      <c r="F1656" s="675">
        <v>0.1</v>
      </c>
      <c r="G1656" s="676">
        <v>575</v>
      </c>
      <c r="H1656" s="929">
        <v>0</v>
      </c>
      <c r="I1656" s="929">
        <v>574</v>
      </c>
      <c r="J1656" s="689">
        <f t="shared" si="26"/>
        <v>1</v>
      </c>
    </row>
    <row r="1657" spans="1:10" ht="12.75" customHeight="1" x14ac:dyDescent="0.2">
      <c r="A1657" s="681" t="s">
        <v>2370</v>
      </c>
      <c r="B1657" s="693" t="s">
        <v>4225</v>
      </c>
      <c r="C1657" s="672" t="s">
        <v>820</v>
      </c>
      <c r="D1657" s="673">
        <v>35846</v>
      </c>
      <c r="E1657" s="674">
        <v>10</v>
      </c>
      <c r="F1657" s="675">
        <v>0.1</v>
      </c>
      <c r="G1657" s="676">
        <v>575</v>
      </c>
      <c r="H1657" s="929">
        <v>0</v>
      </c>
      <c r="I1657" s="929">
        <v>574</v>
      </c>
      <c r="J1657" s="689">
        <f t="shared" si="26"/>
        <v>1</v>
      </c>
    </row>
    <row r="1658" spans="1:10" ht="12.75" customHeight="1" x14ac:dyDescent="0.2">
      <c r="A1658" s="681" t="s">
        <v>2370</v>
      </c>
      <c r="B1658" s="693" t="s">
        <v>4226</v>
      </c>
      <c r="C1658" s="672" t="s">
        <v>785</v>
      </c>
      <c r="D1658" s="673">
        <v>36211</v>
      </c>
      <c r="E1658" s="674">
        <v>10</v>
      </c>
      <c r="F1658" s="675">
        <v>0.1</v>
      </c>
      <c r="G1658" s="676">
        <v>575</v>
      </c>
      <c r="H1658" s="929">
        <v>0</v>
      </c>
      <c r="I1658" s="929">
        <v>574</v>
      </c>
      <c r="J1658" s="689">
        <f t="shared" si="26"/>
        <v>1</v>
      </c>
    </row>
    <row r="1659" spans="1:10" ht="12.75" customHeight="1" x14ac:dyDescent="0.2">
      <c r="A1659" s="681" t="s">
        <v>2370</v>
      </c>
      <c r="B1659" s="693" t="s">
        <v>4227</v>
      </c>
      <c r="C1659" s="672" t="s">
        <v>785</v>
      </c>
      <c r="D1659" s="673">
        <v>36211</v>
      </c>
      <c r="E1659" s="674">
        <v>10</v>
      </c>
      <c r="F1659" s="675">
        <v>0.1</v>
      </c>
      <c r="G1659" s="676">
        <v>575</v>
      </c>
      <c r="H1659" s="929">
        <v>0</v>
      </c>
      <c r="I1659" s="929">
        <v>574</v>
      </c>
      <c r="J1659" s="689">
        <f t="shared" si="26"/>
        <v>1</v>
      </c>
    </row>
    <row r="1660" spans="1:10" ht="12.75" customHeight="1" x14ac:dyDescent="0.2">
      <c r="A1660" s="681" t="s">
        <v>2370</v>
      </c>
      <c r="B1660" s="693" t="s">
        <v>4228</v>
      </c>
      <c r="C1660" s="672" t="s">
        <v>785</v>
      </c>
      <c r="D1660" s="673">
        <v>37307</v>
      </c>
      <c r="E1660" s="674">
        <v>10</v>
      </c>
      <c r="F1660" s="675">
        <v>0.1</v>
      </c>
      <c r="G1660" s="676">
        <v>575</v>
      </c>
      <c r="H1660" s="929">
        <v>0</v>
      </c>
      <c r="I1660" s="929">
        <v>574</v>
      </c>
      <c r="J1660" s="689">
        <f t="shared" si="26"/>
        <v>1</v>
      </c>
    </row>
    <row r="1661" spans="1:10" ht="12.75" customHeight="1" x14ac:dyDescent="0.2">
      <c r="A1661" s="681" t="s">
        <v>2370</v>
      </c>
      <c r="B1661" s="693" t="s">
        <v>4229</v>
      </c>
      <c r="C1661" s="672" t="s">
        <v>813</v>
      </c>
      <c r="D1661" s="673">
        <v>36576</v>
      </c>
      <c r="E1661" s="674">
        <v>10</v>
      </c>
      <c r="F1661" s="675">
        <v>0.1</v>
      </c>
      <c r="G1661" s="676">
        <v>575</v>
      </c>
      <c r="H1661" s="929">
        <v>0</v>
      </c>
      <c r="I1661" s="929">
        <v>574</v>
      </c>
      <c r="J1661" s="689">
        <f t="shared" si="26"/>
        <v>1</v>
      </c>
    </row>
    <row r="1662" spans="1:10" ht="12.75" customHeight="1" x14ac:dyDescent="0.2">
      <c r="A1662" s="681" t="s">
        <v>2370</v>
      </c>
      <c r="B1662" s="693" t="s">
        <v>4230</v>
      </c>
      <c r="C1662" s="672" t="s">
        <v>785</v>
      </c>
      <c r="D1662" s="673">
        <v>37307</v>
      </c>
      <c r="E1662" s="674">
        <v>10</v>
      </c>
      <c r="F1662" s="675">
        <v>0.1</v>
      </c>
      <c r="G1662" s="676">
        <v>575</v>
      </c>
      <c r="H1662" s="929">
        <v>0</v>
      </c>
      <c r="I1662" s="929">
        <v>574</v>
      </c>
      <c r="J1662" s="689">
        <f t="shared" si="26"/>
        <v>1</v>
      </c>
    </row>
    <row r="1663" spans="1:10" ht="12.75" customHeight="1" x14ac:dyDescent="0.2">
      <c r="A1663" s="681" t="s">
        <v>2370</v>
      </c>
      <c r="B1663" s="693" t="s">
        <v>4231</v>
      </c>
      <c r="C1663" s="672" t="s">
        <v>790</v>
      </c>
      <c r="D1663" s="673">
        <v>34020</v>
      </c>
      <c r="E1663" s="674">
        <v>10</v>
      </c>
      <c r="F1663" s="675">
        <v>0.1</v>
      </c>
      <c r="G1663" s="676">
        <v>576</v>
      </c>
      <c r="H1663" s="929">
        <v>0</v>
      </c>
      <c r="I1663" s="929">
        <v>575</v>
      </c>
      <c r="J1663" s="689">
        <f t="shared" si="26"/>
        <v>1</v>
      </c>
    </row>
    <row r="1664" spans="1:10" ht="12.75" customHeight="1" x14ac:dyDescent="0.2">
      <c r="A1664" s="681" t="s">
        <v>2370</v>
      </c>
      <c r="B1664" s="693" t="s">
        <v>4232</v>
      </c>
      <c r="C1664" s="672" t="s">
        <v>828</v>
      </c>
      <c r="D1664" s="673">
        <v>36211</v>
      </c>
      <c r="E1664" s="674">
        <v>10</v>
      </c>
      <c r="F1664" s="675">
        <v>0.1</v>
      </c>
      <c r="G1664" s="676">
        <v>577</v>
      </c>
      <c r="H1664" s="929">
        <v>0</v>
      </c>
      <c r="I1664" s="929">
        <v>576</v>
      </c>
      <c r="J1664" s="689">
        <f t="shared" si="26"/>
        <v>1</v>
      </c>
    </row>
    <row r="1665" spans="1:10" ht="12.75" customHeight="1" x14ac:dyDescent="0.2">
      <c r="A1665" s="681" t="s">
        <v>2370</v>
      </c>
      <c r="B1665" s="693" t="s">
        <v>4233</v>
      </c>
      <c r="C1665" s="672" t="s">
        <v>828</v>
      </c>
      <c r="D1665" s="673">
        <v>36211</v>
      </c>
      <c r="E1665" s="674">
        <v>10</v>
      </c>
      <c r="F1665" s="675">
        <v>0.1</v>
      </c>
      <c r="G1665" s="676">
        <v>577</v>
      </c>
      <c r="H1665" s="929">
        <v>0</v>
      </c>
      <c r="I1665" s="929">
        <v>576</v>
      </c>
      <c r="J1665" s="689">
        <f t="shared" si="26"/>
        <v>1</v>
      </c>
    </row>
    <row r="1666" spans="1:10" ht="12.75" customHeight="1" x14ac:dyDescent="0.2">
      <c r="A1666" s="681" t="s">
        <v>2370</v>
      </c>
      <c r="B1666" s="693" t="s">
        <v>4234</v>
      </c>
      <c r="C1666" s="672" t="s">
        <v>828</v>
      </c>
      <c r="D1666" s="673">
        <v>36211</v>
      </c>
      <c r="E1666" s="674">
        <v>10</v>
      </c>
      <c r="F1666" s="675">
        <v>0.1</v>
      </c>
      <c r="G1666" s="676">
        <v>577</v>
      </c>
      <c r="H1666" s="929">
        <v>0</v>
      </c>
      <c r="I1666" s="929">
        <v>576</v>
      </c>
      <c r="J1666" s="689">
        <f t="shared" si="26"/>
        <v>1</v>
      </c>
    </row>
    <row r="1667" spans="1:10" ht="12.75" customHeight="1" x14ac:dyDescent="0.2">
      <c r="A1667" s="681" t="s">
        <v>2372</v>
      </c>
      <c r="B1667" s="693" t="s">
        <v>4235</v>
      </c>
      <c r="C1667" s="672" t="s">
        <v>1032</v>
      </c>
      <c r="D1667" s="673">
        <v>36576</v>
      </c>
      <c r="E1667" s="674">
        <v>3</v>
      </c>
      <c r="F1667" s="675">
        <v>0.33</v>
      </c>
      <c r="G1667" s="676">
        <v>579</v>
      </c>
      <c r="H1667" s="929">
        <v>0</v>
      </c>
      <c r="I1667" s="929">
        <v>578</v>
      </c>
      <c r="J1667" s="689">
        <f t="shared" si="26"/>
        <v>1</v>
      </c>
    </row>
    <row r="1668" spans="1:10" ht="12.75" customHeight="1" x14ac:dyDescent="0.2">
      <c r="A1668" s="681" t="s">
        <v>2370</v>
      </c>
      <c r="B1668" s="693" t="s">
        <v>4236</v>
      </c>
      <c r="C1668" s="672" t="s">
        <v>892</v>
      </c>
      <c r="D1668" s="673">
        <v>38403</v>
      </c>
      <c r="E1668" s="674">
        <v>10</v>
      </c>
      <c r="F1668" s="675">
        <v>0.1</v>
      </c>
      <c r="G1668" s="676">
        <v>587</v>
      </c>
      <c r="H1668" s="929">
        <v>0</v>
      </c>
      <c r="I1668" s="929">
        <v>586</v>
      </c>
      <c r="J1668" s="689">
        <f t="shared" si="26"/>
        <v>1</v>
      </c>
    </row>
    <row r="1669" spans="1:10" ht="12.75" customHeight="1" x14ac:dyDescent="0.2">
      <c r="A1669" s="681" t="s">
        <v>2370</v>
      </c>
      <c r="B1669" s="693" t="s">
        <v>4237</v>
      </c>
      <c r="C1669" s="672" t="s">
        <v>819</v>
      </c>
      <c r="D1669" s="673">
        <v>35481</v>
      </c>
      <c r="E1669" s="674">
        <v>10</v>
      </c>
      <c r="F1669" s="675">
        <v>0.1</v>
      </c>
      <c r="G1669" s="676">
        <v>590</v>
      </c>
      <c r="H1669" s="929">
        <v>0</v>
      </c>
      <c r="I1669" s="929">
        <v>589</v>
      </c>
      <c r="J1669" s="689">
        <f t="shared" si="26"/>
        <v>1</v>
      </c>
    </row>
    <row r="1670" spans="1:10" ht="12.75" customHeight="1" x14ac:dyDescent="0.2">
      <c r="A1670" s="681" t="s">
        <v>2370</v>
      </c>
      <c r="B1670" s="693" t="s">
        <v>4238</v>
      </c>
      <c r="C1670" s="672" t="s">
        <v>819</v>
      </c>
      <c r="D1670" s="673">
        <v>35481</v>
      </c>
      <c r="E1670" s="674">
        <v>10</v>
      </c>
      <c r="F1670" s="675">
        <v>0.1</v>
      </c>
      <c r="G1670" s="676">
        <v>590</v>
      </c>
      <c r="H1670" s="929">
        <v>0</v>
      </c>
      <c r="I1670" s="929">
        <v>589</v>
      </c>
      <c r="J1670" s="689">
        <f t="shared" si="26"/>
        <v>1</v>
      </c>
    </row>
    <row r="1671" spans="1:10" ht="12.75" customHeight="1" x14ac:dyDescent="0.2">
      <c r="A1671" s="681" t="s">
        <v>2370</v>
      </c>
      <c r="B1671" s="693" t="s">
        <v>4239</v>
      </c>
      <c r="C1671" s="672" t="s">
        <v>819</v>
      </c>
      <c r="D1671" s="673">
        <v>35481</v>
      </c>
      <c r="E1671" s="674">
        <v>10</v>
      </c>
      <c r="F1671" s="675">
        <v>0.1</v>
      </c>
      <c r="G1671" s="676">
        <v>590</v>
      </c>
      <c r="H1671" s="929">
        <v>0</v>
      </c>
      <c r="I1671" s="929">
        <v>589</v>
      </c>
      <c r="J1671" s="689">
        <f t="shared" ref="J1671:J1734" si="27">G1671-I1671</f>
        <v>1</v>
      </c>
    </row>
    <row r="1672" spans="1:10" ht="12.75" customHeight="1" x14ac:dyDescent="0.2">
      <c r="A1672" s="681" t="s">
        <v>2370</v>
      </c>
      <c r="B1672" s="693" t="s">
        <v>4240</v>
      </c>
      <c r="C1672" s="672" t="s">
        <v>785</v>
      </c>
      <c r="D1672" s="673">
        <v>37307</v>
      </c>
      <c r="E1672" s="674">
        <v>10</v>
      </c>
      <c r="F1672" s="675">
        <v>0.1</v>
      </c>
      <c r="G1672" s="676">
        <v>594</v>
      </c>
      <c r="H1672" s="929">
        <v>0</v>
      </c>
      <c r="I1672" s="929">
        <v>593</v>
      </c>
      <c r="J1672" s="689">
        <f t="shared" si="27"/>
        <v>1</v>
      </c>
    </row>
    <row r="1673" spans="1:10" ht="12.75" customHeight="1" x14ac:dyDescent="0.2">
      <c r="A1673" s="681" t="s">
        <v>2370</v>
      </c>
      <c r="B1673" s="693" t="s">
        <v>4241</v>
      </c>
      <c r="C1673" s="672" t="s">
        <v>790</v>
      </c>
      <c r="D1673" s="673">
        <v>37672</v>
      </c>
      <c r="E1673" s="674">
        <v>10</v>
      </c>
      <c r="F1673" s="675">
        <v>0.1</v>
      </c>
      <c r="G1673" s="676">
        <v>598</v>
      </c>
      <c r="H1673" s="929">
        <v>0</v>
      </c>
      <c r="I1673" s="929">
        <v>597</v>
      </c>
      <c r="J1673" s="689">
        <f t="shared" si="27"/>
        <v>1</v>
      </c>
    </row>
    <row r="1674" spans="1:10" ht="12.75" customHeight="1" x14ac:dyDescent="0.2">
      <c r="A1674" s="681" t="s">
        <v>2370</v>
      </c>
      <c r="B1674" s="693" t="s">
        <v>4242</v>
      </c>
      <c r="C1674" s="672" t="s">
        <v>790</v>
      </c>
      <c r="D1674" s="673">
        <v>37672</v>
      </c>
      <c r="E1674" s="674">
        <v>10</v>
      </c>
      <c r="F1674" s="675">
        <v>0.1</v>
      </c>
      <c r="G1674" s="676">
        <v>598</v>
      </c>
      <c r="H1674" s="929">
        <v>0</v>
      </c>
      <c r="I1674" s="929">
        <v>597</v>
      </c>
      <c r="J1674" s="689">
        <f t="shared" si="27"/>
        <v>1</v>
      </c>
    </row>
    <row r="1675" spans="1:10" ht="12.75" customHeight="1" x14ac:dyDescent="0.2">
      <c r="A1675" s="681" t="s">
        <v>2370</v>
      </c>
      <c r="B1675" s="693" t="s">
        <v>4243</v>
      </c>
      <c r="C1675" s="672" t="s">
        <v>790</v>
      </c>
      <c r="D1675" s="673">
        <v>37672</v>
      </c>
      <c r="E1675" s="674">
        <v>10</v>
      </c>
      <c r="F1675" s="675">
        <v>0.1</v>
      </c>
      <c r="G1675" s="676">
        <v>598</v>
      </c>
      <c r="H1675" s="929">
        <v>0</v>
      </c>
      <c r="I1675" s="929">
        <v>597</v>
      </c>
      <c r="J1675" s="689">
        <f t="shared" si="27"/>
        <v>1</v>
      </c>
    </row>
    <row r="1676" spans="1:10" ht="12.75" customHeight="1" x14ac:dyDescent="0.2">
      <c r="A1676" s="681" t="s">
        <v>2370</v>
      </c>
      <c r="B1676" s="693" t="s">
        <v>4244</v>
      </c>
      <c r="C1676" s="672" t="s">
        <v>892</v>
      </c>
      <c r="D1676" s="673">
        <v>39498</v>
      </c>
      <c r="E1676" s="674">
        <v>3</v>
      </c>
      <c r="F1676" s="675">
        <v>0.33</v>
      </c>
      <c r="G1676" s="676">
        <v>599</v>
      </c>
      <c r="H1676" s="929">
        <v>0</v>
      </c>
      <c r="I1676" s="929">
        <v>598</v>
      </c>
      <c r="J1676" s="689">
        <f t="shared" si="27"/>
        <v>1</v>
      </c>
    </row>
    <row r="1677" spans="1:10" ht="12.75" customHeight="1" x14ac:dyDescent="0.2">
      <c r="A1677" s="681" t="s">
        <v>2370</v>
      </c>
      <c r="B1677" s="693" t="s">
        <v>4245</v>
      </c>
      <c r="C1677" s="672" t="s">
        <v>892</v>
      </c>
      <c r="D1677" s="673">
        <v>40594</v>
      </c>
      <c r="E1677" s="674">
        <v>3</v>
      </c>
      <c r="F1677" s="675">
        <v>0.33</v>
      </c>
      <c r="G1677" s="676">
        <v>600</v>
      </c>
      <c r="H1677" s="929">
        <v>0</v>
      </c>
      <c r="I1677" s="929">
        <v>599</v>
      </c>
      <c r="J1677" s="689">
        <f t="shared" si="27"/>
        <v>1</v>
      </c>
    </row>
    <row r="1678" spans="1:10" ht="12.75" customHeight="1" x14ac:dyDescent="0.2">
      <c r="A1678" s="681" t="s">
        <v>2370</v>
      </c>
      <c r="B1678" s="693" t="s">
        <v>4246</v>
      </c>
      <c r="C1678" s="672" t="s">
        <v>826</v>
      </c>
      <c r="D1678" s="673">
        <v>37672</v>
      </c>
      <c r="E1678" s="674">
        <v>10</v>
      </c>
      <c r="F1678" s="675">
        <v>0.1</v>
      </c>
      <c r="G1678" s="676">
        <v>601</v>
      </c>
      <c r="H1678" s="929">
        <v>0</v>
      </c>
      <c r="I1678" s="929">
        <v>600</v>
      </c>
      <c r="J1678" s="689">
        <f t="shared" si="27"/>
        <v>1</v>
      </c>
    </row>
    <row r="1679" spans="1:10" ht="12.75" customHeight="1" x14ac:dyDescent="0.2">
      <c r="A1679" s="681" t="s">
        <v>2370</v>
      </c>
      <c r="B1679" s="693" t="s">
        <v>4247</v>
      </c>
      <c r="C1679" s="672" t="s">
        <v>785</v>
      </c>
      <c r="D1679" s="673">
        <v>37307</v>
      </c>
      <c r="E1679" s="674">
        <v>10</v>
      </c>
      <c r="F1679" s="675">
        <v>0.1</v>
      </c>
      <c r="G1679" s="676">
        <v>610</v>
      </c>
      <c r="H1679" s="929">
        <v>0</v>
      </c>
      <c r="I1679" s="929">
        <v>609</v>
      </c>
      <c r="J1679" s="689">
        <f t="shared" si="27"/>
        <v>1</v>
      </c>
    </row>
    <row r="1680" spans="1:10" ht="12.75" customHeight="1" x14ac:dyDescent="0.2">
      <c r="A1680" s="681" t="s">
        <v>2370</v>
      </c>
      <c r="B1680" s="693" t="s">
        <v>4248</v>
      </c>
      <c r="C1680" s="672" t="s">
        <v>785</v>
      </c>
      <c r="D1680" s="673">
        <v>37307</v>
      </c>
      <c r="E1680" s="674">
        <v>10</v>
      </c>
      <c r="F1680" s="675">
        <v>0.1</v>
      </c>
      <c r="G1680" s="676">
        <v>610</v>
      </c>
      <c r="H1680" s="929">
        <v>0</v>
      </c>
      <c r="I1680" s="929">
        <v>609</v>
      </c>
      <c r="J1680" s="689">
        <f t="shared" si="27"/>
        <v>1</v>
      </c>
    </row>
    <row r="1681" spans="1:10" ht="12.75" customHeight="1" x14ac:dyDescent="0.2">
      <c r="A1681" s="681" t="s">
        <v>2370</v>
      </c>
      <c r="B1681" s="693" t="s">
        <v>4249</v>
      </c>
      <c r="C1681" s="672" t="s">
        <v>786</v>
      </c>
      <c r="D1681" s="673">
        <v>35115</v>
      </c>
      <c r="E1681" s="674">
        <v>10</v>
      </c>
      <c r="F1681" s="675">
        <v>0.1</v>
      </c>
      <c r="G1681" s="676">
        <v>614</v>
      </c>
      <c r="H1681" s="929">
        <v>0</v>
      </c>
      <c r="I1681" s="929">
        <v>613</v>
      </c>
      <c r="J1681" s="689">
        <f t="shared" si="27"/>
        <v>1</v>
      </c>
    </row>
    <row r="1682" spans="1:10" ht="12.75" customHeight="1" x14ac:dyDescent="0.2">
      <c r="A1682" s="681" t="s">
        <v>2370</v>
      </c>
      <c r="B1682" s="693" t="s">
        <v>4250</v>
      </c>
      <c r="C1682" s="672" t="s">
        <v>785</v>
      </c>
      <c r="D1682" s="673">
        <v>36211</v>
      </c>
      <c r="E1682" s="674">
        <v>10</v>
      </c>
      <c r="F1682" s="675">
        <v>0.1</v>
      </c>
      <c r="G1682" s="676">
        <v>632</v>
      </c>
      <c r="H1682" s="929">
        <v>0</v>
      </c>
      <c r="I1682" s="929">
        <v>631</v>
      </c>
      <c r="J1682" s="689">
        <f t="shared" si="27"/>
        <v>1</v>
      </c>
    </row>
    <row r="1683" spans="1:10" ht="12.75" customHeight="1" x14ac:dyDescent="0.2">
      <c r="A1683" s="681" t="s">
        <v>2370</v>
      </c>
      <c r="B1683" s="693" t="s">
        <v>4251</v>
      </c>
      <c r="C1683" s="672" t="s">
        <v>785</v>
      </c>
      <c r="D1683" s="673">
        <v>36211</v>
      </c>
      <c r="E1683" s="674">
        <v>10</v>
      </c>
      <c r="F1683" s="675">
        <v>0.1</v>
      </c>
      <c r="G1683" s="676">
        <v>632</v>
      </c>
      <c r="H1683" s="929">
        <v>0</v>
      </c>
      <c r="I1683" s="929">
        <v>631</v>
      </c>
      <c r="J1683" s="689">
        <f t="shared" si="27"/>
        <v>1</v>
      </c>
    </row>
    <row r="1684" spans="1:10" ht="12.75" customHeight="1" x14ac:dyDescent="0.2">
      <c r="A1684" s="681" t="s">
        <v>2370</v>
      </c>
      <c r="B1684" s="693" t="s">
        <v>4252</v>
      </c>
      <c r="C1684" s="672" t="s">
        <v>785</v>
      </c>
      <c r="D1684" s="673">
        <v>36211</v>
      </c>
      <c r="E1684" s="674">
        <v>10</v>
      </c>
      <c r="F1684" s="675">
        <v>0.1</v>
      </c>
      <c r="G1684" s="676">
        <v>632</v>
      </c>
      <c r="H1684" s="929">
        <v>0</v>
      </c>
      <c r="I1684" s="929">
        <v>631</v>
      </c>
      <c r="J1684" s="689">
        <f t="shared" si="27"/>
        <v>1</v>
      </c>
    </row>
    <row r="1685" spans="1:10" ht="12.75" customHeight="1" x14ac:dyDescent="0.2">
      <c r="A1685" s="681" t="s">
        <v>2370</v>
      </c>
      <c r="B1685" s="693" t="s">
        <v>4253</v>
      </c>
      <c r="C1685" s="672" t="s">
        <v>814</v>
      </c>
      <c r="D1685" s="673">
        <v>38037</v>
      </c>
      <c r="E1685" s="674">
        <v>3</v>
      </c>
      <c r="F1685" s="675">
        <v>0.33</v>
      </c>
      <c r="G1685" s="676">
        <v>652</v>
      </c>
      <c r="H1685" s="929">
        <v>0</v>
      </c>
      <c r="I1685" s="929">
        <v>651</v>
      </c>
      <c r="J1685" s="689">
        <f t="shared" si="27"/>
        <v>1</v>
      </c>
    </row>
    <row r="1686" spans="1:10" ht="12.75" customHeight="1" x14ac:dyDescent="0.2">
      <c r="A1686" s="681" t="s">
        <v>2370</v>
      </c>
      <c r="B1686" s="693" t="s">
        <v>4254</v>
      </c>
      <c r="C1686" s="672" t="s">
        <v>794</v>
      </c>
      <c r="D1686" s="673">
        <v>37307</v>
      </c>
      <c r="E1686" s="674">
        <v>10</v>
      </c>
      <c r="F1686" s="675">
        <v>0.1</v>
      </c>
      <c r="G1686" s="676">
        <v>657</v>
      </c>
      <c r="H1686" s="929">
        <v>0</v>
      </c>
      <c r="I1686" s="929">
        <v>656</v>
      </c>
      <c r="J1686" s="689">
        <f t="shared" si="27"/>
        <v>1</v>
      </c>
    </row>
    <row r="1687" spans="1:10" ht="12.75" customHeight="1" x14ac:dyDescent="0.2">
      <c r="A1687" s="681" t="s">
        <v>2370</v>
      </c>
      <c r="B1687" s="693" t="s">
        <v>4255</v>
      </c>
      <c r="C1687" s="672" t="s">
        <v>794</v>
      </c>
      <c r="D1687" s="673">
        <v>37672</v>
      </c>
      <c r="E1687" s="674">
        <v>10</v>
      </c>
      <c r="F1687" s="675">
        <v>0.1</v>
      </c>
      <c r="G1687" s="676">
        <v>657</v>
      </c>
      <c r="H1687" s="929">
        <v>0</v>
      </c>
      <c r="I1687" s="929">
        <v>656</v>
      </c>
      <c r="J1687" s="689">
        <f t="shared" si="27"/>
        <v>1</v>
      </c>
    </row>
    <row r="1688" spans="1:10" ht="12.75" customHeight="1" x14ac:dyDescent="0.2">
      <c r="A1688" s="681" t="s">
        <v>2370</v>
      </c>
      <c r="B1688" s="693" t="s">
        <v>4256</v>
      </c>
      <c r="C1688" s="672" t="s">
        <v>790</v>
      </c>
      <c r="D1688" s="673">
        <v>35115</v>
      </c>
      <c r="E1688" s="674">
        <v>10</v>
      </c>
      <c r="F1688" s="675">
        <v>0.1</v>
      </c>
      <c r="G1688" s="676">
        <v>662</v>
      </c>
      <c r="H1688" s="929">
        <v>0</v>
      </c>
      <c r="I1688" s="929">
        <v>661</v>
      </c>
      <c r="J1688" s="689">
        <f t="shared" si="27"/>
        <v>1</v>
      </c>
    </row>
    <row r="1689" spans="1:10" ht="12.75" customHeight="1" x14ac:dyDescent="0.2">
      <c r="A1689" s="681" t="s">
        <v>2370</v>
      </c>
      <c r="B1689" s="693" t="s">
        <v>4257</v>
      </c>
      <c r="C1689" s="672" t="s">
        <v>785</v>
      </c>
      <c r="D1689" s="673">
        <v>35115</v>
      </c>
      <c r="E1689" s="674">
        <v>10</v>
      </c>
      <c r="F1689" s="675">
        <v>0.1</v>
      </c>
      <c r="G1689" s="676">
        <v>673</v>
      </c>
      <c r="H1689" s="929">
        <v>0</v>
      </c>
      <c r="I1689" s="929">
        <v>672</v>
      </c>
      <c r="J1689" s="689">
        <f t="shared" si="27"/>
        <v>1</v>
      </c>
    </row>
    <row r="1690" spans="1:10" ht="12.75" customHeight="1" x14ac:dyDescent="0.2">
      <c r="A1690" s="681" t="s">
        <v>2370</v>
      </c>
      <c r="B1690" s="693" t="s">
        <v>4258</v>
      </c>
      <c r="C1690" s="672" t="s">
        <v>785</v>
      </c>
      <c r="D1690" s="673">
        <v>36211</v>
      </c>
      <c r="E1690" s="674">
        <v>10</v>
      </c>
      <c r="F1690" s="675">
        <v>0.1</v>
      </c>
      <c r="G1690" s="676">
        <v>684</v>
      </c>
      <c r="H1690" s="929">
        <v>0</v>
      </c>
      <c r="I1690" s="929">
        <v>683</v>
      </c>
      <c r="J1690" s="689">
        <f t="shared" si="27"/>
        <v>1</v>
      </c>
    </row>
    <row r="1691" spans="1:10" ht="12.75" customHeight="1" x14ac:dyDescent="0.2">
      <c r="A1691" s="681" t="s">
        <v>2370</v>
      </c>
      <c r="B1691" s="693" t="s">
        <v>4259</v>
      </c>
      <c r="C1691" s="672" t="s">
        <v>785</v>
      </c>
      <c r="D1691" s="673">
        <v>36211</v>
      </c>
      <c r="E1691" s="674">
        <v>10</v>
      </c>
      <c r="F1691" s="675">
        <v>0.1</v>
      </c>
      <c r="G1691" s="676">
        <v>690</v>
      </c>
      <c r="H1691" s="929">
        <v>0</v>
      </c>
      <c r="I1691" s="929">
        <v>689</v>
      </c>
      <c r="J1691" s="689">
        <f t="shared" si="27"/>
        <v>1</v>
      </c>
    </row>
    <row r="1692" spans="1:10" ht="12.75" customHeight="1" x14ac:dyDescent="0.2">
      <c r="A1692" s="681" t="s">
        <v>2370</v>
      </c>
      <c r="B1692" s="693" t="s">
        <v>4260</v>
      </c>
      <c r="C1692" s="672" t="s">
        <v>785</v>
      </c>
      <c r="D1692" s="673">
        <v>36211</v>
      </c>
      <c r="E1692" s="674">
        <v>10</v>
      </c>
      <c r="F1692" s="675">
        <v>0.1</v>
      </c>
      <c r="G1692" s="676">
        <v>690</v>
      </c>
      <c r="H1692" s="929">
        <v>0</v>
      </c>
      <c r="I1692" s="929">
        <v>689</v>
      </c>
      <c r="J1692" s="689">
        <f t="shared" si="27"/>
        <v>1</v>
      </c>
    </row>
    <row r="1693" spans="1:10" ht="12.75" customHeight="1" x14ac:dyDescent="0.2">
      <c r="A1693" s="681" t="s">
        <v>2370</v>
      </c>
      <c r="B1693" s="693" t="s">
        <v>4261</v>
      </c>
      <c r="C1693" s="672" t="s">
        <v>790</v>
      </c>
      <c r="D1693" s="673">
        <v>36576</v>
      </c>
      <c r="E1693" s="674">
        <v>10</v>
      </c>
      <c r="F1693" s="675">
        <v>0.1</v>
      </c>
      <c r="G1693" s="676">
        <v>690</v>
      </c>
      <c r="H1693" s="929">
        <v>0</v>
      </c>
      <c r="I1693" s="929">
        <v>689</v>
      </c>
      <c r="J1693" s="689">
        <f t="shared" si="27"/>
        <v>1</v>
      </c>
    </row>
    <row r="1694" spans="1:10" ht="12.75" customHeight="1" x14ac:dyDescent="0.2">
      <c r="A1694" s="681" t="s">
        <v>2370</v>
      </c>
      <c r="B1694" s="693" t="s">
        <v>4262</v>
      </c>
      <c r="C1694" s="672" t="s">
        <v>828</v>
      </c>
      <c r="D1694" s="673">
        <v>36576</v>
      </c>
      <c r="E1694" s="674">
        <v>10</v>
      </c>
      <c r="F1694" s="675">
        <v>0.1</v>
      </c>
      <c r="G1694" s="676">
        <v>690</v>
      </c>
      <c r="H1694" s="929">
        <v>0</v>
      </c>
      <c r="I1694" s="929">
        <v>689</v>
      </c>
      <c r="J1694" s="689">
        <f t="shared" si="27"/>
        <v>1</v>
      </c>
    </row>
    <row r="1695" spans="1:10" ht="12.75" customHeight="1" x14ac:dyDescent="0.2">
      <c r="A1695" s="681" t="s">
        <v>2370</v>
      </c>
      <c r="B1695" s="693" t="s">
        <v>4263</v>
      </c>
      <c r="C1695" s="672" t="s">
        <v>827</v>
      </c>
      <c r="D1695" s="673">
        <v>36576</v>
      </c>
      <c r="E1695" s="674">
        <v>10</v>
      </c>
      <c r="F1695" s="675">
        <v>0.1</v>
      </c>
      <c r="G1695" s="676">
        <v>690</v>
      </c>
      <c r="H1695" s="929">
        <v>0</v>
      </c>
      <c r="I1695" s="929">
        <v>689</v>
      </c>
      <c r="J1695" s="689">
        <f t="shared" si="27"/>
        <v>1</v>
      </c>
    </row>
    <row r="1696" spans="1:10" ht="12.75" customHeight="1" x14ac:dyDescent="0.2">
      <c r="A1696" s="681" t="s">
        <v>2370</v>
      </c>
      <c r="B1696" s="693" t="s">
        <v>4264</v>
      </c>
      <c r="C1696" s="672" t="s">
        <v>788</v>
      </c>
      <c r="D1696" s="673">
        <v>35115</v>
      </c>
      <c r="E1696" s="674">
        <v>10</v>
      </c>
      <c r="F1696" s="675">
        <v>0.1</v>
      </c>
      <c r="G1696" s="676">
        <v>691</v>
      </c>
      <c r="H1696" s="929">
        <v>0</v>
      </c>
      <c r="I1696" s="929">
        <v>690</v>
      </c>
      <c r="J1696" s="689">
        <f t="shared" si="27"/>
        <v>1</v>
      </c>
    </row>
    <row r="1697" spans="1:10" ht="12.75" customHeight="1" x14ac:dyDescent="0.2">
      <c r="A1697" s="681" t="s">
        <v>2370</v>
      </c>
      <c r="B1697" s="693" t="s">
        <v>4265</v>
      </c>
      <c r="C1697" s="672" t="s">
        <v>892</v>
      </c>
      <c r="D1697" s="673">
        <v>39498</v>
      </c>
      <c r="E1697" s="674">
        <v>3</v>
      </c>
      <c r="F1697" s="675">
        <v>0.33</v>
      </c>
      <c r="G1697" s="676">
        <v>698</v>
      </c>
      <c r="H1697" s="929">
        <v>0</v>
      </c>
      <c r="I1697" s="929">
        <v>697</v>
      </c>
      <c r="J1697" s="689">
        <f t="shared" si="27"/>
        <v>1</v>
      </c>
    </row>
    <row r="1698" spans="1:10" ht="12.75" customHeight="1" x14ac:dyDescent="0.2">
      <c r="A1698" s="681" t="s">
        <v>2370</v>
      </c>
      <c r="B1698" s="693" t="s">
        <v>4266</v>
      </c>
      <c r="C1698" s="672" t="s">
        <v>785</v>
      </c>
      <c r="D1698" s="673">
        <v>36576</v>
      </c>
      <c r="E1698" s="674">
        <v>10</v>
      </c>
      <c r="F1698" s="675">
        <v>0.1</v>
      </c>
      <c r="G1698" s="676">
        <v>713</v>
      </c>
      <c r="H1698" s="929">
        <v>0</v>
      </c>
      <c r="I1698" s="929">
        <v>712</v>
      </c>
      <c r="J1698" s="689">
        <f t="shared" si="27"/>
        <v>1</v>
      </c>
    </row>
    <row r="1699" spans="1:10" ht="12.75" customHeight="1" x14ac:dyDescent="0.2">
      <c r="A1699" s="681" t="s">
        <v>2370</v>
      </c>
      <c r="B1699" s="693" t="s">
        <v>4267</v>
      </c>
      <c r="C1699" s="672" t="s">
        <v>898</v>
      </c>
      <c r="D1699" s="673">
        <v>39498</v>
      </c>
      <c r="E1699" s="674">
        <v>3</v>
      </c>
      <c r="F1699" s="675">
        <v>0.33</v>
      </c>
      <c r="G1699" s="676">
        <v>720</v>
      </c>
      <c r="H1699" s="929">
        <v>0</v>
      </c>
      <c r="I1699" s="929">
        <v>719</v>
      </c>
      <c r="J1699" s="689">
        <f t="shared" si="27"/>
        <v>1</v>
      </c>
    </row>
    <row r="1700" spans="1:10" ht="12.75" customHeight="1" x14ac:dyDescent="0.2">
      <c r="A1700" s="681" t="s">
        <v>2370</v>
      </c>
      <c r="B1700" s="693" t="s">
        <v>4268</v>
      </c>
      <c r="C1700" s="672" t="s">
        <v>785</v>
      </c>
      <c r="D1700" s="673">
        <v>37307</v>
      </c>
      <c r="E1700" s="674">
        <v>10</v>
      </c>
      <c r="F1700" s="675">
        <v>0.1</v>
      </c>
      <c r="G1700" s="676">
        <v>724</v>
      </c>
      <c r="H1700" s="929">
        <v>0</v>
      </c>
      <c r="I1700" s="929">
        <v>723</v>
      </c>
      <c r="J1700" s="689">
        <f t="shared" si="27"/>
        <v>1</v>
      </c>
    </row>
    <row r="1701" spans="1:10" ht="12.75" customHeight="1" x14ac:dyDescent="0.2">
      <c r="A1701" s="681" t="s">
        <v>2370</v>
      </c>
      <c r="B1701" s="693" t="s">
        <v>4269</v>
      </c>
      <c r="C1701" s="672" t="s">
        <v>785</v>
      </c>
      <c r="D1701" s="673">
        <v>37307</v>
      </c>
      <c r="E1701" s="674">
        <v>10</v>
      </c>
      <c r="F1701" s="675">
        <v>0.1</v>
      </c>
      <c r="G1701" s="676">
        <v>724</v>
      </c>
      <c r="H1701" s="929">
        <v>0</v>
      </c>
      <c r="I1701" s="929">
        <v>723</v>
      </c>
      <c r="J1701" s="689">
        <f t="shared" si="27"/>
        <v>1</v>
      </c>
    </row>
    <row r="1702" spans="1:10" ht="12.75" customHeight="1" x14ac:dyDescent="0.2">
      <c r="A1702" s="681" t="s">
        <v>2370</v>
      </c>
      <c r="B1702" s="693" t="s">
        <v>4270</v>
      </c>
      <c r="C1702" s="672" t="s">
        <v>850</v>
      </c>
      <c r="D1702" s="673">
        <v>35115</v>
      </c>
      <c r="E1702" s="674">
        <v>10</v>
      </c>
      <c r="F1702" s="675">
        <v>0.1</v>
      </c>
      <c r="G1702" s="676">
        <v>728</v>
      </c>
      <c r="H1702" s="929">
        <v>0</v>
      </c>
      <c r="I1702" s="929">
        <v>727</v>
      </c>
      <c r="J1702" s="689">
        <f t="shared" si="27"/>
        <v>1</v>
      </c>
    </row>
    <row r="1703" spans="1:10" ht="12.75" customHeight="1" x14ac:dyDescent="0.2">
      <c r="A1703" s="681" t="s">
        <v>2370</v>
      </c>
      <c r="B1703" s="693" t="s">
        <v>4271</v>
      </c>
      <c r="C1703" s="672" t="s">
        <v>847</v>
      </c>
      <c r="D1703" s="673">
        <v>37307</v>
      </c>
      <c r="E1703" s="674">
        <v>10</v>
      </c>
      <c r="F1703" s="675">
        <v>0.1</v>
      </c>
      <c r="G1703" s="676">
        <v>731</v>
      </c>
      <c r="H1703" s="929">
        <v>0</v>
      </c>
      <c r="I1703" s="929">
        <v>730</v>
      </c>
      <c r="J1703" s="689">
        <f t="shared" si="27"/>
        <v>1</v>
      </c>
    </row>
    <row r="1704" spans="1:10" ht="12.75" customHeight="1" x14ac:dyDescent="0.2">
      <c r="A1704" s="681" t="s">
        <v>2370</v>
      </c>
      <c r="B1704" s="693" t="s">
        <v>4272</v>
      </c>
      <c r="C1704" s="672" t="s">
        <v>785</v>
      </c>
      <c r="D1704" s="673">
        <v>37307</v>
      </c>
      <c r="E1704" s="674">
        <v>10</v>
      </c>
      <c r="F1704" s="675">
        <v>0.1</v>
      </c>
      <c r="G1704" s="676">
        <v>735</v>
      </c>
      <c r="H1704" s="929">
        <v>0</v>
      </c>
      <c r="I1704" s="929">
        <v>734</v>
      </c>
      <c r="J1704" s="689">
        <f t="shared" si="27"/>
        <v>1</v>
      </c>
    </row>
    <row r="1705" spans="1:10" ht="12.75" customHeight="1" x14ac:dyDescent="0.2">
      <c r="A1705" s="681" t="s">
        <v>2370</v>
      </c>
      <c r="B1705" s="693" t="s">
        <v>4273</v>
      </c>
      <c r="C1705" s="672" t="s">
        <v>785</v>
      </c>
      <c r="D1705" s="673">
        <v>37672</v>
      </c>
      <c r="E1705" s="674">
        <v>10</v>
      </c>
      <c r="F1705" s="675">
        <v>0.1</v>
      </c>
      <c r="G1705" s="676">
        <v>735</v>
      </c>
      <c r="H1705" s="929">
        <v>0</v>
      </c>
      <c r="I1705" s="929">
        <v>734</v>
      </c>
      <c r="J1705" s="689">
        <f t="shared" si="27"/>
        <v>1</v>
      </c>
    </row>
    <row r="1706" spans="1:10" ht="12.75" customHeight="1" x14ac:dyDescent="0.2">
      <c r="A1706" s="681" t="s">
        <v>2370</v>
      </c>
      <c r="B1706" s="693" t="s">
        <v>4274</v>
      </c>
      <c r="C1706" s="672" t="s">
        <v>790</v>
      </c>
      <c r="D1706" s="673">
        <v>35846</v>
      </c>
      <c r="E1706" s="674">
        <v>10</v>
      </c>
      <c r="F1706" s="675">
        <v>0.1</v>
      </c>
      <c r="G1706" s="676">
        <v>738</v>
      </c>
      <c r="H1706" s="929">
        <v>0</v>
      </c>
      <c r="I1706" s="929">
        <v>737</v>
      </c>
      <c r="J1706" s="689">
        <f t="shared" si="27"/>
        <v>1</v>
      </c>
    </row>
    <row r="1707" spans="1:10" ht="12.75" customHeight="1" x14ac:dyDescent="0.2">
      <c r="A1707" s="681" t="s">
        <v>2370</v>
      </c>
      <c r="B1707" s="693" t="s">
        <v>4275</v>
      </c>
      <c r="C1707" s="672" t="s">
        <v>787</v>
      </c>
      <c r="D1707" s="673">
        <v>36211</v>
      </c>
      <c r="E1707" s="674">
        <v>10</v>
      </c>
      <c r="F1707" s="675">
        <v>0.1</v>
      </c>
      <c r="G1707" s="676">
        <v>742</v>
      </c>
      <c r="H1707" s="929">
        <v>0</v>
      </c>
      <c r="I1707" s="929">
        <v>741</v>
      </c>
      <c r="J1707" s="689">
        <f t="shared" si="27"/>
        <v>1</v>
      </c>
    </row>
    <row r="1708" spans="1:10" ht="12.75" customHeight="1" x14ac:dyDescent="0.2">
      <c r="A1708" s="681" t="s">
        <v>2370</v>
      </c>
      <c r="B1708" s="693" t="s">
        <v>4276</v>
      </c>
      <c r="C1708" s="672" t="s">
        <v>787</v>
      </c>
      <c r="D1708" s="673">
        <v>36211</v>
      </c>
      <c r="E1708" s="674">
        <v>10</v>
      </c>
      <c r="F1708" s="675">
        <v>0.1</v>
      </c>
      <c r="G1708" s="676">
        <v>742</v>
      </c>
      <c r="H1708" s="929">
        <v>0</v>
      </c>
      <c r="I1708" s="929">
        <v>741</v>
      </c>
      <c r="J1708" s="689">
        <f t="shared" si="27"/>
        <v>1</v>
      </c>
    </row>
    <row r="1709" spans="1:10" ht="12.75" customHeight="1" x14ac:dyDescent="0.2">
      <c r="A1709" s="681" t="s">
        <v>2370</v>
      </c>
      <c r="B1709" s="693" t="s">
        <v>4277</v>
      </c>
      <c r="C1709" s="672" t="s">
        <v>787</v>
      </c>
      <c r="D1709" s="673">
        <v>35115</v>
      </c>
      <c r="E1709" s="674">
        <v>10</v>
      </c>
      <c r="F1709" s="675">
        <v>0.1</v>
      </c>
      <c r="G1709" s="676">
        <v>742</v>
      </c>
      <c r="H1709" s="929">
        <v>0</v>
      </c>
      <c r="I1709" s="929">
        <v>741</v>
      </c>
      <c r="J1709" s="689">
        <f t="shared" si="27"/>
        <v>1</v>
      </c>
    </row>
    <row r="1710" spans="1:10" ht="12.75" customHeight="1" x14ac:dyDescent="0.2">
      <c r="A1710" s="681" t="s">
        <v>2370</v>
      </c>
      <c r="B1710" s="693" t="s">
        <v>4278</v>
      </c>
      <c r="C1710" s="672" t="s">
        <v>853</v>
      </c>
      <c r="D1710" s="673">
        <v>35115</v>
      </c>
      <c r="E1710" s="674">
        <v>10</v>
      </c>
      <c r="F1710" s="675">
        <v>0.1</v>
      </c>
      <c r="G1710" s="676">
        <v>742</v>
      </c>
      <c r="H1710" s="929">
        <v>0</v>
      </c>
      <c r="I1710" s="929">
        <v>741</v>
      </c>
      <c r="J1710" s="689">
        <f t="shared" si="27"/>
        <v>1</v>
      </c>
    </row>
    <row r="1711" spans="1:10" ht="12.75" customHeight="1" x14ac:dyDescent="0.2">
      <c r="A1711" s="681" t="s">
        <v>2370</v>
      </c>
      <c r="B1711" s="693" t="s">
        <v>4279</v>
      </c>
      <c r="C1711" s="672" t="s">
        <v>787</v>
      </c>
      <c r="D1711" s="673">
        <v>35115</v>
      </c>
      <c r="E1711" s="674">
        <v>10</v>
      </c>
      <c r="F1711" s="675">
        <v>0.1</v>
      </c>
      <c r="G1711" s="676">
        <v>742</v>
      </c>
      <c r="H1711" s="929">
        <v>0</v>
      </c>
      <c r="I1711" s="929">
        <v>741</v>
      </c>
      <c r="J1711" s="689">
        <f t="shared" si="27"/>
        <v>1</v>
      </c>
    </row>
    <row r="1712" spans="1:10" ht="12.75" customHeight="1" x14ac:dyDescent="0.2">
      <c r="A1712" s="681" t="s">
        <v>2370</v>
      </c>
      <c r="B1712" s="693" t="s">
        <v>4280</v>
      </c>
      <c r="C1712" s="672" t="s">
        <v>787</v>
      </c>
      <c r="D1712" s="673">
        <v>35115</v>
      </c>
      <c r="E1712" s="674">
        <v>10</v>
      </c>
      <c r="F1712" s="675">
        <v>0.1</v>
      </c>
      <c r="G1712" s="676">
        <v>742</v>
      </c>
      <c r="H1712" s="929">
        <v>0</v>
      </c>
      <c r="I1712" s="929">
        <v>741</v>
      </c>
      <c r="J1712" s="689">
        <f t="shared" si="27"/>
        <v>1</v>
      </c>
    </row>
    <row r="1713" spans="1:10" ht="12.75" customHeight="1" x14ac:dyDescent="0.2">
      <c r="A1713" s="681" t="s">
        <v>2370</v>
      </c>
      <c r="B1713" s="693" t="s">
        <v>4281</v>
      </c>
      <c r="C1713" s="672" t="s">
        <v>892</v>
      </c>
      <c r="D1713" s="673">
        <v>39498</v>
      </c>
      <c r="E1713" s="674">
        <v>3</v>
      </c>
      <c r="F1713" s="675">
        <v>0.33</v>
      </c>
      <c r="G1713" s="676">
        <v>745</v>
      </c>
      <c r="H1713" s="929">
        <v>0</v>
      </c>
      <c r="I1713" s="929">
        <v>744</v>
      </c>
      <c r="J1713" s="689">
        <f t="shared" si="27"/>
        <v>1</v>
      </c>
    </row>
    <row r="1714" spans="1:10" ht="12.75" customHeight="1" x14ac:dyDescent="0.2">
      <c r="A1714" s="681" t="s">
        <v>2370</v>
      </c>
      <c r="B1714" s="693" t="s">
        <v>4282</v>
      </c>
      <c r="C1714" s="672" t="s">
        <v>892</v>
      </c>
      <c r="D1714" s="673">
        <v>39498</v>
      </c>
      <c r="E1714" s="674">
        <v>3</v>
      </c>
      <c r="F1714" s="675">
        <v>0.33</v>
      </c>
      <c r="G1714" s="676">
        <v>745</v>
      </c>
      <c r="H1714" s="929">
        <v>0</v>
      </c>
      <c r="I1714" s="929">
        <v>744</v>
      </c>
      <c r="J1714" s="689">
        <f t="shared" si="27"/>
        <v>1</v>
      </c>
    </row>
    <row r="1715" spans="1:10" ht="12.75" customHeight="1" x14ac:dyDescent="0.2">
      <c r="A1715" s="681" t="s">
        <v>2370</v>
      </c>
      <c r="B1715" s="693" t="s">
        <v>4283</v>
      </c>
      <c r="C1715" s="672" t="s">
        <v>787</v>
      </c>
      <c r="D1715" s="673">
        <v>35115</v>
      </c>
      <c r="E1715" s="674">
        <v>10</v>
      </c>
      <c r="F1715" s="675">
        <v>0.1</v>
      </c>
      <c r="G1715" s="676">
        <v>748</v>
      </c>
      <c r="H1715" s="929">
        <v>0</v>
      </c>
      <c r="I1715" s="929">
        <v>747</v>
      </c>
      <c r="J1715" s="689">
        <f t="shared" si="27"/>
        <v>1</v>
      </c>
    </row>
    <row r="1716" spans="1:10" ht="12.75" customHeight="1" x14ac:dyDescent="0.2">
      <c r="A1716" s="681" t="s">
        <v>2370</v>
      </c>
      <c r="B1716" s="693" t="s">
        <v>4284</v>
      </c>
      <c r="C1716" s="672" t="s">
        <v>790</v>
      </c>
      <c r="D1716" s="673">
        <v>37307</v>
      </c>
      <c r="E1716" s="674">
        <v>10</v>
      </c>
      <c r="F1716" s="675">
        <v>0.1</v>
      </c>
      <c r="G1716" s="676">
        <v>748</v>
      </c>
      <c r="H1716" s="929">
        <v>0</v>
      </c>
      <c r="I1716" s="929">
        <v>747</v>
      </c>
      <c r="J1716" s="689">
        <f t="shared" si="27"/>
        <v>1</v>
      </c>
    </row>
    <row r="1717" spans="1:10" ht="12.75" customHeight="1" x14ac:dyDescent="0.2">
      <c r="A1717" s="681" t="s">
        <v>2370</v>
      </c>
      <c r="B1717" s="693" t="s">
        <v>4285</v>
      </c>
      <c r="C1717" s="672" t="s">
        <v>790</v>
      </c>
      <c r="D1717" s="673">
        <v>37307</v>
      </c>
      <c r="E1717" s="674">
        <v>10</v>
      </c>
      <c r="F1717" s="675">
        <v>0.1</v>
      </c>
      <c r="G1717" s="676">
        <v>769</v>
      </c>
      <c r="H1717" s="929">
        <v>0</v>
      </c>
      <c r="I1717" s="929">
        <v>768</v>
      </c>
      <c r="J1717" s="689">
        <f t="shared" si="27"/>
        <v>1</v>
      </c>
    </row>
    <row r="1718" spans="1:10" ht="12.75" customHeight="1" x14ac:dyDescent="0.2">
      <c r="A1718" s="681" t="s">
        <v>2370</v>
      </c>
      <c r="B1718" s="693" t="s">
        <v>4286</v>
      </c>
      <c r="C1718" s="672" t="s">
        <v>790</v>
      </c>
      <c r="D1718" s="673">
        <v>37307</v>
      </c>
      <c r="E1718" s="674">
        <v>10</v>
      </c>
      <c r="F1718" s="675">
        <v>0.1</v>
      </c>
      <c r="G1718" s="676">
        <v>769</v>
      </c>
      <c r="H1718" s="929">
        <v>0</v>
      </c>
      <c r="I1718" s="929">
        <v>768</v>
      </c>
      <c r="J1718" s="689">
        <f t="shared" si="27"/>
        <v>1</v>
      </c>
    </row>
    <row r="1719" spans="1:10" ht="12.75" customHeight="1" x14ac:dyDescent="0.2">
      <c r="A1719" s="681" t="s">
        <v>2370</v>
      </c>
      <c r="B1719" s="693" t="s">
        <v>4287</v>
      </c>
      <c r="C1719" s="672" t="s">
        <v>790</v>
      </c>
      <c r="D1719" s="673">
        <v>37307</v>
      </c>
      <c r="E1719" s="674">
        <v>10</v>
      </c>
      <c r="F1719" s="675">
        <v>0.1</v>
      </c>
      <c r="G1719" s="676">
        <v>769</v>
      </c>
      <c r="H1719" s="929">
        <v>0</v>
      </c>
      <c r="I1719" s="929">
        <v>768</v>
      </c>
      <c r="J1719" s="689">
        <f t="shared" si="27"/>
        <v>1</v>
      </c>
    </row>
    <row r="1720" spans="1:10" ht="12.75" customHeight="1" x14ac:dyDescent="0.2">
      <c r="A1720" s="681" t="s">
        <v>2370</v>
      </c>
      <c r="B1720" s="693" t="s">
        <v>4288</v>
      </c>
      <c r="C1720" s="672" t="s">
        <v>790</v>
      </c>
      <c r="D1720" s="673">
        <v>37307</v>
      </c>
      <c r="E1720" s="674">
        <v>10</v>
      </c>
      <c r="F1720" s="675">
        <v>0.1</v>
      </c>
      <c r="G1720" s="676">
        <v>769</v>
      </c>
      <c r="H1720" s="929">
        <v>0</v>
      </c>
      <c r="I1720" s="929">
        <v>768</v>
      </c>
      <c r="J1720" s="689">
        <f t="shared" si="27"/>
        <v>1</v>
      </c>
    </row>
    <row r="1721" spans="1:10" ht="12.75" customHeight="1" x14ac:dyDescent="0.2">
      <c r="A1721" s="681" t="s">
        <v>2370</v>
      </c>
      <c r="B1721" s="693" t="s">
        <v>4289</v>
      </c>
      <c r="C1721" s="672" t="s">
        <v>921</v>
      </c>
      <c r="D1721" s="673">
        <v>35115</v>
      </c>
      <c r="E1721" s="674">
        <v>10</v>
      </c>
      <c r="F1721" s="675">
        <v>0.1</v>
      </c>
      <c r="G1721" s="676">
        <v>776</v>
      </c>
      <c r="H1721" s="929">
        <v>0</v>
      </c>
      <c r="I1721" s="929">
        <v>775</v>
      </c>
      <c r="J1721" s="689">
        <f t="shared" si="27"/>
        <v>1</v>
      </c>
    </row>
    <row r="1722" spans="1:10" ht="12.75" customHeight="1" x14ac:dyDescent="0.2">
      <c r="A1722" s="681" t="s">
        <v>2370</v>
      </c>
      <c r="B1722" s="693" t="s">
        <v>4290</v>
      </c>
      <c r="C1722" s="672" t="s">
        <v>785</v>
      </c>
      <c r="D1722" s="673">
        <v>36576</v>
      </c>
      <c r="E1722" s="674">
        <v>10</v>
      </c>
      <c r="F1722" s="675">
        <v>0.1</v>
      </c>
      <c r="G1722" s="676">
        <v>782</v>
      </c>
      <c r="H1722" s="929">
        <v>0</v>
      </c>
      <c r="I1722" s="929">
        <v>781</v>
      </c>
      <c r="J1722" s="689">
        <f t="shared" si="27"/>
        <v>1</v>
      </c>
    </row>
    <row r="1723" spans="1:10" ht="12.75" customHeight="1" x14ac:dyDescent="0.2">
      <c r="A1723" s="681" t="s">
        <v>2370</v>
      </c>
      <c r="B1723" s="693" t="s">
        <v>4291</v>
      </c>
      <c r="C1723" s="672" t="s">
        <v>785</v>
      </c>
      <c r="D1723" s="673">
        <v>36576</v>
      </c>
      <c r="E1723" s="674">
        <v>10</v>
      </c>
      <c r="F1723" s="675">
        <v>0.1</v>
      </c>
      <c r="G1723" s="676">
        <v>782</v>
      </c>
      <c r="H1723" s="929">
        <v>0</v>
      </c>
      <c r="I1723" s="929">
        <v>781</v>
      </c>
      <c r="J1723" s="689">
        <f t="shared" si="27"/>
        <v>1</v>
      </c>
    </row>
    <row r="1724" spans="1:10" ht="12.75" customHeight="1" x14ac:dyDescent="0.2">
      <c r="A1724" s="681" t="s">
        <v>2370</v>
      </c>
      <c r="B1724" s="693" t="s">
        <v>4292</v>
      </c>
      <c r="C1724" s="672" t="s">
        <v>785</v>
      </c>
      <c r="D1724" s="673">
        <v>36576</v>
      </c>
      <c r="E1724" s="674">
        <v>10</v>
      </c>
      <c r="F1724" s="675">
        <v>0.1</v>
      </c>
      <c r="G1724" s="676">
        <v>782</v>
      </c>
      <c r="H1724" s="929">
        <v>0</v>
      </c>
      <c r="I1724" s="929">
        <v>781</v>
      </c>
      <c r="J1724" s="689">
        <f t="shared" si="27"/>
        <v>1</v>
      </c>
    </row>
    <row r="1725" spans="1:10" ht="12.75" customHeight="1" x14ac:dyDescent="0.2">
      <c r="A1725" s="681" t="s">
        <v>2370</v>
      </c>
      <c r="B1725" s="693" t="s">
        <v>4293</v>
      </c>
      <c r="C1725" s="672" t="s">
        <v>785</v>
      </c>
      <c r="D1725" s="673">
        <v>36576</v>
      </c>
      <c r="E1725" s="674">
        <v>10</v>
      </c>
      <c r="F1725" s="675">
        <v>0.1</v>
      </c>
      <c r="G1725" s="676">
        <v>782</v>
      </c>
      <c r="H1725" s="929">
        <v>0</v>
      </c>
      <c r="I1725" s="929">
        <v>781</v>
      </c>
      <c r="J1725" s="689">
        <f t="shared" si="27"/>
        <v>1</v>
      </c>
    </row>
    <row r="1726" spans="1:10" ht="12.75" customHeight="1" x14ac:dyDescent="0.2">
      <c r="A1726" s="681" t="s">
        <v>2370</v>
      </c>
      <c r="B1726" s="693" t="s">
        <v>4294</v>
      </c>
      <c r="C1726" s="672" t="s">
        <v>785</v>
      </c>
      <c r="D1726" s="673">
        <v>36576</v>
      </c>
      <c r="E1726" s="674">
        <v>10</v>
      </c>
      <c r="F1726" s="675">
        <v>0.1</v>
      </c>
      <c r="G1726" s="676">
        <v>782</v>
      </c>
      <c r="H1726" s="929">
        <v>0</v>
      </c>
      <c r="I1726" s="929">
        <v>781</v>
      </c>
      <c r="J1726" s="689">
        <f t="shared" si="27"/>
        <v>1</v>
      </c>
    </row>
    <row r="1727" spans="1:10" ht="12.75" customHeight="1" x14ac:dyDescent="0.2">
      <c r="A1727" s="681" t="s">
        <v>2370</v>
      </c>
      <c r="B1727" s="693" t="s">
        <v>4295</v>
      </c>
      <c r="C1727" s="672" t="s">
        <v>785</v>
      </c>
      <c r="D1727" s="673">
        <v>36576</v>
      </c>
      <c r="E1727" s="674">
        <v>10</v>
      </c>
      <c r="F1727" s="675">
        <v>0.1</v>
      </c>
      <c r="G1727" s="676">
        <v>782</v>
      </c>
      <c r="H1727" s="929">
        <v>0</v>
      </c>
      <c r="I1727" s="929">
        <v>781</v>
      </c>
      <c r="J1727" s="689">
        <f t="shared" si="27"/>
        <v>1</v>
      </c>
    </row>
    <row r="1728" spans="1:10" ht="12.75" customHeight="1" x14ac:dyDescent="0.2">
      <c r="A1728" s="681" t="s">
        <v>2370</v>
      </c>
      <c r="B1728" s="693" t="s">
        <v>4296</v>
      </c>
      <c r="C1728" s="672" t="s">
        <v>785</v>
      </c>
      <c r="D1728" s="673">
        <v>36576</v>
      </c>
      <c r="E1728" s="674">
        <v>10</v>
      </c>
      <c r="F1728" s="675">
        <v>0.1</v>
      </c>
      <c r="G1728" s="676">
        <v>782</v>
      </c>
      <c r="H1728" s="929">
        <v>0</v>
      </c>
      <c r="I1728" s="929">
        <v>781</v>
      </c>
      <c r="J1728" s="689">
        <f t="shared" si="27"/>
        <v>1</v>
      </c>
    </row>
    <row r="1729" spans="1:10" ht="12.75" customHeight="1" x14ac:dyDescent="0.2">
      <c r="A1729" s="681" t="s">
        <v>2370</v>
      </c>
      <c r="B1729" s="693" t="s">
        <v>4297</v>
      </c>
      <c r="C1729" s="672" t="s">
        <v>785</v>
      </c>
      <c r="D1729" s="673">
        <v>36576</v>
      </c>
      <c r="E1729" s="674">
        <v>10</v>
      </c>
      <c r="F1729" s="675">
        <v>0.1</v>
      </c>
      <c r="G1729" s="676">
        <v>782</v>
      </c>
      <c r="H1729" s="929">
        <v>0</v>
      </c>
      <c r="I1729" s="929">
        <v>781</v>
      </c>
      <c r="J1729" s="689">
        <f t="shared" si="27"/>
        <v>1</v>
      </c>
    </row>
    <row r="1730" spans="1:10" ht="12.75" customHeight="1" x14ac:dyDescent="0.2">
      <c r="A1730" s="681" t="s">
        <v>2370</v>
      </c>
      <c r="B1730" s="693" t="s">
        <v>4298</v>
      </c>
      <c r="C1730" s="672" t="s">
        <v>785</v>
      </c>
      <c r="D1730" s="673">
        <v>36576</v>
      </c>
      <c r="E1730" s="674">
        <v>10</v>
      </c>
      <c r="F1730" s="675">
        <v>0.1</v>
      </c>
      <c r="G1730" s="676">
        <v>782</v>
      </c>
      <c r="H1730" s="929">
        <v>0</v>
      </c>
      <c r="I1730" s="929">
        <v>781</v>
      </c>
      <c r="J1730" s="689">
        <f t="shared" si="27"/>
        <v>1</v>
      </c>
    </row>
    <row r="1731" spans="1:10" ht="12.75" customHeight="1" x14ac:dyDescent="0.2">
      <c r="A1731" s="681" t="s">
        <v>2370</v>
      </c>
      <c r="B1731" s="693" t="s">
        <v>4299</v>
      </c>
      <c r="C1731" s="672" t="s">
        <v>785</v>
      </c>
      <c r="D1731" s="673">
        <v>36576</v>
      </c>
      <c r="E1731" s="674">
        <v>10</v>
      </c>
      <c r="F1731" s="675">
        <v>0.1</v>
      </c>
      <c r="G1731" s="676">
        <v>782</v>
      </c>
      <c r="H1731" s="929">
        <v>0</v>
      </c>
      <c r="I1731" s="929">
        <v>781</v>
      </c>
      <c r="J1731" s="689">
        <f t="shared" si="27"/>
        <v>1</v>
      </c>
    </row>
    <row r="1732" spans="1:10" ht="12.75" customHeight="1" x14ac:dyDescent="0.2">
      <c r="A1732" s="681" t="s">
        <v>2370</v>
      </c>
      <c r="B1732" s="693" t="s">
        <v>4300</v>
      </c>
      <c r="C1732" s="672" t="s">
        <v>785</v>
      </c>
      <c r="D1732" s="673">
        <v>36576</v>
      </c>
      <c r="E1732" s="674">
        <v>10</v>
      </c>
      <c r="F1732" s="675">
        <v>0.1</v>
      </c>
      <c r="G1732" s="676">
        <v>782</v>
      </c>
      <c r="H1732" s="929">
        <v>0</v>
      </c>
      <c r="I1732" s="929">
        <v>781</v>
      </c>
      <c r="J1732" s="689">
        <f t="shared" si="27"/>
        <v>1</v>
      </c>
    </row>
    <row r="1733" spans="1:10" ht="12.75" customHeight="1" x14ac:dyDescent="0.2">
      <c r="A1733" s="681" t="s">
        <v>2370</v>
      </c>
      <c r="B1733" s="693" t="s">
        <v>4301</v>
      </c>
      <c r="C1733" s="672" t="s">
        <v>785</v>
      </c>
      <c r="D1733" s="673">
        <v>36576</v>
      </c>
      <c r="E1733" s="674">
        <v>10</v>
      </c>
      <c r="F1733" s="675">
        <v>0.1</v>
      </c>
      <c r="G1733" s="676">
        <v>782</v>
      </c>
      <c r="H1733" s="929">
        <v>0</v>
      </c>
      <c r="I1733" s="929">
        <v>781</v>
      </c>
      <c r="J1733" s="689">
        <f t="shared" si="27"/>
        <v>1</v>
      </c>
    </row>
    <row r="1734" spans="1:10" ht="12.75" customHeight="1" x14ac:dyDescent="0.2">
      <c r="A1734" s="681" t="s">
        <v>2370</v>
      </c>
      <c r="B1734" s="693" t="s">
        <v>4302</v>
      </c>
      <c r="C1734" s="672" t="s">
        <v>785</v>
      </c>
      <c r="D1734" s="673">
        <v>36576</v>
      </c>
      <c r="E1734" s="674">
        <v>10</v>
      </c>
      <c r="F1734" s="675">
        <v>0.1</v>
      </c>
      <c r="G1734" s="676">
        <v>782</v>
      </c>
      <c r="H1734" s="929">
        <v>0</v>
      </c>
      <c r="I1734" s="929">
        <v>781</v>
      </c>
      <c r="J1734" s="689">
        <f t="shared" si="27"/>
        <v>1</v>
      </c>
    </row>
    <row r="1735" spans="1:10" ht="12.75" customHeight="1" x14ac:dyDescent="0.2">
      <c r="A1735" s="681" t="s">
        <v>2370</v>
      </c>
      <c r="B1735" s="693" t="s">
        <v>4303</v>
      </c>
      <c r="C1735" s="672" t="s">
        <v>785</v>
      </c>
      <c r="D1735" s="673">
        <v>36576</v>
      </c>
      <c r="E1735" s="674">
        <v>10</v>
      </c>
      <c r="F1735" s="675">
        <v>0.1</v>
      </c>
      <c r="G1735" s="676">
        <v>782</v>
      </c>
      <c r="H1735" s="929">
        <v>0</v>
      </c>
      <c r="I1735" s="929">
        <v>781</v>
      </c>
      <c r="J1735" s="689">
        <f t="shared" ref="J1735:J1798" si="28">G1735-I1735</f>
        <v>1</v>
      </c>
    </row>
    <row r="1736" spans="1:10" ht="12.75" customHeight="1" x14ac:dyDescent="0.2">
      <c r="A1736" s="681" t="s">
        <v>2370</v>
      </c>
      <c r="B1736" s="693" t="s">
        <v>4304</v>
      </c>
      <c r="C1736" s="672" t="s">
        <v>785</v>
      </c>
      <c r="D1736" s="673">
        <v>36576</v>
      </c>
      <c r="E1736" s="674">
        <v>10</v>
      </c>
      <c r="F1736" s="675">
        <v>0.1</v>
      </c>
      <c r="G1736" s="676">
        <v>782</v>
      </c>
      <c r="H1736" s="929">
        <v>0</v>
      </c>
      <c r="I1736" s="929">
        <v>781</v>
      </c>
      <c r="J1736" s="689">
        <f t="shared" si="28"/>
        <v>1</v>
      </c>
    </row>
    <row r="1737" spans="1:10" ht="12.75" customHeight="1" x14ac:dyDescent="0.2">
      <c r="A1737" s="681" t="s">
        <v>2370</v>
      </c>
      <c r="B1737" s="693" t="s">
        <v>4305</v>
      </c>
      <c r="C1737" s="672" t="s">
        <v>790</v>
      </c>
      <c r="D1737" s="673">
        <v>36211</v>
      </c>
      <c r="E1737" s="674">
        <v>10</v>
      </c>
      <c r="F1737" s="675">
        <v>0.1</v>
      </c>
      <c r="G1737" s="676">
        <v>799</v>
      </c>
      <c r="H1737" s="929">
        <v>0</v>
      </c>
      <c r="I1737" s="929">
        <v>798</v>
      </c>
      <c r="J1737" s="689">
        <f t="shared" si="28"/>
        <v>1</v>
      </c>
    </row>
    <row r="1738" spans="1:10" ht="12.75" customHeight="1" x14ac:dyDescent="0.2">
      <c r="A1738" s="681" t="s">
        <v>2372</v>
      </c>
      <c r="B1738" s="693" t="s">
        <v>4306</v>
      </c>
      <c r="C1738" s="672" t="s">
        <v>895</v>
      </c>
      <c r="D1738" s="673">
        <v>38403</v>
      </c>
      <c r="E1738" s="674">
        <v>3</v>
      </c>
      <c r="F1738" s="675">
        <v>0.33</v>
      </c>
      <c r="G1738" s="676">
        <v>799</v>
      </c>
      <c r="H1738" s="929">
        <v>0</v>
      </c>
      <c r="I1738" s="929">
        <v>798</v>
      </c>
      <c r="J1738" s="689">
        <f t="shared" si="28"/>
        <v>1</v>
      </c>
    </row>
    <row r="1739" spans="1:10" ht="12.75" customHeight="1" x14ac:dyDescent="0.2">
      <c r="A1739" s="681" t="s">
        <v>2370</v>
      </c>
      <c r="B1739" s="693" t="s">
        <v>4307</v>
      </c>
      <c r="C1739" s="672" t="s">
        <v>814</v>
      </c>
      <c r="D1739" s="673">
        <v>36211</v>
      </c>
      <c r="E1739" s="674">
        <v>3</v>
      </c>
      <c r="F1739" s="675">
        <v>0.33</v>
      </c>
      <c r="G1739" s="676">
        <v>803</v>
      </c>
      <c r="H1739" s="929">
        <v>0</v>
      </c>
      <c r="I1739" s="929">
        <v>802</v>
      </c>
      <c r="J1739" s="689">
        <f t="shared" si="28"/>
        <v>1</v>
      </c>
    </row>
    <row r="1740" spans="1:10" ht="12.75" customHeight="1" x14ac:dyDescent="0.2">
      <c r="A1740" s="681" t="s">
        <v>2370</v>
      </c>
      <c r="B1740" s="693" t="s">
        <v>4308</v>
      </c>
      <c r="C1740" s="672" t="s">
        <v>785</v>
      </c>
      <c r="D1740" s="673">
        <v>36576</v>
      </c>
      <c r="E1740" s="674">
        <v>10</v>
      </c>
      <c r="F1740" s="675">
        <v>0.1</v>
      </c>
      <c r="G1740" s="676">
        <v>805</v>
      </c>
      <c r="H1740" s="929">
        <v>0</v>
      </c>
      <c r="I1740" s="929">
        <v>804</v>
      </c>
      <c r="J1740" s="689">
        <f t="shared" si="28"/>
        <v>1</v>
      </c>
    </row>
    <row r="1741" spans="1:10" ht="12.75" customHeight="1" x14ac:dyDescent="0.2">
      <c r="A1741" s="681" t="s">
        <v>2370</v>
      </c>
      <c r="B1741" s="693" t="s">
        <v>4309</v>
      </c>
      <c r="C1741" s="672" t="s">
        <v>785</v>
      </c>
      <c r="D1741" s="673">
        <v>36576</v>
      </c>
      <c r="E1741" s="674">
        <v>10</v>
      </c>
      <c r="F1741" s="675">
        <v>0.1</v>
      </c>
      <c r="G1741" s="676">
        <v>805</v>
      </c>
      <c r="H1741" s="929">
        <v>0</v>
      </c>
      <c r="I1741" s="929">
        <v>804</v>
      </c>
      <c r="J1741" s="689">
        <f t="shared" si="28"/>
        <v>1</v>
      </c>
    </row>
    <row r="1742" spans="1:10" ht="12.75" customHeight="1" x14ac:dyDescent="0.2">
      <c r="A1742" s="681" t="s">
        <v>2370</v>
      </c>
      <c r="B1742" s="693" t="s">
        <v>4310</v>
      </c>
      <c r="C1742" s="672" t="s">
        <v>785</v>
      </c>
      <c r="D1742" s="673">
        <v>37672</v>
      </c>
      <c r="E1742" s="674">
        <v>10</v>
      </c>
      <c r="F1742" s="675">
        <v>0.1</v>
      </c>
      <c r="G1742" s="676">
        <v>805</v>
      </c>
      <c r="H1742" s="929">
        <v>0</v>
      </c>
      <c r="I1742" s="929">
        <v>804</v>
      </c>
      <c r="J1742" s="689">
        <f t="shared" si="28"/>
        <v>1</v>
      </c>
    </row>
    <row r="1743" spans="1:10" ht="12.75" customHeight="1" x14ac:dyDescent="0.2">
      <c r="A1743" s="681" t="s">
        <v>2372</v>
      </c>
      <c r="B1743" s="693" t="s">
        <v>4311</v>
      </c>
      <c r="C1743" s="672" t="s">
        <v>895</v>
      </c>
      <c r="D1743" s="673">
        <v>39498</v>
      </c>
      <c r="E1743" s="674">
        <v>3</v>
      </c>
      <c r="F1743" s="675">
        <v>0.33</v>
      </c>
      <c r="G1743" s="676">
        <v>805</v>
      </c>
      <c r="H1743" s="929">
        <v>0</v>
      </c>
      <c r="I1743" s="929">
        <v>804</v>
      </c>
      <c r="J1743" s="689">
        <f t="shared" si="28"/>
        <v>1</v>
      </c>
    </row>
    <row r="1744" spans="1:10" ht="12.75" customHeight="1" x14ac:dyDescent="0.2">
      <c r="A1744" s="681" t="s">
        <v>2370</v>
      </c>
      <c r="B1744" s="693" t="s">
        <v>4312</v>
      </c>
      <c r="C1744" s="672" t="s">
        <v>786</v>
      </c>
      <c r="D1744" s="673">
        <v>37307</v>
      </c>
      <c r="E1744" s="674">
        <v>10</v>
      </c>
      <c r="F1744" s="675">
        <v>0.1</v>
      </c>
      <c r="G1744" s="676">
        <v>811</v>
      </c>
      <c r="H1744" s="929">
        <v>0</v>
      </c>
      <c r="I1744" s="929">
        <v>810</v>
      </c>
      <c r="J1744" s="689">
        <f t="shared" si="28"/>
        <v>1</v>
      </c>
    </row>
    <row r="1745" spans="1:10" ht="12.75" customHeight="1" x14ac:dyDescent="0.2">
      <c r="A1745" s="681" t="s">
        <v>2372</v>
      </c>
      <c r="B1745" s="693" t="s">
        <v>4313</v>
      </c>
      <c r="C1745" s="672" t="s">
        <v>1042</v>
      </c>
      <c r="D1745" s="673">
        <v>39498</v>
      </c>
      <c r="E1745" s="674">
        <v>3</v>
      </c>
      <c r="F1745" s="675">
        <v>0.33</v>
      </c>
      <c r="G1745" s="676">
        <v>812</v>
      </c>
      <c r="H1745" s="929">
        <v>0</v>
      </c>
      <c r="I1745" s="929">
        <v>811</v>
      </c>
      <c r="J1745" s="689">
        <f t="shared" si="28"/>
        <v>1</v>
      </c>
    </row>
    <row r="1746" spans="1:10" ht="12.75" customHeight="1" x14ac:dyDescent="0.2">
      <c r="A1746" s="681" t="s">
        <v>2370</v>
      </c>
      <c r="B1746" s="693" t="s">
        <v>4314</v>
      </c>
      <c r="C1746" s="672" t="s">
        <v>790</v>
      </c>
      <c r="D1746" s="673">
        <v>35481</v>
      </c>
      <c r="E1746" s="674">
        <v>10</v>
      </c>
      <c r="F1746" s="675">
        <v>0.1</v>
      </c>
      <c r="G1746" s="676">
        <v>822</v>
      </c>
      <c r="H1746" s="929">
        <v>0</v>
      </c>
      <c r="I1746" s="929">
        <v>821</v>
      </c>
      <c r="J1746" s="689">
        <f t="shared" si="28"/>
        <v>1</v>
      </c>
    </row>
    <row r="1747" spans="1:10" ht="12.75" customHeight="1" x14ac:dyDescent="0.2">
      <c r="A1747" s="681" t="s">
        <v>2370</v>
      </c>
      <c r="B1747" s="693" t="s">
        <v>4315</v>
      </c>
      <c r="C1747" s="672" t="s">
        <v>790</v>
      </c>
      <c r="D1747" s="673">
        <v>37307</v>
      </c>
      <c r="E1747" s="674">
        <v>10</v>
      </c>
      <c r="F1747" s="675">
        <v>0.1</v>
      </c>
      <c r="G1747" s="676">
        <v>825</v>
      </c>
      <c r="H1747" s="929">
        <v>0</v>
      </c>
      <c r="I1747" s="929">
        <v>824</v>
      </c>
      <c r="J1747" s="689">
        <f t="shared" si="28"/>
        <v>1</v>
      </c>
    </row>
    <row r="1748" spans="1:10" ht="12.75" customHeight="1" x14ac:dyDescent="0.2">
      <c r="A1748" s="681" t="s">
        <v>2372</v>
      </c>
      <c r="B1748" s="693" t="s">
        <v>4316</v>
      </c>
      <c r="C1748" s="672" t="s">
        <v>895</v>
      </c>
      <c r="D1748" s="673">
        <v>39498</v>
      </c>
      <c r="E1748" s="674">
        <v>3</v>
      </c>
      <c r="F1748" s="675">
        <v>0.33</v>
      </c>
      <c r="G1748" s="676">
        <v>850</v>
      </c>
      <c r="H1748" s="929">
        <v>0</v>
      </c>
      <c r="I1748" s="929">
        <v>849</v>
      </c>
      <c r="J1748" s="689">
        <f t="shared" si="28"/>
        <v>1</v>
      </c>
    </row>
    <row r="1749" spans="1:10" ht="12.75" customHeight="1" x14ac:dyDescent="0.2">
      <c r="A1749" s="681" t="s">
        <v>2372</v>
      </c>
      <c r="B1749" s="693" t="s">
        <v>4317</v>
      </c>
      <c r="C1749" s="672" t="s">
        <v>895</v>
      </c>
      <c r="D1749" s="673">
        <v>39498</v>
      </c>
      <c r="E1749" s="674">
        <v>3</v>
      </c>
      <c r="F1749" s="675">
        <v>0.33</v>
      </c>
      <c r="G1749" s="676">
        <v>850</v>
      </c>
      <c r="H1749" s="929">
        <v>0</v>
      </c>
      <c r="I1749" s="929">
        <v>849</v>
      </c>
      <c r="J1749" s="689">
        <f t="shared" si="28"/>
        <v>1</v>
      </c>
    </row>
    <row r="1750" spans="1:10" ht="12.75" customHeight="1" x14ac:dyDescent="0.2">
      <c r="A1750" s="681" t="s">
        <v>2372</v>
      </c>
      <c r="B1750" s="693" t="s">
        <v>4318</v>
      </c>
      <c r="C1750" s="672" t="s">
        <v>895</v>
      </c>
      <c r="D1750" s="673">
        <v>39498</v>
      </c>
      <c r="E1750" s="674">
        <v>3</v>
      </c>
      <c r="F1750" s="675">
        <v>0.33</v>
      </c>
      <c r="G1750" s="676">
        <v>850</v>
      </c>
      <c r="H1750" s="929">
        <v>0</v>
      </c>
      <c r="I1750" s="929">
        <v>849</v>
      </c>
      <c r="J1750" s="689">
        <f t="shared" si="28"/>
        <v>1</v>
      </c>
    </row>
    <row r="1751" spans="1:10" ht="12.75" customHeight="1" x14ac:dyDescent="0.2">
      <c r="A1751" s="681" t="s">
        <v>2370</v>
      </c>
      <c r="B1751" s="693" t="s">
        <v>4319</v>
      </c>
      <c r="C1751" s="672" t="s">
        <v>785</v>
      </c>
      <c r="D1751" s="673">
        <v>36576</v>
      </c>
      <c r="E1751" s="674">
        <v>10</v>
      </c>
      <c r="F1751" s="675">
        <v>0.1</v>
      </c>
      <c r="G1751" s="676">
        <v>851</v>
      </c>
      <c r="H1751" s="929">
        <v>0</v>
      </c>
      <c r="I1751" s="929">
        <v>850</v>
      </c>
      <c r="J1751" s="689">
        <f t="shared" si="28"/>
        <v>1</v>
      </c>
    </row>
    <row r="1752" spans="1:10" ht="12.75" customHeight="1" x14ac:dyDescent="0.2">
      <c r="A1752" s="681" t="s">
        <v>2370</v>
      </c>
      <c r="B1752" s="693" t="s">
        <v>4320</v>
      </c>
      <c r="C1752" s="672" t="s">
        <v>785</v>
      </c>
      <c r="D1752" s="673">
        <v>36576</v>
      </c>
      <c r="E1752" s="674">
        <v>10</v>
      </c>
      <c r="F1752" s="675">
        <v>0.1</v>
      </c>
      <c r="G1752" s="676">
        <v>851</v>
      </c>
      <c r="H1752" s="929">
        <v>0</v>
      </c>
      <c r="I1752" s="929">
        <v>850</v>
      </c>
      <c r="J1752" s="689">
        <f t="shared" si="28"/>
        <v>1</v>
      </c>
    </row>
    <row r="1753" spans="1:10" ht="12.75" customHeight="1" x14ac:dyDescent="0.2">
      <c r="A1753" s="681" t="s">
        <v>2370</v>
      </c>
      <c r="B1753" s="693" t="s">
        <v>4321</v>
      </c>
      <c r="C1753" s="672" t="s">
        <v>785</v>
      </c>
      <c r="D1753" s="673">
        <v>36576</v>
      </c>
      <c r="E1753" s="674">
        <v>10</v>
      </c>
      <c r="F1753" s="675">
        <v>0.1</v>
      </c>
      <c r="G1753" s="676">
        <v>852</v>
      </c>
      <c r="H1753" s="929">
        <v>0</v>
      </c>
      <c r="I1753" s="929">
        <v>851</v>
      </c>
      <c r="J1753" s="689">
        <f t="shared" si="28"/>
        <v>1</v>
      </c>
    </row>
    <row r="1754" spans="1:10" ht="12.75" customHeight="1" x14ac:dyDescent="0.2">
      <c r="A1754" s="681" t="s">
        <v>2370</v>
      </c>
      <c r="B1754" s="693" t="s">
        <v>4322</v>
      </c>
      <c r="C1754" s="672" t="s">
        <v>794</v>
      </c>
      <c r="D1754" s="673">
        <v>37307</v>
      </c>
      <c r="E1754" s="674">
        <v>10</v>
      </c>
      <c r="F1754" s="675">
        <v>0.1</v>
      </c>
      <c r="G1754" s="676">
        <v>856.39</v>
      </c>
      <c r="H1754" s="929">
        <v>0</v>
      </c>
      <c r="I1754" s="929">
        <v>855.39</v>
      </c>
      <c r="J1754" s="689">
        <f t="shared" si="28"/>
        <v>1</v>
      </c>
    </row>
    <row r="1755" spans="1:10" ht="12.75" customHeight="1" x14ac:dyDescent="0.2">
      <c r="A1755" s="681" t="s">
        <v>2370</v>
      </c>
      <c r="B1755" s="693" t="s">
        <v>4323</v>
      </c>
      <c r="C1755" s="672" t="s">
        <v>790</v>
      </c>
      <c r="D1755" s="673">
        <v>35481</v>
      </c>
      <c r="E1755" s="674">
        <v>10</v>
      </c>
      <c r="F1755" s="675">
        <v>0.1</v>
      </c>
      <c r="G1755" s="676">
        <v>862</v>
      </c>
      <c r="H1755" s="929">
        <v>0</v>
      </c>
      <c r="I1755" s="929">
        <v>861</v>
      </c>
      <c r="J1755" s="689">
        <f t="shared" si="28"/>
        <v>1</v>
      </c>
    </row>
    <row r="1756" spans="1:10" ht="12.75" customHeight="1" x14ac:dyDescent="0.2">
      <c r="A1756" s="681" t="s">
        <v>2370</v>
      </c>
      <c r="B1756" s="693" t="s">
        <v>4324</v>
      </c>
      <c r="C1756" s="672" t="s">
        <v>790</v>
      </c>
      <c r="D1756" s="673">
        <v>35481</v>
      </c>
      <c r="E1756" s="674">
        <v>10</v>
      </c>
      <c r="F1756" s="675">
        <v>0.1</v>
      </c>
      <c r="G1756" s="676">
        <v>862</v>
      </c>
      <c r="H1756" s="929">
        <v>0</v>
      </c>
      <c r="I1756" s="929">
        <v>861</v>
      </c>
      <c r="J1756" s="689">
        <f t="shared" si="28"/>
        <v>1</v>
      </c>
    </row>
    <row r="1757" spans="1:10" ht="12.75" customHeight="1" x14ac:dyDescent="0.2">
      <c r="A1757" s="681" t="s">
        <v>2370</v>
      </c>
      <c r="B1757" s="693" t="s">
        <v>4325</v>
      </c>
      <c r="C1757" s="672" t="s">
        <v>941</v>
      </c>
      <c r="D1757" s="673">
        <v>36211</v>
      </c>
      <c r="E1757" s="674">
        <v>10</v>
      </c>
      <c r="F1757" s="675">
        <v>0.1</v>
      </c>
      <c r="G1757" s="676">
        <v>862</v>
      </c>
      <c r="H1757" s="929">
        <v>0</v>
      </c>
      <c r="I1757" s="929">
        <v>861</v>
      </c>
      <c r="J1757" s="689">
        <f t="shared" si="28"/>
        <v>1</v>
      </c>
    </row>
    <row r="1758" spans="1:10" ht="12.75" customHeight="1" x14ac:dyDescent="0.2">
      <c r="A1758" s="681" t="s">
        <v>2372</v>
      </c>
      <c r="B1758" s="693" t="s">
        <v>4326</v>
      </c>
      <c r="C1758" s="672" t="s">
        <v>895</v>
      </c>
      <c r="D1758" s="673">
        <v>39498</v>
      </c>
      <c r="E1758" s="674">
        <v>3</v>
      </c>
      <c r="F1758" s="675">
        <v>0.33</v>
      </c>
      <c r="G1758" s="676">
        <v>862</v>
      </c>
      <c r="H1758" s="929">
        <v>0</v>
      </c>
      <c r="I1758" s="929">
        <v>861</v>
      </c>
      <c r="J1758" s="689">
        <f t="shared" si="28"/>
        <v>1</v>
      </c>
    </row>
    <row r="1759" spans="1:10" ht="12.75" customHeight="1" x14ac:dyDescent="0.2">
      <c r="A1759" s="681" t="s">
        <v>2370</v>
      </c>
      <c r="B1759" s="693" t="s">
        <v>4327</v>
      </c>
      <c r="C1759" s="672" t="s">
        <v>791</v>
      </c>
      <c r="D1759" s="673">
        <v>35115</v>
      </c>
      <c r="E1759" s="674">
        <v>10</v>
      </c>
      <c r="F1759" s="675">
        <v>0.1</v>
      </c>
      <c r="G1759" s="676">
        <v>869</v>
      </c>
      <c r="H1759" s="929">
        <v>0</v>
      </c>
      <c r="I1759" s="929">
        <v>868</v>
      </c>
      <c r="J1759" s="689">
        <f t="shared" si="28"/>
        <v>1</v>
      </c>
    </row>
    <row r="1760" spans="1:10" ht="12.75" customHeight="1" x14ac:dyDescent="0.2">
      <c r="A1760" s="681" t="s">
        <v>2370</v>
      </c>
      <c r="B1760" s="693" t="s">
        <v>4328</v>
      </c>
      <c r="C1760" s="672" t="s">
        <v>791</v>
      </c>
      <c r="D1760" s="673">
        <v>35115</v>
      </c>
      <c r="E1760" s="674">
        <v>10</v>
      </c>
      <c r="F1760" s="675">
        <v>0.1</v>
      </c>
      <c r="G1760" s="676">
        <v>869</v>
      </c>
      <c r="H1760" s="929">
        <v>0</v>
      </c>
      <c r="I1760" s="929">
        <v>868</v>
      </c>
      <c r="J1760" s="689">
        <f t="shared" si="28"/>
        <v>1</v>
      </c>
    </row>
    <row r="1761" spans="1:10" ht="12.75" customHeight="1" x14ac:dyDescent="0.2">
      <c r="A1761" s="681" t="s">
        <v>2370</v>
      </c>
      <c r="B1761" s="693" t="s">
        <v>4329</v>
      </c>
      <c r="C1761" s="672" t="s">
        <v>785</v>
      </c>
      <c r="D1761" s="673">
        <v>35115</v>
      </c>
      <c r="E1761" s="674">
        <v>10</v>
      </c>
      <c r="F1761" s="675">
        <v>0.1</v>
      </c>
      <c r="G1761" s="676">
        <v>874</v>
      </c>
      <c r="H1761" s="929">
        <v>0</v>
      </c>
      <c r="I1761" s="929">
        <v>873</v>
      </c>
      <c r="J1761" s="689">
        <f t="shared" si="28"/>
        <v>1</v>
      </c>
    </row>
    <row r="1762" spans="1:10" ht="12.75" customHeight="1" x14ac:dyDescent="0.2">
      <c r="A1762" s="681" t="s">
        <v>2370</v>
      </c>
      <c r="B1762" s="693" t="s">
        <v>4330</v>
      </c>
      <c r="C1762" s="672" t="s">
        <v>785</v>
      </c>
      <c r="D1762" s="673">
        <v>35115</v>
      </c>
      <c r="E1762" s="674">
        <v>10</v>
      </c>
      <c r="F1762" s="675">
        <v>0.1</v>
      </c>
      <c r="G1762" s="676">
        <v>875</v>
      </c>
      <c r="H1762" s="929">
        <v>0</v>
      </c>
      <c r="I1762" s="929">
        <v>874</v>
      </c>
      <c r="J1762" s="689">
        <f t="shared" si="28"/>
        <v>1</v>
      </c>
    </row>
    <row r="1763" spans="1:10" ht="12.75" customHeight="1" x14ac:dyDescent="0.2">
      <c r="A1763" s="681" t="s">
        <v>2370</v>
      </c>
      <c r="B1763" s="693" t="s">
        <v>4331</v>
      </c>
      <c r="C1763" s="672" t="s">
        <v>790</v>
      </c>
      <c r="D1763" s="673">
        <v>37307</v>
      </c>
      <c r="E1763" s="674">
        <v>10</v>
      </c>
      <c r="F1763" s="675">
        <v>0.1</v>
      </c>
      <c r="G1763" s="676">
        <v>879</v>
      </c>
      <c r="H1763" s="929">
        <v>0</v>
      </c>
      <c r="I1763" s="929">
        <v>878</v>
      </c>
      <c r="J1763" s="689">
        <f t="shared" si="28"/>
        <v>1</v>
      </c>
    </row>
    <row r="1764" spans="1:10" ht="12.75" customHeight="1" x14ac:dyDescent="0.2">
      <c r="A1764" s="681" t="s">
        <v>2370</v>
      </c>
      <c r="B1764" s="693" t="s">
        <v>4332</v>
      </c>
      <c r="C1764" s="672" t="s">
        <v>785</v>
      </c>
      <c r="D1764" s="673">
        <v>36211</v>
      </c>
      <c r="E1764" s="674">
        <v>10</v>
      </c>
      <c r="F1764" s="675">
        <v>0.1</v>
      </c>
      <c r="G1764" s="676">
        <v>882</v>
      </c>
      <c r="H1764" s="929">
        <v>0</v>
      </c>
      <c r="I1764" s="929">
        <v>881</v>
      </c>
      <c r="J1764" s="689">
        <f t="shared" si="28"/>
        <v>1</v>
      </c>
    </row>
    <row r="1765" spans="1:10" ht="12.75" customHeight="1" x14ac:dyDescent="0.2">
      <c r="A1765" s="681" t="s">
        <v>2370</v>
      </c>
      <c r="B1765" s="693" t="s">
        <v>4333</v>
      </c>
      <c r="C1765" s="672" t="s">
        <v>785</v>
      </c>
      <c r="D1765" s="673">
        <v>36211</v>
      </c>
      <c r="E1765" s="674">
        <v>10</v>
      </c>
      <c r="F1765" s="675">
        <v>0.1</v>
      </c>
      <c r="G1765" s="676">
        <v>882</v>
      </c>
      <c r="H1765" s="929">
        <v>0</v>
      </c>
      <c r="I1765" s="929">
        <v>881</v>
      </c>
      <c r="J1765" s="689">
        <f t="shared" si="28"/>
        <v>1</v>
      </c>
    </row>
    <row r="1766" spans="1:10" ht="12.75" customHeight="1" x14ac:dyDescent="0.2">
      <c r="A1766" s="681" t="s">
        <v>2372</v>
      </c>
      <c r="B1766" s="693" t="s">
        <v>4334</v>
      </c>
      <c r="C1766" s="672" t="s">
        <v>915</v>
      </c>
      <c r="D1766" s="673">
        <v>39498</v>
      </c>
      <c r="E1766" s="674">
        <v>3</v>
      </c>
      <c r="F1766" s="675">
        <v>0.33</v>
      </c>
      <c r="G1766" s="676">
        <v>888</v>
      </c>
      <c r="H1766" s="929">
        <v>0</v>
      </c>
      <c r="I1766" s="929">
        <v>887</v>
      </c>
      <c r="J1766" s="689">
        <f t="shared" si="28"/>
        <v>1</v>
      </c>
    </row>
    <row r="1767" spans="1:10" ht="12.75" customHeight="1" x14ac:dyDescent="0.2">
      <c r="A1767" s="681" t="s">
        <v>2370</v>
      </c>
      <c r="B1767" s="693" t="s">
        <v>4335</v>
      </c>
      <c r="C1767" s="672" t="s">
        <v>790</v>
      </c>
      <c r="D1767" s="673">
        <v>37307</v>
      </c>
      <c r="E1767" s="674">
        <v>10</v>
      </c>
      <c r="F1767" s="675">
        <v>0.1</v>
      </c>
      <c r="G1767" s="676">
        <v>893</v>
      </c>
      <c r="H1767" s="929">
        <v>0</v>
      </c>
      <c r="I1767" s="929">
        <v>892</v>
      </c>
      <c r="J1767" s="689">
        <f t="shared" si="28"/>
        <v>1</v>
      </c>
    </row>
    <row r="1768" spans="1:10" ht="12.75" customHeight="1" x14ac:dyDescent="0.2">
      <c r="A1768" s="681" t="s">
        <v>2370</v>
      </c>
      <c r="B1768" s="693" t="s">
        <v>4336</v>
      </c>
      <c r="C1768" s="672" t="s">
        <v>790</v>
      </c>
      <c r="D1768" s="673">
        <v>36576</v>
      </c>
      <c r="E1768" s="674">
        <v>10</v>
      </c>
      <c r="F1768" s="675">
        <v>0.1</v>
      </c>
      <c r="G1768" s="676">
        <v>897</v>
      </c>
      <c r="H1768" s="929">
        <v>0</v>
      </c>
      <c r="I1768" s="929">
        <v>896</v>
      </c>
      <c r="J1768" s="689">
        <f t="shared" si="28"/>
        <v>1</v>
      </c>
    </row>
    <row r="1769" spans="1:10" ht="12.75" customHeight="1" x14ac:dyDescent="0.2">
      <c r="A1769" s="681" t="s">
        <v>2370</v>
      </c>
      <c r="B1769" s="693" t="s">
        <v>4337</v>
      </c>
      <c r="C1769" s="672" t="s">
        <v>790</v>
      </c>
      <c r="D1769" s="673">
        <v>36576</v>
      </c>
      <c r="E1769" s="674">
        <v>10</v>
      </c>
      <c r="F1769" s="675">
        <v>0.1</v>
      </c>
      <c r="G1769" s="676">
        <v>897</v>
      </c>
      <c r="H1769" s="929">
        <v>0</v>
      </c>
      <c r="I1769" s="929">
        <v>896</v>
      </c>
      <c r="J1769" s="689">
        <f t="shared" si="28"/>
        <v>1</v>
      </c>
    </row>
    <row r="1770" spans="1:10" ht="12.75" customHeight="1" x14ac:dyDescent="0.2">
      <c r="A1770" s="681" t="s">
        <v>2370</v>
      </c>
      <c r="B1770" s="693" t="s">
        <v>4338</v>
      </c>
      <c r="C1770" s="672" t="s">
        <v>790</v>
      </c>
      <c r="D1770" s="673">
        <v>36576</v>
      </c>
      <c r="E1770" s="674">
        <v>10</v>
      </c>
      <c r="F1770" s="675">
        <v>0.1</v>
      </c>
      <c r="G1770" s="676">
        <v>897</v>
      </c>
      <c r="H1770" s="929">
        <v>0</v>
      </c>
      <c r="I1770" s="929">
        <v>896</v>
      </c>
      <c r="J1770" s="689">
        <f t="shared" si="28"/>
        <v>1</v>
      </c>
    </row>
    <row r="1771" spans="1:10" ht="12.75" customHeight="1" x14ac:dyDescent="0.2">
      <c r="A1771" s="681" t="s">
        <v>2370</v>
      </c>
      <c r="B1771" s="693" t="s">
        <v>4339</v>
      </c>
      <c r="C1771" s="672" t="s">
        <v>790</v>
      </c>
      <c r="D1771" s="673">
        <v>36576</v>
      </c>
      <c r="E1771" s="674">
        <v>10</v>
      </c>
      <c r="F1771" s="675">
        <v>0.1</v>
      </c>
      <c r="G1771" s="676">
        <v>897</v>
      </c>
      <c r="H1771" s="929">
        <v>0</v>
      </c>
      <c r="I1771" s="929">
        <v>896</v>
      </c>
      <c r="J1771" s="689">
        <f t="shared" si="28"/>
        <v>1</v>
      </c>
    </row>
    <row r="1772" spans="1:10" ht="12.75" customHeight="1" x14ac:dyDescent="0.2">
      <c r="A1772" s="681" t="s">
        <v>2370</v>
      </c>
      <c r="B1772" s="693" t="s">
        <v>4340</v>
      </c>
      <c r="C1772" s="672" t="s">
        <v>790</v>
      </c>
      <c r="D1772" s="673">
        <v>36576</v>
      </c>
      <c r="E1772" s="674">
        <v>10</v>
      </c>
      <c r="F1772" s="675">
        <v>0.1</v>
      </c>
      <c r="G1772" s="676">
        <v>897</v>
      </c>
      <c r="H1772" s="929">
        <v>0</v>
      </c>
      <c r="I1772" s="929">
        <v>896</v>
      </c>
      <c r="J1772" s="689">
        <f t="shared" si="28"/>
        <v>1</v>
      </c>
    </row>
    <row r="1773" spans="1:10" ht="12.75" customHeight="1" x14ac:dyDescent="0.2">
      <c r="A1773" s="681" t="s">
        <v>2372</v>
      </c>
      <c r="B1773" s="693" t="s">
        <v>4341</v>
      </c>
      <c r="C1773" s="672" t="s">
        <v>1014</v>
      </c>
      <c r="D1773" s="673">
        <v>36576</v>
      </c>
      <c r="E1773" s="674">
        <v>3</v>
      </c>
      <c r="F1773" s="675">
        <v>0.33</v>
      </c>
      <c r="G1773" s="676">
        <v>897</v>
      </c>
      <c r="H1773" s="929">
        <v>0</v>
      </c>
      <c r="I1773" s="929">
        <v>896</v>
      </c>
      <c r="J1773" s="689">
        <f t="shared" si="28"/>
        <v>1</v>
      </c>
    </row>
    <row r="1774" spans="1:10" ht="12.75" customHeight="1" x14ac:dyDescent="0.2">
      <c r="A1774" s="681" t="s">
        <v>2372</v>
      </c>
      <c r="B1774" s="693" t="s">
        <v>4342</v>
      </c>
      <c r="C1774" s="672" t="s">
        <v>1031</v>
      </c>
      <c r="D1774" s="673">
        <v>40594</v>
      </c>
      <c r="E1774" s="674">
        <v>3</v>
      </c>
      <c r="F1774" s="675">
        <v>0.33</v>
      </c>
      <c r="G1774" s="676">
        <v>899</v>
      </c>
      <c r="H1774" s="929">
        <v>0</v>
      </c>
      <c r="I1774" s="929">
        <v>898</v>
      </c>
      <c r="J1774" s="689">
        <f t="shared" si="28"/>
        <v>1</v>
      </c>
    </row>
    <row r="1775" spans="1:10" ht="12.75" customHeight="1" x14ac:dyDescent="0.2">
      <c r="A1775" s="681" t="s">
        <v>2370</v>
      </c>
      <c r="B1775" s="693" t="s">
        <v>4343</v>
      </c>
      <c r="C1775" s="672" t="s">
        <v>785</v>
      </c>
      <c r="D1775" s="673">
        <v>33289</v>
      </c>
      <c r="E1775" s="674">
        <v>10</v>
      </c>
      <c r="F1775" s="675">
        <v>0.1</v>
      </c>
      <c r="G1775" s="676">
        <v>908</v>
      </c>
      <c r="H1775" s="929">
        <v>0</v>
      </c>
      <c r="I1775" s="929">
        <v>907</v>
      </c>
      <c r="J1775" s="689">
        <f t="shared" si="28"/>
        <v>1</v>
      </c>
    </row>
    <row r="1776" spans="1:10" ht="12.75" customHeight="1" x14ac:dyDescent="0.2">
      <c r="A1776" s="681" t="s">
        <v>2370</v>
      </c>
      <c r="B1776" s="693" t="s">
        <v>4344</v>
      </c>
      <c r="C1776" s="672" t="s">
        <v>790</v>
      </c>
      <c r="D1776" s="673">
        <v>37672</v>
      </c>
      <c r="E1776" s="674">
        <v>10</v>
      </c>
      <c r="F1776" s="675">
        <v>0.1</v>
      </c>
      <c r="G1776" s="676">
        <v>908</v>
      </c>
      <c r="H1776" s="929">
        <v>0</v>
      </c>
      <c r="I1776" s="929">
        <v>907</v>
      </c>
      <c r="J1776" s="689">
        <f t="shared" si="28"/>
        <v>1</v>
      </c>
    </row>
    <row r="1777" spans="1:10" ht="12.75" customHeight="1" x14ac:dyDescent="0.2">
      <c r="A1777" s="681" t="s">
        <v>2370</v>
      </c>
      <c r="B1777" s="693" t="s">
        <v>4345</v>
      </c>
      <c r="C1777" s="672" t="s">
        <v>790</v>
      </c>
      <c r="D1777" s="673">
        <v>37672</v>
      </c>
      <c r="E1777" s="674">
        <v>10</v>
      </c>
      <c r="F1777" s="675">
        <v>0.1</v>
      </c>
      <c r="G1777" s="676">
        <v>908</v>
      </c>
      <c r="H1777" s="929">
        <v>0</v>
      </c>
      <c r="I1777" s="929">
        <v>907</v>
      </c>
      <c r="J1777" s="689">
        <f t="shared" si="28"/>
        <v>1</v>
      </c>
    </row>
    <row r="1778" spans="1:10" ht="12.75" customHeight="1" x14ac:dyDescent="0.2">
      <c r="A1778" s="681" t="s">
        <v>2370</v>
      </c>
      <c r="B1778" s="693" t="s">
        <v>4346</v>
      </c>
      <c r="C1778" s="672" t="s">
        <v>790</v>
      </c>
      <c r="D1778" s="673">
        <v>37672</v>
      </c>
      <c r="E1778" s="674">
        <v>10</v>
      </c>
      <c r="F1778" s="675">
        <v>0.1</v>
      </c>
      <c r="G1778" s="676">
        <v>908</v>
      </c>
      <c r="H1778" s="929">
        <v>0</v>
      </c>
      <c r="I1778" s="929">
        <v>907</v>
      </c>
      <c r="J1778" s="689">
        <f t="shared" si="28"/>
        <v>1</v>
      </c>
    </row>
    <row r="1779" spans="1:10" ht="12.75" customHeight="1" x14ac:dyDescent="0.2">
      <c r="A1779" s="681" t="s">
        <v>2370</v>
      </c>
      <c r="B1779" s="693" t="s">
        <v>4347</v>
      </c>
      <c r="C1779" s="672" t="s">
        <v>790</v>
      </c>
      <c r="D1779" s="673">
        <v>37672</v>
      </c>
      <c r="E1779" s="674">
        <v>10</v>
      </c>
      <c r="F1779" s="675">
        <v>0.1</v>
      </c>
      <c r="G1779" s="676">
        <v>908</v>
      </c>
      <c r="H1779" s="929">
        <v>0</v>
      </c>
      <c r="I1779" s="929">
        <v>907</v>
      </c>
      <c r="J1779" s="689">
        <f t="shared" si="28"/>
        <v>1</v>
      </c>
    </row>
    <row r="1780" spans="1:10" ht="12.75" customHeight="1" x14ac:dyDescent="0.2">
      <c r="A1780" s="681" t="s">
        <v>2370</v>
      </c>
      <c r="B1780" s="693" t="s">
        <v>4348</v>
      </c>
      <c r="C1780" s="672" t="s">
        <v>790</v>
      </c>
      <c r="D1780" s="673">
        <v>37307</v>
      </c>
      <c r="E1780" s="674">
        <v>10</v>
      </c>
      <c r="F1780" s="675">
        <v>0.1</v>
      </c>
      <c r="G1780" s="676">
        <v>915</v>
      </c>
      <c r="H1780" s="929">
        <v>0</v>
      </c>
      <c r="I1780" s="929">
        <v>914</v>
      </c>
      <c r="J1780" s="689">
        <f t="shared" si="28"/>
        <v>1</v>
      </c>
    </row>
    <row r="1781" spans="1:10" ht="12.75" customHeight="1" x14ac:dyDescent="0.2">
      <c r="A1781" s="681" t="s">
        <v>2370</v>
      </c>
      <c r="B1781" s="693" t="s">
        <v>4349</v>
      </c>
      <c r="C1781" s="672" t="s">
        <v>790</v>
      </c>
      <c r="D1781" s="673">
        <v>37307</v>
      </c>
      <c r="E1781" s="674">
        <v>10</v>
      </c>
      <c r="F1781" s="675">
        <v>0.1</v>
      </c>
      <c r="G1781" s="676">
        <v>915</v>
      </c>
      <c r="H1781" s="929">
        <v>0</v>
      </c>
      <c r="I1781" s="929">
        <v>914</v>
      </c>
      <c r="J1781" s="689">
        <f t="shared" si="28"/>
        <v>1</v>
      </c>
    </row>
    <row r="1782" spans="1:10" ht="12.75" customHeight="1" x14ac:dyDescent="0.2">
      <c r="A1782" s="681" t="s">
        <v>2370</v>
      </c>
      <c r="B1782" s="693" t="s">
        <v>4350</v>
      </c>
      <c r="C1782" s="672" t="s">
        <v>785</v>
      </c>
      <c r="D1782" s="673">
        <v>36211</v>
      </c>
      <c r="E1782" s="674">
        <v>10</v>
      </c>
      <c r="F1782" s="675">
        <v>0.1</v>
      </c>
      <c r="G1782" s="676">
        <v>920</v>
      </c>
      <c r="H1782" s="929">
        <v>0</v>
      </c>
      <c r="I1782" s="929">
        <v>919</v>
      </c>
      <c r="J1782" s="689">
        <f t="shared" si="28"/>
        <v>1</v>
      </c>
    </row>
    <row r="1783" spans="1:10" ht="12.75" customHeight="1" x14ac:dyDescent="0.2">
      <c r="A1783" s="681" t="s">
        <v>2370</v>
      </c>
      <c r="B1783" s="693" t="s">
        <v>4351</v>
      </c>
      <c r="C1783" s="672" t="s">
        <v>785</v>
      </c>
      <c r="D1783" s="673">
        <v>36576</v>
      </c>
      <c r="E1783" s="674">
        <v>10</v>
      </c>
      <c r="F1783" s="675">
        <v>0.1</v>
      </c>
      <c r="G1783" s="676">
        <v>920</v>
      </c>
      <c r="H1783" s="929">
        <v>0</v>
      </c>
      <c r="I1783" s="929">
        <v>919</v>
      </c>
      <c r="J1783" s="689">
        <f t="shared" si="28"/>
        <v>1</v>
      </c>
    </row>
    <row r="1784" spans="1:10" ht="12.75" customHeight="1" x14ac:dyDescent="0.2">
      <c r="A1784" s="681" t="s">
        <v>2370</v>
      </c>
      <c r="B1784" s="693" t="s">
        <v>4352</v>
      </c>
      <c r="C1784" s="672" t="s">
        <v>785</v>
      </c>
      <c r="D1784" s="673">
        <v>36211</v>
      </c>
      <c r="E1784" s="674">
        <v>10</v>
      </c>
      <c r="F1784" s="675">
        <v>0.1</v>
      </c>
      <c r="G1784" s="676">
        <v>920</v>
      </c>
      <c r="H1784" s="929">
        <v>0</v>
      </c>
      <c r="I1784" s="929">
        <v>919</v>
      </c>
      <c r="J1784" s="689">
        <f t="shared" si="28"/>
        <v>1</v>
      </c>
    </row>
    <row r="1785" spans="1:10" ht="12.75" customHeight="1" x14ac:dyDescent="0.2">
      <c r="A1785" s="681" t="s">
        <v>2370</v>
      </c>
      <c r="B1785" s="693" t="s">
        <v>4353</v>
      </c>
      <c r="C1785" s="672" t="s">
        <v>814</v>
      </c>
      <c r="D1785" s="673">
        <v>36211</v>
      </c>
      <c r="E1785" s="674">
        <v>3</v>
      </c>
      <c r="F1785" s="675">
        <v>0.33</v>
      </c>
      <c r="G1785" s="676">
        <v>920</v>
      </c>
      <c r="H1785" s="929">
        <v>0</v>
      </c>
      <c r="I1785" s="929">
        <v>919</v>
      </c>
      <c r="J1785" s="689">
        <f t="shared" si="28"/>
        <v>1</v>
      </c>
    </row>
    <row r="1786" spans="1:10" ht="12.75" customHeight="1" x14ac:dyDescent="0.2">
      <c r="A1786" s="681" t="s">
        <v>2370</v>
      </c>
      <c r="B1786" s="693" t="s">
        <v>4354</v>
      </c>
      <c r="C1786" s="672" t="s">
        <v>790</v>
      </c>
      <c r="D1786" s="673">
        <v>37307</v>
      </c>
      <c r="E1786" s="674">
        <v>10</v>
      </c>
      <c r="F1786" s="675">
        <v>0.1</v>
      </c>
      <c r="G1786" s="676">
        <v>920</v>
      </c>
      <c r="H1786" s="929">
        <v>0</v>
      </c>
      <c r="I1786" s="929">
        <v>919</v>
      </c>
      <c r="J1786" s="689">
        <f t="shared" si="28"/>
        <v>1</v>
      </c>
    </row>
    <row r="1787" spans="1:10" ht="12.75" customHeight="1" x14ac:dyDescent="0.2">
      <c r="A1787" s="681" t="s">
        <v>2370</v>
      </c>
      <c r="B1787" s="693" t="s">
        <v>4355</v>
      </c>
      <c r="C1787" s="672" t="s">
        <v>787</v>
      </c>
      <c r="D1787" s="673">
        <v>35481</v>
      </c>
      <c r="E1787" s="674">
        <v>10</v>
      </c>
      <c r="F1787" s="675">
        <v>0.1</v>
      </c>
      <c r="G1787" s="676">
        <v>932</v>
      </c>
      <c r="H1787" s="929">
        <v>0</v>
      </c>
      <c r="I1787" s="929">
        <v>931</v>
      </c>
      <c r="J1787" s="689">
        <f t="shared" si="28"/>
        <v>1</v>
      </c>
    </row>
    <row r="1788" spans="1:10" ht="12.75" customHeight="1" x14ac:dyDescent="0.2">
      <c r="A1788" s="681" t="s">
        <v>2370</v>
      </c>
      <c r="B1788" s="693" t="s">
        <v>4356</v>
      </c>
      <c r="C1788" s="672" t="s">
        <v>786</v>
      </c>
      <c r="D1788" s="673">
        <v>35115</v>
      </c>
      <c r="E1788" s="674">
        <v>10</v>
      </c>
      <c r="F1788" s="675">
        <v>0.1</v>
      </c>
      <c r="G1788" s="676">
        <v>937</v>
      </c>
      <c r="H1788" s="929">
        <v>0</v>
      </c>
      <c r="I1788" s="929">
        <v>936</v>
      </c>
      <c r="J1788" s="689">
        <f t="shared" si="28"/>
        <v>1</v>
      </c>
    </row>
    <row r="1789" spans="1:10" ht="12.75" customHeight="1" x14ac:dyDescent="0.2">
      <c r="A1789" s="681" t="s">
        <v>2370</v>
      </c>
      <c r="B1789" s="693" t="s">
        <v>4357</v>
      </c>
      <c r="C1789" s="672" t="s">
        <v>786</v>
      </c>
      <c r="D1789" s="673">
        <v>35115</v>
      </c>
      <c r="E1789" s="674">
        <v>10</v>
      </c>
      <c r="F1789" s="675">
        <v>0.1</v>
      </c>
      <c r="G1789" s="676">
        <v>937</v>
      </c>
      <c r="H1789" s="929">
        <v>0</v>
      </c>
      <c r="I1789" s="929">
        <v>936</v>
      </c>
      <c r="J1789" s="689">
        <f t="shared" si="28"/>
        <v>1</v>
      </c>
    </row>
    <row r="1790" spans="1:10" ht="12.75" customHeight="1" x14ac:dyDescent="0.2">
      <c r="A1790" s="681" t="s">
        <v>2370</v>
      </c>
      <c r="B1790" s="693" t="s">
        <v>4358</v>
      </c>
      <c r="C1790" s="672" t="s">
        <v>790</v>
      </c>
      <c r="D1790" s="673">
        <v>37307</v>
      </c>
      <c r="E1790" s="674">
        <v>10</v>
      </c>
      <c r="F1790" s="675">
        <v>0.1</v>
      </c>
      <c r="G1790" s="676">
        <v>943</v>
      </c>
      <c r="H1790" s="929">
        <v>0</v>
      </c>
      <c r="I1790" s="929">
        <v>942</v>
      </c>
      <c r="J1790" s="689">
        <f t="shared" si="28"/>
        <v>1</v>
      </c>
    </row>
    <row r="1791" spans="1:10" ht="12.75" customHeight="1" x14ac:dyDescent="0.2">
      <c r="A1791" s="681" t="s">
        <v>2370</v>
      </c>
      <c r="B1791" s="693" t="s">
        <v>4359</v>
      </c>
      <c r="C1791" s="672" t="s">
        <v>790</v>
      </c>
      <c r="D1791" s="673">
        <v>37307</v>
      </c>
      <c r="E1791" s="674">
        <v>10</v>
      </c>
      <c r="F1791" s="675">
        <v>0.1</v>
      </c>
      <c r="G1791" s="676">
        <v>943</v>
      </c>
      <c r="H1791" s="929">
        <v>0</v>
      </c>
      <c r="I1791" s="929">
        <v>942</v>
      </c>
      <c r="J1791" s="689">
        <f t="shared" si="28"/>
        <v>1</v>
      </c>
    </row>
    <row r="1792" spans="1:10" ht="12.75" customHeight="1" x14ac:dyDescent="0.2">
      <c r="A1792" s="681" t="s">
        <v>2370</v>
      </c>
      <c r="B1792" s="693" t="s">
        <v>4360</v>
      </c>
      <c r="C1792" s="672" t="s">
        <v>790</v>
      </c>
      <c r="D1792" s="673">
        <v>37307</v>
      </c>
      <c r="E1792" s="674">
        <v>10</v>
      </c>
      <c r="F1792" s="675">
        <v>0.1</v>
      </c>
      <c r="G1792" s="676">
        <v>943</v>
      </c>
      <c r="H1792" s="929">
        <v>0</v>
      </c>
      <c r="I1792" s="929">
        <v>942</v>
      </c>
      <c r="J1792" s="689">
        <f t="shared" si="28"/>
        <v>1</v>
      </c>
    </row>
    <row r="1793" spans="1:10" ht="12.75" customHeight="1" x14ac:dyDescent="0.2">
      <c r="A1793" s="681" t="s">
        <v>2370</v>
      </c>
      <c r="B1793" s="693" t="s">
        <v>4361</v>
      </c>
      <c r="C1793" s="672" t="s">
        <v>790</v>
      </c>
      <c r="D1793" s="673">
        <v>37307</v>
      </c>
      <c r="E1793" s="674">
        <v>10</v>
      </c>
      <c r="F1793" s="675">
        <v>0.1</v>
      </c>
      <c r="G1793" s="676">
        <v>943</v>
      </c>
      <c r="H1793" s="929">
        <v>0</v>
      </c>
      <c r="I1793" s="929">
        <v>942</v>
      </c>
      <c r="J1793" s="689">
        <f t="shared" si="28"/>
        <v>1</v>
      </c>
    </row>
    <row r="1794" spans="1:10" ht="12.75" customHeight="1" x14ac:dyDescent="0.2">
      <c r="A1794" s="681" t="s">
        <v>2370</v>
      </c>
      <c r="B1794" s="693" t="s">
        <v>4362</v>
      </c>
      <c r="C1794" s="672" t="s">
        <v>790</v>
      </c>
      <c r="D1794" s="673">
        <v>37307</v>
      </c>
      <c r="E1794" s="674">
        <v>10</v>
      </c>
      <c r="F1794" s="675">
        <v>0.1</v>
      </c>
      <c r="G1794" s="676">
        <v>943</v>
      </c>
      <c r="H1794" s="929">
        <v>0</v>
      </c>
      <c r="I1794" s="929">
        <v>942</v>
      </c>
      <c r="J1794" s="689">
        <f t="shared" si="28"/>
        <v>1</v>
      </c>
    </row>
    <row r="1795" spans="1:10" ht="12.75" customHeight="1" x14ac:dyDescent="0.2">
      <c r="A1795" s="681" t="s">
        <v>2370</v>
      </c>
      <c r="B1795" s="693" t="s">
        <v>4363</v>
      </c>
      <c r="C1795" s="672" t="s">
        <v>785</v>
      </c>
      <c r="D1795" s="673">
        <v>36576</v>
      </c>
      <c r="E1795" s="674">
        <v>10</v>
      </c>
      <c r="F1795" s="675">
        <v>0.1</v>
      </c>
      <c r="G1795" s="676">
        <v>945</v>
      </c>
      <c r="H1795" s="929">
        <v>0</v>
      </c>
      <c r="I1795" s="929">
        <v>944</v>
      </c>
      <c r="J1795" s="689">
        <f t="shared" si="28"/>
        <v>1</v>
      </c>
    </row>
    <row r="1796" spans="1:10" ht="12.75" customHeight="1" x14ac:dyDescent="0.2">
      <c r="A1796" s="681" t="s">
        <v>2370</v>
      </c>
      <c r="B1796" s="693" t="s">
        <v>4364</v>
      </c>
      <c r="C1796" s="672" t="s">
        <v>877</v>
      </c>
      <c r="D1796" s="673">
        <v>35115</v>
      </c>
      <c r="E1796" s="674">
        <v>10</v>
      </c>
      <c r="F1796" s="675">
        <v>0.1</v>
      </c>
      <c r="G1796" s="676">
        <v>945</v>
      </c>
      <c r="H1796" s="929">
        <v>0</v>
      </c>
      <c r="I1796" s="929">
        <v>944</v>
      </c>
      <c r="J1796" s="689">
        <f t="shared" si="28"/>
        <v>1</v>
      </c>
    </row>
    <row r="1797" spans="1:10" ht="12.75" customHeight="1" x14ac:dyDescent="0.2">
      <c r="A1797" s="681" t="s">
        <v>2370</v>
      </c>
      <c r="B1797" s="693" t="s">
        <v>4365</v>
      </c>
      <c r="C1797" s="672" t="s">
        <v>889</v>
      </c>
      <c r="D1797" s="673">
        <v>39498</v>
      </c>
      <c r="E1797" s="674">
        <v>3</v>
      </c>
      <c r="F1797" s="675">
        <v>0.33</v>
      </c>
      <c r="G1797" s="676">
        <v>950</v>
      </c>
      <c r="H1797" s="929">
        <v>0</v>
      </c>
      <c r="I1797" s="929">
        <v>949</v>
      </c>
      <c r="J1797" s="689">
        <f t="shared" si="28"/>
        <v>1</v>
      </c>
    </row>
    <row r="1798" spans="1:10" ht="12.75" customHeight="1" x14ac:dyDescent="0.2">
      <c r="A1798" s="681" t="s">
        <v>2370</v>
      </c>
      <c r="B1798" s="693" t="s">
        <v>4366</v>
      </c>
      <c r="C1798" s="672" t="s">
        <v>889</v>
      </c>
      <c r="D1798" s="673">
        <v>39498</v>
      </c>
      <c r="E1798" s="674">
        <v>3</v>
      </c>
      <c r="F1798" s="675">
        <v>0.33</v>
      </c>
      <c r="G1798" s="676">
        <v>950</v>
      </c>
      <c r="H1798" s="929">
        <v>0</v>
      </c>
      <c r="I1798" s="929">
        <v>949</v>
      </c>
      <c r="J1798" s="689">
        <f t="shared" si="28"/>
        <v>1</v>
      </c>
    </row>
    <row r="1799" spans="1:10" ht="12.75" customHeight="1" x14ac:dyDescent="0.2">
      <c r="A1799" s="681" t="s">
        <v>2370</v>
      </c>
      <c r="B1799" s="693" t="s">
        <v>4367</v>
      </c>
      <c r="C1799" s="672" t="s">
        <v>889</v>
      </c>
      <c r="D1799" s="673">
        <v>39498</v>
      </c>
      <c r="E1799" s="674">
        <v>3</v>
      </c>
      <c r="F1799" s="675">
        <v>0.33</v>
      </c>
      <c r="G1799" s="676">
        <v>950</v>
      </c>
      <c r="H1799" s="929">
        <v>0</v>
      </c>
      <c r="I1799" s="929">
        <v>949</v>
      </c>
      <c r="J1799" s="689">
        <f t="shared" ref="J1799:J1862" si="29">G1799-I1799</f>
        <v>1</v>
      </c>
    </row>
    <row r="1800" spans="1:10" ht="12.75" customHeight="1" x14ac:dyDescent="0.2">
      <c r="A1800" s="681" t="s">
        <v>2370</v>
      </c>
      <c r="B1800" s="693" t="s">
        <v>4368</v>
      </c>
      <c r="C1800" s="672" t="s">
        <v>790</v>
      </c>
      <c r="D1800" s="673">
        <v>36576</v>
      </c>
      <c r="E1800" s="674">
        <v>10</v>
      </c>
      <c r="F1800" s="675">
        <v>0.1</v>
      </c>
      <c r="G1800" s="676">
        <v>954</v>
      </c>
      <c r="H1800" s="929">
        <v>0</v>
      </c>
      <c r="I1800" s="929">
        <v>953</v>
      </c>
      <c r="J1800" s="689">
        <f t="shared" si="29"/>
        <v>1</v>
      </c>
    </row>
    <row r="1801" spans="1:10" ht="12.75" customHeight="1" x14ac:dyDescent="0.2">
      <c r="A1801" s="681" t="s">
        <v>2370</v>
      </c>
      <c r="B1801" s="693" t="s">
        <v>4369</v>
      </c>
      <c r="C1801" s="672" t="s">
        <v>785</v>
      </c>
      <c r="D1801" s="673">
        <v>37307</v>
      </c>
      <c r="E1801" s="674">
        <v>10</v>
      </c>
      <c r="F1801" s="675">
        <v>0.1</v>
      </c>
      <c r="G1801" s="676">
        <v>954</v>
      </c>
      <c r="H1801" s="929">
        <v>0</v>
      </c>
      <c r="I1801" s="929">
        <v>953</v>
      </c>
      <c r="J1801" s="689">
        <f t="shared" si="29"/>
        <v>1</v>
      </c>
    </row>
    <row r="1802" spans="1:10" ht="12.75" customHeight="1" x14ac:dyDescent="0.2">
      <c r="A1802" s="681" t="s">
        <v>2372</v>
      </c>
      <c r="B1802" s="693" t="s">
        <v>4370</v>
      </c>
      <c r="C1802" s="672" t="s">
        <v>1032</v>
      </c>
      <c r="D1802" s="673">
        <v>38403</v>
      </c>
      <c r="E1802" s="674">
        <v>3</v>
      </c>
      <c r="F1802" s="675">
        <v>0.33</v>
      </c>
      <c r="G1802" s="676">
        <v>957</v>
      </c>
      <c r="H1802" s="929">
        <v>0</v>
      </c>
      <c r="I1802" s="929">
        <v>956</v>
      </c>
      <c r="J1802" s="689">
        <f t="shared" si="29"/>
        <v>1</v>
      </c>
    </row>
    <row r="1803" spans="1:10" ht="12.75" customHeight="1" x14ac:dyDescent="0.2">
      <c r="A1803" s="681" t="s">
        <v>2370</v>
      </c>
      <c r="B1803" s="693" t="s">
        <v>4371</v>
      </c>
      <c r="C1803" s="672" t="s">
        <v>798</v>
      </c>
      <c r="D1803" s="673">
        <v>35115</v>
      </c>
      <c r="E1803" s="674">
        <v>10</v>
      </c>
      <c r="F1803" s="675">
        <v>0.1</v>
      </c>
      <c r="G1803" s="676">
        <v>978</v>
      </c>
      <c r="H1803" s="929">
        <v>0</v>
      </c>
      <c r="I1803" s="929">
        <v>977</v>
      </c>
      <c r="J1803" s="689">
        <f t="shared" si="29"/>
        <v>1</v>
      </c>
    </row>
    <row r="1804" spans="1:10" ht="12.75" customHeight="1" x14ac:dyDescent="0.2">
      <c r="A1804" s="681" t="s">
        <v>2370</v>
      </c>
      <c r="B1804" s="693" t="s">
        <v>4372</v>
      </c>
      <c r="C1804" s="672" t="s">
        <v>791</v>
      </c>
      <c r="D1804" s="673">
        <v>37307</v>
      </c>
      <c r="E1804" s="674">
        <v>10</v>
      </c>
      <c r="F1804" s="675">
        <v>0.1</v>
      </c>
      <c r="G1804" s="676">
        <v>987</v>
      </c>
      <c r="H1804" s="929">
        <v>0</v>
      </c>
      <c r="I1804" s="929">
        <v>986</v>
      </c>
      <c r="J1804" s="689">
        <f t="shared" si="29"/>
        <v>1</v>
      </c>
    </row>
    <row r="1805" spans="1:10" ht="12.75" customHeight="1" x14ac:dyDescent="0.2">
      <c r="A1805" s="681" t="s">
        <v>2370</v>
      </c>
      <c r="B1805" s="693" t="s">
        <v>4373</v>
      </c>
      <c r="C1805" s="672" t="s">
        <v>786</v>
      </c>
      <c r="D1805" s="673">
        <v>37672</v>
      </c>
      <c r="E1805" s="674">
        <v>10</v>
      </c>
      <c r="F1805" s="675">
        <v>0.1</v>
      </c>
      <c r="G1805" s="676">
        <v>989</v>
      </c>
      <c r="H1805" s="929">
        <v>0</v>
      </c>
      <c r="I1805" s="929">
        <v>988</v>
      </c>
      <c r="J1805" s="689">
        <f t="shared" si="29"/>
        <v>1</v>
      </c>
    </row>
    <row r="1806" spans="1:10" ht="12.75" customHeight="1" x14ac:dyDescent="0.2">
      <c r="A1806" s="681" t="s">
        <v>2370</v>
      </c>
      <c r="B1806" s="693" t="s">
        <v>4374</v>
      </c>
      <c r="C1806" s="672" t="s">
        <v>786</v>
      </c>
      <c r="D1806" s="673">
        <v>37672</v>
      </c>
      <c r="E1806" s="674">
        <v>10</v>
      </c>
      <c r="F1806" s="675">
        <v>0.1</v>
      </c>
      <c r="G1806" s="676">
        <v>989</v>
      </c>
      <c r="H1806" s="929">
        <v>0</v>
      </c>
      <c r="I1806" s="929">
        <v>988</v>
      </c>
      <c r="J1806" s="689">
        <f t="shared" si="29"/>
        <v>1</v>
      </c>
    </row>
    <row r="1807" spans="1:10" ht="12.75" customHeight="1" x14ac:dyDescent="0.2">
      <c r="A1807" s="681" t="s">
        <v>2370</v>
      </c>
      <c r="B1807" s="693" t="s">
        <v>4375</v>
      </c>
      <c r="C1807" s="672" t="s">
        <v>921</v>
      </c>
      <c r="D1807" s="673">
        <v>38037</v>
      </c>
      <c r="E1807" s="674">
        <v>10</v>
      </c>
      <c r="F1807" s="675">
        <v>0.1</v>
      </c>
      <c r="G1807" s="676">
        <v>999</v>
      </c>
      <c r="H1807" s="929">
        <v>0</v>
      </c>
      <c r="I1807" s="929">
        <v>998</v>
      </c>
      <c r="J1807" s="689">
        <f t="shared" si="29"/>
        <v>1</v>
      </c>
    </row>
    <row r="1808" spans="1:10" ht="12.75" customHeight="1" x14ac:dyDescent="0.2">
      <c r="A1808" s="681" t="s">
        <v>2370</v>
      </c>
      <c r="B1808" s="693" t="s">
        <v>4376</v>
      </c>
      <c r="C1808" s="672" t="s">
        <v>790</v>
      </c>
      <c r="D1808" s="673">
        <v>36576</v>
      </c>
      <c r="E1808" s="674">
        <v>10</v>
      </c>
      <c r="F1808" s="675">
        <v>0.1</v>
      </c>
      <c r="G1808" s="676">
        <v>1000</v>
      </c>
      <c r="H1808" s="929">
        <v>0</v>
      </c>
      <c r="I1808" s="929">
        <v>999</v>
      </c>
      <c r="J1808" s="689">
        <f t="shared" si="29"/>
        <v>1</v>
      </c>
    </row>
    <row r="1809" spans="1:10" ht="12.75" customHeight="1" x14ac:dyDescent="0.2">
      <c r="A1809" s="681" t="s">
        <v>2370</v>
      </c>
      <c r="B1809" s="693" t="s">
        <v>4377</v>
      </c>
      <c r="C1809" s="672" t="s">
        <v>892</v>
      </c>
      <c r="D1809" s="673">
        <v>39133</v>
      </c>
      <c r="E1809" s="674">
        <v>3</v>
      </c>
      <c r="F1809" s="675">
        <v>0.33</v>
      </c>
      <c r="G1809" s="676">
        <v>1001</v>
      </c>
      <c r="H1809" s="929">
        <v>0</v>
      </c>
      <c r="I1809" s="929">
        <v>1000</v>
      </c>
      <c r="J1809" s="689">
        <f t="shared" si="29"/>
        <v>1</v>
      </c>
    </row>
    <row r="1810" spans="1:10" ht="12.75" customHeight="1" x14ac:dyDescent="0.2">
      <c r="A1810" s="681" t="s">
        <v>2370</v>
      </c>
      <c r="B1810" s="693" t="s">
        <v>4378</v>
      </c>
      <c r="C1810" s="672" t="s">
        <v>921</v>
      </c>
      <c r="D1810" s="673">
        <v>36576</v>
      </c>
      <c r="E1810" s="674">
        <v>10</v>
      </c>
      <c r="F1810" s="675">
        <v>0.1</v>
      </c>
      <c r="G1810" s="676">
        <v>1018</v>
      </c>
      <c r="H1810" s="929">
        <v>0</v>
      </c>
      <c r="I1810" s="929">
        <v>1017</v>
      </c>
      <c r="J1810" s="689">
        <f t="shared" si="29"/>
        <v>1</v>
      </c>
    </row>
    <row r="1811" spans="1:10" ht="12.75" customHeight="1" x14ac:dyDescent="0.2">
      <c r="A1811" s="681" t="s">
        <v>2370</v>
      </c>
      <c r="B1811" s="693" t="s">
        <v>4379</v>
      </c>
      <c r="C1811" s="672" t="s">
        <v>787</v>
      </c>
      <c r="D1811" s="673">
        <v>35115</v>
      </c>
      <c r="E1811" s="674">
        <v>10</v>
      </c>
      <c r="F1811" s="675">
        <v>0.1</v>
      </c>
      <c r="G1811" s="676">
        <v>1033</v>
      </c>
      <c r="H1811" s="929">
        <v>0</v>
      </c>
      <c r="I1811" s="929">
        <v>1032</v>
      </c>
      <c r="J1811" s="689">
        <f t="shared" si="29"/>
        <v>1</v>
      </c>
    </row>
    <row r="1812" spans="1:10" ht="12.75" customHeight="1" x14ac:dyDescent="0.2">
      <c r="A1812" s="681" t="s">
        <v>2372</v>
      </c>
      <c r="B1812" s="693" t="s">
        <v>4380</v>
      </c>
      <c r="C1812" s="672" t="s">
        <v>1050</v>
      </c>
      <c r="D1812" s="673">
        <v>33289</v>
      </c>
      <c r="E1812" s="674">
        <v>10</v>
      </c>
      <c r="F1812" s="675">
        <v>0.1</v>
      </c>
      <c r="G1812" s="676">
        <v>1033</v>
      </c>
      <c r="H1812" s="929">
        <v>0</v>
      </c>
      <c r="I1812" s="929">
        <v>1032</v>
      </c>
      <c r="J1812" s="689">
        <f t="shared" si="29"/>
        <v>1</v>
      </c>
    </row>
    <row r="1813" spans="1:10" ht="12.75" customHeight="1" x14ac:dyDescent="0.2">
      <c r="A1813" s="681" t="s">
        <v>2370</v>
      </c>
      <c r="B1813" s="693" t="s">
        <v>4381</v>
      </c>
      <c r="C1813" s="672" t="s">
        <v>788</v>
      </c>
      <c r="D1813" s="673">
        <v>37307</v>
      </c>
      <c r="E1813" s="674">
        <v>10</v>
      </c>
      <c r="F1813" s="675">
        <v>0.1</v>
      </c>
      <c r="G1813" s="676">
        <v>1035</v>
      </c>
      <c r="H1813" s="929">
        <v>0</v>
      </c>
      <c r="I1813" s="929">
        <v>1034</v>
      </c>
      <c r="J1813" s="689">
        <f t="shared" si="29"/>
        <v>1</v>
      </c>
    </row>
    <row r="1814" spans="1:10" ht="12.75" customHeight="1" x14ac:dyDescent="0.2">
      <c r="A1814" s="681" t="s">
        <v>2370</v>
      </c>
      <c r="B1814" s="693" t="s">
        <v>4382</v>
      </c>
      <c r="C1814" s="672" t="s">
        <v>788</v>
      </c>
      <c r="D1814" s="673">
        <v>37307</v>
      </c>
      <c r="E1814" s="674">
        <v>10</v>
      </c>
      <c r="F1814" s="675">
        <v>0.1</v>
      </c>
      <c r="G1814" s="676">
        <v>1035</v>
      </c>
      <c r="H1814" s="929">
        <v>0</v>
      </c>
      <c r="I1814" s="929">
        <v>1034</v>
      </c>
      <c r="J1814" s="689">
        <f t="shared" si="29"/>
        <v>1</v>
      </c>
    </row>
    <row r="1815" spans="1:10" ht="12.75" customHeight="1" x14ac:dyDescent="0.2">
      <c r="A1815" s="681" t="s">
        <v>2370</v>
      </c>
      <c r="B1815" s="693" t="s">
        <v>4383</v>
      </c>
      <c r="C1815" s="672" t="s">
        <v>790</v>
      </c>
      <c r="D1815" s="673">
        <v>36211</v>
      </c>
      <c r="E1815" s="674">
        <v>10</v>
      </c>
      <c r="F1815" s="675">
        <v>0.1</v>
      </c>
      <c r="G1815" s="676">
        <v>1035</v>
      </c>
      <c r="H1815" s="929">
        <v>0</v>
      </c>
      <c r="I1815" s="929">
        <v>1034</v>
      </c>
      <c r="J1815" s="689">
        <f t="shared" si="29"/>
        <v>1</v>
      </c>
    </row>
    <row r="1816" spans="1:10" ht="12.75" customHeight="1" x14ac:dyDescent="0.2">
      <c r="A1816" s="681" t="s">
        <v>2370</v>
      </c>
      <c r="B1816" s="693" t="s">
        <v>4384</v>
      </c>
      <c r="C1816" s="672" t="s">
        <v>791</v>
      </c>
      <c r="D1816" s="673">
        <v>37307</v>
      </c>
      <c r="E1816" s="674">
        <v>10</v>
      </c>
      <c r="F1816" s="675">
        <v>0.1</v>
      </c>
      <c r="G1816" s="676">
        <v>1035</v>
      </c>
      <c r="H1816" s="929">
        <v>0</v>
      </c>
      <c r="I1816" s="929">
        <v>1034</v>
      </c>
      <c r="J1816" s="689">
        <f t="shared" si="29"/>
        <v>1</v>
      </c>
    </row>
    <row r="1817" spans="1:10" ht="12.75" customHeight="1" x14ac:dyDescent="0.2">
      <c r="A1817" s="681" t="s">
        <v>2370</v>
      </c>
      <c r="B1817" s="693" t="s">
        <v>4385</v>
      </c>
      <c r="C1817" s="672" t="s">
        <v>791</v>
      </c>
      <c r="D1817" s="673">
        <v>37307</v>
      </c>
      <c r="E1817" s="674">
        <v>10</v>
      </c>
      <c r="F1817" s="675">
        <v>0.1</v>
      </c>
      <c r="G1817" s="676">
        <v>1035</v>
      </c>
      <c r="H1817" s="929">
        <v>0</v>
      </c>
      <c r="I1817" s="929">
        <v>1034</v>
      </c>
      <c r="J1817" s="689">
        <f t="shared" si="29"/>
        <v>1</v>
      </c>
    </row>
    <row r="1818" spans="1:10" ht="12.75" customHeight="1" x14ac:dyDescent="0.2">
      <c r="A1818" s="681" t="s">
        <v>2372</v>
      </c>
      <c r="B1818" s="693" t="s">
        <v>4386</v>
      </c>
      <c r="C1818" s="672" t="s">
        <v>1032</v>
      </c>
      <c r="D1818" s="673">
        <v>39498</v>
      </c>
      <c r="E1818" s="674">
        <v>3</v>
      </c>
      <c r="F1818" s="675">
        <v>0.33</v>
      </c>
      <c r="G1818" s="676">
        <v>1035</v>
      </c>
      <c r="H1818" s="929">
        <v>0</v>
      </c>
      <c r="I1818" s="929">
        <v>1034</v>
      </c>
      <c r="J1818" s="689">
        <f t="shared" si="29"/>
        <v>1</v>
      </c>
    </row>
    <row r="1819" spans="1:10" ht="12.75" customHeight="1" x14ac:dyDescent="0.2">
      <c r="A1819" s="681" t="s">
        <v>2370</v>
      </c>
      <c r="B1819" s="693" t="s">
        <v>4387</v>
      </c>
      <c r="C1819" s="672" t="s">
        <v>828</v>
      </c>
      <c r="D1819" s="673">
        <v>35481</v>
      </c>
      <c r="E1819" s="674">
        <v>10</v>
      </c>
      <c r="F1819" s="675">
        <v>0.1</v>
      </c>
      <c r="G1819" s="676">
        <v>1040</v>
      </c>
      <c r="H1819" s="929">
        <v>0</v>
      </c>
      <c r="I1819" s="929">
        <v>1039</v>
      </c>
      <c r="J1819" s="689">
        <f t="shared" si="29"/>
        <v>1</v>
      </c>
    </row>
    <row r="1820" spans="1:10" ht="12.75" customHeight="1" x14ac:dyDescent="0.2">
      <c r="A1820" s="681" t="s">
        <v>2370</v>
      </c>
      <c r="B1820" s="693" t="s">
        <v>4388</v>
      </c>
      <c r="C1820" s="672" t="s">
        <v>828</v>
      </c>
      <c r="D1820" s="673">
        <v>35481</v>
      </c>
      <c r="E1820" s="674">
        <v>10</v>
      </c>
      <c r="F1820" s="675">
        <v>0.1</v>
      </c>
      <c r="G1820" s="676">
        <v>1040</v>
      </c>
      <c r="H1820" s="929">
        <v>0</v>
      </c>
      <c r="I1820" s="929">
        <v>1039</v>
      </c>
      <c r="J1820" s="689">
        <f t="shared" si="29"/>
        <v>1</v>
      </c>
    </row>
    <row r="1821" spans="1:10" ht="12.75" customHeight="1" x14ac:dyDescent="0.2">
      <c r="A1821" s="681" t="s">
        <v>2370</v>
      </c>
      <c r="B1821" s="693" t="s">
        <v>4389</v>
      </c>
      <c r="C1821" s="672" t="s">
        <v>828</v>
      </c>
      <c r="D1821" s="673">
        <v>35481</v>
      </c>
      <c r="E1821" s="674">
        <v>10</v>
      </c>
      <c r="F1821" s="675">
        <v>0.1</v>
      </c>
      <c r="G1821" s="676">
        <v>1040</v>
      </c>
      <c r="H1821" s="929">
        <v>0</v>
      </c>
      <c r="I1821" s="929">
        <v>1039</v>
      </c>
      <c r="J1821" s="689">
        <f t="shared" si="29"/>
        <v>1</v>
      </c>
    </row>
    <row r="1822" spans="1:10" ht="12.75" customHeight="1" x14ac:dyDescent="0.2">
      <c r="A1822" s="681" t="s">
        <v>2370</v>
      </c>
      <c r="B1822" s="693" t="s">
        <v>4390</v>
      </c>
      <c r="C1822" s="672" t="s">
        <v>828</v>
      </c>
      <c r="D1822" s="673">
        <v>35481</v>
      </c>
      <c r="E1822" s="674">
        <v>10</v>
      </c>
      <c r="F1822" s="675">
        <v>0.1</v>
      </c>
      <c r="G1822" s="676">
        <v>1040</v>
      </c>
      <c r="H1822" s="929">
        <v>0</v>
      </c>
      <c r="I1822" s="929">
        <v>1039</v>
      </c>
      <c r="J1822" s="689">
        <f t="shared" si="29"/>
        <v>1</v>
      </c>
    </row>
    <row r="1823" spans="1:10" ht="12.75" customHeight="1" x14ac:dyDescent="0.2">
      <c r="A1823" s="681" t="s">
        <v>2370</v>
      </c>
      <c r="B1823" s="693" t="s">
        <v>4391</v>
      </c>
      <c r="C1823" s="672" t="s">
        <v>828</v>
      </c>
      <c r="D1823" s="673">
        <v>35481</v>
      </c>
      <c r="E1823" s="674">
        <v>10</v>
      </c>
      <c r="F1823" s="675">
        <v>0.1</v>
      </c>
      <c r="G1823" s="676">
        <v>1040</v>
      </c>
      <c r="H1823" s="929">
        <v>0</v>
      </c>
      <c r="I1823" s="929">
        <v>1039</v>
      </c>
      <c r="J1823" s="689">
        <f t="shared" si="29"/>
        <v>1</v>
      </c>
    </row>
    <row r="1824" spans="1:10" ht="12.75" customHeight="1" x14ac:dyDescent="0.2">
      <c r="A1824" s="681" t="s">
        <v>2370</v>
      </c>
      <c r="B1824" s="693" t="s">
        <v>4392</v>
      </c>
      <c r="C1824" s="672" t="s">
        <v>828</v>
      </c>
      <c r="D1824" s="673">
        <v>35481</v>
      </c>
      <c r="E1824" s="674">
        <v>10</v>
      </c>
      <c r="F1824" s="675">
        <v>0.1</v>
      </c>
      <c r="G1824" s="676">
        <v>1040</v>
      </c>
      <c r="H1824" s="929">
        <v>0</v>
      </c>
      <c r="I1824" s="929">
        <v>1039</v>
      </c>
      <c r="J1824" s="689">
        <f t="shared" si="29"/>
        <v>1</v>
      </c>
    </row>
    <row r="1825" spans="1:10" ht="12.75" customHeight="1" x14ac:dyDescent="0.2">
      <c r="A1825" s="681" t="s">
        <v>2370</v>
      </c>
      <c r="B1825" s="693" t="s">
        <v>4393</v>
      </c>
      <c r="C1825" s="672" t="s">
        <v>828</v>
      </c>
      <c r="D1825" s="673">
        <v>35481</v>
      </c>
      <c r="E1825" s="674">
        <v>10</v>
      </c>
      <c r="F1825" s="675">
        <v>0.1</v>
      </c>
      <c r="G1825" s="676">
        <v>1040</v>
      </c>
      <c r="H1825" s="929">
        <v>0</v>
      </c>
      <c r="I1825" s="929">
        <v>1039</v>
      </c>
      <c r="J1825" s="689">
        <f t="shared" si="29"/>
        <v>1</v>
      </c>
    </row>
    <row r="1826" spans="1:10" ht="12.75" customHeight="1" x14ac:dyDescent="0.2">
      <c r="A1826" s="681" t="s">
        <v>2370</v>
      </c>
      <c r="B1826" s="693" t="s">
        <v>4394</v>
      </c>
      <c r="C1826" s="672" t="s">
        <v>828</v>
      </c>
      <c r="D1826" s="673">
        <v>35481</v>
      </c>
      <c r="E1826" s="674">
        <v>10</v>
      </c>
      <c r="F1826" s="675">
        <v>0.1</v>
      </c>
      <c r="G1826" s="676">
        <v>1040</v>
      </c>
      <c r="H1826" s="929">
        <v>0</v>
      </c>
      <c r="I1826" s="929">
        <v>1039</v>
      </c>
      <c r="J1826" s="689">
        <f t="shared" si="29"/>
        <v>1</v>
      </c>
    </row>
    <row r="1827" spans="1:10" ht="12.75" customHeight="1" x14ac:dyDescent="0.2">
      <c r="A1827" s="681" t="s">
        <v>2370</v>
      </c>
      <c r="B1827" s="693" t="s">
        <v>4395</v>
      </c>
      <c r="C1827" s="672" t="s">
        <v>828</v>
      </c>
      <c r="D1827" s="673">
        <v>35481</v>
      </c>
      <c r="E1827" s="674">
        <v>10</v>
      </c>
      <c r="F1827" s="675">
        <v>0.1</v>
      </c>
      <c r="G1827" s="676">
        <v>1040</v>
      </c>
      <c r="H1827" s="929">
        <v>0</v>
      </c>
      <c r="I1827" s="929">
        <v>1039</v>
      </c>
      <c r="J1827" s="689">
        <f t="shared" si="29"/>
        <v>1</v>
      </c>
    </row>
    <row r="1828" spans="1:10" ht="12.75" customHeight="1" x14ac:dyDescent="0.2">
      <c r="A1828" s="681" t="s">
        <v>2372</v>
      </c>
      <c r="B1828" s="693" t="s">
        <v>4396</v>
      </c>
      <c r="C1828" s="672" t="s">
        <v>915</v>
      </c>
      <c r="D1828" s="673">
        <v>39498</v>
      </c>
      <c r="E1828" s="674">
        <v>3</v>
      </c>
      <c r="F1828" s="675">
        <v>0.33</v>
      </c>
      <c r="G1828" s="676">
        <v>1044</v>
      </c>
      <c r="H1828" s="929">
        <v>0</v>
      </c>
      <c r="I1828" s="929">
        <v>1043</v>
      </c>
      <c r="J1828" s="689">
        <f t="shared" si="29"/>
        <v>1</v>
      </c>
    </row>
    <row r="1829" spans="1:10" ht="12.75" customHeight="1" x14ac:dyDescent="0.2">
      <c r="A1829" s="681" t="s">
        <v>2372</v>
      </c>
      <c r="B1829" s="693" t="s">
        <v>4397</v>
      </c>
      <c r="C1829" s="672" t="s">
        <v>895</v>
      </c>
      <c r="D1829" s="673">
        <v>39498</v>
      </c>
      <c r="E1829" s="674">
        <v>3</v>
      </c>
      <c r="F1829" s="675">
        <v>0.33</v>
      </c>
      <c r="G1829" s="676">
        <v>1050</v>
      </c>
      <c r="H1829" s="929">
        <v>0</v>
      </c>
      <c r="I1829" s="929">
        <v>1049</v>
      </c>
      <c r="J1829" s="689">
        <f t="shared" si="29"/>
        <v>1</v>
      </c>
    </row>
    <row r="1830" spans="1:10" ht="12.75" customHeight="1" x14ac:dyDescent="0.2">
      <c r="A1830" s="681" t="s">
        <v>2370</v>
      </c>
      <c r="B1830" s="693" t="s">
        <v>4398</v>
      </c>
      <c r="C1830" s="672" t="s">
        <v>798</v>
      </c>
      <c r="D1830" s="673">
        <v>37307</v>
      </c>
      <c r="E1830" s="674">
        <v>10</v>
      </c>
      <c r="F1830" s="675">
        <v>0.1</v>
      </c>
      <c r="G1830" s="676">
        <v>1054</v>
      </c>
      <c r="H1830" s="929">
        <v>0</v>
      </c>
      <c r="I1830" s="929">
        <v>1053</v>
      </c>
      <c r="J1830" s="689">
        <f t="shared" si="29"/>
        <v>1</v>
      </c>
    </row>
    <row r="1831" spans="1:10" ht="12.75" customHeight="1" x14ac:dyDescent="0.2">
      <c r="A1831" s="681" t="s">
        <v>2370</v>
      </c>
      <c r="B1831" s="693" t="s">
        <v>4399</v>
      </c>
      <c r="C1831" s="672" t="s">
        <v>899</v>
      </c>
      <c r="D1831" s="673">
        <v>39498</v>
      </c>
      <c r="E1831" s="674">
        <v>3</v>
      </c>
      <c r="F1831" s="675">
        <v>0.33</v>
      </c>
      <c r="G1831" s="676">
        <v>1064</v>
      </c>
      <c r="H1831" s="929">
        <v>0</v>
      </c>
      <c r="I1831" s="929">
        <v>1063</v>
      </c>
      <c r="J1831" s="689">
        <f t="shared" si="29"/>
        <v>1</v>
      </c>
    </row>
    <row r="1832" spans="1:10" ht="12.75" customHeight="1" x14ac:dyDescent="0.2">
      <c r="A1832" s="681" t="s">
        <v>2370</v>
      </c>
      <c r="B1832" s="693" t="s">
        <v>4400</v>
      </c>
      <c r="C1832" s="672" t="s">
        <v>828</v>
      </c>
      <c r="D1832" s="673">
        <v>36576</v>
      </c>
      <c r="E1832" s="674">
        <v>10</v>
      </c>
      <c r="F1832" s="675">
        <v>0.1</v>
      </c>
      <c r="G1832" s="676">
        <v>1070</v>
      </c>
      <c r="H1832" s="929">
        <v>0</v>
      </c>
      <c r="I1832" s="929">
        <v>1069</v>
      </c>
      <c r="J1832" s="689">
        <f t="shared" si="29"/>
        <v>1</v>
      </c>
    </row>
    <row r="1833" spans="1:10" ht="12.75" customHeight="1" x14ac:dyDescent="0.2">
      <c r="A1833" s="681" t="s">
        <v>2370</v>
      </c>
      <c r="B1833" s="693" t="s">
        <v>4401</v>
      </c>
      <c r="C1833" s="672" t="s">
        <v>828</v>
      </c>
      <c r="D1833" s="673">
        <v>36576</v>
      </c>
      <c r="E1833" s="674">
        <v>10</v>
      </c>
      <c r="F1833" s="675">
        <v>0.1</v>
      </c>
      <c r="G1833" s="676">
        <v>1070</v>
      </c>
      <c r="H1833" s="929">
        <v>0</v>
      </c>
      <c r="I1833" s="929">
        <v>1069</v>
      </c>
      <c r="J1833" s="689">
        <f t="shared" si="29"/>
        <v>1</v>
      </c>
    </row>
    <row r="1834" spans="1:10" ht="12.75" customHeight="1" x14ac:dyDescent="0.2">
      <c r="A1834" s="681" t="s">
        <v>2370</v>
      </c>
      <c r="B1834" s="693" t="s">
        <v>4402</v>
      </c>
      <c r="C1834" s="672" t="s">
        <v>828</v>
      </c>
      <c r="D1834" s="673">
        <v>36576</v>
      </c>
      <c r="E1834" s="674">
        <v>10</v>
      </c>
      <c r="F1834" s="675">
        <v>0.1</v>
      </c>
      <c r="G1834" s="676">
        <v>1070</v>
      </c>
      <c r="H1834" s="929">
        <v>0</v>
      </c>
      <c r="I1834" s="929">
        <v>1069</v>
      </c>
      <c r="J1834" s="689">
        <f t="shared" si="29"/>
        <v>1</v>
      </c>
    </row>
    <row r="1835" spans="1:10" ht="12.75" customHeight="1" x14ac:dyDescent="0.2">
      <c r="A1835" s="681" t="s">
        <v>2370</v>
      </c>
      <c r="B1835" s="693" t="s">
        <v>4403</v>
      </c>
      <c r="C1835" s="672" t="s">
        <v>828</v>
      </c>
      <c r="D1835" s="673">
        <v>36576</v>
      </c>
      <c r="E1835" s="674">
        <v>10</v>
      </c>
      <c r="F1835" s="675">
        <v>0.1</v>
      </c>
      <c r="G1835" s="676">
        <v>1070</v>
      </c>
      <c r="H1835" s="929">
        <v>0</v>
      </c>
      <c r="I1835" s="929">
        <v>1069</v>
      </c>
      <c r="J1835" s="689">
        <f t="shared" si="29"/>
        <v>1</v>
      </c>
    </row>
    <row r="1836" spans="1:10" ht="12.75" customHeight="1" x14ac:dyDescent="0.2">
      <c r="A1836" s="681" t="s">
        <v>2370</v>
      </c>
      <c r="B1836" s="693" t="s">
        <v>4404</v>
      </c>
      <c r="C1836" s="672" t="s">
        <v>828</v>
      </c>
      <c r="D1836" s="673">
        <v>36576</v>
      </c>
      <c r="E1836" s="674">
        <v>10</v>
      </c>
      <c r="F1836" s="675">
        <v>0.1</v>
      </c>
      <c r="G1836" s="676">
        <v>1070</v>
      </c>
      <c r="H1836" s="929">
        <v>0</v>
      </c>
      <c r="I1836" s="929">
        <v>1069</v>
      </c>
      <c r="J1836" s="689">
        <f t="shared" si="29"/>
        <v>1</v>
      </c>
    </row>
    <row r="1837" spans="1:10" ht="12.75" customHeight="1" x14ac:dyDescent="0.2">
      <c r="A1837" s="681" t="s">
        <v>2370</v>
      </c>
      <c r="B1837" s="693" t="s">
        <v>4405</v>
      </c>
      <c r="C1837" s="672" t="s">
        <v>828</v>
      </c>
      <c r="D1837" s="673">
        <v>36576</v>
      </c>
      <c r="E1837" s="674">
        <v>10</v>
      </c>
      <c r="F1837" s="675">
        <v>0.1</v>
      </c>
      <c r="G1837" s="676">
        <v>1070</v>
      </c>
      <c r="H1837" s="929">
        <v>0</v>
      </c>
      <c r="I1837" s="929">
        <v>1069</v>
      </c>
      <c r="J1837" s="689">
        <f t="shared" si="29"/>
        <v>1</v>
      </c>
    </row>
    <row r="1838" spans="1:10" ht="12.75" customHeight="1" x14ac:dyDescent="0.2">
      <c r="A1838" s="681" t="s">
        <v>2370</v>
      </c>
      <c r="B1838" s="693" t="s">
        <v>4406</v>
      </c>
      <c r="C1838" s="672" t="s">
        <v>828</v>
      </c>
      <c r="D1838" s="673">
        <v>36576</v>
      </c>
      <c r="E1838" s="674">
        <v>10</v>
      </c>
      <c r="F1838" s="675">
        <v>0.1</v>
      </c>
      <c r="G1838" s="676">
        <v>1070</v>
      </c>
      <c r="H1838" s="929">
        <v>0</v>
      </c>
      <c r="I1838" s="929">
        <v>1069</v>
      </c>
      <c r="J1838" s="689">
        <f t="shared" si="29"/>
        <v>1</v>
      </c>
    </row>
    <row r="1839" spans="1:10" ht="12.75" customHeight="1" x14ac:dyDescent="0.2">
      <c r="A1839" s="681" t="s">
        <v>2370</v>
      </c>
      <c r="B1839" s="693" t="s">
        <v>4407</v>
      </c>
      <c r="C1839" s="672" t="s">
        <v>828</v>
      </c>
      <c r="D1839" s="673">
        <v>36576</v>
      </c>
      <c r="E1839" s="674">
        <v>10</v>
      </c>
      <c r="F1839" s="675">
        <v>0.1</v>
      </c>
      <c r="G1839" s="676">
        <v>1070</v>
      </c>
      <c r="H1839" s="929">
        <v>0</v>
      </c>
      <c r="I1839" s="929">
        <v>1069</v>
      </c>
      <c r="J1839" s="689">
        <f t="shared" si="29"/>
        <v>1</v>
      </c>
    </row>
    <row r="1840" spans="1:10" ht="12.75" customHeight="1" x14ac:dyDescent="0.2">
      <c r="A1840" s="681" t="s">
        <v>2370</v>
      </c>
      <c r="B1840" s="693" t="s">
        <v>4408</v>
      </c>
      <c r="C1840" s="672" t="s">
        <v>829</v>
      </c>
      <c r="D1840" s="673">
        <v>36576</v>
      </c>
      <c r="E1840" s="674">
        <v>10</v>
      </c>
      <c r="F1840" s="675">
        <v>0.1</v>
      </c>
      <c r="G1840" s="676">
        <v>1070</v>
      </c>
      <c r="H1840" s="929">
        <v>0</v>
      </c>
      <c r="I1840" s="929">
        <v>1069</v>
      </c>
      <c r="J1840" s="689">
        <f t="shared" si="29"/>
        <v>1</v>
      </c>
    </row>
    <row r="1841" spans="1:10" ht="12.75" customHeight="1" x14ac:dyDescent="0.2">
      <c r="A1841" s="681" t="s">
        <v>2370</v>
      </c>
      <c r="B1841" s="693" t="s">
        <v>4409</v>
      </c>
      <c r="C1841" s="672" t="s">
        <v>828</v>
      </c>
      <c r="D1841" s="673">
        <v>36576</v>
      </c>
      <c r="E1841" s="674">
        <v>10</v>
      </c>
      <c r="F1841" s="675">
        <v>0.1</v>
      </c>
      <c r="G1841" s="676">
        <v>1070</v>
      </c>
      <c r="H1841" s="929">
        <v>0</v>
      </c>
      <c r="I1841" s="929">
        <v>1069</v>
      </c>
      <c r="J1841" s="689">
        <f t="shared" si="29"/>
        <v>1</v>
      </c>
    </row>
    <row r="1842" spans="1:10" ht="12.75" customHeight="1" x14ac:dyDescent="0.2">
      <c r="A1842" s="681" t="s">
        <v>2370</v>
      </c>
      <c r="B1842" s="693" t="s">
        <v>4410</v>
      </c>
      <c r="C1842" s="672" t="s">
        <v>828</v>
      </c>
      <c r="D1842" s="673">
        <v>36576</v>
      </c>
      <c r="E1842" s="674">
        <v>10</v>
      </c>
      <c r="F1842" s="675">
        <v>0.1</v>
      </c>
      <c r="G1842" s="676">
        <v>1070</v>
      </c>
      <c r="H1842" s="929">
        <v>0</v>
      </c>
      <c r="I1842" s="929">
        <v>1069</v>
      </c>
      <c r="J1842" s="689">
        <f t="shared" si="29"/>
        <v>1</v>
      </c>
    </row>
    <row r="1843" spans="1:10" ht="12.75" customHeight="1" x14ac:dyDescent="0.2">
      <c r="A1843" s="681" t="s">
        <v>2370</v>
      </c>
      <c r="B1843" s="693" t="s">
        <v>4411</v>
      </c>
      <c r="C1843" s="672" t="s">
        <v>828</v>
      </c>
      <c r="D1843" s="673">
        <v>36576</v>
      </c>
      <c r="E1843" s="674">
        <v>10</v>
      </c>
      <c r="F1843" s="675">
        <v>0.1</v>
      </c>
      <c r="G1843" s="676">
        <v>1070</v>
      </c>
      <c r="H1843" s="929">
        <v>0</v>
      </c>
      <c r="I1843" s="929">
        <v>1069</v>
      </c>
      <c r="J1843" s="689">
        <f t="shared" si="29"/>
        <v>1</v>
      </c>
    </row>
    <row r="1844" spans="1:10" ht="12.75" customHeight="1" x14ac:dyDescent="0.2">
      <c r="A1844" s="681" t="s">
        <v>2370</v>
      </c>
      <c r="B1844" s="693" t="s">
        <v>4412</v>
      </c>
      <c r="C1844" s="672" t="s">
        <v>828</v>
      </c>
      <c r="D1844" s="673">
        <v>36576</v>
      </c>
      <c r="E1844" s="674">
        <v>10</v>
      </c>
      <c r="F1844" s="675">
        <v>0.1</v>
      </c>
      <c r="G1844" s="676">
        <v>1070</v>
      </c>
      <c r="H1844" s="929">
        <v>0</v>
      </c>
      <c r="I1844" s="929">
        <v>1069</v>
      </c>
      <c r="J1844" s="689">
        <f t="shared" si="29"/>
        <v>1</v>
      </c>
    </row>
    <row r="1845" spans="1:10" ht="12.75" customHeight="1" x14ac:dyDescent="0.2">
      <c r="A1845" s="681" t="s">
        <v>2370</v>
      </c>
      <c r="B1845" s="693" t="s">
        <v>4413</v>
      </c>
      <c r="C1845" s="672" t="s">
        <v>828</v>
      </c>
      <c r="D1845" s="673">
        <v>36576</v>
      </c>
      <c r="E1845" s="674">
        <v>10</v>
      </c>
      <c r="F1845" s="675">
        <v>0.1</v>
      </c>
      <c r="G1845" s="676">
        <v>1070</v>
      </c>
      <c r="H1845" s="929">
        <v>0</v>
      </c>
      <c r="I1845" s="929">
        <v>1069</v>
      </c>
      <c r="J1845" s="689">
        <f t="shared" si="29"/>
        <v>1</v>
      </c>
    </row>
    <row r="1846" spans="1:10" ht="12.75" customHeight="1" x14ac:dyDescent="0.2">
      <c r="A1846" s="681" t="s">
        <v>2371</v>
      </c>
      <c r="B1846" s="693" t="s">
        <v>4414</v>
      </c>
      <c r="C1846" s="672" t="s">
        <v>972</v>
      </c>
      <c r="D1846" s="673">
        <v>40594</v>
      </c>
      <c r="E1846" s="674">
        <v>3</v>
      </c>
      <c r="F1846" s="675">
        <v>0.33</v>
      </c>
      <c r="G1846" s="676">
        <v>1070</v>
      </c>
      <c r="H1846" s="929">
        <v>0</v>
      </c>
      <c r="I1846" s="929">
        <v>1070</v>
      </c>
      <c r="J1846" s="689">
        <f t="shared" si="29"/>
        <v>0</v>
      </c>
    </row>
    <row r="1847" spans="1:10" ht="12.75" customHeight="1" x14ac:dyDescent="0.2">
      <c r="A1847" s="681" t="s">
        <v>2370</v>
      </c>
      <c r="B1847" s="693" t="s">
        <v>4415</v>
      </c>
      <c r="C1847" s="672" t="s">
        <v>787</v>
      </c>
      <c r="D1847" s="673">
        <v>37672</v>
      </c>
      <c r="E1847" s="674">
        <v>10</v>
      </c>
      <c r="F1847" s="675">
        <v>0.1</v>
      </c>
      <c r="G1847" s="676">
        <v>1075</v>
      </c>
      <c r="H1847" s="929">
        <v>0</v>
      </c>
      <c r="I1847" s="929">
        <v>1074</v>
      </c>
      <c r="J1847" s="689">
        <f t="shared" si="29"/>
        <v>1</v>
      </c>
    </row>
    <row r="1848" spans="1:10" ht="12.75" customHeight="1" x14ac:dyDescent="0.2">
      <c r="A1848" s="681" t="s">
        <v>2370</v>
      </c>
      <c r="B1848" s="693" t="s">
        <v>4416</v>
      </c>
      <c r="C1848" s="672" t="s">
        <v>787</v>
      </c>
      <c r="D1848" s="673">
        <v>36211</v>
      </c>
      <c r="E1848" s="674">
        <v>10</v>
      </c>
      <c r="F1848" s="675">
        <v>0.1</v>
      </c>
      <c r="G1848" s="676">
        <v>1075</v>
      </c>
      <c r="H1848" s="929">
        <v>0</v>
      </c>
      <c r="I1848" s="929">
        <v>1074</v>
      </c>
      <c r="J1848" s="689">
        <f t="shared" si="29"/>
        <v>1</v>
      </c>
    </row>
    <row r="1849" spans="1:10" ht="12.75" customHeight="1" x14ac:dyDescent="0.2">
      <c r="A1849" s="681" t="s">
        <v>2370</v>
      </c>
      <c r="B1849" s="693" t="s">
        <v>4417</v>
      </c>
      <c r="C1849" s="672" t="s">
        <v>787</v>
      </c>
      <c r="D1849" s="673">
        <v>36211</v>
      </c>
      <c r="E1849" s="674">
        <v>10</v>
      </c>
      <c r="F1849" s="675">
        <v>0.1</v>
      </c>
      <c r="G1849" s="676">
        <v>1075</v>
      </c>
      <c r="H1849" s="929">
        <v>0</v>
      </c>
      <c r="I1849" s="929">
        <v>1074</v>
      </c>
      <c r="J1849" s="689">
        <f t="shared" si="29"/>
        <v>1</v>
      </c>
    </row>
    <row r="1850" spans="1:10" ht="12.75" customHeight="1" x14ac:dyDescent="0.2">
      <c r="A1850" s="681" t="s">
        <v>2370</v>
      </c>
      <c r="B1850" s="693" t="s">
        <v>4418</v>
      </c>
      <c r="C1850" s="672" t="s">
        <v>787</v>
      </c>
      <c r="D1850" s="673">
        <v>36211</v>
      </c>
      <c r="E1850" s="674">
        <v>10</v>
      </c>
      <c r="F1850" s="675">
        <v>0.1</v>
      </c>
      <c r="G1850" s="676">
        <v>1075</v>
      </c>
      <c r="H1850" s="929">
        <v>0</v>
      </c>
      <c r="I1850" s="929">
        <v>1074</v>
      </c>
      <c r="J1850" s="689">
        <f t="shared" si="29"/>
        <v>1</v>
      </c>
    </row>
    <row r="1851" spans="1:10" ht="12.75" customHeight="1" x14ac:dyDescent="0.2">
      <c r="A1851" s="681" t="s">
        <v>2370</v>
      </c>
      <c r="B1851" s="693" t="s">
        <v>4419</v>
      </c>
      <c r="C1851" s="672" t="s">
        <v>785</v>
      </c>
      <c r="D1851" s="673">
        <v>35846</v>
      </c>
      <c r="E1851" s="674">
        <v>10</v>
      </c>
      <c r="F1851" s="675">
        <v>0.1</v>
      </c>
      <c r="G1851" s="676">
        <v>1075</v>
      </c>
      <c r="H1851" s="929">
        <v>0</v>
      </c>
      <c r="I1851" s="929">
        <v>1074</v>
      </c>
      <c r="J1851" s="689">
        <f t="shared" si="29"/>
        <v>1</v>
      </c>
    </row>
    <row r="1852" spans="1:10" ht="12.75" customHeight="1" x14ac:dyDescent="0.2">
      <c r="A1852" s="681" t="s">
        <v>2370</v>
      </c>
      <c r="B1852" s="693" t="s">
        <v>4420</v>
      </c>
      <c r="C1852" s="672" t="s">
        <v>785</v>
      </c>
      <c r="D1852" s="673">
        <v>35846</v>
      </c>
      <c r="E1852" s="674">
        <v>10</v>
      </c>
      <c r="F1852" s="675">
        <v>0.1</v>
      </c>
      <c r="G1852" s="676">
        <v>1075</v>
      </c>
      <c r="H1852" s="929">
        <v>0</v>
      </c>
      <c r="I1852" s="929">
        <v>1074</v>
      </c>
      <c r="J1852" s="689">
        <f t="shared" si="29"/>
        <v>1</v>
      </c>
    </row>
    <row r="1853" spans="1:10" ht="12.75" customHeight="1" x14ac:dyDescent="0.2">
      <c r="A1853" s="681" t="s">
        <v>2370</v>
      </c>
      <c r="B1853" s="693" t="s">
        <v>4421</v>
      </c>
      <c r="C1853" s="672" t="s">
        <v>785</v>
      </c>
      <c r="D1853" s="673">
        <v>35846</v>
      </c>
      <c r="E1853" s="674">
        <v>10</v>
      </c>
      <c r="F1853" s="675">
        <v>0.1</v>
      </c>
      <c r="G1853" s="676">
        <v>1075</v>
      </c>
      <c r="H1853" s="929">
        <v>0</v>
      </c>
      <c r="I1853" s="929">
        <v>1074</v>
      </c>
      <c r="J1853" s="689">
        <f t="shared" si="29"/>
        <v>1</v>
      </c>
    </row>
    <row r="1854" spans="1:10" ht="12.75" customHeight="1" x14ac:dyDescent="0.2">
      <c r="A1854" s="681" t="s">
        <v>2370</v>
      </c>
      <c r="B1854" s="693" t="s">
        <v>4422</v>
      </c>
      <c r="C1854" s="672" t="s">
        <v>785</v>
      </c>
      <c r="D1854" s="673">
        <v>35846</v>
      </c>
      <c r="E1854" s="674">
        <v>10</v>
      </c>
      <c r="F1854" s="675">
        <v>0.1</v>
      </c>
      <c r="G1854" s="676">
        <v>1075</v>
      </c>
      <c r="H1854" s="929">
        <v>0</v>
      </c>
      <c r="I1854" s="929">
        <v>1074</v>
      </c>
      <c r="J1854" s="689">
        <f t="shared" si="29"/>
        <v>1</v>
      </c>
    </row>
    <row r="1855" spans="1:10" ht="12.75" customHeight="1" x14ac:dyDescent="0.2">
      <c r="A1855" s="681" t="s">
        <v>2370</v>
      </c>
      <c r="B1855" s="693" t="s">
        <v>4423</v>
      </c>
      <c r="C1855" s="672" t="s">
        <v>785</v>
      </c>
      <c r="D1855" s="673">
        <v>35846</v>
      </c>
      <c r="E1855" s="674">
        <v>10</v>
      </c>
      <c r="F1855" s="675">
        <v>0.1</v>
      </c>
      <c r="G1855" s="676">
        <v>1075</v>
      </c>
      <c r="H1855" s="929">
        <v>0</v>
      </c>
      <c r="I1855" s="929">
        <v>1074</v>
      </c>
      <c r="J1855" s="689">
        <f t="shared" si="29"/>
        <v>1</v>
      </c>
    </row>
    <row r="1856" spans="1:10" ht="12.75" customHeight="1" x14ac:dyDescent="0.2">
      <c r="A1856" s="681" t="s">
        <v>2370</v>
      </c>
      <c r="B1856" s="693" t="s">
        <v>4424</v>
      </c>
      <c r="C1856" s="672" t="s">
        <v>785</v>
      </c>
      <c r="D1856" s="673">
        <v>35846</v>
      </c>
      <c r="E1856" s="674">
        <v>10</v>
      </c>
      <c r="F1856" s="675">
        <v>0.1</v>
      </c>
      <c r="G1856" s="676">
        <v>1075</v>
      </c>
      <c r="H1856" s="929">
        <v>0</v>
      </c>
      <c r="I1856" s="929">
        <v>1074</v>
      </c>
      <c r="J1856" s="689">
        <f t="shared" si="29"/>
        <v>1</v>
      </c>
    </row>
    <row r="1857" spans="1:10" ht="12.75" customHeight="1" x14ac:dyDescent="0.2">
      <c r="A1857" s="681" t="s">
        <v>2370</v>
      </c>
      <c r="B1857" s="693" t="s">
        <v>4425</v>
      </c>
      <c r="C1857" s="672" t="s">
        <v>785</v>
      </c>
      <c r="D1857" s="673">
        <v>35846</v>
      </c>
      <c r="E1857" s="674">
        <v>10</v>
      </c>
      <c r="F1857" s="675">
        <v>0.1</v>
      </c>
      <c r="G1857" s="676">
        <v>1075</v>
      </c>
      <c r="H1857" s="929">
        <v>0</v>
      </c>
      <c r="I1857" s="929">
        <v>1074</v>
      </c>
      <c r="J1857" s="689">
        <f t="shared" si="29"/>
        <v>1</v>
      </c>
    </row>
    <row r="1858" spans="1:10" ht="12.75" customHeight="1" x14ac:dyDescent="0.2">
      <c r="A1858" s="681" t="s">
        <v>2370</v>
      </c>
      <c r="B1858" s="693" t="s">
        <v>4426</v>
      </c>
      <c r="C1858" s="672" t="s">
        <v>854</v>
      </c>
      <c r="D1858" s="673">
        <v>36576</v>
      </c>
      <c r="E1858" s="674">
        <v>10</v>
      </c>
      <c r="F1858" s="675">
        <v>0.1</v>
      </c>
      <c r="G1858" s="676">
        <v>1075</v>
      </c>
      <c r="H1858" s="929">
        <v>0</v>
      </c>
      <c r="I1858" s="929">
        <v>1074</v>
      </c>
      <c r="J1858" s="689">
        <f t="shared" si="29"/>
        <v>1</v>
      </c>
    </row>
    <row r="1859" spans="1:10" ht="12.75" customHeight="1" x14ac:dyDescent="0.2">
      <c r="A1859" s="681" t="s">
        <v>2370</v>
      </c>
      <c r="B1859" s="693" t="s">
        <v>4427</v>
      </c>
      <c r="C1859" s="672" t="s">
        <v>791</v>
      </c>
      <c r="D1859" s="673">
        <v>37307</v>
      </c>
      <c r="E1859" s="674">
        <v>10</v>
      </c>
      <c r="F1859" s="675">
        <v>0.1</v>
      </c>
      <c r="G1859" s="676">
        <v>1092</v>
      </c>
      <c r="H1859" s="929">
        <v>0</v>
      </c>
      <c r="I1859" s="929">
        <v>1091</v>
      </c>
      <c r="J1859" s="689">
        <f t="shared" si="29"/>
        <v>1</v>
      </c>
    </row>
    <row r="1860" spans="1:10" ht="12.75" customHeight="1" x14ac:dyDescent="0.2">
      <c r="A1860" s="681" t="s">
        <v>2370</v>
      </c>
      <c r="B1860" s="693" t="s">
        <v>4428</v>
      </c>
      <c r="C1860" s="672" t="s">
        <v>791</v>
      </c>
      <c r="D1860" s="673">
        <v>36576</v>
      </c>
      <c r="E1860" s="674">
        <v>10</v>
      </c>
      <c r="F1860" s="675">
        <v>0.1</v>
      </c>
      <c r="G1860" s="676">
        <v>1092</v>
      </c>
      <c r="H1860" s="929">
        <v>0</v>
      </c>
      <c r="I1860" s="929">
        <v>1091</v>
      </c>
      <c r="J1860" s="689">
        <f t="shared" si="29"/>
        <v>1</v>
      </c>
    </row>
    <row r="1861" spans="1:10" ht="12.75" customHeight="1" x14ac:dyDescent="0.2">
      <c r="A1861" s="681" t="s">
        <v>2370</v>
      </c>
      <c r="B1861" s="693" t="s">
        <v>4429</v>
      </c>
      <c r="C1861" s="672" t="s">
        <v>791</v>
      </c>
      <c r="D1861" s="673">
        <v>37307</v>
      </c>
      <c r="E1861" s="674">
        <v>10</v>
      </c>
      <c r="F1861" s="675">
        <v>0.1</v>
      </c>
      <c r="G1861" s="676">
        <v>1092</v>
      </c>
      <c r="H1861" s="929">
        <v>0</v>
      </c>
      <c r="I1861" s="929">
        <v>1091</v>
      </c>
      <c r="J1861" s="689">
        <f t="shared" si="29"/>
        <v>1</v>
      </c>
    </row>
    <row r="1862" spans="1:10" ht="12.75" customHeight="1" x14ac:dyDescent="0.2">
      <c r="A1862" s="681" t="s">
        <v>2370</v>
      </c>
      <c r="B1862" s="693" t="s">
        <v>4430</v>
      </c>
      <c r="C1862" s="672" t="s">
        <v>791</v>
      </c>
      <c r="D1862" s="673">
        <v>37672</v>
      </c>
      <c r="E1862" s="674">
        <v>10</v>
      </c>
      <c r="F1862" s="675">
        <v>0.1</v>
      </c>
      <c r="G1862" s="676">
        <v>1092</v>
      </c>
      <c r="H1862" s="929">
        <v>0</v>
      </c>
      <c r="I1862" s="929">
        <v>1091</v>
      </c>
      <c r="J1862" s="689">
        <f t="shared" si="29"/>
        <v>1</v>
      </c>
    </row>
    <row r="1863" spans="1:10" ht="12.75" customHeight="1" x14ac:dyDescent="0.2">
      <c r="A1863" s="681" t="s">
        <v>2370</v>
      </c>
      <c r="B1863" s="693" t="s">
        <v>4431</v>
      </c>
      <c r="C1863" s="672" t="s">
        <v>791</v>
      </c>
      <c r="D1863" s="673">
        <v>37307</v>
      </c>
      <c r="E1863" s="674">
        <v>10</v>
      </c>
      <c r="F1863" s="675">
        <v>0.1</v>
      </c>
      <c r="G1863" s="676">
        <v>1092</v>
      </c>
      <c r="H1863" s="929">
        <v>0</v>
      </c>
      <c r="I1863" s="929">
        <v>1091</v>
      </c>
      <c r="J1863" s="689">
        <f t="shared" ref="J1863:J1926" si="30">G1863-I1863</f>
        <v>1</v>
      </c>
    </row>
    <row r="1864" spans="1:10" ht="12.75" customHeight="1" x14ac:dyDescent="0.2">
      <c r="A1864" s="681" t="s">
        <v>2370</v>
      </c>
      <c r="B1864" s="693" t="s">
        <v>4432</v>
      </c>
      <c r="C1864" s="672" t="s">
        <v>791</v>
      </c>
      <c r="D1864" s="673">
        <v>37307</v>
      </c>
      <c r="E1864" s="674">
        <v>10</v>
      </c>
      <c r="F1864" s="675">
        <v>0.1</v>
      </c>
      <c r="G1864" s="676">
        <v>1092</v>
      </c>
      <c r="H1864" s="929">
        <v>0</v>
      </c>
      <c r="I1864" s="929">
        <v>1091</v>
      </c>
      <c r="J1864" s="689">
        <f t="shared" si="30"/>
        <v>1</v>
      </c>
    </row>
    <row r="1865" spans="1:10" ht="12.75" customHeight="1" x14ac:dyDescent="0.2">
      <c r="A1865" s="681" t="s">
        <v>2370</v>
      </c>
      <c r="B1865" s="693" t="s">
        <v>4433</v>
      </c>
      <c r="C1865" s="672" t="s">
        <v>791</v>
      </c>
      <c r="D1865" s="673">
        <v>37307</v>
      </c>
      <c r="E1865" s="674">
        <v>10</v>
      </c>
      <c r="F1865" s="675">
        <v>0.1</v>
      </c>
      <c r="G1865" s="676">
        <v>1092</v>
      </c>
      <c r="H1865" s="929">
        <v>0</v>
      </c>
      <c r="I1865" s="929">
        <v>1091</v>
      </c>
      <c r="J1865" s="689">
        <f t="shared" si="30"/>
        <v>1</v>
      </c>
    </row>
    <row r="1866" spans="1:10" ht="12.75" customHeight="1" x14ac:dyDescent="0.2">
      <c r="A1866" s="681" t="s">
        <v>2370</v>
      </c>
      <c r="B1866" s="693" t="s">
        <v>4434</v>
      </c>
      <c r="C1866" s="672" t="s">
        <v>787</v>
      </c>
      <c r="D1866" s="673">
        <v>35481</v>
      </c>
      <c r="E1866" s="674">
        <v>10</v>
      </c>
      <c r="F1866" s="675">
        <v>0.1</v>
      </c>
      <c r="G1866" s="676">
        <v>1094</v>
      </c>
      <c r="H1866" s="929">
        <v>0</v>
      </c>
      <c r="I1866" s="929">
        <v>1093</v>
      </c>
      <c r="J1866" s="689">
        <f t="shared" si="30"/>
        <v>1</v>
      </c>
    </row>
    <row r="1867" spans="1:10" ht="12.75" customHeight="1" x14ac:dyDescent="0.2">
      <c r="A1867" s="681" t="s">
        <v>2370</v>
      </c>
      <c r="B1867" s="693" t="s">
        <v>4435</v>
      </c>
      <c r="C1867" s="672" t="s">
        <v>921</v>
      </c>
      <c r="D1867" s="673">
        <v>33289</v>
      </c>
      <c r="E1867" s="674">
        <v>10</v>
      </c>
      <c r="F1867" s="675">
        <v>0.1</v>
      </c>
      <c r="G1867" s="676">
        <v>1100</v>
      </c>
      <c r="H1867" s="929">
        <v>0</v>
      </c>
      <c r="I1867" s="929">
        <v>1099</v>
      </c>
      <c r="J1867" s="689">
        <f t="shared" si="30"/>
        <v>1</v>
      </c>
    </row>
    <row r="1868" spans="1:10" ht="12.75" customHeight="1" x14ac:dyDescent="0.2">
      <c r="A1868" s="681" t="s">
        <v>2370</v>
      </c>
      <c r="B1868" s="693" t="s">
        <v>4436</v>
      </c>
      <c r="C1868" s="672" t="s">
        <v>892</v>
      </c>
      <c r="D1868" s="673">
        <v>40594</v>
      </c>
      <c r="E1868" s="674">
        <v>3</v>
      </c>
      <c r="F1868" s="675">
        <v>0.33</v>
      </c>
      <c r="G1868" s="676">
        <v>1119</v>
      </c>
      <c r="H1868" s="929">
        <v>0</v>
      </c>
      <c r="I1868" s="929">
        <v>1118</v>
      </c>
      <c r="J1868" s="689">
        <f t="shared" si="30"/>
        <v>1</v>
      </c>
    </row>
    <row r="1869" spans="1:10" ht="12.75" customHeight="1" x14ac:dyDescent="0.2">
      <c r="A1869" s="681" t="s">
        <v>2370</v>
      </c>
      <c r="B1869" s="693" t="s">
        <v>4437</v>
      </c>
      <c r="C1869" s="672" t="s">
        <v>892</v>
      </c>
      <c r="D1869" s="673">
        <v>40594</v>
      </c>
      <c r="E1869" s="674">
        <v>3</v>
      </c>
      <c r="F1869" s="675">
        <v>0.33</v>
      </c>
      <c r="G1869" s="676">
        <v>1119</v>
      </c>
      <c r="H1869" s="929">
        <v>0</v>
      </c>
      <c r="I1869" s="929">
        <v>1118</v>
      </c>
      <c r="J1869" s="689">
        <f t="shared" si="30"/>
        <v>1</v>
      </c>
    </row>
    <row r="1870" spans="1:10" ht="12.75" customHeight="1" x14ac:dyDescent="0.2">
      <c r="A1870" s="681" t="s">
        <v>2370</v>
      </c>
      <c r="B1870" s="693" t="s">
        <v>4438</v>
      </c>
      <c r="C1870" s="672" t="s">
        <v>892</v>
      </c>
      <c r="D1870" s="673">
        <v>40594</v>
      </c>
      <c r="E1870" s="674">
        <v>3</v>
      </c>
      <c r="F1870" s="675">
        <v>0.33</v>
      </c>
      <c r="G1870" s="676">
        <v>1119</v>
      </c>
      <c r="H1870" s="929">
        <v>0</v>
      </c>
      <c r="I1870" s="929">
        <v>1118</v>
      </c>
      <c r="J1870" s="689">
        <f t="shared" si="30"/>
        <v>1</v>
      </c>
    </row>
    <row r="1871" spans="1:10" ht="12.75" customHeight="1" x14ac:dyDescent="0.2">
      <c r="A1871" s="681" t="s">
        <v>2370</v>
      </c>
      <c r="B1871" s="693" t="s">
        <v>4439</v>
      </c>
      <c r="C1871" s="672" t="s">
        <v>892</v>
      </c>
      <c r="D1871" s="673">
        <v>40594</v>
      </c>
      <c r="E1871" s="674">
        <v>3</v>
      </c>
      <c r="F1871" s="675">
        <v>0.33</v>
      </c>
      <c r="G1871" s="676">
        <v>1119</v>
      </c>
      <c r="H1871" s="929">
        <v>0</v>
      </c>
      <c r="I1871" s="929">
        <v>1118</v>
      </c>
      <c r="J1871" s="689">
        <f t="shared" si="30"/>
        <v>1</v>
      </c>
    </row>
    <row r="1872" spans="1:10" ht="12.75" customHeight="1" x14ac:dyDescent="0.2">
      <c r="A1872" s="681" t="s">
        <v>2370</v>
      </c>
      <c r="B1872" s="693" t="s">
        <v>4440</v>
      </c>
      <c r="C1872" s="672" t="s">
        <v>892</v>
      </c>
      <c r="D1872" s="673">
        <v>40594</v>
      </c>
      <c r="E1872" s="674">
        <v>3</v>
      </c>
      <c r="F1872" s="675">
        <v>0.33</v>
      </c>
      <c r="G1872" s="676">
        <v>1119</v>
      </c>
      <c r="H1872" s="929">
        <v>0</v>
      </c>
      <c r="I1872" s="929">
        <v>1118</v>
      </c>
      <c r="J1872" s="689">
        <f t="shared" si="30"/>
        <v>1</v>
      </c>
    </row>
    <row r="1873" spans="1:10" ht="12.75" customHeight="1" x14ac:dyDescent="0.2">
      <c r="A1873" s="681" t="s">
        <v>2370</v>
      </c>
      <c r="B1873" s="693" t="s">
        <v>4441</v>
      </c>
      <c r="C1873" s="672" t="s">
        <v>892</v>
      </c>
      <c r="D1873" s="673">
        <v>40594</v>
      </c>
      <c r="E1873" s="674">
        <v>3</v>
      </c>
      <c r="F1873" s="675">
        <v>0.33</v>
      </c>
      <c r="G1873" s="676">
        <v>1119</v>
      </c>
      <c r="H1873" s="929">
        <v>0</v>
      </c>
      <c r="I1873" s="929">
        <v>1118</v>
      </c>
      <c r="J1873" s="689">
        <f t="shared" si="30"/>
        <v>1</v>
      </c>
    </row>
    <row r="1874" spans="1:10" ht="12.75" customHeight="1" x14ac:dyDescent="0.2">
      <c r="A1874" s="681" t="s">
        <v>2370</v>
      </c>
      <c r="B1874" s="693" t="s">
        <v>4442</v>
      </c>
      <c r="C1874" s="672" t="s">
        <v>892</v>
      </c>
      <c r="D1874" s="673">
        <v>40594</v>
      </c>
      <c r="E1874" s="674">
        <v>3</v>
      </c>
      <c r="F1874" s="675">
        <v>0.33</v>
      </c>
      <c r="G1874" s="676">
        <v>1119</v>
      </c>
      <c r="H1874" s="929">
        <v>0</v>
      </c>
      <c r="I1874" s="929">
        <v>1118</v>
      </c>
      <c r="J1874" s="689">
        <f t="shared" si="30"/>
        <v>1</v>
      </c>
    </row>
    <row r="1875" spans="1:10" ht="12.75" customHeight="1" x14ac:dyDescent="0.2">
      <c r="A1875" s="681" t="s">
        <v>2370</v>
      </c>
      <c r="B1875" s="693" t="s">
        <v>4443</v>
      </c>
      <c r="C1875" s="672" t="s">
        <v>892</v>
      </c>
      <c r="D1875" s="673">
        <v>40594</v>
      </c>
      <c r="E1875" s="674">
        <v>3</v>
      </c>
      <c r="F1875" s="675">
        <v>0.33</v>
      </c>
      <c r="G1875" s="676">
        <v>1119</v>
      </c>
      <c r="H1875" s="929">
        <v>0</v>
      </c>
      <c r="I1875" s="929">
        <v>1118</v>
      </c>
      <c r="J1875" s="689">
        <f t="shared" si="30"/>
        <v>1</v>
      </c>
    </row>
    <row r="1876" spans="1:10" ht="12.75" customHeight="1" x14ac:dyDescent="0.2">
      <c r="A1876" s="681" t="s">
        <v>2370</v>
      </c>
      <c r="B1876" s="693" t="s">
        <v>4444</v>
      </c>
      <c r="C1876" s="672" t="s">
        <v>892</v>
      </c>
      <c r="D1876" s="673">
        <v>39498</v>
      </c>
      <c r="E1876" s="674">
        <v>3</v>
      </c>
      <c r="F1876" s="675">
        <v>0.33</v>
      </c>
      <c r="G1876" s="676">
        <v>1119</v>
      </c>
      <c r="H1876" s="929">
        <v>0</v>
      </c>
      <c r="I1876" s="929">
        <v>1118</v>
      </c>
      <c r="J1876" s="689">
        <f t="shared" si="30"/>
        <v>1</v>
      </c>
    </row>
    <row r="1877" spans="1:10" ht="12.75" customHeight="1" x14ac:dyDescent="0.2">
      <c r="A1877" s="681" t="s">
        <v>2370</v>
      </c>
      <c r="B1877" s="693" t="s">
        <v>4445</v>
      </c>
      <c r="C1877" s="672" t="s">
        <v>892</v>
      </c>
      <c r="D1877" s="673">
        <v>40594</v>
      </c>
      <c r="E1877" s="674">
        <v>3</v>
      </c>
      <c r="F1877" s="675">
        <v>0.33</v>
      </c>
      <c r="G1877" s="676">
        <v>1119</v>
      </c>
      <c r="H1877" s="929">
        <v>0</v>
      </c>
      <c r="I1877" s="929">
        <v>1118</v>
      </c>
      <c r="J1877" s="689">
        <f t="shared" si="30"/>
        <v>1</v>
      </c>
    </row>
    <row r="1878" spans="1:10" ht="12.75" customHeight="1" x14ac:dyDescent="0.2">
      <c r="A1878" s="681" t="s">
        <v>2370</v>
      </c>
      <c r="B1878" s="693" t="s">
        <v>4446</v>
      </c>
      <c r="C1878" s="672" t="s">
        <v>892</v>
      </c>
      <c r="D1878" s="673">
        <v>40594</v>
      </c>
      <c r="E1878" s="674">
        <v>3</v>
      </c>
      <c r="F1878" s="675">
        <v>0.33</v>
      </c>
      <c r="G1878" s="676">
        <v>1119</v>
      </c>
      <c r="H1878" s="929">
        <v>0</v>
      </c>
      <c r="I1878" s="929">
        <v>1118</v>
      </c>
      <c r="J1878" s="689">
        <f t="shared" si="30"/>
        <v>1</v>
      </c>
    </row>
    <row r="1879" spans="1:10" ht="12.75" customHeight="1" x14ac:dyDescent="0.2">
      <c r="A1879" s="681" t="s">
        <v>2370</v>
      </c>
      <c r="B1879" s="693" t="s">
        <v>4447</v>
      </c>
      <c r="C1879" s="672" t="s">
        <v>892</v>
      </c>
      <c r="D1879" s="673">
        <v>40594</v>
      </c>
      <c r="E1879" s="674">
        <v>3</v>
      </c>
      <c r="F1879" s="675">
        <v>0.33</v>
      </c>
      <c r="G1879" s="676">
        <v>1119</v>
      </c>
      <c r="H1879" s="929">
        <v>0</v>
      </c>
      <c r="I1879" s="929">
        <v>1118</v>
      </c>
      <c r="J1879" s="689">
        <f t="shared" si="30"/>
        <v>1</v>
      </c>
    </row>
    <row r="1880" spans="1:10" ht="12.75" customHeight="1" x14ac:dyDescent="0.2">
      <c r="A1880" s="681" t="s">
        <v>2370</v>
      </c>
      <c r="B1880" s="693" t="s">
        <v>4448</v>
      </c>
      <c r="C1880" s="672" t="s">
        <v>892</v>
      </c>
      <c r="D1880" s="673">
        <v>40594</v>
      </c>
      <c r="E1880" s="674">
        <v>3</v>
      </c>
      <c r="F1880" s="675">
        <v>0.33</v>
      </c>
      <c r="G1880" s="676">
        <v>1119</v>
      </c>
      <c r="H1880" s="929">
        <v>0</v>
      </c>
      <c r="I1880" s="929">
        <v>1118</v>
      </c>
      <c r="J1880" s="689">
        <f t="shared" si="30"/>
        <v>1</v>
      </c>
    </row>
    <row r="1881" spans="1:10" ht="12.75" customHeight="1" x14ac:dyDescent="0.2">
      <c r="A1881" s="681" t="s">
        <v>2370</v>
      </c>
      <c r="B1881" s="693" t="s">
        <v>4449</v>
      </c>
      <c r="C1881" s="672" t="s">
        <v>787</v>
      </c>
      <c r="D1881" s="673">
        <v>36211</v>
      </c>
      <c r="E1881" s="674">
        <v>10</v>
      </c>
      <c r="F1881" s="675">
        <v>0.1</v>
      </c>
      <c r="G1881" s="676">
        <v>1127</v>
      </c>
      <c r="H1881" s="929">
        <v>0</v>
      </c>
      <c r="I1881" s="929">
        <v>1126</v>
      </c>
      <c r="J1881" s="689">
        <f t="shared" si="30"/>
        <v>1</v>
      </c>
    </row>
    <row r="1882" spans="1:10" ht="12.75" customHeight="1" x14ac:dyDescent="0.2">
      <c r="A1882" s="681" t="s">
        <v>2370</v>
      </c>
      <c r="B1882" s="693" t="s">
        <v>4450</v>
      </c>
      <c r="C1882" s="672" t="s">
        <v>787</v>
      </c>
      <c r="D1882" s="673">
        <v>37307</v>
      </c>
      <c r="E1882" s="674">
        <v>10</v>
      </c>
      <c r="F1882" s="675">
        <v>0.1</v>
      </c>
      <c r="G1882" s="676">
        <v>1127</v>
      </c>
      <c r="H1882" s="929">
        <v>0</v>
      </c>
      <c r="I1882" s="929">
        <v>1126</v>
      </c>
      <c r="J1882" s="689">
        <f t="shared" si="30"/>
        <v>1</v>
      </c>
    </row>
    <row r="1883" spans="1:10" ht="12.75" customHeight="1" x14ac:dyDescent="0.2">
      <c r="A1883" s="681" t="s">
        <v>2370</v>
      </c>
      <c r="B1883" s="693" t="s">
        <v>4451</v>
      </c>
      <c r="C1883" s="672" t="s">
        <v>787</v>
      </c>
      <c r="D1883" s="673">
        <v>37307</v>
      </c>
      <c r="E1883" s="674">
        <v>10</v>
      </c>
      <c r="F1883" s="675">
        <v>0.1</v>
      </c>
      <c r="G1883" s="676">
        <v>1127</v>
      </c>
      <c r="H1883" s="929">
        <v>0</v>
      </c>
      <c r="I1883" s="929">
        <v>1126</v>
      </c>
      <c r="J1883" s="689">
        <f t="shared" si="30"/>
        <v>1</v>
      </c>
    </row>
    <row r="1884" spans="1:10" ht="12.75" customHeight="1" x14ac:dyDescent="0.2">
      <c r="A1884" s="681" t="s">
        <v>2370</v>
      </c>
      <c r="B1884" s="693" t="s">
        <v>4452</v>
      </c>
      <c r="C1884" s="672" t="s">
        <v>791</v>
      </c>
      <c r="D1884" s="673">
        <v>37672</v>
      </c>
      <c r="E1884" s="674">
        <v>10</v>
      </c>
      <c r="F1884" s="675">
        <v>0.1</v>
      </c>
      <c r="G1884" s="676">
        <v>1127</v>
      </c>
      <c r="H1884" s="929">
        <v>0</v>
      </c>
      <c r="I1884" s="929">
        <v>1126</v>
      </c>
      <c r="J1884" s="689">
        <f t="shared" si="30"/>
        <v>1</v>
      </c>
    </row>
    <row r="1885" spans="1:10" ht="12.75" customHeight="1" x14ac:dyDescent="0.2">
      <c r="A1885" s="681" t="s">
        <v>2372</v>
      </c>
      <c r="B1885" s="693" t="s">
        <v>4453</v>
      </c>
      <c r="C1885" s="672" t="s">
        <v>895</v>
      </c>
      <c r="D1885" s="673">
        <v>39498</v>
      </c>
      <c r="E1885" s="674">
        <v>3</v>
      </c>
      <c r="F1885" s="675">
        <v>0.33</v>
      </c>
      <c r="G1885" s="676">
        <v>1127</v>
      </c>
      <c r="H1885" s="929">
        <v>0</v>
      </c>
      <c r="I1885" s="929">
        <v>1126</v>
      </c>
      <c r="J1885" s="689">
        <f t="shared" si="30"/>
        <v>1</v>
      </c>
    </row>
    <row r="1886" spans="1:10" ht="12.75" customHeight="1" x14ac:dyDescent="0.2">
      <c r="A1886" s="681" t="s">
        <v>2370</v>
      </c>
      <c r="B1886" s="693" t="s">
        <v>4454</v>
      </c>
      <c r="C1886" s="672" t="s">
        <v>892</v>
      </c>
      <c r="D1886" s="673">
        <v>40594</v>
      </c>
      <c r="E1886" s="674">
        <v>3</v>
      </c>
      <c r="F1886" s="675">
        <v>0.33</v>
      </c>
      <c r="G1886" s="676">
        <v>1128</v>
      </c>
      <c r="H1886" s="929">
        <v>0</v>
      </c>
      <c r="I1886" s="929">
        <v>1127</v>
      </c>
      <c r="J1886" s="689">
        <f t="shared" si="30"/>
        <v>1</v>
      </c>
    </row>
    <row r="1887" spans="1:10" ht="12.75" customHeight="1" x14ac:dyDescent="0.2">
      <c r="A1887" s="681" t="s">
        <v>2370</v>
      </c>
      <c r="B1887" s="693" t="s">
        <v>4455</v>
      </c>
      <c r="C1887" s="672" t="s">
        <v>785</v>
      </c>
      <c r="D1887" s="673">
        <v>36576</v>
      </c>
      <c r="E1887" s="674">
        <v>10</v>
      </c>
      <c r="F1887" s="675">
        <v>0.1</v>
      </c>
      <c r="G1887" s="676">
        <v>1138</v>
      </c>
      <c r="H1887" s="929">
        <v>0</v>
      </c>
      <c r="I1887" s="929">
        <v>1137</v>
      </c>
      <c r="J1887" s="689">
        <f t="shared" si="30"/>
        <v>1</v>
      </c>
    </row>
    <row r="1888" spans="1:10" ht="12.75" customHeight="1" x14ac:dyDescent="0.2">
      <c r="A1888" s="681" t="s">
        <v>2370</v>
      </c>
      <c r="B1888" s="693" t="s">
        <v>4456</v>
      </c>
      <c r="C1888" s="672" t="s">
        <v>826</v>
      </c>
      <c r="D1888" s="673">
        <v>33289</v>
      </c>
      <c r="E1888" s="674">
        <v>10</v>
      </c>
      <c r="F1888" s="675">
        <v>0.1</v>
      </c>
      <c r="G1888" s="676">
        <v>1141</v>
      </c>
      <c r="H1888" s="929">
        <v>0</v>
      </c>
      <c r="I1888" s="929">
        <v>1140</v>
      </c>
      <c r="J1888" s="689">
        <f t="shared" si="30"/>
        <v>1</v>
      </c>
    </row>
    <row r="1889" spans="1:10" ht="12.75" customHeight="1" x14ac:dyDescent="0.2">
      <c r="A1889" s="681" t="s">
        <v>2370</v>
      </c>
      <c r="B1889" s="693" t="s">
        <v>4457</v>
      </c>
      <c r="C1889" s="672" t="s">
        <v>826</v>
      </c>
      <c r="D1889" s="673">
        <v>33289</v>
      </c>
      <c r="E1889" s="674">
        <v>10</v>
      </c>
      <c r="F1889" s="675">
        <v>0.1</v>
      </c>
      <c r="G1889" s="676">
        <v>1141</v>
      </c>
      <c r="H1889" s="929">
        <v>0</v>
      </c>
      <c r="I1889" s="929">
        <v>1140</v>
      </c>
      <c r="J1889" s="689">
        <f t="shared" si="30"/>
        <v>1</v>
      </c>
    </row>
    <row r="1890" spans="1:10" ht="12.75" customHeight="1" x14ac:dyDescent="0.2">
      <c r="A1890" s="681" t="s">
        <v>2372</v>
      </c>
      <c r="B1890" s="693" t="s">
        <v>4458</v>
      </c>
      <c r="C1890" s="672" t="s">
        <v>895</v>
      </c>
      <c r="D1890" s="673">
        <v>39498</v>
      </c>
      <c r="E1890" s="674">
        <v>3</v>
      </c>
      <c r="F1890" s="675">
        <v>0.33</v>
      </c>
      <c r="G1890" s="676">
        <v>1148</v>
      </c>
      <c r="H1890" s="929">
        <v>0</v>
      </c>
      <c r="I1890" s="929">
        <v>1147</v>
      </c>
      <c r="J1890" s="689">
        <f t="shared" si="30"/>
        <v>1</v>
      </c>
    </row>
    <row r="1891" spans="1:10" ht="12.75" customHeight="1" x14ac:dyDescent="0.2">
      <c r="A1891" s="681" t="s">
        <v>2372</v>
      </c>
      <c r="B1891" s="693" t="s">
        <v>4459</v>
      </c>
      <c r="C1891" s="672" t="s">
        <v>895</v>
      </c>
      <c r="D1891" s="673">
        <v>40594</v>
      </c>
      <c r="E1891" s="674">
        <v>3</v>
      </c>
      <c r="F1891" s="675">
        <v>0.33</v>
      </c>
      <c r="G1891" s="676">
        <v>1148</v>
      </c>
      <c r="H1891" s="929">
        <v>0</v>
      </c>
      <c r="I1891" s="929">
        <v>1147</v>
      </c>
      <c r="J1891" s="689">
        <f t="shared" si="30"/>
        <v>1</v>
      </c>
    </row>
    <row r="1892" spans="1:10" ht="12.75" customHeight="1" x14ac:dyDescent="0.2">
      <c r="A1892" s="681" t="s">
        <v>2370</v>
      </c>
      <c r="B1892" s="693" t="s">
        <v>4460</v>
      </c>
      <c r="C1892" s="672" t="s">
        <v>786</v>
      </c>
      <c r="D1892" s="673">
        <v>36211</v>
      </c>
      <c r="E1892" s="674">
        <v>10</v>
      </c>
      <c r="F1892" s="675">
        <v>0.1</v>
      </c>
      <c r="G1892" s="676">
        <v>1150</v>
      </c>
      <c r="H1892" s="929">
        <v>0</v>
      </c>
      <c r="I1892" s="929">
        <v>1149</v>
      </c>
      <c r="J1892" s="689">
        <f t="shared" si="30"/>
        <v>1</v>
      </c>
    </row>
    <row r="1893" spans="1:10" ht="12.75" customHeight="1" x14ac:dyDescent="0.2">
      <c r="A1893" s="681" t="s">
        <v>2370</v>
      </c>
      <c r="B1893" s="693" t="s">
        <v>4461</v>
      </c>
      <c r="C1893" s="672" t="s">
        <v>790</v>
      </c>
      <c r="D1893" s="673">
        <v>36576</v>
      </c>
      <c r="E1893" s="674">
        <v>10</v>
      </c>
      <c r="F1893" s="675">
        <v>0.1</v>
      </c>
      <c r="G1893" s="676">
        <v>1150</v>
      </c>
      <c r="H1893" s="929">
        <v>0</v>
      </c>
      <c r="I1893" s="929">
        <v>1149</v>
      </c>
      <c r="J1893" s="689">
        <f t="shared" si="30"/>
        <v>1</v>
      </c>
    </row>
    <row r="1894" spans="1:10" ht="12.75" customHeight="1" x14ac:dyDescent="0.2">
      <c r="A1894" s="681" t="s">
        <v>2370</v>
      </c>
      <c r="B1894" s="693" t="s">
        <v>4462</v>
      </c>
      <c r="C1894" s="672" t="s">
        <v>791</v>
      </c>
      <c r="D1894" s="673">
        <v>37672</v>
      </c>
      <c r="E1894" s="674">
        <v>10</v>
      </c>
      <c r="F1894" s="675">
        <v>0.1</v>
      </c>
      <c r="G1894" s="676">
        <v>1150</v>
      </c>
      <c r="H1894" s="929">
        <v>0</v>
      </c>
      <c r="I1894" s="929">
        <v>1149</v>
      </c>
      <c r="J1894" s="689">
        <f t="shared" si="30"/>
        <v>1</v>
      </c>
    </row>
    <row r="1895" spans="1:10" ht="12.75" customHeight="1" x14ac:dyDescent="0.2">
      <c r="A1895" s="681" t="s">
        <v>2372</v>
      </c>
      <c r="B1895" s="693" t="s">
        <v>4463</v>
      </c>
      <c r="C1895" s="672" t="s">
        <v>1015</v>
      </c>
      <c r="D1895" s="673">
        <v>36576</v>
      </c>
      <c r="E1895" s="674">
        <v>3</v>
      </c>
      <c r="F1895" s="675">
        <v>0.33</v>
      </c>
      <c r="G1895" s="676">
        <v>1150</v>
      </c>
      <c r="H1895" s="929">
        <v>0</v>
      </c>
      <c r="I1895" s="929">
        <v>1149</v>
      </c>
      <c r="J1895" s="689">
        <f t="shared" si="30"/>
        <v>1</v>
      </c>
    </row>
    <row r="1896" spans="1:10" ht="12.75" customHeight="1" x14ac:dyDescent="0.2">
      <c r="A1896" s="681" t="s">
        <v>2370</v>
      </c>
      <c r="B1896" s="693" t="s">
        <v>4464</v>
      </c>
      <c r="C1896" s="672" t="s">
        <v>892</v>
      </c>
      <c r="D1896" s="673">
        <v>40594</v>
      </c>
      <c r="E1896" s="674">
        <v>3</v>
      </c>
      <c r="F1896" s="675">
        <v>0.33</v>
      </c>
      <c r="G1896" s="676">
        <v>1151</v>
      </c>
      <c r="H1896" s="929">
        <v>0</v>
      </c>
      <c r="I1896" s="929">
        <v>1150</v>
      </c>
      <c r="J1896" s="689">
        <f t="shared" si="30"/>
        <v>1</v>
      </c>
    </row>
    <row r="1897" spans="1:10" ht="12.75" customHeight="1" x14ac:dyDescent="0.2">
      <c r="A1897" s="681" t="s">
        <v>2370</v>
      </c>
      <c r="B1897" s="693" t="s">
        <v>4465</v>
      </c>
      <c r="C1897" s="672" t="s">
        <v>892</v>
      </c>
      <c r="D1897" s="673">
        <v>40594</v>
      </c>
      <c r="E1897" s="674">
        <v>3</v>
      </c>
      <c r="F1897" s="675">
        <v>0.33</v>
      </c>
      <c r="G1897" s="676">
        <v>1164</v>
      </c>
      <c r="H1897" s="929">
        <v>0</v>
      </c>
      <c r="I1897" s="929">
        <v>1163</v>
      </c>
      <c r="J1897" s="689">
        <f t="shared" si="30"/>
        <v>1</v>
      </c>
    </row>
    <row r="1898" spans="1:10" ht="12.75" customHeight="1" x14ac:dyDescent="0.2">
      <c r="A1898" s="681" t="s">
        <v>2370</v>
      </c>
      <c r="B1898" s="693" t="s">
        <v>4466</v>
      </c>
      <c r="C1898" s="672" t="s">
        <v>790</v>
      </c>
      <c r="D1898" s="673">
        <v>37307</v>
      </c>
      <c r="E1898" s="674">
        <v>10</v>
      </c>
      <c r="F1898" s="675">
        <v>0.1</v>
      </c>
      <c r="G1898" s="676">
        <v>1178</v>
      </c>
      <c r="H1898" s="929">
        <v>0</v>
      </c>
      <c r="I1898" s="929">
        <v>1177</v>
      </c>
      <c r="J1898" s="689">
        <f t="shared" si="30"/>
        <v>1</v>
      </c>
    </row>
    <row r="1899" spans="1:10" ht="12.75" customHeight="1" x14ac:dyDescent="0.2">
      <c r="A1899" s="681" t="s">
        <v>2370</v>
      </c>
      <c r="B1899" s="693" t="s">
        <v>4467</v>
      </c>
      <c r="C1899" s="672" t="s">
        <v>787</v>
      </c>
      <c r="D1899" s="673">
        <v>37672</v>
      </c>
      <c r="E1899" s="674">
        <v>10</v>
      </c>
      <c r="F1899" s="675">
        <v>0.1</v>
      </c>
      <c r="G1899" s="676">
        <v>1184</v>
      </c>
      <c r="H1899" s="929">
        <v>0</v>
      </c>
      <c r="I1899" s="929">
        <v>1183</v>
      </c>
      <c r="J1899" s="689">
        <f t="shared" si="30"/>
        <v>1</v>
      </c>
    </row>
    <row r="1900" spans="1:10" ht="12.75" customHeight="1" x14ac:dyDescent="0.2">
      <c r="A1900" s="681" t="s">
        <v>2370</v>
      </c>
      <c r="B1900" s="693" t="s">
        <v>4468</v>
      </c>
      <c r="C1900" s="672" t="s">
        <v>787</v>
      </c>
      <c r="D1900" s="673">
        <v>37307</v>
      </c>
      <c r="E1900" s="674">
        <v>10</v>
      </c>
      <c r="F1900" s="675">
        <v>0.1</v>
      </c>
      <c r="G1900" s="676">
        <v>1184</v>
      </c>
      <c r="H1900" s="929">
        <v>0</v>
      </c>
      <c r="I1900" s="929">
        <v>1183</v>
      </c>
      <c r="J1900" s="689">
        <f t="shared" si="30"/>
        <v>1</v>
      </c>
    </row>
    <row r="1901" spans="1:10" ht="12.75" customHeight="1" x14ac:dyDescent="0.2">
      <c r="A1901" s="681" t="s">
        <v>2370</v>
      </c>
      <c r="B1901" s="693" t="s">
        <v>4469</v>
      </c>
      <c r="C1901" s="672" t="s">
        <v>889</v>
      </c>
      <c r="D1901" s="673">
        <v>40594</v>
      </c>
      <c r="E1901" s="674">
        <v>3</v>
      </c>
      <c r="F1901" s="675">
        <v>0.33</v>
      </c>
      <c r="G1901" s="676">
        <v>1195.96</v>
      </c>
      <c r="H1901" s="929">
        <v>0</v>
      </c>
      <c r="I1901" s="929">
        <v>1194.96</v>
      </c>
      <c r="J1901" s="689">
        <f t="shared" si="30"/>
        <v>1</v>
      </c>
    </row>
    <row r="1902" spans="1:10" ht="12.75" customHeight="1" x14ac:dyDescent="0.2">
      <c r="A1902" s="681" t="s">
        <v>2370</v>
      </c>
      <c r="B1902" s="693" t="s">
        <v>4470</v>
      </c>
      <c r="C1902" s="672" t="s">
        <v>889</v>
      </c>
      <c r="D1902" s="673">
        <v>40594</v>
      </c>
      <c r="E1902" s="674">
        <v>3</v>
      </c>
      <c r="F1902" s="675">
        <v>0.33</v>
      </c>
      <c r="G1902" s="676">
        <v>1195.96</v>
      </c>
      <c r="H1902" s="929">
        <v>0</v>
      </c>
      <c r="I1902" s="929">
        <v>1194.96</v>
      </c>
      <c r="J1902" s="689">
        <f t="shared" si="30"/>
        <v>1</v>
      </c>
    </row>
    <row r="1903" spans="1:10" ht="12.75" customHeight="1" x14ac:dyDescent="0.2">
      <c r="A1903" s="681" t="s">
        <v>2370</v>
      </c>
      <c r="B1903" s="693" t="s">
        <v>4471</v>
      </c>
      <c r="C1903" s="672" t="s">
        <v>889</v>
      </c>
      <c r="D1903" s="673">
        <v>40594</v>
      </c>
      <c r="E1903" s="674">
        <v>3</v>
      </c>
      <c r="F1903" s="675">
        <v>0.33</v>
      </c>
      <c r="G1903" s="676">
        <v>1195.96</v>
      </c>
      <c r="H1903" s="929">
        <v>0</v>
      </c>
      <c r="I1903" s="929">
        <v>1194.96</v>
      </c>
      <c r="J1903" s="689">
        <f t="shared" si="30"/>
        <v>1</v>
      </c>
    </row>
    <row r="1904" spans="1:10" ht="12.75" customHeight="1" x14ac:dyDescent="0.2">
      <c r="A1904" s="681" t="s">
        <v>2370</v>
      </c>
      <c r="B1904" s="693" t="s">
        <v>4472</v>
      </c>
      <c r="C1904" s="672" t="s">
        <v>790</v>
      </c>
      <c r="D1904" s="673">
        <v>36576</v>
      </c>
      <c r="E1904" s="674">
        <v>10</v>
      </c>
      <c r="F1904" s="675">
        <v>0.1</v>
      </c>
      <c r="G1904" s="676">
        <v>1196</v>
      </c>
      <c r="H1904" s="929">
        <v>0</v>
      </c>
      <c r="I1904" s="929">
        <v>1195</v>
      </c>
      <c r="J1904" s="689">
        <f t="shared" si="30"/>
        <v>1</v>
      </c>
    </row>
    <row r="1905" spans="1:10" ht="12.75" customHeight="1" x14ac:dyDescent="0.2">
      <c r="A1905" s="681" t="s">
        <v>2370</v>
      </c>
      <c r="B1905" s="693" t="s">
        <v>4473</v>
      </c>
      <c r="C1905" s="672" t="s">
        <v>806</v>
      </c>
      <c r="D1905" s="673">
        <v>38037</v>
      </c>
      <c r="E1905" s="674">
        <v>10</v>
      </c>
      <c r="F1905" s="675">
        <v>0.1</v>
      </c>
      <c r="G1905" s="676">
        <v>1200</v>
      </c>
      <c r="H1905" s="929">
        <v>0</v>
      </c>
      <c r="I1905" s="929">
        <v>1199</v>
      </c>
      <c r="J1905" s="689">
        <f t="shared" si="30"/>
        <v>1</v>
      </c>
    </row>
    <row r="1906" spans="1:10" ht="12.75" customHeight="1" x14ac:dyDescent="0.2">
      <c r="A1906" s="681" t="s">
        <v>2370</v>
      </c>
      <c r="B1906" s="693" t="s">
        <v>4474</v>
      </c>
      <c r="C1906" s="672" t="s">
        <v>785</v>
      </c>
      <c r="D1906" s="673">
        <v>36576</v>
      </c>
      <c r="E1906" s="674">
        <v>10</v>
      </c>
      <c r="F1906" s="675">
        <v>0.1</v>
      </c>
      <c r="G1906" s="676">
        <v>1202</v>
      </c>
      <c r="H1906" s="929">
        <v>0</v>
      </c>
      <c r="I1906" s="929">
        <v>1201</v>
      </c>
      <c r="J1906" s="689">
        <f t="shared" si="30"/>
        <v>1</v>
      </c>
    </row>
    <row r="1907" spans="1:10" ht="12.75" customHeight="1" x14ac:dyDescent="0.2">
      <c r="A1907" s="681" t="s">
        <v>2370</v>
      </c>
      <c r="B1907" s="693" t="s">
        <v>4475</v>
      </c>
      <c r="C1907" s="672" t="s">
        <v>785</v>
      </c>
      <c r="D1907" s="673">
        <v>36576</v>
      </c>
      <c r="E1907" s="674">
        <v>10</v>
      </c>
      <c r="F1907" s="675">
        <v>0.1</v>
      </c>
      <c r="G1907" s="676">
        <v>1202</v>
      </c>
      <c r="H1907" s="929">
        <v>0</v>
      </c>
      <c r="I1907" s="929">
        <v>1201</v>
      </c>
      <c r="J1907" s="689">
        <f t="shared" si="30"/>
        <v>1</v>
      </c>
    </row>
    <row r="1908" spans="1:10" ht="12.75" customHeight="1" x14ac:dyDescent="0.2">
      <c r="A1908" s="681" t="s">
        <v>2370</v>
      </c>
      <c r="B1908" s="693" t="s">
        <v>4476</v>
      </c>
      <c r="C1908" s="672" t="s">
        <v>785</v>
      </c>
      <c r="D1908" s="673">
        <v>36576</v>
      </c>
      <c r="E1908" s="674">
        <v>10</v>
      </c>
      <c r="F1908" s="675">
        <v>0.1</v>
      </c>
      <c r="G1908" s="676">
        <v>1202</v>
      </c>
      <c r="H1908" s="929">
        <v>0</v>
      </c>
      <c r="I1908" s="929">
        <v>1201</v>
      </c>
      <c r="J1908" s="689">
        <f t="shared" si="30"/>
        <v>1</v>
      </c>
    </row>
    <row r="1909" spans="1:10" ht="12.75" customHeight="1" x14ac:dyDescent="0.2">
      <c r="A1909" s="681" t="s">
        <v>2370</v>
      </c>
      <c r="B1909" s="693" t="s">
        <v>4477</v>
      </c>
      <c r="C1909" s="672" t="s">
        <v>785</v>
      </c>
      <c r="D1909" s="673">
        <v>36576</v>
      </c>
      <c r="E1909" s="674">
        <v>10</v>
      </c>
      <c r="F1909" s="675">
        <v>0.1</v>
      </c>
      <c r="G1909" s="676">
        <v>1202</v>
      </c>
      <c r="H1909" s="929">
        <v>0</v>
      </c>
      <c r="I1909" s="929">
        <v>1201</v>
      </c>
      <c r="J1909" s="689">
        <f t="shared" si="30"/>
        <v>1</v>
      </c>
    </row>
    <row r="1910" spans="1:10" ht="12.75" customHeight="1" x14ac:dyDescent="0.2">
      <c r="A1910" s="681" t="s">
        <v>2370</v>
      </c>
      <c r="B1910" s="693" t="s">
        <v>4478</v>
      </c>
      <c r="C1910" s="672" t="s">
        <v>785</v>
      </c>
      <c r="D1910" s="673">
        <v>36576</v>
      </c>
      <c r="E1910" s="674">
        <v>10</v>
      </c>
      <c r="F1910" s="675">
        <v>0.1</v>
      </c>
      <c r="G1910" s="676">
        <v>1202</v>
      </c>
      <c r="H1910" s="929">
        <v>0</v>
      </c>
      <c r="I1910" s="929">
        <v>1201</v>
      </c>
      <c r="J1910" s="689">
        <f t="shared" si="30"/>
        <v>1</v>
      </c>
    </row>
    <row r="1911" spans="1:10" ht="12.75" customHeight="1" x14ac:dyDescent="0.2">
      <c r="A1911" s="681" t="s">
        <v>2370</v>
      </c>
      <c r="B1911" s="693" t="s">
        <v>4479</v>
      </c>
      <c r="C1911" s="672" t="s">
        <v>785</v>
      </c>
      <c r="D1911" s="673">
        <v>36576</v>
      </c>
      <c r="E1911" s="674">
        <v>10</v>
      </c>
      <c r="F1911" s="675">
        <v>0.1</v>
      </c>
      <c r="G1911" s="676">
        <v>1202</v>
      </c>
      <c r="H1911" s="929">
        <v>0</v>
      </c>
      <c r="I1911" s="929">
        <v>1201</v>
      </c>
      <c r="J1911" s="689">
        <f t="shared" si="30"/>
        <v>1</v>
      </c>
    </row>
    <row r="1912" spans="1:10" ht="12.75" customHeight="1" x14ac:dyDescent="0.2">
      <c r="A1912" s="681" t="s">
        <v>2370</v>
      </c>
      <c r="B1912" s="693" t="s">
        <v>4480</v>
      </c>
      <c r="C1912" s="672" t="s">
        <v>785</v>
      </c>
      <c r="D1912" s="673">
        <v>36576</v>
      </c>
      <c r="E1912" s="674">
        <v>10</v>
      </c>
      <c r="F1912" s="675">
        <v>0.1</v>
      </c>
      <c r="G1912" s="676">
        <v>1202</v>
      </c>
      <c r="H1912" s="929">
        <v>0</v>
      </c>
      <c r="I1912" s="929">
        <v>1201</v>
      </c>
      <c r="J1912" s="689">
        <f t="shared" si="30"/>
        <v>1</v>
      </c>
    </row>
    <row r="1913" spans="1:10" ht="12.75" customHeight="1" x14ac:dyDescent="0.2">
      <c r="A1913" s="681" t="s">
        <v>2370</v>
      </c>
      <c r="B1913" s="693" t="s">
        <v>4481</v>
      </c>
      <c r="C1913" s="672" t="s">
        <v>785</v>
      </c>
      <c r="D1913" s="673">
        <v>36576</v>
      </c>
      <c r="E1913" s="674">
        <v>10</v>
      </c>
      <c r="F1913" s="675">
        <v>0.1</v>
      </c>
      <c r="G1913" s="676">
        <v>1202</v>
      </c>
      <c r="H1913" s="929">
        <v>0</v>
      </c>
      <c r="I1913" s="929">
        <v>1201</v>
      </c>
      <c r="J1913" s="689">
        <f t="shared" si="30"/>
        <v>1</v>
      </c>
    </row>
    <row r="1914" spans="1:10" ht="12.75" customHeight="1" x14ac:dyDescent="0.2">
      <c r="A1914" s="681" t="s">
        <v>2370</v>
      </c>
      <c r="B1914" s="693" t="s">
        <v>4482</v>
      </c>
      <c r="C1914" s="672" t="s">
        <v>785</v>
      </c>
      <c r="D1914" s="673">
        <v>36576</v>
      </c>
      <c r="E1914" s="674">
        <v>10</v>
      </c>
      <c r="F1914" s="675">
        <v>0.1</v>
      </c>
      <c r="G1914" s="676">
        <v>1202</v>
      </c>
      <c r="H1914" s="929">
        <v>0</v>
      </c>
      <c r="I1914" s="929">
        <v>1201</v>
      </c>
      <c r="J1914" s="689">
        <f t="shared" si="30"/>
        <v>1</v>
      </c>
    </row>
    <row r="1915" spans="1:10" ht="12.75" customHeight="1" x14ac:dyDescent="0.2">
      <c r="A1915" s="681" t="s">
        <v>2370</v>
      </c>
      <c r="B1915" s="693" t="s">
        <v>4483</v>
      </c>
      <c r="C1915" s="672" t="s">
        <v>785</v>
      </c>
      <c r="D1915" s="673">
        <v>36576</v>
      </c>
      <c r="E1915" s="674">
        <v>10</v>
      </c>
      <c r="F1915" s="675">
        <v>0.1</v>
      </c>
      <c r="G1915" s="676">
        <v>1202</v>
      </c>
      <c r="H1915" s="929">
        <v>0</v>
      </c>
      <c r="I1915" s="929">
        <v>1201</v>
      </c>
      <c r="J1915" s="689">
        <f t="shared" si="30"/>
        <v>1</v>
      </c>
    </row>
    <row r="1916" spans="1:10" ht="12.75" customHeight="1" x14ac:dyDescent="0.2">
      <c r="A1916" s="681" t="s">
        <v>2370</v>
      </c>
      <c r="B1916" s="693" t="s">
        <v>4484</v>
      </c>
      <c r="C1916" s="672" t="s">
        <v>785</v>
      </c>
      <c r="D1916" s="673">
        <v>36576</v>
      </c>
      <c r="E1916" s="674">
        <v>10</v>
      </c>
      <c r="F1916" s="675">
        <v>0.1</v>
      </c>
      <c r="G1916" s="676">
        <v>1202</v>
      </c>
      <c r="H1916" s="929">
        <v>0</v>
      </c>
      <c r="I1916" s="929">
        <v>1201</v>
      </c>
      <c r="J1916" s="689">
        <f t="shared" si="30"/>
        <v>1</v>
      </c>
    </row>
    <row r="1917" spans="1:10" ht="12.75" customHeight="1" x14ac:dyDescent="0.2">
      <c r="A1917" s="681" t="s">
        <v>2370</v>
      </c>
      <c r="B1917" s="693" t="s">
        <v>4485</v>
      </c>
      <c r="C1917" s="672" t="s">
        <v>785</v>
      </c>
      <c r="D1917" s="673">
        <v>36576</v>
      </c>
      <c r="E1917" s="674">
        <v>10</v>
      </c>
      <c r="F1917" s="675">
        <v>0.1</v>
      </c>
      <c r="G1917" s="676">
        <v>1202</v>
      </c>
      <c r="H1917" s="929">
        <v>0</v>
      </c>
      <c r="I1917" s="929">
        <v>1201</v>
      </c>
      <c r="J1917" s="689">
        <f t="shared" si="30"/>
        <v>1</v>
      </c>
    </row>
    <row r="1918" spans="1:10" ht="12.75" customHeight="1" x14ac:dyDescent="0.2">
      <c r="A1918" s="681" t="s">
        <v>2370</v>
      </c>
      <c r="B1918" s="693" t="s">
        <v>4486</v>
      </c>
      <c r="C1918" s="672" t="s">
        <v>785</v>
      </c>
      <c r="D1918" s="673">
        <v>36576</v>
      </c>
      <c r="E1918" s="674">
        <v>10</v>
      </c>
      <c r="F1918" s="675">
        <v>0.1</v>
      </c>
      <c r="G1918" s="676">
        <v>1202</v>
      </c>
      <c r="H1918" s="929">
        <v>0</v>
      </c>
      <c r="I1918" s="929">
        <v>1201</v>
      </c>
      <c r="J1918" s="689">
        <f t="shared" si="30"/>
        <v>1</v>
      </c>
    </row>
    <row r="1919" spans="1:10" ht="12.75" customHeight="1" x14ac:dyDescent="0.2">
      <c r="A1919" s="681" t="s">
        <v>2370</v>
      </c>
      <c r="B1919" s="693" t="s">
        <v>4487</v>
      </c>
      <c r="C1919" s="672" t="s">
        <v>785</v>
      </c>
      <c r="D1919" s="673">
        <v>36576</v>
      </c>
      <c r="E1919" s="674">
        <v>10</v>
      </c>
      <c r="F1919" s="675">
        <v>0.1</v>
      </c>
      <c r="G1919" s="676">
        <v>1202</v>
      </c>
      <c r="H1919" s="929">
        <v>0</v>
      </c>
      <c r="I1919" s="929">
        <v>1201</v>
      </c>
      <c r="J1919" s="689">
        <f t="shared" si="30"/>
        <v>1</v>
      </c>
    </row>
    <row r="1920" spans="1:10" ht="12.75" customHeight="1" x14ac:dyDescent="0.2">
      <c r="A1920" s="681" t="s">
        <v>2370</v>
      </c>
      <c r="B1920" s="693" t="s">
        <v>4488</v>
      </c>
      <c r="C1920" s="672" t="s">
        <v>785</v>
      </c>
      <c r="D1920" s="673">
        <v>36576</v>
      </c>
      <c r="E1920" s="674">
        <v>10</v>
      </c>
      <c r="F1920" s="675">
        <v>0.1</v>
      </c>
      <c r="G1920" s="676">
        <v>1208</v>
      </c>
      <c r="H1920" s="929">
        <v>0</v>
      </c>
      <c r="I1920" s="929">
        <v>1207</v>
      </c>
      <c r="J1920" s="689">
        <f t="shared" si="30"/>
        <v>1</v>
      </c>
    </row>
    <row r="1921" spans="1:10" ht="12.75" customHeight="1" x14ac:dyDescent="0.2">
      <c r="A1921" s="681" t="s">
        <v>2370</v>
      </c>
      <c r="B1921" s="693" t="s">
        <v>4489</v>
      </c>
      <c r="C1921" s="672" t="s">
        <v>791</v>
      </c>
      <c r="D1921" s="673">
        <v>38037</v>
      </c>
      <c r="E1921" s="674">
        <v>10</v>
      </c>
      <c r="F1921" s="675">
        <v>0.1</v>
      </c>
      <c r="G1921" s="676">
        <v>1215</v>
      </c>
      <c r="H1921" s="929">
        <v>0</v>
      </c>
      <c r="I1921" s="929">
        <v>1214</v>
      </c>
      <c r="J1921" s="689">
        <f t="shared" si="30"/>
        <v>1</v>
      </c>
    </row>
    <row r="1922" spans="1:10" ht="12.75" customHeight="1" x14ac:dyDescent="0.2">
      <c r="A1922" s="681" t="s">
        <v>2370</v>
      </c>
      <c r="B1922" s="693" t="s">
        <v>4490</v>
      </c>
      <c r="C1922" s="672" t="s">
        <v>791</v>
      </c>
      <c r="D1922" s="673">
        <v>35481</v>
      </c>
      <c r="E1922" s="674">
        <v>10</v>
      </c>
      <c r="F1922" s="675">
        <v>0.1</v>
      </c>
      <c r="G1922" s="676">
        <v>1219</v>
      </c>
      <c r="H1922" s="929">
        <v>0</v>
      </c>
      <c r="I1922" s="929">
        <v>1218</v>
      </c>
      <c r="J1922" s="689">
        <f t="shared" si="30"/>
        <v>1</v>
      </c>
    </row>
    <row r="1923" spans="1:10" ht="12.75" customHeight="1" x14ac:dyDescent="0.2">
      <c r="A1923" s="681" t="s">
        <v>2370</v>
      </c>
      <c r="B1923" s="693" t="s">
        <v>4491</v>
      </c>
      <c r="C1923" s="672" t="s">
        <v>791</v>
      </c>
      <c r="D1923" s="673">
        <v>35481</v>
      </c>
      <c r="E1923" s="674">
        <v>10</v>
      </c>
      <c r="F1923" s="675">
        <v>0.1</v>
      </c>
      <c r="G1923" s="676">
        <v>1219</v>
      </c>
      <c r="H1923" s="929">
        <v>0</v>
      </c>
      <c r="I1923" s="929">
        <v>1218</v>
      </c>
      <c r="J1923" s="689">
        <f t="shared" si="30"/>
        <v>1</v>
      </c>
    </row>
    <row r="1924" spans="1:10" ht="12.75" customHeight="1" x14ac:dyDescent="0.2">
      <c r="A1924" s="681" t="s">
        <v>2370</v>
      </c>
      <c r="B1924" s="693" t="s">
        <v>4492</v>
      </c>
      <c r="C1924" s="672" t="s">
        <v>898</v>
      </c>
      <c r="D1924" s="673">
        <v>40594</v>
      </c>
      <c r="E1924" s="674">
        <v>3</v>
      </c>
      <c r="F1924" s="675">
        <v>0.33</v>
      </c>
      <c r="G1924" s="676">
        <v>1223</v>
      </c>
      <c r="H1924" s="929">
        <v>0</v>
      </c>
      <c r="I1924" s="929">
        <v>1222</v>
      </c>
      <c r="J1924" s="689">
        <f t="shared" si="30"/>
        <v>1</v>
      </c>
    </row>
    <row r="1925" spans="1:10" ht="12.75" customHeight="1" x14ac:dyDescent="0.2">
      <c r="A1925" s="681" t="s">
        <v>2370</v>
      </c>
      <c r="B1925" s="693" t="s">
        <v>4493</v>
      </c>
      <c r="C1925" s="672" t="s">
        <v>903</v>
      </c>
      <c r="D1925" s="673">
        <v>39498</v>
      </c>
      <c r="E1925" s="674">
        <v>3</v>
      </c>
      <c r="F1925" s="675">
        <v>0.33</v>
      </c>
      <c r="G1925" s="676">
        <v>1234</v>
      </c>
      <c r="H1925" s="929">
        <v>0</v>
      </c>
      <c r="I1925" s="929">
        <v>1233</v>
      </c>
      <c r="J1925" s="689">
        <f t="shared" si="30"/>
        <v>1</v>
      </c>
    </row>
    <row r="1926" spans="1:10" ht="12.75" customHeight="1" x14ac:dyDescent="0.2">
      <c r="A1926" s="681" t="s">
        <v>2370</v>
      </c>
      <c r="B1926" s="693" t="s">
        <v>4494</v>
      </c>
      <c r="C1926" s="672" t="s">
        <v>889</v>
      </c>
      <c r="D1926" s="673">
        <v>40594</v>
      </c>
      <c r="E1926" s="674">
        <v>3</v>
      </c>
      <c r="F1926" s="675">
        <v>0.33</v>
      </c>
      <c r="G1926" s="676">
        <v>1243.52</v>
      </c>
      <c r="H1926" s="929">
        <v>0</v>
      </c>
      <c r="I1926" s="929">
        <v>1242.52</v>
      </c>
      <c r="J1926" s="689">
        <f t="shared" si="30"/>
        <v>1</v>
      </c>
    </row>
    <row r="1927" spans="1:10" ht="12.75" customHeight="1" x14ac:dyDescent="0.2">
      <c r="A1927" s="681" t="s">
        <v>2370</v>
      </c>
      <c r="B1927" s="693" t="s">
        <v>4495</v>
      </c>
      <c r="C1927" s="672" t="s">
        <v>787</v>
      </c>
      <c r="D1927" s="673">
        <v>35481</v>
      </c>
      <c r="E1927" s="674">
        <v>10</v>
      </c>
      <c r="F1927" s="675">
        <v>0.1</v>
      </c>
      <c r="G1927" s="676">
        <v>1251</v>
      </c>
      <c r="H1927" s="929">
        <v>0</v>
      </c>
      <c r="I1927" s="929">
        <v>1250</v>
      </c>
      <c r="J1927" s="689">
        <f t="shared" ref="J1927:J1990" si="31">G1927-I1927</f>
        <v>1</v>
      </c>
    </row>
    <row r="1928" spans="1:10" ht="12.75" customHeight="1" x14ac:dyDescent="0.2">
      <c r="A1928" s="681" t="s">
        <v>2370</v>
      </c>
      <c r="B1928" s="693" t="s">
        <v>4496</v>
      </c>
      <c r="C1928" s="672" t="s">
        <v>787</v>
      </c>
      <c r="D1928" s="673">
        <v>35481</v>
      </c>
      <c r="E1928" s="674">
        <v>10</v>
      </c>
      <c r="F1928" s="675">
        <v>0.1</v>
      </c>
      <c r="G1928" s="676">
        <v>1251</v>
      </c>
      <c r="H1928" s="929">
        <v>0</v>
      </c>
      <c r="I1928" s="929">
        <v>1250</v>
      </c>
      <c r="J1928" s="689">
        <f t="shared" si="31"/>
        <v>1</v>
      </c>
    </row>
    <row r="1929" spans="1:10" ht="12.75" customHeight="1" x14ac:dyDescent="0.2">
      <c r="A1929" s="681" t="s">
        <v>2370</v>
      </c>
      <c r="B1929" s="693" t="s">
        <v>4497</v>
      </c>
      <c r="C1929" s="672" t="s">
        <v>787</v>
      </c>
      <c r="D1929" s="673">
        <v>35481</v>
      </c>
      <c r="E1929" s="674">
        <v>10</v>
      </c>
      <c r="F1929" s="675">
        <v>0.1</v>
      </c>
      <c r="G1929" s="676">
        <v>1251</v>
      </c>
      <c r="H1929" s="929">
        <v>0</v>
      </c>
      <c r="I1929" s="929">
        <v>1250</v>
      </c>
      <c r="J1929" s="689">
        <f t="shared" si="31"/>
        <v>1</v>
      </c>
    </row>
    <row r="1930" spans="1:10" ht="12.75" customHeight="1" x14ac:dyDescent="0.2">
      <c r="A1930" s="681" t="s">
        <v>2372</v>
      </c>
      <c r="B1930" s="693" t="s">
        <v>4498</v>
      </c>
      <c r="C1930" s="672" t="s">
        <v>1020</v>
      </c>
      <c r="D1930" s="673">
        <v>37672</v>
      </c>
      <c r="E1930" s="674">
        <v>3</v>
      </c>
      <c r="F1930" s="675">
        <v>0.33</v>
      </c>
      <c r="G1930" s="676">
        <v>1254</v>
      </c>
      <c r="H1930" s="929">
        <v>0</v>
      </c>
      <c r="I1930" s="929">
        <v>1253</v>
      </c>
      <c r="J1930" s="689">
        <f t="shared" si="31"/>
        <v>1</v>
      </c>
    </row>
    <row r="1931" spans="1:10" ht="12.75" customHeight="1" x14ac:dyDescent="0.2">
      <c r="A1931" s="681" t="s">
        <v>2372</v>
      </c>
      <c r="B1931" s="693" t="s">
        <v>4499</v>
      </c>
      <c r="C1931" s="672" t="s">
        <v>1020</v>
      </c>
      <c r="D1931" s="673">
        <v>37672</v>
      </c>
      <c r="E1931" s="674">
        <v>3</v>
      </c>
      <c r="F1931" s="675">
        <v>0.33</v>
      </c>
      <c r="G1931" s="676">
        <v>1255</v>
      </c>
      <c r="H1931" s="929">
        <v>0</v>
      </c>
      <c r="I1931" s="929">
        <v>1254</v>
      </c>
      <c r="J1931" s="689">
        <f t="shared" si="31"/>
        <v>1</v>
      </c>
    </row>
    <row r="1932" spans="1:10" ht="12.75" customHeight="1" x14ac:dyDescent="0.2">
      <c r="A1932" s="681" t="s">
        <v>2372</v>
      </c>
      <c r="B1932" s="693" t="s">
        <v>4500</v>
      </c>
      <c r="C1932" s="672" t="s">
        <v>1020</v>
      </c>
      <c r="D1932" s="673">
        <v>37672</v>
      </c>
      <c r="E1932" s="674">
        <v>3</v>
      </c>
      <c r="F1932" s="675">
        <v>0.33</v>
      </c>
      <c r="G1932" s="676">
        <v>1255</v>
      </c>
      <c r="H1932" s="929">
        <v>0</v>
      </c>
      <c r="I1932" s="929">
        <v>1254</v>
      </c>
      <c r="J1932" s="689">
        <f t="shared" si="31"/>
        <v>1</v>
      </c>
    </row>
    <row r="1933" spans="1:10" ht="12.75" customHeight="1" x14ac:dyDescent="0.2">
      <c r="A1933" s="681" t="s">
        <v>2372</v>
      </c>
      <c r="B1933" s="693" t="s">
        <v>4501</v>
      </c>
      <c r="C1933" s="672" t="s">
        <v>1020</v>
      </c>
      <c r="D1933" s="673">
        <v>37672</v>
      </c>
      <c r="E1933" s="674">
        <v>3</v>
      </c>
      <c r="F1933" s="675">
        <v>0.33</v>
      </c>
      <c r="G1933" s="676">
        <v>1255</v>
      </c>
      <c r="H1933" s="929">
        <v>0</v>
      </c>
      <c r="I1933" s="929">
        <v>1254</v>
      </c>
      <c r="J1933" s="689">
        <f t="shared" si="31"/>
        <v>1</v>
      </c>
    </row>
    <row r="1934" spans="1:10" ht="12.75" customHeight="1" x14ac:dyDescent="0.2">
      <c r="A1934" s="681" t="s">
        <v>2372</v>
      </c>
      <c r="B1934" s="693" t="s">
        <v>4502</v>
      </c>
      <c r="C1934" s="672" t="s">
        <v>1020</v>
      </c>
      <c r="D1934" s="673">
        <v>37672</v>
      </c>
      <c r="E1934" s="674">
        <v>3</v>
      </c>
      <c r="F1934" s="675">
        <v>0.33</v>
      </c>
      <c r="G1934" s="676">
        <v>1255</v>
      </c>
      <c r="H1934" s="929">
        <v>0</v>
      </c>
      <c r="I1934" s="929">
        <v>1254</v>
      </c>
      <c r="J1934" s="689">
        <f t="shared" si="31"/>
        <v>1</v>
      </c>
    </row>
    <row r="1935" spans="1:10" ht="12.75" customHeight="1" x14ac:dyDescent="0.2">
      <c r="A1935" s="681" t="s">
        <v>2372</v>
      </c>
      <c r="B1935" s="693" t="s">
        <v>4503</v>
      </c>
      <c r="C1935" s="672" t="s">
        <v>1020</v>
      </c>
      <c r="D1935" s="673">
        <v>37672</v>
      </c>
      <c r="E1935" s="674">
        <v>3</v>
      </c>
      <c r="F1935" s="675">
        <v>0.33</v>
      </c>
      <c r="G1935" s="676">
        <v>1255</v>
      </c>
      <c r="H1935" s="929">
        <v>0</v>
      </c>
      <c r="I1935" s="929">
        <v>1254</v>
      </c>
      <c r="J1935" s="689">
        <f t="shared" si="31"/>
        <v>1</v>
      </c>
    </row>
    <row r="1936" spans="1:10" ht="12.75" customHeight="1" x14ac:dyDescent="0.2">
      <c r="A1936" s="681" t="s">
        <v>2372</v>
      </c>
      <c r="B1936" s="693" t="s">
        <v>4504</v>
      </c>
      <c r="C1936" s="672" t="s">
        <v>1020</v>
      </c>
      <c r="D1936" s="673">
        <v>37672</v>
      </c>
      <c r="E1936" s="674">
        <v>3</v>
      </c>
      <c r="F1936" s="675">
        <v>0.33</v>
      </c>
      <c r="G1936" s="676">
        <v>1255</v>
      </c>
      <c r="H1936" s="929">
        <v>0</v>
      </c>
      <c r="I1936" s="929">
        <v>1254</v>
      </c>
      <c r="J1936" s="689">
        <f t="shared" si="31"/>
        <v>1</v>
      </c>
    </row>
    <row r="1937" spans="1:10" ht="12.75" customHeight="1" x14ac:dyDescent="0.2">
      <c r="A1937" s="681" t="s">
        <v>2372</v>
      </c>
      <c r="B1937" s="693" t="s">
        <v>4505</v>
      </c>
      <c r="C1937" s="672" t="s">
        <v>1020</v>
      </c>
      <c r="D1937" s="673">
        <v>37672</v>
      </c>
      <c r="E1937" s="674">
        <v>3</v>
      </c>
      <c r="F1937" s="675">
        <v>0.33</v>
      </c>
      <c r="G1937" s="676">
        <v>1255</v>
      </c>
      <c r="H1937" s="929">
        <v>0</v>
      </c>
      <c r="I1937" s="929">
        <v>1254</v>
      </c>
      <c r="J1937" s="689">
        <f t="shared" si="31"/>
        <v>1</v>
      </c>
    </row>
    <row r="1938" spans="1:10" ht="12.75" customHeight="1" x14ac:dyDescent="0.2">
      <c r="A1938" s="681" t="s">
        <v>2372</v>
      </c>
      <c r="B1938" s="693" t="s">
        <v>4506</v>
      </c>
      <c r="C1938" s="672" t="s">
        <v>1020</v>
      </c>
      <c r="D1938" s="673">
        <v>37672</v>
      </c>
      <c r="E1938" s="674">
        <v>3</v>
      </c>
      <c r="F1938" s="675">
        <v>0.33</v>
      </c>
      <c r="G1938" s="676">
        <v>1255</v>
      </c>
      <c r="H1938" s="929">
        <v>0</v>
      </c>
      <c r="I1938" s="929">
        <v>1254</v>
      </c>
      <c r="J1938" s="689">
        <f t="shared" si="31"/>
        <v>1</v>
      </c>
    </row>
    <row r="1939" spans="1:10" ht="12.75" customHeight="1" x14ac:dyDescent="0.2">
      <c r="A1939" s="681" t="s">
        <v>2372</v>
      </c>
      <c r="B1939" s="693" t="s">
        <v>4507</v>
      </c>
      <c r="C1939" s="672" t="s">
        <v>1020</v>
      </c>
      <c r="D1939" s="673">
        <v>37672</v>
      </c>
      <c r="E1939" s="674">
        <v>3</v>
      </c>
      <c r="F1939" s="675">
        <v>0.33</v>
      </c>
      <c r="G1939" s="676">
        <v>1255</v>
      </c>
      <c r="H1939" s="929">
        <v>0</v>
      </c>
      <c r="I1939" s="929">
        <v>1254</v>
      </c>
      <c r="J1939" s="689">
        <f t="shared" si="31"/>
        <v>1</v>
      </c>
    </row>
    <row r="1940" spans="1:10" ht="12.75" customHeight="1" x14ac:dyDescent="0.2">
      <c r="A1940" s="681" t="s">
        <v>2372</v>
      </c>
      <c r="B1940" s="693" t="s">
        <v>4508</v>
      </c>
      <c r="C1940" s="672" t="s">
        <v>1020</v>
      </c>
      <c r="D1940" s="673">
        <v>37672</v>
      </c>
      <c r="E1940" s="674">
        <v>3</v>
      </c>
      <c r="F1940" s="675">
        <v>0.33</v>
      </c>
      <c r="G1940" s="676">
        <v>1255</v>
      </c>
      <c r="H1940" s="929">
        <v>0</v>
      </c>
      <c r="I1940" s="929">
        <v>1254</v>
      </c>
      <c r="J1940" s="689">
        <f t="shared" si="31"/>
        <v>1</v>
      </c>
    </row>
    <row r="1941" spans="1:10" ht="12.75" customHeight="1" x14ac:dyDescent="0.2">
      <c r="A1941" s="681" t="s">
        <v>2372</v>
      </c>
      <c r="B1941" s="693" t="s">
        <v>4509</v>
      </c>
      <c r="C1941" s="672" t="s">
        <v>1020</v>
      </c>
      <c r="D1941" s="673">
        <v>37672</v>
      </c>
      <c r="E1941" s="674">
        <v>3</v>
      </c>
      <c r="F1941" s="675">
        <v>0.33</v>
      </c>
      <c r="G1941" s="676">
        <v>1255</v>
      </c>
      <c r="H1941" s="929">
        <v>0</v>
      </c>
      <c r="I1941" s="929">
        <v>1254</v>
      </c>
      <c r="J1941" s="689">
        <f t="shared" si="31"/>
        <v>1</v>
      </c>
    </row>
    <row r="1942" spans="1:10" ht="12.75" customHeight="1" x14ac:dyDescent="0.2">
      <c r="A1942" s="681" t="s">
        <v>2372</v>
      </c>
      <c r="B1942" s="693" t="s">
        <v>4510</v>
      </c>
      <c r="C1942" s="672" t="s">
        <v>1020</v>
      </c>
      <c r="D1942" s="673">
        <v>37672</v>
      </c>
      <c r="E1942" s="674">
        <v>3</v>
      </c>
      <c r="F1942" s="675">
        <v>0.33</v>
      </c>
      <c r="G1942" s="676">
        <v>1255</v>
      </c>
      <c r="H1942" s="929">
        <v>0</v>
      </c>
      <c r="I1942" s="929">
        <v>1254</v>
      </c>
      <c r="J1942" s="689">
        <f t="shared" si="31"/>
        <v>1</v>
      </c>
    </row>
    <row r="1943" spans="1:10" ht="12.75" customHeight="1" x14ac:dyDescent="0.2">
      <c r="A1943" s="681" t="s">
        <v>2372</v>
      </c>
      <c r="B1943" s="693" t="s">
        <v>4511</v>
      </c>
      <c r="C1943" s="672" t="s">
        <v>1020</v>
      </c>
      <c r="D1943" s="673">
        <v>37672</v>
      </c>
      <c r="E1943" s="674">
        <v>3</v>
      </c>
      <c r="F1943" s="675">
        <v>0.33</v>
      </c>
      <c r="G1943" s="676">
        <v>1255</v>
      </c>
      <c r="H1943" s="929">
        <v>0</v>
      </c>
      <c r="I1943" s="929">
        <v>1254</v>
      </c>
      <c r="J1943" s="689">
        <f t="shared" si="31"/>
        <v>1</v>
      </c>
    </row>
    <row r="1944" spans="1:10" ht="12.75" customHeight="1" x14ac:dyDescent="0.2">
      <c r="A1944" s="681" t="s">
        <v>2372</v>
      </c>
      <c r="B1944" s="693" t="s">
        <v>4512</v>
      </c>
      <c r="C1944" s="672" t="s">
        <v>1020</v>
      </c>
      <c r="D1944" s="673">
        <v>37672</v>
      </c>
      <c r="E1944" s="674">
        <v>3</v>
      </c>
      <c r="F1944" s="675">
        <v>0.33</v>
      </c>
      <c r="G1944" s="676">
        <v>1255</v>
      </c>
      <c r="H1944" s="929">
        <v>0</v>
      </c>
      <c r="I1944" s="929">
        <v>1254</v>
      </c>
      <c r="J1944" s="689">
        <f t="shared" si="31"/>
        <v>1</v>
      </c>
    </row>
    <row r="1945" spans="1:10" ht="12.75" customHeight="1" x14ac:dyDescent="0.2">
      <c r="A1945" s="681" t="s">
        <v>2372</v>
      </c>
      <c r="B1945" s="693" t="s">
        <v>4513</v>
      </c>
      <c r="C1945" s="672" t="s">
        <v>1020</v>
      </c>
      <c r="D1945" s="673">
        <v>37307</v>
      </c>
      <c r="E1945" s="674">
        <v>3</v>
      </c>
      <c r="F1945" s="675">
        <v>0.33</v>
      </c>
      <c r="G1945" s="676">
        <v>1255</v>
      </c>
      <c r="H1945" s="929">
        <v>0</v>
      </c>
      <c r="I1945" s="929">
        <v>1254</v>
      </c>
      <c r="J1945" s="689">
        <f t="shared" si="31"/>
        <v>1</v>
      </c>
    </row>
    <row r="1946" spans="1:10" ht="12.75" customHeight="1" x14ac:dyDescent="0.2">
      <c r="A1946" s="681" t="s">
        <v>2372</v>
      </c>
      <c r="B1946" s="693" t="s">
        <v>4514</v>
      </c>
      <c r="C1946" s="672" t="s">
        <v>1020</v>
      </c>
      <c r="D1946" s="673">
        <v>37672</v>
      </c>
      <c r="E1946" s="674">
        <v>3</v>
      </c>
      <c r="F1946" s="675">
        <v>0.33</v>
      </c>
      <c r="G1946" s="676">
        <v>1255</v>
      </c>
      <c r="H1946" s="929">
        <v>0</v>
      </c>
      <c r="I1946" s="929">
        <v>1254</v>
      </c>
      <c r="J1946" s="689">
        <f t="shared" si="31"/>
        <v>1</v>
      </c>
    </row>
    <row r="1947" spans="1:10" ht="12.75" customHeight="1" x14ac:dyDescent="0.2">
      <c r="A1947" s="681" t="s">
        <v>2372</v>
      </c>
      <c r="B1947" s="693" t="s">
        <v>4515</v>
      </c>
      <c r="C1947" s="672" t="s">
        <v>1020</v>
      </c>
      <c r="D1947" s="673">
        <v>37672</v>
      </c>
      <c r="E1947" s="674">
        <v>3</v>
      </c>
      <c r="F1947" s="675">
        <v>0.33</v>
      </c>
      <c r="G1947" s="676">
        <v>1255</v>
      </c>
      <c r="H1947" s="929">
        <v>0</v>
      </c>
      <c r="I1947" s="929">
        <v>1254</v>
      </c>
      <c r="J1947" s="689">
        <f t="shared" si="31"/>
        <v>1</v>
      </c>
    </row>
    <row r="1948" spans="1:10" ht="12.75" customHeight="1" x14ac:dyDescent="0.2">
      <c r="A1948" s="681" t="s">
        <v>2372</v>
      </c>
      <c r="B1948" s="693" t="s">
        <v>4516</v>
      </c>
      <c r="C1948" s="672" t="s">
        <v>1020</v>
      </c>
      <c r="D1948" s="673">
        <v>37672</v>
      </c>
      <c r="E1948" s="674">
        <v>3</v>
      </c>
      <c r="F1948" s="675">
        <v>0.33</v>
      </c>
      <c r="G1948" s="676">
        <v>1255</v>
      </c>
      <c r="H1948" s="929">
        <v>0</v>
      </c>
      <c r="I1948" s="929">
        <v>1254</v>
      </c>
      <c r="J1948" s="689">
        <f t="shared" si="31"/>
        <v>1</v>
      </c>
    </row>
    <row r="1949" spans="1:10" ht="12.75" customHeight="1" x14ac:dyDescent="0.2">
      <c r="A1949" s="681" t="s">
        <v>2372</v>
      </c>
      <c r="B1949" s="693" t="s">
        <v>4517</v>
      </c>
      <c r="C1949" s="672" t="s">
        <v>1020</v>
      </c>
      <c r="D1949" s="673">
        <v>37672</v>
      </c>
      <c r="E1949" s="674">
        <v>3</v>
      </c>
      <c r="F1949" s="675">
        <v>0.33</v>
      </c>
      <c r="G1949" s="676">
        <v>1255</v>
      </c>
      <c r="H1949" s="929">
        <v>0</v>
      </c>
      <c r="I1949" s="929">
        <v>1254</v>
      </c>
      <c r="J1949" s="689">
        <f t="shared" si="31"/>
        <v>1</v>
      </c>
    </row>
    <row r="1950" spans="1:10" ht="12.75" customHeight="1" x14ac:dyDescent="0.2">
      <c r="A1950" s="681" t="s">
        <v>2372</v>
      </c>
      <c r="B1950" s="693" t="s">
        <v>4518</v>
      </c>
      <c r="C1950" s="672" t="s">
        <v>1020</v>
      </c>
      <c r="D1950" s="673">
        <v>37307</v>
      </c>
      <c r="E1950" s="674">
        <v>3</v>
      </c>
      <c r="F1950" s="675">
        <v>0.33</v>
      </c>
      <c r="G1950" s="676">
        <v>1255</v>
      </c>
      <c r="H1950" s="929">
        <v>0</v>
      </c>
      <c r="I1950" s="929">
        <v>1254</v>
      </c>
      <c r="J1950" s="689">
        <f t="shared" si="31"/>
        <v>1</v>
      </c>
    </row>
    <row r="1951" spans="1:10" ht="12.75" customHeight="1" x14ac:dyDescent="0.2">
      <c r="A1951" s="681" t="s">
        <v>2372</v>
      </c>
      <c r="B1951" s="693" t="s">
        <v>4519</v>
      </c>
      <c r="C1951" s="672" t="s">
        <v>1020</v>
      </c>
      <c r="D1951" s="673">
        <v>37672</v>
      </c>
      <c r="E1951" s="674">
        <v>3</v>
      </c>
      <c r="F1951" s="675">
        <v>0.33</v>
      </c>
      <c r="G1951" s="676">
        <v>1255</v>
      </c>
      <c r="H1951" s="929">
        <v>0</v>
      </c>
      <c r="I1951" s="929">
        <v>1254</v>
      </c>
      <c r="J1951" s="689">
        <f t="shared" si="31"/>
        <v>1</v>
      </c>
    </row>
    <row r="1952" spans="1:10" ht="12.75" customHeight="1" x14ac:dyDescent="0.2">
      <c r="A1952" s="681" t="s">
        <v>2372</v>
      </c>
      <c r="B1952" s="693" t="s">
        <v>4520</v>
      </c>
      <c r="C1952" s="672" t="s">
        <v>1020</v>
      </c>
      <c r="D1952" s="673">
        <v>39498</v>
      </c>
      <c r="E1952" s="674">
        <v>3</v>
      </c>
      <c r="F1952" s="675">
        <v>0.33</v>
      </c>
      <c r="G1952" s="676">
        <v>1255</v>
      </c>
      <c r="H1952" s="929">
        <v>0</v>
      </c>
      <c r="I1952" s="929">
        <v>1254</v>
      </c>
      <c r="J1952" s="689">
        <f t="shared" si="31"/>
        <v>1</v>
      </c>
    </row>
    <row r="1953" spans="1:10" ht="12.75" customHeight="1" x14ac:dyDescent="0.2">
      <c r="A1953" s="681" t="s">
        <v>2372</v>
      </c>
      <c r="B1953" s="693" t="s">
        <v>4521</v>
      </c>
      <c r="C1953" s="672" t="s">
        <v>1020</v>
      </c>
      <c r="D1953" s="673">
        <v>37672</v>
      </c>
      <c r="E1953" s="674">
        <v>3</v>
      </c>
      <c r="F1953" s="675">
        <v>0.33</v>
      </c>
      <c r="G1953" s="676">
        <v>1255</v>
      </c>
      <c r="H1953" s="929">
        <v>0</v>
      </c>
      <c r="I1953" s="929">
        <v>1254</v>
      </c>
      <c r="J1953" s="689">
        <f t="shared" si="31"/>
        <v>1</v>
      </c>
    </row>
    <row r="1954" spans="1:10" ht="12.75" customHeight="1" x14ac:dyDescent="0.2">
      <c r="A1954" s="681" t="s">
        <v>2370</v>
      </c>
      <c r="B1954" s="693" t="s">
        <v>4522</v>
      </c>
      <c r="C1954" s="672" t="s">
        <v>804</v>
      </c>
      <c r="D1954" s="673">
        <v>36211</v>
      </c>
      <c r="E1954" s="674">
        <v>10</v>
      </c>
      <c r="F1954" s="675">
        <v>0.1</v>
      </c>
      <c r="G1954" s="676">
        <v>1261</v>
      </c>
      <c r="H1954" s="929">
        <v>0</v>
      </c>
      <c r="I1954" s="929">
        <v>1260</v>
      </c>
      <c r="J1954" s="689">
        <f t="shared" si="31"/>
        <v>1</v>
      </c>
    </row>
    <row r="1955" spans="1:10" ht="12.75" customHeight="1" x14ac:dyDescent="0.2">
      <c r="A1955" s="681" t="s">
        <v>2370</v>
      </c>
      <c r="B1955" s="693" t="s">
        <v>4523</v>
      </c>
      <c r="C1955" s="672" t="s">
        <v>788</v>
      </c>
      <c r="D1955" s="673">
        <v>36211</v>
      </c>
      <c r="E1955" s="674">
        <v>10</v>
      </c>
      <c r="F1955" s="675">
        <v>0.1</v>
      </c>
      <c r="G1955" s="676">
        <v>1261</v>
      </c>
      <c r="H1955" s="929">
        <v>0</v>
      </c>
      <c r="I1955" s="929">
        <v>1260</v>
      </c>
      <c r="J1955" s="689">
        <f t="shared" si="31"/>
        <v>1</v>
      </c>
    </row>
    <row r="1956" spans="1:10" ht="12.75" customHeight="1" x14ac:dyDescent="0.2">
      <c r="A1956" s="681" t="s">
        <v>2370</v>
      </c>
      <c r="B1956" s="693" t="s">
        <v>4524</v>
      </c>
      <c r="C1956" s="672" t="s">
        <v>786</v>
      </c>
      <c r="D1956" s="673">
        <v>37672</v>
      </c>
      <c r="E1956" s="674">
        <v>10</v>
      </c>
      <c r="F1956" s="675">
        <v>0.1</v>
      </c>
      <c r="G1956" s="676">
        <v>1265</v>
      </c>
      <c r="H1956" s="929">
        <v>0</v>
      </c>
      <c r="I1956" s="929">
        <v>1264</v>
      </c>
      <c r="J1956" s="689">
        <f t="shared" si="31"/>
        <v>1</v>
      </c>
    </row>
    <row r="1957" spans="1:10" ht="12.75" customHeight="1" x14ac:dyDescent="0.2">
      <c r="A1957" s="681" t="s">
        <v>2370</v>
      </c>
      <c r="B1957" s="693" t="s">
        <v>4525</v>
      </c>
      <c r="C1957" s="672" t="s">
        <v>790</v>
      </c>
      <c r="D1957" s="673">
        <v>36211</v>
      </c>
      <c r="E1957" s="674">
        <v>10</v>
      </c>
      <c r="F1957" s="675">
        <v>0.1</v>
      </c>
      <c r="G1957" s="676">
        <v>1265</v>
      </c>
      <c r="H1957" s="929">
        <v>0</v>
      </c>
      <c r="I1957" s="929">
        <v>1264</v>
      </c>
      <c r="J1957" s="689">
        <f t="shared" si="31"/>
        <v>1</v>
      </c>
    </row>
    <row r="1958" spans="1:10" ht="12.75" customHeight="1" x14ac:dyDescent="0.2">
      <c r="A1958" s="681" t="s">
        <v>2370</v>
      </c>
      <c r="B1958" s="693" t="s">
        <v>4526</v>
      </c>
      <c r="C1958" s="672" t="s">
        <v>791</v>
      </c>
      <c r="D1958" s="673">
        <v>37307</v>
      </c>
      <c r="E1958" s="674">
        <v>10</v>
      </c>
      <c r="F1958" s="675">
        <v>0.1</v>
      </c>
      <c r="G1958" s="676">
        <v>1265</v>
      </c>
      <c r="H1958" s="929">
        <v>0</v>
      </c>
      <c r="I1958" s="929">
        <v>1264</v>
      </c>
      <c r="J1958" s="689">
        <f t="shared" si="31"/>
        <v>1</v>
      </c>
    </row>
    <row r="1959" spans="1:10" ht="12.75" customHeight="1" x14ac:dyDescent="0.2">
      <c r="A1959" s="681" t="s">
        <v>2370</v>
      </c>
      <c r="B1959" s="693" t="s">
        <v>4527</v>
      </c>
      <c r="C1959" s="672" t="s">
        <v>791</v>
      </c>
      <c r="D1959" s="673">
        <v>37672</v>
      </c>
      <c r="E1959" s="674">
        <v>10</v>
      </c>
      <c r="F1959" s="675">
        <v>0.1</v>
      </c>
      <c r="G1959" s="676">
        <v>1265</v>
      </c>
      <c r="H1959" s="929">
        <v>0</v>
      </c>
      <c r="I1959" s="929">
        <v>1264</v>
      </c>
      <c r="J1959" s="689">
        <f t="shared" si="31"/>
        <v>1</v>
      </c>
    </row>
    <row r="1960" spans="1:10" ht="12.75" customHeight="1" x14ac:dyDescent="0.2">
      <c r="A1960" s="681" t="s">
        <v>2372</v>
      </c>
      <c r="B1960" s="693" t="s">
        <v>4528</v>
      </c>
      <c r="C1960" s="672" t="s">
        <v>1020</v>
      </c>
      <c r="D1960" s="673">
        <v>37672</v>
      </c>
      <c r="E1960" s="674">
        <v>3</v>
      </c>
      <c r="F1960" s="675">
        <v>0.33</v>
      </c>
      <c r="G1960" s="676">
        <v>1265</v>
      </c>
      <c r="H1960" s="929">
        <v>0</v>
      </c>
      <c r="I1960" s="929">
        <v>1264</v>
      </c>
      <c r="J1960" s="689">
        <f t="shared" si="31"/>
        <v>1</v>
      </c>
    </row>
    <row r="1961" spans="1:10" ht="12.75" customHeight="1" x14ac:dyDescent="0.2">
      <c r="A1961" s="681" t="s">
        <v>2372</v>
      </c>
      <c r="B1961" s="693" t="s">
        <v>4529</v>
      </c>
      <c r="C1961" s="672" t="s">
        <v>1020</v>
      </c>
      <c r="D1961" s="673">
        <v>37672</v>
      </c>
      <c r="E1961" s="674">
        <v>3</v>
      </c>
      <c r="F1961" s="675">
        <v>0.33</v>
      </c>
      <c r="G1961" s="676">
        <v>1265</v>
      </c>
      <c r="H1961" s="929">
        <v>0</v>
      </c>
      <c r="I1961" s="929">
        <v>1264</v>
      </c>
      <c r="J1961" s="689">
        <f t="shared" si="31"/>
        <v>1</v>
      </c>
    </row>
    <row r="1962" spans="1:10" ht="12.75" customHeight="1" x14ac:dyDescent="0.2">
      <c r="A1962" s="681" t="s">
        <v>2370</v>
      </c>
      <c r="B1962" s="693" t="s">
        <v>4530</v>
      </c>
      <c r="C1962" s="672" t="s">
        <v>892</v>
      </c>
      <c r="D1962" s="673">
        <v>40594</v>
      </c>
      <c r="E1962" s="674">
        <v>3</v>
      </c>
      <c r="F1962" s="675">
        <v>0.33</v>
      </c>
      <c r="G1962" s="676">
        <v>1269</v>
      </c>
      <c r="H1962" s="929">
        <v>0</v>
      </c>
      <c r="I1962" s="929">
        <v>1268</v>
      </c>
      <c r="J1962" s="689">
        <f t="shared" si="31"/>
        <v>1</v>
      </c>
    </row>
    <row r="1963" spans="1:10" ht="12.75" customHeight="1" x14ac:dyDescent="0.2">
      <c r="A1963" s="681" t="s">
        <v>2370</v>
      </c>
      <c r="B1963" s="693" t="s">
        <v>4531</v>
      </c>
      <c r="C1963" s="672" t="s">
        <v>899</v>
      </c>
      <c r="D1963" s="673">
        <v>40594</v>
      </c>
      <c r="E1963" s="674">
        <v>3</v>
      </c>
      <c r="F1963" s="675">
        <v>0.33</v>
      </c>
      <c r="G1963" s="676">
        <v>1280</v>
      </c>
      <c r="H1963" s="929">
        <v>0</v>
      </c>
      <c r="I1963" s="929">
        <v>1279</v>
      </c>
      <c r="J1963" s="689">
        <f t="shared" si="31"/>
        <v>1</v>
      </c>
    </row>
    <row r="1964" spans="1:10" ht="12.75" customHeight="1" x14ac:dyDescent="0.2">
      <c r="A1964" s="681" t="s">
        <v>2370</v>
      </c>
      <c r="B1964" s="693" t="s">
        <v>4532</v>
      </c>
      <c r="C1964" s="672" t="s">
        <v>785</v>
      </c>
      <c r="D1964" s="673">
        <v>36211</v>
      </c>
      <c r="E1964" s="674">
        <v>10</v>
      </c>
      <c r="F1964" s="675">
        <v>0.1</v>
      </c>
      <c r="G1964" s="676">
        <v>1288</v>
      </c>
      <c r="H1964" s="929">
        <v>0</v>
      </c>
      <c r="I1964" s="929">
        <v>1287</v>
      </c>
      <c r="J1964" s="689">
        <f t="shared" si="31"/>
        <v>1</v>
      </c>
    </row>
    <row r="1965" spans="1:10" ht="12.75" customHeight="1" x14ac:dyDescent="0.2">
      <c r="A1965" s="681" t="s">
        <v>2370</v>
      </c>
      <c r="B1965" s="693" t="s">
        <v>4533</v>
      </c>
      <c r="C1965" s="672" t="s">
        <v>785</v>
      </c>
      <c r="D1965" s="673">
        <v>36211</v>
      </c>
      <c r="E1965" s="674">
        <v>10</v>
      </c>
      <c r="F1965" s="675">
        <v>0.1</v>
      </c>
      <c r="G1965" s="676">
        <v>1288</v>
      </c>
      <c r="H1965" s="929">
        <v>0</v>
      </c>
      <c r="I1965" s="929">
        <v>1287</v>
      </c>
      <c r="J1965" s="689">
        <f t="shared" si="31"/>
        <v>1</v>
      </c>
    </row>
    <row r="1966" spans="1:10" ht="12.75" customHeight="1" x14ac:dyDescent="0.2">
      <c r="A1966" s="681" t="s">
        <v>2370</v>
      </c>
      <c r="B1966" s="693" t="s">
        <v>4534</v>
      </c>
      <c r="C1966" s="672" t="s">
        <v>785</v>
      </c>
      <c r="D1966" s="673">
        <v>36211</v>
      </c>
      <c r="E1966" s="674">
        <v>10</v>
      </c>
      <c r="F1966" s="675">
        <v>0.1</v>
      </c>
      <c r="G1966" s="676">
        <v>1288</v>
      </c>
      <c r="H1966" s="929">
        <v>0</v>
      </c>
      <c r="I1966" s="929">
        <v>1287</v>
      </c>
      <c r="J1966" s="689">
        <f t="shared" si="31"/>
        <v>1</v>
      </c>
    </row>
    <row r="1967" spans="1:10" ht="12.75" customHeight="1" x14ac:dyDescent="0.2">
      <c r="A1967" s="681" t="s">
        <v>2370</v>
      </c>
      <c r="B1967" s="693" t="s">
        <v>4535</v>
      </c>
      <c r="C1967" s="672" t="s">
        <v>798</v>
      </c>
      <c r="D1967" s="673">
        <v>34020</v>
      </c>
      <c r="E1967" s="674">
        <v>10</v>
      </c>
      <c r="F1967" s="675">
        <v>0.1</v>
      </c>
      <c r="G1967" s="676">
        <v>1292</v>
      </c>
      <c r="H1967" s="929">
        <v>0</v>
      </c>
      <c r="I1967" s="929">
        <v>1291</v>
      </c>
      <c r="J1967" s="689">
        <f t="shared" si="31"/>
        <v>1</v>
      </c>
    </row>
    <row r="1968" spans="1:10" ht="12.75" customHeight="1" x14ac:dyDescent="0.2">
      <c r="A1968" s="681" t="s">
        <v>2370</v>
      </c>
      <c r="B1968" s="693" t="s">
        <v>4536</v>
      </c>
      <c r="C1968" s="672" t="s">
        <v>798</v>
      </c>
      <c r="D1968" s="673">
        <v>34020</v>
      </c>
      <c r="E1968" s="674">
        <v>10</v>
      </c>
      <c r="F1968" s="675">
        <v>0.1</v>
      </c>
      <c r="G1968" s="676">
        <v>1292</v>
      </c>
      <c r="H1968" s="929">
        <v>0</v>
      </c>
      <c r="I1968" s="929">
        <v>1291</v>
      </c>
      <c r="J1968" s="689">
        <f t="shared" si="31"/>
        <v>1</v>
      </c>
    </row>
    <row r="1969" spans="1:10" ht="12.75" customHeight="1" x14ac:dyDescent="0.2">
      <c r="A1969" s="681" t="s">
        <v>2370</v>
      </c>
      <c r="B1969" s="693" t="s">
        <v>4537</v>
      </c>
      <c r="C1969" s="672" t="s">
        <v>798</v>
      </c>
      <c r="D1969" s="673">
        <v>33289</v>
      </c>
      <c r="E1969" s="674">
        <v>10</v>
      </c>
      <c r="F1969" s="675">
        <v>0.1</v>
      </c>
      <c r="G1969" s="676">
        <v>1292</v>
      </c>
      <c r="H1969" s="929">
        <v>0</v>
      </c>
      <c r="I1969" s="929">
        <v>1291</v>
      </c>
      <c r="J1969" s="689">
        <f t="shared" si="31"/>
        <v>1</v>
      </c>
    </row>
    <row r="1970" spans="1:10" ht="12.75" customHeight="1" x14ac:dyDescent="0.2">
      <c r="A1970" s="681" t="s">
        <v>2372</v>
      </c>
      <c r="B1970" s="693" t="s">
        <v>4538</v>
      </c>
      <c r="C1970" s="672" t="s">
        <v>1026</v>
      </c>
      <c r="D1970" s="673">
        <v>39498</v>
      </c>
      <c r="E1970" s="674">
        <v>10</v>
      </c>
      <c r="F1970" s="675">
        <v>0.1</v>
      </c>
      <c r="G1970" s="676">
        <v>1299</v>
      </c>
      <c r="H1970" s="929">
        <v>0</v>
      </c>
      <c r="I1970" s="929">
        <v>1298</v>
      </c>
      <c r="J1970" s="689">
        <f t="shared" si="31"/>
        <v>1</v>
      </c>
    </row>
    <row r="1971" spans="1:10" ht="12.75" customHeight="1" x14ac:dyDescent="0.2">
      <c r="A1971" s="681" t="s">
        <v>2370</v>
      </c>
      <c r="B1971" s="693" t="s">
        <v>4539</v>
      </c>
      <c r="C1971" s="672" t="s">
        <v>790</v>
      </c>
      <c r="D1971" s="673">
        <v>36576</v>
      </c>
      <c r="E1971" s="674">
        <v>10</v>
      </c>
      <c r="F1971" s="675">
        <v>0.1</v>
      </c>
      <c r="G1971" s="676">
        <v>1300</v>
      </c>
      <c r="H1971" s="929">
        <v>0</v>
      </c>
      <c r="I1971" s="929">
        <v>1299</v>
      </c>
      <c r="J1971" s="689">
        <f t="shared" si="31"/>
        <v>1</v>
      </c>
    </row>
    <row r="1972" spans="1:10" ht="12.75" customHeight="1" x14ac:dyDescent="0.2">
      <c r="A1972" s="681" t="s">
        <v>2370</v>
      </c>
      <c r="B1972" s="693" t="s">
        <v>4540</v>
      </c>
      <c r="C1972" s="672" t="s">
        <v>790</v>
      </c>
      <c r="D1972" s="673">
        <v>36576</v>
      </c>
      <c r="E1972" s="674">
        <v>10</v>
      </c>
      <c r="F1972" s="675">
        <v>0.1</v>
      </c>
      <c r="G1972" s="676">
        <v>1300</v>
      </c>
      <c r="H1972" s="929">
        <v>0</v>
      </c>
      <c r="I1972" s="929">
        <v>1299</v>
      </c>
      <c r="J1972" s="689">
        <f t="shared" si="31"/>
        <v>1</v>
      </c>
    </row>
    <row r="1973" spans="1:10" ht="12.75" customHeight="1" x14ac:dyDescent="0.2">
      <c r="A1973" s="681" t="s">
        <v>2370</v>
      </c>
      <c r="B1973" s="693" t="s">
        <v>4541</v>
      </c>
      <c r="C1973" s="672" t="s">
        <v>786</v>
      </c>
      <c r="D1973" s="673">
        <v>35115</v>
      </c>
      <c r="E1973" s="674">
        <v>10</v>
      </c>
      <c r="F1973" s="675">
        <v>0.1</v>
      </c>
      <c r="G1973" s="676">
        <v>1334</v>
      </c>
      <c r="H1973" s="929">
        <v>0</v>
      </c>
      <c r="I1973" s="929">
        <v>1333</v>
      </c>
      <c r="J1973" s="689">
        <f t="shared" si="31"/>
        <v>1</v>
      </c>
    </row>
    <row r="1974" spans="1:10" ht="12.75" customHeight="1" x14ac:dyDescent="0.2">
      <c r="A1974" s="681" t="s">
        <v>2370</v>
      </c>
      <c r="B1974" s="693" t="s">
        <v>4542</v>
      </c>
      <c r="C1974" s="672" t="s">
        <v>790</v>
      </c>
      <c r="D1974" s="673">
        <v>36576</v>
      </c>
      <c r="E1974" s="674">
        <v>10</v>
      </c>
      <c r="F1974" s="675">
        <v>0.1</v>
      </c>
      <c r="G1974" s="676">
        <v>1374</v>
      </c>
      <c r="H1974" s="929">
        <v>0</v>
      </c>
      <c r="I1974" s="929">
        <v>1373</v>
      </c>
      <c r="J1974" s="689">
        <f t="shared" si="31"/>
        <v>1</v>
      </c>
    </row>
    <row r="1975" spans="1:10" ht="12.75" customHeight="1" x14ac:dyDescent="0.2">
      <c r="A1975" s="681" t="s">
        <v>2370</v>
      </c>
      <c r="B1975" s="693" t="s">
        <v>4543</v>
      </c>
      <c r="C1975" s="672" t="s">
        <v>791</v>
      </c>
      <c r="D1975" s="673">
        <v>37307</v>
      </c>
      <c r="E1975" s="674">
        <v>10</v>
      </c>
      <c r="F1975" s="675">
        <v>0.1</v>
      </c>
      <c r="G1975" s="676">
        <v>1380</v>
      </c>
      <c r="H1975" s="929">
        <v>0</v>
      </c>
      <c r="I1975" s="929">
        <v>1379</v>
      </c>
      <c r="J1975" s="689">
        <f t="shared" si="31"/>
        <v>1</v>
      </c>
    </row>
    <row r="1976" spans="1:10" ht="12.75" customHeight="1" x14ac:dyDescent="0.2">
      <c r="A1976" s="681" t="s">
        <v>2370</v>
      </c>
      <c r="B1976" s="693" t="s">
        <v>4544</v>
      </c>
      <c r="C1976" s="672" t="s">
        <v>787</v>
      </c>
      <c r="D1976" s="673">
        <v>37307</v>
      </c>
      <c r="E1976" s="674">
        <v>10</v>
      </c>
      <c r="F1976" s="675">
        <v>0.1</v>
      </c>
      <c r="G1976" s="676">
        <v>1380</v>
      </c>
      <c r="H1976" s="929">
        <v>0</v>
      </c>
      <c r="I1976" s="929">
        <v>1379</v>
      </c>
      <c r="J1976" s="689">
        <f t="shared" si="31"/>
        <v>1</v>
      </c>
    </row>
    <row r="1977" spans="1:10" ht="12.75" customHeight="1" x14ac:dyDescent="0.2">
      <c r="A1977" s="681" t="s">
        <v>2370</v>
      </c>
      <c r="B1977" s="693" t="s">
        <v>4545</v>
      </c>
      <c r="C1977" s="672" t="s">
        <v>786</v>
      </c>
      <c r="D1977" s="673">
        <v>37307</v>
      </c>
      <c r="E1977" s="674">
        <v>10</v>
      </c>
      <c r="F1977" s="675">
        <v>0.1</v>
      </c>
      <c r="G1977" s="676">
        <v>1380</v>
      </c>
      <c r="H1977" s="929">
        <v>0</v>
      </c>
      <c r="I1977" s="929">
        <v>1379</v>
      </c>
      <c r="J1977" s="689">
        <f t="shared" si="31"/>
        <v>1</v>
      </c>
    </row>
    <row r="1978" spans="1:10" ht="12.75" customHeight="1" x14ac:dyDescent="0.2">
      <c r="A1978" s="681" t="s">
        <v>2370</v>
      </c>
      <c r="B1978" s="693" t="s">
        <v>4546</v>
      </c>
      <c r="C1978" s="672" t="s">
        <v>786</v>
      </c>
      <c r="D1978" s="673">
        <v>37307</v>
      </c>
      <c r="E1978" s="674">
        <v>10</v>
      </c>
      <c r="F1978" s="675">
        <v>0.1</v>
      </c>
      <c r="G1978" s="676">
        <v>1380</v>
      </c>
      <c r="H1978" s="929">
        <v>0</v>
      </c>
      <c r="I1978" s="929">
        <v>1379</v>
      </c>
      <c r="J1978" s="689">
        <f t="shared" si="31"/>
        <v>1</v>
      </c>
    </row>
    <row r="1979" spans="1:10" ht="12.75" customHeight="1" x14ac:dyDescent="0.2">
      <c r="A1979" s="681" t="s">
        <v>2370</v>
      </c>
      <c r="B1979" s="693" t="s">
        <v>4547</v>
      </c>
      <c r="C1979" s="672" t="s">
        <v>786</v>
      </c>
      <c r="D1979" s="673">
        <v>37307</v>
      </c>
      <c r="E1979" s="674">
        <v>10</v>
      </c>
      <c r="F1979" s="675">
        <v>0.1</v>
      </c>
      <c r="G1979" s="676">
        <v>1380</v>
      </c>
      <c r="H1979" s="929">
        <v>0</v>
      </c>
      <c r="I1979" s="929">
        <v>1379</v>
      </c>
      <c r="J1979" s="689">
        <f t="shared" si="31"/>
        <v>1</v>
      </c>
    </row>
    <row r="1980" spans="1:10" ht="12.75" customHeight="1" x14ac:dyDescent="0.2">
      <c r="A1980" s="681" t="s">
        <v>2370</v>
      </c>
      <c r="B1980" s="693" t="s">
        <v>4548</v>
      </c>
      <c r="C1980" s="672" t="s">
        <v>786</v>
      </c>
      <c r="D1980" s="673">
        <v>37307</v>
      </c>
      <c r="E1980" s="674">
        <v>10</v>
      </c>
      <c r="F1980" s="675">
        <v>0.1</v>
      </c>
      <c r="G1980" s="676">
        <v>1380</v>
      </c>
      <c r="H1980" s="929">
        <v>0</v>
      </c>
      <c r="I1980" s="929">
        <v>1379</v>
      </c>
      <c r="J1980" s="689">
        <f t="shared" si="31"/>
        <v>1</v>
      </c>
    </row>
    <row r="1981" spans="1:10" ht="12.75" customHeight="1" x14ac:dyDescent="0.2">
      <c r="A1981" s="681" t="s">
        <v>2370</v>
      </c>
      <c r="B1981" s="693" t="s">
        <v>4549</v>
      </c>
      <c r="C1981" s="672" t="s">
        <v>786</v>
      </c>
      <c r="D1981" s="673">
        <v>37307</v>
      </c>
      <c r="E1981" s="674">
        <v>10</v>
      </c>
      <c r="F1981" s="675">
        <v>0.1</v>
      </c>
      <c r="G1981" s="676">
        <v>1380</v>
      </c>
      <c r="H1981" s="929">
        <v>0</v>
      </c>
      <c r="I1981" s="929">
        <v>1379</v>
      </c>
      <c r="J1981" s="689">
        <f t="shared" si="31"/>
        <v>1</v>
      </c>
    </row>
    <row r="1982" spans="1:10" ht="12.75" customHeight="1" x14ac:dyDescent="0.2">
      <c r="A1982" s="681" t="s">
        <v>2370</v>
      </c>
      <c r="B1982" s="693" t="s">
        <v>4550</v>
      </c>
      <c r="C1982" s="672" t="s">
        <v>786</v>
      </c>
      <c r="D1982" s="673">
        <v>37307</v>
      </c>
      <c r="E1982" s="674">
        <v>10</v>
      </c>
      <c r="F1982" s="675">
        <v>0.1</v>
      </c>
      <c r="G1982" s="676">
        <v>1380</v>
      </c>
      <c r="H1982" s="929">
        <v>0</v>
      </c>
      <c r="I1982" s="929">
        <v>1379</v>
      </c>
      <c r="J1982" s="689">
        <f t="shared" si="31"/>
        <v>1</v>
      </c>
    </row>
    <row r="1983" spans="1:10" ht="12.75" customHeight="1" x14ac:dyDescent="0.2">
      <c r="A1983" s="681" t="s">
        <v>2370</v>
      </c>
      <c r="B1983" s="693" t="s">
        <v>4551</v>
      </c>
      <c r="C1983" s="672" t="s">
        <v>786</v>
      </c>
      <c r="D1983" s="673">
        <v>37307</v>
      </c>
      <c r="E1983" s="674">
        <v>10</v>
      </c>
      <c r="F1983" s="675">
        <v>0.1</v>
      </c>
      <c r="G1983" s="676">
        <v>1380</v>
      </c>
      <c r="H1983" s="929">
        <v>0</v>
      </c>
      <c r="I1983" s="929">
        <v>1379</v>
      </c>
      <c r="J1983" s="689">
        <f t="shared" si="31"/>
        <v>1</v>
      </c>
    </row>
    <row r="1984" spans="1:10" ht="12.75" customHeight="1" x14ac:dyDescent="0.2">
      <c r="A1984" s="681" t="s">
        <v>2370</v>
      </c>
      <c r="B1984" s="693" t="s">
        <v>4552</v>
      </c>
      <c r="C1984" s="672" t="s">
        <v>786</v>
      </c>
      <c r="D1984" s="673">
        <v>37307</v>
      </c>
      <c r="E1984" s="674">
        <v>10</v>
      </c>
      <c r="F1984" s="675">
        <v>0.1</v>
      </c>
      <c r="G1984" s="676">
        <v>1380</v>
      </c>
      <c r="H1984" s="929">
        <v>0</v>
      </c>
      <c r="I1984" s="929">
        <v>1379</v>
      </c>
      <c r="J1984" s="689">
        <f t="shared" si="31"/>
        <v>1</v>
      </c>
    </row>
    <row r="1985" spans="1:10" ht="12.75" customHeight="1" x14ac:dyDescent="0.2">
      <c r="A1985" s="681" t="s">
        <v>2370</v>
      </c>
      <c r="B1985" s="693" t="s">
        <v>4553</v>
      </c>
      <c r="C1985" s="672" t="s">
        <v>786</v>
      </c>
      <c r="D1985" s="673">
        <v>37307</v>
      </c>
      <c r="E1985" s="674">
        <v>10</v>
      </c>
      <c r="F1985" s="675">
        <v>0.1</v>
      </c>
      <c r="G1985" s="676">
        <v>1380</v>
      </c>
      <c r="H1985" s="929">
        <v>0</v>
      </c>
      <c r="I1985" s="929">
        <v>1379</v>
      </c>
      <c r="J1985" s="689">
        <f t="shared" si="31"/>
        <v>1</v>
      </c>
    </row>
    <row r="1986" spans="1:10" ht="12.75" customHeight="1" x14ac:dyDescent="0.2">
      <c r="A1986" s="681" t="s">
        <v>2370</v>
      </c>
      <c r="B1986" s="693" t="s">
        <v>4554</v>
      </c>
      <c r="C1986" s="672" t="s">
        <v>786</v>
      </c>
      <c r="D1986" s="673">
        <v>37307</v>
      </c>
      <c r="E1986" s="674">
        <v>10</v>
      </c>
      <c r="F1986" s="675">
        <v>0.1</v>
      </c>
      <c r="G1986" s="676">
        <v>1380</v>
      </c>
      <c r="H1986" s="929">
        <v>0</v>
      </c>
      <c r="I1986" s="929">
        <v>1379</v>
      </c>
      <c r="J1986" s="689">
        <f t="shared" si="31"/>
        <v>1</v>
      </c>
    </row>
    <row r="1987" spans="1:10" ht="12.75" customHeight="1" x14ac:dyDescent="0.2">
      <c r="A1987" s="681" t="s">
        <v>2370</v>
      </c>
      <c r="B1987" s="693" t="s">
        <v>4555</v>
      </c>
      <c r="C1987" s="672" t="s">
        <v>786</v>
      </c>
      <c r="D1987" s="673">
        <v>37307</v>
      </c>
      <c r="E1987" s="674">
        <v>10</v>
      </c>
      <c r="F1987" s="675">
        <v>0.1</v>
      </c>
      <c r="G1987" s="676">
        <v>1380</v>
      </c>
      <c r="H1987" s="929">
        <v>0</v>
      </c>
      <c r="I1987" s="929">
        <v>1379</v>
      </c>
      <c r="J1987" s="689">
        <f t="shared" si="31"/>
        <v>1</v>
      </c>
    </row>
    <row r="1988" spans="1:10" ht="12.75" customHeight="1" x14ac:dyDescent="0.2">
      <c r="A1988" s="681" t="s">
        <v>2370</v>
      </c>
      <c r="B1988" s="693" t="s">
        <v>4556</v>
      </c>
      <c r="C1988" s="672" t="s">
        <v>786</v>
      </c>
      <c r="D1988" s="673">
        <v>37307</v>
      </c>
      <c r="E1988" s="674">
        <v>10</v>
      </c>
      <c r="F1988" s="675">
        <v>0.1</v>
      </c>
      <c r="G1988" s="676">
        <v>1380</v>
      </c>
      <c r="H1988" s="929">
        <v>0</v>
      </c>
      <c r="I1988" s="929">
        <v>1379</v>
      </c>
      <c r="J1988" s="689">
        <f t="shared" si="31"/>
        <v>1</v>
      </c>
    </row>
    <row r="1989" spans="1:10" ht="12.75" customHeight="1" x14ac:dyDescent="0.2">
      <c r="A1989" s="681" t="s">
        <v>2370</v>
      </c>
      <c r="B1989" s="693" t="s">
        <v>4557</v>
      </c>
      <c r="C1989" s="672" t="s">
        <v>786</v>
      </c>
      <c r="D1989" s="673">
        <v>37307</v>
      </c>
      <c r="E1989" s="674">
        <v>10</v>
      </c>
      <c r="F1989" s="675">
        <v>0.1</v>
      </c>
      <c r="G1989" s="676">
        <v>1380</v>
      </c>
      <c r="H1989" s="929">
        <v>0</v>
      </c>
      <c r="I1989" s="929">
        <v>1379</v>
      </c>
      <c r="J1989" s="689">
        <f t="shared" si="31"/>
        <v>1</v>
      </c>
    </row>
    <row r="1990" spans="1:10" ht="12.75" customHeight="1" x14ac:dyDescent="0.2">
      <c r="A1990" s="681" t="s">
        <v>2370</v>
      </c>
      <c r="B1990" s="693" t="s">
        <v>4558</v>
      </c>
      <c r="C1990" s="672" t="s">
        <v>791</v>
      </c>
      <c r="D1990" s="673">
        <v>37307</v>
      </c>
      <c r="E1990" s="674">
        <v>10</v>
      </c>
      <c r="F1990" s="675">
        <v>0.1</v>
      </c>
      <c r="G1990" s="676">
        <v>1380</v>
      </c>
      <c r="H1990" s="929">
        <v>0</v>
      </c>
      <c r="I1990" s="929">
        <v>1379</v>
      </c>
      <c r="J1990" s="689">
        <f t="shared" si="31"/>
        <v>1</v>
      </c>
    </row>
    <row r="1991" spans="1:10" ht="12.75" customHeight="1" x14ac:dyDescent="0.2">
      <c r="A1991" s="681" t="s">
        <v>2370</v>
      </c>
      <c r="B1991" s="693" t="s">
        <v>4559</v>
      </c>
      <c r="C1991" s="672" t="s">
        <v>790</v>
      </c>
      <c r="D1991" s="673">
        <v>36211</v>
      </c>
      <c r="E1991" s="674">
        <v>10</v>
      </c>
      <c r="F1991" s="675">
        <v>0.1</v>
      </c>
      <c r="G1991" s="676">
        <v>1380</v>
      </c>
      <c r="H1991" s="929">
        <v>0</v>
      </c>
      <c r="I1991" s="929">
        <v>1379</v>
      </c>
      <c r="J1991" s="689">
        <f t="shared" ref="J1991:J2054" si="32">G1991-I1991</f>
        <v>1</v>
      </c>
    </row>
    <row r="1992" spans="1:10" ht="12.75" customHeight="1" x14ac:dyDescent="0.2">
      <c r="A1992" s="681" t="s">
        <v>2370</v>
      </c>
      <c r="B1992" s="693" t="s">
        <v>4560</v>
      </c>
      <c r="C1992" s="672" t="s">
        <v>791</v>
      </c>
      <c r="D1992" s="673">
        <v>36211</v>
      </c>
      <c r="E1992" s="674">
        <v>10</v>
      </c>
      <c r="F1992" s="675">
        <v>0.1</v>
      </c>
      <c r="G1992" s="676">
        <v>1380</v>
      </c>
      <c r="H1992" s="929">
        <v>0</v>
      </c>
      <c r="I1992" s="929">
        <v>1379</v>
      </c>
      <c r="J1992" s="689">
        <f t="shared" si="32"/>
        <v>1</v>
      </c>
    </row>
    <row r="1993" spans="1:10" ht="12.75" customHeight="1" x14ac:dyDescent="0.2">
      <c r="A1993" s="681" t="s">
        <v>2370</v>
      </c>
      <c r="B1993" s="693" t="s">
        <v>4561</v>
      </c>
      <c r="C1993" s="672" t="s">
        <v>791</v>
      </c>
      <c r="D1993" s="673">
        <v>35846</v>
      </c>
      <c r="E1993" s="674">
        <v>10</v>
      </c>
      <c r="F1993" s="675">
        <v>0.1</v>
      </c>
      <c r="G1993" s="676">
        <v>1380</v>
      </c>
      <c r="H1993" s="929">
        <v>0</v>
      </c>
      <c r="I1993" s="929">
        <v>1379</v>
      </c>
      <c r="J1993" s="689">
        <f t="shared" si="32"/>
        <v>1</v>
      </c>
    </row>
    <row r="1994" spans="1:10" ht="12.75" customHeight="1" x14ac:dyDescent="0.2">
      <c r="A1994" s="681" t="s">
        <v>2370</v>
      </c>
      <c r="B1994" s="693" t="s">
        <v>4562</v>
      </c>
      <c r="C1994" s="672" t="s">
        <v>791</v>
      </c>
      <c r="D1994" s="673">
        <v>36211</v>
      </c>
      <c r="E1994" s="674">
        <v>10</v>
      </c>
      <c r="F1994" s="675">
        <v>0.1</v>
      </c>
      <c r="G1994" s="676">
        <v>1380</v>
      </c>
      <c r="H1994" s="929">
        <v>0</v>
      </c>
      <c r="I1994" s="929">
        <v>1379</v>
      </c>
      <c r="J1994" s="689">
        <f t="shared" si="32"/>
        <v>1</v>
      </c>
    </row>
    <row r="1995" spans="1:10" ht="12.75" customHeight="1" x14ac:dyDescent="0.2">
      <c r="A1995" s="681" t="s">
        <v>2372</v>
      </c>
      <c r="B1995" s="693" t="s">
        <v>4563</v>
      </c>
      <c r="C1995" s="672" t="s">
        <v>1049</v>
      </c>
      <c r="D1995" s="673">
        <v>35115</v>
      </c>
      <c r="E1995" s="674">
        <v>10</v>
      </c>
      <c r="F1995" s="675">
        <v>0.1</v>
      </c>
      <c r="G1995" s="676">
        <v>1380</v>
      </c>
      <c r="H1995" s="929">
        <v>0</v>
      </c>
      <c r="I1995" s="929">
        <v>1379</v>
      </c>
      <c r="J1995" s="689">
        <f t="shared" si="32"/>
        <v>1</v>
      </c>
    </row>
    <row r="1996" spans="1:10" ht="12.75" customHeight="1" x14ac:dyDescent="0.2">
      <c r="A1996" s="681" t="s">
        <v>2372</v>
      </c>
      <c r="B1996" s="693" t="s">
        <v>4564</v>
      </c>
      <c r="C1996" s="672" t="s">
        <v>895</v>
      </c>
      <c r="D1996" s="673">
        <v>40594</v>
      </c>
      <c r="E1996" s="674">
        <v>3</v>
      </c>
      <c r="F1996" s="675">
        <v>0.33</v>
      </c>
      <c r="G1996" s="676">
        <v>1392</v>
      </c>
      <c r="H1996" s="929">
        <v>0</v>
      </c>
      <c r="I1996" s="929">
        <v>1391</v>
      </c>
      <c r="J1996" s="689">
        <f t="shared" si="32"/>
        <v>1</v>
      </c>
    </row>
    <row r="1997" spans="1:10" ht="12.75" customHeight="1" x14ac:dyDescent="0.2">
      <c r="A1997" s="681" t="s">
        <v>2371</v>
      </c>
      <c r="B1997" s="693" t="s">
        <v>4565</v>
      </c>
      <c r="C1997" s="672" t="s">
        <v>972</v>
      </c>
      <c r="D1997" s="673">
        <v>36576</v>
      </c>
      <c r="E1997" s="674">
        <v>3</v>
      </c>
      <c r="F1997" s="675">
        <v>0.33</v>
      </c>
      <c r="G1997" s="676">
        <v>1392</v>
      </c>
      <c r="H1997" s="929">
        <v>0</v>
      </c>
      <c r="I1997" s="929">
        <v>1392</v>
      </c>
      <c r="J1997" s="689">
        <f t="shared" si="32"/>
        <v>0</v>
      </c>
    </row>
    <row r="1998" spans="1:10" ht="12.75" customHeight="1" x14ac:dyDescent="0.2">
      <c r="A1998" s="681" t="s">
        <v>2372</v>
      </c>
      <c r="B1998" s="693" t="s">
        <v>4566</v>
      </c>
      <c r="C1998" s="672" t="s">
        <v>1066</v>
      </c>
      <c r="D1998" s="673">
        <v>36211</v>
      </c>
      <c r="E1998" s="674">
        <v>10</v>
      </c>
      <c r="F1998" s="675">
        <v>0.1</v>
      </c>
      <c r="G1998" s="676">
        <v>1397</v>
      </c>
      <c r="H1998" s="929">
        <v>0</v>
      </c>
      <c r="I1998" s="929">
        <v>1396</v>
      </c>
      <c r="J1998" s="689">
        <f t="shared" si="32"/>
        <v>1</v>
      </c>
    </row>
    <row r="1999" spans="1:10" ht="12.75" customHeight="1" x14ac:dyDescent="0.2">
      <c r="A1999" s="681" t="s">
        <v>2370</v>
      </c>
      <c r="B1999" s="693" t="s">
        <v>4567</v>
      </c>
      <c r="C1999" s="672" t="s">
        <v>791</v>
      </c>
      <c r="D1999" s="673">
        <v>36211</v>
      </c>
      <c r="E1999" s="674">
        <v>10</v>
      </c>
      <c r="F1999" s="675">
        <v>0.1</v>
      </c>
      <c r="G1999" s="676">
        <v>1414</v>
      </c>
      <c r="H1999" s="929">
        <v>0</v>
      </c>
      <c r="I1999" s="929">
        <v>1413</v>
      </c>
      <c r="J1999" s="689">
        <f t="shared" si="32"/>
        <v>1</v>
      </c>
    </row>
    <row r="2000" spans="1:10" ht="12.75" customHeight="1" x14ac:dyDescent="0.2">
      <c r="A2000" s="681" t="s">
        <v>2370</v>
      </c>
      <c r="B2000" s="693" t="s">
        <v>4568</v>
      </c>
      <c r="C2000" s="672" t="s">
        <v>790</v>
      </c>
      <c r="D2000" s="673">
        <v>36211</v>
      </c>
      <c r="E2000" s="674">
        <v>10</v>
      </c>
      <c r="F2000" s="675">
        <v>0.1</v>
      </c>
      <c r="G2000" s="676">
        <v>1438</v>
      </c>
      <c r="H2000" s="929">
        <v>0</v>
      </c>
      <c r="I2000" s="929">
        <v>1437</v>
      </c>
      <c r="J2000" s="689">
        <f t="shared" si="32"/>
        <v>1</v>
      </c>
    </row>
    <row r="2001" spans="1:10" ht="12.75" customHeight="1" x14ac:dyDescent="0.2">
      <c r="A2001" s="681" t="s">
        <v>2370</v>
      </c>
      <c r="B2001" s="693" t="s">
        <v>4569</v>
      </c>
      <c r="C2001" s="672" t="s">
        <v>790</v>
      </c>
      <c r="D2001" s="673">
        <v>36576</v>
      </c>
      <c r="E2001" s="674">
        <v>10</v>
      </c>
      <c r="F2001" s="675">
        <v>0.1</v>
      </c>
      <c r="G2001" s="676">
        <v>1438</v>
      </c>
      <c r="H2001" s="929">
        <v>0</v>
      </c>
      <c r="I2001" s="929">
        <v>1437</v>
      </c>
      <c r="J2001" s="689">
        <f t="shared" si="32"/>
        <v>1</v>
      </c>
    </row>
    <row r="2002" spans="1:10" ht="12.75" customHeight="1" x14ac:dyDescent="0.2">
      <c r="A2002" s="681" t="s">
        <v>2370</v>
      </c>
      <c r="B2002" s="693" t="s">
        <v>4570</v>
      </c>
      <c r="C2002" s="672" t="s">
        <v>791</v>
      </c>
      <c r="D2002" s="673">
        <v>37307</v>
      </c>
      <c r="E2002" s="674">
        <v>10</v>
      </c>
      <c r="F2002" s="675">
        <v>0.1</v>
      </c>
      <c r="G2002" s="676">
        <v>1438</v>
      </c>
      <c r="H2002" s="929">
        <v>0</v>
      </c>
      <c r="I2002" s="929">
        <v>1437</v>
      </c>
      <c r="J2002" s="689">
        <f t="shared" si="32"/>
        <v>1</v>
      </c>
    </row>
    <row r="2003" spans="1:10" ht="12.75" customHeight="1" x14ac:dyDescent="0.2">
      <c r="A2003" s="681" t="s">
        <v>2372</v>
      </c>
      <c r="B2003" s="693" t="s">
        <v>4571</v>
      </c>
      <c r="C2003" s="672" t="s">
        <v>1033</v>
      </c>
      <c r="D2003" s="673">
        <v>37672</v>
      </c>
      <c r="E2003" s="674">
        <v>3</v>
      </c>
      <c r="F2003" s="675">
        <v>0.33</v>
      </c>
      <c r="G2003" s="676">
        <v>1450</v>
      </c>
      <c r="H2003" s="929">
        <v>0</v>
      </c>
      <c r="I2003" s="929">
        <v>1449</v>
      </c>
      <c r="J2003" s="689">
        <f t="shared" si="32"/>
        <v>1</v>
      </c>
    </row>
    <row r="2004" spans="1:10" ht="12.75" customHeight="1" x14ac:dyDescent="0.2">
      <c r="A2004" s="681" t="s">
        <v>2372</v>
      </c>
      <c r="B2004" s="693" t="s">
        <v>4572</v>
      </c>
      <c r="C2004" s="672" t="s">
        <v>1033</v>
      </c>
      <c r="D2004" s="673">
        <v>37672</v>
      </c>
      <c r="E2004" s="674">
        <v>3</v>
      </c>
      <c r="F2004" s="675">
        <v>0.33</v>
      </c>
      <c r="G2004" s="676">
        <v>1450</v>
      </c>
      <c r="H2004" s="929">
        <v>0</v>
      </c>
      <c r="I2004" s="929">
        <v>1449</v>
      </c>
      <c r="J2004" s="689">
        <f t="shared" si="32"/>
        <v>1</v>
      </c>
    </row>
    <row r="2005" spans="1:10" ht="12.75" customHeight="1" x14ac:dyDescent="0.2">
      <c r="A2005" s="681" t="s">
        <v>2370</v>
      </c>
      <c r="B2005" s="693" t="s">
        <v>4573</v>
      </c>
      <c r="C2005" s="672" t="s">
        <v>921</v>
      </c>
      <c r="D2005" s="673">
        <v>36576</v>
      </c>
      <c r="E2005" s="674">
        <v>10</v>
      </c>
      <c r="F2005" s="675">
        <v>0.1</v>
      </c>
      <c r="G2005" s="676">
        <v>1457</v>
      </c>
      <c r="H2005" s="929">
        <v>0</v>
      </c>
      <c r="I2005" s="929">
        <v>1456</v>
      </c>
      <c r="J2005" s="689">
        <f t="shared" si="32"/>
        <v>1</v>
      </c>
    </row>
    <row r="2006" spans="1:10" ht="12.75" customHeight="1" x14ac:dyDescent="0.2">
      <c r="A2006" s="681" t="s">
        <v>2370</v>
      </c>
      <c r="B2006" s="693" t="s">
        <v>4574</v>
      </c>
      <c r="C2006" s="672" t="s">
        <v>791</v>
      </c>
      <c r="D2006" s="673">
        <v>35481</v>
      </c>
      <c r="E2006" s="674">
        <v>10</v>
      </c>
      <c r="F2006" s="675">
        <v>0.1</v>
      </c>
      <c r="G2006" s="676">
        <v>1469</v>
      </c>
      <c r="H2006" s="929">
        <v>0</v>
      </c>
      <c r="I2006" s="929">
        <v>1468</v>
      </c>
      <c r="J2006" s="689">
        <f t="shared" si="32"/>
        <v>1</v>
      </c>
    </row>
    <row r="2007" spans="1:10" ht="12.75" customHeight="1" x14ac:dyDescent="0.2">
      <c r="A2007" s="681" t="s">
        <v>2370</v>
      </c>
      <c r="B2007" s="693" t="s">
        <v>4575</v>
      </c>
      <c r="C2007" s="672" t="s">
        <v>806</v>
      </c>
      <c r="D2007" s="673">
        <v>35481</v>
      </c>
      <c r="E2007" s="674">
        <v>10</v>
      </c>
      <c r="F2007" s="675">
        <v>0.1</v>
      </c>
      <c r="G2007" s="676">
        <v>1472</v>
      </c>
      <c r="H2007" s="929">
        <v>0</v>
      </c>
      <c r="I2007" s="929">
        <v>1471</v>
      </c>
      <c r="J2007" s="689">
        <f t="shared" si="32"/>
        <v>1</v>
      </c>
    </row>
    <row r="2008" spans="1:10" ht="12.75" customHeight="1" x14ac:dyDescent="0.2">
      <c r="A2008" s="681" t="s">
        <v>2370</v>
      </c>
      <c r="B2008" s="693" t="s">
        <v>4576</v>
      </c>
      <c r="C2008" s="672" t="s">
        <v>892</v>
      </c>
      <c r="D2008" s="673">
        <v>39498</v>
      </c>
      <c r="E2008" s="674">
        <v>3</v>
      </c>
      <c r="F2008" s="675">
        <v>0.33</v>
      </c>
      <c r="G2008" s="676">
        <v>1473</v>
      </c>
      <c r="H2008" s="929">
        <v>0</v>
      </c>
      <c r="I2008" s="929">
        <v>1472</v>
      </c>
      <c r="J2008" s="689">
        <f t="shared" si="32"/>
        <v>1</v>
      </c>
    </row>
    <row r="2009" spans="1:10" ht="12.75" customHeight="1" x14ac:dyDescent="0.2">
      <c r="A2009" s="681" t="s">
        <v>2370</v>
      </c>
      <c r="B2009" s="693" t="s">
        <v>4577</v>
      </c>
      <c r="C2009" s="672" t="s">
        <v>816</v>
      </c>
      <c r="D2009" s="673">
        <v>36576</v>
      </c>
      <c r="E2009" s="674">
        <v>10</v>
      </c>
      <c r="F2009" s="675">
        <v>0.1</v>
      </c>
      <c r="G2009" s="676">
        <v>1484</v>
      </c>
      <c r="H2009" s="929">
        <v>0</v>
      </c>
      <c r="I2009" s="929">
        <v>1483</v>
      </c>
      <c r="J2009" s="689">
        <f t="shared" si="32"/>
        <v>1</v>
      </c>
    </row>
    <row r="2010" spans="1:10" ht="12.75" customHeight="1" x14ac:dyDescent="0.2">
      <c r="A2010" s="681" t="s">
        <v>2370</v>
      </c>
      <c r="B2010" s="693" t="s">
        <v>4578</v>
      </c>
      <c r="C2010" s="672" t="s">
        <v>816</v>
      </c>
      <c r="D2010" s="673">
        <v>36576</v>
      </c>
      <c r="E2010" s="674">
        <v>10</v>
      </c>
      <c r="F2010" s="675">
        <v>0.1</v>
      </c>
      <c r="G2010" s="676">
        <v>1484</v>
      </c>
      <c r="H2010" s="929">
        <v>0</v>
      </c>
      <c r="I2010" s="929">
        <v>1483</v>
      </c>
      <c r="J2010" s="689">
        <f t="shared" si="32"/>
        <v>1</v>
      </c>
    </row>
    <row r="2011" spans="1:10" ht="12.75" customHeight="1" x14ac:dyDescent="0.2">
      <c r="A2011" s="681" t="s">
        <v>2370</v>
      </c>
      <c r="B2011" s="693" t="s">
        <v>4579</v>
      </c>
      <c r="C2011" s="672" t="s">
        <v>787</v>
      </c>
      <c r="D2011" s="673">
        <v>37307</v>
      </c>
      <c r="E2011" s="674">
        <v>10</v>
      </c>
      <c r="F2011" s="675">
        <v>0.1</v>
      </c>
      <c r="G2011" s="676">
        <v>1484</v>
      </c>
      <c r="H2011" s="929">
        <v>0</v>
      </c>
      <c r="I2011" s="929">
        <v>1483</v>
      </c>
      <c r="J2011" s="689">
        <f t="shared" si="32"/>
        <v>1</v>
      </c>
    </row>
    <row r="2012" spans="1:10" ht="12.75" customHeight="1" x14ac:dyDescent="0.2">
      <c r="A2012" s="681" t="s">
        <v>2372</v>
      </c>
      <c r="B2012" s="693" t="s">
        <v>4580</v>
      </c>
      <c r="C2012" s="672" t="s">
        <v>895</v>
      </c>
      <c r="D2012" s="673">
        <v>39498</v>
      </c>
      <c r="E2012" s="674">
        <v>3</v>
      </c>
      <c r="F2012" s="675">
        <v>0.33</v>
      </c>
      <c r="G2012" s="676">
        <v>1485</v>
      </c>
      <c r="H2012" s="929">
        <v>0</v>
      </c>
      <c r="I2012" s="929">
        <v>1484</v>
      </c>
      <c r="J2012" s="689">
        <f t="shared" si="32"/>
        <v>1</v>
      </c>
    </row>
    <row r="2013" spans="1:10" ht="12.75" customHeight="1" x14ac:dyDescent="0.2">
      <c r="A2013" s="681" t="s">
        <v>2370</v>
      </c>
      <c r="B2013" s="693" t="s">
        <v>4581</v>
      </c>
      <c r="C2013" s="672" t="s">
        <v>791</v>
      </c>
      <c r="D2013" s="673">
        <v>36576</v>
      </c>
      <c r="E2013" s="674">
        <v>10</v>
      </c>
      <c r="F2013" s="675">
        <v>0.1</v>
      </c>
      <c r="G2013" s="676">
        <v>1488</v>
      </c>
      <c r="H2013" s="929">
        <v>0</v>
      </c>
      <c r="I2013" s="929">
        <v>1487</v>
      </c>
      <c r="J2013" s="689">
        <f t="shared" si="32"/>
        <v>1</v>
      </c>
    </row>
    <row r="2014" spans="1:10" ht="12.75" customHeight="1" x14ac:dyDescent="0.2">
      <c r="A2014" s="681" t="s">
        <v>2370</v>
      </c>
      <c r="B2014" s="693" t="s">
        <v>4582</v>
      </c>
      <c r="C2014" s="672" t="s">
        <v>791</v>
      </c>
      <c r="D2014" s="673">
        <v>38037</v>
      </c>
      <c r="E2014" s="674">
        <v>10</v>
      </c>
      <c r="F2014" s="675">
        <v>0.1</v>
      </c>
      <c r="G2014" s="676">
        <v>1488</v>
      </c>
      <c r="H2014" s="929">
        <v>0</v>
      </c>
      <c r="I2014" s="929">
        <v>1487</v>
      </c>
      <c r="J2014" s="689">
        <f t="shared" si="32"/>
        <v>1</v>
      </c>
    </row>
    <row r="2015" spans="1:10" ht="12.75" customHeight="1" x14ac:dyDescent="0.2">
      <c r="A2015" s="681" t="s">
        <v>2370</v>
      </c>
      <c r="B2015" s="693" t="s">
        <v>4583</v>
      </c>
      <c r="C2015" s="672" t="s">
        <v>791</v>
      </c>
      <c r="D2015" s="673">
        <v>37672</v>
      </c>
      <c r="E2015" s="674">
        <v>10</v>
      </c>
      <c r="F2015" s="675">
        <v>0.1</v>
      </c>
      <c r="G2015" s="676">
        <v>1488</v>
      </c>
      <c r="H2015" s="929">
        <v>0</v>
      </c>
      <c r="I2015" s="929">
        <v>1487</v>
      </c>
      <c r="J2015" s="689">
        <f t="shared" si="32"/>
        <v>1</v>
      </c>
    </row>
    <row r="2016" spans="1:10" ht="12.75" customHeight="1" x14ac:dyDescent="0.2">
      <c r="A2016" s="681" t="s">
        <v>2370</v>
      </c>
      <c r="B2016" s="693" t="s">
        <v>4584</v>
      </c>
      <c r="C2016" s="672" t="s">
        <v>787</v>
      </c>
      <c r="D2016" s="673">
        <v>36576</v>
      </c>
      <c r="E2016" s="674">
        <v>10</v>
      </c>
      <c r="F2016" s="675">
        <v>0.1</v>
      </c>
      <c r="G2016" s="676">
        <v>1495</v>
      </c>
      <c r="H2016" s="929">
        <v>0</v>
      </c>
      <c r="I2016" s="929">
        <v>1494</v>
      </c>
      <c r="J2016" s="689">
        <f t="shared" si="32"/>
        <v>1</v>
      </c>
    </row>
    <row r="2017" spans="1:10" ht="12.75" customHeight="1" x14ac:dyDescent="0.2">
      <c r="A2017" s="681" t="s">
        <v>2370</v>
      </c>
      <c r="B2017" s="693" t="s">
        <v>4585</v>
      </c>
      <c r="C2017" s="672" t="s">
        <v>786</v>
      </c>
      <c r="D2017" s="673">
        <v>37672</v>
      </c>
      <c r="E2017" s="674">
        <v>10</v>
      </c>
      <c r="F2017" s="675">
        <v>0.1</v>
      </c>
      <c r="G2017" s="676">
        <v>1495</v>
      </c>
      <c r="H2017" s="929">
        <v>0</v>
      </c>
      <c r="I2017" s="929">
        <v>1494</v>
      </c>
      <c r="J2017" s="689">
        <f t="shared" si="32"/>
        <v>1</v>
      </c>
    </row>
    <row r="2018" spans="1:10" ht="12.75" customHeight="1" x14ac:dyDescent="0.2">
      <c r="A2018" s="681" t="s">
        <v>2370</v>
      </c>
      <c r="B2018" s="693" t="s">
        <v>4586</v>
      </c>
      <c r="C2018" s="672" t="s">
        <v>786</v>
      </c>
      <c r="D2018" s="673">
        <v>37672</v>
      </c>
      <c r="E2018" s="674">
        <v>10</v>
      </c>
      <c r="F2018" s="675">
        <v>0.1</v>
      </c>
      <c r="G2018" s="676">
        <v>1495</v>
      </c>
      <c r="H2018" s="929">
        <v>0</v>
      </c>
      <c r="I2018" s="929">
        <v>1494</v>
      </c>
      <c r="J2018" s="689">
        <f t="shared" si="32"/>
        <v>1</v>
      </c>
    </row>
    <row r="2019" spans="1:10" ht="12.75" customHeight="1" x14ac:dyDescent="0.2">
      <c r="A2019" s="681" t="s">
        <v>2370</v>
      </c>
      <c r="B2019" s="693" t="s">
        <v>4587</v>
      </c>
      <c r="C2019" s="672" t="s">
        <v>786</v>
      </c>
      <c r="D2019" s="673">
        <v>37672</v>
      </c>
      <c r="E2019" s="674">
        <v>10</v>
      </c>
      <c r="F2019" s="675">
        <v>0.1</v>
      </c>
      <c r="G2019" s="676">
        <v>1495</v>
      </c>
      <c r="H2019" s="929">
        <v>0</v>
      </c>
      <c r="I2019" s="929">
        <v>1494</v>
      </c>
      <c r="J2019" s="689">
        <f t="shared" si="32"/>
        <v>1</v>
      </c>
    </row>
    <row r="2020" spans="1:10" ht="12.75" customHeight="1" x14ac:dyDescent="0.2">
      <c r="A2020" s="681" t="s">
        <v>2370</v>
      </c>
      <c r="B2020" s="693" t="s">
        <v>4588</v>
      </c>
      <c r="C2020" s="672" t="s">
        <v>786</v>
      </c>
      <c r="D2020" s="673">
        <v>37672</v>
      </c>
      <c r="E2020" s="674">
        <v>10</v>
      </c>
      <c r="F2020" s="675">
        <v>0.1</v>
      </c>
      <c r="G2020" s="676">
        <v>1495</v>
      </c>
      <c r="H2020" s="929">
        <v>0</v>
      </c>
      <c r="I2020" s="929">
        <v>1494</v>
      </c>
      <c r="J2020" s="689">
        <f t="shared" si="32"/>
        <v>1</v>
      </c>
    </row>
    <row r="2021" spans="1:10" ht="12.75" customHeight="1" x14ac:dyDescent="0.2">
      <c r="A2021" s="681" t="s">
        <v>2370</v>
      </c>
      <c r="B2021" s="693" t="s">
        <v>4589</v>
      </c>
      <c r="C2021" s="672" t="s">
        <v>786</v>
      </c>
      <c r="D2021" s="673">
        <v>37672</v>
      </c>
      <c r="E2021" s="674">
        <v>10</v>
      </c>
      <c r="F2021" s="675">
        <v>0.1</v>
      </c>
      <c r="G2021" s="676">
        <v>1495</v>
      </c>
      <c r="H2021" s="929">
        <v>0</v>
      </c>
      <c r="I2021" s="929">
        <v>1494</v>
      </c>
      <c r="J2021" s="689">
        <f t="shared" si="32"/>
        <v>1</v>
      </c>
    </row>
    <row r="2022" spans="1:10" ht="12.75" customHeight="1" x14ac:dyDescent="0.2">
      <c r="A2022" s="681" t="s">
        <v>2370</v>
      </c>
      <c r="B2022" s="693" t="s">
        <v>4590</v>
      </c>
      <c r="C2022" s="672" t="s">
        <v>786</v>
      </c>
      <c r="D2022" s="673">
        <v>37672</v>
      </c>
      <c r="E2022" s="674">
        <v>10</v>
      </c>
      <c r="F2022" s="675">
        <v>0.1</v>
      </c>
      <c r="G2022" s="676">
        <v>1495</v>
      </c>
      <c r="H2022" s="929">
        <v>0</v>
      </c>
      <c r="I2022" s="929">
        <v>1494</v>
      </c>
      <c r="J2022" s="689">
        <f t="shared" si="32"/>
        <v>1</v>
      </c>
    </row>
    <row r="2023" spans="1:10" ht="12.75" customHeight="1" x14ac:dyDescent="0.2">
      <c r="A2023" s="681" t="s">
        <v>2370</v>
      </c>
      <c r="B2023" s="693" t="s">
        <v>4591</v>
      </c>
      <c r="C2023" s="672" t="s">
        <v>786</v>
      </c>
      <c r="D2023" s="673">
        <v>37672</v>
      </c>
      <c r="E2023" s="674">
        <v>10</v>
      </c>
      <c r="F2023" s="675">
        <v>0.1</v>
      </c>
      <c r="G2023" s="676">
        <v>1495</v>
      </c>
      <c r="H2023" s="929">
        <v>0</v>
      </c>
      <c r="I2023" s="929">
        <v>1494</v>
      </c>
      <c r="J2023" s="689">
        <f t="shared" si="32"/>
        <v>1</v>
      </c>
    </row>
    <row r="2024" spans="1:10" ht="12.75" customHeight="1" x14ac:dyDescent="0.2">
      <c r="A2024" s="681" t="s">
        <v>2370</v>
      </c>
      <c r="B2024" s="693" t="s">
        <v>4592</v>
      </c>
      <c r="C2024" s="672" t="s">
        <v>786</v>
      </c>
      <c r="D2024" s="673">
        <v>37672</v>
      </c>
      <c r="E2024" s="674">
        <v>10</v>
      </c>
      <c r="F2024" s="675">
        <v>0.1</v>
      </c>
      <c r="G2024" s="676">
        <v>1495</v>
      </c>
      <c r="H2024" s="929">
        <v>0</v>
      </c>
      <c r="I2024" s="929">
        <v>1494</v>
      </c>
      <c r="J2024" s="689">
        <f t="shared" si="32"/>
        <v>1</v>
      </c>
    </row>
    <row r="2025" spans="1:10" ht="12.75" customHeight="1" x14ac:dyDescent="0.2">
      <c r="A2025" s="681" t="s">
        <v>2370</v>
      </c>
      <c r="B2025" s="693" t="s">
        <v>4593</v>
      </c>
      <c r="C2025" s="672" t="s">
        <v>786</v>
      </c>
      <c r="D2025" s="673">
        <v>37672</v>
      </c>
      <c r="E2025" s="674">
        <v>10</v>
      </c>
      <c r="F2025" s="675">
        <v>0.1</v>
      </c>
      <c r="G2025" s="676">
        <v>1495</v>
      </c>
      <c r="H2025" s="929">
        <v>0</v>
      </c>
      <c r="I2025" s="929">
        <v>1494</v>
      </c>
      <c r="J2025" s="689">
        <f t="shared" si="32"/>
        <v>1</v>
      </c>
    </row>
    <row r="2026" spans="1:10" ht="12.75" customHeight="1" x14ac:dyDescent="0.2">
      <c r="A2026" s="681" t="s">
        <v>2370</v>
      </c>
      <c r="B2026" s="693" t="s">
        <v>4594</v>
      </c>
      <c r="C2026" s="672" t="s">
        <v>786</v>
      </c>
      <c r="D2026" s="673">
        <v>37672</v>
      </c>
      <c r="E2026" s="674">
        <v>10</v>
      </c>
      <c r="F2026" s="675">
        <v>0.1</v>
      </c>
      <c r="G2026" s="676">
        <v>1495</v>
      </c>
      <c r="H2026" s="929">
        <v>0</v>
      </c>
      <c r="I2026" s="929">
        <v>1494</v>
      </c>
      <c r="J2026" s="689">
        <f t="shared" si="32"/>
        <v>1</v>
      </c>
    </row>
    <row r="2027" spans="1:10" ht="12.75" customHeight="1" x14ac:dyDescent="0.2">
      <c r="A2027" s="681" t="s">
        <v>2370</v>
      </c>
      <c r="B2027" s="693" t="s">
        <v>4595</v>
      </c>
      <c r="C2027" s="672" t="s">
        <v>786</v>
      </c>
      <c r="D2027" s="673">
        <v>37672</v>
      </c>
      <c r="E2027" s="674">
        <v>10</v>
      </c>
      <c r="F2027" s="675">
        <v>0.1</v>
      </c>
      <c r="G2027" s="676">
        <v>1495</v>
      </c>
      <c r="H2027" s="929">
        <v>0</v>
      </c>
      <c r="I2027" s="929">
        <v>1494</v>
      </c>
      <c r="J2027" s="689">
        <f t="shared" si="32"/>
        <v>1</v>
      </c>
    </row>
    <row r="2028" spans="1:10" ht="12.75" customHeight="1" x14ac:dyDescent="0.2">
      <c r="A2028" s="681" t="s">
        <v>2370</v>
      </c>
      <c r="B2028" s="693" t="s">
        <v>4596</v>
      </c>
      <c r="C2028" s="672" t="s">
        <v>786</v>
      </c>
      <c r="D2028" s="673">
        <v>36211</v>
      </c>
      <c r="E2028" s="674">
        <v>10</v>
      </c>
      <c r="F2028" s="675">
        <v>0.1</v>
      </c>
      <c r="G2028" s="676">
        <v>1495</v>
      </c>
      <c r="H2028" s="929">
        <v>0</v>
      </c>
      <c r="I2028" s="929">
        <v>1494</v>
      </c>
      <c r="J2028" s="689">
        <f t="shared" si="32"/>
        <v>1</v>
      </c>
    </row>
    <row r="2029" spans="1:10" ht="12.75" customHeight="1" x14ac:dyDescent="0.2">
      <c r="A2029" s="681" t="s">
        <v>2370</v>
      </c>
      <c r="B2029" s="693" t="s">
        <v>4597</v>
      </c>
      <c r="C2029" s="672" t="s">
        <v>786</v>
      </c>
      <c r="D2029" s="673">
        <v>37672</v>
      </c>
      <c r="E2029" s="674">
        <v>10</v>
      </c>
      <c r="F2029" s="675">
        <v>0.1</v>
      </c>
      <c r="G2029" s="676">
        <v>1495</v>
      </c>
      <c r="H2029" s="929">
        <v>0</v>
      </c>
      <c r="I2029" s="929">
        <v>1494</v>
      </c>
      <c r="J2029" s="689">
        <f t="shared" si="32"/>
        <v>1</v>
      </c>
    </row>
    <row r="2030" spans="1:10" ht="12.75" customHeight="1" x14ac:dyDescent="0.2">
      <c r="A2030" s="681" t="s">
        <v>2370</v>
      </c>
      <c r="B2030" s="693" t="s">
        <v>4598</v>
      </c>
      <c r="C2030" s="672" t="s">
        <v>786</v>
      </c>
      <c r="D2030" s="673">
        <v>37672</v>
      </c>
      <c r="E2030" s="674">
        <v>10</v>
      </c>
      <c r="F2030" s="675">
        <v>0.1</v>
      </c>
      <c r="G2030" s="676">
        <v>1495</v>
      </c>
      <c r="H2030" s="929">
        <v>0</v>
      </c>
      <c r="I2030" s="929">
        <v>1494</v>
      </c>
      <c r="J2030" s="689">
        <f t="shared" si="32"/>
        <v>1</v>
      </c>
    </row>
    <row r="2031" spans="1:10" ht="12.75" customHeight="1" x14ac:dyDescent="0.2">
      <c r="A2031" s="681" t="s">
        <v>2370</v>
      </c>
      <c r="B2031" s="693" t="s">
        <v>4599</v>
      </c>
      <c r="C2031" s="672" t="s">
        <v>786</v>
      </c>
      <c r="D2031" s="673">
        <v>37672</v>
      </c>
      <c r="E2031" s="674">
        <v>10</v>
      </c>
      <c r="F2031" s="675">
        <v>0.1</v>
      </c>
      <c r="G2031" s="676">
        <v>1495</v>
      </c>
      <c r="H2031" s="929">
        <v>0</v>
      </c>
      <c r="I2031" s="929">
        <v>1494</v>
      </c>
      <c r="J2031" s="689">
        <f t="shared" si="32"/>
        <v>1</v>
      </c>
    </row>
    <row r="2032" spans="1:10" ht="12.75" customHeight="1" x14ac:dyDescent="0.2">
      <c r="A2032" s="681" t="s">
        <v>2370</v>
      </c>
      <c r="B2032" s="693" t="s">
        <v>4600</v>
      </c>
      <c r="C2032" s="672" t="s">
        <v>786</v>
      </c>
      <c r="D2032" s="673">
        <v>37672</v>
      </c>
      <c r="E2032" s="674">
        <v>10</v>
      </c>
      <c r="F2032" s="675">
        <v>0.1</v>
      </c>
      <c r="G2032" s="676">
        <v>1495</v>
      </c>
      <c r="H2032" s="929">
        <v>0</v>
      </c>
      <c r="I2032" s="929">
        <v>1494</v>
      </c>
      <c r="J2032" s="689">
        <f t="shared" si="32"/>
        <v>1</v>
      </c>
    </row>
    <row r="2033" spans="1:10" ht="12.75" customHeight="1" x14ac:dyDescent="0.2">
      <c r="A2033" s="681" t="s">
        <v>2370</v>
      </c>
      <c r="B2033" s="693" t="s">
        <v>4601</v>
      </c>
      <c r="C2033" s="672" t="s">
        <v>787</v>
      </c>
      <c r="D2033" s="673">
        <v>36211</v>
      </c>
      <c r="E2033" s="674">
        <v>10</v>
      </c>
      <c r="F2033" s="675">
        <v>0.1</v>
      </c>
      <c r="G2033" s="676">
        <v>1500</v>
      </c>
      <c r="H2033" s="929">
        <v>0</v>
      </c>
      <c r="I2033" s="929">
        <v>1499</v>
      </c>
      <c r="J2033" s="689">
        <f t="shared" si="32"/>
        <v>1</v>
      </c>
    </row>
    <row r="2034" spans="1:10" ht="12.75" customHeight="1" x14ac:dyDescent="0.2">
      <c r="A2034" s="681" t="s">
        <v>2370</v>
      </c>
      <c r="B2034" s="693" t="s">
        <v>4602</v>
      </c>
      <c r="C2034" s="672" t="s">
        <v>791</v>
      </c>
      <c r="D2034" s="673">
        <v>37672</v>
      </c>
      <c r="E2034" s="674">
        <v>10</v>
      </c>
      <c r="F2034" s="675">
        <v>0.1</v>
      </c>
      <c r="G2034" s="676">
        <v>1503</v>
      </c>
      <c r="H2034" s="929">
        <v>0</v>
      </c>
      <c r="I2034" s="929">
        <v>1502</v>
      </c>
      <c r="J2034" s="689">
        <f t="shared" si="32"/>
        <v>1</v>
      </c>
    </row>
    <row r="2035" spans="1:10" ht="12.75" customHeight="1" x14ac:dyDescent="0.2">
      <c r="A2035" s="681" t="s">
        <v>2370</v>
      </c>
      <c r="B2035" s="693" t="s">
        <v>4603</v>
      </c>
      <c r="C2035" s="672" t="s">
        <v>791</v>
      </c>
      <c r="D2035" s="673">
        <v>38037</v>
      </c>
      <c r="E2035" s="674">
        <v>10</v>
      </c>
      <c r="F2035" s="675">
        <v>0.1</v>
      </c>
      <c r="G2035" s="676">
        <v>1503</v>
      </c>
      <c r="H2035" s="929">
        <v>0</v>
      </c>
      <c r="I2035" s="929">
        <v>1502</v>
      </c>
      <c r="J2035" s="689">
        <f t="shared" si="32"/>
        <v>1</v>
      </c>
    </row>
    <row r="2036" spans="1:10" ht="12.75" customHeight="1" x14ac:dyDescent="0.2">
      <c r="A2036" s="681" t="s">
        <v>2370</v>
      </c>
      <c r="B2036" s="693" t="s">
        <v>4604</v>
      </c>
      <c r="C2036" s="672" t="s">
        <v>791</v>
      </c>
      <c r="D2036" s="673">
        <v>37307</v>
      </c>
      <c r="E2036" s="674">
        <v>10</v>
      </c>
      <c r="F2036" s="675">
        <v>0.1</v>
      </c>
      <c r="G2036" s="676">
        <v>1503</v>
      </c>
      <c r="H2036" s="929">
        <v>0</v>
      </c>
      <c r="I2036" s="929">
        <v>1502</v>
      </c>
      <c r="J2036" s="689">
        <f t="shared" si="32"/>
        <v>1</v>
      </c>
    </row>
    <row r="2037" spans="1:10" ht="12.75" customHeight="1" x14ac:dyDescent="0.2">
      <c r="A2037" s="681" t="s">
        <v>2370</v>
      </c>
      <c r="B2037" s="693" t="s">
        <v>4605</v>
      </c>
      <c r="C2037" s="672" t="s">
        <v>787</v>
      </c>
      <c r="D2037" s="673">
        <v>36211</v>
      </c>
      <c r="E2037" s="674">
        <v>10</v>
      </c>
      <c r="F2037" s="675">
        <v>0.1</v>
      </c>
      <c r="G2037" s="676">
        <v>1531</v>
      </c>
      <c r="H2037" s="929">
        <v>0</v>
      </c>
      <c r="I2037" s="929">
        <v>1530</v>
      </c>
      <c r="J2037" s="689">
        <f t="shared" si="32"/>
        <v>1</v>
      </c>
    </row>
    <row r="2038" spans="1:10" ht="12.75" customHeight="1" x14ac:dyDescent="0.2">
      <c r="A2038" s="681" t="s">
        <v>2370</v>
      </c>
      <c r="B2038" s="693" t="s">
        <v>4606</v>
      </c>
      <c r="C2038" s="672" t="s">
        <v>790</v>
      </c>
      <c r="D2038" s="673">
        <v>37307</v>
      </c>
      <c r="E2038" s="674">
        <v>10</v>
      </c>
      <c r="F2038" s="675">
        <v>0.1</v>
      </c>
      <c r="G2038" s="676">
        <v>1552</v>
      </c>
      <c r="H2038" s="929">
        <v>0</v>
      </c>
      <c r="I2038" s="929">
        <v>1551</v>
      </c>
      <c r="J2038" s="689">
        <f t="shared" si="32"/>
        <v>1</v>
      </c>
    </row>
    <row r="2039" spans="1:10" ht="12.75" customHeight="1" x14ac:dyDescent="0.2">
      <c r="A2039" s="681" t="s">
        <v>2370</v>
      </c>
      <c r="B2039" s="693" t="s">
        <v>4607</v>
      </c>
      <c r="C2039" s="672" t="s">
        <v>786</v>
      </c>
      <c r="D2039" s="673">
        <v>36576</v>
      </c>
      <c r="E2039" s="674">
        <v>10</v>
      </c>
      <c r="F2039" s="675">
        <v>0.1</v>
      </c>
      <c r="G2039" s="676">
        <v>1552</v>
      </c>
      <c r="H2039" s="929">
        <v>0</v>
      </c>
      <c r="I2039" s="929">
        <v>1551</v>
      </c>
      <c r="J2039" s="689">
        <f t="shared" si="32"/>
        <v>1</v>
      </c>
    </row>
    <row r="2040" spans="1:10" ht="12.75" customHeight="1" x14ac:dyDescent="0.2">
      <c r="A2040" s="681" t="s">
        <v>2370</v>
      </c>
      <c r="B2040" s="693" t="s">
        <v>4608</v>
      </c>
      <c r="C2040" s="672" t="s">
        <v>786</v>
      </c>
      <c r="D2040" s="673">
        <v>36576</v>
      </c>
      <c r="E2040" s="674">
        <v>10</v>
      </c>
      <c r="F2040" s="675">
        <v>0.1</v>
      </c>
      <c r="G2040" s="676">
        <v>1552</v>
      </c>
      <c r="H2040" s="929">
        <v>0</v>
      </c>
      <c r="I2040" s="929">
        <v>1551</v>
      </c>
      <c r="J2040" s="689">
        <f t="shared" si="32"/>
        <v>1</v>
      </c>
    </row>
    <row r="2041" spans="1:10" ht="12.75" customHeight="1" x14ac:dyDescent="0.2">
      <c r="A2041" s="681" t="s">
        <v>2370</v>
      </c>
      <c r="B2041" s="693" t="s">
        <v>4609</v>
      </c>
      <c r="C2041" s="672" t="s">
        <v>787</v>
      </c>
      <c r="D2041" s="673">
        <v>36576</v>
      </c>
      <c r="E2041" s="674">
        <v>10</v>
      </c>
      <c r="F2041" s="675">
        <v>0.1</v>
      </c>
      <c r="G2041" s="676">
        <v>1562</v>
      </c>
      <c r="H2041" s="929">
        <v>0</v>
      </c>
      <c r="I2041" s="929">
        <v>1561</v>
      </c>
      <c r="J2041" s="689">
        <f t="shared" si="32"/>
        <v>1</v>
      </c>
    </row>
    <row r="2042" spans="1:10" ht="12.75" customHeight="1" x14ac:dyDescent="0.2">
      <c r="A2042" s="681" t="s">
        <v>2370</v>
      </c>
      <c r="B2042" s="693" t="s">
        <v>4610</v>
      </c>
      <c r="C2042" s="672" t="s">
        <v>787</v>
      </c>
      <c r="D2042" s="673">
        <v>36576</v>
      </c>
      <c r="E2042" s="674">
        <v>10</v>
      </c>
      <c r="F2042" s="675">
        <v>0.1</v>
      </c>
      <c r="G2042" s="676">
        <v>1564</v>
      </c>
      <c r="H2042" s="929">
        <v>0</v>
      </c>
      <c r="I2042" s="929">
        <v>1563</v>
      </c>
      <c r="J2042" s="689">
        <f t="shared" si="32"/>
        <v>1</v>
      </c>
    </row>
    <row r="2043" spans="1:10" ht="12.75" customHeight="1" x14ac:dyDescent="0.2">
      <c r="A2043" s="681" t="s">
        <v>2370</v>
      </c>
      <c r="B2043" s="693" t="s">
        <v>4611</v>
      </c>
      <c r="C2043" s="672" t="s">
        <v>790</v>
      </c>
      <c r="D2043" s="673">
        <v>36211</v>
      </c>
      <c r="E2043" s="674">
        <v>10</v>
      </c>
      <c r="F2043" s="675">
        <v>0.1</v>
      </c>
      <c r="G2043" s="676">
        <v>1579</v>
      </c>
      <c r="H2043" s="929">
        <v>0</v>
      </c>
      <c r="I2043" s="929">
        <v>1578</v>
      </c>
      <c r="J2043" s="689">
        <f t="shared" si="32"/>
        <v>1</v>
      </c>
    </row>
    <row r="2044" spans="1:10" ht="12.75" customHeight="1" x14ac:dyDescent="0.2">
      <c r="A2044" s="681" t="s">
        <v>2370</v>
      </c>
      <c r="B2044" s="693" t="s">
        <v>4612</v>
      </c>
      <c r="C2044" s="672" t="s">
        <v>791</v>
      </c>
      <c r="D2044" s="673">
        <v>36576</v>
      </c>
      <c r="E2044" s="674">
        <v>10</v>
      </c>
      <c r="F2044" s="675">
        <v>0.1</v>
      </c>
      <c r="G2044" s="676">
        <v>1587</v>
      </c>
      <c r="H2044" s="929">
        <v>0</v>
      </c>
      <c r="I2044" s="929">
        <v>1586</v>
      </c>
      <c r="J2044" s="689">
        <f t="shared" si="32"/>
        <v>1</v>
      </c>
    </row>
    <row r="2045" spans="1:10" ht="12.75" customHeight="1" x14ac:dyDescent="0.2">
      <c r="A2045" s="681" t="s">
        <v>2370</v>
      </c>
      <c r="B2045" s="693" t="s">
        <v>4613</v>
      </c>
      <c r="C2045" s="672" t="s">
        <v>893</v>
      </c>
      <c r="D2045" s="673">
        <v>40594</v>
      </c>
      <c r="E2045" s="674">
        <v>3</v>
      </c>
      <c r="F2045" s="675">
        <v>0.33</v>
      </c>
      <c r="G2045" s="676">
        <v>1592</v>
      </c>
      <c r="H2045" s="929">
        <v>0</v>
      </c>
      <c r="I2045" s="929">
        <v>1591</v>
      </c>
      <c r="J2045" s="689">
        <f t="shared" si="32"/>
        <v>1</v>
      </c>
    </row>
    <row r="2046" spans="1:10" ht="12.75" customHeight="1" x14ac:dyDescent="0.2">
      <c r="A2046" s="681" t="s">
        <v>2370</v>
      </c>
      <c r="B2046" s="693" t="s">
        <v>4614</v>
      </c>
      <c r="C2046" s="672" t="s">
        <v>791</v>
      </c>
      <c r="D2046" s="673">
        <v>36576</v>
      </c>
      <c r="E2046" s="674">
        <v>10</v>
      </c>
      <c r="F2046" s="675">
        <v>0.1</v>
      </c>
      <c r="G2046" s="676">
        <v>1610</v>
      </c>
      <c r="H2046" s="929">
        <v>0</v>
      </c>
      <c r="I2046" s="929">
        <v>1609</v>
      </c>
      <c r="J2046" s="689">
        <f t="shared" si="32"/>
        <v>1</v>
      </c>
    </row>
    <row r="2047" spans="1:10" ht="12.75" customHeight="1" x14ac:dyDescent="0.2">
      <c r="A2047" s="681" t="s">
        <v>2370</v>
      </c>
      <c r="B2047" s="693" t="s">
        <v>4615</v>
      </c>
      <c r="C2047" s="672" t="s">
        <v>893</v>
      </c>
      <c r="D2047" s="673">
        <v>39498</v>
      </c>
      <c r="E2047" s="674">
        <v>3</v>
      </c>
      <c r="F2047" s="675">
        <v>0.33</v>
      </c>
      <c r="G2047" s="676">
        <v>1610</v>
      </c>
      <c r="H2047" s="929">
        <v>0</v>
      </c>
      <c r="I2047" s="929">
        <v>1609</v>
      </c>
      <c r="J2047" s="689">
        <f t="shared" si="32"/>
        <v>1</v>
      </c>
    </row>
    <row r="2048" spans="1:10" ht="12.75" customHeight="1" x14ac:dyDescent="0.2">
      <c r="A2048" s="681" t="s">
        <v>2372</v>
      </c>
      <c r="B2048" s="693" t="s">
        <v>4616</v>
      </c>
      <c r="C2048" s="672" t="s">
        <v>895</v>
      </c>
      <c r="D2048" s="673">
        <v>38768</v>
      </c>
      <c r="E2048" s="674">
        <v>3</v>
      </c>
      <c r="F2048" s="675">
        <v>0.33</v>
      </c>
      <c r="G2048" s="676">
        <v>1610</v>
      </c>
      <c r="H2048" s="929">
        <v>0</v>
      </c>
      <c r="I2048" s="929">
        <v>1609</v>
      </c>
      <c r="J2048" s="689">
        <f t="shared" si="32"/>
        <v>1</v>
      </c>
    </row>
    <row r="2049" spans="1:10" ht="12.75" customHeight="1" x14ac:dyDescent="0.2">
      <c r="A2049" s="681" t="s">
        <v>2372</v>
      </c>
      <c r="B2049" s="693" t="s">
        <v>4617</v>
      </c>
      <c r="C2049" s="672" t="s">
        <v>895</v>
      </c>
      <c r="D2049" s="673">
        <v>38403</v>
      </c>
      <c r="E2049" s="674">
        <v>3</v>
      </c>
      <c r="F2049" s="675">
        <v>0.33</v>
      </c>
      <c r="G2049" s="676">
        <v>1610</v>
      </c>
      <c r="H2049" s="929">
        <v>0</v>
      </c>
      <c r="I2049" s="929">
        <v>1609</v>
      </c>
      <c r="J2049" s="689">
        <f t="shared" si="32"/>
        <v>1</v>
      </c>
    </row>
    <row r="2050" spans="1:10" ht="12.75" customHeight="1" x14ac:dyDescent="0.2">
      <c r="A2050" s="681" t="s">
        <v>2370</v>
      </c>
      <c r="B2050" s="693" t="s">
        <v>4618</v>
      </c>
      <c r="C2050" s="672" t="s">
        <v>893</v>
      </c>
      <c r="D2050" s="673">
        <v>37307</v>
      </c>
      <c r="E2050" s="674">
        <v>3</v>
      </c>
      <c r="F2050" s="675">
        <v>0.33</v>
      </c>
      <c r="G2050" s="676">
        <v>1616</v>
      </c>
      <c r="H2050" s="929">
        <v>0</v>
      </c>
      <c r="I2050" s="929">
        <v>1615</v>
      </c>
      <c r="J2050" s="689">
        <f t="shared" si="32"/>
        <v>1</v>
      </c>
    </row>
    <row r="2051" spans="1:10" ht="12.75" customHeight="1" x14ac:dyDescent="0.2">
      <c r="A2051" s="681" t="s">
        <v>2370</v>
      </c>
      <c r="B2051" s="693" t="s">
        <v>4619</v>
      </c>
      <c r="C2051" s="672" t="s">
        <v>791</v>
      </c>
      <c r="D2051" s="673">
        <v>36576</v>
      </c>
      <c r="E2051" s="674">
        <v>10</v>
      </c>
      <c r="F2051" s="675">
        <v>0.1</v>
      </c>
      <c r="G2051" s="676">
        <v>1622</v>
      </c>
      <c r="H2051" s="929">
        <v>0</v>
      </c>
      <c r="I2051" s="929">
        <v>1621</v>
      </c>
      <c r="J2051" s="689">
        <f t="shared" si="32"/>
        <v>1</v>
      </c>
    </row>
    <row r="2052" spans="1:10" ht="12.75" customHeight="1" x14ac:dyDescent="0.2">
      <c r="A2052" s="681" t="s">
        <v>2370</v>
      </c>
      <c r="B2052" s="693" t="s">
        <v>4620</v>
      </c>
      <c r="C2052" s="672" t="s">
        <v>790</v>
      </c>
      <c r="D2052" s="673">
        <v>36211</v>
      </c>
      <c r="E2052" s="674">
        <v>10</v>
      </c>
      <c r="F2052" s="675">
        <v>0.1</v>
      </c>
      <c r="G2052" s="676">
        <v>1624</v>
      </c>
      <c r="H2052" s="929">
        <v>0</v>
      </c>
      <c r="I2052" s="929">
        <v>1623</v>
      </c>
      <c r="J2052" s="689">
        <f t="shared" si="32"/>
        <v>1</v>
      </c>
    </row>
    <row r="2053" spans="1:10" ht="12.75" customHeight="1" x14ac:dyDescent="0.2">
      <c r="A2053" s="681" t="s">
        <v>2370</v>
      </c>
      <c r="B2053" s="693" t="s">
        <v>4621</v>
      </c>
      <c r="C2053" s="672" t="s">
        <v>791</v>
      </c>
      <c r="D2053" s="673">
        <v>33289</v>
      </c>
      <c r="E2053" s="674">
        <v>10</v>
      </c>
      <c r="F2053" s="675">
        <v>0.1</v>
      </c>
      <c r="G2053" s="676">
        <v>1633</v>
      </c>
      <c r="H2053" s="929">
        <v>0</v>
      </c>
      <c r="I2053" s="929">
        <v>1632</v>
      </c>
      <c r="J2053" s="689">
        <f t="shared" si="32"/>
        <v>1</v>
      </c>
    </row>
    <row r="2054" spans="1:10" ht="12.75" customHeight="1" x14ac:dyDescent="0.2">
      <c r="A2054" s="681" t="s">
        <v>2370</v>
      </c>
      <c r="B2054" s="693" t="s">
        <v>4622</v>
      </c>
      <c r="C2054" s="672" t="s">
        <v>799</v>
      </c>
      <c r="D2054" s="673">
        <v>36576</v>
      </c>
      <c r="E2054" s="674">
        <v>10</v>
      </c>
      <c r="F2054" s="675">
        <v>0.1</v>
      </c>
      <c r="G2054" s="676">
        <v>1633</v>
      </c>
      <c r="H2054" s="929">
        <v>0</v>
      </c>
      <c r="I2054" s="929">
        <v>1632</v>
      </c>
      <c r="J2054" s="689">
        <f t="shared" si="32"/>
        <v>1</v>
      </c>
    </row>
    <row r="2055" spans="1:10" ht="12.75" customHeight="1" x14ac:dyDescent="0.2">
      <c r="A2055" s="681" t="s">
        <v>2370</v>
      </c>
      <c r="B2055" s="693" t="s">
        <v>4623</v>
      </c>
      <c r="C2055" s="672" t="s">
        <v>787</v>
      </c>
      <c r="D2055" s="673">
        <v>36211</v>
      </c>
      <c r="E2055" s="674">
        <v>10</v>
      </c>
      <c r="F2055" s="675">
        <v>0.1</v>
      </c>
      <c r="G2055" s="676">
        <v>1644</v>
      </c>
      <c r="H2055" s="929">
        <v>0</v>
      </c>
      <c r="I2055" s="929">
        <v>1643</v>
      </c>
      <c r="J2055" s="689">
        <f t="shared" ref="J2055:J2118" si="33">G2055-I2055</f>
        <v>1</v>
      </c>
    </row>
    <row r="2056" spans="1:10" ht="12.75" customHeight="1" x14ac:dyDescent="0.2">
      <c r="A2056" s="681" t="s">
        <v>2372</v>
      </c>
      <c r="B2056" s="693" t="s">
        <v>4624</v>
      </c>
      <c r="C2056" s="672" t="s">
        <v>1003</v>
      </c>
      <c r="D2056" s="673">
        <v>35115</v>
      </c>
      <c r="E2056" s="674">
        <v>10</v>
      </c>
      <c r="F2056" s="675">
        <v>0.1</v>
      </c>
      <c r="G2056" s="676">
        <v>1663</v>
      </c>
      <c r="H2056" s="929">
        <v>0</v>
      </c>
      <c r="I2056" s="929">
        <v>1662</v>
      </c>
      <c r="J2056" s="689">
        <f t="shared" si="33"/>
        <v>1</v>
      </c>
    </row>
    <row r="2057" spans="1:10" ht="12.75" customHeight="1" x14ac:dyDescent="0.2">
      <c r="A2057" s="681" t="s">
        <v>2370</v>
      </c>
      <c r="B2057" s="693" t="s">
        <v>4625</v>
      </c>
      <c r="C2057" s="672" t="s">
        <v>791</v>
      </c>
      <c r="D2057" s="673">
        <v>36211</v>
      </c>
      <c r="E2057" s="674">
        <v>10</v>
      </c>
      <c r="F2057" s="675">
        <v>0.1</v>
      </c>
      <c r="G2057" s="676">
        <v>1668</v>
      </c>
      <c r="H2057" s="929">
        <v>0</v>
      </c>
      <c r="I2057" s="929">
        <v>1667</v>
      </c>
      <c r="J2057" s="689">
        <f t="shared" si="33"/>
        <v>1</v>
      </c>
    </row>
    <row r="2058" spans="1:10" ht="12.75" customHeight="1" x14ac:dyDescent="0.2">
      <c r="A2058" s="681" t="s">
        <v>2370</v>
      </c>
      <c r="B2058" s="693" t="s">
        <v>4626</v>
      </c>
      <c r="C2058" s="672" t="s">
        <v>816</v>
      </c>
      <c r="D2058" s="673">
        <v>36576</v>
      </c>
      <c r="E2058" s="674">
        <v>10</v>
      </c>
      <c r="F2058" s="675">
        <v>0.1</v>
      </c>
      <c r="G2058" s="676">
        <v>1679</v>
      </c>
      <c r="H2058" s="929">
        <v>0</v>
      </c>
      <c r="I2058" s="929">
        <v>1678</v>
      </c>
      <c r="J2058" s="689">
        <f t="shared" si="33"/>
        <v>1</v>
      </c>
    </row>
    <row r="2059" spans="1:10" ht="12.75" customHeight="1" x14ac:dyDescent="0.2">
      <c r="A2059" s="681" t="s">
        <v>2370</v>
      </c>
      <c r="B2059" s="693" t="s">
        <v>4627</v>
      </c>
      <c r="C2059" s="672" t="s">
        <v>787</v>
      </c>
      <c r="D2059" s="673">
        <v>35481</v>
      </c>
      <c r="E2059" s="674">
        <v>10</v>
      </c>
      <c r="F2059" s="675">
        <v>0.1</v>
      </c>
      <c r="G2059" s="676">
        <v>1679</v>
      </c>
      <c r="H2059" s="929">
        <v>0</v>
      </c>
      <c r="I2059" s="929">
        <v>1678</v>
      </c>
      <c r="J2059" s="689">
        <f t="shared" si="33"/>
        <v>1</v>
      </c>
    </row>
    <row r="2060" spans="1:10" ht="12.75" customHeight="1" x14ac:dyDescent="0.2">
      <c r="A2060" s="681" t="s">
        <v>2370</v>
      </c>
      <c r="B2060" s="693" t="s">
        <v>4628</v>
      </c>
      <c r="C2060" s="672" t="s">
        <v>786</v>
      </c>
      <c r="D2060" s="673">
        <v>37307</v>
      </c>
      <c r="E2060" s="674">
        <v>10</v>
      </c>
      <c r="F2060" s="675">
        <v>0.1</v>
      </c>
      <c r="G2060" s="676">
        <v>1693</v>
      </c>
      <c r="H2060" s="929">
        <v>0</v>
      </c>
      <c r="I2060" s="929">
        <v>1692</v>
      </c>
      <c r="J2060" s="689">
        <f t="shared" si="33"/>
        <v>1</v>
      </c>
    </row>
    <row r="2061" spans="1:10" ht="12.75" customHeight="1" x14ac:dyDescent="0.2">
      <c r="A2061" s="681" t="s">
        <v>2370</v>
      </c>
      <c r="B2061" s="693" t="s">
        <v>4629</v>
      </c>
      <c r="C2061" s="672" t="s">
        <v>788</v>
      </c>
      <c r="D2061" s="673">
        <v>38037</v>
      </c>
      <c r="E2061" s="674">
        <v>10</v>
      </c>
      <c r="F2061" s="675">
        <v>0.1</v>
      </c>
      <c r="G2061" s="676">
        <v>1700</v>
      </c>
      <c r="H2061" s="929">
        <v>0</v>
      </c>
      <c r="I2061" s="929">
        <v>1699</v>
      </c>
      <c r="J2061" s="689">
        <f t="shared" si="33"/>
        <v>1</v>
      </c>
    </row>
    <row r="2062" spans="1:10" ht="12.75" customHeight="1" x14ac:dyDescent="0.2">
      <c r="A2062" s="681" t="s">
        <v>2370</v>
      </c>
      <c r="B2062" s="693" t="s">
        <v>4630</v>
      </c>
      <c r="C2062" s="672" t="s">
        <v>787</v>
      </c>
      <c r="D2062" s="673">
        <v>36576</v>
      </c>
      <c r="E2062" s="674">
        <v>10</v>
      </c>
      <c r="F2062" s="675">
        <v>0.1</v>
      </c>
      <c r="G2062" s="676">
        <v>1702</v>
      </c>
      <c r="H2062" s="929">
        <v>0</v>
      </c>
      <c r="I2062" s="929">
        <v>1701</v>
      </c>
      <c r="J2062" s="689">
        <f t="shared" si="33"/>
        <v>1</v>
      </c>
    </row>
    <row r="2063" spans="1:10" ht="12.75" customHeight="1" x14ac:dyDescent="0.2">
      <c r="A2063" s="681" t="s">
        <v>2370</v>
      </c>
      <c r="B2063" s="693" t="s">
        <v>4631</v>
      </c>
      <c r="C2063" s="672" t="s">
        <v>786</v>
      </c>
      <c r="D2063" s="673">
        <v>38037</v>
      </c>
      <c r="E2063" s="674">
        <v>10</v>
      </c>
      <c r="F2063" s="675">
        <v>0.1</v>
      </c>
      <c r="G2063" s="676">
        <v>1706</v>
      </c>
      <c r="H2063" s="929">
        <v>0</v>
      </c>
      <c r="I2063" s="929">
        <v>1705</v>
      </c>
      <c r="J2063" s="689">
        <f t="shared" si="33"/>
        <v>1</v>
      </c>
    </row>
    <row r="2064" spans="1:10" ht="12.75" customHeight="1" x14ac:dyDescent="0.2">
      <c r="A2064" s="681" t="s">
        <v>2370</v>
      </c>
      <c r="B2064" s="693" t="s">
        <v>4632</v>
      </c>
      <c r="C2064" s="672" t="s">
        <v>791</v>
      </c>
      <c r="D2064" s="673">
        <v>36576</v>
      </c>
      <c r="E2064" s="674">
        <v>10</v>
      </c>
      <c r="F2064" s="675">
        <v>0.1</v>
      </c>
      <c r="G2064" s="676">
        <v>1725</v>
      </c>
      <c r="H2064" s="929">
        <v>0</v>
      </c>
      <c r="I2064" s="929">
        <v>1724</v>
      </c>
      <c r="J2064" s="689">
        <f t="shared" si="33"/>
        <v>1</v>
      </c>
    </row>
    <row r="2065" spans="1:10" ht="12.75" customHeight="1" x14ac:dyDescent="0.2">
      <c r="A2065" s="681" t="s">
        <v>2370</v>
      </c>
      <c r="B2065" s="693" t="s">
        <v>4633</v>
      </c>
      <c r="C2065" s="672" t="s">
        <v>893</v>
      </c>
      <c r="D2065" s="673">
        <v>38037</v>
      </c>
      <c r="E2065" s="674">
        <v>3</v>
      </c>
      <c r="F2065" s="675">
        <v>0.33</v>
      </c>
      <c r="G2065" s="676">
        <v>1725</v>
      </c>
      <c r="H2065" s="929">
        <v>0</v>
      </c>
      <c r="I2065" s="929">
        <v>1724</v>
      </c>
      <c r="J2065" s="689">
        <f t="shared" si="33"/>
        <v>1</v>
      </c>
    </row>
    <row r="2066" spans="1:10" ht="12.75" customHeight="1" x14ac:dyDescent="0.2">
      <c r="A2066" s="681" t="s">
        <v>2370</v>
      </c>
      <c r="B2066" s="693" t="s">
        <v>4634</v>
      </c>
      <c r="C2066" s="672" t="s">
        <v>787</v>
      </c>
      <c r="D2066" s="673">
        <v>36576</v>
      </c>
      <c r="E2066" s="674">
        <v>10</v>
      </c>
      <c r="F2066" s="675">
        <v>0.1</v>
      </c>
      <c r="G2066" s="676">
        <v>1748</v>
      </c>
      <c r="H2066" s="929">
        <v>0</v>
      </c>
      <c r="I2066" s="929">
        <v>1747</v>
      </c>
      <c r="J2066" s="689">
        <f t="shared" si="33"/>
        <v>1</v>
      </c>
    </row>
    <row r="2067" spans="1:10" ht="12.75" customHeight="1" x14ac:dyDescent="0.2">
      <c r="A2067" s="681" t="s">
        <v>2370</v>
      </c>
      <c r="B2067" s="693" t="s">
        <v>4635</v>
      </c>
      <c r="C2067" s="672" t="s">
        <v>787</v>
      </c>
      <c r="D2067" s="673">
        <v>36576</v>
      </c>
      <c r="E2067" s="674">
        <v>10</v>
      </c>
      <c r="F2067" s="675">
        <v>0.1</v>
      </c>
      <c r="G2067" s="676">
        <v>1748</v>
      </c>
      <c r="H2067" s="929">
        <v>0</v>
      </c>
      <c r="I2067" s="929">
        <v>1747</v>
      </c>
      <c r="J2067" s="689">
        <f t="shared" si="33"/>
        <v>1</v>
      </c>
    </row>
    <row r="2068" spans="1:10" ht="12.75" customHeight="1" x14ac:dyDescent="0.2">
      <c r="A2068" s="681" t="s">
        <v>2370</v>
      </c>
      <c r="B2068" s="693" t="s">
        <v>4636</v>
      </c>
      <c r="C2068" s="672" t="s">
        <v>787</v>
      </c>
      <c r="D2068" s="673">
        <v>36576</v>
      </c>
      <c r="E2068" s="674">
        <v>10</v>
      </c>
      <c r="F2068" s="675">
        <v>0.1</v>
      </c>
      <c r="G2068" s="676">
        <v>1748</v>
      </c>
      <c r="H2068" s="929">
        <v>0</v>
      </c>
      <c r="I2068" s="929">
        <v>1747</v>
      </c>
      <c r="J2068" s="689">
        <f t="shared" si="33"/>
        <v>1</v>
      </c>
    </row>
    <row r="2069" spans="1:10" ht="12.75" customHeight="1" x14ac:dyDescent="0.2">
      <c r="A2069" s="681" t="s">
        <v>2370</v>
      </c>
      <c r="B2069" s="693" t="s">
        <v>4637</v>
      </c>
      <c r="C2069" s="672" t="s">
        <v>786</v>
      </c>
      <c r="D2069" s="673">
        <v>36211</v>
      </c>
      <c r="E2069" s="674">
        <v>10</v>
      </c>
      <c r="F2069" s="675">
        <v>0.1</v>
      </c>
      <c r="G2069" s="676">
        <v>1749</v>
      </c>
      <c r="H2069" s="929">
        <v>0</v>
      </c>
      <c r="I2069" s="929">
        <v>1748</v>
      </c>
      <c r="J2069" s="689">
        <f t="shared" si="33"/>
        <v>1</v>
      </c>
    </row>
    <row r="2070" spans="1:10" ht="12.75" customHeight="1" x14ac:dyDescent="0.2">
      <c r="A2070" s="681" t="s">
        <v>2370</v>
      </c>
      <c r="B2070" s="693" t="s">
        <v>4638</v>
      </c>
      <c r="C2070" s="672" t="s">
        <v>835</v>
      </c>
      <c r="D2070" s="673">
        <v>35846</v>
      </c>
      <c r="E2070" s="674">
        <v>10</v>
      </c>
      <c r="F2070" s="675">
        <v>0.1</v>
      </c>
      <c r="G2070" s="676">
        <v>1750</v>
      </c>
      <c r="H2070" s="929">
        <v>0</v>
      </c>
      <c r="I2070" s="929">
        <v>1749</v>
      </c>
      <c r="J2070" s="689">
        <f t="shared" si="33"/>
        <v>1</v>
      </c>
    </row>
    <row r="2071" spans="1:10" ht="12.75" customHeight="1" x14ac:dyDescent="0.2">
      <c r="A2071" s="681" t="s">
        <v>2370</v>
      </c>
      <c r="B2071" s="693" t="s">
        <v>4639</v>
      </c>
      <c r="C2071" s="672" t="s">
        <v>893</v>
      </c>
      <c r="D2071" s="673">
        <v>36576</v>
      </c>
      <c r="E2071" s="674">
        <v>3</v>
      </c>
      <c r="F2071" s="675">
        <v>0.33</v>
      </c>
      <c r="G2071" s="676">
        <v>1750</v>
      </c>
      <c r="H2071" s="929">
        <v>0</v>
      </c>
      <c r="I2071" s="929">
        <v>1749</v>
      </c>
      <c r="J2071" s="689">
        <f t="shared" si="33"/>
        <v>1</v>
      </c>
    </row>
    <row r="2072" spans="1:10" ht="12.75" customHeight="1" x14ac:dyDescent="0.2">
      <c r="A2072" s="681" t="s">
        <v>2370</v>
      </c>
      <c r="B2072" s="693" t="s">
        <v>4640</v>
      </c>
      <c r="C2072" s="672" t="s">
        <v>893</v>
      </c>
      <c r="D2072" s="673">
        <v>39498</v>
      </c>
      <c r="E2072" s="674">
        <v>3</v>
      </c>
      <c r="F2072" s="675">
        <v>0.33</v>
      </c>
      <c r="G2072" s="676">
        <v>1760</v>
      </c>
      <c r="H2072" s="929">
        <v>0</v>
      </c>
      <c r="I2072" s="929">
        <v>1759</v>
      </c>
      <c r="J2072" s="689">
        <f t="shared" si="33"/>
        <v>1</v>
      </c>
    </row>
    <row r="2073" spans="1:10" ht="12.75" customHeight="1" x14ac:dyDescent="0.2">
      <c r="A2073" s="681" t="s">
        <v>2370</v>
      </c>
      <c r="B2073" s="693" t="s">
        <v>4641</v>
      </c>
      <c r="C2073" s="672" t="s">
        <v>791</v>
      </c>
      <c r="D2073" s="673">
        <v>37672</v>
      </c>
      <c r="E2073" s="674">
        <v>10</v>
      </c>
      <c r="F2073" s="675">
        <v>0.1</v>
      </c>
      <c r="G2073" s="676">
        <v>1764</v>
      </c>
      <c r="H2073" s="929">
        <v>0</v>
      </c>
      <c r="I2073" s="929">
        <v>1763</v>
      </c>
      <c r="J2073" s="689">
        <f t="shared" si="33"/>
        <v>1</v>
      </c>
    </row>
    <row r="2074" spans="1:10" ht="12.75" customHeight="1" x14ac:dyDescent="0.2">
      <c r="A2074" s="681" t="s">
        <v>2370</v>
      </c>
      <c r="B2074" s="693" t="s">
        <v>4642</v>
      </c>
      <c r="C2074" s="672" t="s">
        <v>791</v>
      </c>
      <c r="D2074" s="673">
        <v>36576</v>
      </c>
      <c r="E2074" s="674">
        <v>10</v>
      </c>
      <c r="F2074" s="675">
        <v>0.1</v>
      </c>
      <c r="G2074" s="676">
        <v>1764</v>
      </c>
      <c r="H2074" s="929">
        <v>0</v>
      </c>
      <c r="I2074" s="929">
        <v>1763</v>
      </c>
      <c r="J2074" s="689">
        <f t="shared" si="33"/>
        <v>1</v>
      </c>
    </row>
    <row r="2075" spans="1:10" ht="12.75" customHeight="1" x14ac:dyDescent="0.2">
      <c r="A2075" s="681" t="s">
        <v>2370</v>
      </c>
      <c r="B2075" s="693" t="s">
        <v>4643</v>
      </c>
      <c r="C2075" s="672" t="s">
        <v>804</v>
      </c>
      <c r="D2075" s="673">
        <v>35481</v>
      </c>
      <c r="E2075" s="674">
        <v>10</v>
      </c>
      <c r="F2075" s="675">
        <v>0.1</v>
      </c>
      <c r="G2075" s="676">
        <v>1794</v>
      </c>
      <c r="H2075" s="929">
        <v>0</v>
      </c>
      <c r="I2075" s="929">
        <v>1793</v>
      </c>
      <c r="J2075" s="689">
        <f t="shared" si="33"/>
        <v>1</v>
      </c>
    </row>
    <row r="2076" spans="1:10" ht="12.75" customHeight="1" x14ac:dyDescent="0.2">
      <c r="A2076" s="681" t="s">
        <v>2370</v>
      </c>
      <c r="B2076" s="693" t="s">
        <v>4644</v>
      </c>
      <c r="C2076" s="672" t="s">
        <v>893</v>
      </c>
      <c r="D2076" s="673">
        <v>40594</v>
      </c>
      <c r="E2076" s="674">
        <v>3</v>
      </c>
      <c r="F2076" s="675">
        <v>0.33</v>
      </c>
      <c r="G2076" s="676">
        <v>1798</v>
      </c>
      <c r="H2076" s="929">
        <v>0</v>
      </c>
      <c r="I2076" s="929">
        <v>1797</v>
      </c>
      <c r="J2076" s="689">
        <f t="shared" si="33"/>
        <v>1</v>
      </c>
    </row>
    <row r="2077" spans="1:10" ht="12.75" customHeight="1" x14ac:dyDescent="0.2">
      <c r="A2077" s="681" t="s">
        <v>2370</v>
      </c>
      <c r="B2077" s="693" t="s">
        <v>4645</v>
      </c>
      <c r="C2077" s="672" t="s">
        <v>892</v>
      </c>
      <c r="D2077" s="673">
        <v>39864</v>
      </c>
      <c r="E2077" s="674">
        <v>3</v>
      </c>
      <c r="F2077" s="675">
        <v>0.33</v>
      </c>
      <c r="G2077" s="676">
        <v>1806</v>
      </c>
      <c r="H2077" s="929">
        <v>0</v>
      </c>
      <c r="I2077" s="929">
        <v>1805</v>
      </c>
      <c r="J2077" s="689">
        <f t="shared" si="33"/>
        <v>1</v>
      </c>
    </row>
    <row r="2078" spans="1:10" ht="12.75" customHeight="1" x14ac:dyDescent="0.2">
      <c r="A2078" s="681" t="s">
        <v>2370</v>
      </c>
      <c r="B2078" s="693" t="s">
        <v>4646</v>
      </c>
      <c r="C2078" s="672" t="s">
        <v>892</v>
      </c>
      <c r="D2078" s="673">
        <v>39498</v>
      </c>
      <c r="E2078" s="674">
        <v>3</v>
      </c>
      <c r="F2078" s="675">
        <v>0.33</v>
      </c>
      <c r="G2078" s="676">
        <v>1806</v>
      </c>
      <c r="H2078" s="929">
        <v>0</v>
      </c>
      <c r="I2078" s="929">
        <v>1805</v>
      </c>
      <c r="J2078" s="689">
        <f t="shared" si="33"/>
        <v>1</v>
      </c>
    </row>
    <row r="2079" spans="1:10" ht="12.75" customHeight="1" x14ac:dyDescent="0.2">
      <c r="A2079" s="681" t="s">
        <v>2370</v>
      </c>
      <c r="B2079" s="693" t="s">
        <v>4647</v>
      </c>
      <c r="C2079" s="672" t="s">
        <v>892</v>
      </c>
      <c r="D2079" s="673">
        <v>39498</v>
      </c>
      <c r="E2079" s="674">
        <v>3</v>
      </c>
      <c r="F2079" s="675">
        <v>0.33</v>
      </c>
      <c r="G2079" s="676">
        <v>1810</v>
      </c>
      <c r="H2079" s="929">
        <v>0</v>
      </c>
      <c r="I2079" s="929">
        <v>1809</v>
      </c>
      <c r="J2079" s="689">
        <f t="shared" si="33"/>
        <v>1</v>
      </c>
    </row>
    <row r="2080" spans="1:10" ht="12.75" customHeight="1" x14ac:dyDescent="0.2">
      <c r="A2080" s="681" t="s">
        <v>2370</v>
      </c>
      <c r="B2080" s="693" t="s">
        <v>4648</v>
      </c>
      <c r="C2080" s="672" t="s">
        <v>791</v>
      </c>
      <c r="D2080" s="673">
        <v>37307</v>
      </c>
      <c r="E2080" s="674">
        <v>10</v>
      </c>
      <c r="F2080" s="675">
        <v>0.1</v>
      </c>
      <c r="G2080" s="676">
        <v>1820</v>
      </c>
      <c r="H2080" s="929">
        <v>0</v>
      </c>
      <c r="I2080" s="929">
        <v>1819</v>
      </c>
      <c r="J2080" s="689">
        <f t="shared" si="33"/>
        <v>1</v>
      </c>
    </row>
    <row r="2081" spans="1:10" ht="12.75" customHeight="1" x14ac:dyDescent="0.2">
      <c r="A2081" s="681" t="s">
        <v>2372</v>
      </c>
      <c r="B2081" s="693" t="s">
        <v>4649</v>
      </c>
      <c r="C2081" s="672" t="s">
        <v>1020</v>
      </c>
      <c r="D2081" s="673">
        <v>38403</v>
      </c>
      <c r="E2081" s="674">
        <v>3</v>
      </c>
      <c r="F2081" s="675">
        <v>0.33</v>
      </c>
      <c r="G2081" s="676">
        <v>1834</v>
      </c>
      <c r="H2081" s="929">
        <v>0</v>
      </c>
      <c r="I2081" s="929">
        <v>1833</v>
      </c>
      <c r="J2081" s="689">
        <f t="shared" si="33"/>
        <v>1</v>
      </c>
    </row>
    <row r="2082" spans="1:10" ht="12.75" customHeight="1" x14ac:dyDescent="0.2">
      <c r="A2082" s="681" t="s">
        <v>2370</v>
      </c>
      <c r="B2082" s="693" t="s">
        <v>4650</v>
      </c>
      <c r="C2082" s="672" t="s">
        <v>825</v>
      </c>
      <c r="D2082" s="673">
        <v>36211</v>
      </c>
      <c r="E2082" s="674">
        <v>10</v>
      </c>
      <c r="F2082" s="675">
        <v>0.1</v>
      </c>
      <c r="G2082" s="676">
        <v>1840</v>
      </c>
      <c r="H2082" s="929">
        <v>0</v>
      </c>
      <c r="I2082" s="929">
        <v>1839</v>
      </c>
      <c r="J2082" s="689">
        <f t="shared" si="33"/>
        <v>1</v>
      </c>
    </row>
    <row r="2083" spans="1:10" ht="12.75" customHeight="1" x14ac:dyDescent="0.2">
      <c r="A2083" s="681" t="s">
        <v>2370</v>
      </c>
      <c r="B2083" s="693" t="s">
        <v>4651</v>
      </c>
      <c r="C2083" s="672" t="s">
        <v>786</v>
      </c>
      <c r="D2083" s="673">
        <v>36576</v>
      </c>
      <c r="E2083" s="674">
        <v>10</v>
      </c>
      <c r="F2083" s="675">
        <v>0.1</v>
      </c>
      <c r="G2083" s="676">
        <v>1840</v>
      </c>
      <c r="H2083" s="929">
        <v>0</v>
      </c>
      <c r="I2083" s="929">
        <v>1839</v>
      </c>
      <c r="J2083" s="689">
        <f t="shared" si="33"/>
        <v>1</v>
      </c>
    </row>
    <row r="2084" spans="1:10" ht="12.75" customHeight="1" x14ac:dyDescent="0.2">
      <c r="A2084" s="681" t="s">
        <v>2370</v>
      </c>
      <c r="B2084" s="693" t="s">
        <v>4652</v>
      </c>
      <c r="C2084" s="672" t="s">
        <v>785</v>
      </c>
      <c r="D2084" s="673">
        <v>36211</v>
      </c>
      <c r="E2084" s="674">
        <v>10</v>
      </c>
      <c r="F2084" s="675">
        <v>0.1</v>
      </c>
      <c r="G2084" s="676">
        <v>1840</v>
      </c>
      <c r="H2084" s="929">
        <v>0</v>
      </c>
      <c r="I2084" s="929">
        <v>1839</v>
      </c>
      <c r="J2084" s="689">
        <f t="shared" si="33"/>
        <v>1</v>
      </c>
    </row>
    <row r="2085" spans="1:10" ht="12.75" customHeight="1" x14ac:dyDescent="0.2">
      <c r="A2085" s="681" t="s">
        <v>2370</v>
      </c>
      <c r="B2085" s="693" t="s">
        <v>4653</v>
      </c>
      <c r="C2085" s="672" t="s">
        <v>785</v>
      </c>
      <c r="D2085" s="673">
        <v>36211</v>
      </c>
      <c r="E2085" s="674">
        <v>10</v>
      </c>
      <c r="F2085" s="675">
        <v>0.1</v>
      </c>
      <c r="G2085" s="676">
        <v>1840</v>
      </c>
      <c r="H2085" s="929">
        <v>0</v>
      </c>
      <c r="I2085" s="929">
        <v>1839</v>
      </c>
      <c r="J2085" s="689">
        <f t="shared" si="33"/>
        <v>1</v>
      </c>
    </row>
    <row r="2086" spans="1:10" ht="12.75" customHeight="1" x14ac:dyDescent="0.2">
      <c r="A2086" s="681" t="s">
        <v>2370</v>
      </c>
      <c r="B2086" s="693" t="s">
        <v>4654</v>
      </c>
      <c r="C2086" s="672" t="s">
        <v>786</v>
      </c>
      <c r="D2086" s="673">
        <v>36576</v>
      </c>
      <c r="E2086" s="674">
        <v>10</v>
      </c>
      <c r="F2086" s="675">
        <v>0.1</v>
      </c>
      <c r="G2086" s="676">
        <v>1840</v>
      </c>
      <c r="H2086" s="929">
        <v>0</v>
      </c>
      <c r="I2086" s="929">
        <v>1839</v>
      </c>
      <c r="J2086" s="689">
        <f t="shared" si="33"/>
        <v>1</v>
      </c>
    </row>
    <row r="2087" spans="1:10" ht="12.75" customHeight="1" x14ac:dyDescent="0.2">
      <c r="A2087" s="681" t="s">
        <v>2370</v>
      </c>
      <c r="B2087" s="693" t="s">
        <v>4655</v>
      </c>
      <c r="C2087" s="672" t="s">
        <v>791</v>
      </c>
      <c r="D2087" s="673">
        <v>36211</v>
      </c>
      <c r="E2087" s="674">
        <v>10</v>
      </c>
      <c r="F2087" s="675">
        <v>0.1</v>
      </c>
      <c r="G2087" s="676">
        <v>1840</v>
      </c>
      <c r="H2087" s="929">
        <v>0</v>
      </c>
      <c r="I2087" s="929">
        <v>1839</v>
      </c>
      <c r="J2087" s="689">
        <f t="shared" si="33"/>
        <v>1</v>
      </c>
    </row>
    <row r="2088" spans="1:10" ht="12.75" customHeight="1" x14ac:dyDescent="0.2">
      <c r="A2088" s="681" t="s">
        <v>2370</v>
      </c>
      <c r="B2088" s="693" t="s">
        <v>4656</v>
      </c>
      <c r="C2088" s="672" t="s">
        <v>787</v>
      </c>
      <c r="D2088" s="673">
        <v>37307</v>
      </c>
      <c r="E2088" s="674">
        <v>10</v>
      </c>
      <c r="F2088" s="675">
        <v>0.1</v>
      </c>
      <c r="G2088" s="676">
        <v>1850</v>
      </c>
      <c r="H2088" s="929">
        <v>0</v>
      </c>
      <c r="I2088" s="929">
        <v>1849</v>
      </c>
      <c r="J2088" s="689">
        <f t="shared" si="33"/>
        <v>1</v>
      </c>
    </row>
    <row r="2089" spans="1:10" ht="12.75" customHeight="1" x14ac:dyDescent="0.2">
      <c r="A2089" s="681" t="s">
        <v>2370</v>
      </c>
      <c r="B2089" s="693" t="s">
        <v>4657</v>
      </c>
      <c r="C2089" s="672" t="s">
        <v>791</v>
      </c>
      <c r="D2089" s="673">
        <v>36576</v>
      </c>
      <c r="E2089" s="674">
        <v>10</v>
      </c>
      <c r="F2089" s="675">
        <v>0.1</v>
      </c>
      <c r="G2089" s="676">
        <v>1852</v>
      </c>
      <c r="H2089" s="929">
        <v>0</v>
      </c>
      <c r="I2089" s="929">
        <v>1851</v>
      </c>
      <c r="J2089" s="689">
        <f t="shared" si="33"/>
        <v>1</v>
      </c>
    </row>
    <row r="2090" spans="1:10" ht="12.75" customHeight="1" x14ac:dyDescent="0.2">
      <c r="A2090" s="681" t="s">
        <v>2370</v>
      </c>
      <c r="B2090" s="693" t="s">
        <v>4658</v>
      </c>
      <c r="C2090" s="672" t="s">
        <v>786</v>
      </c>
      <c r="D2090" s="673">
        <v>36576</v>
      </c>
      <c r="E2090" s="674">
        <v>10</v>
      </c>
      <c r="F2090" s="675">
        <v>0.1</v>
      </c>
      <c r="G2090" s="676">
        <v>1852</v>
      </c>
      <c r="H2090" s="929">
        <v>0</v>
      </c>
      <c r="I2090" s="929">
        <v>1851</v>
      </c>
      <c r="J2090" s="689">
        <f t="shared" si="33"/>
        <v>1</v>
      </c>
    </row>
    <row r="2091" spans="1:10" ht="12.75" customHeight="1" x14ac:dyDescent="0.2">
      <c r="A2091" s="681" t="s">
        <v>2370</v>
      </c>
      <c r="B2091" s="693" t="s">
        <v>4659</v>
      </c>
      <c r="C2091" s="672" t="s">
        <v>786</v>
      </c>
      <c r="D2091" s="673">
        <v>36211</v>
      </c>
      <c r="E2091" s="674">
        <v>10</v>
      </c>
      <c r="F2091" s="675">
        <v>0.1</v>
      </c>
      <c r="G2091" s="676">
        <v>1852</v>
      </c>
      <c r="H2091" s="929">
        <v>0</v>
      </c>
      <c r="I2091" s="929">
        <v>1851</v>
      </c>
      <c r="J2091" s="689">
        <f t="shared" si="33"/>
        <v>1</v>
      </c>
    </row>
    <row r="2092" spans="1:10" ht="12.75" customHeight="1" x14ac:dyDescent="0.2">
      <c r="A2092" s="681" t="s">
        <v>2370</v>
      </c>
      <c r="B2092" s="693" t="s">
        <v>4660</v>
      </c>
      <c r="C2092" s="672" t="s">
        <v>790</v>
      </c>
      <c r="D2092" s="673">
        <v>36211</v>
      </c>
      <c r="E2092" s="674">
        <v>10</v>
      </c>
      <c r="F2092" s="675">
        <v>0.1</v>
      </c>
      <c r="G2092" s="676">
        <v>1854</v>
      </c>
      <c r="H2092" s="929">
        <v>0</v>
      </c>
      <c r="I2092" s="929">
        <v>1853</v>
      </c>
      <c r="J2092" s="689">
        <f t="shared" si="33"/>
        <v>1</v>
      </c>
    </row>
    <row r="2093" spans="1:10" ht="12.75" customHeight="1" x14ac:dyDescent="0.2">
      <c r="A2093" s="681" t="s">
        <v>2370</v>
      </c>
      <c r="B2093" s="693" t="s">
        <v>4661</v>
      </c>
      <c r="C2093" s="672" t="s">
        <v>791</v>
      </c>
      <c r="D2093" s="673">
        <v>36211</v>
      </c>
      <c r="E2093" s="674">
        <v>10</v>
      </c>
      <c r="F2093" s="675">
        <v>0.1</v>
      </c>
      <c r="G2093" s="676">
        <v>1874</v>
      </c>
      <c r="H2093" s="929">
        <v>0</v>
      </c>
      <c r="I2093" s="929">
        <v>1873</v>
      </c>
      <c r="J2093" s="689">
        <f t="shared" si="33"/>
        <v>1</v>
      </c>
    </row>
    <row r="2094" spans="1:10" ht="12.75" customHeight="1" x14ac:dyDescent="0.2">
      <c r="A2094" s="681" t="s">
        <v>2370</v>
      </c>
      <c r="B2094" s="693" t="s">
        <v>4662</v>
      </c>
      <c r="C2094" s="672" t="s">
        <v>892</v>
      </c>
      <c r="D2094" s="673">
        <v>40594</v>
      </c>
      <c r="E2094" s="674">
        <v>3</v>
      </c>
      <c r="F2094" s="675">
        <v>0.33</v>
      </c>
      <c r="G2094" s="676">
        <v>1875</v>
      </c>
      <c r="H2094" s="929">
        <v>0</v>
      </c>
      <c r="I2094" s="929">
        <v>1874</v>
      </c>
      <c r="J2094" s="689">
        <f t="shared" si="33"/>
        <v>1</v>
      </c>
    </row>
    <row r="2095" spans="1:10" ht="12.75" customHeight="1" x14ac:dyDescent="0.2">
      <c r="A2095" s="681" t="s">
        <v>2370</v>
      </c>
      <c r="B2095" s="693" t="s">
        <v>4663</v>
      </c>
      <c r="C2095" s="672" t="s">
        <v>787</v>
      </c>
      <c r="D2095" s="673">
        <v>36211</v>
      </c>
      <c r="E2095" s="674">
        <v>10</v>
      </c>
      <c r="F2095" s="675">
        <v>0.1</v>
      </c>
      <c r="G2095" s="676">
        <v>1890</v>
      </c>
      <c r="H2095" s="929">
        <v>0</v>
      </c>
      <c r="I2095" s="929">
        <v>1889</v>
      </c>
      <c r="J2095" s="689">
        <f t="shared" si="33"/>
        <v>1</v>
      </c>
    </row>
    <row r="2096" spans="1:10" ht="12.75" customHeight="1" x14ac:dyDescent="0.2">
      <c r="A2096" s="681" t="s">
        <v>2370</v>
      </c>
      <c r="B2096" s="693" t="s">
        <v>4664</v>
      </c>
      <c r="C2096" s="672" t="s">
        <v>787</v>
      </c>
      <c r="D2096" s="673">
        <v>36211</v>
      </c>
      <c r="E2096" s="674">
        <v>10</v>
      </c>
      <c r="F2096" s="675">
        <v>0.1</v>
      </c>
      <c r="G2096" s="676">
        <v>1890</v>
      </c>
      <c r="H2096" s="929">
        <v>0</v>
      </c>
      <c r="I2096" s="929">
        <v>1889</v>
      </c>
      <c r="J2096" s="689">
        <f t="shared" si="33"/>
        <v>1</v>
      </c>
    </row>
    <row r="2097" spans="1:10" ht="12.75" customHeight="1" x14ac:dyDescent="0.2">
      <c r="A2097" s="681" t="s">
        <v>2370</v>
      </c>
      <c r="B2097" s="693" t="s">
        <v>4665</v>
      </c>
      <c r="C2097" s="672" t="s">
        <v>787</v>
      </c>
      <c r="D2097" s="673">
        <v>36211</v>
      </c>
      <c r="E2097" s="674">
        <v>10</v>
      </c>
      <c r="F2097" s="675">
        <v>0.1</v>
      </c>
      <c r="G2097" s="676">
        <v>1890</v>
      </c>
      <c r="H2097" s="929">
        <v>0</v>
      </c>
      <c r="I2097" s="929">
        <v>1889</v>
      </c>
      <c r="J2097" s="689">
        <f t="shared" si="33"/>
        <v>1</v>
      </c>
    </row>
    <row r="2098" spans="1:10" ht="12.75" customHeight="1" x14ac:dyDescent="0.2">
      <c r="A2098" s="681" t="s">
        <v>2370</v>
      </c>
      <c r="B2098" s="693" t="s">
        <v>4666</v>
      </c>
      <c r="C2098" s="672" t="s">
        <v>787</v>
      </c>
      <c r="D2098" s="673">
        <v>36211</v>
      </c>
      <c r="E2098" s="674">
        <v>10</v>
      </c>
      <c r="F2098" s="675">
        <v>0.1</v>
      </c>
      <c r="G2098" s="676">
        <v>1890</v>
      </c>
      <c r="H2098" s="929">
        <v>0</v>
      </c>
      <c r="I2098" s="929">
        <v>1889</v>
      </c>
      <c r="J2098" s="689">
        <f t="shared" si="33"/>
        <v>1</v>
      </c>
    </row>
    <row r="2099" spans="1:10" ht="12.75" customHeight="1" x14ac:dyDescent="0.2">
      <c r="A2099" s="681" t="s">
        <v>2370</v>
      </c>
      <c r="B2099" s="693" t="s">
        <v>4667</v>
      </c>
      <c r="C2099" s="672" t="s">
        <v>787</v>
      </c>
      <c r="D2099" s="673">
        <v>36211</v>
      </c>
      <c r="E2099" s="674">
        <v>10</v>
      </c>
      <c r="F2099" s="675">
        <v>0.1</v>
      </c>
      <c r="G2099" s="676">
        <v>1890</v>
      </c>
      <c r="H2099" s="929">
        <v>0</v>
      </c>
      <c r="I2099" s="929">
        <v>1889</v>
      </c>
      <c r="J2099" s="689">
        <f t="shared" si="33"/>
        <v>1</v>
      </c>
    </row>
    <row r="2100" spans="1:10" ht="12.75" customHeight="1" x14ac:dyDescent="0.2">
      <c r="A2100" s="681" t="s">
        <v>2370</v>
      </c>
      <c r="B2100" s="693" t="s">
        <v>4668</v>
      </c>
      <c r="C2100" s="672" t="s">
        <v>787</v>
      </c>
      <c r="D2100" s="673">
        <v>36211</v>
      </c>
      <c r="E2100" s="674">
        <v>10</v>
      </c>
      <c r="F2100" s="675">
        <v>0.1</v>
      </c>
      <c r="G2100" s="676">
        <v>1890</v>
      </c>
      <c r="H2100" s="929">
        <v>0</v>
      </c>
      <c r="I2100" s="929">
        <v>1889</v>
      </c>
      <c r="J2100" s="689">
        <f t="shared" si="33"/>
        <v>1</v>
      </c>
    </row>
    <row r="2101" spans="1:10" ht="12.75" customHeight="1" x14ac:dyDescent="0.2">
      <c r="A2101" s="681" t="s">
        <v>2370</v>
      </c>
      <c r="B2101" s="693" t="s">
        <v>4669</v>
      </c>
      <c r="C2101" s="672" t="s">
        <v>787</v>
      </c>
      <c r="D2101" s="673">
        <v>36211</v>
      </c>
      <c r="E2101" s="674">
        <v>10</v>
      </c>
      <c r="F2101" s="675">
        <v>0.1</v>
      </c>
      <c r="G2101" s="676">
        <v>1890</v>
      </c>
      <c r="H2101" s="929">
        <v>0</v>
      </c>
      <c r="I2101" s="929">
        <v>1889</v>
      </c>
      <c r="J2101" s="689">
        <f t="shared" si="33"/>
        <v>1</v>
      </c>
    </row>
    <row r="2102" spans="1:10" ht="12.75" customHeight="1" x14ac:dyDescent="0.2">
      <c r="A2102" s="681" t="s">
        <v>2370</v>
      </c>
      <c r="B2102" s="693" t="s">
        <v>4670</v>
      </c>
      <c r="C2102" s="672" t="s">
        <v>787</v>
      </c>
      <c r="D2102" s="673">
        <v>36211</v>
      </c>
      <c r="E2102" s="674">
        <v>10</v>
      </c>
      <c r="F2102" s="675">
        <v>0.1</v>
      </c>
      <c r="G2102" s="676">
        <v>1890</v>
      </c>
      <c r="H2102" s="929">
        <v>0</v>
      </c>
      <c r="I2102" s="929">
        <v>1889</v>
      </c>
      <c r="J2102" s="689">
        <f t="shared" si="33"/>
        <v>1</v>
      </c>
    </row>
    <row r="2103" spans="1:10" ht="12.75" customHeight="1" x14ac:dyDescent="0.2">
      <c r="A2103" s="681" t="s">
        <v>2370</v>
      </c>
      <c r="B2103" s="693" t="s">
        <v>4671</v>
      </c>
      <c r="C2103" s="672" t="s">
        <v>787</v>
      </c>
      <c r="D2103" s="673">
        <v>36211</v>
      </c>
      <c r="E2103" s="674">
        <v>10</v>
      </c>
      <c r="F2103" s="675">
        <v>0.1</v>
      </c>
      <c r="G2103" s="676">
        <v>1890</v>
      </c>
      <c r="H2103" s="929">
        <v>0</v>
      </c>
      <c r="I2103" s="929">
        <v>1889</v>
      </c>
      <c r="J2103" s="689">
        <f t="shared" si="33"/>
        <v>1</v>
      </c>
    </row>
    <row r="2104" spans="1:10" ht="12.75" customHeight="1" x14ac:dyDescent="0.2">
      <c r="A2104" s="681" t="s">
        <v>2370</v>
      </c>
      <c r="B2104" s="693" t="s">
        <v>4672</v>
      </c>
      <c r="C2104" s="672" t="s">
        <v>787</v>
      </c>
      <c r="D2104" s="673">
        <v>36211</v>
      </c>
      <c r="E2104" s="674">
        <v>10</v>
      </c>
      <c r="F2104" s="675">
        <v>0.1</v>
      </c>
      <c r="G2104" s="676">
        <v>1890</v>
      </c>
      <c r="H2104" s="929">
        <v>0</v>
      </c>
      <c r="I2104" s="929">
        <v>1889</v>
      </c>
      <c r="J2104" s="689">
        <f t="shared" si="33"/>
        <v>1</v>
      </c>
    </row>
    <row r="2105" spans="1:10" ht="12.75" customHeight="1" x14ac:dyDescent="0.2">
      <c r="A2105" s="681" t="s">
        <v>2370</v>
      </c>
      <c r="B2105" s="693" t="s">
        <v>4673</v>
      </c>
      <c r="C2105" s="672" t="s">
        <v>787</v>
      </c>
      <c r="D2105" s="673">
        <v>36211</v>
      </c>
      <c r="E2105" s="674">
        <v>10</v>
      </c>
      <c r="F2105" s="675">
        <v>0.1</v>
      </c>
      <c r="G2105" s="676">
        <v>1890</v>
      </c>
      <c r="H2105" s="929">
        <v>0</v>
      </c>
      <c r="I2105" s="929">
        <v>1889</v>
      </c>
      <c r="J2105" s="689">
        <f t="shared" si="33"/>
        <v>1</v>
      </c>
    </row>
    <row r="2106" spans="1:10" ht="12.75" customHeight="1" x14ac:dyDescent="0.2">
      <c r="A2106" s="681" t="s">
        <v>2370</v>
      </c>
      <c r="B2106" s="693" t="s">
        <v>4674</v>
      </c>
      <c r="C2106" s="672" t="s">
        <v>785</v>
      </c>
      <c r="D2106" s="673">
        <v>33289</v>
      </c>
      <c r="E2106" s="674">
        <v>10</v>
      </c>
      <c r="F2106" s="675">
        <v>0.1</v>
      </c>
      <c r="G2106" s="676">
        <v>1890</v>
      </c>
      <c r="H2106" s="929">
        <v>0</v>
      </c>
      <c r="I2106" s="929">
        <v>1889</v>
      </c>
      <c r="J2106" s="689">
        <f t="shared" si="33"/>
        <v>1</v>
      </c>
    </row>
    <row r="2107" spans="1:10" ht="12.75" customHeight="1" x14ac:dyDescent="0.2">
      <c r="A2107" s="681" t="s">
        <v>2370</v>
      </c>
      <c r="B2107" s="693" t="s">
        <v>4675</v>
      </c>
      <c r="C2107" s="672" t="s">
        <v>787</v>
      </c>
      <c r="D2107" s="673">
        <v>33289</v>
      </c>
      <c r="E2107" s="674">
        <v>10</v>
      </c>
      <c r="F2107" s="675">
        <v>0.1</v>
      </c>
      <c r="G2107" s="676">
        <v>1890</v>
      </c>
      <c r="H2107" s="929">
        <v>0</v>
      </c>
      <c r="I2107" s="929">
        <v>1889</v>
      </c>
      <c r="J2107" s="689">
        <f t="shared" si="33"/>
        <v>1</v>
      </c>
    </row>
    <row r="2108" spans="1:10" ht="12.75" customHeight="1" x14ac:dyDescent="0.2">
      <c r="A2108" s="681" t="s">
        <v>2370</v>
      </c>
      <c r="B2108" s="693" t="s">
        <v>4676</v>
      </c>
      <c r="C2108" s="672" t="s">
        <v>885</v>
      </c>
      <c r="D2108" s="673">
        <v>37672</v>
      </c>
      <c r="E2108" s="674">
        <v>3</v>
      </c>
      <c r="F2108" s="675">
        <v>0.33</v>
      </c>
      <c r="G2108" s="676">
        <v>1890</v>
      </c>
      <c r="H2108" s="929">
        <v>0</v>
      </c>
      <c r="I2108" s="929">
        <v>1889</v>
      </c>
      <c r="J2108" s="689">
        <f t="shared" si="33"/>
        <v>1</v>
      </c>
    </row>
    <row r="2109" spans="1:10" ht="12.75" customHeight="1" x14ac:dyDescent="0.2">
      <c r="A2109" s="681" t="s">
        <v>2370</v>
      </c>
      <c r="B2109" s="693" t="s">
        <v>4677</v>
      </c>
      <c r="C2109" s="672" t="s">
        <v>885</v>
      </c>
      <c r="D2109" s="673">
        <v>37672</v>
      </c>
      <c r="E2109" s="674">
        <v>3</v>
      </c>
      <c r="F2109" s="675">
        <v>0.33</v>
      </c>
      <c r="G2109" s="676">
        <v>1890</v>
      </c>
      <c r="H2109" s="929">
        <v>0</v>
      </c>
      <c r="I2109" s="929">
        <v>1889</v>
      </c>
      <c r="J2109" s="689">
        <f t="shared" si="33"/>
        <v>1</v>
      </c>
    </row>
    <row r="2110" spans="1:10" ht="12.75" customHeight="1" x14ac:dyDescent="0.2">
      <c r="A2110" s="681" t="s">
        <v>2370</v>
      </c>
      <c r="B2110" s="693" t="s">
        <v>4678</v>
      </c>
      <c r="C2110" s="672" t="s">
        <v>788</v>
      </c>
      <c r="D2110" s="673">
        <v>38037</v>
      </c>
      <c r="E2110" s="674">
        <v>10</v>
      </c>
      <c r="F2110" s="675">
        <v>0.1</v>
      </c>
      <c r="G2110" s="676">
        <v>1892</v>
      </c>
      <c r="H2110" s="929">
        <v>0</v>
      </c>
      <c r="I2110" s="929">
        <v>1891</v>
      </c>
      <c r="J2110" s="689">
        <f t="shared" si="33"/>
        <v>1</v>
      </c>
    </row>
    <row r="2111" spans="1:10" ht="12.75" customHeight="1" x14ac:dyDescent="0.2">
      <c r="A2111" s="681" t="s">
        <v>2370</v>
      </c>
      <c r="B2111" s="693" t="s">
        <v>4679</v>
      </c>
      <c r="C2111" s="672" t="s">
        <v>791</v>
      </c>
      <c r="D2111" s="673">
        <v>36211</v>
      </c>
      <c r="E2111" s="674">
        <v>10</v>
      </c>
      <c r="F2111" s="675">
        <v>0.1</v>
      </c>
      <c r="G2111" s="676">
        <v>1898</v>
      </c>
      <c r="H2111" s="929">
        <v>0</v>
      </c>
      <c r="I2111" s="929">
        <v>1897</v>
      </c>
      <c r="J2111" s="689">
        <f t="shared" si="33"/>
        <v>1</v>
      </c>
    </row>
    <row r="2112" spans="1:10" ht="12.75" customHeight="1" x14ac:dyDescent="0.2">
      <c r="A2112" s="681" t="s">
        <v>2372</v>
      </c>
      <c r="B2112" s="693" t="s">
        <v>4680</v>
      </c>
      <c r="C2112" s="672" t="s">
        <v>1081</v>
      </c>
      <c r="D2112" s="673">
        <v>37307</v>
      </c>
      <c r="E2112" s="674">
        <v>10</v>
      </c>
      <c r="F2112" s="675">
        <v>0.1</v>
      </c>
      <c r="G2112" s="676">
        <v>1898</v>
      </c>
      <c r="H2112" s="929">
        <v>0</v>
      </c>
      <c r="I2112" s="929">
        <v>1897</v>
      </c>
      <c r="J2112" s="689">
        <f t="shared" si="33"/>
        <v>1</v>
      </c>
    </row>
    <row r="2113" spans="1:10" ht="12.75" customHeight="1" x14ac:dyDescent="0.2">
      <c r="A2113" s="681" t="s">
        <v>2370</v>
      </c>
      <c r="B2113" s="693" t="s">
        <v>4681</v>
      </c>
      <c r="C2113" s="672" t="s">
        <v>893</v>
      </c>
      <c r="D2113" s="673">
        <v>36576</v>
      </c>
      <c r="E2113" s="674">
        <v>3</v>
      </c>
      <c r="F2113" s="675">
        <v>0.33</v>
      </c>
      <c r="G2113" s="676">
        <v>1900</v>
      </c>
      <c r="H2113" s="929">
        <v>0</v>
      </c>
      <c r="I2113" s="929">
        <v>1899</v>
      </c>
      <c r="J2113" s="689">
        <f t="shared" si="33"/>
        <v>1</v>
      </c>
    </row>
    <row r="2114" spans="1:10" ht="12.75" customHeight="1" x14ac:dyDescent="0.2">
      <c r="A2114" s="681" t="s">
        <v>2370</v>
      </c>
      <c r="B2114" s="693" t="s">
        <v>4682</v>
      </c>
      <c r="C2114" s="672" t="s">
        <v>790</v>
      </c>
      <c r="D2114" s="673">
        <v>37307</v>
      </c>
      <c r="E2114" s="674">
        <v>10</v>
      </c>
      <c r="F2114" s="675">
        <v>0.1</v>
      </c>
      <c r="G2114" s="676">
        <v>1905</v>
      </c>
      <c r="H2114" s="929">
        <v>0</v>
      </c>
      <c r="I2114" s="929">
        <v>1904</v>
      </c>
      <c r="J2114" s="689">
        <f t="shared" si="33"/>
        <v>1</v>
      </c>
    </row>
    <row r="2115" spans="1:10" ht="12.75" customHeight="1" x14ac:dyDescent="0.2">
      <c r="A2115" s="681" t="s">
        <v>2370</v>
      </c>
      <c r="B2115" s="693" t="s">
        <v>4683</v>
      </c>
      <c r="C2115" s="672" t="s">
        <v>892</v>
      </c>
      <c r="D2115" s="673">
        <v>39498</v>
      </c>
      <c r="E2115" s="674">
        <v>3</v>
      </c>
      <c r="F2115" s="675">
        <v>0.33</v>
      </c>
      <c r="G2115" s="676">
        <v>1912</v>
      </c>
      <c r="H2115" s="929">
        <v>0</v>
      </c>
      <c r="I2115" s="929">
        <v>1911</v>
      </c>
      <c r="J2115" s="689">
        <f t="shared" si="33"/>
        <v>1</v>
      </c>
    </row>
    <row r="2116" spans="1:10" ht="12.75" customHeight="1" x14ac:dyDescent="0.2">
      <c r="A2116" s="681" t="s">
        <v>2372</v>
      </c>
      <c r="B2116" s="693" t="s">
        <v>4684</v>
      </c>
      <c r="C2116" s="672" t="s">
        <v>895</v>
      </c>
      <c r="D2116" s="673">
        <v>38403</v>
      </c>
      <c r="E2116" s="674">
        <v>3</v>
      </c>
      <c r="F2116" s="675">
        <v>0.33</v>
      </c>
      <c r="G2116" s="676">
        <v>1929</v>
      </c>
      <c r="H2116" s="929">
        <v>0</v>
      </c>
      <c r="I2116" s="929">
        <v>1928</v>
      </c>
      <c r="J2116" s="689">
        <f t="shared" si="33"/>
        <v>1</v>
      </c>
    </row>
    <row r="2117" spans="1:10" ht="12.75" customHeight="1" x14ac:dyDescent="0.2">
      <c r="A2117" s="681" t="s">
        <v>2370</v>
      </c>
      <c r="B2117" s="693" t="s">
        <v>4685</v>
      </c>
      <c r="C2117" s="672" t="s">
        <v>892</v>
      </c>
      <c r="D2117" s="673">
        <v>39498</v>
      </c>
      <c r="E2117" s="674">
        <v>3</v>
      </c>
      <c r="F2117" s="675">
        <v>0.33</v>
      </c>
      <c r="G2117" s="676">
        <v>1936</v>
      </c>
      <c r="H2117" s="929">
        <v>0</v>
      </c>
      <c r="I2117" s="929">
        <v>1935</v>
      </c>
      <c r="J2117" s="689">
        <f t="shared" si="33"/>
        <v>1</v>
      </c>
    </row>
    <row r="2118" spans="1:10" ht="12.75" customHeight="1" x14ac:dyDescent="0.2">
      <c r="A2118" s="681" t="s">
        <v>2370</v>
      </c>
      <c r="B2118" s="693" t="s">
        <v>4686</v>
      </c>
      <c r="C2118" s="672" t="s">
        <v>892</v>
      </c>
      <c r="D2118" s="673">
        <v>39498</v>
      </c>
      <c r="E2118" s="674">
        <v>3</v>
      </c>
      <c r="F2118" s="675">
        <v>0.33</v>
      </c>
      <c r="G2118" s="676">
        <v>1936</v>
      </c>
      <c r="H2118" s="929">
        <v>0</v>
      </c>
      <c r="I2118" s="929">
        <v>1935</v>
      </c>
      <c r="J2118" s="689">
        <f t="shared" si="33"/>
        <v>1</v>
      </c>
    </row>
    <row r="2119" spans="1:10" ht="12.75" customHeight="1" x14ac:dyDescent="0.2">
      <c r="A2119" s="681" t="s">
        <v>2370</v>
      </c>
      <c r="B2119" s="693" t="s">
        <v>4687</v>
      </c>
      <c r="C2119" s="672" t="s">
        <v>892</v>
      </c>
      <c r="D2119" s="673">
        <v>39498</v>
      </c>
      <c r="E2119" s="674">
        <v>3</v>
      </c>
      <c r="F2119" s="675">
        <v>0.33</v>
      </c>
      <c r="G2119" s="676">
        <v>1936</v>
      </c>
      <c r="H2119" s="929">
        <v>0</v>
      </c>
      <c r="I2119" s="929">
        <v>1935</v>
      </c>
      <c r="J2119" s="689">
        <f t="shared" ref="J2119:J2182" si="34">G2119-I2119</f>
        <v>1</v>
      </c>
    </row>
    <row r="2120" spans="1:10" ht="12.75" customHeight="1" x14ac:dyDescent="0.2">
      <c r="A2120" s="681" t="s">
        <v>2370</v>
      </c>
      <c r="B2120" s="693" t="s">
        <v>4688</v>
      </c>
      <c r="C2120" s="672" t="s">
        <v>892</v>
      </c>
      <c r="D2120" s="673">
        <v>39498</v>
      </c>
      <c r="E2120" s="674">
        <v>3</v>
      </c>
      <c r="F2120" s="675">
        <v>0.33</v>
      </c>
      <c r="G2120" s="676">
        <v>1936</v>
      </c>
      <c r="H2120" s="929">
        <v>0</v>
      </c>
      <c r="I2120" s="929">
        <v>1935</v>
      </c>
      <c r="J2120" s="689">
        <f t="shared" si="34"/>
        <v>1</v>
      </c>
    </row>
    <row r="2121" spans="1:10" ht="12.75" customHeight="1" x14ac:dyDescent="0.2">
      <c r="A2121" s="681" t="s">
        <v>2370</v>
      </c>
      <c r="B2121" s="693" t="s">
        <v>4689</v>
      </c>
      <c r="C2121" s="672" t="s">
        <v>892</v>
      </c>
      <c r="D2121" s="673">
        <v>39498</v>
      </c>
      <c r="E2121" s="674">
        <v>3</v>
      </c>
      <c r="F2121" s="675">
        <v>0.33</v>
      </c>
      <c r="G2121" s="676">
        <v>1936</v>
      </c>
      <c r="H2121" s="929">
        <v>0</v>
      </c>
      <c r="I2121" s="929">
        <v>1935</v>
      </c>
      <c r="J2121" s="689">
        <f t="shared" si="34"/>
        <v>1</v>
      </c>
    </row>
    <row r="2122" spans="1:10" ht="12.75" customHeight="1" x14ac:dyDescent="0.2">
      <c r="A2122" s="681" t="s">
        <v>2370</v>
      </c>
      <c r="B2122" s="693" t="s">
        <v>4690</v>
      </c>
      <c r="C2122" s="672" t="s">
        <v>791</v>
      </c>
      <c r="D2122" s="673">
        <v>36211</v>
      </c>
      <c r="E2122" s="674">
        <v>10</v>
      </c>
      <c r="F2122" s="675">
        <v>0.1</v>
      </c>
      <c r="G2122" s="676">
        <v>1944</v>
      </c>
      <c r="H2122" s="929">
        <v>0</v>
      </c>
      <c r="I2122" s="929">
        <v>1943</v>
      </c>
      <c r="J2122" s="689">
        <f t="shared" si="34"/>
        <v>1</v>
      </c>
    </row>
    <row r="2123" spans="1:10" ht="12.75" customHeight="1" x14ac:dyDescent="0.2">
      <c r="A2123" s="681" t="s">
        <v>2370</v>
      </c>
      <c r="B2123" s="693" t="s">
        <v>4691</v>
      </c>
      <c r="C2123" s="672" t="s">
        <v>885</v>
      </c>
      <c r="D2123" s="673">
        <v>36211</v>
      </c>
      <c r="E2123" s="674">
        <v>3</v>
      </c>
      <c r="F2123" s="675">
        <v>0.33</v>
      </c>
      <c r="G2123" s="676">
        <v>1945</v>
      </c>
      <c r="H2123" s="929">
        <v>0</v>
      </c>
      <c r="I2123" s="929">
        <v>1944</v>
      </c>
      <c r="J2123" s="689">
        <f t="shared" si="34"/>
        <v>1</v>
      </c>
    </row>
    <row r="2124" spans="1:10" ht="12.75" customHeight="1" x14ac:dyDescent="0.2">
      <c r="A2124" s="681" t="s">
        <v>2370</v>
      </c>
      <c r="B2124" s="693" t="s">
        <v>4692</v>
      </c>
      <c r="C2124" s="672" t="s">
        <v>787</v>
      </c>
      <c r="D2124" s="673">
        <v>36211</v>
      </c>
      <c r="E2124" s="674">
        <v>10</v>
      </c>
      <c r="F2124" s="675">
        <v>0.1</v>
      </c>
      <c r="G2124" s="676">
        <v>1955</v>
      </c>
      <c r="H2124" s="929">
        <v>0</v>
      </c>
      <c r="I2124" s="929">
        <v>1954</v>
      </c>
      <c r="J2124" s="689">
        <f t="shared" si="34"/>
        <v>1</v>
      </c>
    </row>
    <row r="2125" spans="1:10" ht="12.75" customHeight="1" x14ac:dyDescent="0.2">
      <c r="A2125" s="681" t="s">
        <v>2370</v>
      </c>
      <c r="B2125" s="693" t="s">
        <v>4693</v>
      </c>
      <c r="C2125" s="672" t="s">
        <v>786</v>
      </c>
      <c r="D2125" s="673">
        <v>36211</v>
      </c>
      <c r="E2125" s="674">
        <v>10</v>
      </c>
      <c r="F2125" s="675">
        <v>0.1</v>
      </c>
      <c r="G2125" s="676">
        <v>1955</v>
      </c>
      <c r="H2125" s="929">
        <v>0</v>
      </c>
      <c r="I2125" s="929">
        <v>1954</v>
      </c>
      <c r="J2125" s="689">
        <f t="shared" si="34"/>
        <v>1</v>
      </c>
    </row>
    <row r="2126" spans="1:10" ht="12.75" customHeight="1" x14ac:dyDescent="0.2">
      <c r="A2126" s="681" t="s">
        <v>2370</v>
      </c>
      <c r="B2126" s="693" t="s">
        <v>4694</v>
      </c>
      <c r="C2126" s="672" t="s">
        <v>826</v>
      </c>
      <c r="D2126" s="673">
        <v>36211</v>
      </c>
      <c r="E2126" s="674">
        <v>10</v>
      </c>
      <c r="F2126" s="675">
        <v>0.1</v>
      </c>
      <c r="G2126" s="676">
        <v>1955</v>
      </c>
      <c r="H2126" s="929">
        <v>0</v>
      </c>
      <c r="I2126" s="929">
        <v>1954</v>
      </c>
      <c r="J2126" s="689">
        <f t="shared" si="34"/>
        <v>1</v>
      </c>
    </row>
    <row r="2127" spans="1:10" ht="12.75" customHeight="1" x14ac:dyDescent="0.2">
      <c r="A2127" s="681" t="s">
        <v>2370</v>
      </c>
      <c r="B2127" s="693" t="s">
        <v>4695</v>
      </c>
      <c r="C2127" s="672" t="s">
        <v>791</v>
      </c>
      <c r="D2127" s="673">
        <v>36211</v>
      </c>
      <c r="E2127" s="674">
        <v>10</v>
      </c>
      <c r="F2127" s="675">
        <v>0.1</v>
      </c>
      <c r="G2127" s="676">
        <v>1955</v>
      </c>
      <c r="H2127" s="929">
        <v>0</v>
      </c>
      <c r="I2127" s="929">
        <v>1954</v>
      </c>
      <c r="J2127" s="689">
        <f t="shared" si="34"/>
        <v>1</v>
      </c>
    </row>
    <row r="2128" spans="1:10" ht="12.75" customHeight="1" x14ac:dyDescent="0.2">
      <c r="A2128" s="681" t="s">
        <v>2372</v>
      </c>
      <c r="B2128" s="693" t="s">
        <v>4696</v>
      </c>
      <c r="C2128" s="672" t="s">
        <v>1020</v>
      </c>
      <c r="D2128" s="673">
        <v>39498</v>
      </c>
      <c r="E2128" s="674">
        <v>3</v>
      </c>
      <c r="F2128" s="675">
        <v>0.33</v>
      </c>
      <c r="G2128" s="676">
        <v>1955</v>
      </c>
      <c r="H2128" s="929">
        <v>0</v>
      </c>
      <c r="I2128" s="929">
        <v>1954</v>
      </c>
      <c r="J2128" s="689">
        <f t="shared" si="34"/>
        <v>1</v>
      </c>
    </row>
    <row r="2129" spans="1:10" ht="12.75" customHeight="1" x14ac:dyDescent="0.2">
      <c r="A2129" s="681" t="s">
        <v>2370</v>
      </c>
      <c r="B2129" s="693" t="s">
        <v>4697</v>
      </c>
      <c r="C2129" s="672" t="s">
        <v>791</v>
      </c>
      <c r="D2129" s="673">
        <v>35115</v>
      </c>
      <c r="E2129" s="674">
        <v>10</v>
      </c>
      <c r="F2129" s="675">
        <v>0.1</v>
      </c>
      <c r="G2129" s="676">
        <v>1961</v>
      </c>
      <c r="H2129" s="929">
        <v>0</v>
      </c>
      <c r="I2129" s="929">
        <v>1960</v>
      </c>
      <c r="J2129" s="689">
        <f t="shared" si="34"/>
        <v>1</v>
      </c>
    </row>
    <row r="2130" spans="1:10" ht="12.75" customHeight="1" x14ac:dyDescent="0.2">
      <c r="A2130" s="681" t="s">
        <v>2370</v>
      </c>
      <c r="B2130" s="693" t="s">
        <v>4698</v>
      </c>
      <c r="C2130" s="672" t="s">
        <v>791</v>
      </c>
      <c r="D2130" s="673">
        <v>32924</v>
      </c>
      <c r="E2130" s="674">
        <v>10</v>
      </c>
      <c r="F2130" s="675">
        <v>0.1</v>
      </c>
      <c r="G2130" s="676">
        <v>1961</v>
      </c>
      <c r="H2130" s="929">
        <v>0</v>
      </c>
      <c r="I2130" s="929">
        <v>1960</v>
      </c>
      <c r="J2130" s="689">
        <f t="shared" si="34"/>
        <v>1</v>
      </c>
    </row>
    <row r="2131" spans="1:10" ht="12.75" customHeight="1" x14ac:dyDescent="0.2">
      <c r="A2131" s="681" t="s">
        <v>2370</v>
      </c>
      <c r="B2131" s="693" t="s">
        <v>4699</v>
      </c>
      <c r="C2131" s="672" t="s">
        <v>791</v>
      </c>
      <c r="D2131" s="673">
        <v>35115</v>
      </c>
      <c r="E2131" s="674">
        <v>10</v>
      </c>
      <c r="F2131" s="675">
        <v>0.1</v>
      </c>
      <c r="G2131" s="676">
        <v>1961</v>
      </c>
      <c r="H2131" s="929">
        <v>0</v>
      </c>
      <c r="I2131" s="929">
        <v>1960</v>
      </c>
      <c r="J2131" s="689">
        <f t="shared" si="34"/>
        <v>1</v>
      </c>
    </row>
    <row r="2132" spans="1:10" ht="12.75" customHeight="1" x14ac:dyDescent="0.2">
      <c r="A2132" s="681" t="s">
        <v>2372</v>
      </c>
      <c r="B2132" s="693" t="s">
        <v>4700</v>
      </c>
      <c r="C2132" s="672" t="s">
        <v>1009</v>
      </c>
      <c r="D2132" s="673">
        <v>35846</v>
      </c>
      <c r="E2132" s="674">
        <v>10</v>
      </c>
      <c r="F2132" s="675">
        <v>0.1</v>
      </c>
      <c r="G2132" s="676">
        <v>1965</v>
      </c>
      <c r="H2132" s="929">
        <v>0</v>
      </c>
      <c r="I2132" s="929">
        <v>1964</v>
      </c>
      <c r="J2132" s="689">
        <f t="shared" si="34"/>
        <v>1</v>
      </c>
    </row>
    <row r="2133" spans="1:10" ht="12.75" customHeight="1" x14ac:dyDescent="0.2">
      <c r="A2133" s="681" t="s">
        <v>2370</v>
      </c>
      <c r="B2133" s="693" t="s">
        <v>4701</v>
      </c>
      <c r="C2133" s="672" t="s">
        <v>790</v>
      </c>
      <c r="D2133" s="673">
        <v>36576</v>
      </c>
      <c r="E2133" s="674">
        <v>10</v>
      </c>
      <c r="F2133" s="675">
        <v>0.1</v>
      </c>
      <c r="G2133" s="676">
        <v>1978</v>
      </c>
      <c r="H2133" s="929">
        <v>0</v>
      </c>
      <c r="I2133" s="929">
        <v>1977</v>
      </c>
      <c r="J2133" s="689">
        <f t="shared" si="34"/>
        <v>1</v>
      </c>
    </row>
    <row r="2134" spans="1:10" ht="12.75" customHeight="1" x14ac:dyDescent="0.2">
      <c r="A2134" s="681" t="s">
        <v>2370</v>
      </c>
      <c r="B2134" s="693" t="s">
        <v>4702</v>
      </c>
      <c r="C2134" s="672" t="s">
        <v>892</v>
      </c>
      <c r="D2134" s="673">
        <v>39498</v>
      </c>
      <c r="E2134" s="674">
        <v>3</v>
      </c>
      <c r="F2134" s="675">
        <v>0.33</v>
      </c>
      <c r="G2134" s="676">
        <v>1990</v>
      </c>
      <c r="H2134" s="929">
        <v>0</v>
      </c>
      <c r="I2134" s="929">
        <v>1989</v>
      </c>
      <c r="J2134" s="689">
        <f t="shared" si="34"/>
        <v>1</v>
      </c>
    </row>
    <row r="2135" spans="1:10" ht="12.75" customHeight="1" x14ac:dyDescent="0.2">
      <c r="A2135" s="681" t="s">
        <v>2370</v>
      </c>
      <c r="B2135" s="693" t="s">
        <v>4703</v>
      </c>
      <c r="C2135" s="672" t="s">
        <v>885</v>
      </c>
      <c r="D2135" s="673">
        <v>37307</v>
      </c>
      <c r="E2135" s="674">
        <v>3</v>
      </c>
      <c r="F2135" s="675">
        <v>0.33</v>
      </c>
      <c r="G2135" s="676">
        <v>1995</v>
      </c>
      <c r="H2135" s="929">
        <v>0</v>
      </c>
      <c r="I2135" s="929">
        <v>1994</v>
      </c>
      <c r="J2135" s="689">
        <f t="shared" si="34"/>
        <v>1</v>
      </c>
    </row>
    <row r="2136" spans="1:10" ht="12.75" customHeight="1" x14ac:dyDescent="0.2">
      <c r="A2136" s="681" t="s">
        <v>2370</v>
      </c>
      <c r="B2136" s="693" t="s">
        <v>4704</v>
      </c>
      <c r="C2136" s="672" t="s">
        <v>885</v>
      </c>
      <c r="D2136" s="673">
        <v>37307</v>
      </c>
      <c r="E2136" s="674">
        <v>3</v>
      </c>
      <c r="F2136" s="675">
        <v>0.33</v>
      </c>
      <c r="G2136" s="676">
        <v>1995</v>
      </c>
      <c r="H2136" s="929">
        <v>0</v>
      </c>
      <c r="I2136" s="929">
        <v>1994</v>
      </c>
      <c r="J2136" s="689">
        <f t="shared" si="34"/>
        <v>1</v>
      </c>
    </row>
    <row r="2137" spans="1:10" ht="12.75" customHeight="1" x14ac:dyDescent="0.2">
      <c r="A2137" s="681" t="s">
        <v>2372</v>
      </c>
      <c r="B2137" s="693" t="s">
        <v>4705</v>
      </c>
      <c r="C2137" s="672" t="s">
        <v>1020</v>
      </c>
      <c r="D2137" s="673">
        <v>37672</v>
      </c>
      <c r="E2137" s="674">
        <v>3</v>
      </c>
      <c r="F2137" s="675">
        <v>0.33</v>
      </c>
      <c r="G2137" s="676">
        <v>2000</v>
      </c>
      <c r="H2137" s="929">
        <v>0</v>
      </c>
      <c r="I2137" s="929">
        <v>1999</v>
      </c>
      <c r="J2137" s="689">
        <f t="shared" si="34"/>
        <v>1</v>
      </c>
    </row>
    <row r="2138" spans="1:10" ht="12.75" customHeight="1" x14ac:dyDescent="0.2">
      <c r="A2138" s="681" t="s">
        <v>2370</v>
      </c>
      <c r="B2138" s="693" t="s">
        <v>4706</v>
      </c>
      <c r="C2138" s="672" t="s">
        <v>788</v>
      </c>
      <c r="D2138" s="673">
        <v>37307</v>
      </c>
      <c r="E2138" s="674">
        <v>10</v>
      </c>
      <c r="F2138" s="675">
        <v>0.1</v>
      </c>
      <c r="G2138" s="676">
        <v>2012</v>
      </c>
      <c r="H2138" s="929">
        <v>0</v>
      </c>
      <c r="I2138" s="929">
        <v>2011</v>
      </c>
      <c r="J2138" s="689">
        <f t="shared" si="34"/>
        <v>1</v>
      </c>
    </row>
    <row r="2139" spans="1:10" ht="12.75" customHeight="1" x14ac:dyDescent="0.2">
      <c r="A2139" s="681" t="s">
        <v>2370</v>
      </c>
      <c r="B2139" s="693" t="s">
        <v>4707</v>
      </c>
      <c r="C2139" s="672" t="s">
        <v>788</v>
      </c>
      <c r="D2139" s="673">
        <v>33289</v>
      </c>
      <c r="E2139" s="674">
        <v>10</v>
      </c>
      <c r="F2139" s="675">
        <v>0.1</v>
      </c>
      <c r="G2139" s="676">
        <v>2012</v>
      </c>
      <c r="H2139" s="929">
        <v>0</v>
      </c>
      <c r="I2139" s="929">
        <v>2011</v>
      </c>
      <c r="J2139" s="689">
        <f t="shared" si="34"/>
        <v>1</v>
      </c>
    </row>
    <row r="2140" spans="1:10" ht="12.75" customHeight="1" x14ac:dyDescent="0.2">
      <c r="A2140" s="681" t="s">
        <v>2370</v>
      </c>
      <c r="B2140" s="693" t="s">
        <v>4708</v>
      </c>
      <c r="C2140" s="672" t="s">
        <v>788</v>
      </c>
      <c r="D2140" s="673">
        <v>36576</v>
      </c>
      <c r="E2140" s="674">
        <v>10</v>
      </c>
      <c r="F2140" s="675">
        <v>0.1</v>
      </c>
      <c r="G2140" s="676">
        <v>2012</v>
      </c>
      <c r="H2140" s="929">
        <v>0</v>
      </c>
      <c r="I2140" s="929">
        <v>2011</v>
      </c>
      <c r="J2140" s="689">
        <f t="shared" si="34"/>
        <v>1</v>
      </c>
    </row>
    <row r="2141" spans="1:10" ht="12.75" customHeight="1" x14ac:dyDescent="0.2">
      <c r="A2141" s="681" t="s">
        <v>2370</v>
      </c>
      <c r="B2141" s="693" t="s">
        <v>4709</v>
      </c>
      <c r="C2141" s="672" t="s">
        <v>788</v>
      </c>
      <c r="D2141" s="673">
        <v>36576</v>
      </c>
      <c r="E2141" s="674">
        <v>10</v>
      </c>
      <c r="F2141" s="675">
        <v>0.1</v>
      </c>
      <c r="G2141" s="676">
        <v>2012</v>
      </c>
      <c r="H2141" s="929">
        <v>0</v>
      </c>
      <c r="I2141" s="929">
        <v>2011</v>
      </c>
      <c r="J2141" s="689">
        <f t="shared" si="34"/>
        <v>1</v>
      </c>
    </row>
    <row r="2142" spans="1:10" ht="12.75" customHeight="1" x14ac:dyDescent="0.2">
      <c r="A2142" s="681" t="s">
        <v>2370</v>
      </c>
      <c r="B2142" s="693" t="s">
        <v>4710</v>
      </c>
      <c r="C2142" s="672" t="s">
        <v>788</v>
      </c>
      <c r="D2142" s="673">
        <v>36576</v>
      </c>
      <c r="E2142" s="674">
        <v>10</v>
      </c>
      <c r="F2142" s="675">
        <v>0.1</v>
      </c>
      <c r="G2142" s="676">
        <v>2012</v>
      </c>
      <c r="H2142" s="929">
        <v>0</v>
      </c>
      <c r="I2142" s="929">
        <v>2011</v>
      </c>
      <c r="J2142" s="689">
        <f t="shared" si="34"/>
        <v>1</v>
      </c>
    </row>
    <row r="2143" spans="1:10" ht="12.75" customHeight="1" x14ac:dyDescent="0.2">
      <c r="A2143" s="681" t="s">
        <v>2370</v>
      </c>
      <c r="B2143" s="693" t="s">
        <v>4711</v>
      </c>
      <c r="C2143" s="672" t="s">
        <v>788</v>
      </c>
      <c r="D2143" s="673">
        <v>36576</v>
      </c>
      <c r="E2143" s="674">
        <v>10</v>
      </c>
      <c r="F2143" s="675">
        <v>0.1</v>
      </c>
      <c r="G2143" s="676">
        <v>2012</v>
      </c>
      <c r="H2143" s="929">
        <v>0</v>
      </c>
      <c r="I2143" s="929">
        <v>2011</v>
      </c>
      <c r="J2143" s="689">
        <f t="shared" si="34"/>
        <v>1</v>
      </c>
    </row>
    <row r="2144" spans="1:10" ht="12.75" customHeight="1" x14ac:dyDescent="0.2">
      <c r="A2144" s="681" t="s">
        <v>2372</v>
      </c>
      <c r="B2144" s="693" t="s">
        <v>4712</v>
      </c>
      <c r="C2144" s="672" t="s">
        <v>1026</v>
      </c>
      <c r="D2144" s="673">
        <v>36576</v>
      </c>
      <c r="E2144" s="674">
        <v>3</v>
      </c>
      <c r="F2144" s="675">
        <v>0.33</v>
      </c>
      <c r="G2144" s="676">
        <v>2012</v>
      </c>
      <c r="H2144" s="929">
        <v>0</v>
      </c>
      <c r="I2144" s="929">
        <v>2011</v>
      </c>
      <c r="J2144" s="689">
        <f t="shared" si="34"/>
        <v>1</v>
      </c>
    </row>
    <row r="2145" spans="1:10" ht="12.75" customHeight="1" x14ac:dyDescent="0.2">
      <c r="A2145" s="681" t="s">
        <v>2370</v>
      </c>
      <c r="B2145" s="693" t="s">
        <v>4713</v>
      </c>
      <c r="C2145" s="672" t="s">
        <v>921</v>
      </c>
      <c r="D2145" s="673">
        <v>37307</v>
      </c>
      <c r="E2145" s="674">
        <v>10</v>
      </c>
      <c r="F2145" s="675">
        <v>0.1</v>
      </c>
      <c r="G2145" s="676">
        <v>2019</v>
      </c>
      <c r="H2145" s="929">
        <v>0</v>
      </c>
      <c r="I2145" s="929">
        <v>2018</v>
      </c>
      <c r="J2145" s="689">
        <f t="shared" si="34"/>
        <v>1</v>
      </c>
    </row>
    <row r="2146" spans="1:10" ht="12.75" customHeight="1" x14ac:dyDescent="0.2">
      <c r="A2146" s="681" t="s">
        <v>2370</v>
      </c>
      <c r="B2146" s="693" t="s">
        <v>4714</v>
      </c>
      <c r="C2146" s="672" t="s">
        <v>790</v>
      </c>
      <c r="D2146" s="673">
        <v>38037</v>
      </c>
      <c r="E2146" s="674">
        <v>10</v>
      </c>
      <c r="F2146" s="675">
        <v>0.1</v>
      </c>
      <c r="G2146" s="676">
        <v>2024</v>
      </c>
      <c r="H2146" s="929">
        <v>0</v>
      </c>
      <c r="I2146" s="929">
        <v>2023</v>
      </c>
      <c r="J2146" s="689">
        <f t="shared" si="34"/>
        <v>1</v>
      </c>
    </row>
    <row r="2147" spans="1:10" ht="12.75" customHeight="1" x14ac:dyDescent="0.2">
      <c r="A2147" s="681" t="s">
        <v>2371</v>
      </c>
      <c r="B2147" s="693" t="s">
        <v>4715</v>
      </c>
      <c r="C2147" s="672" t="s">
        <v>972</v>
      </c>
      <c r="D2147" s="673">
        <v>37307</v>
      </c>
      <c r="E2147" s="674">
        <v>3</v>
      </c>
      <c r="F2147" s="675">
        <v>0.33</v>
      </c>
      <c r="G2147" s="676">
        <v>2024</v>
      </c>
      <c r="H2147" s="929">
        <v>0</v>
      </c>
      <c r="I2147" s="929">
        <v>2024</v>
      </c>
      <c r="J2147" s="689">
        <f t="shared" si="34"/>
        <v>0</v>
      </c>
    </row>
    <row r="2148" spans="1:10" ht="12.75" customHeight="1" x14ac:dyDescent="0.2">
      <c r="A2148" s="681" t="s">
        <v>2370</v>
      </c>
      <c r="B2148" s="693" t="s">
        <v>4716</v>
      </c>
      <c r="C2148" s="672" t="s">
        <v>798</v>
      </c>
      <c r="D2148" s="673">
        <v>34385</v>
      </c>
      <c r="E2148" s="674">
        <v>10</v>
      </c>
      <c r="F2148" s="675">
        <v>0.1</v>
      </c>
      <c r="G2148" s="676">
        <v>2035</v>
      </c>
      <c r="H2148" s="929">
        <v>0</v>
      </c>
      <c r="I2148" s="929">
        <v>2034</v>
      </c>
      <c r="J2148" s="689">
        <f t="shared" si="34"/>
        <v>1</v>
      </c>
    </row>
    <row r="2149" spans="1:10" ht="12.75" customHeight="1" x14ac:dyDescent="0.2">
      <c r="A2149" s="681" t="s">
        <v>2370</v>
      </c>
      <c r="B2149" s="693" t="s">
        <v>4717</v>
      </c>
      <c r="C2149" s="672" t="s">
        <v>787</v>
      </c>
      <c r="D2149" s="673">
        <v>36211</v>
      </c>
      <c r="E2149" s="674">
        <v>10</v>
      </c>
      <c r="F2149" s="675">
        <v>0.1</v>
      </c>
      <c r="G2149" s="676">
        <v>2047</v>
      </c>
      <c r="H2149" s="929">
        <v>0</v>
      </c>
      <c r="I2149" s="929">
        <v>2046</v>
      </c>
      <c r="J2149" s="689">
        <f t="shared" si="34"/>
        <v>1</v>
      </c>
    </row>
    <row r="2150" spans="1:10" ht="12.75" customHeight="1" x14ac:dyDescent="0.2">
      <c r="A2150" s="681" t="s">
        <v>2370</v>
      </c>
      <c r="B2150" s="693" t="s">
        <v>4718</v>
      </c>
      <c r="C2150" s="672" t="s">
        <v>787</v>
      </c>
      <c r="D2150" s="673">
        <v>36211</v>
      </c>
      <c r="E2150" s="674">
        <v>10</v>
      </c>
      <c r="F2150" s="675">
        <v>0.1</v>
      </c>
      <c r="G2150" s="676">
        <v>2047</v>
      </c>
      <c r="H2150" s="929">
        <v>0</v>
      </c>
      <c r="I2150" s="929">
        <v>2046</v>
      </c>
      <c r="J2150" s="689">
        <f t="shared" si="34"/>
        <v>1</v>
      </c>
    </row>
    <row r="2151" spans="1:10" ht="12.75" customHeight="1" x14ac:dyDescent="0.2">
      <c r="A2151" s="681" t="s">
        <v>2370</v>
      </c>
      <c r="B2151" s="693" t="s">
        <v>4719</v>
      </c>
      <c r="C2151" s="672" t="s">
        <v>787</v>
      </c>
      <c r="D2151" s="673">
        <v>36211</v>
      </c>
      <c r="E2151" s="674">
        <v>10</v>
      </c>
      <c r="F2151" s="675">
        <v>0.1</v>
      </c>
      <c r="G2151" s="676">
        <v>2047</v>
      </c>
      <c r="H2151" s="929">
        <v>0</v>
      </c>
      <c r="I2151" s="929">
        <v>2046</v>
      </c>
      <c r="J2151" s="689">
        <f t="shared" si="34"/>
        <v>1</v>
      </c>
    </row>
    <row r="2152" spans="1:10" ht="12.75" customHeight="1" x14ac:dyDescent="0.2">
      <c r="A2152" s="681" t="s">
        <v>2370</v>
      </c>
      <c r="B2152" s="693" t="s">
        <v>4720</v>
      </c>
      <c r="C2152" s="672" t="s">
        <v>892</v>
      </c>
      <c r="D2152" s="673">
        <v>39498</v>
      </c>
      <c r="E2152" s="674">
        <v>3</v>
      </c>
      <c r="F2152" s="675">
        <v>0.33</v>
      </c>
      <c r="G2152" s="676">
        <v>2050</v>
      </c>
      <c r="H2152" s="929">
        <v>0</v>
      </c>
      <c r="I2152" s="929">
        <v>2049</v>
      </c>
      <c r="J2152" s="689">
        <f t="shared" si="34"/>
        <v>1</v>
      </c>
    </row>
    <row r="2153" spans="1:10" ht="12.75" customHeight="1" x14ac:dyDescent="0.2">
      <c r="A2153" s="681" t="s">
        <v>2370</v>
      </c>
      <c r="B2153" s="693" t="s">
        <v>4721</v>
      </c>
      <c r="C2153" s="672" t="s">
        <v>787</v>
      </c>
      <c r="D2153" s="673">
        <v>37307</v>
      </c>
      <c r="E2153" s="674">
        <v>10</v>
      </c>
      <c r="F2153" s="675">
        <v>0.1</v>
      </c>
      <c r="G2153" s="676">
        <v>2070</v>
      </c>
      <c r="H2153" s="929">
        <v>0</v>
      </c>
      <c r="I2153" s="929">
        <v>2069</v>
      </c>
      <c r="J2153" s="689">
        <f t="shared" si="34"/>
        <v>1</v>
      </c>
    </row>
    <row r="2154" spans="1:10" ht="12.75" customHeight="1" x14ac:dyDescent="0.2">
      <c r="A2154" s="681" t="s">
        <v>2372</v>
      </c>
      <c r="B2154" s="693" t="s">
        <v>4722</v>
      </c>
      <c r="C2154" s="672" t="s">
        <v>1068</v>
      </c>
      <c r="D2154" s="673">
        <v>36211</v>
      </c>
      <c r="E2154" s="674">
        <v>10</v>
      </c>
      <c r="F2154" s="675">
        <v>0.1</v>
      </c>
      <c r="G2154" s="676">
        <v>2086</v>
      </c>
      <c r="H2154" s="929">
        <v>0</v>
      </c>
      <c r="I2154" s="929">
        <v>2085</v>
      </c>
      <c r="J2154" s="689">
        <f t="shared" si="34"/>
        <v>1</v>
      </c>
    </row>
    <row r="2155" spans="1:10" ht="12.75" customHeight="1" x14ac:dyDescent="0.2">
      <c r="A2155" s="681" t="s">
        <v>2372</v>
      </c>
      <c r="B2155" s="693" t="s">
        <v>4723</v>
      </c>
      <c r="C2155" s="672" t="s">
        <v>1068</v>
      </c>
      <c r="D2155" s="673">
        <v>36211</v>
      </c>
      <c r="E2155" s="674">
        <v>10</v>
      </c>
      <c r="F2155" s="675">
        <v>0.1</v>
      </c>
      <c r="G2155" s="676">
        <v>2086</v>
      </c>
      <c r="H2155" s="929">
        <v>0</v>
      </c>
      <c r="I2155" s="929">
        <v>2085</v>
      </c>
      <c r="J2155" s="689">
        <f t="shared" si="34"/>
        <v>1</v>
      </c>
    </row>
    <row r="2156" spans="1:10" ht="12.75" customHeight="1" x14ac:dyDescent="0.2">
      <c r="A2156" s="681" t="s">
        <v>2372</v>
      </c>
      <c r="B2156" s="693" t="s">
        <v>4724</v>
      </c>
      <c r="C2156" s="672" t="s">
        <v>1068</v>
      </c>
      <c r="D2156" s="673">
        <v>36211</v>
      </c>
      <c r="E2156" s="674">
        <v>10</v>
      </c>
      <c r="F2156" s="675">
        <v>0.1</v>
      </c>
      <c r="G2156" s="676">
        <v>2086</v>
      </c>
      <c r="H2156" s="929">
        <v>0</v>
      </c>
      <c r="I2156" s="929">
        <v>2085</v>
      </c>
      <c r="J2156" s="689">
        <f t="shared" si="34"/>
        <v>1</v>
      </c>
    </row>
    <row r="2157" spans="1:10" ht="12.75" customHeight="1" x14ac:dyDescent="0.2">
      <c r="A2157" s="681" t="s">
        <v>2372</v>
      </c>
      <c r="B2157" s="693" t="s">
        <v>4725</v>
      </c>
      <c r="C2157" s="672" t="s">
        <v>1020</v>
      </c>
      <c r="D2157" s="673">
        <v>40594</v>
      </c>
      <c r="E2157" s="674">
        <v>3</v>
      </c>
      <c r="F2157" s="675">
        <v>0.33</v>
      </c>
      <c r="G2157" s="676">
        <v>2088</v>
      </c>
      <c r="H2157" s="929">
        <v>0</v>
      </c>
      <c r="I2157" s="929">
        <v>2087</v>
      </c>
      <c r="J2157" s="689">
        <f t="shared" si="34"/>
        <v>1</v>
      </c>
    </row>
    <row r="2158" spans="1:10" ht="12.75" customHeight="1" x14ac:dyDescent="0.2">
      <c r="A2158" s="681" t="s">
        <v>2370</v>
      </c>
      <c r="B2158" s="693" t="s">
        <v>4726</v>
      </c>
      <c r="C2158" s="672" t="s">
        <v>788</v>
      </c>
      <c r="D2158" s="673">
        <v>36576</v>
      </c>
      <c r="E2158" s="674">
        <v>10</v>
      </c>
      <c r="F2158" s="675">
        <v>0.1</v>
      </c>
      <c r="G2158" s="676">
        <v>2091</v>
      </c>
      <c r="H2158" s="929">
        <v>0</v>
      </c>
      <c r="I2158" s="929">
        <v>2090</v>
      </c>
      <c r="J2158" s="689">
        <f t="shared" si="34"/>
        <v>1</v>
      </c>
    </row>
    <row r="2159" spans="1:10" ht="12.75" customHeight="1" x14ac:dyDescent="0.2">
      <c r="A2159" s="681" t="s">
        <v>2370</v>
      </c>
      <c r="B2159" s="693" t="s">
        <v>4727</v>
      </c>
      <c r="C2159" s="672" t="s">
        <v>787</v>
      </c>
      <c r="D2159" s="673">
        <v>35115</v>
      </c>
      <c r="E2159" s="674">
        <v>10</v>
      </c>
      <c r="F2159" s="675">
        <v>0.1</v>
      </c>
      <c r="G2159" s="676">
        <v>2093</v>
      </c>
      <c r="H2159" s="929">
        <v>0</v>
      </c>
      <c r="I2159" s="929">
        <v>2092</v>
      </c>
      <c r="J2159" s="689">
        <f t="shared" si="34"/>
        <v>1</v>
      </c>
    </row>
    <row r="2160" spans="1:10" ht="12.75" customHeight="1" x14ac:dyDescent="0.2">
      <c r="A2160" s="681" t="s">
        <v>2370</v>
      </c>
      <c r="B2160" s="693" t="s">
        <v>4728</v>
      </c>
      <c r="C2160" s="672" t="s">
        <v>893</v>
      </c>
      <c r="D2160" s="673">
        <v>39498</v>
      </c>
      <c r="E2160" s="674">
        <v>3</v>
      </c>
      <c r="F2160" s="675">
        <v>0.33</v>
      </c>
      <c r="G2160" s="676">
        <v>2100</v>
      </c>
      <c r="H2160" s="929">
        <v>0</v>
      </c>
      <c r="I2160" s="929">
        <v>2099</v>
      </c>
      <c r="J2160" s="689">
        <f t="shared" si="34"/>
        <v>1</v>
      </c>
    </row>
    <row r="2161" spans="1:10" ht="12.75" customHeight="1" x14ac:dyDescent="0.2">
      <c r="A2161" s="681" t="s">
        <v>2370</v>
      </c>
      <c r="B2161" s="693" t="s">
        <v>4729</v>
      </c>
      <c r="C2161" s="672" t="s">
        <v>925</v>
      </c>
      <c r="D2161" s="673">
        <v>36211</v>
      </c>
      <c r="E2161" s="674">
        <v>10</v>
      </c>
      <c r="F2161" s="675">
        <v>0.1</v>
      </c>
      <c r="G2161" s="676">
        <v>2113</v>
      </c>
      <c r="H2161" s="929">
        <v>0</v>
      </c>
      <c r="I2161" s="929">
        <v>2112</v>
      </c>
      <c r="J2161" s="689">
        <f t="shared" si="34"/>
        <v>1</v>
      </c>
    </row>
    <row r="2162" spans="1:10" ht="12.75" customHeight="1" x14ac:dyDescent="0.2">
      <c r="A2162" s="681" t="s">
        <v>2370</v>
      </c>
      <c r="B2162" s="693" t="s">
        <v>4730</v>
      </c>
      <c r="C2162" s="672" t="s">
        <v>925</v>
      </c>
      <c r="D2162" s="673">
        <v>36211</v>
      </c>
      <c r="E2162" s="674">
        <v>10</v>
      </c>
      <c r="F2162" s="675">
        <v>0.1</v>
      </c>
      <c r="G2162" s="676">
        <v>2113</v>
      </c>
      <c r="H2162" s="929">
        <v>0</v>
      </c>
      <c r="I2162" s="929">
        <v>2112</v>
      </c>
      <c r="J2162" s="689">
        <f t="shared" si="34"/>
        <v>1</v>
      </c>
    </row>
    <row r="2163" spans="1:10" ht="12.75" customHeight="1" x14ac:dyDescent="0.2">
      <c r="A2163" s="681" t="s">
        <v>2370</v>
      </c>
      <c r="B2163" s="693" t="s">
        <v>4731</v>
      </c>
      <c r="C2163" s="672" t="s">
        <v>788</v>
      </c>
      <c r="D2163" s="673">
        <v>36576</v>
      </c>
      <c r="E2163" s="674">
        <v>10</v>
      </c>
      <c r="F2163" s="675">
        <v>0.1</v>
      </c>
      <c r="G2163" s="676">
        <v>2125</v>
      </c>
      <c r="H2163" s="929">
        <v>0</v>
      </c>
      <c r="I2163" s="929">
        <v>2124</v>
      </c>
      <c r="J2163" s="689">
        <f t="shared" si="34"/>
        <v>1</v>
      </c>
    </row>
    <row r="2164" spans="1:10" ht="12.75" customHeight="1" x14ac:dyDescent="0.2">
      <c r="A2164" s="681" t="s">
        <v>2370</v>
      </c>
      <c r="B2164" s="693" t="s">
        <v>4732</v>
      </c>
      <c r="C2164" s="672" t="s">
        <v>791</v>
      </c>
      <c r="D2164" s="673">
        <v>36211</v>
      </c>
      <c r="E2164" s="674">
        <v>10</v>
      </c>
      <c r="F2164" s="675">
        <v>0.1</v>
      </c>
      <c r="G2164" s="676">
        <v>2128</v>
      </c>
      <c r="H2164" s="929">
        <v>0</v>
      </c>
      <c r="I2164" s="929">
        <v>2127</v>
      </c>
      <c r="J2164" s="689">
        <f t="shared" si="34"/>
        <v>1</v>
      </c>
    </row>
    <row r="2165" spans="1:10" ht="12.75" customHeight="1" x14ac:dyDescent="0.2">
      <c r="A2165" s="681" t="s">
        <v>2370</v>
      </c>
      <c r="B2165" s="693" t="s">
        <v>4733</v>
      </c>
      <c r="C2165" s="672" t="s">
        <v>893</v>
      </c>
      <c r="D2165" s="673">
        <v>39498</v>
      </c>
      <c r="E2165" s="674">
        <v>3</v>
      </c>
      <c r="F2165" s="675">
        <v>0.33</v>
      </c>
      <c r="G2165" s="676">
        <v>2140</v>
      </c>
      <c r="H2165" s="929">
        <v>0</v>
      </c>
      <c r="I2165" s="929">
        <v>2139</v>
      </c>
      <c r="J2165" s="689">
        <f t="shared" si="34"/>
        <v>1</v>
      </c>
    </row>
    <row r="2166" spans="1:10" ht="12.75" customHeight="1" x14ac:dyDescent="0.2">
      <c r="A2166" s="681" t="s">
        <v>2372</v>
      </c>
      <c r="B2166" s="693" t="s">
        <v>4734</v>
      </c>
      <c r="C2166" s="672" t="s">
        <v>1026</v>
      </c>
      <c r="D2166" s="673">
        <v>39498</v>
      </c>
      <c r="E2166" s="674">
        <v>3</v>
      </c>
      <c r="F2166" s="675">
        <v>0.33</v>
      </c>
      <c r="G2166" s="676">
        <v>2147</v>
      </c>
      <c r="H2166" s="929">
        <v>0</v>
      </c>
      <c r="I2166" s="929">
        <v>2146</v>
      </c>
      <c r="J2166" s="689">
        <f t="shared" si="34"/>
        <v>1</v>
      </c>
    </row>
    <row r="2167" spans="1:10" ht="12.75" customHeight="1" x14ac:dyDescent="0.2">
      <c r="A2167" s="681" t="s">
        <v>2370</v>
      </c>
      <c r="B2167" s="693" t="s">
        <v>4735</v>
      </c>
      <c r="C2167" s="672" t="s">
        <v>787</v>
      </c>
      <c r="D2167" s="673">
        <v>37672</v>
      </c>
      <c r="E2167" s="674">
        <v>10</v>
      </c>
      <c r="F2167" s="675">
        <v>0.1</v>
      </c>
      <c r="G2167" s="676">
        <v>2153</v>
      </c>
      <c r="H2167" s="929">
        <v>0</v>
      </c>
      <c r="I2167" s="929">
        <v>2152</v>
      </c>
      <c r="J2167" s="689">
        <f t="shared" si="34"/>
        <v>1</v>
      </c>
    </row>
    <row r="2168" spans="1:10" ht="12.75" customHeight="1" x14ac:dyDescent="0.2">
      <c r="A2168" s="681" t="s">
        <v>2370</v>
      </c>
      <c r="B2168" s="693" t="s">
        <v>4736</v>
      </c>
      <c r="C2168" s="672" t="s">
        <v>828</v>
      </c>
      <c r="D2168" s="673">
        <v>36211</v>
      </c>
      <c r="E2168" s="674">
        <v>10</v>
      </c>
      <c r="F2168" s="675">
        <v>0.1</v>
      </c>
      <c r="G2168" s="676">
        <v>2158</v>
      </c>
      <c r="H2168" s="929">
        <v>0</v>
      </c>
      <c r="I2168" s="929">
        <v>2157</v>
      </c>
      <c r="J2168" s="689">
        <f t="shared" si="34"/>
        <v>1</v>
      </c>
    </row>
    <row r="2169" spans="1:10" ht="12.75" customHeight="1" x14ac:dyDescent="0.2">
      <c r="A2169" s="681" t="s">
        <v>2370</v>
      </c>
      <c r="B2169" s="693" t="s">
        <v>4737</v>
      </c>
      <c r="C2169" s="672" t="s">
        <v>828</v>
      </c>
      <c r="D2169" s="673">
        <v>36211</v>
      </c>
      <c r="E2169" s="674">
        <v>10</v>
      </c>
      <c r="F2169" s="675">
        <v>0.1</v>
      </c>
      <c r="G2169" s="676">
        <v>2158</v>
      </c>
      <c r="H2169" s="929">
        <v>0</v>
      </c>
      <c r="I2169" s="929">
        <v>2157</v>
      </c>
      <c r="J2169" s="689">
        <f t="shared" si="34"/>
        <v>1</v>
      </c>
    </row>
    <row r="2170" spans="1:10" ht="12.75" customHeight="1" x14ac:dyDescent="0.2">
      <c r="A2170" s="681" t="s">
        <v>2370</v>
      </c>
      <c r="B2170" s="693" t="s">
        <v>4738</v>
      </c>
      <c r="C2170" s="672" t="s">
        <v>828</v>
      </c>
      <c r="D2170" s="673">
        <v>36211</v>
      </c>
      <c r="E2170" s="674">
        <v>10</v>
      </c>
      <c r="F2170" s="675">
        <v>0.1</v>
      </c>
      <c r="G2170" s="676">
        <v>2158</v>
      </c>
      <c r="H2170" s="929">
        <v>0</v>
      </c>
      <c r="I2170" s="929">
        <v>2157</v>
      </c>
      <c r="J2170" s="689">
        <f t="shared" si="34"/>
        <v>1</v>
      </c>
    </row>
    <row r="2171" spans="1:10" ht="12.75" customHeight="1" x14ac:dyDescent="0.2">
      <c r="A2171" s="681" t="s">
        <v>2371</v>
      </c>
      <c r="B2171" s="693" t="s">
        <v>4739</v>
      </c>
      <c r="C2171" s="672" t="s">
        <v>972</v>
      </c>
      <c r="D2171" s="673">
        <v>40594</v>
      </c>
      <c r="E2171" s="674">
        <v>3</v>
      </c>
      <c r="F2171" s="675">
        <v>0.33</v>
      </c>
      <c r="G2171" s="676">
        <v>2183</v>
      </c>
      <c r="H2171" s="929">
        <v>0</v>
      </c>
      <c r="I2171" s="929">
        <v>2183</v>
      </c>
      <c r="J2171" s="689">
        <f t="shared" si="34"/>
        <v>0</v>
      </c>
    </row>
    <row r="2172" spans="1:10" ht="12.75" customHeight="1" x14ac:dyDescent="0.2">
      <c r="A2172" s="681" t="s">
        <v>2371</v>
      </c>
      <c r="B2172" s="693" t="s">
        <v>4740</v>
      </c>
      <c r="C2172" s="672" t="s">
        <v>972</v>
      </c>
      <c r="D2172" s="673">
        <v>40594</v>
      </c>
      <c r="E2172" s="674">
        <v>3</v>
      </c>
      <c r="F2172" s="675">
        <v>0.33</v>
      </c>
      <c r="G2172" s="676">
        <v>2183</v>
      </c>
      <c r="H2172" s="929">
        <v>0</v>
      </c>
      <c r="I2172" s="929">
        <v>2183</v>
      </c>
      <c r="J2172" s="689">
        <f t="shared" si="34"/>
        <v>0</v>
      </c>
    </row>
    <row r="2173" spans="1:10" ht="12.75" customHeight="1" x14ac:dyDescent="0.2">
      <c r="A2173" s="681" t="s">
        <v>2370</v>
      </c>
      <c r="B2173" s="693" t="s">
        <v>4741</v>
      </c>
      <c r="C2173" s="672" t="s">
        <v>786</v>
      </c>
      <c r="D2173" s="673">
        <v>37307</v>
      </c>
      <c r="E2173" s="674">
        <v>10</v>
      </c>
      <c r="F2173" s="675">
        <v>0.1</v>
      </c>
      <c r="G2173" s="676">
        <v>2185</v>
      </c>
      <c r="H2173" s="929">
        <v>0</v>
      </c>
      <c r="I2173" s="929">
        <v>2184</v>
      </c>
      <c r="J2173" s="689">
        <f t="shared" si="34"/>
        <v>1</v>
      </c>
    </row>
    <row r="2174" spans="1:10" ht="12.75" customHeight="1" x14ac:dyDescent="0.2">
      <c r="A2174" s="681" t="s">
        <v>2370</v>
      </c>
      <c r="B2174" s="693" t="s">
        <v>4742</v>
      </c>
      <c r="C2174" s="672" t="s">
        <v>791</v>
      </c>
      <c r="D2174" s="673">
        <v>37307</v>
      </c>
      <c r="E2174" s="674">
        <v>10</v>
      </c>
      <c r="F2174" s="675">
        <v>0.1</v>
      </c>
      <c r="G2174" s="676">
        <v>2185</v>
      </c>
      <c r="H2174" s="929">
        <v>0</v>
      </c>
      <c r="I2174" s="929">
        <v>2184</v>
      </c>
      <c r="J2174" s="689">
        <f t="shared" si="34"/>
        <v>1</v>
      </c>
    </row>
    <row r="2175" spans="1:10" ht="12.75" customHeight="1" x14ac:dyDescent="0.2">
      <c r="A2175" s="681" t="s">
        <v>2370</v>
      </c>
      <c r="B2175" s="693" t="s">
        <v>4743</v>
      </c>
      <c r="C2175" s="672" t="s">
        <v>791</v>
      </c>
      <c r="D2175" s="673">
        <v>36576</v>
      </c>
      <c r="E2175" s="674">
        <v>10</v>
      </c>
      <c r="F2175" s="675">
        <v>0.1</v>
      </c>
      <c r="G2175" s="676">
        <v>2185</v>
      </c>
      <c r="H2175" s="929">
        <v>0</v>
      </c>
      <c r="I2175" s="929">
        <v>2184</v>
      </c>
      <c r="J2175" s="689">
        <f t="shared" si="34"/>
        <v>1</v>
      </c>
    </row>
    <row r="2176" spans="1:10" ht="12.75" customHeight="1" x14ac:dyDescent="0.2">
      <c r="A2176" s="681" t="s">
        <v>2372</v>
      </c>
      <c r="B2176" s="693" t="s">
        <v>4744</v>
      </c>
      <c r="C2176" s="672" t="s">
        <v>1009</v>
      </c>
      <c r="D2176" s="673">
        <v>36211</v>
      </c>
      <c r="E2176" s="674">
        <v>10</v>
      </c>
      <c r="F2176" s="675">
        <v>0.1</v>
      </c>
      <c r="G2176" s="676">
        <v>2185</v>
      </c>
      <c r="H2176" s="929">
        <v>0</v>
      </c>
      <c r="I2176" s="929">
        <v>2184</v>
      </c>
      <c r="J2176" s="689">
        <f t="shared" si="34"/>
        <v>1</v>
      </c>
    </row>
    <row r="2177" spans="1:10" ht="12.75" customHeight="1" x14ac:dyDescent="0.2">
      <c r="A2177" s="681" t="s">
        <v>2370</v>
      </c>
      <c r="B2177" s="693" t="s">
        <v>4745</v>
      </c>
      <c r="C2177" s="672" t="s">
        <v>892</v>
      </c>
      <c r="D2177" s="673">
        <v>40229</v>
      </c>
      <c r="E2177" s="674">
        <v>3</v>
      </c>
      <c r="F2177" s="675">
        <v>0.33</v>
      </c>
      <c r="G2177" s="676">
        <v>2196</v>
      </c>
      <c r="H2177" s="929">
        <v>0</v>
      </c>
      <c r="I2177" s="929">
        <v>2195</v>
      </c>
      <c r="J2177" s="689">
        <f t="shared" si="34"/>
        <v>1</v>
      </c>
    </row>
    <row r="2178" spans="1:10" ht="12.75" customHeight="1" x14ac:dyDescent="0.2">
      <c r="A2178" s="681" t="s">
        <v>2370</v>
      </c>
      <c r="B2178" s="693" t="s">
        <v>4746</v>
      </c>
      <c r="C2178" s="672" t="s">
        <v>835</v>
      </c>
      <c r="D2178" s="673">
        <v>36576</v>
      </c>
      <c r="E2178" s="674">
        <v>10</v>
      </c>
      <c r="F2178" s="675">
        <v>0.1</v>
      </c>
      <c r="G2178" s="676">
        <v>2200</v>
      </c>
      <c r="H2178" s="929">
        <v>0</v>
      </c>
      <c r="I2178" s="929">
        <v>2199</v>
      </c>
      <c r="J2178" s="689">
        <f t="shared" si="34"/>
        <v>1</v>
      </c>
    </row>
    <row r="2179" spans="1:10" ht="12.75" customHeight="1" x14ac:dyDescent="0.2">
      <c r="A2179" s="681" t="s">
        <v>2370</v>
      </c>
      <c r="B2179" s="693" t="s">
        <v>4747</v>
      </c>
      <c r="C2179" s="672" t="s">
        <v>835</v>
      </c>
      <c r="D2179" s="673">
        <v>36576</v>
      </c>
      <c r="E2179" s="674">
        <v>10</v>
      </c>
      <c r="F2179" s="675">
        <v>0.1</v>
      </c>
      <c r="G2179" s="676">
        <v>2200</v>
      </c>
      <c r="H2179" s="929">
        <v>0</v>
      </c>
      <c r="I2179" s="929">
        <v>2199</v>
      </c>
      <c r="J2179" s="689">
        <f t="shared" si="34"/>
        <v>1</v>
      </c>
    </row>
    <row r="2180" spans="1:10" ht="12.75" customHeight="1" x14ac:dyDescent="0.2">
      <c r="A2180" s="681" t="s">
        <v>2370</v>
      </c>
      <c r="B2180" s="693" t="s">
        <v>4748</v>
      </c>
      <c r="C2180" s="672" t="s">
        <v>835</v>
      </c>
      <c r="D2180" s="673">
        <v>36576</v>
      </c>
      <c r="E2180" s="674">
        <v>10</v>
      </c>
      <c r="F2180" s="675">
        <v>0.1</v>
      </c>
      <c r="G2180" s="676">
        <v>2200</v>
      </c>
      <c r="H2180" s="929">
        <v>0</v>
      </c>
      <c r="I2180" s="929">
        <v>2199</v>
      </c>
      <c r="J2180" s="689">
        <f t="shared" si="34"/>
        <v>1</v>
      </c>
    </row>
    <row r="2181" spans="1:10" ht="12.75" customHeight="1" x14ac:dyDescent="0.2">
      <c r="A2181" s="681" t="s">
        <v>2370</v>
      </c>
      <c r="B2181" s="693" t="s">
        <v>4749</v>
      </c>
      <c r="C2181" s="672" t="s">
        <v>835</v>
      </c>
      <c r="D2181" s="673">
        <v>36576</v>
      </c>
      <c r="E2181" s="674">
        <v>10</v>
      </c>
      <c r="F2181" s="675">
        <v>0.1</v>
      </c>
      <c r="G2181" s="676">
        <v>2200</v>
      </c>
      <c r="H2181" s="929">
        <v>0</v>
      </c>
      <c r="I2181" s="929">
        <v>2199</v>
      </c>
      <c r="J2181" s="689">
        <f t="shared" si="34"/>
        <v>1</v>
      </c>
    </row>
    <row r="2182" spans="1:10" ht="12.75" customHeight="1" x14ac:dyDescent="0.2">
      <c r="A2182" s="681" t="s">
        <v>2370</v>
      </c>
      <c r="B2182" s="693" t="s">
        <v>4750</v>
      </c>
      <c r="C2182" s="672" t="s">
        <v>788</v>
      </c>
      <c r="D2182" s="673">
        <v>38037</v>
      </c>
      <c r="E2182" s="674">
        <v>10</v>
      </c>
      <c r="F2182" s="675">
        <v>0.1</v>
      </c>
      <c r="G2182" s="676">
        <v>2210</v>
      </c>
      <c r="H2182" s="929">
        <v>0</v>
      </c>
      <c r="I2182" s="929">
        <v>2209</v>
      </c>
      <c r="J2182" s="689">
        <f t="shared" si="34"/>
        <v>1</v>
      </c>
    </row>
    <row r="2183" spans="1:10" ht="12.75" customHeight="1" x14ac:dyDescent="0.2">
      <c r="A2183" s="681" t="s">
        <v>2370</v>
      </c>
      <c r="B2183" s="693" t="s">
        <v>4751</v>
      </c>
      <c r="C2183" s="672" t="s">
        <v>892</v>
      </c>
      <c r="D2183" s="673">
        <v>39498</v>
      </c>
      <c r="E2183" s="674">
        <v>3</v>
      </c>
      <c r="F2183" s="675">
        <v>0.33</v>
      </c>
      <c r="G2183" s="676">
        <v>2213</v>
      </c>
      <c r="H2183" s="929">
        <v>0</v>
      </c>
      <c r="I2183" s="929">
        <v>2212</v>
      </c>
      <c r="J2183" s="689">
        <f t="shared" ref="J2183:J2246" si="35">G2183-I2183</f>
        <v>1</v>
      </c>
    </row>
    <row r="2184" spans="1:10" ht="12.75" customHeight="1" x14ac:dyDescent="0.2">
      <c r="A2184" s="681" t="s">
        <v>2370</v>
      </c>
      <c r="B2184" s="693" t="s">
        <v>4752</v>
      </c>
      <c r="C2184" s="672" t="s">
        <v>892</v>
      </c>
      <c r="D2184" s="673">
        <v>39498</v>
      </c>
      <c r="E2184" s="674">
        <v>3</v>
      </c>
      <c r="F2184" s="675">
        <v>0.33</v>
      </c>
      <c r="G2184" s="676">
        <v>2213</v>
      </c>
      <c r="H2184" s="929">
        <v>0</v>
      </c>
      <c r="I2184" s="929">
        <v>2212</v>
      </c>
      <c r="J2184" s="689">
        <f t="shared" si="35"/>
        <v>1</v>
      </c>
    </row>
    <row r="2185" spans="1:10" ht="12.75" customHeight="1" x14ac:dyDescent="0.2">
      <c r="A2185" s="681" t="s">
        <v>2370</v>
      </c>
      <c r="B2185" s="693" t="s">
        <v>4753</v>
      </c>
      <c r="C2185" s="672" t="s">
        <v>925</v>
      </c>
      <c r="D2185" s="673">
        <v>36211</v>
      </c>
      <c r="E2185" s="674">
        <v>10</v>
      </c>
      <c r="F2185" s="675">
        <v>0.1</v>
      </c>
      <c r="G2185" s="676">
        <v>2213</v>
      </c>
      <c r="H2185" s="929">
        <v>0</v>
      </c>
      <c r="I2185" s="929">
        <v>2212</v>
      </c>
      <c r="J2185" s="689">
        <f t="shared" si="35"/>
        <v>1</v>
      </c>
    </row>
    <row r="2186" spans="1:10" ht="12.75" customHeight="1" x14ac:dyDescent="0.2">
      <c r="A2186" s="681" t="s">
        <v>2370</v>
      </c>
      <c r="B2186" s="693" t="s">
        <v>4754</v>
      </c>
      <c r="C2186" s="672" t="s">
        <v>795</v>
      </c>
      <c r="D2186" s="673">
        <v>36211</v>
      </c>
      <c r="E2186" s="674">
        <v>10</v>
      </c>
      <c r="F2186" s="675">
        <v>0.1</v>
      </c>
      <c r="G2186" s="676">
        <v>2214</v>
      </c>
      <c r="H2186" s="929">
        <v>0</v>
      </c>
      <c r="I2186" s="929">
        <v>2213</v>
      </c>
      <c r="J2186" s="689">
        <f t="shared" si="35"/>
        <v>1</v>
      </c>
    </row>
    <row r="2187" spans="1:10" ht="12.75" customHeight="1" x14ac:dyDescent="0.2">
      <c r="A2187" s="681" t="s">
        <v>2370</v>
      </c>
      <c r="B2187" s="693" t="s">
        <v>4755</v>
      </c>
      <c r="C2187" s="672" t="s">
        <v>787</v>
      </c>
      <c r="D2187" s="673">
        <v>36576</v>
      </c>
      <c r="E2187" s="674">
        <v>10</v>
      </c>
      <c r="F2187" s="675">
        <v>0.1</v>
      </c>
      <c r="G2187" s="676">
        <v>2218</v>
      </c>
      <c r="H2187" s="929">
        <v>0</v>
      </c>
      <c r="I2187" s="929">
        <v>2217</v>
      </c>
      <c r="J2187" s="689">
        <f t="shared" si="35"/>
        <v>1</v>
      </c>
    </row>
    <row r="2188" spans="1:10" ht="12.75" customHeight="1" x14ac:dyDescent="0.2">
      <c r="A2188" s="681" t="s">
        <v>2370</v>
      </c>
      <c r="B2188" s="693" t="s">
        <v>4756</v>
      </c>
      <c r="C2188" s="672" t="s">
        <v>804</v>
      </c>
      <c r="D2188" s="673">
        <v>37307</v>
      </c>
      <c r="E2188" s="674">
        <v>10</v>
      </c>
      <c r="F2188" s="675">
        <v>0.1</v>
      </c>
      <c r="G2188" s="676">
        <v>2226</v>
      </c>
      <c r="H2188" s="929">
        <v>0</v>
      </c>
      <c r="I2188" s="929">
        <v>2225</v>
      </c>
      <c r="J2188" s="689">
        <f t="shared" si="35"/>
        <v>1</v>
      </c>
    </row>
    <row r="2189" spans="1:10" ht="12.75" customHeight="1" x14ac:dyDescent="0.2">
      <c r="A2189" s="681" t="s">
        <v>2370</v>
      </c>
      <c r="B2189" s="693" t="s">
        <v>4757</v>
      </c>
      <c r="C2189" s="672" t="s">
        <v>892</v>
      </c>
      <c r="D2189" s="673">
        <v>39498</v>
      </c>
      <c r="E2189" s="674">
        <v>3</v>
      </c>
      <c r="F2189" s="675">
        <v>0.33</v>
      </c>
      <c r="G2189" s="676">
        <v>2237</v>
      </c>
      <c r="H2189" s="929">
        <v>0</v>
      </c>
      <c r="I2189" s="929">
        <v>2236</v>
      </c>
      <c r="J2189" s="689">
        <f t="shared" si="35"/>
        <v>1</v>
      </c>
    </row>
    <row r="2190" spans="1:10" ht="12.75" customHeight="1" x14ac:dyDescent="0.2">
      <c r="A2190" s="681" t="s">
        <v>2370</v>
      </c>
      <c r="B2190" s="693" t="s">
        <v>4758</v>
      </c>
      <c r="C2190" s="672" t="s">
        <v>785</v>
      </c>
      <c r="D2190" s="673">
        <v>36211</v>
      </c>
      <c r="E2190" s="674">
        <v>10</v>
      </c>
      <c r="F2190" s="675">
        <v>0.1</v>
      </c>
      <c r="G2190" s="676">
        <v>2242</v>
      </c>
      <c r="H2190" s="929">
        <v>0</v>
      </c>
      <c r="I2190" s="929">
        <v>2241</v>
      </c>
      <c r="J2190" s="689">
        <f t="shared" si="35"/>
        <v>1</v>
      </c>
    </row>
    <row r="2191" spans="1:10" ht="12.75" customHeight="1" x14ac:dyDescent="0.2">
      <c r="A2191" s="681" t="s">
        <v>2370</v>
      </c>
      <c r="B2191" s="693" t="s">
        <v>4759</v>
      </c>
      <c r="C2191" s="672" t="s">
        <v>798</v>
      </c>
      <c r="D2191" s="673">
        <v>36576</v>
      </c>
      <c r="E2191" s="674">
        <v>10</v>
      </c>
      <c r="F2191" s="675">
        <v>0.1</v>
      </c>
      <c r="G2191" s="676">
        <v>2242</v>
      </c>
      <c r="H2191" s="929">
        <v>0</v>
      </c>
      <c r="I2191" s="929">
        <v>2241</v>
      </c>
      <c r="J2191" s="689">
        <f t="shared" si="35"/>
        <v>1</v>
      </c>
    </row>
    <row r="2192" spans="1:10" ht="12.75" customHeight="1" x14ac:dyDescent="0.2">
      <c r="A2192" s="681" t="s">
        <v>2370</v>
      </c>
      <c r="B2192" s="693" t="s">
        <v>4760</v>
      </c>
      <c r="C2192" s="672" t="s">
        <v>949</v>
      </c>
      <c r="D2192" s="673">
        <v>33289</v>
      </c>
      <c r="E2192" s="674">
        <v>10</v>
      </c>
      <c r="F2192" s="675">
        <v>0.1</v>
      </c>
      <c r="G2192" s="676">
        <v>2242</v>
      </c>
      <c r="H2192" s="929">
        <v>0</v>
      </c>
      <c r="I2192" s="929">
        <v>2241</v>
      </c>
      <c r="J2192" s="689">
        <f t="shared" si="35"/>
        <v>1</v>
      </c>
    </row>
    <row r="2193" spans="1:10" ht="12.75" customHeight="1" x14ac:dyDescent="0.2">
      <c r="A2193" s="681" t="s">
        <v>2370</v>
      </c>
      <c r="B2193" s="693" t="s">
        <v>4761</v>
      </c>
      <c r="C2193" s="672" t="s">
        <v>786</v>
      </c>
      <c r="D2193" s="673">
        <v>35481</v>
      </c>
      <c r="E2193" s="674">
        <v>10</v>
      </c>
      <c r="F2193" s="675">
        <v>0.1</v>
      </c>
      <c r="G2193" s="676">
        <v>2254</v>
      </c>
      <c r="H2193" s="929">
        <v>0</v>
      </c>
      <c r="I2193" s="929">
        <v>2253</v>
      </c>
      <c r="J2193" s="689">
        <f t="shared" si="35"/>
        <v>1</v>
      </c>
    </row>
    <row r="2194" spans="1:10" ht="12.75" customHeight="1" x14ac:dyDescent="0.2">
      <c r="A2194" s="681" t="s">
        <v>2370</v>
      </c>
      <c r="B2194" s="693" t="s">
        <v>4762</v>
      </c>
      <c r="C2194" s="672" t="s">
        <v>786</v>
      </c>
      <c r="D2194" s="673">
        <v>35481</v>
      </c>
      <c r="E2194" s="674">
        <v>10</v>
      </c>
      <c r="F2194" s="675">
        <v>0.1</v>
      </c>
      <c r="G2194" s="676">
        <v>2254</v>
      </c>
      <c r="H2194" s="929">
        <v>0</v>
      </c>
      <c r="I2194" s="929">
        <v>2253</v>
      </c>
      <c r="J2194" s="689">
        <f t="shared" si="35"/>
        <v>1</v>
      </c>
    </row>
    <row r="2195" spans="1:10" ht="12.75" customHeight="1" x14ac:dyDescent="0.2">
      <c r="A2195" s="681" t="s">
        <v>2370</v>
      </c>
      <c r="B2195" s="693" t="s">
        <v>4763</v>
      </c>
      <c r="C2195" s="672" t="s">
        <v>786</v>
      </c>
      <c r="D2195" s="673">
        <v>35481</v>
      </c>
      <c r="E2195" s="674">
        <v>10</v>
      </c>
      <c r="F2195" s="675">
        <v>0.1</v>
      </c>
      <c r="G2195" s="676">
        <v>2254</v>
      </c>
      <c r="H2195" s="929">
        <v>0</v>
      </c>
      <c r="I2195" s="929">
        <v>2253</v>
      </c>
      <c r="J2195" s="689">
        <f t="shared" si="35"/>
        <v>1</v>
      </c>
    </row>
    <row r="2196" spans="1:10" ht="12.75" customHeight="1" x14ac:dyDescent="0.2">
      <c r="A2196" s="681" t="s">
        <v>2370</v>
      </c>
      <c r="B2196" s="693" t="s">
        <v>4764</v>
      </c>
      <c r="C2196" s="672" t="s">
        <v>786</v>
      </c>
      <c r="D2196" s="673">
        <v>35481</v>
      </c>
      <c r="E2196" s="674">
        <v>10</v>
      </c>
      <c r="F2196" s="675">
        <v>0.1</v>
      </c>
      <c r="G2196" s="676">
        <v>2254</v>
      </c>
      <c r="H2196" s="929">
        <v>0</v>
      </c>
      <c r="I2196" s="929">
        <v>2253</v>
      </c>
      <c r="J2196" s="689">
        <f t="shared" si="35"/>
        <v>1</v>
      </c>
    </row>
    <row r="2197" spans="1:10" ht="12.75" customHeight="1" x14ac:dyDescent="0.2">
      <c r="A2197" s="681" t="s">
        <v>2370</v>
      </c>
      <c r="B2197" s="693" t="s">
        <v>4765</v>
      </c>
      <c r="C2197" s="672" t="s">
        <v>786</v>
      </c>
      <c r="D2197" s="673">
        <v>36211</v>
      </c>
      <c r="E2197" s="674">
        <v>10</v>
      </c>
      <c r="F2197" s="675">
        <v>0.1</v>
      </c>
      <c r="G2197" s="676">
        <v>2271</v>
      </c>
      <c r="H2197" s="929">
        <v>0</v>
      </c>
      <c r="I2197" s="929">
        <v>2270</v>
      </c>
      <c r="J2197" s="689">
        <f t="shared" si="35"/>
        <v>1</v>
      </c>
    </row>
    <row r="2198" spans="1:10" ht="12.75" customHeight="1" x14ac:dyDescent="0.2">
      <c r="A2198" s="681" t="s">
        <v>2370</v>
      </c>
      <c r="B2198" s="693" t="s">
        <v>4766</v>
      </c>
      <c r="C2198" s="672" t="s">
        <v>892</v>
      </c>
      <c r="D2198" s="673">
        <v>38768</v>
      </c>
      <c r="E2198" s="674">
        <v>3</v>
      </c>
      <c r="F2198" s="675">
        <v>0.33</v>
      </c>
      <c r="G2198" s="676">
        <v>2284</v>
      </c>
      <c r="H2198" s="929">
        <v>0</v>
      </c>
      <c r="I2198" s="929">
        <v>2283</v>
      </c>
      <c r="J2198" s="689">
        <f t="shared" si="35"/>
        <v>1</v>
      </c>
    </row>
    <row r="2199" spans="1:10" ht="12.75" customHeight="1" x14ac:dyDescent="0.2">
      <c r="A2199" s="681" t="s">
        <v>2370</v>
      </c>
      <c r="B2199" s="693" t="s">
        <v>4767</v>
      </c>
      <c r="C2199" s="672" t="s">
        <v>894</v>
      </c>
      <c r="D2199" s="673">
        <v>39498</v>
      </c>
      <c r="E2199" s="674">
        <v>3</v>
      </c>
      <c r="F2199" s="675">
        <v>0.33</v>
      </c>
      <c r="G2199" s="676">
        <v>2285</v>
      </c>
      <c r="H2199" s="929">
        <v>0</v>
      </c>
      <c r="I2199" s="929">
        <v>2284</v>
      </c>
      <c r="J2199" s="689">
        <f t="shared" si="35"/>
        <v>1</v>
      </c>
    </row>
    <row r="2200" spans="1:10" ht="12.75" customHeight="1" x14ac:dyDescent="0.2">
      <c r="A2200" s="681" t="s">
        <v>2372</v>
      </c>
      <c r="B2200" s="693" t="s">
        <v>4768</v>
      </c>
      <c r="C2200" s="672" t="s">
        <v>1026</v>
      </c>
      <c r="D2200" s="673">
        <v>40594</v>
      </c>
      <c r="E2200" s="674">
        <v>3</v>
      </c>
      <c r="F2200" s="675">
        <v>0.33</v>
      </c>
      <c r="G2200" s="676">
        <v>2285</v>
      </c>
      <c r="H2200" s="929">
        <v>0</v>
      </c>
      <c r="I2200" s="929">
        <v>2284</v>
      </c>
      <c r="J2200" s="689">
        <f t="shared" si="35"/>
        <v>1</v>
      </c>
    </row>
    <row r="2201" spans="1:10" ht="12.75" customHeight="1" x14ac:dyDescent="0.2">
      <c r="A2201" s="681" t="s">
        <v>2370</v>
      </c>
      <c r="B2201" s="693" t="s">
        <v>4769</v>
      </c>
      <c r="C2201" s="672" t="s">
        <v>893</v>
      </c>
      <c r="D2201" s="673">
        <v>39498</v>
      </c>
      <c r="E2201" s="674">
        <v>3</v>
      </c>
      <c r="F2201" s="675">
        <v>0.33</v>
      </c>
      <c r="G2201" s="676">
        <v>2291</v>
      </c>
      <c r="H2201" s="929">
        <v>0</v>
      </c>
      <c r="I2201" s="929">
        <v>2290</v>
      </c>
      <c r="J2201" s="689">
        <f t="shared" si="35"/>
        <v>1</v>
      </c>
    </row>
    <row r="2202" spans="1:10" ht="12.75" customHeight="1" x14ac:dyDescent="0.2">
      <c r="A2202" s="681" t="s">
        <v>2372</v>
      </c>
      <c r="B2202" s="693" t="s">
        <v>4770</v>
      </c>
      <c r="C2202" s="672" t="s">
        <v>1050</v>
      </c>
      <c r="D2202" s="673">
        <v>35115</v>
      </c>
      <c r="E2202" s="674">
        <v>10</v>
      </c>
      <c r="F2202" s="675">
        <v>0.1</v>
      </c>
      <c r="G2202" s="676">
        <v>2291</v>
      </c>
      <c r="H2202" s="929">
        <v>0</v>
      </c>
      <c r="I2202" s="929">
        <v>2290</v>
      </c>
      <c r="J2202" s="689">
        <f t="shared" si="35"/>
        <v>1</v>
      </c>
    </row>
    <row r="2203" spans="1:10" ht="12.75" customHeight="1" x14ac:dyDescent="0.2">
      <c r="A2203" s="681" t="s">
        <v>2370</v>
      </c>
      <c r="B2203" s="693" t="s">
        <v>4771</v>
      </c>
      <c r="C2203" s="672" t="s">
        <v>791</v>
      </c>
      <c r="D2203" s="673">
        <v>37307</v>
      </c>
      <c r="E2203" s="674">
        <v>10</v>
      </c>
      <c r="F2203" s="675">
        <v>0.1</v>
      </c>
      <c r="G2203" s="676">
        <v>2297</v>
      </c>
      <c r="H2203" s="929">
        <v>0</v>
      </c>
      <c r="I2203" s="929">
        <v>2296</v>
      </c>
      <c r="J2203" s="689">
        <f t="shared" si="35"/>
        <v>1</v>
      </c>
    </row>
    <row r="2204" spans="1:10" ht="12.75" customHeight="1" x14ac:dyDescent="0.2">
      <c r="A2204" s="681" t="s">
        <v>2370</v>
      </c>
      <c r="B2204" s="693" t="s">
        <v>4772</v>
      </c>
      <c r="C2204" s="672" t="s">
        <v>791</v>
      </c>
      <c r="D2204" s="673">
        <v>37307</v>
      </c>
      <c r="E2204" s="674">
        <v>10</v>
      </c>
      <c r="F2204" s="675">
        <v>0.1</v>
      </c>
      <c r="G2204" s="676">
        <v>2297</v>
      </c>
      <c r="H2204" s="929">
        <v>0</v>
      </c>
      <c r="I2204" s="929">
        <v>2296</v>
      </c>
      <c r="J2204" s="689">
        <f t="shared" si="35"/>
        <v>1</v>
      </c>
    </row>
    <row r="2205" spans="1:10" ht="12.75" customHeight="1" x14ac:dyDescent="0.2">
      <c r="A2205" s="681" t="s">
        <v>2370</v>
      </c>
      <c r="B2205" s="693" t="s">
        <v>4773</v>
      </c>
      <c r="C2205" s="672" t="s">
        <v>791</v>
      </c>
      <c r="D2205" s="673">
        <v>37307</v>
      </c>
      <c r="E2205" s="674">
        <v>10</v>
      </c>
      <c r="F2205" s="675">
        <v>0.1</v>
      </c>
      <c r="G2205" s="676">
        <v>2297</v>
      </c>
      <c r="H2205" s="929">
        <v>0</v>
      </c>
      <c r="I2205" s="929">
        <v>2296</v>
      </c>
      <c r="J2205" s="689">
        <f t="shared" si="35"/>
        <v>1</v>
      </c>
    </row>
    <row r="2206" spans="1:10" ht="12.75" customHeight="1" x14ac:dyDescent="0.2">
      <c r="A2206" s="681" t="s">
        <v>2370</v>
      </c>
      <c r="B2206" s="693" t="s">
        <v>4774</v>
      </c>
      <c r="C2206" s="672" t="s">
        <v>791</v>
      </c>
      <c r="D2206" s="673">
        <v>36211</v>
      </c>
      <c r="E2206" s="674">
        <v>10</v>
      </c>
      <c r="F2206" s="675">
        <v>0.1</v>
      </c>
      <c r="G2206" s="676">
        <v>2300</v>
      </c>
      <c r="H2206" s="929">
        <v>0</v>
      </c>
      <c r="I2206" s="929">
        <v>2299</v>
      </c>
      <c r="J2206" s="689">
        <f t="shared" si="35"/>
        <v>1</v>
      </c>
    </row>
    <row r="2207" spans="1:10" ht="12.75" customHeight="1" x14ac:dyDescent="0.2">
      <c r="A2207" s="681" t="s">
        <v>2370</v>
      </c>
      <c r="B2207" s="693" t="s">
        <v>4775</v>
      </c>
      <c r="C2207" s="672" t="s">
        <v>791</v>
      </c>
      <c r="D2207" s="673">
        <v>36211</v>
      </c>
      <c r="E2207" s="674">
        <v>10</v>
      </c>
      <c r="F2207" s="675">
        <v>0.1</v>
      </c>
      <c r="G2207" s="676">
        <v>2300</v>
      </c>
      <c r="H2207" s="929">
        <v>0</v>
      </c>
      <c r="I2207" s="929">
        <v>2299</v>
      </c>
      <c r="J2207" s="689">
        <f t="shared" si="35"/>
        <v>1</v>
      </c>
    </row>
    <row r="2208" spans="1:10" ht="12.75" customHeight="1" x14ac:dyDescent="0.2">
      <c r="A2208" s="681" t="s">
        <v>2370</v>
      </c>
      <c r="B2208" s="693" t="s">
        <v>4776</v>
      </c>
      <c r="C2208" s="672" t="s">
        <v>791</v>
      </c>
      <c r="D2208" s="673">
        <v>36211</v>
      </c>
      <c r="E2208" s="674">
        <v>10</v>
      </c>
      <c r="F2208" s="675">
        <v>0.1</v>
      </c>
      <c r="G2208" s="676">
        <v>2300</v>
      </c>
      <c r="H2208" s="929">
        <v>0</v>
      </c>
      <c r="I2208" s="929">
        <v>2299</v>
      </c>
      <c r="J2208" s="689">
        <f t="shared" si="35"/>
        <v>1</v>
      </c>
    </row>
    <row r="2209" spans="1:10" ht="12.75" customHeight="1" x14ac:dyDescent="0.2">
      <c r="A2209" s="681" t="s">
        <v>2370</v>
      </c>
      <c r="B2209" s="693" t="s">
        <v>4777</v>
      </c>
      <c r="C2209" s="672" t="s">
        <v>893</v>
      </c>
      <c r="D2209" s="673">
        <v>36576</v>
      </c>
      <c r="E2209" s="674">
        <v>3</v>
      </c>
      <c r="F2209" s="675">
        <v>0.33</v>
      </c>
      <c r="G2209" s="676">
        <v>2300</v>
      </c>
      <c r="H2209" s="929">
        <v>0</v>
      </c>
      <c r="I2209" s="929">
        <v>2299</v>
      </c>
      <c r="J2209" s="689">
        <f t="shared" si="35"/>
        <v>1</v>
      </c>
    </row>
    <row r="2210" spans="1:10" ht="12.75" customHeight="1" x14ac:dyDescent="0.2">
      <c r="A2210" s="681" t="s">
        <v>2370</v>
      </c>
      <c r="B2210" s="693" t="s">
        <v>4778</v>
      </c>
      <c r="C2210" s="672" t="s">
        <v>893</v>
      </c>
      <c r="D2210" s="673">
        <v>36576</v>
      </c>
      <c r="E2210" s="674">
        <v>3</v>
      </c>
      <c r="F2210" s="675">
        <v>0.33</v>
      </c>
      <c r="G2210" s="676">
        <v>2300</v>
      </c>
      <c r="H2210" s="929">
        <v>0</v>
      </c>
      <c r="I2210" s="929">
        <v>2299</v>
      </c>
      <c r="J2210" s="689">
        <f t="shared" si="35"/>
        <v>1</v>
      </c>
    </row>
    <row r="2211" spans="1:10" ht="12.75" customHeight="1" x14ac:dyDescent="0.2">
      <c r="A2211" s="681" t="s">
        <v>2370</v>
      </c>
      <c r="B2211" s="693" t="s">
        <v>4779</v>
      </c>
      <c r="C2211" s="672" t="s">
        <v>893</v>
      </c>
      <c r="D2211" s="673">
        <v>36576</v>
      </c>
      <c r="E2211" s="674">
        <v>3</v>
      </c>
      <c r="F2211" s="675">
        <v>0.33</v>
      </c>
      <c r="G2211" s="676">
        <v>2300</v>
      </c>
      <c r="H2211" s="929">
        <v>0</v>
      </c>
      <c r="I2211" s="929">
        <v>2299</v>
      </c>
      <c r="J2211" s="689">
        <f t="shared" si="35"/>
        <v>1</v>
      </c>
    </row>
    <row r="2212" spans="1:10" ht="12.75" customHeight="1" x14ac:dyDescent="0.2">
      <c r="A2212" s="681" t="s">
        <v>2370</v>
      </c>
      <c r="B2212" s="693" t="s">
        <v>4780</v>
      </c>
      <c r="C2212" s="672" t="s">
        <v>893</v>
      </c>
      <c r="D2212" s="673">
        <v>36576</v>
      </c>
      <c r="E2212" s="674">
        <v>3</v>
      </c>
      <c r="F2212" s="675">
        <v>0.33</v>
      </c>
      <c r="G2212" s="676">
        <v>2300</v>
      </c>
      <c r="H2212" s="929">
        <v>0</v>
      </c>
      <c r="I2212" s="929">
        <v>2299</v>
      </c>
      <c r="J2212" s="689">
        <f t="shared" si="35"/>
        <v>1</v>
      </c>
    </row>
    <row r="2213" spans="1:10" ht="12.75" customHeight="1" x14ac:dyDescent="0.2">
      <c r="A2213" s="681" t="s">
        <v>2372</v>
      </c>
      <c r="B2213" s="693" t="s">
        <v>4781</v>
      </c>
      <c r="C2213" s="672" t="s">
        <v>1010</v>
      </c>
      <c r="D2213" s="673">
        <v>36942</v>
      </c>
      <c r="E2213" s="674">
        <v>10</v>
      </c>
      <c r="F2213" s="675">
        <v>0.1</v>
      </c>
      <c r="G2213" s="676">
        <v>2350</v>
      </c>
      <c r="H2213" s="929">
        <v>0</v>
      </c>
      <c r="I2213" s="929">
        <v>2349</v>
      </c>
      <c r="J2213" s="689">
        <f t="shared" si="35"/>
        <v>1</v>
      </c>
    </row>
    <row r="2214" spans="1:10" ht="12.75" customHeight="1" x14ac:dyDescent="0.2">
      <c r="A2214" s="681" t="s">
        <v>2370</v>
      </c>
      <c r="B2214" s="693" t="s">
        <v>4782</v>
      </c>
      <c r="C2214" s="672" t="s">
        <v>809</v>
      </c>
      <c r="D2214" s="673">
        <v>38037</v>
      </c>
      <c r="E2214" s="674">
        <v>10</v>
      </c>
      <c r="F2214" s="675">
        <v>0.1</v>
      </c>
      <c r="G2214" s="676">
        <v>2351</v>
      </c>
      <c r="H2214" s="929">
        <v>0</v>
      </c>
      <c r="I2214" s="929">
        <v>2350</v>
      </c>
      <c r="J2214" s="689">
        <f t="shared" si="35"/>
        <v>1</v>
      </c>
    </row>
    <row r="2215" spans="1:10" ht="12.75" customHeight="1" x14ac:dyDescent="0.2">
      <c r="A2215" s="681" t="s">
        <v>2370</v>
      </c>
      <c r="B2215" s="693" t="s">
        <v>4783</v>
      </c>
      <c r="C2215" s="672" t="s">
        <v>791</v>
      </c>
      <c r="D2215" s="673">
        <v>36576</v>
      </c>
      <c r="E2215" s="674">
        <v>10</v>
      </c>
      <c r="F2215" s="675">
        <v>0.1</v>
      </c>
      <c r="G2215" s="676">
        <v>2358</v>
      </c>
      <c r="H2215" s="929">
        <v>0</v>
      </c>
      <c r="I2215" s="929">
        <v>2357</v>
      </c>
      <c r="J2215" s="689">
        <f t="shared" si="35"/>
        <v>1</v>
      </c>
    </row>
    <row r="2216" spans="1:10" ht="12.75" customHeight="1" x14ac:dyDescent="0.2">
      <c r="A2216" s="681" t="s">
        <v>2370</v>
      </c>
      <c r="B2216" s="693" t="s">
        <v>4784</v>
      </c>
      <c r="C2216" s="672" t="s">
        <v>799</v>
      </c>
      <c r="D2216" s="673">
        <v>37307</v>
      </c>
      <c r="E2216" s="674">
        <v>10</v>
      </c>
      <c r="F2216" s="675">
        <v>0.1</v>
      </c>
      <c r="G2216" s="676">
        <v>2358</v>
      </c>
      <c r="H2216" s="929">
        <v>0</v>
      </c>
      <c r="I2216" s="929">
        <v>2357</v>
      </c>
      <c r="J2216" s="689">
        <f t="shared" si="35"/>
        <v>1</v>
      </c>
    </row>
    <row r="2217" spans="1:10" ht="12.75" customHeight="1" x14ac:dyDescent="0.2">
      <c r="A2217" s="681" t="s">
        <v>2370</v>
      </c>
      <c r="B2217" s="693" t="s">
        <v>4785</v>
      </c>
      <c r="C2217" s="672" t="s">
        <v>889</v>
      </c>
      <c r="D2217" s="673">
        <v>36211</v>
      </c>
      <c r="E2217" s="674">
        <v>3</v>
      </c>
      <c r="F2217" s="675">
        <v>0.33</v>
      </c>
      <c r="G2217" s="676">
        <v>2359</v>
      </c>
      <c r="H2217" s="929">
        <v>0</v>
      </c>
      <c r="I2217" s="929">
        <v>2358</v>
      </c>
      <c r="J2217" s="689">
        <f t="shared" si="35"/>
        <v>1</v>
      </c>
    </row>
    <row r="2218" spans="1:10" ht="12.75" customHeight="1" x14ac:dyDescent="0.2">
      <c r="A2218" s="681" t="s">
        <v>2370</v>
      </c>
      <c r="B2218" s="693" t="s">
        <v>4786</v>
      </c>
      <c r="C2218" s="672" t="s">
        <v>787</v>
      </c>
      <c r="D2218" s="673">
        <v>36576</v>
      </c>
      <c r="E2218" s="674">
        <v>10</v>
      </c>
      <c r="F2218" s="675">
        <v>0.1</v>
      </c>
      <c r="G2218" s="676">
        <v>2386</v>
      </c>
      <c r="H2218" s="929">
        <v>0</v>
      </c>
      <c r="I2218" s="929">
        <v>2385</v>
      </c>
      <c r="J2218" s="689">
        <f t="shared" si="35"/>
        <v>1</v>
      </c>
    </row>
    <row r="2219" spans="1:10" ht="12.75" customHeight="1" x14ac:dyDescent="0.2">
      <c r="A2219" s="681" t="s">
        <v>2370</v>
      </c>
      <c r="B2219" s="693" t="s">
        <v>4787</v>
      </c>
      <c r="C2219" s="672" t="s">
        <v>787</v>
      </c>
      <c r="D2219" s="673">
        <v>36576</v>
      </c>
      <c r="E2219" s="674">
        <v>10</v>
      </c>
      <c r="F2219" s="675">
        <v>0.1</v>
      </c>
      <c r="G2219" s="676">
        <v>2386</v>
      </c>
      <c r="H2219" s="929">
        <v>0</v>
      </c>
      <c r="I2219" s="929">
        <v>2385</v>
      </c>
      <c r="J2219" s="689">
        <f t="shared" si="35"/>
        <v>1</v>
      </c>
    </row>
    <row r="2220" spans="1:10" ht="12.75" customHeight="1" x14ac:dyDescent="0.2">
      <c r="A2220" s="681" t="s">
        <v>2370</v>
      </c>
      <c r="B2220" s="693" t="s">
        <v>4788</v>
      </c>
      <c r="C2220" s="672" t="s">
        <v>787</v>
      </c>
      <c r="D2220" s="673">
        <v>36576</v>
      </c>
      <c r="E2220" s="674">
        <v>10</v>
      </c>
      <c r="F2220" s="675">
        <v>0.1</v>
      </c>
      <c r="G2220" s="676">
        <v>2386</v>
      </c>
      <c r="H2220" s="929">
        <v>0</v>
      </c>
      <c r="I2220" s="929">
        <v>2385</v>
      </c>
      <c r="J2220" s="689">
        <f t="shared" si="35"/>
        <v>1</v>
      </c>
    </row>
    <row r="2221" spans="1:10" ht="12.75" customHeight="1" x14ac:dyDescent="0.2">
      <c r="A2221" s="681" t="s">
        <v>2370</v>
      </c>
      <c r="B2221" s="693" t="s">
        <v>4789</v>
      </c>
      <c r="C2221" s="672" t="s">
        <v>790</v>
      </c>
      <c r="D2221" s="673">
        <v>37307</v>
      </c>
      <c r="E2221" s="674">
        <v>10</v>
      </c>
      <c r="F2221" s="675">
        <v>0.1</v>
      </c>
      <c r="G2221" s="676">
        <v>2399</v>
      </c>
      <c r="H2221" s="929">
        <v>0</v>
      </c>
      <c r="I2221" s="929">
        <v>2398</v>
      </c>
      <c r="J2221" s="689">
        <f t="shared" si="35"/>
        <v>1</v>
      </c>
    </row>
    <row r="2222" spans="1:10" ht="12.75" customHeight="1" x14ac:dyDescent="0.2">
      <c r="A2222" s="681" t="s">
        <v>2370</v>
      </c>
      <c r="B2222" s="693" t="s">
        <v>4790</v>
      </c>
      <c r="C2222" s="672" t="s">
        <v>788</v>
      </c>
      <c r="D2222" s="673">
        <v>36576</v>
      </c>
      <c r="E2222" s="674">
        <v>10</v>
      </c>
      <c r="F2222" s="675">
        <v>0.1</v>
      </c>
      <c r="G2222" s="676">
        <v>2405</v>
      </c>
      <c r="H2222" s="929">
        <v>0</v>
      </c>
      <c r="I2222" s="929">
        <v>2404</v>
      </c>
      <c r="J2222" s="689">
        <f t="shared" si="35"/>
        <v>1</v>
      </c>
    </row>
    <row r="2223" spans="1:10" ht="12.75" customHeight="1" x14ac:dyDescent="0.2">
      <c r="A2223" s="681" t="s">
        <v>2370</v>
      </c>
      <c r="B2223" s="693" t="s">
        <v>4791</v>
      </c>
      <c r="C2223" s="672" t="s">
        <v>788</v>
      </c>
      <c r="D2223" s="673">
        <v>36576</v>
      </c>
      <c r="E2223" s="674">
        <v>10</v>
      </c>
      <c r="F2223" s="675">
        <v>0.1</v>
      </c>
      <c r="G2223" s="676">
        <v>2405</v>
      </c>
      <c r="H2223" s="929">
        <v>0</v>
      </c>
      <c r="I2223" s="929">
        <v>2404</v>
      </c>
      <c r="J2223" s="689">
        <f t="shared" si="35"/>
        <v>1</v>
      </c>
    </row>
    <row r="2224" spans="1:10" ht="12.75" customHeight="1" x14ac:dyDescent="0.2">
      <c r="A2224" s="681" t="s">
        <v>2370</v>
      </c>
      <c r="B2224" s="693" t="s">
        <v>4792</v>
      </c>
      <c r="C2224" s="672" t="s">
        <v>788</v>
      </c>
      <c r="D2224" s="673">
        <v>36211</v>
      </c>
      <c r="E2224" s="674">
        <v>10</v>
      </c>
      <c r="F2224" s="675">
        <v>0.1</v>
      </c>
      <c r="G2224" s="676">
        <v>2405</v>
      </c>
      <c r="H2224" s="929">
        <v>0</v>
      </c>
      <c r="I2224" s="929">
        <v>2404</v>
      </c>
      <c r="J2224" s="689">
        <f t="shared" si="35"/>
        <v>1</v>
      </c>
    </row>
    <row r="2225" spans="1:10" ht="12.75" customHeight="1" x14ac:dyDescent="0.2">
      <c r="A2225" s="681" t="s">
        <v>2370</v>
      </c>
      <c r="B2225" s="693" t="s">
        <v>4793</v>
      </c>
      <c r="C2225" s="672" t="s">
        <v>787</v>
      </c>
      <c r="D2225" s="673">
        <v>36211</v>
      </c>
      <c r="E2225" s="674">
        <v>10</v>
      </c>
      <c r="F2225" s="675">
        <v>0.1</v>
      </c>
      <c r="G2225" s="676">
        <v>2407</v>
      </c>
      <c r="H2225" s="929">
        <v>0</v>
      </c>
      <c r="I2225" s="929">
        <v>2406</v>
      </c>
      <c r="J2225" s="689">
        <f t="shared" si="35"/>
        <v>1</v>
      </c>
    </row>
    <row r="2226" spans="1:10" ht="12.75" customHeight="1" x14ac:dyDescent="0.2">
      <c r="A2226" s="681" t="s">
        <v>2370</v>
      </c>
      <c r="B2226" s="693" t="s">
        <v>4794</v>
      </c>
      <c r="C2226" s="672" t="s">
        <v>791</v>
      </c>
      <c r="D2226" s="673">
        <v>36211</v>
      </c>
      <c r="E2226" s="674">
        <v>10</v>
      </c>
      <c r="F2226" s="675">
        <v>0.1</v>
      </c>
      <c r="G2226" s="676">
        <v>2415</v>
      </c>
      <c r="H2226" s="929">
        <v>0</v>
      </c>
      <c r="I2226" s="929">
        <v>2414</v>
      </c>
      <c r="J2226" s="689">
        <f t="shared" si="35"/>
        <v>1</v>
      </c>
    </row>
    <row r="2227" spans="1:10" ht="12.75" customHeight="1" x14ac:dyDescent="0.2">
      <c r="A2227" s="681" t="s">
        <v>2370</v>
      </c>
      <c r="B2227" s="693" t="s">
        <v>4795</v>
      </c>
      <c r="C2227" s="672" t="s">
        <v>791</v>
      </c>
      <c r="D2227" s="673">
        <v>36576</v>
      </c>
      <c r="E2227" s="674">
        <v>10</v>
      </c>
      <c r="F2227" s="675">
        <v>0.1</v>
      </c>
      <c r="G2227" s="676">
        <v>2415</v>
      </c>
      <c r="H2227" s="929">
        <v>0</v>
      </c>
      <c r="I2227" s="929">
        <v>2414</v>
      </c>
      <c r="J2227" s="689">
        <f t="shared" si="35"/>
        <v>1</v>
      </c>
    </row>
    <row r="2228" spans="1:10" ht="12.75" customHeight="1" x14ac:dyDescent="0.2">
      <c r="A2228" s="681" t="s">
        <v>2370</v>
      </c>
      <c r="B2228" s="693" t="s">
        <v>4796</v>
      </c>
      <c r="C2228" s="672" t="s">
        <v>791</v>
      </c>
      <c r="D2228" s="673">
        <v>36576</v>
      </c>
      <c r="E2228" s="674">
        <v>10</v>
      </c>
      <c r="F2228" s="675">
        <v>0.1</v>
      </c>
      <c r="G2228" s="676">
        <v>2415</v>
      </c>
      <c r="H2228" s="929">
        <v>0</v>
      </c>
      <c r="I2228" s="929">
        <v>2414</v>
      </c>
      <c r="J2228" s="689">
        <f t="shared" si="35"/>
        <v>1</v>
      </c>
    </row>
    <row r="2229" spans="1:10" ht="12.75" customHeight="1" x14ac:dyDescent="0.2">
      <c r="A2229" s="681" t="s">
        <v>2370</v>
      </c>
      <c r="B2229" s="693" t="s">
        <v>4797</v>
      </c>
      <c r="C2229" s="672" t="s">
        <v>791</v>
      </c>
      <c r="D2229" s="673">
        <v>36576</v>
      </c>
      <c r="E2229" s="674">
        <v>10</v>
      </c>
      <c r="F2229" s="675">
        <v>0.1</v>
      </c>
      <c r="G2229" s="676">
        <v>2415</v>
      </c>
      <c r="H2229" s="929">
        <v>0</v>
      </c>
      <c r="I2229" s="929">
        <v>2414</v>
      </c>
      <c r="J2229" s="689">
        <f t="shared" si="35"/>
        <v>1</v>
      </c>
    </row>
    <row r="2230" spans="1:10" ht="12.75" customHeight="1" x14ac:dyDescent="0.2">
      <c r="A2230" s="681" t="s">
        <v>2370</v>
      </c>
      <c r="B2230" s="693" t="s">
        <v>4798</v>
      </c>
      <c r="C2230" s="672" t="s">
        <v>791</v>
      </c>
      <c r="D2230" s="673">
        <v>36576</v>
      </c>
      <c r="E2230" s="674">
        <v>10</v>
      </c>
      <c r="F2230" s="675">
        <v>0.1</v>
      </c>
      <c r="G2230" s="676">
        <v>2415</v>
      </c>
      <c r="H2230" s="929">
        <v>0</v>
      </c>
      <c r="I2230" s="929">
        <v>2414</v>
      </c>
      <c r="J2230" s="689">
        <f t="shared" si="35"/>
        <v>1</v>
      </c>
    </row>
    <row r="2231" spans="1:10" ht="12.75" customHeight="1" x14ac:dyDescent="0.2">
      <c r="A2231" s="681" t="s">
        <v>2370</v>
      </c>
      <c r="B2231" s="693" t="s">
        <v>4799</v>
      </c>
      <c r="C2231" s="672" t="s">
        <v>791</v>
      </c>
      <c r="D2231" s="673">
        <v>36576</v>
      </c>
      <c r="E2231" s="674">
        <v>10</v>
      </c>
      <c r="F2231" s="675">
        <v>0.1</v>
      </c>
      <c r="G2231" s="676">
        <v>2415</v>
      </c>
      <c r="H2231" s="929">
        <v>0</v>
      </c>
      <c r="I2231" s="929">
        <v>2414</v>
      </c>
      <c r="J2231" s="689">
        <f t="shared" si="35"/>
        <v>1</v>
      </c>
    </row>
    <row r="2232" spans="1:10" ht="12.75" customHeight="1" x14ac:dyDescent="0.2">
      <c r="A2232" s="681" t="s">
        <v>2372</v>
      </c>
      <c r="B2232" s="693" t="s">
        <v>4800</v>
      </c>
      <c r="C2232" s="672" t="s">
        <v>1009</v>
      </c>
      <c r="D2232" s="673">
        <v>35481</v>
      </c>
      <c r="E2232" s="674">
        <v>10</v>
      </c>
      <c r="F2232" s="675">
        <v>0.1</v>
      </c>
      <c r="G2232" s="676">
        <v>2460</v>
      </c>
      <c r="H2232" s="929">
        <v>0</v>
      </c>
      <c r="I2232" s="929">
        <v>2459</v>
      </c>
      <c r="J2232" s="689">
        <f t="shared" si="35"/>
        <v>1</v>
      </c>
    </row>
    <row r="2233" spans="1:10" ht="12.75" customHeight="1" x14ac:dyDescent="0.2">
      <c r="A2233" s="681" t="s">
        <v>2370</v>
      </c>
      <c r="B2233" s="693" t="s">
        <v>4801</v>
      </c>
      <c r="C2233" s="672" t="s">
        <v>870</v>
      </c>
      <c r="D2233" s="673">
        <v>38037</v>
      </c>
      <c r="E2233" s="674">
        <v>10</v>
      </c>
      <c r="F2233" s="675">
        <v>0.1</v>
      </c>
      <c r="G2233" s="676">
        <v>2461</v>
      </c>
      <c r="H2233" s="929">
        <v>0</v>
      </c>
      <c r="I2233" s="929">
        <v>2460</v>
      </c>
      <c r="J2233" s="689">
        <f t="shared" si="35"/>
        <v>1</v>
      </c>
    </row>
    <row r="2234" spans="1:10" ht="12.75" customHeight="1" x14ac:dyDescent="0.2">
      <c r="A2234" s="681" t="s">
        <v>2370</v>
      </c>
      <c r="B2234" s="693" t="s">
        <v>4802</v>
      </c>
      <c r="C2234" s="672" t="s">
        <v>787</v>
      </c>
      <c r="D2234" s="673">
        <v>32924</v>
      </c>
      <c r="E2234" s="674">
        <v>10</v>
      </c>
      <c r="F2234" s="675">
        <v>0.1</v>
      </c>
      <c r="G2234" s="676">
        <v>2467</v>
      </c>
      <c r="H2234" s="929">
        <v>0</v>
      </c>
      <c r="I2234" s="929">
        <v>2466</v>
      </c>
      <c r="J2234" s="689">
        <f t="shared" si="35"/>
        <v>1</v>
      </c>
    </row>
    <row r="2235" spans="1:10" ht="12.75" customHeight="1" x14ac:dyDescent="0.2">
      <c r="A2235" s="681" t="s">
        <v>2372</v>
      </c>
      <c r="B2235" s="693" t="s">
        <v>4803</v>
      </c>
      <c r="C2235" s="672" t="s">
        <v>1020</v>
      </c>
      <c r="D2235" s="673">
        <v>39498</v>
      </c>
      <c r="E2235" s="674">
        <v>3</v>
      </c>
      <c r="F2235" s="675">
        <v>0.33</v>
      </c>
      <c r="G2235" s="676">
        <v>2472</v>
      </c>
      <c r="H2235" s="929">
        <v>0</v>
      </c>
      <c r="I2235" s="929">
        <v>2471</v>
      </c>
      <c r="J2235" s="689">
        <f t="shared" si="35"/>
        <v>1</v>
      </c>
    </row>
    <row r="2236" spans="1:10" ht="12.75" customHeight="1" x14ac:dyDescent="0.2">
      <c r="A2236" s="681" t="s">
        <v>2372</v>
      </c>
      <c r="B2236" s="693" t="s">
        <v>4804</v>
      </c>
      <c r="C2236" s="672" t="s">
        <v>1020</v>
      </c>
      <c r="D2236" s="673">
        <v>39498</v>
      </c>
      <c r="E2236" s="674">
        <v>3</v>
      </c>
      <c r="F2236" s="675">
        <v>0.33</v>
      </c>
      <c r="G2236" s="676">
        <v>2472</v>
      </c>
      <c r="H2236" s="929">
        <v>0</v>
      </c>
      <c r="I2236" s="929">
        <v>2471</v>
      </c>
      <c r="J2236" s="689">
        <f t="shared" si="35"/>
        <v>1</v>
      </c>
    </row>
    <row r="2237" spans="1:10" ht="12.75" customHeight="1" x14ac:dyDescent="0.2">
      <c r="A2237" s="681" t="s">
        <v>2372</v>
      </c>
      <c r="B2237" s="693" t="s">
        <v>4805</v>
      </c>
      <c r="C2237" s="672" t="s">
        <v>1020</v>
      </c>
      <c r="D2237" s="673">
        <v>37672</v>
      </c>
      <c r="E2237" s="674">
        <v>3</v>
      </c>
      <c r="F2237" s="675">
        <v>0.33</v>
      </c>
      <c r="G2237" s="676">
        <v>2472</v>
      </c>
      <c r="H2237" s="929">
        <v>0</v>
      </c>
      <c r="I2237" s="929">
        <v>2471</v>
      </c>
      <c r="J2237" s="689">
        <f t="shared" si="35"/>
        <v>1</v>
      </c>
    </row>
    <row r="2238" spans="1:10" ht="12.75" customHeight="1" x14ac:dyDescent="0.2">
      <c r="A2238" s="681" t="s">
        <v>2372</v>
      </c>
      <c r="B2238" s="693" t="s">
        <v>4806</v>
      </c>
      <c r="C2238" s="672" t="s">
        <v>1020</v>
      </c>
      <c r="D2238" s="673">
        <v>37672</v>
      </c>
      <c r="E2238" s="674">
        <v>3</v>
      </c>
      <c r="F2238" s="675">
        <v>0.33</v>
      </c>
      <c r="G2238" s="676">
        <v>2472</v>
      </c>
      <c r="H2238" s="929">
        <v>0</v>
      </c>
      <c r="I2238" s="929">
        <v>2471</v>
      </c>
      <c r="J2238" s="689">
        <f t="shared" si="35"/>
        <v>1</v>
      </c>
    </row>
    <row r="2239" spans="1:10" ht="12.75" customHeight="1" x14ac:dyDescent="0.2">
      <c r="A2239" s="681" t="s">
        <v>2372</v>
      </c>
      <c r="B2239" s="693" t="s">
        <v>4807</v>
      </c>
      <c r="C2239" s="672" t="s">
        <v>1020</v>
      </c>
      <c r="D2239" s="673">
        <v>37672</v>
      </c>
      <c r="E2239" s="674">
        <v>3</v>
      </c>
      <c r="F2239" s="675">
        <v>0.33</v>
      </c>
      <c r="G2239" s="676">
        <v>2472</v>
      </c>
      <c r="H2239" s="929">
        <v>0</v>
      </c>
      <c r="I2239" s="929">
        <v>2471</v>
      </c>
      <c r="J2239" s="689">
        <f t="shared" si="35"/>
        <v>1</v>
      </c>
    </row>
    <row r="2240" spans="1:10" ht="12.75" customHeight="1" x14ac:dyDescent="0.2">
      <c r="A2240" s="681" t="s">
        <v>2372</v>
      </c>
      <c r="B2240" s="693" t="s">
        <v>4808</v>
      </c>
      <c r="C2240" s="672" t="s">
        <v>1020</v>
      </c>
      <c r="D2240" s="673">
        <v>38768</v>
      </c>
      <c r="E2240" s="674">
        <v>3</v>
      </c>
      <c r="F2240" s="675">
        <v>0.33</v>
      </c>
      <c r="G2240" s="676">
        <v>2472</v>
      </c>
      <c r="H2240" s="929">
        <v>0</v>
      </c>
      <c r="I2240" s="929">
        <v>2471</v>
      </c>
      <c r="J2240" s="689">
        <f t="shared" si="35"/>
        <v>1</v>
      </c>
    </row>
    <row r="2241" spans="1:10" ht="12.75" customHeight="1" x14ac:dyDescent="0.2">
      <c r="A2241" s="681" t="s">
        <v>2372</v>
      </c>
      <c r="B2241" s="693" t="s">
        <v>4809</v>
      </c>
      <c r="C2241" s="672" t="s">
        <v>1020</v>
      </c>
      <c r="D2241" s="673">
        <v>37672</v>
      </c>
      <c r="E2241" s="674">
        <v>3</v>
      </c>
      <c r="F2241" s="675">
        <v>0.33</v>
      </c>
      <c r="G2241" s="676">
        <v>2472</v>
      </c>
      <c r="H2241" s="929">
        <v>0</v>
      </c>
      <c r="I2241" s="929">
        <v>2471</v>
      </c>
      <c r="J2241" s="689">
        <f t="shared" si="35"/>
        <v>1</v>
      </c>
    </row>
    <row r="2242" spans="1:10" ht="12.75" customHeight="1" x14ac:dyDescent="0.2">
      <c r="A2242" s="681" t="s">
        <v>2372</v>
      </c>
      <c r="B2242" s="693" t="s">
        <v>4810</v>
      </c>
      <c r="C2242" s="672" t="s">
        <v>1020</v>
      </c>
      <c r="D2242" s="673">
        <v>37672</v>
      </c>
      <c r="E2242" s="674">
        <v>3</v>
      </c>
      <c r="F2242" s="675">
        <v>0.33</v>
      </c>
      <c r="G2242" s="676">
        <v>2472</v>
      </c>
      <c r="H2242" s="929">
        <v>0</v>
      </c>
      <c r="I2242" s="929">
        <v>2471</v>
      </c>
      <c r="J2242" s="689">
        <f t="shared" si="35"/>
        <v>1</v>
      </c>
    </row>
    <row r="2243" spans="1:10" ht="12.75" customHeight="1" x14ac:dyDescent="0.2">
      <c r="A2243" s="681" t="s">
        <v>2372</v>
      </c>
      <c r="B2243" s="693" t="s">
        <v>4811</v>
      </c>
      <c r="C2243" s="672" t="s">
        <v>1020</v>
      </c>
      <c r="D2243" s="673">
        <v>37672</v>
      </c>
      <c r="E2243" s="674">
        <v>3</v>
      </c>
      <c r="F2243" s="675">
        <v>0.33</v>
      </c>
      <c r="G2243" s="676">
        <v>2472</v>
      </c>
      <c r="H2243" s="929">
        <v>0</v>
      </c>
      <c r="I2243" s="929">
        <v>2471</v>
      </c>
      <c r="J2243" s="689">
        <f t="shared" si="35"/>
        <v>1</v>
      </c>
    </row>
    <row r="2244" spans="1:10" ht="12.75" customHeight="1" x14ac:dyDescent="0.2">
      <c r="A2244" s="681" t="s">
        <v>2372</v>
      </c>
      <c r="B2244" s="693" t="s">
        <v>4812</v>
      </c>
      <c r="C2244" s="672" t="s">
        <v>1020</v>
      </c>
      <c r="D2244" s="673">
        <v>37672</v>
      </c>
      <c r="E2244" s="674">
        <v>3</v>
      </c>
      <c r="F2244" s="675">
        <v>0.33</v>
      </c>
      <c r="G2244" s="676">
        <v>2472</v>
      </c>
      <c r="H2244" s="929">
        <v>0</v>
      </c>
      <c r="I2244" s="929">
        <v>2471</v>
      </c>
      <c r="J2244" s="689">
        <f t="shared" si="35"/>
        <v>1</v>
      </c>
    </row>
    <row r="2245" spans="1:10" ht="12.75" customHeight="1" x14ac:dyDescent="0.2">
      <c r="A2245" s="681" t="s">
        <v>2372</v>
      </c>
      <c r="B2245" s="693" t="s">
        <v>4813</v>
      </c>
      <c r="C2245" s="672" t="s">
        <v>1020</v>
      </c>
      <c r="D2245" s="673">
        <v>37672</v>
      </c>
      <c r="E2245" s="674">
        <v>3</v>
      </c>
      <c r="F2245" s="675">
        <v>0.33</v>
      </c>
      <c r="G2245" s="676">
        <v>2472</v>
      </c>
      <c r="H2245" s="929">
        <v>0</v>
      </c>
      <c r="I2245" s="929">
        <v>2471</v>
      </c>
      <c r="J2245" s="689">
        <f t="shared" si="35"/>
        <v>1</v>
      </c>
    </row>
    <row r="2246" spans="1:10" ht="12.75" customHeight="1" x14ac:dyDescent="0.2">
      <c r="A2246" s="681" t="s">
        <v>2372</v>
      </c>
      <c r="B2246" s="693" t="s">
        <v>4814</v>
      </c>
      <c r="C2246" s="672" t="s">
        <v>1020</v>
      </c>
      <c r="D2246" s="673">
        <v>37672</v>
      </c>
      <c r="E2246" s="674">
        <v>3</v>
      </c>
      <c r="F2246" s="675">
        <v>0.33</v>
      </c>
      <c r="G2246" s="676">
        <v>2472</v>
      </c>
      <c r="H2246" s="929">
        <v>0</v>
      </c>
      <c r="I2246" s="929">
        <v>2471</v>
      </c>
      <c r="J2246" s="689">
        <f t="shared" si="35"/>
        <v>1</v>
      </c>
    </row>
    <row r="2247" spans="1:10" ht="12.75" customHeight="1" x14ac:dyDescent="0.2">
      <c r="A2247" s="681" t="s">
        <v>2372</v>
      </c>
      <c r="B2247" s="693" t="s">
        <v>4815</v>
      </c>
      <c r="C2247" s="672" t="s">
        <v>1020</v>
      </c>
      <c r="D2247" s="673">
        <v>37672</v>
      </c>
      <c r="E2247" s="674">
        <v>3</v>
      </c>
      <c r="F2247" s="675">
        <v>0.33</v>
      </c>
      <c r="G2247" s="676">
        <v>2472</v>
      </c>
      <c r="H2247" s="929">
        <v>0</v>
      </c>
      <c r="I2247" s="929">
        <v>2471</v>
      </c>
      <c r="J2247" s="689">
        <f t="shared" ref="J2247:J2310" si="36">G2247-I2247</f>
        <v>1</v>
      </c>
    </row>
    <row r="2248" spans="1:10" ht="12.75" customHeight="1" x14ac:dyDescent="0.2">
      <c r="A2248" s="681" t="s">
        <v>2372</v>
      </c>
      <c r="B2248" s="693" t="s">
        <v>4816</v>
      </c>
      <c r="C2248" s="672" t="s">
        <v>1020</v>
      </c>
      <c r="D2248" s="673">
        <v>38403</v>
      </c>
      <c r="E2248" s="674">
        <v>3</v>
      </c>
      <c r="F2248" s="675">
        <v>0.33</v>
      </c>
      <c r="G2248" s="676">
        <v>2472</v>
      </c>
      <c r="H2248" s="929">
        <v>0</v>
      </c>
      <c r="I2248" s="929">
        <v>2471</v>
      </c>
      <c r="J2248" s="689">
        <f t="shared" si="36"/>
        <v>1</v>
      </c>
    </row>
    <row r="2249" spans="1:10" ht="12.75" customHeight="1" x14ac:dyDescent="0.2">
      <c r="A2249" s="681" t="s">
        <v>2372</v>
      </c>
      <c r="B2249" s="693" t="s">
        <v>4817</v>
      </c>
      <c r="C2249" s="672" t="s">
        <v>1020</v>
      </c>
      <c r="D2249" s="673">
        <v>37672</v>
      </c>
      <c r="E2249" s="674">
        <v>3</v>
      </c>
      <c r="F2249" s="675">
        <v>0.33</v>
      </c>
      <c r="G2249" s="676">
        <v>2472</v>
      </c>
      <c r="H2249" s="929">
        <v>0</v>
      </c>
      <c r="I2249" s="929">
        <v>2471</v>
      </c>
      <c r="J2249" s="689">
        <f t="shared" si="36"/>
        <v>1</v>
      </c>
    </row>
    <row r="2250" spans="1:10" ht="12.75" customHeight="1" x14ac:dyDescent="0.2">
      <c r="A2250" s="681" t="s">
        <v>2372</v>
      </c>
      <c r="B2250" s="693" t="s">
        <v>4818</v>
      </c>
      <c r="C2250" s="672" t="s">
        <v>1020</v>
      </c>
      <c r="D2250" s="673">
        <v>38768</v>
      </c>
      <c r="E2250" s="674">
        <v>3</v>
      </c>
      <c r="F2250" s="675">
        <v>0.33</v>
      </c>
      <c r="G2250" s="676">
        <v>2472</v>
      </c>
      <c r="H2250" s="929">
        <v>0</v>
      </c>
      <c r="I2250" s="929">
        <v>2471</v>
      </c>
      <c r="J2250" s="689">
        <f t="shared" si="36"/>
        <v>1</v>
      </c>
    </row>
    <row r="2251" spans="1:10" ht="12.75" customHeight="1" x14ac:dyDescent="0.2">
      <c r="A2251" s="681" t="s">
        <v>2372</v>
      </c>
      <c r="B2251" s="693" t="s">
        <v>4819</v>
      </c>
      <c r="C2251" s="672" t="s">
        <v>1020</v>
      </c>
      <c r="D2251" s="673">
        <v>39864</v>
      </c>
      <c r="E2251" s="674">
        <v>3</v>
      </c>
      <c r="F2251" s="675">
        <v>0.33</v>
      </c>
      <c r="G2251" s="676">
        <v>2472</v>
      </c>
      <c r="H2251" s="929">
        <v>0</v>
      </c>
      <c r="I2251" s="929">
        <v>2471</v>
      </c>
      <c r="J2251" s="689">
        <f t="shared" si="36"/>
        <v>1</v>
      </c>
    </row>
    <row r="2252" spans="1:10" ht="12.75" customHeight="1" x14ac:dyDescent="0.2">
      <c r="A2252" s="681" t="s">
        <v>2372</v>
      </c>
      <c r="B2252" s="693" t="s">
        <v>4820</v>
      </c>
      <c r="C2252" s="672" t="s">
        <v>1020</v>
      </c>
      <c r="D2252" s="673">
        <v>37672</v>
      </c>
      <c r="E2252" s="674">
        <v>3</v>
      </c>
      <c r="F2252" s="675">
        <v>0.33</v>
      </c>
      <c r="G2252" s="676">
        <v>2472</v>
      </c>
      <c r="H2252" s="929">
        <v>0</v>
      </c>
      <c r="I2252" s="929">
        <v>2471</v>
      </c>
      <c r="J2252" s="689">
        <f t="shared" si="36"/>
        <v>1</v>
      </c>
    </row>
    <row r="2253" spans="1:10" ht="12.75" customHeight="1" x14ac:dyDescent="0.2">
      <c r="A2253" s="681" t="s">
        <v>2372</v>
      </c>
      <c r="B2253" s="693" t="s">
        <v>4821</v>
      </c>
      <c r="C2253" s="672" t="s">
        <v>1020</v>
      </c>
      <c r="D2253" s="673">
        <v>37672</v>
      </c>
      <c r="E2253" s="674">
        <v>3</v>
      </c>
      <c r="F2253" s="675">
        <v>0.33</v>
      </c>
      <c r="G2253" s="676">
        <v>2472</v>
      </c>
      <c r="H2253" s="929">
        <v>0</v>
      </c>
      <c r="I2253" s="929">
        <v>2471</v>
      </c>
      <c r="J2253" s="689">
        <f t="shared" si="36"/>
        <v>1</v>
      </c>
    </row>
    <row r="2254" spans="1:10" ht="12.75" customHeight="1" x14ac:dyDescent="0.2">
      <c r="A2254" s="681" t="s">
        <v>2372</v>
      </c>
      <c r="B2254" s="693" t="s">
        <v>4822</v>
      </c>
      <c r="C2254" s="672" t="s">
        <v>1020</v>
      </c>
      <c r="D2254" s="673">
        <v>37672</v>
      </c>
      <c r="E2254" s="674">
        <v>3</v>
      </c>
      <c r="F2254" s="675">
        <v>0.33</v>
      </c>
      <c r="G2254" s="676">
        <v>2472</v>
      </c>
      <c r="H2254" s="929">
        <v>0</v>
      </c>
      <c r="I2254" s="929">
        <v>2471</v>
      </c>
      <c r="J2254" s="689">
        <f t="shared" si="36"/>
        <v>1</v>
      </c>
    </row>
    <row r="2255" spans="1:10" ht="12.75" customHeight="1" x14ac:dyDescent="0.2">
      <c r="A2255" s="681" t="s">
        <v>2372</v>
      </c>
      <c r="B2255" s="693" t="s">
        <v>4823</v>
      </c>
      <c r="C2255" s="672" t="s">
        <v>1020</v>
      </c>
      <c r="D2255" s="673">
        <v>37672</v>
      </c>
      <c r="E2255" s="674">
        <v>3</v>
      </c>
      <c r="F2255" s="675">
        <v>0.33</v>
      </c>
      <c r="G2255" s="676">
        <v>2472</v>
      </c>
      <c r="H2255" s="929">
        <v>0</v>
      </c>
      <c r="I2255" s="929">
        <v>2471</v>
      </c>
      <c r="J2255" s="689">
        <f t="shared" si="36"/>
        <v>1</v>
      </c>
    </row>
    <row r="2256" spans="1:10" ht="12.75" customHeight="1" x14ac:dyDescent="0.2">
      <c r="A2256" s="681" t="s">
        <v>2372</v>
      </c>
      <c r="B2256" s="693" t="s">
        <v>4824</v>
      </c>
      <c r="C2256" s="672" t="s">
        <v>1020</v>
      </c>
      <c r="D2256" s="673">
        <v>37672</v>
      </c>
      <c r="E2256" s="674">
        <v>3</v>
      </c>
      <c r="F2256" s="675">
        <v>0.33</v>
      </c>
      <c r="G2256" s="676">
        <v>2472</v>
      </c>
      <c r="H2256" s="929">
        <v>0</v>
      </c>
      <c r="I2256" s="929">
        <v>2471</v>
      </c>
      <c r="J2256" s="689">
        <f t="shared" si="36"/>
        <v>1</v>
      </c>
    </row>
    <row r="2257" spans="1:10" ht="12.75" customHeight="1" x14ac:dyDescent="0.2">
      <c r="A2257" s="681" t="s">
        <v>2372</v>
      </c>
      <c r="B2257" s="693" t="s">
        <v>4825</v>
      </c>
      <c r="C2257" s="672" t="s">
        <v>1020</v>
      </c>
      <c r="D2257" s="673">
        <v>37672</v>
      </c>
      <c r="E2257" s="674">
        <v>3</v>
      </c>
      <c r="F2257" s="675">
        <v>0.33</v>
      </c>
      <c r="G2257" s="676">
        <v>2472</v>
      </c>
      <c r="H2257" s="929">
        <v>0</v>
      </c>
      <c r="I2257" s="929">
        <v>2471</v>
      </c>
      <c r="J2257" s="689">
        <f t="shared" si="36"/>
        <v>1</v>
      </c>
    </row>
    <row r="2258" spans="1:10" ht="12.75" customHeight="1" x14ac:dyDescent="0.2">
      <c r="A2258" s="681" t="s">
        <v>2372</v>
      </c>
      <c r="B2258" s="693" t="s">
        <v>4826</v>
      </c>
      <c r="C2258" s="672" t="s">
        <v>1020</v>
      </c>
      <c r="D2258" s="673">
        <v>37672</v>
      </c>
      <c r="E2258" s="674">
        <v>3</v>
      </c>
      <c r="F2258" s="675">
        <v>0.33</v>
      </c>
      <c r="G2258" s="676">
        <v>2472</v>
      </c>
      <c r="H2258" s="929">
        <v>0</v>
      </c>
      <c r="I2258" s="929">
        <v>2471</v>
      </c>
      <c r="J2258" s="689">
        <f t="shared" si="36"/>
        <v>1</v>
      </c>
    </row>
    <row r="2259" spans="1:10" ht="12.75" customHeight="1" x14ac:dyDescent="0.2">
      <c r="A2259" s="681" t="s">
        <v>2372</v>
      </c>
      <c r="B2259" s="693" t="s">
        <v>4827</v>
      </c>
      <c r="C2259" s="672" t="s">
        <v>1020</v>
      </c>
      <c r="D2259" s="673">
        <v>37672</v>
      </c>
      <c r="E2259" s="674">
        <v>3</v>
      </c>
      <c r="F2259" s="675">
        <v>0.33</v>
      </c>
      <c r="G2259" s="676">
        <v>2472</v>
      </c>
      <c r="H2259" s="929">
        <v>0</v>
      </c>
      <c r="I2259" s="929">
        <v>2471</v>
      </c>
      <c r="J2259" s="689">
        <f t="shared" si="36"/>
        <v>1</v>
      </c>
    </row>
    <row r="2260" spans="1:10" ht="12.75" customHeight="1" x14ac:dyDescent="0.2">
      <c r="A2260" s="681" t="s">
        <v>2372</v>
      </c>
      <c r="B2260" s="693" t="s">
        <v>4828</v>
      </c>
      <c r="C2260" s="672" t="s">
        <v>1020</v>
      </c>
      <c r="D2260" s="673">
        <v>37672</v>
      </c>
      <c r="E2260" s="674">
        <v>3</v>
      </c>
      <c r="F2260" s="675">
        <v>0.33</v>
      </c>
      <c r="G2260" s="676">
        <v>2472</v>
      </c>
      <c r="H2260" s="929">
        <v>0</v>
      </c>
      <c r="I2260" s="929">
        <v>2471</v>
      </c>
      <c r="J2260" s="689">
        <f t="shared" si="36"/>
        <v>1</v>
      </c>
    </row>
    <row r="2261" spans="1:10" ht="12.75" customHeight="1" x14ac:dyDescent="0.2">
      <c r="A2261" s="681" t="s">
        <v>2372</v>
      </c>
      <c r="B2261" s="693" t="s">
        <v>4829</v>
      </c>
      <c r="C2261" s="672" t="s">
        <v>1020</v>
      </c>
      <c r="D2261" s="673">
        <v>37672</v>
      </c>
      <c r="E2261" s="674">
        <v>3</v>
      </c>
      <c r="F2261" s="675">
        <v>0.33</v>
      </c>
      <c r="G2261" s="676">
        <v>2472</v>
      </c>
      <c r="H2261" s="929">
        <v>0</v>
      </c>
      <c r="I2261" s="929">
        <v>2471</v>
      </c>
      <c r="J2261" s="689">
        <f t="shared" si="36"/>
        <v>1</v>
      </c>
    </row>
    <row r="2262" spans="1:10" ht="12.75" customHeight="1" x14ac:dyDescent="0.2">
      <c r="A2262" s="681" t="s">
        <v>2372</v>
      </c>
      <c r="B2262" s="693" t="s">
        <v>4830</v>
      </c>
      <c r="C2262" s="672" t="s">
        <v>1020</v>
      </c>
      <c r="D2262" s="673">
        <v>37672</v>
      </c>
      <c r="E2262" s="674">
        <v>3</v>
      </c>
      <c r="F2262" s="675">
        <v>0.33</v>
      </c>
      <c r="G2262" s="676">
        <v>2472</v>
      </c>
      <c r="H2262" s="929">
        <v>0</v>
      </c>
      <c r="I2262" s="929">
        <v>2471</v>
      </c>
      <c r="J2262" s="689">
        <f t="shared" si="36"/>
        <v>1</v>
      </c>
    </row>
    <row r="2263" spans="1:10" ht="12.75" customHeight="1" x14ac:dyDescent="0.2">
      <c r="A2263" s="681" t="s">
        <v>2372</v>
      </c>
      <c r="B2263" s="693" t="s">
        <v>4831</v>
      </c>
      <c r="C2263" s="672" t="s">
        <v>1020</v>
      </c>
      <c r="D2263" s="673">
        <v>37672</v>
      </c>
      <c r="E2263" s="674">
        <v>3</v>
      </c>
      <c r="F2263" s="675">
        <v>0.33</v>
      </c>
      <c r="G2263" s="676">
        <v>2472</v>
      </c>
      <c r="H2263" s="929">
        <v>0</v>
      </c>
      <c r="I2263" s="929">
        <v>2471</v>
      </c>
      <c r="J2263" s="689">
        <f t="shared" si="36"/>
        <v>1</v>
      </c>
    </row>
    <row r="2264" spans="1:10" ht="12.75" customHeight="1" x14ac:dyDescent="0.2">
      <c r="A2264" s="681" t="s">
        <v>2372</v>
      </c>
      <c r="B2264" s="693" t="s">
        <v>4832</v>
      </c>
      <c r="C2264" s="672" t="s">
        <v>1020</v>
      </c>
      <c r="D2264" s="673">
        <v>37672</v>
      </c>
      <c r="E2264" s="674">
        <v>3</v>
      </c>
      <c r="F2264" s="675">
        <v>0.33</v>
      </c>
      <c r="G2264" s="676">
        <v>2472</v>
      </c>
      <c r="H2264" s="929">
        <v>0</v>
      </c>
      <c r="I2264" s="929">
        <v>2471</v>
      </c>
      <c r="J2264" s="689">
        <f t="shared" si="36"/>
        <v>1</v>
      </c>
    </row>
    <row r="2265" spans="1:10" ht="12.75" customHeight="1" x14ac:dyDescent="0.2">
      <c r="A2265" s="681" t="s">
        <v>2372</v>
      </c>
      <c r="B2265" s="693" t="s">
        <v>4833</v>
      </c>
      <c r="C2265" s="672" t="s">
        <v>1020</v>
      </c>
      <c r="D2265" s="673">
        <v>39498</v>
      </c>
      <c r="E2265" s="674">
        <v>3</v>
      </c>
      <c r="F2265" s="675">
        <v>0.33</v>
      </c>
      <c r="G2265" s="676">
        <v>2472</v>
      </c>
      <c r="H2265" s="929">
        <v>0</v>
      </c>
      <c r="I2265" s="929">
        <v>2471</v>
      </c>
      <c r="J2265" s="689">
        <f t="shared" si="36"/>
        <v>1</v>
      </c>
    </row>
    <row r="2266" spans="1:10" ht="12.75" customHeight="1" x14ac:dyDescent="0.2">
      <c r="A2266" s="681" t="s">
        <v>2372</v>
      </c>
      <c r="B2266" s="693" t="s">
        <v>4834</v>
      </c>
      <c r="C2266" s="672" t="s">
        <v>1020</v>
      </c>
      <c r="D2266" s="673">
        <v>37672</v>
      </c>
      <c r="E2266" s="674">
        <v>3</v>
      </c>
      <c r="F2266" s="675">
        <v>0.33</v>
      </c>
      <c r="G2266" s="676">
        <v>2472</v>
      </c>
      <c r="H2266" s="929">
        <v>0</v>
      </c>
      <c r="I2266" s="929">
        <v>2471</v>
      </c>
      <c r="J2266" s="689">
        <f t="shared" si="36"/>
        <v>1</v>
      </c>
    </row>
    <row r="2267" spans="1:10" ht="12.75" customHeight="1" x14ac:dyDescent="0.2">
      <c r="A2267" s="681" t="s">
        <v>2372</v>
      </c>
      <c r="B2267" s="693" t="s">
        <v>4835</v>
      </c>
      <c r="C2267" s="672" t="s">
        <v>1020</v>
      </c>
      <c r="D2267" s="673">
        <v>37672</v>
      </c>
      <c r="E2267" s="674">
        <v>3</v>
      </c>
      <c r="F2267" s="675">
        <v>0.33</v>
      </c>
      <c r="G2267" s="676">
        <v>2472</v>
      </c>
      <c r="H2267" s="929">
        <v>0</v>
      </c>
      <c r="I2267" s="929">
        <v>2471</v>
      </c>
      <c r="J2267" s="689">
        <f t="shared" si="36"/>
        <v>1</v>
      </c>
    </row>
    <row r="2268" spans="1:10" ht="12.75" customHeight="1" x14ac:dyDescent="0.2">
      <c r="A2268" s="681" t="s">
        <v>2372</v>
      </c>
      <c r="B2268" s="693" t="s">
        <v>4836</v>
      </c>
      <c r="C2268" s="672" t="s">
        <v>1020</v>
      </c>
      <c r="D2268" s="673">
        <v>37672</v>
      </c>
      <c r="E2268" s="674">
        <v>3</v>
      </c>
      <c r="F2268" s="675">
        <v>0.33</v>
      </c>
      <c r="G2268" s="676">
        <v>2476</v>
      </c>
      <c r="H2268" s="929">
        <v>0</v>
      </c>
      <c r="I2268" s="929">
        <v>2475</v>
      </c>
      <c r="J2268" s="689">
        <f t="shared" si="36"/>
        <v>1</v>
      </c>
    </row>
    <row r="2269" spans="1:10" ht="12.75" customHeight="1" x14ac:dyDescent="0.2">
      <c r="A2269" s="681" t="s">
        <v>2370</v>
      </c>
      <c r="B2269" s="693" t="s">
        <v>4837</v>
      </c>
      <c r="C2269" s="672" t="s">
        <v>798</v>
      </c>
      <c r="D2269" s="673">
        <v>38037</v>
      </c>
      <c r="E2269" s="674">
        <v>10</v>
      </c>
      <c r="F2269" s="675">
        <v>0.1</v>
      </c>
      <c r="G2269" s="676">
        <v>2486</v>
      </c>
      <c r="H2269" s="929">
        <v>0</v>
      </c>
      <c r="I2269" s="929">
        <v>2485</v>
      </c>
      <c r="J2269" s="689">
        <f t="shared" si="36"/>
        <v>1</v>
      </c>
    </row>
    <row r="2270" spans="1:10" ht="12.75" customHeight="1" x14ac:dyDescent="0.2">
      <c r="A2270" s="681" t="s">
        <v>2370</v>
      </c>
      <c r="B2270" s="693" t="s">
        <v>4838</v>
      </c>
      <c r="C2270" s="672" t="s">
        <v>885</v>
      </c>
      <c r="D2270" s="673">
        <v>36211</v>
      </c>
      <c r="E2270" s="674">
        <v>3</v>
      </c>
      <c r="F2270" s="675">
        <v>0.33</v>
      </c>
      <c r="G2270" s="676">
        <v>2490</v>
      </c>
      <c r="H2270" s="929">
        <v>0</v>
      </c>
      <c r="I2270" s="929">
        <v>2489</v>
      </c>
      <c r="J2270" s="689">
        <f t="shared" si="36"/>
        <v>1</v>
      </c>
    </row>
    <row r="2271" spans="1:10" ht="12.75" customHeight="1" x14ac:dyDescent="0.2">
      <c r="A2271" s="681" t="s">
        <v>2372</v>
      </c>
      <c r="B2271" s="693" t="s">
        <v>4839</v>
      </c>
      <c r="C2271" s="672" t="s">
        <v>1032</v>
      </c>
      <c r="D2271" s="673">
        <v>39133</v>
      </c>
      <c r="E2271" s="674">
        <v>3</v>
      </c>
      <c r="F2271" s="675">
        <v>0.33</v>
      </c>
      <c r="G2271" s="676">
        <v>2498</v>
      </c>
      <c r="H2271" s="929">
        <v>0</v>
      </c>
      <c r="I2271" s="929">
        <v>2497</v>
      </c>
      <c r="J2271" s="689">
        <f t="shared" si="36"/>
        <v>1</v>
      </c>
    </row>
    <row r="2272" spans="1:10" ht="12.75" customHeight="1" x14ac:dyDescent="0.2">
      <c r="A2272" s="681" t="s">
        <v>2370</v>
      </c>
      <c r="B2272" s="693" t="s">
        <v>4840</v>
      </c>
      <c r="C2272" s="672" t="s">
        <v>798</v>
      </c>
      <c r="D2272" s="673">
        <v>34020</v>
      </c>
      <c r="E2272" s="674">
        <v>10</v>
      </c>
      <c r="F2272" s="675">
        <v>0.1</v>
      </c>
      <c r="G2272" s="676">
        <v>2500</v>
      </c>
      <c r="H2272" s="929">
        <v>0</v>
      </c>
      <c r="I2272" s="929">
        <v>2499</v>
      </c>
      <c r="J2272" s="689">
        <f t="shared" si="36"/>
        <v>1</v>
      </c>
    </row>
    <row r="2273" spans="1:10" ht="12.75" customHeight="1" x14ac:dyDescent="0.2">
      <c r="A2273" s="681" t="s">
        <v>2371</v>
      </c>
      <c r="B2273" s="693" t="s">
        <v>4841</v>
      </c>
      <c r="C2273" s="672" t="s">
        <v>975</v>
      </c>
      <c r="D2273" s="673">
        <v>39498</v>
      </c>
      <c r="E2273" s="674">
        <v>3</v>
      </c>
      <c r="F2273" s="675">
        <v>0.33</v>
      </c>
      <c r="G2273" s="676">
        <v>2499</v>
      </c>
      <c r="H2273" s="929">
        <v>0</v>
      </c>
      <c r="I2273" s="929">
        <v>2499</v>
      </c>
      <c r="J2273" s="689">
        <f t="shared" si="36"/>
        <v>0</v>
      </c>
    </row>
    <row r="2274" spans="1:10" ht="12.75" customHeight="1" x14ac:dyDescent="0.2">
      <c r="A2274" s="681" t="s">
        <v>2370</v>
      </c>
      <c r="B2274" s="693" t="s">
        <v>4842</v>
      </c>
      <c r="C2274" s="672" t="s">
        <v>791</v>
      </c>
      <c r="D2274" s="673">
        <v>36211</v>
      </c>
      <c r="E2274" s="674">
        <v>10</v>
      </c>
      <c r="F2274" s="675">
        <v>0.1</v>
      </c>
      <c r="G2274" s="676">
        <v>2507</v>
      </c>
      <c r="H2274" s="929">
        <v>0</v>
      </c>
      <c r="I2274" s="929">
        <v>2506</v>
      </c>
      <c r="J2274" s="689">
        <f t="shared" si="36"/>
        <v>1</v>
      </c>
    </row>
    <row r="2275" spans="1:10" ht="12.75" customHeight="1" x14ac:dyDescent="0.2">
      <c r="A2275" s="681" t="s">
        <v>2370</v>
      </c>
      <c r="B2275" s="693" t="s">
        <v>4843</v>
      </c>
      <c r="C2275" s="672" t="s">
        <v>791</v>
      </c>
      <c r="D2275" s="673">
        <v>36211</v>
      </c>
      <c r="E2275" s="674">
        <v>10</v>
      </c>
      <c r="F2275" s="675">
        <v>0.1</v>
      </c>
      <c r="G2275" s="676">
        <v>2507</v>
      </c>
      <c r="H2275" s="929">
        <v>0</v>
      </c>
      <c r="I2275" s="929">
        <v>2506</v>
      </c>
      <c r="J2275" s="689">
        <f t="shared" si="36"/>
        <v>1</v>
      </c>
    </row>
    <row r="2276" spans="1:10" ht="12.75" customHeight="1" x14ac:dyDescent="0.2">
      <c r="A2276" s="681" t="s">
        <v>2370</v>
      </c>
      <c r="B2276" s="693" t="s">
        <v>4844</v>
      </c>
      <c r="C2276" s="672" t="s">
        <v>791</v>
      </c>
      <c r="D2276" s="673">
        <v>36211</v>
      </c>
      <c r="E2276" s="674">
        <v>10</v>
      </c>
      <c r="F2276" s="675">
        <v>0.1</v>
      </c>
      <c r="G2276" s="676">
        <v>2507</v>
      </c>
      <c r="H2276" s="929">
        <v>0</v>
      </c>
      <c r="I2276" s="929">
        <v>2506</v>
      </c>
      <c r="J2276" s="689">
        <f t="shared" si="36"/>
        <v>1</v>
      </c>
    </row>
    <row r="2277" spans="1:10" ht="12.75" customHeight="1" x14ac:dyDescent="0.2">
      <c r="A2277" s="681" t="s">
        <v>2370</v>
      </c>
      <c r="B2277" s="693" t="s">
        <v>4845</v>
      </c>
      <c r="C2277" s="672" t="s">
        <v>786</v>
      </c>
      <c r="D2277" s="673">
        <v>36211</v>
      </c>
      <c r="E2277" s="674">
        <v>10</v>
      </c>
      <c r="F2277" s="675">
        <v>0.1</v>
      </c>
      <c r="G2277" s="676">
        <v>2530</v>
      </c>
      <c r="H2277" s="929">
        <v>0</v>
      </c>
      <c r="I2277" s="929">
        <v>2529</v>
      </c>
      <c r="J2277" s="689">
        <f t="shared" si="36"/>
        <v>1</v>
      </c>
    </row>
    <row r="2278" spans="1:10" ht="12.75" customHeight="1" x14ac:dyDescent="0.2">
      <c r="A2278" s="681" t="s">
        <v>2372</v>
      </c>
      <c r="B2278" s="693" t="s">
        <v>4846</v>
      </c>
      <c r="C2278" s="672" t="s">
        <v>1020</v>
      </c>
      <c r="D2278" s="673">
        <v>40594</v>
      </c>
      <c r="E2278" s="674">
        <v>3</v>
      </c>
      <c r="F2278" s="675">
        <v>0.33</v>
      </c>
      <c r="G2278" s="676">
        <v>2532</v>
      </c>
      <c r="H2278" s="929">
        <v>0</v>
      </c>
      <c r="I2278" s="929">
        <v>2531</v>
      </c>
      <c r="J2278" s="689">
        <f t="shared" si="36"/>
        <v>1</v>
      </c>
    </row>
    <row r="2279" spans="1:10" ht="12.75" customHeight="1" x14ac:dyDescent="0.2">
      <c r="A2279" s="681" t="s">
        <v>2370</v>
      </c>
      <c r="B2279" s="693" t="s">
        <v>4847</v>
      </c>
      <c r="C2279" s="672" t="s">
        <v>893</v>
      </c>
      <c r="D2279" s="673">
        <v>36576</v>
      </c>
      <c r="E2279" s="674">
        <v>3</v>
      </c>
      <c r="F2279" s="675">
        <v>0.33</v>
      </c>
      <c r="G2279" s="676">
        <v>2539</v>
      </c>
      <c r="H2279" s="929">
        <v>0</v>
      </c>
      <c r="I2279" s="929">
        <v>2538</v>
      </c>
      <c r="J2279" s="689">
        <f t="shared" si="36"/>
        <v>1</v>
      </c>
    </row>
    <row r="2280" spans="1:10" ht="12.75" customHeight="1" x14ac:dyDescent="0.2">
      <c r="A2280" s="681" t="s">
        <v>2370</v>
      </c>
      <c r="B2280" s="693" t="s">
        <v>4848</v>
      </c>
      <c r="C2280" s="672" t="s">
        <v>893</v>
      </c>
      <c r="D2280" s="673">
        <v>40594</v>
      </c>
      <c r="E2280" s="674">
        <v>3</v>
      </c>
      <c r="F2280" s="675">
        <v>0.33</v>
      </c>
      <c r="G2280" s="676">
        <v>2554</v>
      </c>
      <c r="H2280" s="929">
        <v>0</v>
      </c>
      <c r="I2280" s="929">
        <v>2553</v>
      </c>
      <c r="J2280" s="689">
        <f t="shared" si="36"/>
        <v>1</v>
      </c>
    </row>
    <row r="2281" spans="1:10" ht="12.75" customHeight="1" x14ac:dyDescent="0.2">
      <c r="A2281" s="681" t="s">
        <v>2370</v>
      </c>
      <c r="B2281" s="693" t="s">
        <v>4849</v>
      </c>
      <c r="C2281" s="672" t="s">
        <v>893</v>
      </c>
      <c r="D2281" s="673">
        <v>40594</v>
      </c>
      <c r="E2281" s="674">
        <v>3</v>
      </c>
      <c r="F2281" s="675">
        <v>0.33</v>
      </c>
      <c r="G2281" s="676">
        <v>2554</v>
      </c>
      <c r="H2281" s="929">
        <v>0</v>
      </c>
      <c r="I2281" s="929">
        <v>2553</v>
      </c>
      <c r="J2281" s="689">
        <f t="shared" si="36"/>
        <v>1</v>
      </c>
    </row>
    <row r="2282" spans="1:10" ht="12.75" customHeight="1" x14ac:dyDescent="0.2">
      <c r="A2282" s="681" t="s">
        <v>2370</v>
      </c>
      <c r="B2282" s="693" t="s">
        <v>4850</v>
      </c>
      <c r="C2282" s="672" t="s">
        <v>893</v>
      </c>
      <c r="D2282" s="673">
        <v>40594</v>
      </c>
      <c r="E2282" s="674">
        <v>3</v>
      </c>
      <c r="F2282" s="675">
        <v>0.33</v>
      </c>
      <c r="G2282" s="676">
        <v>2554</v>
      </c>
      <c r="H2282" s="929">
        <v>0</v>
      </c>
      <c r="I2282" s="929">
        <v>2553</v>
      </c>
      <c r="J2282" s="689">
        <f t="shared" si="36"/>
        <v>1</v>
      </c>
    </row>
    <row r="2283" spans="1:10" ht="12.75" customHeight="1" x14ac:dyDescent="0.2">
      <c r="A2283" s="681" t="s">
        <v>2370</v>
      </c>
      <c r="B2283" s="693" t="s">
        <v>4851</v>
      </c>
      <c r="C2283" s="672" t="s">
        <v>893</v>
      </c>
      <c r="D2283" s="673">
        <v>40594</v>
      </c>
      <c r="E2283" s="674">
        <v>3</v>
      </c>
      <c r="F2283" s="675">
        <v>0.33</v>
      </c>
      <c r="G2283" s="676">
        <v>2554</v>
      </c>
      <c r="H2283" s="929">
        <v>0</v>
      </c>
      <c r="I2283" s="929">
        <v>2553</v>
      </c>
      <c r="J2283" s="689">
        <f t="shared" si="36"/>
        <v>1</v>
      </c>
    </row>
    <row r="2284" spans="1:10" ht="12.75" customHeight="1" x14ac:dyDescent="0.2">
      <c r="A2284" s="681" t="s">
        <v>2370</v>
      </c>
      <c r="B2284" s="693" t="s">
        <v>4852</v>
      </c>
      <c r="C2284" s="672" t="s">
        <v>893</v>
      </c>
      <c r="D2284" s="673">
        <v>40594</v>
      </c>
      <c r="E2284" s="674">
        <v>3</v>
      </c>
      <c r="F2284" s="675">
        <v>0.33</v>
      </c>
      <c r="G2284" s="676">
        <v>2554</v>
      </c>
      <c r="H2284" s="929">
        <v>0</v>
      </c>
      <c r="I2284" s="929">
        <v>2553</v>
      </c>
      <c r="J2284" s="689">
        <f t="shared" si="36"/>
        <v>1</v>
      </c>
    </row>
    <row r="2285" spans="1:10" ht="12.75" customHeight="1" x14ac:dyDescent="0.2">
      <c r="A2285" s="681" t="s">
        <v>2370</v>
      </c>
      <c r="B2285" s="693" t="s">
        <v>4853</v>
      </c>
      <c r="C2285" s="672" t="s">
        <v>893</v>
      </c>
      <c r="D2285" s="673">
        <v>40594</v>
      </c>
      <c r="E2285" s="674">
        <v>3</v>
      </c>
      <c r="F2285" s="675">
        <v>0.33</v>
      </c>
      <c r="G2285" s="676">
        <v>2554</v>
      </c>
      <c r="H2285" s="929">
        <v>0</v>
      </c>
      <c r="I2285" s="929">
        <v>2553</v>
      </c>
      <c r="J2285" s="689">
        <f t="shared" si="36"/>
        <v>1</v>
      </c>
    </row>
    <row r="2286" spans="1:10" ht="12.75" customHeight="1" x14ac:dyDescent="0.2">
      <c r="A2286" s="681" t="s">
        <v>2370</v>
      </c>
      <c r="B2286" s="693" t="s">
        <v>4854</v>
      </c>
      <c r="C2286" s="672" t="s">
        <v>787</v>
      </c>
      <c r="D2286" s="673">
        <v>36576</v>
      </c>
      <c r="E2286" s="674">
        <v>10</v>
      </c>
      <c r="F2286" s="675">
        <v>0.1</v>
      </c>
      <c r="G2286" s="676">
        <v>2559</v>
      </c>
      <c r="H2286" s="929">
        <v>0</v>
      </c>
      <c r="I2286" s="929">
        <v>2558</v>
      </c>
      <c r="J2286" s="689">
        <f t="shared" si="36"/>
        <v>1</v>
      </c>
    </row>
    <row r="2287" spans="1:10" ht="12.75" customHeight="1" x14ac:dyDescent="0.2">
      <c r="A2287" s="681" t="s">
        <v>2370</v>
      </c>
      <c r="B2287" s="693" t="s">
        <v>4855</v>
      </c>
      <c r="C2287" s="672" t="s">
        <v>893</v>
      </c>
      <c r="D2287" s="673">
        <v>39498</v>
      </c>
      <c r="E2287" s="674">
        <v>3</v>
      </c>
      <c r="F2287" s="675">
        <v>0.33</v>
      </c>
      <c r="G2287" s="676">
        <v>2559</v>
      </c>
      <c r="H2287" s="929">
        <v>0</v>
      </c>
      <c r="I2287" s="929">
        <v>2558</v>
      </c>
      <c r="J2287" s="689">
        <f t="shared" si="36"/>
        <v>1</v>
      </c>
    </row>
    <row r="2288" spans="1:10" ht="12.75" customHeight="1" x14ac:dyDescent="0.2">
      <c r="A2288" s="681" t="s">
        <v>2370</v>
      </c>
      <c r="B2288" s="693" t="s">
        <v>4856</v>
      </c>
      <c r="C2288" s="672" t="s">
        <v>893</v>
      </c>
      <c r="D2288" s="673">
        <v>39498</v>
      </c>
      <c r="E2288" s="674">
        <v>3</v>
      </c>
      <c r="F2288" s="675">
        <v>0.33</v>
      </c>
      <c r="G2288" s="676">
        <v>2559</v>
      </c>
      <c r="H2288" s="929">
        <v>0</v>
      </c>
      <c r="I2288" s="929">
        <v>2558</v>
      </c>
      <c r="J2288" s="689">
        <f t="shared" si="36"/>
        <v>1</v>
      </c>
    </row>
    <row r="2289" spans="1:10" ht="12.75" customHeight="1" x14ac:dyDescent="0.2">
      <c r="A2289" s="681" t="s">
        <v>2370</v>
      </c>
      <c r="B2289" s="693" t="s">
        <v>4857</v>
      </c>
      <c r="C2289" s="672" t="s">
        <v>893</v>
      </c>
      <c r="D2289" s="673">
        <v>39498</v>
      </c>
      <c r="E2289" s="674">
        <v>3</v>
      </c>
      <c r="F2289" s="675">
        <v>0.33</v>
      </c>
      <c r="G2289" s="676">
        <v>2559</v>
      </c>
      <c r="H2289" s="929">
        <v>0</v>
      </c>
      <c r="I2289" s="929">
        <v>2558</v>
      </c>
      <c r="J2289" s="689">
        <f t="shared" si="36"/>
        <v>1</v>
      </c>
    </row>
    <row r="2290" spans="1:10" ht="12.75" customHeight="1" x14ac:dyDescent="0.2">
      <c r="A2290" s="681" t="s">
        <v>2370</v>
      </c>
      <c r="B2290" s="693" t="s">
        <v>4858</v>
      </c>
      <c r="C2290" s="672" t="s">
        <v>893</v>
      </c>
      <c r="D2290" s="673">
        <v>39498</v>
      </c>
      <c r="E2290" s="674">
        <v>3</v>
      </c>
      <c r="F2290" s="675">
        <v>0.33</v>
      </c>
      <c r="G2290" s="676">
        <v>2559</v>
      </c>
      <c r="H2290" s="929">
        <v>0</v>
      </c>
      <c r="I2290" s="929">
        <v>2558</v>
      </c>
      <c r="J2290" s="689">
        <f t="shared" si="36"/>
        <v>1</v>
      </c>
    </row>
    <row r="2291" spans="1:10" ht="12.75" customHeight="1" x14ac:dyDescent="0.2">
      <c r="A2291" s="681" t="s">
        <v>2370</v>
      </c>
      <c r="B2291" s="693" t="s">
        <v>4859</v>
      </c>
      <c r="C2291" s="672" t="s">
        <v>893</v>
      </c>
      <c r="D2291" s="673">
        <v>39498</v>
      </c>
      <c r="E2291" s="674">
        <v>3</v>
      </c>
      <c r="F2291" s="675">
        <v>0.33</v>
      </c>
      <c r="G2291" s="676">
        <v>2559</v>
      </c>
      <c r="H2291" s="929">
        <v>0</v>
      </c>
      <c r="I2291" s="929">
        <v>2558</v>
      </c>
      <c r="J2291" s="689">
        <f t="shared" si="36"/>
        <v>1</v>
      </c>
    </row>
    <row r="2292" spans="1:10" ht="12.75" customHeight="1" x14ac:dyDescent="0.2">
      <c r="A2292" s="681" t="s">
        <v>2370</v>
      </c>
      <c r="B2292" s="693" t="s">
        <v>4860</v>
      </c>
      <c r="C2292" s="672" t="s">
        <v>893</v>
      </c>
      <c r="D2292" s="673">
        <v>39498</v>
      </c>
      <c r="E2292" s="674">
        <v>3</v>
      </c>
      <c r="F2292" s="675">
        <v>0.33</v>
      </c>
      <c r="G2292" s="676">
        <v>2559</v>
      </c>
      <c r="H2292" s="929">
        <v>0</v>
      </c>
      <c r="I2292" s="929">
        <v>2558</v>
      </c>
      <c r="J2292" s="689">
        <f t="shared" si="36"/>
        <v>1</v>
      </c>
    </row>
    <row r="2293" spans="1:10" ht="12.75" customHeight="1" x14ac:dyDescent="0.2">
      <c r="A2293" s="681" t="s">
        <v>2370</v>
      </c>
      <c r="B2293" s="693" t="s">
        <v>4861</v>
      </c>
      <c r="C2293" s="672" t="s">
        <v>893</v>
      </c>
      <c r="D2293" s="673">
        <v>39498</v>
      </c>
      <c r="E2293" s="674">
        <v>3</v>
      </c>
      <c r="F2293" s="675">
        <v>0.33</v>
      </c>
      <c r="G2293" s="676">
        <v>2559</v>
      </c>
      <c r="H2293" s="929">
        <v>0</v>
      </c>
      <c r="I2293" s="929">
        <v>2558</v>
      </c>
      <c r="J2293" s="689">
        <f t="shared" si="36"/>
        <v>1</v>
      </c>
    </row>
    <row r="2294" spans="1:10" ht="12.75" customHeight="1" x14ac:dyDescent="0.2">
      <c r="A2294" s="681" t="s">
        <v>2370</v>
      </c>
      <c r="B2294" s="693" t="s">
        <v>4862</v>
      </c>
      <c r="C2294" s="672" t="s">
        <v>893</v>
      </c>
      <c r="D2294" s="673">
        <v>39498</v>
      </c>
      <c r="E2294" s="674">
        <v>3</v>
      </c>
      <c r="F2294" s="675">
        <v>0.33</v>
      </c>
      <c r="G2294" s="676">
        <v>2559</v>
      </c>
      <c r="H2294" s="929">
        <v>0</v>
      </c>
      <c r="I2294" s="929">
        <v>2558</v>
      </c>
      <c r="J2294" s="689">
        <f t="shared" si="36"/>
        <v>1</v>
      </c>
    </row>
    <row r="2295" spans="1:10" ht="12.75" customHeight="1" x14ac:dyDescent="0.2">
      <c r="A2295" s="681" t="s">
        <v>2370</v>
      </c>
      <c r="B2295" s="693" t="s">
        <v>4863</v>
      </c>
      <c r="C2295" s="672" t="s">
        <v>893</v>
      </c>
      <c r="D2295" s="673">
        <v>39498</v>
      </c>
      <c r="E2295" s="674">
        <v>3</v>
      </c>
      <c r="F2295" s="675">
        <v>0.33</v>
      </c>
      <c r="G2295" s="676">
        <v>2559</v>
      </c>
      <c r="H2295" s="929">
        <v>0</v>
      </c>
      <c r="I2295" s="929">
        <v>2558</v>
      </c>
      <c r="J2295" s="689">
        <f t="shared" si="36"/>
        <v>1</v>
      </c>
    </row>
    <row r="2296" spans="1:10" ht="12.75" customHeight="1" x14ac:dyDescent="0.2">
      <c r="A2296" s="681" t="s">
        <v>2370</v>
      </c>
      <c r="B2296" s="693" t="s">
        <v>4864</v>
      </c>
      <c r="C2296" s="672" t="s">
        <v>893</v>
      </c>
      <c r="D2296" s="673">
        <v>39498</v>
      </c>
      <c r="E2296" s="674">
        <v>3</v>
      </c>
      <c r="F2296" s="675">
        <v>0.33</v>
      </c>
      <c r="G2296" s="676">
        <v>2559</v>
      </c>
      <c r="H2296" s="929">
        <v>0</v>
      </c>
      <c r="I2296" s="929">
        <v>2558</v>
      </c>
      <c r="J2296" s="689">
        <f t="shared" si="36"/>
        <v>1</v>
      </c>
    </row>
    <row r="2297" spans="1:10" ht="12.75" customHeight="1" x14ac:dyDescent="0.2">
      <c r="A2297" s="681" t="s">
        <v>2370</v>
      </c>
      <c r="B2297" s="693" t="s">
        <v>4865</v>
      </c>
      <c r="C2297" s="672" t="s">
        <v>893</v>
      </c>
      <c r="D2297" s="673">
        <v>39498</v>
      </c>
      <c r="E2297" s="674">
        <v>3</v>
      </c>
      <c r="F2297" s="675">
        <v>0.33</v>
      </c>
      <c r="G2297" s="676">
        <v>2559</v>
      </c>
      <c r="H2297" s="929">
        <v>0</v>
      </c>
      <c r="I2297" s="929">
        <v>2558</v>
      </c>
      <c r="J2297" s="689">
        <f t="shared" si="36"/>
        <v>1</v>
      </c>
    </row>
    <row r="2298" spans="1:10" ht="12.75" customHeight="1" x14ac:dyDescent="0.2">
      <c r="A2298" s="681" t="s">
        <v>2370</v>
      </c>
      <c r="B2298" s="693" t="s">
        <v>4866</v>
      </c>
      <c r="C2298" s="672" t="s">
        <v>893</v>
      </c>
      <c r="D2298" s="673">
        <v>39498</v>
      </c>
      <c r="E2298" s="674">
        <v>3</v>
      </c>
      <c r="F2298" s="675">
        <v>0.33</v>
      </c>
      <c r="G2298" s="676">
        <v>2559</v>
      </c>
      <c r="H2298" s="929">
        <v>0</v>
      </c>
      <c r="I2298" s="929">
        <v>2558</v>
      </c>
      <c r="J2298" s="689">
        <f t="shared" si="36"/>
        <v>1</v>
      </c>
    </row>
    <row r="2299" spans="1:10" ht="12.75" customHeight="1" x14ac:dyDescent="0.2">
      <c r="A2299" s="681" t="s">
        <v>2370</v>
      </c>
      <c r="B2299" s="693" t="s">
        <v>4867</v>
      </c>
      <c r="C2299" s="672" t="s">
        <v>893</v>
      </c>
      <c r="D2299" s="673">
        <v>39498</v>
      </c>
      <c r="E2299" s="674">
        <v>3</v>
      </c>
      <c r="F2299" s="675">
        <v>0.33</v>
      </c>
      <c r="G2299" s="676">
        <v>2559</v>
      </c>
      <c r="H2299" s="929">
        <v>0</v>
      </c>
      <c r="I2299" s="929">
        <v>2558</v>
      </c>
      <c r="J2299" s="689">
        <f t="shared" si="36"/>
        <v>1</v>
      </c>
    </row>
    <row r="2300" spans="1:10" ht="12.75" customHeight="1" x14ac:dyDescent="0.2">
      <c r="A2300" s="681" t="s">
        <v>2370</v>
      </c>
      <c r="B2300" s="693" t="s">
        <v>4868</v>
      </c>
      <c r="C2300" s="672" t="s">
        <v>893</v>
      </c>
      <c r="D2300" s="673">
        <v>39498</v>
      </c>
      <c r="E2300" s="674">
        <v>3</v>
      </c>
      <c r="F2300" s="675">
        <v>0.33</v>
      </c>
      <c r="G2300" s="676">
        <v>2559</v>
      </c>
      <c r="H2300" s="929">
        <v>0</v>
      </c>
      <c r="I2300" s="929">
        <v>2558</v>
      </c>
      <c r="J2300" s="689">
        <f t="shared" si="36"/>
        <v>1</v>
      </c>
    </row>
    <row r="2301" spans="1:10" ht="12.75" customHeight="1" x14ac:dyDescent="0.2">
      <c r="A2301" s="681" t="s">
        <v>2370</v>
      </c>
      <c r="B2301" s="693" t="s">
        <v>4869</v>
      </c>
      <c r="C2301" s="672" t="s">
        <v>893</v>
      </c>
      <c r="D2301" s="673">
        <v>39498</v>
      </c>
      <c r="E2301" s="674">
        <v>3</v>
      </c>
      <c r="F2301" s="675">
        <v>0.33</v>
      </c>
      <c r="G2301" s="676">
        <v>2559</v>
      </c>
      <c r="H2301" s="929">
        <v>0</v>
      </c>
      <c r="I2301" s="929">
        <v>2558</v>
      </c>
      <c r="J2301" s="689">
        <f t="shared" si="36"/>
        <v>1</v>
      </c>
    </row>
    <row r="2302" spans="1:10" ht="12.75" customHeight="1" x14ac:dyDescent="0.2">
      <c r="A2302" s="681" t="s">
        <v>2370</v>
      </c>
      <c r="B2302" s="693" t="s">
        <v>4870</v>
      </c>
      <c r="C2302" s="672" t="s">
        <v>893</v>
      </c>
      <c r="D2302" s="673">
        <v>39498</v>
      </c>
      <c r="E2302" s="674">
        <v>3</v>
      </c>
      <c r="F2302" s="675">
        <v>0.33</v>
      </c>
      <c r="G2302" s="676">
        <v>2559</v>
      </c>
      <c r="H2302" s="929">
        <v>0</v>
      </c>
      <c r="I2302" s="929">
        <v>2558</v>
      </c>
      <c r="J2302" s="689">
        <f t="shared" si="36"/>
        <v>1</v>
      </c>
    </row>
    <row r="2303" spans="1:10" ht="12.75" customHeight="1" x14ac:dyDescent="0.2">
      <c r="A2303" s="681" t="s">
        <v>2370</v>
      </c>
      <c r="B2303" s="693" t="s">
        <v>4871</v>
      </c>
      <c r="C2303" s="672" t="s">
        <v>893</v>
      </c>
      <c r="D2303" s="673">
        <v>39498</v>
      </c>
      <c r="E2303" s="674">
        <v>3</v>
      </c>
      <c r="F2303" s="675">
        <v>0.33</v>
      </c>
      <c r="G2303" s="676">
        <v>2559</v>
      </c>
      <c r="H2303" s="929">
        <v>0</v>
      </c>
      <c r="I2303" s="929">
        <v>2558</v>
      </c>
      <c r="J2303" s="689">
        <f t="shared" si="36"/>
        <v>1</v>
      </c>
    </row>
    <row r="2304" spans="1:10" ht="12.75" customHeight="1" x14ac:dyDescent="0.2">
      <c r="A2304" s="681" t="s">
        <v>2370</v>
      </c>
      <c r="B2304" s="693" t="s">
        <v>4872</v>
      </c>
      <c r="C2304" s="672" t="s">
        <v>893</v>
      </c>
      <c r="D2304" s="673">
        <v>39498</v>
      </c>
      <c r="E2304" s="674">
        <v>3</v>
      </c>
      <c r="F2304" s="675">
        <v>0.33</v>
      </c>
      <c r="G2304" s="676">
        <v>2559</v>
      </c>
      <c r="H2304" s="929">
        <v>0</v>
      </c>
      <c r="I2304" s="929">
        <v>2558</v>
      </c>
      <c r="J2304" s="689">
        <f t="shared" si="36"/>
        <v>1</v>
      </c>
    </row>
    <row r="2305" spans="1:10" ht="12.75" customHeight="1" x14ac:dyDescent="0.2">
      <c r="A2305" s="681" t="s">
        <v>2370</v>
      </c>
      <c r="B2305" s="693" t="s">
        <v>4873</v>
      </c>
      <c r="C2305" s="672" t="s">
        <v>893</v>
      </c>
      <c r="D2305" s="673">
        <v>39498</v>
      </c>
      <c r="E2305" s="674">
        <v>3</v>
      </c>
      <c r="F2305" s="675">
        <v>0.33</v>
      </c>
      <c r="G2305" s="676">
        <v>2559</v>
      </c>
      <c r="H2305" s="929">
        <v>0</v>
      </c>
      <c r="I2305" s="929">
        <v>2558</v>
      </c>
      <c r="J2305" s="689">
        <f t="shared" si="36"/>
        <v>1</v>
      </c>
    </row>
    <row r="2306" spans="1:10" ht="12.75" customHeight="1" x14ac:dyDescent="0.2">
      <c r="A2306" s="681" t="s">
        <v>2370</v>
      </c>
      <c r="B2306" s="693" t="s">
        <v>4874</v>
      </c>
      <c r="C2306" s="672" t="s">
        <v>893</v>
      </c>
      <c r="D2306" s="673">
        <v>39498</v>
      </c>
      <c r="E2306" s="674">
        <v>3</v>
      </c>
      <c r="F2306" s="675">
        <v>0.33</v>
      </c>
      <c r="G2306" s="676">
        <v>2559</v>
      </c>
      <c r="H2306" s="929">
        <v>0</v>
      </c>
      <c r="I2306" s="929">
        <v>2558</v>
      </c>
      <c r="J2306" s="689">
        <f t="shared" si="36"/>
        <v>1</v>
      </c>
    </row>
    <row r="2307" spans="1:10" ht="12.75" customHeight="1" x14ac:dyDescent="0.2">
      <c r="A2307" s="681" t="s">
        <v>2370</v>
      </c>
      <c r="B2307" s="693" t="s">
        <v>4875</v>
      </c>
      <c r="C2307" s="672" t="s">
        <v>893</v>
      </c>
      <c r="D2307" s="673">
        <v>39498</v>
      </c>
      <c r="E2307" s="674">
        <v>3</v>
      </c>
      <c r="F2307" s="675">
        <v>0.33</v>
      </c>
      <c r="G2307" s="676">
        <v>2559</v>
      </c>
      <c r="H2307" s="929">
        <v>0</v>
      </c>
      <c r="I2307" s="929">
        <v>2558</v>
      </c>
      <c r="J2307" s="689">
        <f t="shared" si="36"/>
        <v>1</v>
      </c>
    </row>
    <row r="2308" spans="1:10" ht="12.75" customHeight="1" x14ac:dyDescent="0.2">
      <c r="A2308" s="681" t="s">
        <v>2370</v>
      </c>
      <c r="B2308" s="693" t="s">
        <v>4876</v>
      </c>
      <c r="C2308" s="672" t="s">
        <v>893</v>
      </c>
      <c r="D2308" s="673">
        <v>39498</v>
      </c>
      <c r="E2308" s="674">
        <v>3</v>
      </c>
      <c r="F2308" s="675">
        <v>0.33</v>
      </c>
      <c r="G2308" s="676">
        <v>2559</v>
      </c>
      <c r="H2308" s="929">
        <v>0</v>
      </c>
      <c r="I2308" s="929">
        <v>2558</v>
      </c>
      <c r="J2308" s="689">
        <f t="shared" si="36"/>
        <v>1</v>
      </c>
    </row>
    <row r="2309" spans="1:10" ht="12.75" customHeight="1" x14ac:dyDescent="0.2">
      <c r="A2309" s="681" t="s">
        <v>2370</v>
      </c>
      <c r="B2309" s="693" t="s">
        <v>4877</v>
      </c>
      <c r="C2309" s="672" t="s">
        <v>893</v>
      </c>
      <c r="D2309" s="673">
        <v>39498</v>
      </c>
      <c r="E2309" s="674">
        <v>3</v>
      </c>
      <c r="F2309" s="675">
        <v>0.33</v>
      </c>
      <c r="G2309" s="676">
        <v>2559</v>
      </c>
      <c r="H2309" s="929">
        <v>0</v>
      </c>
      <c r="I2309" s="929">
        <v>2558</v>
      </c>
      <c r="J2309" s="689">
        <f t="shared" si="36"/>
        <v>1</v>
      </c>
    </row>
    <row r="2310" spans="1:10" ht="12.75" customHeight="1" x14ac:dyDescent="0.2">
      <c r="A2310" s="681" t="s">
        <v>2370</v>
      </c>
      <c r="B2310" s="693" t="s">
        <v>4878</v>
      </c>
      <c r="C2310" s="672" t="s">
        <v>893</v>
      </c>
      <c r="D2310" s="673">
        <v>39498</v>
      </c>
      <c r="E2310" s="674">
        <v>3</v>
      </c>
      <c r="F2310" s="675">
        <v>0.33</v>
      </c>
      <c r="G2310" s="676">
        <v>2559</v>
      </c>
      <c r="H2310" s="929">
        <v>0</v>
      </c>
      <c r="I2310" s="929">
        <v>2558</v>
      </c>
      <c r="J2310" s="689">
        <f t="shared" si="36"/>
        <v>1</v>
      </c>
    </row>
    <row r="2311" spans="1:10" ht="12.75" customHeight="1" x14ac:dyDescent="0.2">
      <c r="A2311" s="681" t="s">
        <v>2370</v>
      </c>
      <c r="B2311" s="693" t="s">
        <v>4879</v>
      </c>
      <c r="C2311" s="672" t="s">
        <v>893</v>
      </c>
      <c r="D2311" s="673">
        <v>39498</v>
      </c>
      <c r="E2311" s="674">
        <v>3</v>
      </c>
      <c r="F2311" s="675">
        <v>0.33</v>
      </c>
      <c r="G2311" s="676">
        <v>2559</v>
      </c>
      <c r="H2311" s="929">
        <v>0</v>
      </c>
      <c r="I2311" s="929">
        <v>2558</v>
      </c>
      <c r="J2311" s="689">
        <f t="shared" ref="J2311:J2374" si="37">G2311-I2311</f>
        <v>1</v>
      </c>
    </row>
    <row r="2312" spans="1:10" ht="12.75" customHeight="1" x14ac:dyDescent="0.2">
      <c r="A2312" s="681" t="s">
        <v>2370</v>
      </c>
      <c r="B2312" s="693" t="s">
        <v>4880</v>
      </c>
      <c r="C2312" s="672" t="s">
        <v>893</v>
      </c>
      <c r="D2312" s="673">
        <v>39498</v>
      </c>
      <c r="E2312" s="674">
        <v>3</v>
      </c>
      <c r="F2312" s="675">
        <v>0.33</v>
      </c>
      <c r="G2312" s="676">
        <v>2559</v>
      </c>
      <c r="H2312" s="929">
        <v>0</v>
      </c>
      <c r="I2312" s="929">
        <v>2558</v>
      </c>
      <c r="J2312" s="689">
        <f t="shared" si="37"/>
        <v>1</v>
      </c>
    </row>
    <row r="2313" spans="1:10" ht="12.75" customHeight="1" x14ac:dyDescent="0.2">
      <c r="A2313" s="681" t="s">
        <v>2370</v>
      </c>
      <c r="B2313" s="693" t="s">
        <v>4881</v>
      </c>
      <c r="C2313" s="672" t="s">
        <v>893</v>
      </c>
      <c r="D2313" s="673">
        <v>39498</v>
      </c>
      <c r="E2313" s="674">
        <v>3</v>
      </c>
      <c r="F2313" s="675">
        <v>0.33</v>
      </c>
      <c r="G2313" s="676">
        <v>2559</v>
      </c>
      <c r="H2313" s="929">
        <v>0</v>
      </c>
      <c r="I2313" s="929">
        <v>2558</v>
      </c>
      <c r="J2313" s="689">
        <f t="shared" si="37"/>
        <v>1</v>
      </c>
    </row>
    <row r="2314" spans="1:10" ht="12.75" customHeight="1" x14ac:dyDescent="0.2">
      <c r="A2314" s="681" t="s">
        <v>2370</v>
      </c>
      <c r="B2314" s="693" t="s">
        <v>4882</v>
      </c>
      <c r="C2314" s="672" t="s">
        <v>893</v>
      </c>
      <c r="D2314" s="673">
        <v>39498</v>
      </c>
      <c r="E2314" s="674">
        <v>3</v>
      </c>
      <c r="F2314" s="675">
        <v>0.33</v>
      </c>
      <c r="G2314" s="676">
        <v>2559</v>
      </c>
      <c r="H2314" s="929">
        <v>0</v>
      </c>
      <c r="I2314" s="929">
        <v>2558</v>
      </c>
      <c r="J2314" s="689">
        <f t="shared" si="37"/>
        <v>1</v>
      </c>
    </row>
    <row r="2315" spans="1:10" ht="12.75" customHeight="1" x14ac:dyDescent="0.2">
      <c r="A2315" s="681" t="s">
        <v>2370</v>
      </c>
      <c r="B2315" s="693" t="s">
        <v>4883</v>
      </c>
      <c r="C2315" s="672" t="s">
        <v>893</v>
      </c>
      <c r="D2315" s="673">
        <v>39498</v>
      </c>
      <c r="E2315" s="674">
        <v>3</v>
      </c>
      <c r="F2315" s="675">
        <v>0.33</v>
      </c>
      <c r="G2315" s="676">
        <v>2559</v>
      </c>
      <c r="H2315" s="929">
        <v>0</v>
      </c>
      <c r="I2315" s="929">
        <v>2558</v>
      </c>
      <c r="J2315" s="689">
        <f t="shared" si="37"/>
        <v>1</v>
      </c>
    </row>
    <row r="2316" spans="1:10" ht="12.75" customHeight="1" x14ac:dyDescent="0.2">
      <c r="A2316" s="681" t="s">
        <v>2372</v>
      </c>
      <c r="B2316" s="693" t="s">
        <v>4884</v>
      </c>
      <c r="C2316" s="672" t="s">
        <v>1009</v>
      </c>
      <c r="D2316" s="673">
        <v>36211</v>
      </c>
      <c r="E2316" s="674">
        <v>10</v>
      </c>
      <c r="F2316" s="675">
        <v>0.1</v>
      </c>
      <c r="G2316" s="676">
        <v>2588</v>
      </c>
      <c r="H2316" s="929">
        <v>0</v>
      </c>
      <c r="I2316" s="929">
        <v>2587</v>
      </c>
      <c r="J2316" s="689">
        <f t="shared" si="37"/>
        <v>1</v>
      </c>
    </row>
    <row r="2317" spans="1:10" ht="12.75" customHeight="1" x14ac:dyDescent="0.2">
      <c r="A2317" s="681" t="s">
        <v>2370</v>
      </c>
      <c r="B2317" s="693" t="s">
        <v>4885</v>
      </c>
      <c r="C2317" s="672" t="s">
        <v>866</v>
      </c>
      <c r="D2317" s="673">
        <v>33654</v>
      </c>
      <c r="E2317" s="674">
        <v>10</v>
      </c>
      <c r="F2317" s="675">
        <v>0.1</v>
      </c>
      <c r="G2317" s="676">
        <v>2590</v>
      </c>
      <c r="H2317" s="929">
        <v>0</v>
      </c>
      <c r="I2317" s="929">
        <v>2589</v>
      </c>
      <c r="J2317" s="689">
        <f t="shared" si="37"/>
        <v>1</v>
      </c>
    </row>
    <row r="2318" spans="1:10" ht="12.75" customHeight="1" x14ac:dyDescent="0.2">
      <c r="A2318" s="681" t="s">
        <v>2370</v>
      </c>
      <c r="B2318" s="693" t="s">
        <v>4886</v>
      </c>
      <c r="C2318" s="672" t="s">
        <v>787</v>
      </c>
      <c r="D2318" s="673">
        <v>36211</v>
      </c>
      <c r="E2318" s="674">
        <v>10</v>
      </c>
      <c r="F2318" s="675">
        <v>0.1</v>
      </c>
      <c r="G2318" s="676">
        <v>2610</v>
      </c>
      <c r="H2318" s="929">
        <v>0</v>
      </c>
      <c r="I2318" s="929">
        <v>2609</v>
      </c>
      <c r="J2318" s="689">
        <f t="shared" si="37"/>
        <v>1</v>
      </c>
    </row>
    <row r="2319" spans="1:10" ht="12.75" customHeight="1" x14ac:dyDescent="0.2">
      <c r="A2319" s="681" t="s">
        <v>2370</v>
      </c>
      <c r="B2319" s="693" t="s">
        <v>4887</v>
      </c>
      <c r="C2319" s="672" t="s">
        <v>785</v>
      </c>
      <c r="D2319" s="673">
        <v>36211</v>
      </c>
      <c r="E2319" s="674">
        <v>10</v>
      </c>
      <c r="F2319" s="675">
        <v>0.1</v>
      </c>
      <c r="G2319" s="676">
        <v>2610</v>
      </c>
      <c r="H2319" s="929">
        <v>0</v>
      </c>
      <c r="I2319" s="929">
        <v>2609</v>
      </c>
      <c r="J2319" s="689">
        <f t="shared" si="37"/>
        <v>1</v>
      </c>
    </row>
    <row r="2320" spans="1:10" ht="12.75" customHeight="1" x14ac:dyDescent="0.2">
      <c r="A2320" s="681" t="s">
        <v>2370</v>
      </c>
      <c r="B2320" s="693" t="s">
        <v>4888</v>
      </c>
      <c r="C2320" s="672" t="s">
        <v>787</v>
      </c>
      <c r="D2320" s="673">
        <v>36576</v>
      </c>
      <c r="E2320" s="674">
        <v>10</v>
      </c>
      <c r="F2320" s="675">
        <v>0.1</v>
      </c>
      <c r="G2320" s="676">
        <v>2639</v>
      </c>
      <c r="H2320" s="929">
        <v>0</v>
      </c>
      <c r="I2320" s="929">
        <v>2638</v>
      </c>
      <c r="J2320" s="689">
        <f t="shared" si="37"/>
        <v>1</v>
      </c>
    </row>
    <row r="2321" spans="1:10" ht="12.75" customHeight="1" x14ac:dyDescent="0.2">
      <c r="A2321" s="681" t="s">
        <v>2372</v>
      </c>
      <c r="B2321" s="693" t="s">
        <v>4889</v>
      </c>
      <c r="C2321" s="672" t="s">
        <v>1009</v>
      </c>
      <c r="D2321" s="673">
        <v>36576</v>
      </c>
      <c r="E2321" s="674">
        <v>10</v>
      </c>
      <c r="F2321" s="675">
        <v>0.1</v>
      </c>
      <c r="G2321" s="676">
        <v>2645</v>
      </c>
      <c r="H2321" s="929">
        <v>0</v>
      </c>
      <c r="I2321" s="929">
        <v>2644</v>
      </c>
      <c r="J2321" s="689">
        <f t="shared" si="37"/>
        <v>1</v>
      </c>
    </row>
    <row r="2322" spans="1:10" ht="12.75" customHeight="1" x14ac:dyDescent="0.2">
      <c r="A2322" s="681" t="s">
        <v>2372</v>
      </c>
      <c r="B2322" s="693" t="s">
        <v>4890</v>
      </c>
      <c r="C2322" s="672" t="s">
        <v>1010</v>
      </c>
      <c r="D2322" s="673">
        <v>36211</v>
      </c>
      <c r="E2322" s="674">
        <v>10</v>
      </c>
      <c r="F2322" s="675">
        <v>0.1</v>
      </c>
      <c r="G2322" s="676">
        <v>2648</v>
      </c>
      <c r="H2322" s="929">
        <v>0</v>
      </c>
      <c r="I2322" s="929">
        <v>2647</v>
      </c>
      <c r="J2322" s="689">
        <f t="shared" si="37"/>
        <v>1</v>
      </c>
    </row>
    <row r="2323" spans="1:10" ht="12.75" customHeight="1" x14ac:dyDescent="0.2">
      <c r="A2323" s="681" t="s">
        <v>2370</v>
      </c>
      <c r="B2323" s="693" t="s">
        <v>4891</v>
      </c>
      <c r="C2323" s="672" t="s">
        <v>893</v>
      </c>
      <c r="D2323" s="673">
        <v>40594</v>
      </c>
      <c r="E2323" s="674">
        <v>3</v>
      </c>
      <c r="F2323" s="675">
        <v>0.33</v>
      </c>
      <c r="G2323" s="676">
        <v>2680</v>
      </c>
      <c r="H2323" s="929">
        <v>0</v>
      </c>
      <c r="I2323" s="929">
        <v>2679</v>
      </c>
      <c r="J2323" s="689">
        <f t="shared" si="37"/>
        <v>1</v>
      </c>
    </row>
    <row r="2324" spans="1:10" ht="12.75" customHeight="1" x14ac:dyDescent="0.2">
      <c r="A2324" s="681" t="s">
        <v>2370</v>
      </c>
      <c r="B2324" s="693" t="s">
        <v>4892</v>
      </c>
      <c r="C2324" s="672" t="s">
        <v>893</v>
      </c>
      <c r="D2324" s="673">
        <v>40594</v>
      </c>
      <c r="E2324" s="674">
        <v>3</v>
      </c>
      <c r="F2324" s="675">
        <v>0.33</v>
      </c>
      <c r="G2324" s="676">
        <v>2680</v>
      </c>
      <c r="H2324" s="929">
        <v>0</v>
      </c>
      <c r="I2324" s="929">
        <v>2679</v>
      </c>
      <c r="J2324" s="689">
        <f t="shared" si="37"/>
        <v>1</v>
      </c>
    </row>
    <row r="2325" spans="1:10" ht="12.75" customHeight="1" x14ac:dyDescent="0.2">
      <c r="A2325" s="681" t="s">
        <v>2370</v>
      </c>
      <c r="B2325" s="693" t="s">
        <v>4893</v>
      </c>
      <c r="C2325" s="672" t="s">
        <v>893</v>
      </c>
      <c r="D2325" s="673">
        <v>40594</v>
      </c>
      <c r="E2325" s="674">
        <v>3</v>
      </c>
      <c r="F2325" s="675">
        <v>0.33</v>
      </c>
      <c r="G2325" s="676">
        <v>2680</v>
      </c>
      <c r="H2325" s="929">
        <v>0</v>
      </c>
      <c r="I2325" s="929">
        <v>2679</v>
      </c>
      <c r="J2325" s="689">
        <f t="shared" si="37"/>
        <v>1</v>
      </c>
    </row>
    <row r="2326" spans="1:10" ht="12.75" customHeight="1" x14ac:dyDescent="0.2">
      <c r="A2326" s="681" t="s">
        <v>2370</v>
      </c>
      <c r="B2326" s="693" t="s">
        <v>4894</v>
      </c>
      <c r="C2326" s="672" t="s">
        <v>893</v>
      </c>
      <c r="D2326" s="673">
        <v>40594</v>
      </c>
      <c r="E2326" s="674">
        <v>3</v>
      </c>
      <c r="F2326" s="675">
        <v>0.33</v>
      </c>
      <c r="G2326" s="676">
        <v>2680</v>
      </c>
      <c r="H2326" s="929">
        <v>0</v>
      </c>
      <c r="I2326" s="929">
        <v>2679</v>
      </c>
      <c r="J2326" s="689">
        <f t="shared" si="37"/>
        <v>1</v>
      </c>
    </row>
    <row r="2327" spans="1:10" ht="12.75" customHeight="1" x14ac:dyDescent="0.2">
      <c r="A2327" s="681" t="s">
        <v>2370</v>
      </c>
      <c r="B2327" s="693" t="s">
        <v>4895</v>
      </c>
      <c r="C2327" s="672" t="s">
        <v>893</v>
      </c>
      <c r="D2327" s="673">
        <v>40594</v>
      </c>
      <c r="E2327" s="674">
        <v>3</v>
      </c>
      <c r="F2327" s="675">
        <v>0.33</v>
      </c>
      <c r="G2327" s="676">
        <v>2680</v>
      </c>
      <c r="H2327" s="929">
        <v>0</v>
      </c>
      <c r="I2327" s="929">
        <v>2679</v>
      </c>
      <c r="J2327" s="689">
        <f t="shared" si="37"/>
        <v>1</v>
      </c>
    </row>
    <row r="2328" spans="1:10" ht="12.75" customHeight="1" x14ac:dyDescent="0.2">
      <c r="A2328" s="681" t="s">
        <v>2370</v>
      </c>
      <c r="B2328" s="693" t="s">
        <v>4896</v>
      </c>
      <c r="C2328" s="672" t="s">
        <v>851</v>
      </c>
      <c r="D2328" s="673">
        <v>37672</v>
      </c>
      <c r="E2328" s="674">
        <v>10</v>
      </c>
      <c r="F2328" s="675">
        <v>0.1</v>
      </c>
      <c r="G2328" s="676">
        <v>2696</v>
      </c>
      <c r="H2328" s="929">
        <v>0</v>
      </c>
      <c r="I2328" s="929">
        <v>2695</v>
      </c>
      <c r="J2328" s="689">
        <f t="shared" si="37"/>
        <v>1</v>
      </c>
    </row>
    <row r="2329" spans="1:10" ht="12.75" customHeight="1" x14ac:dyDescent="0.2">
      <c r="A2329" s="681" t="s">
        <v>2372</v>
      </c>
      <c r="B2329" s="693" t="s">
        <v>4897</v>
      </c>
      <c r="C2329" s="672" t="s">
        <v>1010</v>
      </c>
      <c r="D2329" s="673">
        <v>36211</v>
      </c>
      <c r="E2329" s="674">
        <v>10</v>
      </c>
      <c r="F2329" s="675">
        <v>0.1</v>
      </c>
      <c r="G2329" s="676">
        <v>2760</v>
      </c>
      <c r="H2329" s="929">
        <v>0</v>
      </c>
      <c r="I2329" s="929">
        <v>2759</v>
      </c>
      <c r="J2329" s="689">
        <f t="shared" si="37"/>
        <v>1</v>
      </c>
    </row>
    <row r="2330" spans="1:10" ht="12.75" customHeight="1" x14ac:dyDescent="0.2">
      <c r="A2330" s="681" t="s">
        <v>2372</v>
      </c>
      <c r="B2330" s="693" t="s">
        <v>4898</v>
      </c>
      <c r="C2330" s="672" t="s">
        <v>1026</v>
      </c>
      <c r="D2330" s="673">
        <v>36576</v>
      </c>
      <c r="E2330" s="674">
        <v>3</v>
      </c>
      <c r="F2330" s="675">
        <v>0.33</v>
      </c>
      <c r="G2330" s="676">
        <v>2760</v>
      </c>
      <c r="H2330" s="929">
        <v>0</v>
      </c>
      <c r="I2330" s="929">
        <v>2759</v>
      </c>
      <c r="J2330" s="689">
        <f t="shared" si="37"/>
        <v>1</v>
      </c>
    </row>
    <row r="2331" spans="1:10" ht="12.75" customHeight="1" x14ac:dyDescent="0.2">
      <c r="A2331" s="681" t="s">
        <v>2370</v>
      </c>
      <c r="B2331" s="693" t="s">
        <v>4899</v>
      </c>
      <c r="C2331" s="672" t="s">
        <v>892</v>
      </c>
      <c r="D2331" s="673">
        <v>38403</v>
      </c>
      <c r="E2331" s="674">
        <v>3</v>
      </c>
      <c r="F2331" s="675">
        <v>0.33</v>
      </c>
      <c r="G2331" s="676">
        <v>2777</v>
      </c>
      <c r="H2331" s="929">
        <v>0</v>
      </c>
      <c r="I2331" s="929">
        <v>2776</v>
      </c>
      <c r="J2331" s="689">
        <f t="shared" si="37"/>
        <v>1</v>
      </c>
    </row>
    <row r="2332" spans="1:10" ht="12.75" customHeight="1" x14ac:dyDescent="0.2">
      <c r="A2332" s="681" t="s">
        <v>2370</v>
      </c>
      <c r="B2332" s="693" t="s">
        <v>4900</v>
      </c>
      <c r="C2332" s="672" t="s">
        <v>787</v>
      </c>
      <c r="D2332" s="673">
        <v>36576</v>
      </c>
      <c r="E2332" s="674">
        <v>10</v>
      </c>
      <c r="F2332" s="675">
        <v>0.1</v>
      </c>
      <c r="G2332" s="676">
        <v>2794</v>
      </c>
      <c r="H2332" s="929">
        <v>0</v>
      </c>
      <c r="I2332" s="929">
        <v>2793</v>
      </c>
      <c r="J2332" s="689">
        <f t="shared" si="37"/>
        <v>1</v>
      </c>
    </row>
    <row r="2333" spans="1:10" ht="12.75" customHeight="1" x14ac:dyDescent="0.2">
      <c r="A2333" s="681" t="s">
        <v>2370</v>
      </c>
      <c r="B2333" s="693" t="s">
        <v>4901</v>
      </c>
      <c r="C2333" s="672" t="s">
        <v>787</v>
      </c>
      <c r="D2333" s="673">
        <v>36576</v>
      </c>
      <c r="E2333" s="674">
        <v>10</v>
      </c>
      <c r="F2333" s="675">
        <v>0.1</v>
      </c>
      <c r="G2333" s="676">
        <v>2794</v>
      </c>
      <c r="H2333" s="929">
        <v>0</v>
      </c>
      <c r="I2333" s="929">
        <v>2793</v>
      </c>
      <c r="J2333" s="689">
        <f t="shared" si="37"/>
        <v>1</v>
      </c>
    </row>
    <row r="2334" spans="1:10" ht="12.75" customHeight="1" x14ac:dyDescent="0.2">
      <c r="A2334" s="681" t="s">
        <v>2370</v>
      </c>
      <c r="B2334" s="693" t="s">
        <v>4902</v>
      </c>
      <c r="C2334" s="672" t="s">
        <v>787</v>
      </c>
      <c r="D2334" s="673">
        <v>36576</v>
      </c>
      <c r="E2334" s="674">
        <v>10</v>
      </c>
      <c r="F2334" s="675">
        <v>0.1</v>
      </c>
      <c r="G2334" s="676">
        <v>2794</v>
      </c>
      <c r="H2334" s="929">
        <v>0</v>
      </c>
      <c r="I2334" s="929">
        <v>2793</v>
      </c>
      <c r="J2334" s="689">
        <f t="shared" si="37"/>
        <v>1</v>
      </c>
    </row>
    <row r="2335" spans="1:10" ht="12.75" customHeight="1" x14ac:dyDescent="0.2">
      <c r="A2335" s="681" t="s">
        <v>2370</v>
      </c>
      <c r="B2335" s="693" t="s">
        <v>4903</v>
      </c>
      <c r="C2335" s="672" t="s">
        <v>787</v>
      </c>
      <c r="D2335" s="673">
        <v>36576</v>
      </c>
      <c r="E2335" s="674">
        <v>10</v>
      </c>
      <c r="F2335" s="675">
        <v>0.1</v>
      </c>
      <c r="G2335" s="676">
        <v>2794</v>
      </c>
      <c r="H2335" s="929">
        <v>0</v>
      </c>
      <c r="I2335" s="929">
        <v>2793</v>
      </c>
      <c r="J2335" s="689">
        <f t="shared" si="37"/>
        <v>1</v>
      </c>
    </row>
    <row r="2336" spans="1:10" ht="12.75" customHeight="1" x14ac:dyDescent="0.2">
      <c r="A2336" s="681" t="s">
        <v>2370</v>
      </c>
      <c r="B2336" s="693" t="s">
        <v>4904</v>
      </c>
      <c r="C2336" s="672" t="s">
        <v>787</v>
      </c>
      <c r="D2336" s="673">
        <v>36576</v>
      </c>
      <c r="E2336" s="674">
        <v>10</v>
      </c>
      <c r="F2336" s="675">
        <v>0.1</v>
      </c>
      <c r="G2336" s="676">
        <v>2794</v>
      </c>
      <c r="H2336" s="929">
        <v>0</v>
      </c>
      <c r="I2336" s="929">
        <v>2793</v>
      </c>
      <c r="J2336" s="689">
        <f t="shared" si="37"/>
        <v>1</v>
      </c>
    </row>
    <row r="2337" spans="1:10" ht="12.75" customHeight="1" x14ac:dyDescent="0.2">
      <c r="A2337" s="681" t="s">
        <v>2370</v>
      </c>
      <c r="B2337" s="693" t="s">
        <v>4905</v>
      </c>
      <c r="C2337" s="672" t="s">
        <v>787</v>
      </c>
      <c r="D2337" s="673">
        <v>36576</v>
      </c>
      <c r="E2337" s="674">
        <v>10</v>
      </c>
      <c r="F2337" s="675">
        <v>0.1</v>
      </c>
      <c r="G2337" s="676">
        <v>2794</v>
      </c>
      <c r="H2337" s="929">
        <v>0</v>
      </c>
      <c r="I2337" s="929">
        <v>2793</v>
      </c>
      <c r="J2337" s="689">
        <f t="shared" si="37"/>
        <v>1</v>
      </c>
    </row>
    <row r="2338" spans="1:10" ht="12.75" customHeight="1" x14ac:dyDescent="0.2">
      <c r="A2338" s="681" t="s">
        <v>2370</v>
      </c>
      <c r="B2338" s="693" t="s">
        <v>4906</v>
      </c>
      <c r="C2338" s="672" t="s">
        <v>787</v>
      </c>
      <c r="D2338" s="673">
        <v>36576</v>
      </c>
      <c r="E2338" s="674">
        <v>10</v>
      </c>
      <c r="F2338" s="675">
        <v>0.1</v>
      </c>
      <c r="G2338" s="676">
        <v>2794</v>
      </c>
      <c r="H2338" s="929">
        <v>0</v>
      </c>
      <c r="I2338" s="929">
        <v>2793</v>
      </c>
      <c r="J2338" s="689">
        <f t="shared" si="37"/>
        <v>1</v>
      </c>
    </row>
    <row r="2339" spans="1:10" ht="12.75" customHeight="1" x14ac:dyDescent="0.2">
      <c r="A2339" s="681" t="s">
        <v>2370</v>
      </c>
      <c r="B2339" s="693" t="s">
        <v>4907</v>
      </c>
      <c r="C2339" s="672" t="s">
        <v>894</v>
      </c>
      <c r="D2339" s="673">
        <v>40594</v>
      </c>
      <c r="E2339" s="674">
        <v>3</v>
      </c>
      <c r="F2339" s="675">
        <v>0.33</v>
      </c>
      <c r="G2339" s="676">
        <v>2800</v>
      </c>
      <c r="H2339" s="929">
        <v>0</v>
      </c>
      <c r="I2339" s="929">
        <v>2799</v>
      </c>
      <c r="J2339" s="689">
        <f t="shared" si="37"/>
        <v>1</v>
      </c>
    </row>
    <row r="2340" spans="1:10" ht="12.75" customHeight="1" x14ac:dyDescent="0.2">
      <c r="A2340" s="681" t="s">
        <v>2370</v>
      </c>
      <c r="B2340" s="693" t="s">
        <v>4908</v>
      </c>
      <c r="C2340" s="672" t="s">
        <v>787</v>
      </c>
      <c r="D2340" s="673">
        <v>36211</v>
      </c>
      <c r="E2340" s="674">
        <v>10</v>
      </c>
      <c r="F2340" s="675">
        <v>0.1</v>
      </c>
      <c r="G2340" s="676">
        <v>2812</v>
      </c>
      <c r="H2340" s="929">
        <v>0</v>
      </c>
      <c r="I2340" s="929">
        <v>2811</v>
      </c>
      <c r="J2340" s="689">
        <f t="shared" si="37"/>
        <v>1</v>
      </c>
    </row>
    <row r="2341" spans="1:10" ht="12.75" customHeight="1" x14ac:dyDescent="0.2">
      <c r="A2341" s="681" t="s">
        <v>2372</v>
      </c>
      <c r="B2341" s="693" t="s">
        <v>4909</v>
      </c>
      <c r="C2341" s="672" t="s">
        <v>1010</v>
      </c>
      <c r="D2341" s="673">
        <v>36211</v>
      </c>
      <c r="E2341" s="674">
        <v>10</v>
      </c>
      <c r="F2341" s="675">
        <v>0.1</v>
      </c>
      <c r="G2341" s="676">
        <v>2818</v>
      </c>
      <c r="H2341" s="929">
        <v>0</v>
      </c>
      <c r="I2341" s="929">
        <v>2817</v>
      </c>
      <c r="J2341" s="689">
        <f t="shared" si="37"/>
        <v>1</v>
      </c>
    </row>
    <row r="2342" spans="1:10" ht="12.75" customHeight="1" x14ac:dyDescent="0.2">
      <c r="A2342" s="681" t="s">
        <v>2370</v>
      </c>
      <c r="B2342" s="693" t="s">
        <v>4910</v>
      </c>
      <c r="C2342" s="672" t="s">
        <v>787</v>
      </c>
      <c r="D2342" s="673">
        <v>36211</v>
      </c>
      <c r="E2342" s="674">
        <v>10</v>
      </c>
      <c r="F2342" s="675">
        <v>0.1</v>
      </c>
      <c r="G2342" s="676">
        <v>2839</v>
      </c>
      <c r="H2342" s="929">
        <v>0</v>
      </c>
      <c r="I2342" s="929">
        <v>2838</v>
      </c>
      <c r="J2342" s="689">
        <f t="shared" si="37"/>
        <v>1</v>
      </c>
    </row>
    <row r="2343" spans="1:10" ht="12.75" customHeight="1" x14ac:dyDescent="0.2">
      <c r="A2343" s="681" t="s">
        <v>2370</v>
      </c>
      <c r="B2343" s="693" t="s">
        <v>4911</v>
      </c>
      <c r="C2343" s="672" t="s">
        <v>787</v>
      </c>
      <c r="D2343" s="673">
        <v>36576</v>
      </c>
      <c r="E2343" s="674">
        <v>10</v>
      </c>
      <c r="F2343" s="675">
        <v>0.1</v>
      </c>
      <c r="G2343" s="676">
        <v>2839</v>
      </c>
      <c r="H2343" s="929">
        <v>0</v>
      </c>
      <c r="I2343" s="929">
        <v>2838</v>
      </c>
      <c r="J2343" s="689">
        <f t="shared" si="37"/>
        <v>1</v>
      </c>
    </row>
    <row r="2344" spans="1:10" ht="12.75" customHeight="1" x14ac:dyDescent="0.2">
      <c r="A2344" s="681" t="s">
        <v>2370</v>
      </c>
      <c r="B2344" s="693" t="s">
        <v>4912</v>
      </c>
      <c r="C2344" s="672" t="s">
        <v>787</v>
      </c>
      <c r="D2344" s="673">
        <v>36211</v>
      </c>
      <c r="E2344" s="674">
        <v>10</v>
      </c>
      <c r="F2344" s="675">
        <v>0.1</v>
      </c>
      <c r="G2344" s="676">
        <v>2839</v>
      </c>
      <c r="H2344" s="929">
        <v>0</v>
      </c>
      <c r="I2344" s="929">
        <v>2838</v>
      </c>
      <c r="J2344" s="689">
        <f t="shared" si="37"/>
        <v>1</v>
      </c>
    </row>
    <row r="2345" spans="1:10" ht="12.75" customHeight="1" x14ac:dyDescent="0.2">
      <c r="A2345" s="681" t="s">
        <v>2370</v>
      </c>
      <c r="B2345" s="693" t="s">
        <v>4913</v>
      </c>
      <c r="C2345" s="672" t="s">
        <v>787</v>
      </c>
      <c r="D2345" s="673">
        <v>36211</v>
      </c>
      <c r="E2345" s="674">
        <v>10</v>
      </c>
      <c r="F2345" s="675">
        <v>0.1</v>
      </c>
      <c r="G2345" s="676">
        <v>2839</v>
      </c>
      <c r="H2345" s="929">
        <v>0</v>
      </c>
      <c r="I2345" s="929">
        <v>2838</v>
      </c>
      <c r="J2345" s="689">
        <f t="shared" si="37"/>
        <v>1</v>
      </c>
    </row>
    <row r="2346" spans="1:10" ht="12.75" customHeight="1" x14ac:dyDescent="0.2">
      <c r="A2346" s="681" t="s">
        <v>2370</v>
      </c>
      <c r="B2346" s="693" t="s">
        <v>4914</v>
      </c>
      <c r="C2346" s="672" t="s">
        <v>787</v>
      </c>
      <c r="D2346" s="673">
        <v>36211</v>
      </c>
      <c r="E2346" s="674">
        <v>10</v>
      </c>
      <c r="F2346" s="675">
        <v>0.1</v>
      </c>
      <c r="G2346" s="676">
        <v>2839</v>
      </c>
      <c r="H2346" s="929">
        <v>0</v>
      </c>
      <c r="I2346" s="929">
        <v>2838</v>
      </c>
      <c r="J2346" s="689">
        <f t="shared" si="37"/>
        <v>1</v>
      </c>
    </row>
    <row r="2347" spans="1:10" ht="12.75" customHeight="1" x14ac:dyDescent="0.2">
      <c r="A2347" s="681" t="s">
        <v>2370</v>
      </c>
      <c r="B2347" s="693" t="s">
        <v>4915</v>
      </c>
      <c r="C2347" s="672" t="s">
        <v>787</v>
      </c>
      <c r="D2347" s="673">
        <v>36211</v>
      </c>
      <c r="E2347" s="674">
        <v>10</v>
      </c>
      <c r="F2347" s="675">
        <v>0.1</v>
      </c>
      <c r="G2347" s="676">
        <v>2839</v>
      </c>
      <c r="H2347" s="929">
        <v>0</v>
      </c>
      <c r="I2347" s="929">
        <v>2838</v>
      </c>
      <c r="J2347" s="689">
        <f t="shared" si="37"/>
        <v>1</v>
      </c>
    </row>
    <row r="2348" spans="1:10" ht="12.75" customHeight="1" x14ac:dyDescent="0.2">
      <c r="A2348" s="681" t="s">
        <v>2370</v>
      </c>
      <c r="B2348" s="693" t="s">
        <v>4916</v>
      </c>
      <c r="C2348" s="672" t="s">
        <v>787</v>
      </c>
      <c r="D2348" s="673">
        <v>36576</v>
      </c>
      <c r="E2348" s="674">
        <v>10</v>
      </c>
      <c r="F2348" s="675">
        <v>0.1</v>
      </c>
      <c r="G2348" s="676">
        <v>2840</v>
      </c>
      <c r="H2348" s="929">
        <v>0</v>
      </c>
      <c r="I2348" s="929">
        <v>2839</v>
      </c>
      <c r="J2348" s="689">
        <f t="shared" si="37"/>
        <v>1</v>
      </c>
    </row>
    <row r="2349" spans="1:10" ht="12.75" customHeight="1" x14ac:dyDescent="0.2">
      <c r="A2349" s="681" t="s">
        <v>2370</v>
      </c>
      <c r="B2349" s="693" t="s">
        <v>4917</v>
      </c>
      <c r="C2349" s="672" t="s">
        <v>786</v>
      </c>
      <c r="D2349" s="673">
        <v>37307</v>
      </c>
      <c r="E2349" s="674">
        <v>10</v>
      </c>
      <c r="F2349" s="675">
        <v>0.1</v>
      </c>
      <c r="G2349" s="676">
        <v>2875</v>
      </c>
      <c r="H2349" s="929">
        <v>0</v>
      </c>
      <c r="I2349" s="929">
        <v>2874</v>
      </c>
      <c r="J2349" s="689">
        <f t="shared" si="37"/>
        <v>1</v>
      </c>
    </row>
    <row r="2350" spans="1:10" ht="12.75" customHeight="1" x14ac:dyDescent="0.2">
      <c r="A2350" s="681" t="s">
        <v>2370</v>
      </c>
      <c r="B2350" s="693" t="s">
        <v>4918</v>
      </c>
      <c r="C2350" s="672" t="s">
        <v>795</v>
      </c>
      <c r="D2350" s="673">
        <v>36576</v>
      </c>
      <c r="E2350" s="674">
        <v>10</v>
      </c>
      <c r="F2350" s="675">
        <v>0.1</v>
      </c>
      <c r="G2350" s="676">
        <v>2875</v>
      </c>
      <c r="H2350" s="929">
        <v>0</v>
      </c>
      <c r="I2350" s="929">
        <v>2874</v>
      </c>
      <c r="J2350" s="689">
        <f t="shared" si="37"/>
        <v>1</v>
      </c>
    </row>
    <row r="2351" spans="1:10" ht="12.75" customHeight="1" x14ac:dyDescent="0.2">
      <c r="A2351" s="681" t="s">
        <v>2370</v>
      </c>
      <c r="B2351" s="693" t="s">
        <v>4919</v>
      </c>
      <c r="C2351" s="672" t="s">
        <v>788</v>
      </c>
      <c r="D2351" s="673">
        <v>36576</v>
      </c>
      <c r="E2351" s="674">
        <v>10</v>
      </c>
      <c r="F2351" s="675">
        <v>0.1</v>
      </c>
      <c r="G2351" s="676">
        <v>2875</v>
      </c>
      <c r="H2351" s="929">
        <v>0</v>
      </c>
      <c r="I2351" s="929">
        <v>2874</v>
      </c>
      <c r="J2351" s="689">
        <f t="shared" si="37"/>
        <v>1</v>
      </c>
    </row>
    <row r="2352" spans="1:10" ht="12.75" customHeight="1" x14ac:dyDescent="0.2">
      <c r="A2352" s="681" t="s">
        <v>2372</v>
      </c>
      <c r="B2352" s="693" t="s">
        <v>4920</v>
      </c>
      <c r="C2352" s="672" t="s">
        <v>895</v>
      </c>
      <c r="D2352" s="673">
        <v>36576</v>
      </c>
      <c r="E2352" s="674">
        <v>3</v>
      </c>
      <c r="F2352" s="675">
        <v>0.33</v>
      </c>
      <c r="G2352" s="676">
        <v>2875</v>
      </c>
      <c r="H2352" s="929">
        <v>0</v>
      </c>
      <c r="I2352" s="929">
        <v>2874</v>
      </c>
      <c r="J2352" s="689">
        <f t="shared" si="37"/>
        <v>1</v>
      </c>
    </row>
    <row r="2353" spans="1:10" ht="12.75" customHeight="1" x14ac:dyDescent="0.2">
      <c r="A2353" s="681" t="s">
        <v>2370</v>
      </c>
      <c r="B2353" s="693" t="s">
        <v>4921</v>
      </c>
      <c r="C2353" s="672" t="s">
        <v>875</v>
      </c>
      <c r="D2353" s="673">
        <v>36211</v>
      </c>
      <c r="E2353" s="674">
        <v>10</v>
      </c>
      <c r="F2353" s="675">
        <v>0.1</v>
      </c>
      <c r="G2353" s="676">
        <v>2886</v>
      </c>
      <c r="H2353" s="929">
        <v>0</v>
      </c>
      <c r="I2353" s="929">
        <v>2885</v>
      </c>
      <c r="J2353" s="689">
        <f t="shared" si="37"/>
        <v>1</v>
      </c>
    </row>
    <row r="2354" spans="1:10" ht="12.75" customHeight="1" x14ac:dyDescent="0.2">
      <c r="A2354" s="681" t="s">
        <v>2372</v>
      </c>
      <c r="B2354" s="693" t="s">
        <v>4922</v>
      </c>
      <c r="C2354" s="672" t="s">
        <v>1010</v>
      </c>
      <c r="D2354" s="673">
        <v>36211</v>
      </c>
      <c r="E2354" s="674">
        <v>10</v>
      </c>
      <c r="F2354" s="675">
        <v>0.1</v>
      </c>
      <c r="G2354" s="676">
        <v>2890</v>
      </c>
      <c r="H2354" s="929">
        <v>0</v>
      </c>
      <c r="I2354" s="929">
        <v>2889</v>
      </c>
      <c r="J2354" s="689">
        <f t="shared" si="37"/>
        <v>1</v>
      </c>
    </row>
    <row r="2355" spans="1:10" ht="12.75" customHeight="1" x14ac:dyDescent="0.2">
      <c r="A2355" s="681" t="s">
        <v>2370</v>
      </c>
      <c r="B2355" s="693" t="s">
        <v>4923</v>
      </c>
      <c r="C2355" s="672" t="s">
        <v>892</v>
      </c>
      <c r="D2355" s="673">
        <v>40594</v>
      </c>
      <c r="E2355" s="674">
        <v>3</v>
      </c>
      <c r="F2355" s="675">
        <v>0.33</v>
      </c>
      <c r="G2355" s="676">
        <v>2897</v>
      </c>
      <c r="H2355" s="929">
        <v>0</v>
      </c>
      <c r="I2355" s="929">
        <v>2896</v>
      </c>
      <c r="J2355" s="689">
        <f t="shared" si="37"/>
        <v>1</v>
      </c>
    </row>
    <row r="2356" spans="1:10" ht="12.75" customHeight="1" x14ac:dyDescent="0.2">
      <c r="A2356" s="681" t="s">
        <v>2370</v>
      </c>
      <c r="B2356" s="693" t="s">
        <v>4924</v>
      </c>
      <c r="C2356" s="672" t="s">
        <v>921</v>
      </c>
      <c r="D2356" s="673">
        <v>36211</v>
      </c>
      <c r="E2356" s="674">
        <v>10</v>
      </c>
      <c r="F2356" s="675">
        <v>0.1</v>
      </c>
      <c r="G2356" s="676">
        <v>2905</v>
      </c>
      <c r="H2356" s="929">
        <v>0</v>
      </c>
      <c r="I2356" s="929">
        <v>2904</v>
      </c>
      <c r="J2356" s="689">
        <f t="shared" si="37"/>
        <v>1</v>
      </c>
    </row>
    <row r="2357" spans="1:10" ht="12.75" customHeight="1" x14ac:dyDescent="0.2">
      <c r="A2357" s="681" t="s">
        <v>2370</v>
      </c>
      <c r="B2357" s="693" t="s">
        <v>4925</v>
      </c>
      <c r="C2357" s="672" t="s">
        <v>893</v>
      </c>
      <c r="D2357" s="673">
        <v>39498</v>
      </c>
      <c r="E2357" s="674">
        <v>3</v>
      </c>
      <c r="F2357" s="675">
        <v>0.33</v>
      </c>
      <c r="G2357" s="676">
        <v>2942</v>
      </c>
      <c r="H2357" s="929">
        <v>0</v>
      </c>
      <c r="I2357" s="929">
        <v>2941</v>
      </c>
      <c r="J2357" s="689">
        <f t="shared" si="37"/>
        <v>1</v>
      </c>
    </row>
    <row r="2358" spans="1:10" ht="12.75" customHeight="1" x14ac:dyDescent="0.2">
      <c r="A2358" s="681" t="s">
        <v>2372</v>
      </c>
      <c r="B2358" s="693" t="s">
        <v>4926</v>
      </c>
      <c r="C2358" s="672" t="s">
        <v>1020</v>
      </c>
      <c r="D2358" s="673">
        <v>40594</v>
      </c>
      <c r="E2358" s="674">
        <v>3</v>
      </c>
      <c r="F2358" s="675">
        <v>0.33</v>
      </c>
      <c r="G2358" s="676">
        <v>2959</v>
      </c>
      <c r="H2358" s="929">
        <v>0</v>
      </c>
      <c r="I2358" s="929">
        <v>2958</v>
      </c>
      <c r="J2358" s="689">
        <f t="shared" si="37"/>
        <v>1</v>
      </c>
    </row>
    <row r="2359" spans="1:10" ht="12.75" customHeight="1" x14ac:dyDescent="0.2">
      <c r="A2359" s="681" t="s">
        <v>2370</v>
      </c>
      <c r="B2359" s="693" t="s">
        <v>4927</v>
      </c>
      <c r="C2359" s="672" t="s">
        <v>805</v>
      </c>
      <c r="D2359" s="673">
        <v>37307</v>
      </c>
      <c r="E2359" s="674">
        <v>10</v>
      </c>
      <c r="F2359" s="675">
        <v>0.1</v>
      </c>
      <c r="G2359" s="676">
        <v>2979</v>
      </c>
      <c r="H2359" s="929">
        <v>0</v>
      </c>
      <c r="I2359" s="929">
        <v>2978</v>
      </c>
      <c r="J2359" s="689">
        <f t="shared" si="37"/>
        <v>1</v>
      </c>
    </row>
    <row r="2360" spans="1:10" ht="12.75" customHeight="1" x14ac:dyDescent="0.2">
      <c r="A2360" s="681" t="s">
        <v>2370</v>
      </c>
      <c r="B2360" s="693" t="s">
        <v>4928</v>
      </c>
      <c r="C2360" s="672" t="s">
        <v>805</v>
      </c>
      <c r="D2360" s="673">
        <v>37307</v>
      </c>
      <c r="E2360" s="674">
        <v>10</v>
      </c>
      <c r="F2360" s="675">
        <v>0.1</v>
      </c>
      <c r="G2360" s="676">
        <v>2979</v>
      </c>
      <c r="H2360" s="929">
        <v>0</v>
      </c>
      <c r="I2360" s="929">
        <v>2978</v>
      </c>
      <c r="J2360" s="689">
        <f t="shared" si="37"/>
        <v>1</v>
      </c>
    </row>
    <row r="2361" spans="1:10" ht="12.75" customHeight="1" x14ac:dyDescent="0.2">
      <c r="A2361" s="681" t="s">
        <v>2370</v>
      </c>
      <c r="B2361" s="693" t="s">
        <v>4929</v>
      </c>
      <c r="C2361" s="672" t="s">
        <v>787</v>
      </c>
      <c r="D2361" s="673">
        <v>36576</v>
      </c>
      <c r="E2361" s="674">
        <v>10</v>
      </c>
      <c r="F2361" s="675">
        <v>0.1</v>
      </c>
      <c r="G2361" s="676">
        <v>2990</v>
      </c>
      <c r="H2361" s="929">
        <v>0</v>
      </c>
      <c r="I2361" s="929">
        <v>2989</v>
      </c>
      <c r="J2361" s="689">
        <f t="shared" si="37"/>
        <v>1</v>
      </c>
    </row>
    <row r="2362" spans="1:10" ht="12.75" customHeight="1" x14ac:dyDescent="0.2">
      <c r="A2362" s="681" t="s">
        <v>2370</v>
      </c>
      <c r="B2362" s="693" t="s">
        <v>4930</v>
      </c>
      <c r="C2362" s="672" t="s">
        <v>787</v>
      </c>
      <c r="D2362" s="673">
        <v>36211</v>
      </c>
      <c r="E2362" s="674">
        <v>10</v>
      </c>
      <c r="F2362" s="675">
        <v>0.1</v>
      </c>
      <c r="G2362" s="676">
        <v>2990</v>
      </c>
      <c r="H2362" s="929">
        <v>0</v>
      </c>
      <c r="I2362" s="929">
        <v>2989</v>
      </c>
      <c r="J2362" s="689">
        <f t="shared" si="37"/>
        <v>1</v>
      </c>
    </row>
    <row r="2363" spans="1:10" ht="12.75" customHeight="1" x14ac:dyDescent="0.2">
      <c r="A2363" s="681" t="s">
        <v>2370</v>
      </c>
      <c r="B2363" s="693" t="s">
        <v>4931</v>
      </c>
      <c r="C2363" s="672" t="s">
        <v>893</v>
      </c>
      <c r="D2363" s="673">
        <v>40594</v>
      </c>
      <c r="E2363" s="674">
        <v>3</v>
      </c>
      <c r="F2363" s="675">
        <v>0.33</v>
      </c>
      <c r="G2363" s="676">
        <v>3000</v>
      </c>
      <c r="H2363" s="929">
        <v>0</v>
      </c>
      <c r="I2363" s="929">
        <v>2999</v>
      </c>
      <c r="J2363" s="689">
        <f t="shared" si="37"/>
        <v>1</v>
      </c>
    </row>
    <row r="2364" spans="1:10" ht="12.75" customHeight="1" x14ac:dyDescent="0.2">
      <c r="A2364" s="681" t="s">
        <v>2370</v>
      </c>
      <c r="B2364" s="693" t="s">
        <v>4932</v>
      </c>
      <c r="C2364" s="672" t="s">
        <v>787</v>
      </c>
      <c r="D2364" s="673">
        <v>36211</v>
      </c>
      <c r="E2364" s="674">
        <v>10</v>
      </c>
      <c r="F2364" s="675">
        <v>0.1</v>
      </c>
      <c r="G2364" s="676">
        <v>3006</v>
      </c>
      <c r="H2364" s="929">
        <v>0</v>
      </c>
      <c r="I2364" s="929">
        <v>3005</v>
      </c>
      <c r="J2364" s="689">
        <f t="shared" si="37"/>
        <v>1</v>
      </c>
    </row>
    <row r="2365" spans="1:10" ht="12.75" customHeight="1" x14ac:dyDescent="0.2">
      <c r="A2365" s="681" t="s">
        <v>2370</v>
      </c>
      <c r="B2365" s="693" t="s">
        <v>4933</v>
      </c>
      <c r="C2365" s="672" t="s">
        <v>787</v>
      </c>
      <c r="D2365" s="673">
        <v>36211</v>
      </c>
      <c r="E2365" s="674">
        <v>10</v>
      </c>
      <c r="F2365" s="675">
        <v>0.1</v>
      </c>
      <c r="G2365" s="676">
        <v>3006</v>
      </c>
      <c r="H2365" s="929">
        <v>0</v>
      </c>
      <c r="I2365" s="929">
        <v>3005</v>
      </c>
      <c r="J2365" s="689">
        <f t="shared" si="37"/>
        <v>1</v>
      </c>
    </row>
    <row r="2366" spans="1:10" ht="12.75" customHeight="1" x14ac:dyDescent="0.2">
      <c r="A2366" s="681" t="s">
        <v>2370</v>
      </c>
      <c r="B2366" s="693" t="s">
        <v>4934</v>
      </c>
      <c r="C2366" s="672" t="s">
        <v>787</v>
      </c>
      <c r="D2366" s="673">
        <v>36211</v>
      </c>
      <c r="E2366" s="674">
        <v>10</v>
      </c>
      <c r="F2366" s="675">
        <v>0.1</v>
      </c>
      <c r="G2366" s="676">
        <v>3006</v>
      </c>
      <c r="H2366" s="929">
        <v>0</v>
      </c>
      <c r="I2366" s="929">
        <v>3005</v>
      </c>
      <c r="J2366" s="689">
        <f t="shared" si="37"/>
        <v>1</v>
      </c>
    </row>
    <row r="2367" spans="1:10" ht="12.75" customHeight="1" x14ac:dyDescent="0.2">
      <c r="A2367" s="681" t="s">
        <v>2370</v>
      </c>
      <c r="B2367" s="693" t="s">
        <v>4935</v>
      </c>
      <c r="C2367" s="672" t="s">
        <v>787</v>
      </c>
      <c r="D2367" s="673">
        <v>36211</v>
      </c>
      <c r="E2367" s="674">
        <v>10</v>
      </c>
      <c r="F2367" s="675">
        <v>0.1</v>
      </c>
      <c r="G2367" s="676">
        <v>3006</v>
      </c>
      <c r="H2367" s="929">
        <v>0</v>
      </c>
      <c r="I2367" s="929">
        <v>3005</v>
      </c>
      <c r="J2367" s="689">
        <f t="shared" si="37"/>
        <v>1</v>
      </c>
    </row>
    <row r="2368" spans="1:10" ht="12.75" customHeight="1" x14ac:dyDescent="0.2">
      <c r="A2368" s="681" t="s">
        <v>2370</v>
      </c>
      <c r="B2368" s="693" t="s">
        <v>4936</v>
      </c>
      <c r="C2368" s="672" t="s">
        <v>787</v>
      </c>
      <c r="D2368" s="673">
        <v>36211</v>
      </c>
      <c r="E2368" s="674">
        <v>10</v>
      </c>
      <c r="F2368" s="675">
        <v>0.1</v>
      </c>
      <c r="G2368" s="676">
        <v>3006</v>
      </c>
      <c r="H2368" s="929">
        <v>0</v>
      </c>
      <c r="I2368" s="929">
        <v>3005</v>
      </c>
      <c r="J2368" s="689">
        <f t="shared" si="37"/>
        <v>1</v>
      </c>
    </row>
    <row r="2369" spans="1:10" ht="12.75" customHeight="1" x14ac:dyDescent="0.2">
      <c r="A2369" s="681" t="s">
        <v>2370</v>
      </c>
      <c r="B2369" s="693" t="s">
        <v>4937</v>
      </c>
      <c r="C2369" s="672" t="s">
        <v>787</v>
      </c>
      <c r="D2369" s="673">
        <v>36211</v>
      </c>
      <c r="E2369" s="674">
        <v>10</v>
      </c>
      <c r="F2369" s="675">
        <v>0.1</v>
      </c>
      <c r="G2369" s="676">
        <v>3027</v>
      </c>
      <c r="H2369" s="929">
        <v>0</v>
      </c>
      <c r="I2369" s="929">
        <v>3026</v>
      </c>
      <c r="J2369" s="689">
        <f t="shared" si="37"/>
        <v>1</v>
      </c>
    </row>
    <row r="2370" spans="1:10" ht="12.75" customHeight="1" x14ac:dyDescent="0.2">
      <c r="A2370" s="681" t="s">
        <v>2370</v>
      </c>
      <c r="B2370" s="693" t="s">
        <v>4938</v>
      </c>
      <c r="C2370" s="672" t="s">
        <v>791</v>
      </c>
      <c r="D2370" s="673">
        <v>36576</v>
      </c>
      <c r="E2370" s="674">
        <v>10</v>
      </c>
      <c r="F2370" s="675">
        <v>0.1</v>
      </c>
      <c r="G2370" s="676">
        <v>3099</v>
      </c>
      <c r="H2370" s="929">
        <v>0</v>
      </c>
      <c r="I2370" s="929">
        <v>3098</v>
      </c>
      <c r="J2370" s="689">
        <f t="shared" si="37"/>
        <v>1</v>
      </c>
    </row>
    <row r="2371" spans="1:10" ht="12.75" customHeight="1" x14ac:dyDescent="0.2">
      <c r="A2371" s="681" t="s">
        <v>2370</v>
      </c>
      <c r="B2371" s="693" t="s">
        <v>4939</v>
      </c>
      <c r="C2371" s="672" t="s">
        <v>791</v>
      </c>
      <c r="D2371" s="673">
        <v>36576</v>
      </c>
      <c r="E2371" s="674">
        <v>10</v>
      </c>
      <c r="F2371" s="675">
        <v>0.1</v>
      </c>
      <c r="G2371" s="676">
        <v>3105</v>
      </c>
      <c r="H2371" s="929">
        <v>0</v>
      </c>
      <c r="I2371" s="929">
        <v>3104</v>
      </c>
      <c r="J2371" s="689">
        <f t="shared" si="37"/>
        <v>1</v>
      </c>
    </row>
    <row r="2372" spans="1:10" ht="12.75" customHeight="1" x14ac:dyDescent="0.2">
      <c r="A2372" s="681" t="s">
        <v>2370</v>
      </c>
      <c r="B2372" s="693" t="s">
        <v>4940</v>
      </c>
      <c r="C2372" s="672" t="s">
        <v>788</v>
      </c>
      <c r="D2372" s="673">
        <v>37307</v>
      </c>
      <c r="E2372" s="674">
        <v>10</v>
      </c>
      <c r="F2372" s="675">
        <v>0.1</v>
      </c>
      <c r="G2372" s="676">
        <v>3117</v>
      </c>
      <c r="H2372" s="929">
        <v>0</v>
      </c>
      <c r="I2372" s="929">
        <v>3116</v>
      </c>
      <c r="J2372" s="689">
        <f t="shared" si="37"/>
        <v>1</v>
      </c>
    </row>
    <row r="2373" spans="1:10" ht="12.75" customHeight="1" x14ac:dyDescent="0.2">
      <c r="A2373" s="681" t="s">
        <v>2370</v>
      </c>
      <c r="B2373" s="693" t="s">
        <v>4941</v>
      </c>
      <c r="C2373" s="672" t="s">
        <v>804</v>
      </c>
      <c r="D2373" s="673">
        <v>36576</v>
      </c>
      <c r="E2373" s="674">
        <v>10</v>
      </c>
      <c r="F2373" s="675">
        <v>0.1</v>
      </c>
      <c r="G2373" s="676">
        <v>3119</v>
      </c>
      <c r="H2373" s="929">
        <v>0</v>
      </c>
      <c r="I2373" s="929">
        <v>3118</v>
      </c>
      <c r="J2373" s="689">
        <f t="shared" si="37"/>
        <v>1</v>
      </c>
    </row>
    <row r="2374" spans="1:10" ht="12.75" customHeight="1" x14ac:dyDescent="0.2">
      <c r="A2374" s="681" t="s">
        <v>2370</v>
      </c>
      <c r="B2374" s="693" t="s">
        <v>4942</v>
      </c>
      <c r="C2374" s="672" t="s">
        <v>795</v>
      </c>
      <c r="D2374" s="673">
        <v>36211</v>
      </c>
      <c r="E2374" s="674">
        <v>10</v>
      </c>
      <c r="F2374" s="675">
        <v>0.1</v>
      </c>
      <c r="G2374" s="676">
        <v>3154</v>
      </c>
      <c r="H2374" s="929">
        <v>0</v>
      </c>
      <c r="I2374" s="929">
        <v>3153</v>
      </c>
      <c r="J2374" s="689">
        <f t="shared" si="37"/>
        <v>1</v>
      </c>
    </row>
    <row r="2375" spans="1:10" ht="12.75" customHeight="1" x14ac:dyDescent="0.2">
      <c r="A2375" s="681" t="s">
        <v>2370</v>
      </c>
      <c r="B2375" s="693" t="s">
        <v>4943</v>
      </c>
      <c r="C2375" s="672" t="s">
        <v>787</v>
      </c>
      <c r="D2375" s="673">
        <v>36211</v>
      </c>
      <c r="E2375" s="674">
        <v>10</v>
      </c>
      <c r="F2375" s="675">
        <v>0.1</v>
      </c>
      <c r="G2375" s="676">
        <v>3164</v>
      </c>
      <c r="H2375" s="929">
        <v>0</v>
      </c>
      <c r="I2375" s="929">
        <v>3163</v>
      </c>
      <c r="J2375" s="689">
        <f t="shared" ref="J2375:J2438" si="38">G2375-I2375</f>
        <v>1</v>
      </c>
    </row>
    <row r="2376" spans="1:10" ht="12.75" customHeight="1" x14ac:dyDescent="0.2">
      <c r="A2376" s="681" t="s">
        <v>2370</v>
      </c>
      <c r="B2376" s="693" t="s">
        <v>4944</v>
      </c>
      <c r="C2376" s="672" t="s">
        <v>787</v>
      </c>
      <c r="D2376" s="673">
        <v>36211</v>
      </c>
      <c r="E2376" s="674">
        <v>10</v>
      </c>
      <c r="F2376" s="675">
        <v>0.1</v>
      </c>
      <c r="G2376" s="676">
        <v>3164</v>
      </c>
      <c r="H2376" s="929">
        <v>0</v>
      </c>
      <c r="I2376" s="929">
        <v>3163</v>
      </c>
      <c r="J2376" s="689">
        <f t="shared" si="38"/>
        <v>1</v>
      </c>
    </row>
    <row r="2377" spans="1:10" ht="12.75" customHeight="1" x14ac:dyDescent="0.2">
      <c r="A2377" s="681" t="s">
        <v>2370</v>
      </c>
      <c r="B2377" s="693" t="s">
        <v>4945</v>
      </c>
      <c r="C2377" s="672" t="s">
        <v>787</v>
      </c>
      <c r="D2377" s="673">
        <v>36211</v>
      </c>
      <c r="E2377" s="674">
        <v>10</v>
      </c>
      <c r="F2377" s="675">
        <v>0.1</v>
      </c>
      <c r="G2377" s="676">
        <v>3164</v>
      </c>
      <c r="H2377" s="929">
        <v>0</v>
      </c>
      <c r="I2377" s="929">
        <v>3163</v>
      </c>
      <c r="J2377" s="689">
        <f t="shared" si="38"/>
        <v>1</v>
      </c>
    </row>
    <row r="2378" spans="1:10" ht="12.75" customHeight="1" x14ac:dyDescent="0.2">
      <c r="A2378" s="681" t="s">
        <v>2370</v>
      </c>
      <c r="B2378" s="693" t="s">
        <v>4946</v>
      </c>
      <c r="C2378" s="672" t="s">
        <v>787</v>
      </c>
      <c r="D2378" s="673">
        <v>36211</v>
      </c>
      <c r="E2378" s="674">
        <v>10</v>
      </c>
      <c r="F2378" s="675">
        <v>0.1</v>
      </c>
      <c r="G2378" s="676">
        <v>3164</v>
      </c>
      <c r="H2378" s="929">
        <v>0</v>
      </c>
      <c r="I2378" s="929">
        <v>3163</v>
      </c>
      <c r="J2378" s="689">
        <f t="shared" si="38"/>
        <v>1</v>
      </c>
    </row>
    <row r="2379" spans="1:10" ht="12.75" customHeight="1" x14ac:dyDescent="0.2">
      <c r="A2379" s="681" t="s">
        <v>2370</v>
      </c>
      <c r="B2379" s="693" t="s">
        <v>4947</v>
      </c>
      <c r="C2379" s="672" t="s">
        <v>787</v>
      </c>
      <c r="D2379" s="673">
        <v>36211</v>
      </c>
      <c r="E2379" s="674">
        <v>10</v>
      </c>
      <c r="F2379" s="675">
        <v>0.1</v>
      </c>
      <c r="G2379" s="676">
        <v>3164</v>
      </c>
      <c r="H2379" s="929">
        <v>0</v>
      </c>
      <c r="I2379" s="929">
        <v>3163</v>
      </c>
      <c r="J2379" s="689">
        <f t="shared" si="38"/>
        <v>1</v>
      </c>
    </row>
    <row r="2380" spans="1:10" ht="12.75" customHeight="1" x14ac:dyDescent="0.2">
      <c r="A2380" s="681" t="s">
        <v>2370</v>
      </c>
      <c r="B2380" s="693" t="s">
        <v>4948</v>
      </c>
      <c r="C2380" s="672" t="s">
        <v>787</v>
      </c>
      <c r="D2380" s="673">
        <v>36211</v>
      </c>
      <c r="E2380" s="674">
        <v>10</v>
      </c>
      <c r="F2380" s="675">
        <v>0.1</v>
      </c>
      <c r="G2380" s="676">
        <v>3164</v>
      </c>
      <c r="H2380" s="929">
        <v>0</v>
      </c>
      <c r="I2380" s="929">
        <v>3163</v>
      </c>
      <c r="J2380" s="689">
        <f t="shared" si="38"/>
        <v>1</v>
      </c>
    </row>
    <row r="2381" spans="1:10" ht="12.75" customHeight="1" x14ac:dyDescent="0.2">
      <c r="A2381" s="681" t="s">
        <v>2370</v>
      </c>
      <c r="B2381" s="693" t="s">
        <v>4949</v>
      </c>
      <c r="C2381" s="672" t="s">
        <v>787</v>
      </c>
      <c r="D2381" s="673">
        <v>36211</v>
      </c>
      <c r="E2381" s="674">
        <v>10</v>
      </c>
      <c r="F2381" s="675">
        <v>0.1</v>
      </c>
      <c r="G2381" s="676">
        <v>3164</v>
      </c>
      <c r="H2381" s="929">
        <v>0</v>
      </c>
      <c r="I2381" s="929">
        <v>3163</v>
      </c>
      <c r="J2381" s="689">
        <f t="shared" si="38"/>
        <v>1</v>
      </c>
    </row>
    <row r="2382" spans="1:10" ht="12.75" customHeight="1" x14ac:dyDescent="0.2">
      <c r="A2382" s="681" t="s">
        <v>2370</v>
      </c>
      <c r="B2382" s="693" t="s">
        <v>4950</v>
      </c>
      <c r="C2382" s="672" t="s">
        <v>787</v>
      </c>
      <c r="D2382" s="673">
        <v>36211</v>
      </c>
      <c r="E2382" s="674">
        <v>10</v>
      </c>
      <c r="F2382" s="675">
        <v>0.1</v>
      </c>
      <c r="G2382" s="676">
        <v>3164</v>
      </c>
      <c r="H2382" s="929">
        <v>0</v>
      </c>
      <c r="I2382" s="929">
        <v>3163</v>
      </c>
      <c r="J2382" s="689">
        <f t="shared" si="38"/>
        <v>1</v>
      </c>
    </row>
    <row r="2383" spans="1:10" ht="12.75" customHeight="1" x14ac:dyDescent="0.2">
      <c r="A2383" s="681" t="s">
        <v>2370</v>
      </c>
      <c r="B2383" s="693" t="s">
        <v>4951</v>
      </c>
      <c r="C2383" s="672" t="s">
        <v>787</v>
      </c>
      <c r="D2383" s="673">
        <v>36211</v>
      </c>
      <c r="E2383" s="674">
        <v>10</v>
      </c>
      <c r="F2383" s="675">
        <v>0.1</v>
      </c>
      <c r="G2383" s="676">
        <v>3164</v>
      </c>
      <c r="H2383" s="929">
        <v>0</v>
      </c>
      <c r="I2383" s="929">
        <v>3163</v>
      </c>
      <c r="J2383" s="689">
        <f t="shared" si="38"/>
        <v>1</v>
      </c>
    </row>
    <row r="2384" spans="1:10" ht="12.75" customHeight="1" x14ac:dyDescent="0.2">
      <c r="A2384" s="681" t="s">
        <v>2370</v>
      </c>
      <c r="B2384" s="693" t="s">
        <v>4952</v>
      </c>
      <c r="C2384" s="672" t="s">
        <v>806</v>
      </c>
      <c r="D2384" s="673">
        <v>37307</v>
      </c>
      <c r="E2384" s="674">
        <v>10</v>
      </c>
      <c r="F2384" s="675">
        <v>0.1</v>
      </c>
      <c r="G2384" s="676">
        <v>3200</v>
      </c>
      <c r="H2384" s="929">
        <v>0</v>
      </c>
      <c r="I2384" s="929">
        <v>3199</v>
      </c>
      <c r="J2384" s="689">
        <f t="shared" si="38"/>
        <v>1</v>
      </c>
    </row>
    <row r="2385" spans="1:10" ht="12.75" customHeight="1" x14ac:dyDescent="0.2">
      <c r="A2385" s="681" t="s">
        <v>2370</v>
      </c>
      <c r="B2385" s="693" t="s">
        <v>4953</v>
      </c>
      <c r="C2385" s="672" t="s">
        <v>791</v>
      </c>
      <c r="D2385" s="673">
        <v>37307</v>
      </c>
      <c r="E2385" s="674">
        <v>10</v>
      </c>
      <c r="F2385" s="675">
        <v>0.1</v>
      </c>
      <c r="G2385" s="676">
        <v>3220</v>
      </c>
      <c r="H2385" s="929">
        <v>0</v>
      </c>
      <c r="I2385" s="929">
        <v>3219</v>
      </c>
      <c r="J2385" s="689">
        <f t="shared" si="38"/>
        <v>1</v>
      </c>
    </row>
    <row r="2386" spans="1:10" ht="12.75" customHeight="1" x14ac:dyDescent="0.2">
      <c r="A2386" s="681" t="s">
        <v>2370</v>
      </c>
      <c r="B2386" s="693" t="s">
        <v>4954</v>
      </c>
      <c r="C2386" s="672" t="s">
        <v>798</v>
      </c>
      <c r="D2386" s="673">
        <v>36211</v>
      </c>
      <c r="E2386" s="674">
        <v>10</v>
      </c>
      <c r="F2386" s="675">
        <v>0.1</v>
      </c>
      <c r="G2386" s="676">
        <v>3220</v>
      </c>
      <c r="H2386" s="929">
        <v>0</v>
      </c>
      <c r="I2386" s="929">
        <v>3219</v>
      </c>
      <c r="J2386" s="689">
        <f t="shared" si="38"/>
        <v>1</v>
      </c>
    </row>
    <row r="2387" spans="1:10" ht="12.75" customHeight="1" x14ac:dyDescent="0.2">
      <c r="A2387" s="681" t="s">
        <v>2370</v>
      </c>
      <c r="B2387" s="693" t="s">
        <v>4955</v>
      </c>
      <c r="C2387" s="672" t="s">
        <v>806</v>
      </c>
      <c r="D2387" s="673">
        <v>36576</v>
      </c>
      <c r="E2387" s="674">
        <v>10</v>
      </c>
      <c r="F2387" s="675">
        <v>0.1</v>
      </c>
      <c r="G2387" s="676">
        <v>3221</v>
      </c>
      <c r="H2387" s="929">
        <v>0</v>
      </c>
      <c r="I2387" s="929">
        <v>3220</v>
      </c>
      <c r="J2387" s="689">
        <f t="shared" si="38"/>
        <v>1</v>
      </c>
    </row>
    <row r="2388" spans="1:10" ht="12.75" customHeight="1" x14ac:dyDescent="0.2">
      <c r="A2388" s="681" t="s">
        <v>2370</v>
      </c>
      <c r="B2388" s="693" t="s">
        <v>4956</v>
      </c>
      <c r="C2388" s="672" t="s">
        <v>893</v>
      </c>
      <c r="D2388" s="673">
        <v>39498</v>
      </c>
      <c r="E2388" s="674">
        <v>3</v>
      </c>
      <c r="F2388" s="675">
        <v>0.33</v>
      </c>
      <c r="G2388" s="676">
        <v>3250</v>
      </c>
      <c r="H2388" s="929">
        <v>0</v>
      </c>
      <c r="I2388" s="929">
        <v>3249</v>
      </c>
      <c r="J2388" s="689">
        <f t="shared" si="38"/>
        <v>1</v>
      </c>
    </row>
    <row r="2389" spans="1:10" ht="12.75" customHeight="1" x14ac:dyDescent="0.2">
      <c r="A2389" s="681" t="s">
        <v>2370</v>
      </c>
      <c r="B2389" s="693" t="s">
        <v>4957</v>
      </c>
      <c r="C2389" s="672" t="s">
        <v>787</v>
      </c>
      <c r="D2389" s="673">
        <v>36211</v>
      </c>
      <c r="E2389" s="674">
        <v>10</v>
      </c>
      <c r="F2389" s="675">
        <v>0.1</v>
      </c>
      <c r="G2389" s="676">
        <v>3264</v>
      </c>
      <c r="H2389" s="929">
        <v>0</v>
      </c>
      <c r="I2389" s="929">
        <v>3263</v>
      </c>
      <c r="J2389" s="689">
        <f t="shared" si="38"/>
        <v>1</v>
      </c>
    </row>
    <row r="2390" spans="1:10" ht="12.75" customHeight="1" x14ac:dyDescent="0.2">
      <c r="A2390" s="681" t="s">
        <v>2370</v>
      </c>
      <c r="B2390" s="693" t="s">
        <v>4958</v>
      </c>
      <c r="C2390" s="672" t="s">
        <v>787</v>
      </c>
      <c r="D2390" s="673">
        <v>36576</v>
      </c>
      <c r="E2390" s="674">
        <v>10</v>
      </c>
      <c r="F2390" s="675">
        <v>0.1</v>
      </c>
      <c r="G2390" s="676">
        <v>3264</v>
      </c>
      <c r="H2390" s="929">
        <v>0</v>
      </c>
      <c r="I2390" s="929">
        <v>3263</v>
      </c>
      <c r="J2390" s="689">
        <f t="shared" si="38"/>
        <v>1</v>
      </c>
    </row>
    <row r="2391" spans="1:10" ht="12.75" customHeight="1" x14ac:dyDescent="0.2">
      <c r="A2391" s="681" t="s">
        <v>2370</v>
      </c>
      <c r="B2391" s="693" t="s">
        <v>4959</v>
      </c>
      <c r="C2391" s="672" t="s">
        <v>787</v>
      </c>
      <c r="D2391" s="673">
        <v>36211</v>
      </c>
      <c r="E2391" s="674">
        <v>10</v>
      </c>
      <c r="F2391" s="675">
        <v>0.1</v>
      </c>
      <c r="G2391" s="676">
        <v>3264</v>
      </c>
      <c r="H2391" s="929">
        <v>0</v>
      </c>
      <c r="I2391" s="929">
        <v>3263</v>
      </c>
      <c r="J2391" s="689">
        <f t="shared" si="38"/>
        <v>1</v>
      </c>
    </row>
    <row r="2392" spans="1:10" ht="12.75" customHeight="1" x14ac:dyDescent="0.2">
      <c r="A2392" s="681" t="s">
        <v>2370</v>
      </c>
      <c r="B2392" s="693" t="s">
        <v>4960</v>
      </c>
      <c r="C2392" s="672" t="s">
        <v>787</v>
      </c>
      <c r="D2392" s="673">
        <v>36211</v>
      </c>
      <c r="E2392" s="674">
        <v>10</v>
      </c>
      <c r="F2392" s="675">
        <v>0.1</v>
      </c>
      <c r="G2392" s="676">
        <v>3264</v>
      </c>
      <c r="H2392" s="929">
        <v>0</v>
      </c>
      <c r="I2392" s="929">
        <v>3263</v>
      </c>
      <c r="J2392" s="689">
        <f t="shared" si="38"/>
        <v>1</v>
      </c>
    </row>
    <row r="2393" spans="1:10" ht="12.75" customHeight="1" x14ac:dyDescent="0.2">
      <c r="A2393" s="681" t="s">
        <v>2370</v>
      </c>
      <c r="B2393" s="693" t="s">
        <v>4961</v>
      </c>
      <c r="C2393" s="672" t="s">
        <v>787</v>
      </c>
      <c r="D2393" s="673">
        <v>36211</v>
      </c>
      <c r="E2393" s="674">
        <v>10</v>
      </c>
      <c r="F2393" s="675">
        <v>0.1</v>
      </c>
      <c r="G2393" s="676">
        <v>3264</v>
      </c>
      <c r="H2393" s="929">
        <v>0</v>
      </c>
      <c r="I2393" s="929">
        <v>3263</v>
      </c>
      <c r="J2393" s="689">
        <f t="shared" si="38"/>
        <v>1</v>
      </c>
    </row>
    <row r="2394" spans="1:10" ht="12.75" customHeight="1" x14ac:dyDescent="0.2">
      <c r="A2394" s="681" t="s">
        <v>2370</v>
      </c>
      <c r="B2394" s="693" t="s">
        <v>4962</v>
      </c>
      <c r="C2394" s="672" t="s">
        <v>787</v>
      </c>
      <c r="D2394" s="673">
        <v>36211</v>
      </c>
      <c r="E2394" s="674">
        <v>10</v>
      </c>
      <c r="F2394" s="675">
        <v>0.1</v>
      </c>
      <c r="G2394" s="676">
        <v>3264</v>
      </c>
      <c r="H2394" s="929">
        <v>0</v>
      </c>
      <c r="I2394" s="929">
        <v>3263</v>
      </c>
      <c r="J2394" s="689">
        <f t="shared" si="38"/>
        <v>1</v>
      </c>
    </row>
    <row r="2395" spans="1:10" ht="12.75" customHeight="1" x14ac:dyDescent="0.2">
      <c r="A2395" s="681" t="s">
        <v>2370</v>
      </c>
      <c r="B2395" s="693" t="s">
        <v>4963</v>
      </c>
      <c r="C2395" s="672" t="s">
        <v>787</v>
      </c>
      <c r="D2395" s="673">
        <v>37307</v>
      </c>
      <c r="E2395" s="674">
        <v>10</v>
      </c>
      <c r="F2395" s="675">
        <v>0.1</v>
      </c>
      <c r="G2395" s="676">
        <v>3264</v>
      </c>
      <c r="H2395" s="929">
        <v>0</v>
      </c>
      <c r="I2395" s="929">
        <v>3263</v>
      </c>
      <c r="J2395" s="689">
        <f t="shared" si="38"/>
        <v>1</v>
      </c>
    </row>
    <row r="2396" spans="1:10" ht="12.75" customHeight="1" x14ac:dyDescent="0.2">
      <c r="A2396" s="681" t="s">
        <v>2370</v>
      </c>
      <c r="B2396" s="693" t="s">
        <v>4964</v>
      </c>
      <c r="C2396" s="672" t="s">
        <v>828</v>
      </c>
      <c r="D2396" s="673">
        <v>36576</v>
      </c>
      <c r="E2396" s="674">
        <v>10</v>
      </c>
      <c r="F2396" s="675">
        <v>0.1</v>
      </c>
      <c r="G2396" s="676">
        <v>3278</v>
      </c>
      <c r="H2396" s="929">
        <v>0</v>
      </c>
      <c r="I2396" s="929">
        <v>3277</v>
      </c>
      <c r="J2396" s="689">
        <f t="shared" si="38"/>
        <v>1</v>
      </c>
    </row>
    <row r="2397" spans="1:10" ht="12.75" customHeight="1" x14ac:dyDescent="0.2">
      <c r="A2397" s="681" t="s">
        <v>2370</v>
      </c>
      <c r="B2397" s="693" t="s">
        <v>4965</v>
      </c>
      <c r="C2397" s="672" t="s">
        <v>795</v>
      </c>
      <c r="D2397" s="673">
        <v>38037</v>
      </c>
      <c r="E2397" s="674">
        <v>10</v>
      </c>
      <c r="F2397" s="675">
        <v>0.1</v>
      </c>
      <c r="G2397" s="676">
        <v>3306</v>
      </c>
      <c r="H2397" s="929">
        <v>0</v>
      </c>
      <c r="I2397" s="929">
        <v>3305</v>
      </c>
      <c r="J2397" s="689">
        <f t="shared" si="38"/>
        <v>1</v>
      </c>
    </row>
    <row r="2398" spans="1:10" ht="12.75" customHeight="1" x14ac:dyDescent="0.2">
      <c r="A2398" s="681" t="s">
        <v>2370</v>
      </c>
      <c r="B2398" s="693" t="s">
        <v>4966</v>
      </c>
      <c r="C2398" s="672" t="s">
        <v>795</v>
      </c>
      <c r="D2398" s="673">
        <v>36211</v>
      </c>
      <c r="E2398" s="674">
        <v>10</v>
      </c>
      <c r="F2398" s="675">
        <v>0.1</v>
      </c>
      <c r="G2398" s="676">
        <v>3321</v>
      </c>
      <c r="H2398" s="929">
        <v>0</v>
      </c>
      <c r="I2398" s="929">
        <v>3320</v>
      </c>
      <c r="J2398" s="689">
        <f t="shared" si="38"/>
        <v>1</v>
      </c>
    </row>
    <row r="2399" spans="1:10" ht="12.75" customHeight="1" x14ac:dyDescent="0.2">
      <c r="A2399" s="681" t="s">
        <v>2372</v>
      </c>
      <c r="B2399" s="693" t="s">
        <v>4967</v>
      </c>
      <c r="C2399" s="672" t="s">
        <v>1017</v>
      </c>
      <c r="D2399" s="673">
        <v>40594</v>
      </c>
      <c r="E2399" s="674">
        <v>3</v>
      </c>
      <c r="F2399" s="675">
        <v>0.33</v>
      </c>
      <c r="G2399" s="676">
        <v>3350</v>
      </c>
      <c r="H2399" s="929">
        <v>0</v>
      </c>
      <c r="I2399" s="929">
        <v>3349</v>
      </c>
      <c r="J2399" s="689">
        <f t="shared" si="38"/>
        <v>1</v>
      </c>
    </row>
    <row r="2400" spans="1:10" ht="12.75" customHeight="1" x14ac:dyDescent="0.2">
      <c r="A2400" s="681" t="s">
        <v>2372</v>
      </c>
      <c r="B2400" s="693" t="s">
        <v>4968</v>
      </c>
      <c r="C2400" s="672" t="s">
        <v>1017</v>
      </c>
      <c r="D2400" s="673">
        <v>40594</v>
      </c>
      <c r="E2400" s="674">
        <v>3</v>
      </c>
      <c r="F2400" s="675">
        <v>0.33</v>
      </c>
      <c r="G2400" s="676">
        <v>3350</v>
      </c>
      <c r="H2400" s="929">
        <v>0</v>
      </c>
      <c r="I2400" s="929">
        <v>3349</v>
      </c>
      <c r="J2400" s="689">
        <f t="shared" si="38"/>
        <v>1</v>
      </c>
    </row>
    <row r="2401" spans="1:10" ht="12.75" customHeight="1" x14ac:dyDescent="0.2">
      <c r="A2401" s="681" t="s">
        <v>2370</v>
      </c>
      <c r="B2401" s="693" t="s">
        <v>4969</v>
      </c>
      <c r="C2401" s="672" t="s">
        <v>798</v>
      </c>
      <c r="D2401" s="673">
        <v>36211</v>
      </c>
      <c r="E2401" s="674">
        <v>10</v>
      </c>
      <c r="F2401" s="675">
        <v>0.1</v>
      </c>
      <c r="G2401" s="676">
        <v>3372</v>
      </c>
      <c r="H2401" s="929">
        <v>0</v>
      </c>
      <c r="I2401" s="929">
        <v>3371</v>
      </c>
      <c r="J2401" s="689">
        <f t="shared" si="38"/>
        <v>1</v>
      </c>
    </row>
    <row r="2402" spans="1:10" ht="12.75" customHeight="1" x14ac:dyDescent="0.2">
      <c r="A2402" s="681" t="s">
        <v>2370</v>
      </c>
      <c r="B2402" s="693" t="s">
        <v>4970</v>
      </c>
      <c r="C2402" s="672" t="s">
        <v>798</v>
      </c>
      <c r="D2402" s="673">
        <v>36211</v>
      </c>
      <c r="E2402" s="674">
        <v>10</v>
      </c>
      <c r="F2402" s="675">
        <v>0.1</v>
      </c>
      <c r="G2402" s="676">
        <v>3392</v>
      </c>
      <c r="H2402" s="929">
        <v>0</v>
      </c>
      <c r="I2402" s="929">
        <v>3391</v>
      </c>
      <c r="J2402" s="689">
        <f t="shared" si="38"/>
        <v>1</v>
      </c>
    </row>
    <row r="2403" spans="1:10" ht="12.75" customHeight="1" x14ac:dyDescent="0.2">
      <c r="A2403" s="681" t="s">
        <v>2370</v>
      </c>
      <c r="B2403" s="693" t="s">
        <v>4971</v>
      </c>
      <c r="C2403" s="672" t="s">
        <v>798</v>
      </c>
      <c r="D2403" s="673">
        <v>36211</v>
      </c>
      <c r="E2403" s="674">
        <v>10</v>
      </c>
      <c r="F2403" s="675">
        <v>0.1</v>
      </c>
      <c r="G2403" s="676">
        <v>3392</v>
      </c>
      <c r="H2403" s="929">
        <v>0</v>
      </c>
      <c r="I2403" s="929">
        <v>3391</v>
      </c>
      <c r="J2403" s="689">
        <f t="shared" si="38"/>
        <v>1</v>
      </c>
    </row>
    <row r="2404" spans="1:10" ht="12.75" customHeight="1" x14ac:dyDescent="0.2">
      <c r="A2404" s="681" t="s">
        <v>2370</v>
      </c>
      <c r="B2404" s="693" t="s">
        <v>4972</v>
      </c>
      <c r="C2404" s="672" t="s">
        <v>798</v>
      </c>
      <c r="D2404" s="673">
        <v>36211</v>
      </c>
      <c r="E2404" s="674">
        <v>10</v>
      </c>
      <c r="F2404" s="675">
        <v>0.1</v>
      </c>
      <c r="G2404" s="676">
        <v>3392</v>
      </c>
      <c r="H2404" s="929">
        <v>0</v>
      </c>
      <c r="I2404" s="929">
        <v>3391</v>
      </c>
      <c r="J2404" s="689">
        <f t="shared" si="38"/>
        <v>1</v>
      </c>
    </row>
    <row r="2405" spans="1:10" ht="12.75" customHeight="1" x14ac:dyDescent="0.2">
      <c r="A2405" s="681" t="s">
        <v>2372</v>
      </c>
      <c r="B2405" s="693" t="s">
        <v>4973</v>
      </c>
      <c r="C2405" s="672" t="s">
        <v>1025</v>
      </c>
      <c r="D2405" s="673">
        <v>38403</v>
      </c>
      <c r="E2405" s="674">
        <v>3</v>
      </c>
      <c r="F2405" s="675">
        <v>0.33</v>
      </c>
      <c r="G2405" s="676">
        <v>3393</v>
      </c>
      <c r="H2405" s="929">
        <v>0</v>
      </c>
      <c r="I2405" s="929">
        <v>3392</v>
      </c>
      <c r="J2405" s="689">
        <f t="shared" si="38"/>
        <v>1</v>
      </c>
    </row>
    <row r="2406" spans="1:10" ht="12.75" customHeight="1" x14ac:dyDescent="0.2">
      <c r="A2406" s="681" t="s">
        <v>2370</v>
      </c>
      <c r="B2406" s="693" t="s">
        <v>4974</v>
      </c>
      <c r="C2406" s="672" t="s">
        <v>798</v>
      </c>
      <c r="D2406" s="673">
        <v>37307</v>
      </c>
      <c r="E2406" s="674">
        <v>10</v>
      </c>
      <c r="F2406" s="675">
        <v>0.1</v>
      </c>
      <c r="G2406" s="676">
        <v>3394</v>
      </c>
      <c r="H2406" s="929">
        <v>0</v>
      </c>
      <c r="I2406" s="929">
        <v>3393</v>
      </c>
      <c r="J2406" s="689">
        <f t="shared" si="38"/>
        <v>1</v>
      </c>
    </row>
    <row r="2407" spans="1:10" ht="12.75" customHeight="1" x14ac:dyDescent="0.2">
      <c r="A2407" s="681" t="s">
        <v>2370</v>
      </c>
      <c r="B2407" s="693" t="s">
        <v>4975</v>
      </c>
      <c r="C2407" s="672" t="s">
        <v>787</v>
      </c>
      <c r="D2407" s="673">
        <v>36211</v>
      </c>
      <c r="E2407" s="674">
        <v>10</v>
      </c>
      <c r="F2407" s="675">
        <v>0.1</v>
      </c>
      <c r="G2407" s="676">
        <v>3402</v>
      </c>
      <c r="H2407" s="929">
        <v>0</v>
      </c>
      <c r="I2407" s="929">
        <v>3401</v>
      </c>
      <c r="J2407" s="689">
        <f t="shared" si="38"/>
        <v>1</v>
      </c>
    </row>
    <row r="2408" spans="1:10" ht="12.75" customHeight="1" x14ac:dyDescent="0.2">
      <c r="A2408" s="681" t="s">
        <v>2370</v>
      </c>
      <c r="B2408" s="693" t="s">
        <v>4976</v>
      </c>
      <c r="C2408" s="672" t="s">
        <v>787</v>
      </c>
      <c r="D2408" s="673">
        <v>36211</v>
      </c>
      <c r="E2408" s="674">
        <v>10</v>
      </c>
      <c r="F2408" s="675">
        <v>0.1</v>
      </c>
      <c r="G2408" s="676">
        <v>3402</v>
      </c>
      <c r="H2408" s="929">
        <v>0</v>
      </c>
      <c r="I2408" s="929">
        <v>3401</v>
      </c>
      <c r="J2408" s="689">
        <f t="shared" si="38"/>
        <v>1</v>
      </c>
    </row>
    <row r="2409" spans="1:10" ht="12.75" customHeight="1" x14ac:dyDescent="0.2">
      <c r="A2409" s="681" t="s">
        <v>2370</v>
      </c>
      <c r="B2409" s="693" t="s">
        <v>4977</v>
      </c>
      <c r="C2409" s="672" t="s">
        <v>804</v>
      </c>
      <c r="D2409" s="673">
        <v>33289</v>
      </c>
      <c r="E2409" s="674">
        <v>10</v>
      </c>
      <c r="F2409" s="675">
        <v>0.1</v>
      </c>
      <c r="G2409" s="676">
        <v>3416</v>
      </c>
      <c r="H2409" s="929">
        <v>0</v>
      </c>
      <c r="I2409" s="929">
        <v>3415</v>
      </c>
      <c r="J2409" s="689">
        <f t="shared" si="38"/>
        <v>1</v>
      </c>
    </row>
    <row r="2410" spans="1:10" ht="12.75" customHeight="1" x14ac:dyDescent="0.2">
      <c r="A2410" s="681" t="s">
        <v>2370</v>
      </c>
      <c r="B2410" s="693" t="s">
        <v>4978</v>
      </c>
      <c r="C2410" s="672" t="s">
        <v>802</v>
      </c>
      <c r="D2410" s="673">
        <v>36211</v>
      </c>
      <c r="E2410" s="674">
        <v>10</v>
      </c>
      <c r="F2410" s="675">
        <v>0.1</v>
      </c>
      <c r="G2410" s="676">
        <v>3425</v>
      </c>
      <c r="H2410" s="929">
        <v>0</v>
      </c>
      <c r="I2410" s="929">
        <v>3424</v>
      </c>
      <c r="J2410" s="689">
        <f t="shared" si="38"/>
        <v>1</v>
      </c>
    </row>
    <row r="2411" spans="1:10" ht="12.75" customHeight="1" x14ac:dyDescent="0.2">
      <c r="A2411" s="681" t="s">
        <v>2370</v>
      </c>
      <c r="B2411" s="693" t="s">
        <v>4979</v>
      </c>
      <c r="C2411" s="672" t="s">
        <v>791</v>
      </c>
      <c r="D2411" s="673">
        <v>35115</v>
      </c>
      <c r="E2411" s="674">
        <v>10</v>
      </c>
      <c r="F2411" s="675">
        <v>0.1</v>
      </c>
      <c r="G2411" s="676">
        <v>3435.74</v>
      </c>
      <c r="H2411" s="929">
        <v>0</v>
      </c>
      <c r="I2411" s="929">
        <v>3434.74</v>
      </c>
      <c r="J2411" s="689">
        <f t="shared" si="38"/>
        <v>1</v>
      </c>
    </row>
    <row r="2412" spans="1:10" ht="12.75" customHeight="1" x14ac:dyDescent="0.2">
      <c r="A2412" s="681" t="s">
        <v>2370</v>
      </c>
      <c r="B2412" s="693" t="s">
        <v>4980</v>
      </c>
      <c r="C2412" s="672" t="s">
        <v>791</v>
      </c>
      <c r="D2412" s="673">
        <v>35115</v>
      </c>
      <c r="E2412" s="674">
        <v>10</v>
      </c>
      <c r="F2412" s="675">
        <v>0.1</v>
      </c>
      <c r="G2412" s="676">
        <v>3436</v>
      </c>
      <c r="H2412" s="929">
        <v>0</v>
      </c>
      <c r="I2412" s="929">
        <v>3435</v>
      </c>
      <c r="J2412" s="689">
        <f t="shared" si="38"/>
        <v>1</v>
      </c>
    </row>
    <row r="2413" spans="1:10" ht="12.75" customHeight="1" x14ac:dyDescent="0.2">
      <c r="A2413" s="681" t="s">
        <v>2370</v>
      </c>
      <c r="B2413" s="693" t="s">
        <v>4981</v>
      </c>
      <c r="C2413" s="672" t="s">
        <v>791</v>
      </c>
      <c r="D2413" s="673">
        <v>35846</v>
      </c>
      <c r="E2413" s="674">
        <v>10</v>
      </c>
      <c r="F2413" s="675">
        <v>0.1</v>
      </c>
      <c r="G2413" s="676">
        <v>3436</v>
      </c>
      <c r="H2413" s="929">
        <v>0</v>
      </c>
      <c r="I2413" s="929">
        <v>3435</v>
      </c>
      <c r="J2413" s="689">
        <f t="shared" si="38"/>
        <v>1</v>
      </c>
    </row>
    <row r="2414" spans="1:10" ht="12.75" customHeight="1" x14ac:dyDescent="0.2">
      <c r="A2414" s="681" t="s">
        <v>2370</v>
      </c>
      <c r="B2414" s="693" t="s">
        <v>4982</v>
      </c>
      <c r="C2414" s="672" t="s">
        <v>791</v>
      </c>
      <c r="D2414" s="673">
        <v>35846</v>
      </c>
      <c r="E2414" s="674">
        <v>10</v>
      </c>
      <c r="F2414" s="675">
        <v>0.1</v>
      </c>
      <c r="G2414" s="676">
        <v>3436</v>
      </c>
      <c r="H2414" s="929">
        <v>0</v>
      </c>
      <c r="I2414" s="929">
        <v>3435</v>
      </c>
      <c r="J2414" s="689">
        <f t="shared" si="38"/>
        <v>1</v>
      </c>
    </row>
    <row r="2415" spans="1:10" ht="12.75" customHeight="1" x14ac:dyDescent="0.2">
      <c r="A2415" s="681" t="s">
        <v>2370</v>
      </c>
      <c r="B2415" s="693" t="s">
        <v>4983</v>
      </c>
      <c r="C2415" s="672" t="s">
        <v>791</v>
      </c>
      <c r="D2415" s="673">
        <v>35115</v>
      </c>
      <c r="E2415" s="674">
        <v>10</v>
      </c>
      <c r="F2415" s="675">
        <v>0.1</v>
      </c>
      <c r="G2415" s="676">
        <v>3436</v>
      </c>
      <c r="H2415" s="929">
        <v>0</v>
      </c>
      <c r="I2415" s="929">
        <v>3435</v>
      </c>
      <c r="J2415" s="689">
        <f t="shared" si="38"/>
        <v>1</v>
      </c>
    </row>
    <row r="2416" spans="1:10" ht="12.75" customHeight="1" x14ac:dyDescent="0.2">
      <c r="A2416" s="681" t="s">
        <v>2370</v>
      </c>
      <c r="B2416" s="693" t="s">
        <v>4984</v>
      </c>
      <c r="C2416" s="672" t="s">
        <v>791</v>
      </c>
      <c r="D2416" s="673">
        <v>35115</v>
      </c>
      <c r="E2416" s="674">
        <v>10</v>
      </c>
      <c r="F2416" s="675">
        <v>0.1</v>
      </c>
      <c r="G2416" s="676">
        <v>3436</v>
      </c>
      <c r="H2416" s="929">
        <v>0</v>
      </c>
      <c r="I2416" s="929">
        <v>3435</v>
      </c>
      <c r="J2416" s="689">
        <f t="shared" si="38"/>
        <v>1</v>
      </c>
    </row>
    <row r="2417" spans="1:10" ht="12.75" customHeight="1" x14ac:dyDescent="0.2">
      <c r="A2417" s="681" t="s">
        <v>2370</v>
      </c>
      <c r="B2417" s="693" t="s">
        <v>4985</v>
      </c>
      <c r="C2417" s="672" t="s">
        <v>791</v>
      </c>
      <c r="D2417" s="673">
        <v>35115</v>
      </c>
      <c r="E2417" s="674">
        <v>10</v>
      </c>
      <c r="F2417" s="675">
        <v>0.1</v>
      </c>
      <c r="G2417" s="676">
        <v>3436</v>
      </c>
      <c r="H2417" s="929">
        <v>0</v>
      </c>
      <c r="I2417" s="929">
        <v>3435</v>
      </c>
      <c r="J2417" s="689">
        <f t="shared" si="38"/>
        <v>1</v>
      </c>
    </row>
    <row r="2418" spans="1:10" ht="12.75" customHeight="1" x14ac:dyDescent="0.2">
      <c r="A2418" s="681" t="s">
        <v>2370</v>
      </c>
      <c r="B2418" s="693" t="s">
        <v>4986</v>
      </c>
      <c r="C2418" s="672" t="s">
        <v>791</v>
      </c>
      <c r="D2418" s="673">
        <v>35115</v>
      </c>
      <c r="E2418" s="674">
        <v>10</v>
      </c>
      <c r="F2418" s="675">
        <v>0.1</v>
      </c>
      <c r="G2418" s="676">
        <v>3436</v>
      </c>
      <c r="H2418" s="929">
        <v>0</v>
      </c>
      <c r="I2418" s="929">
        <v>3435</v>
      </c>
      <c r="J2418" s="689">
        <f t="shared" si="38"/>
        <v>1</v>
      </c>
    </row>
    <row r="2419" spans="1:10" ht="12.75" customHeight="1" x14ac:dyDescent="0.2">
      <c r="A2419" s="681" t="s">
        <v>2370</v>
      </c>
      <c r="B2419" s="693" t="s">
        <v>4987</v>
      </c>
      <c r="C2419" s="672" t="s">
        <v>791</v>
      </c>
      <c r="D2419" s="673">
        <v>35115</v>
      </c>
      <c r="E2419" s="674">
        <v>10</v>
      </c>
      <c r="F2419" s="675">
        <v>0.1</v>
      </c>
      <c r="G2419" s="676">
        <v>3436</v>
      </c>
      <c r="H2419" s="929">
        <v>0</v>
      </c>
      <c r="I2419" s="929">
        <v>3435</v>
      </c>
      <c r="J2419" s="689">
        <f t="shared" si="38"/>
        <v>1</v>
      </c>
    </row>
    <row r="2420" spans="1:10" ht="12.75" customHeight="1" x14ac:dyDescent="0.2">
      <c r="A2420" s="681" t="s">
        <v>2370</v>
      </c>
      <c r="B2420" s="693" t="s">
        <v>4988</v>
      </c>
      <c r="C2420" s="672" t="s">
        <v>791</v>
      </c>
      <c r="D2420" s="673">
        <v>35115</v>
      </c>
      <c r="E2420" s="674">
        <v>10</v>
      </c>
      <c r="F2420" s="675">
        <v>0.1</v>
      </c>
      <c r="G2420" s="676">
        <v>3436</v>
      </c>
      <c r="H2420" s="929">
        <v>0</v>
      </c>
      <c r="I2420" s="929">
        <v>3435</v>
      </c>
      <c r="J2420" s="689">
        <f t="shared" si="38"/>
        <v>1</v>
      </c>
    </row>
    <row r="2421" spans="1:10" ht="12.75" customHeight="1" x14ac:dyDescent="0.2">
      <c r="A2421" s="681" t="s">
        <v>2370</v>
      </c>
      <c r="B2421" s="693" t="s">
        <v>4989</v>
      </c>
      <c r="C2421" s="672" t="s">
        <v>791</v>
      </c>
      <c r="D2421" s="673">
        <v>36576</v>
      </c>
      <c r="E2421" s="674">
        <v>10</v>
      </c>
      <c r="F2421" s="675">
        <v>0.1</v>
      </c>
      <c r="G2421" s="676">
        <v>3487</v>
      </c>
      <c r="H2421" s="929">
        <v>0</v>
      </c>
      <c r="I2421" s="929">
        <v>3486</v>
      </c>
      <c r="J2421" s="689">
        <f t="shared" si="38"/>
        <v>1</v>
      </c>
    </row>
    <row r="2422" spans="1:10" ht="12.75" customHeight="1" x14ac:dyDescent="0.2">
      <c r="A2422" s="681" t="s">
        <v>2370</v>
      </c>
      <c r="B2422" s="693" t="s">
        <v>4990</v>
      </c>
      <c r="C2422" s="672" t="s">
        <v>791</v>
      </c>
      <c r="D2422" s="673">
        <v>36576</v>
      </c>
      <c r="E2422" s="674">
        <v>10</v>
      </c>
      <c r="F2422" s="675">
        <v>0.1</v>
      </c>
      <c r="G2422" s="676">
        <v>3487</v>
      </c>
      <c r="H2422" s="929">
        <v>0</v>
      </c>
      <c r="I2422" s="929">
        <v>3486</v>
      </c>
      <c r="J2422" s="689">
        <f t="shared" si="38"/>
        <v>1</v>
      </c>
    </row>
    <row r="2423" spans="1:10" ht="12.75" customHeight="1" x14ac:dyDescent="0.2">
      <c r="A2423" s="681" t="s">
        <v>2370</v>
      </c>
      <c r="B2423" s="693" t="s">
        <v>4991</v>
      </c>
      <c r="C2423" s="672" t="s">
        <v>791</v>
      </c>
      <c r="D2423" s="673">
        <v>36576</v>
      </c>
      <c r="E2423" s="674">
        <v>10</v>
      </c>
      <c r="F2423" s="675">
        <v>0.1</v>
      </c>
      <c r="G2423" s="676">
        <v>3488</v>
      </c>
      <c r="H2423" s="929">
        <v>0</v>
      </c>
      <c r="I2423" s="929">
        <v>3487</v>
      </c>
      <c r="J2423" s="689">
        <f t="shared" si="38"/>
        <v>1</v>
      </c>
    </row>
    <row r="2424" spans="1:10" ht="12.75" customHeight="1" x14ac:dyDescent="0.2">
      <c r="A2424" s="681" t="s">
        <v>2370</v>
      </c>
      <c r="B2424" s="693" t="s">
        <v>4992</v>
      </c>
      <c r="C2424" s="672" t="s">
        <v>791</v>
      </c>
      <c r="D2424" s="673">
        <v>36576</v>
      </c>
      <c r="E2424" s="674">
        <v>10</v>
      </c>
      <c r="F2424" s="675">
        <v>0.1</v>
      </c>
      <c r="G2424" s="676">
        <v>3522</v>
      </c>
      <c r="H2424" s="929">
        <v>0</v>
      </c>
      <c r="I2424" s="929">
        <v>3521</v>
      </c>
      <c r="J2424" s="689">
        <f t="shared" si="38"/>
        <v>1</v>
      </c>
    </row>
    <row r="2425" spans="1:10" ht="12.75" customHeight="1" x14ac:dyDescent="0.2">
      <c r="A2425" s="681" t="s">
        <v>2370</v>
      </c>
      <c r="B2425" s="693" t="s">
        <v>4993</v>
      </c>
      <c r="C2425" s="672" t="s">
        <v>894</v>
      </c>
      <c r="D2425" s="673">
        <v>40594</v>
      </c>
      <c r="E2425" s="674">
        <v>3</v>
      </c>
      <c r="F2425" s="675">
        <v>0.33</v>
      </c>
      <c r="G2425" s="676">
        <v>3538</v>
      </c>
      <c r="H2425" s="929">
        <v>0</v>
      </c>
      <c r="I2425" s="929">
        <v>3537</v>
      </c>
      <c r="J2425" s="689">
        <f t="shared" si="38"/>
        <v>1</v>
      </c>
    </row>
    <row r="2426" spans="1:10" ht="12.75" customHeight="1" x14ac:dyDescent="0.2">
      <c r="A2426" s="681" t="s">
        <v>2370</v>
      </c>
      <c r="B2426" s="693" t="s">
        <v>4994</v>
      </c>
      <c r="C2426" s="672" t="s">
        <v>787</v>
      </c>
      <c r="D2426" s="673">
        <v>36211</v>
      </c>
      <c r="E2426" s="674">
        <v>10</v>
      </c>
      <c r="F2426" s="675">
        <v>0.1</v>
      </c>
      <c r="G2426" s="676">
        <v>3575</v>
      </c>
      <c r="H2426" s="929">
        <v>0</v>
      </c>
      <c r="I2426" s="929">
        <v>3574</v>
      </c>
      <c r="J2426" s="689">
        <f t="shared" si="38"/>
        <v>1</v>
      </c>
    </row>
    <row r="2427" spans="1:10" ht="12.75" customHeight="1" x14ac:dyDescent="0.2">
      <c r="A2427" s="681" t="s">
        <v>2370</v>
      </c>
      <c r="B2427" s="693" t="s">
        <v>4995</v>
      </c>
      <c r="C2427" s="672" t="s">
        <v>798</v>
      </c>
      <c r="D2427" s="673">
        <v>34020</v>
      </c>
      <c r="E2427" s="674">
        <v>10</v>
      </c>
      <c r="F2427" s="675">
        <v>0.1</v>
      </c>
      <c r="G2427" s="676">
        <v>3575</v>
      </c>
      <c r="H2427" s="929">
        <v>0</v>
      </c>
      <c r="I2427" s="929">
        <v>3574</v>
      </c>
      <c r="J2427" s="689">
        <f t="shared" si="38"/>
        <v>1</v>
      </c>
    </row>
    <row r="2428" spans="1:10" ht="12.75" customHeight="1" x14ac:dyDescent="0.2">
      <c r="A2428" s="681" t="s">
        <v>2370</v>
      </c>
      <c r="B2428" s="693" t="s">
        <v>4996</v>
      </c>
      <c r="C2428" s="672" t="s">
        <v>787</v>
      </c>
      <c r="D2428" s="673">
        <v>36211</v>
      </c>
      <c r="E2428" s="674">
        <v>10</v>
      </c>
      <c r="F2428" s="675">
        <v>0.1</v>
      </c>
      <c r="G2428" s="676">
        <v>3605</v>
      </c>
      <c r="H2428" s="929">
        <v>0</v>
      </c>
      <c r="I2428" s="929">
        <v>3604</v>
      </c>
      <c r="J2428" s="689">
        <f t="shared" si="38"/>
        <v>1</v>
      </c>
    </row>
    <row r="2429" spans="1:10" ht="12.75" customHeight="1" x14ac:dyDescent="0.2">
      <c r="A2429" s="681" t="s">
        <v>2370</v>
      </c>
      <c r="B2429" s="693" t="s">
        <v>4997</v>
      </c>
      <c r="C2429" s="672" t="s">
        <v>791</v>
      </c>
      <c r="D2429" s="673">
        <v>36576</v>
      </c>
      <c r="E2429" s="674">
        <v>10</v>
      </c>
      <c r="F2429" s="675">
        <v>0.1</v>
      </c>
      <c r="G2429" s="676">
        <v>3636</v>
      </c>
      <c r="H2429" s="929">
        <v>0</v>
      </c>
      <c r="I2429" s="929">
        <v>3635</v>
      </c>
      <c r="J2429" s="689">
        <f t="shared" si="38"/>
        <v>1</v>
      </c>
    </row>
    <row r="2430" spans="1:10" ht="12.75" customHeight="1" x14ac:dyDescent="0.2">
      <c r="A2430" s="681" t="s">
        <v>2370</v>
      </c>
      <c r="B2430" s="693" t="s">
        <v>4998</v>
      </c>
      <c r="C2430" s="672" t="s">
        <v>790</v>
      </c>
      <c r="D2430" s="673">
        <v>37307</v>
      </c>
      <c r="E2430" s="674">
        <v>10</v>
      </c>
      <c r="F2430" s="675">
        <v>0.1</v>
      </c>
      <c r="G2430" s="676">
        <v>3680</v>
      </c>
      <c r="H2430" s="929">
        <v>0</v>
      </c>
      <c r="I2430" s="929">
        <v>3679</v>
      </c>
      <c r="J2430" s="689">
        <f t="shared" si="38"/>
        <v>1</v>
      </c>
    </row>
    <row r="2431" spans="1:10" ht="12.75" customHeight="1" x14ac:dyDescent="0.2">
      <c r="A2431" s="681" t="s">
        <v>2370</v>
      </c>
      <c r="B2431" s="693" t="s">
        <v>4999</v>
      </c>
      <c r="C2431" s="672" t="s">
        <v>836</v>
      </c>
      <c r="D2431" s="673">
        <v>36211</v>
      </c>
      <c r="E2431" s="674">
        <v>10</v>
      </c>
      <c r="F2431" s="675">
        <v>0.1</v>
      </c>
      <c r="G2431" s="676">
        <v>3680</v>
      </c>
      <c r="H2431" s="929">
        <v>0</v>
      </c>
      <c r="I2431" s="929">
        <v>3679</v>
      </c>
      <c r="J2431" s="689">
        <f t="shared" si="38"/>
        <v>1</v>
      </c>
    </row>
    <row r="2432" spans="1:10" ht="12.75" customHeight="1" x14ac:dyDescent="0.2">
      <c r="A2432" s="681" t="s">
        <v>2372</v>
      </c>
      <c r="B2432" s="693" t="s">
        <v>5000</v>
      </c>
      <c r="C2432" s="672" t="s">
        <v>1035</v>
      </c>
      <c r="D2432" s="673">
        <v>37307</v>
      </c>
      <c r="E2432" s="674">
        <v>3</v>
      </c>
      <c r="F2432" s="675">
        <v>0.33</v>
      </c>
      <c r="G2432" s="676">
        <v>3680</v>
      </c>
      <c r="H2432" s="929">
        <v>0</v>
      </c>
      <c r="I2432" s="929">
        <v>3679</v>
      </c>
      <c r="J2432" s="689">
        <f t="shared" si="38"/>
        <v>1</v>
      </c>
    </row>
    <row r="2433" spans="1:10" ht="12.75" customHeight="1" x14ac:dyDescent="0.2">
      <c r="A2433" s="681" t="s">
        <v>2372</v>
      </c>
      <c r="B2433" s="693" t="s">
        <v>5001</v>
      </c>
      <c r="C2433" s="672" t="s">
        <v>1035</v>
      </c>
      <c r="D2433" s="673">
        <v>37307</v>
      </c>
      <c r="E2433" s="674">
        <v>3</v>
      </c>
      <c r="F2433" s="675">
        <v>0.33</v>
      </c>
      <c r="G2433" s="676">
        <v>3680</v>
      </c>
      <c r="H2433" s="929">
        <v>0</v>
      </c>
      <c r="I2433" s="929">
        <v>3679</v>
      </c>
      <c r="J2433" s="689">
        <f t="shared" si="38"/>
        <v>1</v>
      </c>
    </row>
    <row r="2434" spans="1:10" ht="12.75" customHeight="1" x14ac:dyDescent="0.2">
      <c r="A2434" s="681" t="s">
        <v>2372</v>
      </c>
      <c r="B2434" s="693" t="s">
        <v>5002</v>
      </c>
      <c r="C2434" s="672" t="s">
        <v>1035</v>
      </c>
      <c r="D2434" s="673">
        <v>37307</v>
      </c>
      <c r="E2434" s="674">
        <v>3</v>
      </c>
      <c r="F2434" s="675">
        <v>0.33</v>
      </c>
      <c r="G2434" s="676">
        <v>3680</v>
      </c>
      <c r="H2434" s="929">
        <v>0</v>
      </c>
      <c r="I2434" s="929">
        <v>3679</v>
      </c>
      <c r="J2434" s="689">
        <f t="shared" si="38"/>
        <v>1</v>
      </c>
    </row>
    <row r="2435" spans="1:10" ht="12.75" customHeight="1" x14ac:dyDescent="0.2">
      <c r="A2435" s="681" t="s">
        <v>2372</v>
      </c>
      <c r="B2435" s="693" t="s">
        <v>5003</v>
      </c>
      <c r="C2435" s="672" t="s">
        <v>1025</v>
      </c>
      <c r="D2435" s="673">
        <v>37307</v>
      </c>
      <c r="E2435" s="674">
        <v>3</v>
      </c>
      <c r="F2435" s="675">
        <v>0.33</v>
      </c>
      <c r="G2435" s="676">
        <v>3680</v>
      </c>
      <c r="H2435" s="929">
        <v>0</v>
      </c>
      <c r="I2435" s="929">
        <v>3679</v>
      </c>
      <c r="J2435" s="689">
        <f t="shared" si="38"/>
        <v>1</v>
      </c>
    </row>
    <row r="2436" spans="1:10" ht="12.75" customHeight="1" x14ac:dyDescent="0.2">
      <c r="A2436" s="681" t="s">
        <v>2372</v>
      </c>
      <c r="B2436" s="693" t="s">
        <v>5004</v>
      </c>
      <c r="C2436" s="672" t="s">
        <v>1025</v>
      </c>
      <c r="D2436" s="673">
        <v>37307</v>
      </c>
      <c r="E2436" s="674">
        <v>3</v>
      </c>
      <c r="F2436" s="675">
        <v>0.33</v>
      </c>
      <c r="G2436" s="676">
        <v>3680</v>
      </c>
      <c r="H2436" s="929">
        <v>0</v>
      </c>
      <c r="I2436" s="929">
        <v>3679</v>
      </c>
      <c r="J2436" s="689">
        <f t="shared" si="38"/>
        <v>1</v>
      </c>
    </row>
    <row r="2437" spans="1:10" ht="12.75" customHeight="1" x14ac:dyDescent="0.2">
      <c r="A2437" s="681" t="s">
        <v>2370</v>
      </c>
      <c r="B2437" s="693" t="s">
        <v>5005</v>
      </c>
      <c r="C2437" s="672" t="s">
        <v>892</v>
      </c>
      <c r="D2437" s="673">
        <v>36211</v>
      </c>
      <c r="E2437" s="674">
        <v>3</v>
      </c>
      <c r="F2437" s="675">
        <v>0.33</v>
      </c>
      <c r="G2437" s="676">
        <v>3699</v>
      </c>
      <c r="H2437" s="929">
        <v>0</v>
      </c>
      <c r="I2437" s="929">
        <v>3698</v>
      </c>
      <c r="J2437" s="689">
        <f t="shared" si="38"/>
        <v>1</v>
      </c>
    </row>
    <row r="2438" spans="1:10" ht="12.75" customHeight="1" x14ac:dyDescent="0.2">
      <c r="A2438" s="681" t="s">
        <v>2370</v>
      </c>
      <c r="B2438" s="693" t="s">
        <v>5006</v>
      </c>
      <c r="C2438" s="672" t="s">
        <v>787</v>
      </c>
      <c r="D2438" s="673">
        <v>36211</v>
      </c>
      <c r="E2438" s="674">
        <v>10</v>
      </c>
      <c r="F2438" s="675">
        <v>0.1</v>
      </c>
      <c r="G2438" s="676">
        <v>3726</v>
      </c>
      <c r="H2438" s="929">
        <v>0</v>
      </c>
      <c r="I2438" s="929">
        <v>3725</v>
      </c>
      <c r="J2438" s="689">
        <f t="shared" si="38"/>
        <v>1</v>
      </c>
    </row>
    <row r="2439" spans="1:10" ht="12.75" customHeight="1" x14ac:dyDescent="0.2">
      <c r="A2439" s="681" t="s">
        <v>2370</v>
      </c>
      <c r="B2439" s="693" t="s">
        <v>5007</v>
      </c>
      <c r="C2439" s="672" t="s">
        <v>787</v>
      </c>
      <c r="D2439" s="673">
        <v>36211</v>
      </c>
      <c r="E2439" s="674">
        <v>10</v>
      </c>
      <c r="F2439" s="675">
        <v>0.1</v>
      </c>
      <c r="G2439" s="676">
        <v>3726</v>
      </c>
      <c r="H2439" s="929">
        <v>0</v>
      </c>
      <c r="I2439" s="929">
        <v>3725</v>
      </c>
      <c r="J2439" s="689">
        <f t="shared" ref="J2439:J2502" si="39">G2439-I2439</f>
        <v>1</v>
      </c>
    </row>
    <row r="2440" spans="1:10" ht="12.75" customHeight="1" x14ac:dyDescent="0.2">
      <c r="A2440" s="681" t="s">
        <v>2370</v>
      </c>
      <c r="B2440" s="693" t="s">
        <v>5008</v>
      </c>
      <c r="C2440" s="672" t="s">
        <v>787</v>
      </c>
      <c r="D2440" s="673">
        <v>36211</v>
      </c>
      <c r="E2440" s="674">
        <v>10</v>
      </c>
      <c r="F2440" s="675">
        <v>0.1</v>
      </c>
      <c r="G2440" s="676">
        <v>3726</v>
      </c>
      <c r="H2440" s="929">
        <v>0</v>
      </c>
      <c r="I2440" s="929">
        <v>3725</v>
      </c>
      <c r="J2440" s="689">
        <f t="shared" si="39"/>
        <v>1</v>
      </c>
    </row>
    <row r="2441" spans="1:10" ht="12.75" customHeight="1" x14ac:dyDescent="0.2">
      <c r="A2441" s="681" t="s">
        <v>2370</v>
      </c>
      <c r="B2441" s="693" t="s">
        <v>5009</v>
      </c>
      <c r="C2441" s="672" t="s">
        <v>785</v>
      </c>
      <c r="D2441" s="673">
        <v>36211</v>
      </c>
      <c r="E2441" s="674">
        <v>10</v>
      </c>
      <c r="F2441" s="675">
        <v>0.1</v>
      </c>
      <c r="G2441" s="676">
        <v>3729</v>
      </c>
      <c r="H2441" s="929">
        <v>0</v>
      </c>
      <c r="I2441" s="929">
        <v>3728</v>
      </c>
      <c r="J2441" s="689">
        <f t="shared" si="39"/>
        <v>1</v>
      </c>
    </row>
    <row r="2442" spans="1:10" ht="12.75" customHeight="1" x14ac:dyDescent="0.2">
      <c r="A2442" s="681" t="s">
        <v>2370</v>
      </c>
      <c r="B2442" s="693" t="s">
        <v>5010</v>
      </c>
      <c r="C2442" s="672" t="s">
        <v>787</v>
      </c>
      <c r="D2442" s="673">
        <v>36576</v>
      </c>
      <c r="E2442" s="674">
        <v>10</v>
      </c>
      <c r="F2442" s="675">
        <v>0.1</v>
      </c>
      <c r="G2442" s="676">
        <v>3790</v>
      </c>
      <c r="H2442" s="929">
        <v>0</v>
      </c>
      <c r="I2442" s="929">
        <v>3789</v>
      </c>
      <c r="J2442" s="689">
        <f t="shared" si="39"/>
        <v>1</v>
      </c>
    </row>
    <row r="2443" spans="1:10" ht="12.75" customHeight="1" x14ac:dyDescent="0.2">
      <c r="A2443" s="681" t="s">
        <v>2370</v>
      </c>
      <c r="B2443" s="693" t="s">
        <v>5011</v>
      </c>
      <c r="C2443" s="672" t="s">
        <v>787</v>
      </c>
      <c r="D2443" s="673">
        <v>33289</v>
      </c>
      <c r="E2443" s="674">
        <v>10</v>
      </c>
      <c r="F2443" s="675">
        <v>0.1</v>
      </c>
      <c r="G2443" s="676">
        <v>3790</v>
      </c>
      <c r="H2443" s="929">
        <v>0</v>
      </c>
      <c r="I2443" s="929">
        <v>3789</v>
      </c>
      <c r="J2443" s="689">
        <f t="shared" si="39"/>
        <v>1</v>
      </c>
    </row>
    <row r="2444" spans="1:10" ht="12.75" customHeight="1" x14ac:dyDescent="0.2">
      <c r="A2444" s="681" t="s">
        <v>2370</v>
      </c>
      <c r="B2444" s="693" t="s">
        <v>5012</v>
      </c>
      <c r="C2444" s="672" t="s">
        <v>787</v>
      </c>
      <c r="D2444" s="673">
        <v>33289</v>
      </c>
      <c r="E2444" s="674">
        <v>10</v>
      </c>
      <c r="F2444" s="675">
        <v>0.1</v>
      </c>
      <c r="G2444" s="676">
        <v>3790</v>
      </c>
      <c r="H2444" s="929">
        <v>0</v>
      </c>
      <c r="I2444" s="929">
        <v>3789</v>
      </c>
      <c r="J2444" s="689">
        <f t="shared" si="39"/>
        <v>1</v>
      </c>
    </row>
    <row r="2445" spans="1:10" ht="12.75" customHeight="1" x14ac:dyDescent="0.2">
      <c r="A2445" s="681" t="s">
        <v>2370</v>
      </c>
      <c r="B2445" s="693" t="s">
        <v>5013</v>
      </c>
      <c r="C2445" s="672" t="s">
        <v>788</v>
      </c>
      <c r="D2445" s="673">
        <v>36576</v>
      </c>
      <c r="E2445" s="674">
        <v>10</v>
      </c>
      <c r="F2445" s="675">
        <v>0.1</v>
      </c>
      <c r="G2445" s="676">
        <v>3795</v>
      </c>
      <c r="H2445" s="929">
        <v>0</v>
      </c>
      <c r="I2445" s="929">
        <v>3794</v>
      </c>
      <c r="J2445" s="689">
        <f t="shared" si="39"/>
        <v>1</v>
      </c>
    </row>
    <row r="2446" spans="1:10" ht="12.75" customHeight="1" x14ac:dyDescent="0.2">
      <c r="A2446" s="681" t="s">
        <v>2370</v>
      </c>
      <c r="B2446" s="693" t="s">
        <v>5014</v>
      </c>
      <c r="C2446" s="672" t="s">
        <v>788</v>
      </c>
      <c r="D2446" s="673">
        <v>37307</v>
      </c>
      <c r="E2446" s="674">
        <v>10</v>
      </c>
      <c r="F2446" s="675">
        <v>0.1</v>
      </c>
      <c r="G2446" s="676">
        <v>3795</v>
      </c>
      <c r="H2446" s="929">
        <v>0</v>
      </c>
      <c r="I2446" s="929">
        <v>3794</v>
      </c>
      <c r="J2446" s="689">
        <f t="shared" si="39"/>
        <v>1</v>
      </c>
    </row>
    <row r="2447" spans="1:10" ht="12.75" customHeight="1" x14ac:dyDescent="0.2">
      <c r="A2447" s="681" t="s">
        <v>2370</v>
      </c>
      <c r="B2447" s="693" t="s">
        <v>5015</v>
      </c>
      <c r="C2447" s="672" t="s">
        <v>894</v>
      </c>
      <c r="D2447" s="673">
        <v>40594</v>
      </c>
      <c r="E2447" s="674">
        <v>3</v>
      </c>
      <c r="F2447" s="675">
        <v>0.33</v>
      </c>
      <c r="G2447" s="676">
        <v>3800</v>
      </c>
      <c r="H2447" s="929">
        <v>0</v>
      </c>
      <c r="I2447" s="929">
        <v>3799</v>
      </c>
      <c r="J2447" s="689">
        <f t="shared" si="39"/>
        <v>1</v>
      </c>
    </row>
    <row r="2448" spans="1:10" ht="12.75" customHeight="1" x14ac:dyDescent="0.2">
      <c r="A2448" s="681" t="s">
        <v>2370</v>
      </c>
      <c r="B2448" s="693" t="s">
        <v>5016</v>
      </c>
      <c r="C2448" s="672" t="s">
        <v>894</v>
      </c>
      <c r="D2448" s="673">
        <v>40594</v>
      </c>
      <c r="E2448" s="674">
        <v>3</v>
      </c>
      <c r="F2448" s="675">
        <v>0.33</v>
      </c>
      <c r="G2448" s="676">
        <v>3800</v>
      </c>
      <c r="H2448" s="929">
        <v>0</v>
      </c>
      <c r="I2448" s="929">
        <v>3799</v>
      </c>
      <c r="J2448" s="689">
        <f t="shared" si="39"/>
        <v>1</v>
      </c>
    </row>
    <row r="2449" spans="1:10" ht="12.75" customHeight="1" x14ac:dyDescent="0.2">
      <c r="A2449" s="681" t="s">
        <v>2370</v>
      </c>
      <c r="B2449" s="693" t="s">
        <v>5017</v>
      </c>
      <c r="C2449" s="672" t="s">
        <v>894</v>
      </c>
      <c r="D2449" s="673">
        <v>40594</v>
      </c>
      <c r="E2449" s="674">
        <v>3</v>
      </c>
      <c r="F2449" s="675">
        <v>0.33</v>
      </c>
      <c r="G2449" s="676">
        <v>3800</v>
      </c>
      <c r="H2449" s="929">
        <v>0</v>
      </c>
      <c r="I2449" s="929">
        <v>3799</v>
      </c>
      <c r="J2449" s="689">
        <f t="shared" si="39"/>
        <v>1</v>
      </c>
    </row>
    <row r="2450" spans="1:10" ht="12.75" customHeight="1" x14ac:dyDescent="0.2">
      <c r="A2450" s="681" t="s">
        <v>2370</v>
      </c>
      <c r="B2450" s="693" t="s">
        <v>5018</v>
      </c>
      <c r="C2450" s="672" t="s">
        <v>894</v>
      </c>
      <c r="D2450" s="673">
        <v>40594</v>
      </c>
      <c r="E2450" s="674">
        <v>3</v>
      </c>
      <c r="F2450" s="675">
        <v>0.33</v>
      </c>
      <c r="G2450" s="676">
        <v>3800</v>
      </c>
      <c r="H2450" s="929">
        <v>0</v>
      </c>
      <c r="I2450" s="929">
        <v>3799</v>
      </c>
      <c r="J2450" s="689">
        <f t="shared" si="39"/>
        <v>1</v>
      </c>
    </row>
    <row r="2451" spans="1:10" ht="12.75" customHeight="1" x14ac:dyDescent="0.2">
      <c r="A2451" s="681" t="s">
        <v>2370</v>
      </c>
      <c r="B2451" s="693" t="s">
        <v>5019</v>
      </c>
      <c r="C2451" s="672" t="s">
        <v>894</v>
      </c>
      <c r="D2451" s="673">
        <v>39498</v>
      </c>
      <c r="E2451" s="674">
        <v>3</v>
      </c>
      <c r="F2451" s="675">
        <v>0.33</v>
      </c>
      <c r="G2451" s="676">
        <v>3800</v>
      </c>
      <c r="H2451" s="929">
        <v>0</v>
      </c>
      <c r="I2451" s="929">
        <v>3799</v>
      </c>
      <c r="J2451" s="689">
        <f t="shared" si="39"/>
        <v>1</v>
      </c>
    </row>
    <row r="2452" spans="1:10" ht="12.75" customHeight="1" x14ac:dyDescent="0.2">
      <c r="A2452" s="681" t="s">
        <v>2370</v>
      </c>
      <c r="B2452" s="693" t="s">
        <v>5020</v>
      </c>
      <c r="C2452" s="672" t="s">
        <v>894</v>
      </c>
      <c r="D2452" s="673">
        <v>40594</v>
      </c>
      <c r="E2452" s="674">
        <v>3</v>
      </c>
      <c r="F2452" s="675">
        <v>0.33</v>
      </c>
      <c r="G2452" s="676">
        <v>3828</v>
      </c>
      <c r="H2452" s="929">
        <v>0</v>
      </c>
      <c r="I2452" s="929">
        <v>3827</v>
      </c>
      <c r="J2452" s="689">
        <f t="shared" si="39"/>
        <v>1</v>
      </c>
    </row>
    <row r="2453" spans="1:10" ht="12.75" customHeight="1" x14ac:dyDescent="0.2">
      <c r="A2453" s="681" t="s">
        <v>2370</v>
      </c>
      <c r="B2453" s="693" t="s">
        <v>5021</v>
      </c>
      <c r="C2453" s="672" t="s">
        <v>787</v>
      </c>
      <c r="D2453" s="673">
        <v>36576</v>
      </c>
      <c r="E2453" s="674">
        <v>10</v>
      </c>
      <c r="F2453" s="675">
        <v>0.1</v>
      </c>
      <c r="G2453" s="676">
        <v>3830</v>
      </c>
      <c r="H2453" s="929">
        <v>0</v>
      </c>
      <c r="I2453" s="929">
        <v>3829</v>
      </c>
      <c r="J2453" s="689">
        <f t="shared" si="39"/>
        <v>1</v>
      </c>
    </row>
    <row r="2454" spans="1:10" ht="12.75" customHeight="1" x14ac:dyDescent="0.2">
      <c r="A2454" s="681" t="s">
        <v>2370</v>
      </c>
      <c r="B2454" s="693" t="s">
        <v>5022</v>
      </c>
      <c r="C2454" s="672" t="s">
        <v>787</v>
      </c>
      <c r="D2454" s="673">
        <v>36576</v>
      </c>
      <c r="E2454" s="674">
        <v>10</v>
      </c>
      <c r="F2454" s="675">
        <v>0.1</v>
      </c>
      <c r="G2454" s="676">
        <v>3830</v>
      </c>
      <c r="H2454" s="929">
        <v>0</v>
      </c>
      <c r="I2454" s="929">
        <v>3829</v>
      </c>
      <c r="J2454" s="689">
        <f t="shared" si="39"/>
        <v>1</v>
      </c>
    </row>
    <row r="2455" spans="1:10" ht="12.75" customHeight="1" x14ac:dyDescent="0.2">
      <c r="A2455" s="681" t="s">
        <v>2370</v>
      </c>
      <c r="B2455" s="693" t="s">
        <v>5023</v>
      </c>
      <c r="C2455" s="672" t="s">
        <v>798</v>
      </c>
      <c r="D2455" s="673">
        <v>36576</v>
      </c>
      <c r="E2455" s="674">
        <v>10</v>
      </c>
      <c r="F2455" s="675">
        <v>0.1</v>
      </c>
      <c r="G2455" s="676">
        <v>3879</v>
      </c>
      <c r="H2455" s="929">
        <v>0</v>
      </c>
      <c r="I2455" s="929">
        <v>3878</v>
      </c>
      <c r="J2455" s="689">
        <f t="shared" si="39"/>
        <v>1</v>
      </c>
    </row>
    <row r="2456" spans="1:10" ht="12.75" customHeight="1" x14ac:dyDescent="0.2">
      <c r="A2456" s="681" t="s">
        <v>2370</v>
      </c>
      <c r="B2456" s="693" t="s">
        <v>5024</v>
      </c>
      <c r="C2456" s="672" t="s">
        <v>790</v>
      </c>
      <c r="D2456" s="673">
        <v>36576</v>
      </c>
      <c r="E2456" s="674">
        <v>10</v>
      </c>
      <c r="F2456" s="675">
        <v>0.1</v>
      </c>
      <c r="G2456" s="676">
        <v>3910</v>
      </c>
      <c r="H2456" s="929">
        <v>0</v>
      </c>
      <c r="I2456" s="929">
        <v>3909</v>
      </c>
      <c r="J2456" s="689">
        <f t="shared" si="39"/>
        <v>1</v>
      </c>
    </row>
    <row r="2457" spans="1:10" ht="12.75" customHeight="1" x14ac:dyDescent="0.2">
      <c r="A2457" s="681" t="s">
        <v>2370</v>
      </c>
      <c r="B2457" s="693" t="s">
        <v>5025</v>
      </c>
      <c r="C2457" s="672" t="s">
        <v>828</v>
      </c>
      <c r="D2457" s="673">
        <v>36576</v>
      </c>
      <c r="E2457" s="674">
        <v>10</v>
      </c>
      <c r="F2457" s="675">
        <v>0.1</v>
      </c>
      <c r="G2457" s="676">
        <v>3910</v>
      </c>
      <c r="H2457" s="929">
        <v>0</v>
      </c>
      <c r="I2457" s="929">
        <v>3909</v>
      </c>
      <c r="J2457" s="689">
        <f t="shared" si="39"/>
        <v>1</v>
      </c>
    </row>
    <row r="2458" spans="1:10" ht="12.75" customHeight="1" x14ac:dyDescent="0.2">
      <c r="A2458" s="681" t="s">
        <v>2370</v>
      </c>
      <c r="B2458" s="693" t="s">
        <v>5026</v>
      </c>
      <c r="C2458" s="672" t="s">
        <v>828</v>
      </c>
      <c r="D2458" s="673">
        <v>36576</v>
      </c>
      <c r="E2458" s="674">
        <v>10</v>
      </c>
      <c r="F2458" s="675">
        <v>0.1</v>
      </c>
      <c r="G2458" s="676">
        <v>3910</v>
      </c>
      <c r="H2458" s="929">
        <v>0</v>
      </c>
      <c r="I2458" s="929">
        <v>3909</v>
      </c>
      <c r="J2458" s="689">
        <f t="shared" si="39"/>
        <v>1</v>
      </c>
    </row>
    <row r="2459" spans="1:10" ht="12.75" customHeight="1" x14ac:dyDescent="0.2">
      <c r="A2459" s="681" t="s">
        <v>2370</v>
      </c>
      <c r="B2459" s="693" t="s">
        <v>5027</v>
      </c>
      <c r="C2459" s="672" t="s">
        <v>788</v>
      </c>
      <c r="D2459" s="673">
        <v>36576</v>
      </c>
      <c r="E2459" s="674">
        <v>10</v>
      </c>
      <c r="F2459" s="675">
        <v>0.1</v>
      </c>
      <c r="G2459" s="676">
        <v>3910</v>
      </c>
      <c r="H2459" s="929">
        <v>0</v>
      </c>
      <c r="I2459" s="929">
        <v>3909</v>
      </c>
      <c r="J2459" s="689">
        <f t="shared" si="39"/>
        <v>1</v>
      </c>
    </row>
    <row r="2460" spans="1:10" ht="12.75" customHeight="1" x14ac:dyDescent="0.2">
      <c r="A2460" s="681" t="s">
        <v>2370</v>
      </c>
      <c r="B2460" s="693" t="s">
        <v>5028</v>
      </c>
      <c r="C2460" s="672" t="s">
        <v>892</v>
      </c>
      <c r="D2460" s="673">
        <v>38403</v>
      </c>
      <c r="E2460" s="674">
        <v>3</v>
      </c>
      <c r="F2460" s="675">
        <v>0.33</v>
      </c>
      <c r="G2460" s="676">
        <v>3910</v>
      </c>
      <c r="H2460" s="929">
        <v>0</v>
      </c>
      <c r="I2460" s="929">
        <v>3909</v>
      </c>
      <c r="J2460" s="689">
        <f t="shared" si="39"/>
        <v>1</v>
      </c>
    </row>
    <row r="2461" spans="1:10" ht="12.75" customHeight="1" x14ac:dyDescent="0.2">
      <c r="A2461" s="681" t="s">
        <v>2370</v>
      </c>
      <c r="B2461" s="693" t="s">
        <v>5029</v>
      </c>
      <c r="C2461" s="672" t="s">
        <v>800</v>
      </c>
      <c r="D2461" s="673">
        <v>36576</v>
      </c>
      <c r="E2461" s="674">
        <v>10</v>
      </c>
      <c r="F2461" s="675">
        <v>0.1</v>
      </c>
      <c r="G2461" s="676">
        <v>3922</v>
      </c>
      <c r="H2461" s="929">
        <v>0</v>
      </c>
      <c r="I2461" s="929">
        <v>3921</v>
      </c>
      <c r="J2461" s="689">
        <f t="shared" si="39"/>
        <v>1</v>
      </c>
    </row>
    <row r="2462" spans="1:10" ht="12.75" customHeight="1" x14ac:dyDescent="0.2">
      <c r="A2462" s="681" t="s">
        <v>2370</v>
      </c>
      <c r="B2462" s="693" t="s">
        <v>5030</v>
      </c>
      <c r="C2462" s="672" t="s">
        <v>893</v>
      </c>
      <c r="D2462" s="673">
        <v>39498</v>
      </c>
      <c r="E2462" s="674">
        <v>3</v>
      </c>
      <c r="F2462" s="675">
        <v>0.33</v>
      </c>
      <c r="G2462" s="676">
        <v>3950</v>
      </c>
      <c r="H2462" s="929">
        <v>0</v>
      </c>
      <c r="I2462" s="929">
        <v>3949</v>
      </c>
      <c r="J2462" s="689">
        <f t="shared" si="39"/>
        <v>1</v>
      </c>
    </row>
    <row r="2463" spans="1:10" ht="12.75" customHeight="1" x14ac:dyDescent="0.2">
      <c r="A2463" s="681" t="s">
        <v>2370</v>
      </c>
      <c r="B2463" s="693" t="s">
        <v>5031</v>
      </c>
      <c r="C2463" s="672" t="s">
        <v>893</v>
      </c>
      <c r="D2463" s="673">
        <v>39498</v>
      </c>
      <c r="E2463" s="674">
        <v>3</v>
      </c>
      <c r="F2463" s="675">
        <v>0.33</v>
      </c>
      <c r="G2463" s="676">
        <v>3950</v>
      </c>
      <c r="H2463" s="929">
        <v>0</v>
      </c>
      <c r="I2463" s="929">
        <v>3949</v>
      </c>
      <c r="J2463" s="689">
        <f t="shared" si="39"/>
        <v>1</v>
      </c>
    </row>
    <row r="2464" spans="1:10" ht="12.75" customHeight="1" x14ac:dyDescent="0.2">
      <c r="A2464" s="681" t="s">
        <v>2370</v>
      </c>
      <c r="B2464" s="693" t="s">
        <v>5032</v>
      </c>
      <c r="C2464" s="672" t="s">
        <v>893</v>
      </c>
      <c r="D2464" s="673">
        <v>39498</v>
      </c>
      <c r="E2464" s="674">
        <v>3</v>
      </c>
      <c r="F2464" s="675">
        <v>0.33</v>
      </c>
      <c r="G2464" s="676">
        <v>3950</v>
      </c>
      <c r="H2464" s="929">
        <v>0</v>
      </c>
      <c r="I2464" s="929">
        <v>3949</v>
      </c>
      <c r="J2464" s="689">
        <f t="shared" si="39"/>
        <v>1</v>
      </c>
    </row>
    <row r="2465" spans="1:10" ht="12.75" customHeight="1" x14ac:dyDescent="0.2">
      <c r="A2465" s="681" t="s">
        <v>2370</v>
      </c>
      <c r="B2465" s="693" t="s">
        <v>5033</v>
      </c>
      <c r="C2465" s="672" t="s">
        <v>893</v>
      </c>
      <c r="D2465" s="673">
        <v>39498</v>
      </c>
      <c r="E2465" s="674">
        <v>3</v>
      </c>
      <c r="F2465" s="675">
        <v>0.33</v>
      </c>
      <c r="G2465" s="676">
        <v>3950</v>
      </c>
      <c r="H2465" s="929">
        <v>0</v>
      </c>
      <c r="I2465" s="929">
        <v>3949</v>
      </c>
      <c r="J2465" s="689">
        <f t="shared" si="39"/>
        <v>1</v>
      </c>
    </row>
    <row r="2466" spans="1:10" ht="12.75" customHeight="1" x14ac:dyDescent="0.2">
      <c r="A2466" s="681" t="s">
        <v>2370</v>
      </c>
      <c r="B2466" s="693" t="s">
        <v>5034</v>
      </c>
      <c r="C2466" s="672" t="s">
        <v>893</v>
      </c>
      <c r="D2466" s="673">
        <v>39498</v>
      </c>
      <c r="E2466" s="674">
        <v>3</v>
      </c>
      <c r="F2466" s="675">
        <v>0.33</v>
      </c>
      <c r="G2466" s="676">
        <v>3950</v>
      </c>
      <c r="H2466" s="929">
        <v>0</v>
      </c>
      <c r="I2466" s="929">
        <v>3949</v>
      </c>
      <c r="J2466" s="689">
        <f t="shared" si="39"/>
        <v>1</v>
      </c>
    </row>
    <row r="2467" spans="1:10" ht="12.75" customHeight="1" x14ac:dyDescent="0.2">
      <c r="A2467" s="681" t="s">
        <v>2370</v>
      </c>
      <c r="B2467" s="693" t="s">
        <v>5035</v>
      </c>
      <c r="C2467" s="672" t="s">
        <v>893</v>
      </c>
      <c r="D2467" s="673">
        <v>39498</v>
      </c>
      <c r="E2467" s="674">
        <v>3</v>
      </c>
      <c r="F2467" s="675">
        <v>0.33</v>
      </c>
      <c r="G2467" s="676">
        <v>3950</v>
      </c>
      <c r="H2467" s="929">
        <v>0</v>
      </c>
      <c r="I2467" s="929">
        <v>3949</v>
      </c>
      <c r="J2467" s="689">
        <f t="shared" si="39"/>
        <v>1</v>
      </c>
    </row>
    <row r="2468" spans="1:10" ht="12.75" customHeight="1" x14ac:dyDescent="0.2">
      <c r="A2468" s="681" t="s">
        <v>2370</v>
      </c>
      <c r="B2468" s="693" t="s">
        <v>5036</v>
      </c>
      <c r="C2468" s="672" t="s">
        <v>893</v>
      </c>
      <c r="D2468" s="673">
        <v>39498</v>
      </c>
      <c r="E2468" s="674">
        <v>3</v>
      </c>
      <c r="F2468" s="675">
        <v>0.33</v>
      </c>
      <c r="G2468" s="676">
        <v>3950</v>
      </c>
      <c r="H2468" s="929">
        <v>0</v>
      </c>
      <c r="I2468" s="929">
        <v>3949</v>
      </c>
      <c r="J2468" s="689">
        <f t="shared" si="39"/>
        <v>1</v>
      </c>
    </row>
    <row r="2469" spans="1:10" ht="12.75" customHeight="1" x14ac:dyDescent="0.2">
      <c r="A2469" s="681" t="s">
        <v>2370</v>
      </c>
      <c r="B2469" s="693" t="s">
        <v>5037</v>
      </c>
      <c r="C2469" s="672" t="s">
        <v>893</v>
      </c>
      <c r="D2469" s="673">
        <v>39498</v>
      </c>
      <c r="E2469" s="674">
        <v>3</v>
      </c>
      <c r="F2469" s="675">
        <v>0.33</v>
      </c>
      <c r="G2469" s="676">
        <v>3950</v>
      </c>
      <c r="H2469" s="929">
        <v>0</v>
      </c>
      <c r="I2469" s="929">
        <v>3949</v>
      </c>
      <c r="J2469" s="689">
        <f t="shared" si="39"/>
        <v>1</v>
      </c>
    </row>
    <row r="2470" spans="1:10" ht="12.75" customHeight="1" x14ac:dyDescent="0.2">
      <c r="A2470" s="681" t="s">
        <v>2370</v>
      </c>
      <c r="B2470" s="693" t="s">
        <v>5038</v>
      </c>
      <c r="C2470" s="672" t="s">
        <v>893</v>
      </c>
      <c r="D2470" s="673">
        <v>39498</v>
      </c>
      <c r="E2470" s="674">
        <v>3</v>
      </c>
      <c r="F2470" s="675">
        <v>0.33</v>
      </c>
      <c r="G2470" s="676">
        <v>3950</v>
      </c>
      <c r="H2470" s="929">
        <v>0</v>
      </c>
      <c r="I2470" s="929">
        <v>3949</v>
      </c>
      <c r="J2470" s="689">
        <f t="shared" si="39"/>
        <v>1</v>
      </c>
    </row>
    <row r="2471" spans="1:10" ht="12.75" customHeight="1" x14ac:dyDescent="0.2">
      <c r="A2471" s="681" t="s">
        <v>2370</v>
      </c>
      <c r="B2471" s="693" t="s">
        <v>5039</v>
      </c>
      <c r="C2471" s="672" t="s">
        <v>893</v>
      </c>
      <c r="D2471" s="673">
        <v>39498</v>
      </c>
      <c r="E2471" s="674">
        <v>3</v>
      </c>
      <c r="F2471" s="675">
        <v>0.33</v>
      </c>
      <c r="G2471" s="676">
        <v>3950</v>
      </c>
      <c r="H2471" s="929">
        <v>0</v>
      </c>
      <c r="I2471" s="929">
        <v>3949</v>
      </c>
      <c r="J2471" s="689">
        <f t="shared" si="39"/>
        <v>1</v>
      </c>
    </row>
    <row r="2472" spans="1:10" ht="12.75" customHeight="1" x14ac:dyDescent="0.2">
      <c r="A2472" s="681" t="s">
        <v>2370</v>
      </c>
      <c r="B2472" s="693" t="s">
        <v>5040</v>
      </c>
      <c r="C2472" s="672" t="s">
        <v>893</v>
      </c>
      <c r="D2472" s="673">
        <v>39498</v>
      </c>
      <c r="E2472" s="674">
        <v>3</v>
      </c>
      <c r="F2472" s="675">
        <v>0.33</v>
      </c>
      <c r="G2472" s="676">
        <v>3950</v>
      </c>
      <c r="H2472" s="929">
        <v>0</v>
      </c>
      <c r="I2472" s="929">
        <v>3949</v>
      </c>
      <c r="J2472" s="689">
        <f t="shared" si="39"/>
        <v>1</v>
      </c>
    </row>
    <row r="2473" spans="1:10" ht="12.75" customHeight="1" x14ac:dyDescent="0.2">
      <c r="A2473" s="681" t="s">
        <v>2372</v>
      </c>
      <c r="B2473" s="693" t="s">
        <v>5041</v>
      </c>
      <c r="C2473" s="672" t="s">
        <v>1007</v>
      </c>
      <c r="D2473" s="673">
        <v>37672</v>
      </c>
      <c r="E2473" s="674">
        <v>10</v>
      </c>
      <c r="F2473" s="675">
        <v>0.1</v>
      </c>
      <c r="G2473" s="676">
        <v>3996</v>
      </c>
      <c r="H2473" s="929">
        <v>0</v>
      </c>
      <c r="I2473" s="929">
        <v>3995</v>
      </c>
      <c r="J2473" s="689">
        <f t="shared" si="39"/>
        <v>1</v>
      </c>
    </row>
    <row r="2474" spans="1:10" ht="12.75" customHeight="1" x14ac:dyDescent="0.2">
      <c r="A2474" s="681" t="s">
        <v>2370</v>
      </c>
      <c r="B2474" s="693" t="s">
        <v>5042</v>
      </c>
      <c r="C2474" s="672" t="s">
        <v>893</v>
      </c>
      <c r="D2474" s="673">
        <v>40594</v>
      </c>
      <c r="E2474" s="674">
        <v>3</v>
      </c>
      <c r="F2474" s="675">
        <v>0.33</v>
      </c>
      <c r="G2474" s="676">
        <v>4005</v>
      </c>
      <c r="H2474" s="929">
        <v>0</v>
      </c>
      <c r="I2474" s="929">
        <v>4004</v>
      </c>
      <c r="J2474" s="689">
        <f t="shared" si="39"/>
        <v>1</v>
      </c>
    </row>
    <row r="2475" spans="1:10" ht="12.75" customHeight="1" x14ac:dyDescent="0.2">
      <c r="A2475" s="681" t="s">
        <v>2370</v>
      </c>
      <c r="B2475" s="693" t="s">
        <v>5043</v>
      </c>
      <c r="C2475" s="672" t="s">
        <v>786</v>
      </c>
      <c r="D2475" s="673">
        <v>35115</v>
      </c>
      <c r="E2475" s="674">
        <v>10</v>
      </c>
      <c r="F2475" s="675">
        <v>0.1</v>
      </c>
      <c r="G2475" s="676">
        <v>4025</v>
      </c>
      <c r="H2475" s="929">
        <v>0</v>
      </c>
      <c r="I2475" s="929">
        <v>4024</v>
      </c>
      <c r="J2475" s="689">
        <f t="shared" si="39"/>
        <v>1</v>
      </c>
    </row>
    <row r="2476" spans="1:10" ht="12.75" customHeight="1" x14ac:dyDescent="0.2">
      <c r="A2476" s="681" t="s">
        <v>2370</v>
      </c>
      <c r="B2476" s="693" t="s">
        <v>5044</v>
      </c>
      <c r="C2476" s="672" t="s">
        <v>786</v>
      </c>
      <c r="D2476" s="673">
        <v>37307</v>
      </c>
      <c r="E2476" s="674">
        <v>10</v>
      </c>
      <c r="F2476" s="675">
        <v>0.1</v>
      </c>
      <c r="G2476" s="676">
        <v>4025</v>
      </c>
      <c r="H2476" s="929">
        <v>0</v>
      </c>
      <c r="I2476" s="929">
        <v>4024</v>
      </c>
      <c r="J2476" s="689">
        <f t="shared" si="39"/>
        <v>1</v>
      </c>
    </row>
    <row r="2477" spans="1:10" ht="12.75" customHeight="1" x14ac:dyDescent="0.2">
      <c r="A2477" s="681" t="s">
        <v>2370</v>
      </c>
      <c r="B2477" s="693" t="s">
        <v>5045</v>
      </c>
      <c r="C2477" s="672" t="s">
        <v>787</v>
      </c>
      <c r="D2477" s="673">
        <v>36576</v>
      </c>
      <c r="E2477" s="674">
        <v>10</v>
      </c>
      <c r="F2477" s="675">
        <v>0.1</v>
      </c>
      <c r="G2477" s="676">
        <v>4025</v>
      </c>
      <c r="H2477" s="929">
        <v>0</v>
      </c>
      <c r="I2477" s="929">
        <v>4024</v>
      </c>
      <c r="J2477" s="689">
        <f t="shared" si="39"/>
        <v>1</v>
      </c>
    </row>
    <row r="2478" spans="1:10" ht="12.75" customHeight="1" x14ac:dyDescent="0.2">
      <c r="A2478" s="681" t="s">
        <v>2370</v>
      </c>
      <c r="B2478" s="693" t="s">
        <v>5046</v>
      </c>
      <c r="C2478" s="672" t="s">
        <v>893</v>
      </c>
      <c r="D2478" s="673">
        <v>37307</v>
      </c>
      <c r="E2478" s="674">
        <v>3</v>
      </c>
      <c r="F2478" s="675">
        <v>0.33</v>
      </c>
      <c r="G2478" s="676">
        <v>4025</v>
      </c>
      <c r="H2478" s="929">
        <v>0</v>
      </c>
      <c r="I2478" s="929">
        <v>4024</v>
      </c>
      <c r="J2478" s="689">
        <f t="shared" si="39"/>
        <v>1</v>
      </c>
    </row>
    <row r="2479" spans="1:10" ht="12.75" customHeight="1" x14ac:dyDescent="0.2">
      <c r="A2479" s="681" t="s">
        <v>2370</v>
      </c>
      <c r="B2479" s="693" t="s">
        <v>5047</v>
      </c>
      <c r="C2479" s="672" t="s">
        <v>893</v>
      </c>
      <c r="D2479" s="673">
        <v>39498</v>
      </c>
      <c r="E2479" s="674">
        <v>3</v>
      </c>
      <c r="F2479" s="675">
        <v>0.33</v>
      </c>
      <c r="G2479" s="676">
        <v>4025</v>
      </c>
      <c r="H2479" s="929">
        <v>0</v>
      </c>
      <c r="I2479" s="929">
        <v>4024</v>
      </c>
      <c r="J2479" s="689">
        <f t="shared" si="39"/>
        <v>1</v>
      </c>
    </row>
    <row r="2480" spans="1:10" ht="12.75" customHeight="1" x14ac:dyDescent="0.2">
      <c r="A2480" s="681" t="s">
        <v>2370</v>
      </c>
      <c r="B2480" s="693" t="s">
        <v>5048</v>
      </c>
      <c r="C2480" s="672" t="s">
        <v>893</v>
      </c>
      <c r="D2480" s="673">
        <v>39498</v>
      </c>
      <c r="E2480" s="674">
        <v>3</v>
      </c>
      <c r="F2480" s="675">
        <v>0.33</v>
      </c>
      <c r="G2480" s="676">
        <v>4025</v>
      </c>
      <c r="H2480" s="929">
        <v>0</v>
      </c>
      <c r="I2480" s="929">
        <v>4024</v>
      </c>
      <c r="J2480" s="689">
        <f t="shared" si="39"/>
        <v>1</v>
      </c>
    </row>
    <row r="2481" spans="1:10" ht="12.75" customHeight="1" x14ac:dyDescent="0.2">
      <c r="A2481" s="681" t="s">
        <v>2370</v>
      </c>
      <c r="B2481" s="693" t="s">
        <v>5049</v>
      </c>
      <c r="C2481" s="672" t="s">
        <v>893</v>
      </c>
      <c r="D2481" s="673">
        <v>37307</v>
      </c>
      <c r="E2481" s="674">
        <v>3</v>
      </c>
      <c r="F2481" s="675">
        <v>0.33</v>
      </c>
      <c r="G2481" s="676">
        <v>4025</v>
      </c>
      <c r="H2481" s="929">
        <v>0</v>
      </c>
      <c r="I2481" s="929">
        <v>4024</v>
      </c>
      <c r="J2481" s="689">
        <f t="shared" si="39"/>
        <v>1</v>
      </c>
    </row>
    <row r="2482" spans="1:10" ht="12.75" customHeight="1" x14ac:dyDescent="0.2">
      <c r="A2482" s="681" t="s">
        <v>2370</v>
      </c>
      <c r="B2482" s="693" t="s">
        <v>5050</v>
      </c>
      <c r="C2482" s="672" t="s">
        <v>893</v>
      </c>
      <c r="D2482" s="673">
        <v>39498</v>
      </c>
      <c r="E2482" s="674">
        <v>3</v>
      </c>
      <c r="F2482" s="675">
        <v>0.33</v>
      </c>
      <c r="G2482" s="676">
        <v>4025</v>
      </c>
      <c r="H2482" s="929">
        <v>0</v>
      </c>
      <c r="I2482" s="929">
        <v>4024</v>
      </c>
      <c r="J2482" s="689">
        <f t="shared" si="39"/>
        <v>1</v>
      </c>
    </row>
    <row r="2483" spans="1:10" ht="12.75" customHeight="1" x14ac:dyDescent="0.2">
      <c r="A2483" s="681" t="s">
        <v>2370</v>
      </c>
      <c r="B2483" s="693" t="s">
        <v>5051</v>
      </c>
      <c r="C2483" s="672" t="s">
        <v>893</v>
      </c>
      <c r="D2483" s="673">
        <v>39498</v>
      </c>
      <c r="E2483" s="674">
        <v>3</v>
      </c>
      <c r="F2483" s="675">
        <v>0.33</v>
      </c>
      <c r="G2483" s="676">
        <v>4025</v>
      </c>
      <c r="H2483" s="929">
        <v>0</v>
      </c>
      <c r="I2483" s="929">
        <v>4024</v>
      </c>
      <c r="J2483" s="689">
        <f t="shared" si="39"/>
        <v>1</v>
      </c>
    </row>
    <row r="2484" spans="1:10" ht="12.75" customHeight="1" x14ac:dyDescent="0.2">
      <c r="A2484" s="681" t="s">
        <v>2370</v>
      </c>
      <c r="B2484" s="693" t="s">
        <v>5052</v>
      </c>
      <c r="C2484" s="672" t="s">
        <v>893</v>
      </c>
      <c r="D2484" s="673">
        <v>36576</v>
      </c>
      <c r="E2484" s="674">
        <v>3</v>
      </c>
      <c r="F2484" s="675">
        <v>0.33</v>
      </c>
      <c r="G2484" s="676">
        <v>4025</v>
      </c>
      <c r="H2484" s="929">
        <v>0</v>
      </c>
      <c r="I2484" s="929">
        <v>4024</v>
      </c>
      <c r="J2484" s="689">
        <f t="shared" si="39"/>
        <v>1</v>
      </c>
    </row>
    <row r="2485" spans="1:10" ht="12.75" customHeight="1" x14ac:dyDescent="0.2">
      <c r="A2485" s="681" t="s">
        <v>2370</v>
      </c>
      <c r="B2485" s="693" t="s">
        <v>5053</v>
      </c>
      <c r="C2485" s="672" t="s">
        <v>893</v>
      </c>
      <c r="D2485" s="673">
        <v>36576</v>
      </c>
      <c r="E2485" s="674">
        <v>3</v>
      </c>
      <c r="F2485" s="675">
        <v>0.33</v>
      </c>
      <c r="G2485" s="676">
        <v>4025</v>
      </c>
      <c r="H2485" s="929">
        <v>0</v>
      </c>
      <c r="I2485" s="929">
        <v>4024</v>
      </c>
      <c r="J2485" s="689">
        <f t="shared" si="39"/>
        <v>1</v>
      </c>
    </row>
    <row r="2486" spans="1:10" ht="12.75" customHeight="1" x14ac:dyDescent="0.2">
      <c r="A2486" s="681" t="s">
        <v>2370</v>
      </c>
      <c r="B2486" s="693" t="s">
        <v>5054</v>
      </c>
      <c r="C2486" s="672" t="s">
        <v>893</v>
      </c>
      <c r="D2486" s="673">
        <v>39498</v>
      </c>
      <c r="E2486" s="674">
        <v>3</v>
      </c>
      <c r="F2486" s="675">
        <v>0.33</v>
      </c>
      <c r="G2486" s="676">
        <v>4025</v>
      </c>
      <c r="H2486" s="929">
        <v>0</v>
      </c>
      <c r="I2486" s="929">
        <v>4024</v>
      </c>
      <c r="J2486" s="689">
        <f t="shared" si="39"/>
        <v>1</v>
      </c>
    </row>
    <row r="2487" spans="1:10" ht="12.75" customHeight="1" x14ac:dyDescent="0.2">
      <c r="A2487" s="681" t="s">
        <v>2370</v>
      </c>
      <c r="B2487" s="693" t="s">
        <v>5055</v>
      </c>
      <c r="C2487" s="672" t="s">
        <v>893</v>
      </c>
      <c r="D2487" s="673">
        <v>39498</v>
      </c>
      <c r="E2487" s="674">
        <v>3</v>
      </c>
      <c r="F2487" s="675">
        <v>0.33</v>
      </c>
      <c r="G2487" s="676">
        <v>4025</v>
      </c>
      <c r="H2487" s="929">
        <v>0</v>
      </c>
      <c r="I2487" s="929">
        <v>4024</v>
      </c>
      <c r="J2487" s="689">
        <f t="shared" si="39"/>
        <v>1</v>
      </c>
    </row>
    <row r="2488" spans="1:10" ht="12.75" customHeight="1" x14ac:dyDescent="0.2">
      <c r="A2488" s="681" t="s">
        <v>2370</v>
      </c>
      <c r="B2488" s="693" t="s">
        <v>5056</v>
      </c>
      <c r="C2488" s="672" t="s">
        <v>787</v>
      </c>
      <c r="D2488" s="673">
        <v>36576</v>
      </c>
      <c r="E2488" s="674">
        <v>10</v>
      </c>
      <c r="F2488" s="675">
        <v>0.1</v>
      </c>
      <c r="G2488" s="676">
        <v>4048</v>
      </c>
      <c r="H2488" s="929">
        <v>0</v>
      </c>
      <c r="I2488" s="929">
        <v>4047</v>
      </c>
      <c r="J2488" s="689">
        <f t="shared" si="39"/>
        <v>1</v>
      </c>
    </row>
    <row r="2489" spans="1:10" ht="12.75" customHeight="1" x14ac:dyDescent="0.2">
      <c r="A2489" s="681" t="s">
        <v>2370</v>
      </c>
      <c r="B2489" s="693" t="s">
        <v>5057</v>
      </c>
      <c r="C2489" s="672" t="s">
        <v>787</v>
      </c>
      <c r="D2489" s="673">
        <v>36576</v>
      </c>
      <c r="E2489" s="674">
        <v>10</v>
      </c>
      <c r="F2489" s="675">
        <v>0.1</v>
      </c>
      <c r="G2489" s="676">
        <v>4048</v>
      </c>
      <c r="H2489" s="929">
        <v>0</v>
      </c>
      <c r="I2489" s="929">
        <v>4047</v>
      </c>
      <c r="J2489" s="689">
        <f t="shared" si="39"/>
        <v>1</v>
      </c>
    </row>
    <row r="2490" spans="1:10" ht="12.75" customHeight="1" x14ac:dyDescent="0.2">
      <c r="A2490" s="681" t="s">
        <v>2370</v>
      </c>
      <c r="B2490" s="693" t="s">
        <v>5058</v>
      </c>
      <c r="C2490" s="672" t="s">
        <v>787</v>
      </c>
      <c r="D2490" s="673">
        <v>36576</v>
      </c>
      <c r="E2490" s="674">
        <v>10</v>
      </c>
      <c r="F2490" s="675">
        <v>0.1</v>
      </c>
      <c r="G2490" s="676">
        <v>4048</v>
      </c>
      <c r="H2490" s="929">
        <v>0</v>
      </c>
      <c r="I2490" s="929">
        <v>4047</v>
      </c>
      <c r="J2490" s="689">
        <f t="shared" si="39"/>
        <v>1</v>
      </c>
    </row>
    <row r="2491" spans="1:10" ht="12.75" customHeight="1" x14ac:dyDescent="0.2">
      <c r="A2491" s="681" t="s">
        <v>2370</v>
      </c>
      <c r="B2491" s="693" t="s">
        <v>5059</v>
      </c>
      <c r="C2491" s="672" t="s">
        <v>787</v>
      </c>
      <c r="D2491" s="673">
        <v>36576</v>
      </c>
      <c r="E2491" s="674">
        <v>10</v>
      </c>
      <c r="F2491" s="675">
        <v>0.1</v>
      </c>
      <c r="G2491" s="676">
        <v>4048</v>
      </c>
      <c r="H2491" s="929">
        <v>0</v>
      </c>
      <c r="I2491" s="929">
        <v>4047</v>
      </c>
      <c r="J2491" s="689">
        <f t="shared" si="39"/>
        <v>1</v>
      </c>
    </row>
    <row r="2492" spans="1:10" ht="12.75" customHeight="1" x14ac:dyDescent="0.2">
      <c r="A2492" s="681" t="s">
        <v>2370</v>
      </c>
      <c r="B2492" s="693" t="s">
        <v>5060</v>
      </c>
      <c r="C2492" s="672" t="s">
        <v>893</v>
      </c>
      <c r="D2492" s="673">
        <v>39498</v>
      </c>
      <c r="E2492" s="674">
        <v>3</v>
      </c>
      <c r="F2492" s="675">
        <v>0.33</v>
      </c>
      <c r="G2492" s="676">
        <v>4082</v>
      </c>
      <c r="H2492" s="929">
        <v>0</v>
      </c>
      <c r="I2492" s="929">
        <v>4081</v>
      </c>
      <c r="J2492" s="689">
        <f t="shared" si="39"/>
        <v>1</v>
      </c>
    </row>
    <row r="2493" spans="1:10" ht="12.75" customHeight="1" x14ac:dyDescent="0.2">
      <c r="A2493" s="681" t="s">
        <v>2372</v>
      </c>
      <c r="B2493" s="693" t="s">
        <v>5061</v>
      </c>
      <c r="C2493" s="672" t="s">
        <v>1055</v>
      </c>
      <c r="D2493" s="673">
        <v>33289</v>
      </c>
      <c r="E2493" s="674">
        <v>10</v>
      </c>
      <c r="F2493" s="675">
        <v>0.1</v>
      </c>
      <c r="G2493" s="676">
        <v>4102</v>
      </c>
      <c r="H2493" s="929">
        <v>0</v>
      </c>
      <c r="I2493" s="929">
        <v>4101</v>
      </c>
      <c r="J2493" s="689">
        <f t="shared" si="39"/>
        <v>1</v>
      </c>
    </row>
    <row r="2494" spans="1:10" ht="12.75" customHeight="1" x14ac:dyDescent="0.2">
      <c r="A2494" s="681" t="s">
        <v>2370</v>
      </c>
      <c r="B2494" s="693" t="s">
        <v>5062</v>
      </c>
      <c r="C2494" s="672" t="s">
        <v>921</v>
      </c>
      <c r="D2494" s="673">
        <v>37672</v>
      </c>
      <c r="E2494" s="674">
        <v>10</v>
      </c>
      <c r="F2494" s="675">
        <v>0.1</v>
      </c>
      <c r="G2494" s="676">
        <v>4122</v>
      </c>
      <c r="H2494" s="929">
        <v>0</v>
      </c>
      <c r="I2494" s="929">
        <v>4121</v>
      </c>
      <c r="J2494" s="689">
        <f t="shared" si="39"/>
        <v>1</v>
      </c>
    </row>
    <row r="2495" spans="1:10" ht="12.75" customHeight="1" x14ac:dyDescent="0.2">
      <c r="A2495" s="681" t="s">
        <v>2370</v>
      </c>
      <c r="B2495" s="693" t="s">
        <v>5063</v>
      </c>
      <c r="C2495" s="672" t="s">
        <v>894</v>
      </c>
      <c r="D2495" s="673">
        <v>39498</v>
      </c>
      <c r="E2495" s="674">
        <v>3</v>
      </c>
      <c r="F2495" s="675">
        <v>0.33</v>
      </c>
      <c r="G2495" s="676">
        <v>4162</v>
      </c>
      <c r="H2495" s="929">
        <v>0</v>
      </c>
      <c r="I2495" s="929">
        <v>4161</v>
      </c>
      <c r="J2495" s="689">
        <f t="shared" si="39"/>
        <v>1</v>
      </c>
    </row>
    <row r="2496" spans="1:10" ht="12.75" customHeight="1" x14ac:dyDescent="0.2">
      <c r="A2496" s="681" t="s">
        <v>2370</v>
      </c>
      <c r="B2496" s="693" t="s">
        <v>5064</v>
      </c>
      <c r="C2496" s="672" t="s">
        <v>885</v>
      </c>
      <c r="D2496" s="673">
        <v>39498</v>
      </c>
      <c r="E2496" s="674">
        <v>3</v>
      </c>
      <c r="F2496" s="675">
        <v>0.33</v>
      </c>
      <c r="G2496" s="676">
        <v>4195</v>
      </c>
      <c r="H2496" s="929">
        <v>0</v>
      </c>
      <c r="I2496" s="929">
        <v>4194</v>
      </c>
      <c r="J2496" s="689">
        <f t="shared" si="39"/>
        <v>1</v>
      </c>
    </row>
    <row r="2497" spans="1:10" ht="12.75" customHeight="1" x14ac:dyDescent="0.2">
      <c r="A2497" s="681" t="s">
        <v>2370</v>
      </c>
      <c r="B2497" s="693" t="s">
        <v>5065</v>
      </c>
      <c r="C2497" s="672" t="s">
        <v>787</v>
      </c>
      <c r="D2497" s="673">
        <v>36576</v>
      </c>
      <c r="E2497" s="674">
        <v>10</v>
      </c>
      <c r="F2497" s="675">
        <v>0.1</v>
      </c>
      <c r="G2497" s="676">
        <v>4198</v>
      </c>
      <c r="H2497" s="929">
        <v>0</v>
      </c>
      <c r="I2497" s="929">
        <v>4197</v>
      </c>
      <c r="J2497" s="689">
        <f t="shared" si="39"/>
        <v>1</v>
      </c>
    </row>
    <row r="2498" spans="1:10" ht="12.75" customHeight="1" x14ac:dyDescent="0.2">
      <c r="A2498" s="681" t="s">
        <v>2370</v>
      </c>
      <c r="B2498" s="693" t="s">
        <v>5066</v>
      </c>
      <c r="C2498" s="672" t="s">
        <v>894</v>
      </c>
      <c r="D2498" s="673">
        <v>39498</v>
      </c>
      <c r="E2498" s="674">
        <v>3</v>
      </c>
      <c r="F2498" s="675">
        <v>0.33</v>
      </c>
      <c r="G2498" s="676">
        <v>4200</v>
      </c>
      <c r="H2498" s="929">
        <v>0</v>
      </c>
      <c r="I2498" s="929">
        <v>4199</v>
      </c>
      <c r="J2498" s="689">
        <f t="shared" si="39"/>
        <v>1</v>
      </c>
    </row>
    <row r="2499" spans="1:10" ht="12.75" customHeight="1" x14ac:dyDescent="0.2">
      <c r="A2499" s="681" t="s">
        <v>2370</v>
      </c>
      <c r="B2499" s="693" t="s">
        <v>5067</v>
      </c>
      <c r="C2499" s="672" t="s">
        <v>787</v>
      </c>
      <c r="D2499" s="673">
        <v>36576</v>
      </c>
      <c r="E2499" s="674">
        <v>10</v>
      </c>
      <c r="F2499" s="675">
        <v>0.1</v>
      </c>
      <c r="G2499" s="676">
        <v>4232</v>
      </c>
      <c r="H2499" s="929">
        <v>0</v>
      </c>
      <c r="I2499" s="929">
        <v>4231</v>
      </c>
      <c r="J2499" s="689">
        <f t="shared" si="39"/>
        <v>1</v>
      </c>
    </row>
    <row r="2500" spans="1:10" ht="12.75" customHeight="1" x14ac:dyDescent="0.2">
      <c r="A2500" s="681" t="s">
        <v>2370</v>
      </c>
      <c r="B2500" s="693" t="s">
        <v>5068</v>
      </c>
      <c r="C2500" s="672" t="s">
        <v>787</v>
      </c>
      <c r="D2500" s="673">
        <v>36576</v>
      </c>
      <c r="E2500" s="674">
        <v>10</v>
      </c>
      <c r="F2500" s="675">
        <v>0.1</v>
      </c>
      <c r="G2500" s="676">
        <v>4232</v>
      </c>
      <c r="H2500" s="929">
        <v>0</v>
      </c>
      <c r="I2500" s="929">
        <v>4231</v>
      </c>
      <c r="J2500" s="689">
        <f t="shared" si="39"/>
        <v>1</v>
      </c>
    </row>
    <row r="2501" spans="1:10" ht="12.75" customHeight="1" x14ac:dyDescent="0.2">
      <c r="A2501" s="681" t="s">
        <v>2370</v>
      </c>
      <c r="B2501" s="693" t="s">
        <v>5069</v>
      </c>
      <c r="C2501" s="672" t="s">
        <v>787</v>
      </c>
      <c r="D2501" s="673">
        <v>36576</v>
      </c>
      <c r="E2501" s="674">
        <v>10</v>
      </c>
      <c r="F2501" s="675">
        <v>0.1</v>
      </c>
      <c r="G2501" s="676">
        <v>4232</v>
      </c>
      <c r="H2501" s="929">
        <v>0</v>
      </c>
      <c r="I2501" s="929">
        <v>4231</v>
      </c>
      <c r="J2501" s="689">
        <f t="shared" si="39"/>
        <v>1</v>
      </c>
    </row>
    <row r="2502" spans="1:10" ht="12.75" customHeight="1" x14ac:dyDescent="0.2">
      <c r="A2502" s="681" t="s">
        <v>2370</v>
      </c>
      <c r="B2502" s="693" t="s">
        <v>5070</v>
      </c>
      <c r="C2502" s="672" t="s">
        <v>787</v>
      </c>
      <c r="D2502" s="673">
        <v>36576</v>
      </c>
      <c r="E2502" s="674">
        <v>10</v>
      </c>
      <c r="F2502" s="675">
        <v>0.1</v>
      </c>
      <c r="G2502" s="676">
        <v>4232</v>
      </c>
      <c r="H2502" s="929">
        <v>0</v>
      </c>
      <c r="I2502" s="929">
        <v>4231</v>
      </c>
      <c r="J2502" s="689">
        <f t="shared" si="39"/>
        <v>1</v>
      </c>
    </row>
    <row r="2503" spans="1:10" ht="12.75" customHeight="1" x14ac:dyDescent="0.2">
      <c r="A2503" s="681" t="s">
        <v>2370</v>
      </c>
      <c r="B2503" s="693" t="s">
        <v>5071</v>
      </c>
      <c r="C2503" s="672" t="s">
        <v>787</v>
      </c>
      <c r="D2503" s="673">
        <v>36576</v>
      </c>
      <c r="E2503" s="674">
        <v>10</v>
      </c>
      <c r="F2503" s="675">
        <v>0.1</v>
      </c>
      <c r="G2503" s="676">
        <v>4232</v>
      </c>
      <c r="H2503" s="929">
        <v>0</v>
      </c>
      <c r="I2503" s="929">
        <v>4231</v>
      </c>
      <c r="J2503" s="689">
        <f t="shared" ref="J2503:J2566" si="40">G2503-I2503</f>
        <v>1</v>
      </c>
    </row>
    <row r="2504" spans="1:10" ht="12.75" customHeight="1" x14ac:dyDescent="0.2">
      <c r="A2504" s="681" t="s">
        <v>2370</v>
      </c>
      <c r="B2504" s="693" t="s">
        <v>5072</v>
      </c>
      <c r="C2504" s="672" t="s">
        <v>787</v>
      </c>
      <c r="D2504" s="673">
        <v>36576</v>
      </c>
      <c r="E2504" s="674">
        <v>10</v>
      </c>
      <c r="F2504" s="675">
        <v>0.1</v>
      </c>
      <c r="G2504" s="676">
        <v>4232</v>
      </c>
      <c r="H2504" s="929">
        <v>0</v>
      </c>
      <c r="I2504" s="929">
        <v>4231</v>
      </c>
      <c r="J2504" s="689">
        <f t="shared" si="40"/>
        <v>1</v>
      </c>
    </row>
    <row r="2505" spans="1:10" ht="12.75" customHeight="1" x14ac:dyDescent="0.2">
      <c r="A2505" s="681" t="s">
        <v>2370</v>
      </c>
      <c r="B2505" s="693" t="s">
        <v>5073</v>
      </c>
      <c r="C2505" s="672" t="s">
        <v>892</v>
      </c>
      <c r="D2505" s="673">
        <v>38037</v>
      </c>
      <c r="E2505" s="674">
        <v>3</v>
      </c>
      <c r="F2505" s="675">
        <v>0.33</v>
      </c>
      <c r="G2505" s="676">
        <v>4242</v>
      </c>
      <c r="H2505" s="929">
        <v>0</v>
      </c>
      <c r="I2505" s="929">
        <v>4241</v>
      </c>
      <c r="J2505" s="689">
        <f t="shared" si="40"/>
        <v>1</v>
      </c>
    </row>
    <row r="2506" spans="1:10" ht="12.75" customHeight="1" x14ac:dyDescent="0.2">
      <c r="A2506" s="681" t="s">
        <v>2370</v>
      </c>
      <c r="B2506" s="693" t="s">
        <v>5074</v>
      </c>
      <c r="C2506" s="672" t="s">
        <v>795</v>
      </c>
      <c r="D2506" s="673">
        <v>36211</v>
      </c>
      <c r="E2506" s="674">
        <v>10</v>
      </c>
      <c r="F2506" s="675">
        <v>0.1</v>
      </c>
      <c r="G2506" s="676">
        <v>4276</v>
      </c>
      <c r="H2506" s="929">
        <v>0</v>
      </c>
      <c r="I2506" s="929">
        <v>4275</v>
      </c>
      <c r="J2506" s="689">
        <f t="shared" si="40"/>
        <v>1</v>
      </c>
    </row>
    <row r="2507" spans="1:10" ht="12.75" customHeight="1" x14ac:dyDescent="0.2">
      <c r="A2507" s="681" t="s">
        <v>2370</v>
      </c>
      <c r="B2507" s="693" t="s">
        <v>5075</v>
      </c>
      <c r="C2507" s="672" t="s">
        <v>795</v>
      </c>
      <c r="D2507" s="673">
        <v>36211</v>
      </c>
      <c r="E2507" s="674">
        <v>10</v>
      </c>
      <c r="F2507" s="675">
        <v>0.1</v>
      </c>
      <c r="G2507" s="676">
        <v>4276</v>
      </c>
      <c r="H2507" s="929">
        <v>0</v>
      </c>
      <c r="I2507" s="929">
        <v>4275</v>
      </c>
      <c r="J2507" s="689">
        <f t="shared" si="40"/>
        <v>1</v>
      </c>
    </row>
    <row r="2508" spans="1:10" ht="12.75" customHeight="1" x14ac:dyDescent="0.2">
      <c r="A2508" s="681" t="s">
        <v>2370</v>
      </c>
      <c r="B2508" s="693" t="s">
        <v>5076</v>
      </c>
      <c r="C2508" s="672" t="s">
        <v>892</v>
      </c>
      <c r="D2508" s="673">
        <v>39498</v>
      </c>
      <c r="E2508" s="674">
        <v>3</v>
      </c>
      <c r="F2508" s="675">
        <v>0.33</v>
      </c>
      <c r="G2508" s="676">
        <v>4301</v>
      </c>
      <c r="H2508" s="929">
        <v>0</v>
      </c>
      <c r="I2508" s="929">
        <v>4300</v>
      </c>
      <c r="J2508" s="689">
        <f t="shared" si="40"/>
        <v>1</v>
      </c>
    </row>
    <row r="2509" spans="1:10" ht="12.75" customHeight="1" x14ac:dyDescent="0.2">
      <c r="A2509" s="681" t="s">
        <v>2370</v>
      </c>
      <c r="B2509" s="693" t="s">
        <v>5077</v>
      </c>
      <c r="C2509" s="672" t="s">
        <v>892</v>
      </c>
      <c r="D2509" s="673">
        <v>39498</v>
      </c>
      <c r="E2509" s="674">
        <v>3</v>
      </c>
      <c r="F2509" s="675">
        <v>0.33</v>
      </c>
      <c r="G2509" s="676">
        <v>4301</v>
      </c>
      <c r="H2509" s="929">
        <v>0</v>
      </c>
      <c r="I2509" s="929">
        <v>4300</v>
      </c>
      <c r="J2509" s="689">
        <f t="shared" si="40"/>
        <v>1</v>
      </c>
    </row>
    <row r="2510" spans="1:10" ht="12.75" customHeight="1" x14ac:dyDescent="0.2">
      <c r="A2510" s="681" t="s">
        <v>2370</v>
      </c>
      <c r="B2510" s="693" t="s">
        <v>5078</v>
      </c>
      <c r="C2510" s="672" t="s">
        <v>787</v>
      </c>
      <c r="D2510" s="673">
        <v>38037</v>
      </c>
      <c r="E2510" s="674">
        <v>10</v>
      </c>
      <c r="F2510" s="675">
        <v>0.1</v>
      </c>
      <c r="G2510" s="676">
        <v>4305</v>
      </c>
      <c r="H2510" s="929">
        <v>0</v>
      </c>
      <c r="I2510" s="929">
        <v>4304</v>
      </c>
      <c r="J2510" s="689">
        <f t="shared" si="40"/>
        <v>1</v>
      </c>
    </row>
    <row r="2511" spans="1:10" ht="12.75" customHeight="1" x14ac:dyDescent="0.2">
      <c r="A2511" s="681" t="s">
        <v>2370</v>
      </c>
      <c r="B2511" s="693" t="s">
        <v>5079</v>
      </c>
      <c r="C2511" s="672" t="s">
        <v>804</v>
      </c>
      <c r="D2511" s="673">
        <v>37307</v>
      </c>
      <c r="E2511" s="674">
        <v>10</v>
      </c>
      <c r="F2511" s="675">
        <v>0.1</v>
      </c>
      <c r="G2511" s="676">
        <v>4306</v>
      </c>
      <c r="H2511" s="929">
        <v>0</v>
      </c>
      <c r="I2511" s="929">
        <v>4305</v>
      </c>
      <c r="J2511" s="689">
        <f t="shared" si="40"/>
        <v>1</v>
      </c>
    </row>
    <row r="2512" spans="1:10" ht="12.75" customHeight="1" x14ac:dyDescent="0.2">
      <c r="A2512" s="681" t="s">
        <v>2370</v>
      </c>
      <c r="B2512" s="693" t="s">
        <v>5080</v>
      </c>
      <c r="C2512" s="672" t="s">
        <v>787</v>
      </c>
      <c r="D2512" s="673">
        <v>37307</v>
      </c>
      <c r="E2512" s="674">
        <v>10</v>
      </c>
      <c r="F2512" s="675">
        <v>0.1</v>
      </c>
      <c r="G2512" s="676">
        <v>4306</v>
      </c>
      <c r="H2512" s="929">
        <v>0</v>
      </c>
      <c r="I2512" s="929">
        <v>4305</v>
      </c>
      <c r="J2512" s="689">
        <f t="shared" si="40"/>
        <v>1</v>
      </c>
    </row>
    <row r="2513" spans="1:10" ht="12.75" customHeight="1" x14ac:dyDescent="0.2">
      <c r="A2513" s="681" t="s">
        <v>2370</v>
      </c>
      <c r="B2513" s="693" t="s">
        <v>5081</v>
      </c>
      <c r="C2513" s="672" t="s">
        <v>787</v>
      </c>
      <c r="D2513" s="673">
        <v>37307</v>
      </c>
      <c r="E2513" s="674">
        <v>10</v>
      </c>
      <c r="F2513" s="675">
        <v>0.1</v>
      </c>
      <c r="G2513" s="676">
        <v>4306</v>
      </c>
      <c r="H2513" s="929">
        <v>0</v>
      </c>
      <c r="I2513" s="929">
        <v>4305</v>
      </c>
      <c r="J2513" s="689">
        <f t="shared" si="40"/>
        <v>1</v>
      </c>
    </row>
    <row r="2514" spans="1:10" ht="12.75" customHeight="1" x14ac:dyDescent="0.2">
      <c r="A2514" s="681" t="s">
        <v>2370</v>
      </c>
      <c r="B2514" s="693" t="s">
        <v>5082</v>
      </c>
      <c r="C2514" s="672" t="s">
        <v>787</v>
      </c>
      <c r="D2514" s="673">
        <v>37307</v>
      </c>
      <c r="E2514" s="674">
        <v>10</v>
      </c>
      <c r="F2514" s="675">
        <v>0.1</v>
      </c>
      <c r="G2514" s="676">
        <v>4306</v>
      </c>
      <c r="H2514" s="929">
        <v>0</v>
      </c>
      <c r="I2514" s="929">
        <v>4305</v>
      </c>
      <c r="J2514" s="689">
        <f t="shared" si="40"/>
        <v>1</v>
      </c>
    </row>
    <row r="2515" spans="1:10" ht="12.75" customHeight="1" x14ac:dyDescent="0.2">
      <c r="A2515" s="681" t="s">
        <v>2370</v>
      </c>
      <c r="B2515" s="693" t="s">
        <v>5083</v>
      </c>
      <c r="C2515" s="672" t="s">
        <v>787</v>
      </c>
      <c r="D2515" s="673">
        <v>36576</v>
      </c>
      <c r="E2515" s="674">
        <v>10</v>
      </c>
      <c r="F2515" s="675">
        <v>0.1</v>
      </c>
      <c r="G2515" s="676">
        <v>4306</v>
      </c>
      <c r="H2515" s="929">
        <v>0</v>
      </c>
      <c r="I2515" s="929">
        <v>4305</v>
      </c>
      <c r="J2515" s="689">
        <f t="shared" si="40"/>
        <v>1</v>
      </c>
    </row>
    <row r="2516" spans="1:10" ht="12.75" customHeight="1" x14ac:dyDescent="0.2">
      <c r="A2516" s="681" t="s">
        <v>2370</v>
      </c>
      <c r="B2516" s="693" t="s">
        <v>5084</v>
      </c>
      <c r="C2516" s="672" t="s">
        <v>788</v>
      </c>
      <c r="D2516" s="673">
        <v>37307</v>
      </c>
      <c r="E2516" s="674">
        <v>10</v>
      </c>
      <c r="F2516" s="675">
        <v>0.1</v>
      </c>
      <c r="G2516" s="676">
        <v>4312</v>
      </c>
      <c r="H2516" s="929">
        <v>0</v>
      </c>
      <c r="I2516" s="929">
        <v>4311</v>
      </c>
      <c r="J2516" s="689">
        <f t="shared" si="40"/>
        <v>1</v>
      </c>
    </row>
    <row r="2517" spans="1:10" ht="12.75" customHeight="1" x14ac:dyDescent="0.2">
      <c r="A2517" s="681" t="s">
        <v>2370</v>
      </c>
      <c r="B2517" s="693" t="s">
        <v>5085</v>
      </c>
      <c r="C2517" s="672" t="s">
        <v>790</v>
      </c>
      <c r="D2517" s="673">
        <v>36576</v>
      </c>
      <c r="E2517" s="674">
        <v>10</v>
      </c>
      <c r="F2517" s="675">
        <v>0.1</v>
      </c>
      <c r="G2517" s="676">
        <v>4312</v>
      </c>
      <c r="H2517" s="929">
        <v>0</v>
      </c>
      <c r="I2517" s="929">
        <v>4311</v>
      </c>
      <c r="J2517" s="689">
        <f t="shared" si="40"/>
        <v>1</v>
      </c>
    </row>
    <row r="2518" spans="1:10" ht="12.75" customHeight="1" x14ac:dyDescent="0.2">
      <c r="A2518" s="681" t="s">
        <v>2370</v>
      </c>
      <c r="B2518" s="693" t="s">
        <v>5086</v>
      </c>
      <c r="C2518" s="672" t="s">
        <v>787</v>
      </c>
      <c r="D2518" s="673">
        <v>36576</v>
      </c>
      <c r="E2518" s="674">
        <v>10</v>
      </c>
      <c r="F2518" s="675">
        <v>0.1</v>
      </c>
      <c r="G2518" s="676">
        <v>4336</v>
      </c>
      <c r="H2518" s="929">
        <v>0</v>
      </c>
      <c r="I2518" s="929">
        <v>4335</v>
      </c>
      <c r="J2518" s="689">
        <f t="shared" si="40"/>
        <v>1</v>
      </c>
    </row>
    <row r="2519" spans="1:10" ht="12.75" customHeight="1" x14ac:dyDescent="0.2">
      <c r="A2519" s="681" t="s">
        <v>2370</v>
      </c>
      <c r="B2519" s="693" t="s">
        <v>5087</v>
      </c>
      <c r="C2519" s="672" t="s">
        <v>787</v>
      </c>
      <c r="D2519" s="673">
        <v>36576</v>
      </c>
      <c r="E2519" s="674">
        <v>10</v>
      </c>
      <c r="F2519" s="675">
        <v>0.1</v>
      </c>
      <c r="G2519" s="676">
        <v>4336</v>
      </c>
      <c r="H2519" s="929">
        <v>0</v>
      </c>
      <c r="I2519" s="929">
        <v>4335</v>
      </c>
      <c r="J2519" s="689">
        <f t="shared" si="40"/>
        <v>1</v>
      </c>
    </row>
    <row r="2520" spans="1:10" ht="12.75" customHeight="1" x14ac:dyDescent="0.2">
      <c r="A2520" s="681" t="s">
        <v>2370</v>
      </c>
      <c r="B2520" s="693" t="s">
        <v>5088</v>
      </c>
      <c r="C2520" s="672" t="s">
        <v>892</v>
      </c>
      <c r="D2520" s="673">
        <v>39864</v>
      </c>
      <c r="E2520" s="674">
        <v>3</v>
      </c>
      <c r="F2520" s="675">
        <v>0.33</v>
      </c>
      <c r="G2520" s="676">
        <v>4358</v>
      </c>
      <c r="H2520" s="929">
        <v>0</v>
      </c>
      <c r="I2520" s="929">
        <v>4357</v>
      </c>
      <c r="J2520" s="689">
        <f t="shared" si="40"/>
        <v>1</v>
      </c>
    </row>
    <row r="2521" spans="1:10" ht="12.75" customHeight="1" x14ac:dyDescent="0.2">
      <c r="A2521" s="681" t="s">
        <v>2370</v>
      </c>
      <c r="B2521" s="693" t="s">
        <v>5089</v>
      </c>
      <c r="C2521" s="672" t="s">
        <v>791</v>
      </c>
      <c r="D2521" s="673">
        <v>36576</v>
      </c>
      <c r="E2521" s="674">
        <v>10</v>
      </c>
      <c r="F2521" s="675">
        <v>0.1</v>
      </c>
      <c r="G2521" s="676">
        <v>4370</v>
      </c>
      <c r="H2521" s="929">
        <v>0</v>
      </c>
      <c r="I2521" s="929">
        <v>4369</v>
      </c>
      <c r="J2521" s="689">
        <f t="shared" si="40"/>
        <v>1</v>
      </c>
    </row>
    <row r="2522" spans="1:10" ht="12.75" customHeight="1" x14ac:dyDescent="0.2">
      <c r="A2522" s="681" t="s">
        <v>2370</v>
      </c>
      <c r="B2522" s="693" t="s">
        <v>5090</v>
      </c>
      <c r="C2522" s="672" t="s">
        <v>791</v>
      </c>
      <c r="D2522" s="673">
        <v>36576</v>
      </c>
      <c r="E2522" s="674">
        <v>10</v>
      </c>
      <c r="F2522" s="675">
        <v>0.1</v>
      </c>
      <c r="G2522" s="676">
        <v>4370</v>
      </c>
      <c r="H2522" s="929">
        <v>0</v>
      </c>
      <c r="I2522" s="929">
        <v>4369</v>
      </c>
      <c r="J2522" s="689">
        <f t="shared" si="40"/>
        <v>1</v>
      </c>
    </row>
    <row r="2523" spans="1:10" ht="12.75" customHeight="1" x14ac:dyDescent="0.2">
      <c r="A2523" s="681" t="s">
        <v>2370</v>
      </c>
      <c r="B2523" s="693" t="s">
        <v>5091</v>
      </c>
      <c r="C2523" s="672" t="s">
        <v>892</v>
      </c>
      <c r="D2523" s="673">
        <v>39498</v>
      </c>
      <c r="E2523" s="674">
        <v>3</v>
      </c>
      <c r="F2523" s="675">
        <v>0.33</v>
      </c>
      <c r="G2523" s="676">
        <v>4390</v>
      </c>
      <c r="H2523" s="929">
        <v>0</v>
      </c>
      <c r="I2523" s="929">
        <v>4389</v>
      </c>
      <c r="J2523" s="689">
        <f t="shared" si="40"/>
        <v>1</v>
      </c>
    </row>
    <row r="2524" spans="1:10" ht="12.75" customHeight="1" x14ac:dyDescent="0.2">
      <c r="A2524" s="681" t="s">
        <v>2370</v>
      </c>
      <c r="B2524" s="693" t="s">
        <v>5092</v>
      </c>
      <c r="C2524" s="672" t="s">
        <v>893</v>
      </c>
      <c r="D2524" s="673">
        <v>38403</v>
      </c>
      <c r="E2524" s="674">
        <v>3</v>
      </c>
      <c r="F2524" s="675">
        <v>0.33</v>
      </c>
      <c r="G2524" s="676">
        <v>4400</v>
      </c>
      <c r="H2524" s="929">
        <v>0</v>
      </c>
      <c r="I2524" s="929">
        <v>4399</v>
      </c>
      <c r="J2524" s="689">
        <f t="shared" si="40"/>
        <v>1</v>
      </c>
    </row>
    <row r="2525" spans="1:10" ht="12.75" customHeight="1" x14ac:dyDescent="0.2">
      <c r="A2525" s="681" t="s">
        <v>2370</v>
      </c>
      <c r="B2525" s="693" t="s">
        <v>5093</v>
      </c>
      <c r="C2525" s="672" t="s">
        <v>785</v>
      </c>
      <c r="D2525" s="673">
        <v>37307</v>
      </c>
      <c r="E2525" s="674">
        <v>10</v>
      </c>
      <c r="F2525" s="675">
        <v>0.1</v>
      </c>
      <c r="G2525" s="676">
        <v>4468</v>
      </c>
      <c r="H2525" s="929">
        <v>0</v>
      </c>
      <c r="I2525" s="929">
        <v>4467</v>
      </c>
      <c r="J2525" s="689">
        <f t="shared" si="40"/>
        <v>1</v>
      </c>
    </row>
    <row r="2526" spans="1:10" ht="12.75" customHeight="1" x14ac:dyDescent="0.2">
      <c r="A2526" s="681" t="s">
        <v>2370</v>
      </c>
      <c r="B2526" s="693" t="s">
        <v>5094</v>
      </c>
      <c r="C2526" s="672" t="s">
        <v>785</v>
      </c>
      <c r="D2526" s="673">
        <v>37307</v>
      </c>
      <c r="E2526" s="674">
        <v>10</v>
      </c>
      <c r="F2526" s="675">
        <v>0.1</v>
      </c>
      <c r="G2526" s="676">
        <v>4468</v>
      </c>
      <c r="H2526" s="929">
        <v>0</v>
      </c>
      <c r="I2526" s="929">
        <v>4467</v>
      </c>
      <c r="J2526" s="689">
        <f t="shared" si="40"/>
        <v>1</v>
      </c>
    </row>
    <row r="2527" spans="1:10" ht="12.75" customHeight="1" x14ac:dyDescent="0.2">
      <c r="A2527" s="681" t="s">
        <v>2370</v>
      </c>
      <c r="B2527" s="693" t="s">
        <v>5095</v>
      </c>
      <c r="C2527" s="672" t="s">
        <v>785</v>
      </c>
      <c r="D2527" s="673">
        <v>37307</v>
      </c>
      <c r="E2527" s="674">
        <v>10</v>
      </c>
      <c r="F2527" s="675">
        <v>0.1</v>
      </c>
      <c r="G2527" s="676">
        <v>4468</v>
      </c>
      <c r="H2527" s="929">
        <v>0</v>
      </c>
      <c r="I2527" s="929">
        <v>4467</v>
      </c>
      <c r="J2527" s="689">
        <f t="shared" si="40"/>
        <v>1</v>
      </c>
    </row>
    <row r="2528" spans="1:10" ht="12.75" customHeight="1" x14ac:dyDescent="0.2">
      <c r="A2528" s="681" t="s">
        <v>2370</v>
      </c>
      <c r="B2528" s="693" t="s">
        <v>5096</v>
      </c>
      <c r="C2528" s="672" t="s">
        <v>785</v>
      </c>
      <c r="D2528" s="673">
        <v>37307</v>
      </c>
      <c r="E2528" s="674">
        <v>10</v>
      </c>
      <c r="F2528" s="675">
        <v>0.1</v>
      </c>
      <c r="G2528" s="676">
        <v>4468</v>
      </c>
      <c r="H2528" s="929">
        <v>0</v>
      </c>
      <c r="I2528" s="929">
        <v>4467</v>
      </c>
      <c r="J2528" s="689">
        <f t="shared" si="40"/>
        <v>1</v>
      </c>
    </row>
    <row r="2529" spans="1:10" ht="12.75" customHeight="1" x14ac:dyDescent="0.2">
      <c r="A2529" s="681" t="s">
        <v>2370</v>
      </c>
      <c r="B2529" s="693" t="s">
        <v>5097</v>
      </c>
      <c r="C2529" s="672" t="s">
        <v>785</v>
      </c>
      <c r="D2529" s="673">
        <v>37307</v>
      </c>
      <c r="E2529" s="674">
        <v>10</v>
      </c>
      <c r="F2529" s="675">
        <v>0.1</v>
      </c>
      <c r="G2529" s="676">
        <v>4468</v>
      </c>
      <c r="H2529" s="929">
        <v>0</v>
      </c>
      <c r="I2529" s="929">
        <v>4467</v>
      </c>
      <c r="J2529" s="689">
        <f t="shared" si="40"/>
        <v>1</v>
      </c>
    </row>
    <row r="2530" spans="1:10" ht="12.75" customHeight="1" x14ac:dyDescent="0.2">
      <c r="A2530" s="681" t="s">
        <v>2370</v>
      </c>
      <c r="B2530" s="693" t="s">
        <v>5098</v>
      </c>
      <c r="C2530" s="672" t="s">
        <v>892</v>
      </c>
      <c r="D2530" s="673">
        <v>38768</v>
      </c>
      <c r="E2530" s="674">
        <v>3</v>
      </c>
      <c r="F2530" s="675">
        <v>0.33</v>
      </c>
      <c r="G2530" s="676">
        <v>4510</v>
      </c>
      <c r="H2530" s="929">
        <v>0</v>
      </c>
      <c r="I2530" s="929">
        <v>4509</v>
      </c>
      <c r="J2530" s="689">
        <f t="shared" si="40"/>
        <v>1</v>
      </c>
    </row>
    <row r="2531" spans="1:10" ht="12.75" customHeight="1" x14ac:dyDescent="0.2">
      <c r="A2531" s="681" t="s">
        <v>2370</v>
      </c>
      <c r="B2531" s="693" t="s">
        <v>5099</v>
      </c>
      <c r="C2531" s="672" t="s">
        <v>851</v>
      </c>
      <c r="D2531" s="673">
        <v>37672</v>
      </c>
      <c r="E2531" s="674">
        <v>10</v>
      </c>
      <c r="F2531" s="675">
        <v>0.1</v>
      </c>
      <c r="G2531" s="676">
        <v>4572</v>
      </c>
      <c r="H2531" s="929">
        <v>0</v>
      </c>
      <c r="I2531" s="929">
        <v>4571</v>
      </c>
      <c r="J2531" s="689">
        <f t="shared" si="40"/>
        <v>1</v>
      </c>
    </row>
    <row r="2532" spans="1:10" ht="12.75" customHeight="1" x14ac:dyDescent="0.2">
      <c r="A2532" s="681" t="s">
        <v>2370</v>
      </c>
      <c r="B2532" s="693" t="s">
        <v>5100</v>
      </c>
      <c r="C2532" s="672" t="s">
        <v>787</v>
      </c>
      <c r="D2532" s="673">
        <v>36211</v>
      </c>
      <c r="E2532" s="674">
        <v>10</v>
      </c>
      <c r="F2532" s="675">
        <v>0.1</v>
      </c>
      <c r="G2532" s="676">
        <v>4600</v>
      </c>
      <c r="H2532" s="929">
        <v>0</v>
      </c>
      <c r="I2532" s="929">
        <v>4599</v>
      </c>
      <c r="J2532" s="689">
        <f t="shared" si="40"/>
        <v>1</v>
      </c>
    </row>
    <row r="2533" spans="1:10" ht="12.75" customHeight="1" x14ac:dyDescent="0.2">
      <c r="A2533" s="681" t="s">
        <v>2370</v>
      </c>
      <c r="B2533" s="693" t="s">
        <v>5101</v>
      </c>
      <c r="C2533" s="672" t="s">
        <v>786</v>
      </c>
      <c r="D2533" s="673">
        <v>36576</v>
      </c>
      <c r="E2533" s="674">
        <v>10</v>
      </c>
      <c r="F2533" s="675">
        <v>0.1</v>
      </c>
      <c r="G2533" s="676">
        <v>4600</v>
      </c>
      <c r="H2533" s="929">
        <v>0</v>
      </c>
      <c r="I2533" s="929">
        <v>4599</v>
      </c>
      <c r="J2533" s="689">
        <f t="shared" si="40"/>
        <v>1</v>
      </c>
    </row>
    <row r="2534" spans="1:10" ht="12.75" customHeight="1" x14ac:dyDescent="0.2">
      <c r="A2534" s="681" t="s">
        <v>2370</v>
      </c>
      <c r="B2534" s="693" t="s">
        <v>5102</v>
      </c>
      <c r="C2534" s="672" t="s">
        <v>825</v>
      </c>
      <c r="D2534" s="673">
        <v>36576</v>
      </c>
      <c r="E2534" s="674">
        <v>10</v>
      </c>
      <c r="F2534" s="675">
        <v>0.1</v>
      </c>
      <c r="G2534" s="676">
        <v>4600</v>
      </c>
      <c r="H2534" s="929">
        <v>0</v>
      </c>
      <c r="I2534" s="929">
        <v>4599</v>
      </c>
      <c r="J2534" s="689">
        <f t="shared" si="40"/>
        <v>1</v>
      </c>
    </row>
    <row r="2535" spans="1:10" ht="12.75" customHeight="1" x14ac:dyDescent="0.2">
      <c r="A2535" s="681" t="s">
        <v>2370</v>
      </c>
      <c r="B2535" s="693" t="s">
        <v>5103</v>
      </c>
      <c r="C2535" s="672" t="s">
        <v>892</v>
      </c>
      <c r="D2535" s="673">
        <v>39133</v>
      </c>
      <c r="E2535" s="674">
        <v>3</v>
      </c>
      <c r="F2535" s="675">
        <v>0.33</v>
      </c>
      <c r="G2535" s="676">
        <v>4651</v>
      </c>
      <c r="H2535" s="929">
        <v>0</v>
      </c>
      <c r="I2535" s="929">
        <v>4650</v>
      </c>
      <c r="J2535" s="689">
        <f t="shared" si="40"/>
        <v>1</v>
      </c>
    </row>
    <row r="2536" spans="1:10" ht="12.75" customHeight="1" x14ac:dyDescent="0.2">
      <c r="A2536" s="681" t="s">
        <v>2370</v>
      </c>
      <c r="B2536" s="693" t="s">
        <v>5104</v>
      </c>
      <c r="C2536" s="672" t="s">
        <v>892</v>
      </c>
      <c r="D2536" s="673">
        <v>39133</v>
      </c>
      <c r="E2536" s="674">
        <v>3</v>
      </c>
      <c r="F2536" s="675">
        <v>0.33</v>
      </c>
      <c r="G2536" s="676">
        <v>4651</v>
      </c>
      <c r="H2536" s="929">
        <v>0</v>
      </c>
      <c r="I2536" s="929">
        <v>4650</v>
      </c>
      <c r="J2536" s="689">
        <f t="shared" si="40"/>
        <v>1</v>
      </c>
    </row>
    <row r="2537" spans="1:10" ht="12.75" customHeight="1" x14ac:dyDescent="0.2">
      <c r="A2537" s="681" t="s">
        <v>2372</v>
      </c>
      <c r="B2537" s="693" t="s">
        <v>5105</v>
      </c>
      <c r="C2537" s="672" t="s">
        <v>1039</v>
      </c>
      <c r="D2537" s="673">
        <v>39498</v>
      </c>
      <c r="E2537" s="674">
        <v>3</v>
      </c>
      <c r="F2537" s="675">
        <v>0.33</v>
      </c>
      <c r="G2537" s="676">
        <v>4652</v>
      </c>
      <c r="H2537" s="929">
        <v>0</v>
      </c>
      <c r="I2537" s="929">
        <v>4651</v>
      </c>
      <c r="J2537" s="689">
        <f t="shared" si="40"/>
        <v>1</v>
      </c>
    </row>
    <row r="2538" spans="1:10" ht="12.75" customHeight="1" x14ac:dyDescent="0.2">
      <c r="A2538" s="681" t="s">
        <v>2372</v>
      </c>
      <c r="B2538" s="693" t="s">
        <v>5106</v>
      </c>
      <c r="C2538" s="672" t="s">
        <v>1039</v>
      </c>
      <c r="D2538" s="673">
        <v>39498</v>
      </c>
      <c r="E2538" s="674">
        <v>3</v>
      </c>
      <c r="F2538" s="675">
        <v>0.33</v>
      </c>
      <c r="G2538" s="676">
        <v>4652</v>
      </c>
      <c r="H2538" s="929">
        <v>0</v>
      </c>
      <c r="I2538" s="929">
        <v>4651</v>
      </c>
      <c r="J2538" s="689">
        <f t="shared" si="40"/>
        <v>1</v>
      </c>
    </row>
    <row r="2539" spans="1:10" ht="12.75" customHeight="1" x14ac:dyDescent="0.2">
      <c r="A2539" s="681" t="s">
        <v>2372</v>
      </c>
      <c r="B2539" s="693" t="s">
        <v>5107</v>
      </c>
      <c r="C2539" s="672" t="s">
        <v>1039</v>
      </c>
      <c r="D2539" s="673">
        <v>39498</v>
      </c>
      <c r="E2539" s="674">
        <v>3</v>
      </c>
      <c r="F2539" s="675">
        <v>0.33</v>
      </c>
      <c r="G2539" s="676">
        <v>4652</v>
      </c>
      <c r="H2539" s="929">
        <v>0</v>
      </c>
      <c r="I2539" s="929">
        <v>4651</v>
      </c>
      <c r="J2539" s="689">
        <f t="shared" si="40"/>
        <v>1</v>
      </c>
    </row>
    <row r="2540" spans="1:10" ht="12.75" customHeight="1" x14ac:dyDescent="0.2">
      <c r="A2540" s="681" t="s">
        <v>2370</v>
      </c>
      <c r="B2540" s="693" t="s">
        <v>5108</v>
      </c>
      <c r="C2540" s="672" t="s">
        <v>798</v>
      </c>
      <c r="D2540" s="673">
        <v>36211</v>
      </c>
      <c r="E2540" s="674">
        <v>10</v>
      </c>
      <c r="F2540" s="675">
        <v>0.1</v>
      </c>
      <c r="G2540" s="676">
        <v>4658</v>
      </c>
      <c r="H2540" s="929">
        <v>0</v>
      </c>
      <c r="I2540" s="929">
        <v>4657</v>
      </c>
      <c r="J2540" s="689">
        <f t="shared" si="40"/>
        <v>1</v>
      </c>
    </row>
    <row r="2541" spans="1:10" ht="12.75" customHeight="1" x14ac:dyDescent="0.2">
      <c r="A2541" s="681" t="s">
        <v>2370</v>
      </c>
      <c r="B2541" s="693" t="s">
        <v>5109</v>
      </c>
      <c r="C2541" s="672" t="s">
        <v>798</v>
      </c>
      <c r="D2541" s="673">
        <v>36211</v>
      </c>
      <c r="E2541" s="674">
        <v>10</v>
      </c>
      <c r="F2541" s="675">
        <v>0.1</v>
      </c>
      <c r="G2541" s="676">
        <v>4658</v>
      </c>
      <c r="H2541" s="929">
        <v>0</v>
      </c>
      <c r="I2541" s="929">
        <v>4657</v>
      </c>
      <c r="J2541" s="689">
        <f t="shared" si="40"/>
        <v>1</v>
      </c>
    </row>
    <row r="2542" spans="1:10" ht="12.75" customHeight="1" x14ac:dyDescent="0.2">
      <c r="A2542" s="681" t="s">
        <v>2370</v>
      </c>
      <c r="B2542" s="693" t="s">
        <v>5110</v>
      </c>
      <c r="C2542" s="672" t="s">
        <v>798</v>
      </c>
      <c r="D2542" s="673">
        <v>36211</v>
      </c>
      <c r="E2542" s="674">
        <v>10</v>
      </c>
      <c r="F2542" s="675">
        <v>0.1</v>
      </c>
      <c r="G2542" s="676">
        <v>4658</v>
      </c>
      <c r="H2542" s="929">
        <v>0</v>
      </c>
      <c r="I2542" s="929">
        <v>4657</v>
      </c>
      <c r="J2542" s="689">
        <f t="shared" si="40"/>
        <v>1</v>
      </c>
    </row>
    <row r="2543" spans="1:10" ht="12.75" customHeight="1" x14ac:dyDescent="0.2">
      <c r="A2543" s="681" t="s">
        <v>2370</v>
      </c>
      <c r="B2543" s="693" t="s">
        <v>5111</v>
      </c>
      <c r="C2543" s="672" t="s">
        <v>892</v>
      </c>
      <c r="D2543" s="673">
        <v>39498</v>
      </c>
      <c r="E2543" s="674">
        <v>3</v>
      </c>
      <c r="F2543" s="675">
        <v>0.33</v>
      </c>
      <c r="G2543" s="676">
        <v>4715</v>
      </c>
      <c r="H2543" s="929">
        <v>0</v>
      </c>
      <c r="I2543" s="929">
        <v>4714</v>
      </c>
      <c r="J2543" s="689">
        <f t="shared" si="40"/>
        <v>1</v>
      </c>
    </row>
    <row r="2544" spans="1:10" ht="12.75" customHeight="1" x14ac:dyDescent="0.2">
      <c r="A2544" s="681" t="s">
        <v>2370</v>
      </c>
      <c r="B2544" s="693" t="s">
        <v>5112</v>
      </c>
      <c r="C2544" s="672" t="s">
        <v>894</v>
      </c>
      <c r="D2544" s="673">
        <v>38403</v>
      </c>
      <c r="E2544" s="674">
        <v>3</v>
      </c>
      <c r="F2544" s="675">
        <v>0.33</v>
      </c>
      <c r="G2544" s="676">
        <v>4716</v>
      </c>
      <c r="H2544" s="929">
        <v>0</v>
      </c>
      <c r="I2544" s="929">
        <v>4715</v>
      </c>
      <c r="J2544" s="689">
        <f t="shared" si="40"/>
        <v>1</v>
      </c>
    </row>
    <row r="2545" spans="1:10" ht="12.75" customHeight="1" x14ac:dyDescent="0.2">
      <c r="A2545" s="681" t="s">
        <v>2370</v>
      </c>
      <c r="B2545" s="693" t="s">
        <v>5113</v>
      </c>
      <c r="C2545" s="672" t="s">
        <v>785</v>
      </c>
      <c r="D2545" s="673">
        <v>36211</v>
      </c>
      <c r="E2545" s="674">
        <v>10</v>
      </c>
      <c r="F2545" s="675">
        <v>0.1</v>
      </c>
      <c r="G2545" s="676">
        <v>4724</v>
      </c>
      <c r="H2545" s="929">
        <v>0</v>
      </c>
      <c r="I2545" s="929">
        <v>4723</v>
      </c>
      <c r="J2545" s="689">
        <f t="shared" si="40"/>
        <v>1</v>
      </c>
    </row>
    <row r="2546" spans="1:10" ht="12.75" customHeight="1" x14ac:dyDescent="0.2">
      <c r="A2546" s="681" t="s">
        <v>2370</v>
      </c>
      <c r="B2546" s="693" t="s">
        <v>5114</v>
      </c>
      <c r="C2546" s="672" t="s">
        <v>790</v>
      </c>
      <c r="D2546" s="673">
        <v>38037</v>
      </c>
      <c r="E2546" s="674">
        <v>10</v>
      </c>
      <c r="F2546" s="675">
        <v>0.1</v>
      </c>
      <c r="G2546" s="676">
        <v>4762</v>
      </c>
      <c r="H2546" s="929">
        <v>0</v>
      </c>
      <c r="I2546" s="929">
        <v>4761</v>
      </c>
      <c r="J2546" s="689">
        <f t="shared" si="40"/>
        <v>1</v>
      </c>
    </row>
    <row r="2547" spans="1:10" ht="12.75" customHeight="1" x14ac:dyDescent="0.2">
      <c r="A2547" s="681" t="s">
        <v>2370</v>
      </c>
      <c r="B2547" s="693" t="s">
        <v>5115</v>
      </c>
      <c r="C2547" s="672" t="s">
        <v>966</v>
      </c>
      <c r="D2547" s="673">
        <v>36576</v>
      </c>
      <c r="E2547" s="674">
        <v>10</v>
      </c>
      <c r="F2547" s="675">
        <v>0.1</v>
      </c>
      <c r="G2547" s="676">
        <v>4830</v>
      </c>
      <c r="H2547" s="929">
        <v>0</v>
      </c>
      <c r="I2547" s="929">
        <v>4829</v>
      </c>
      <c r="J2547" s="689">
        <f t="shared" si="40"/>
        <v>1</v>
      </c>
    </row>
    <row r="2548" spans="1:10" ht="12.75" customHeight="1" x14ac:dyDescent="0.2">
      <c r="A2548" s="681" t="s">
        <v>2370</v>
      </c>
      <c r="B2548" s="693" t="s">
        <v>5116</v>
      </c>
      <c r="C2548" s="672" t="s">
        <v>966</v>
      </c>
      <c r="D2548" s="673">
        <v>36576</v>
      </c>
      <c r="E2548" s="674">
        <v>10</v>
      </c>
      <c r="F2548" s="675">
        <v>0.1</v>
      </c>
      <c r="G2548" s="676">
        <v>4830</v>
      </c>
      <c r="H2548" s="929">
        <v>0</v>
      </c>
      <c r="I2548" s="929">
        <v>4829</v>
      </c>
      <c r="J2548" s="689">
        <f t="shared" si="40"/>
        <v>1</v>
      </c>
    </row>
    <row r="2549" spans="1:10" ht="12.75" customHeight="1" x14ac:dyDescent="0.2">
      <c r="A2549" s="681" t="s">
        <v>2370</v>
      </c>
      <c r="B2549" s="693" t="s">
        <v>5117</v>
      </c>
      <c r="C2549" s="672" t="s">
        <v>966</v>
      </c>
      <c r="D2549" s="673">
        <v>36576</v>
      </c>
      <c r="E2549" s="674">
        <v>10</v>
      </c>
      <c r="F2549" s="675">
        <v>0.1</v>
      </c>
      <c r="G2549" s="676">
        <v>4830</v>
      </c>
      <c r="H2549" s="929">
        <v>0</v>
      </c>
      <c r="I2549" s="929">
        <v>4829</v>
      </c>
      <c r="J2549" s="689">
        <f t="shared" si="40"/>
        <v>1</v>
      </c>
    </row>
    <row r="2550" spans="1:10" ht="12.75" customHeight="1" x14ac:dyDescent="0.2">
      <c r="A2550" s="681" t="s">
        <v>2370</v>
      </c>
      <c r="B2550" s="693" t="s">
        <v>5118</v>
      </c>
      <c r="C2550" s="672" t="s">
        <v>966</v>
      </c>
      <c r="D2550" s="673">
        <v>36576</v>
      </c>
      <c r="E2550" s="674">
        <v>10</v>
      </c>
      <c r="F2550" s="675">
        <v>0.1</v>
      </c>
      <c r="G2550" s="676">
        <v>4830</v>
      </c>
      <c r="H2550" s="929">
        <v>0</v>
      </c>
      <c r="I2550" s="929">
        <v>4829</v>
      </c>
      <c r="J2550" s="689">
        <f t="shared" si="40"/>
        <v>1</v>
      </c>
    </row>
    <row r="2551" spans="1:10" ht="12.75" customHeight="1" x14ac:dyDescent="0.2">
      <c r="A2551" s="681" t="s">
        <v>2370</v>
      </c>
      <c r="B2551" s="693" t="s">
        <v>5119</v>
      </c>
      <c r="C2551" s="672" t="s">
        <v>966</v>
      </c>
      <c r="D2551" s="673">
        <v>36576</v>
      </c>
      <c r="E2551" s="674">
        <v>10</v>
      </c>
      <c r="F2551" s="675">
        <v>0.1</v>
      </c>
      <c r="G2551" s="676">
        <v>4830</v>
      </c>
      <c r="H2551" s="929">
        <v>0</v>
      </c>
      <c r="I2551" s="929">
        <v>4829</v>
      </c>
      <c r="J2551" s="689">
        <f t="shared" si="40"/>
        <v>1</v>
      </c>
    </row>
    <row r="2552" spans="1:10" ht="12.75" customHeight="1" x14ac:dyDescent="0.2">
      <c r="A2552" s="681" t="s">
        <v>2370</v>
      </c>
      <c r="B2552" s="693" t="s">
        <v>5120</v>
      </c>
      <c r="C2552" s="672" t="s">
        <v>966</v>
      </c>
      <c r="D2552" s="673">
        <v>36576</v>
      </c>
      <c r="E2552" s="674">
        <v>10</v>
      </c>
      <c r="F2552" s="675">
        <v>0.1</v>
      </c>
      <c r="G2552" s="676">
        <v>4830</v>
      </c>
      <c r="H2552" s="929">
        <v>0</v>
      </c>
      <c r="I2552" s="929">
        <v>4829</v>
      </c>
      <c r="J2552" s="689">
        <f t="shared" si="40"/>
        <v>1</v>
      </c>
    </row>
    <row r="2553" spans="1:10" ht="12.75" customHeight="1" x14ac:dyDescent="0.2">
      <c r="A2553" s="681" t="s">
        <v>2370</v>
      </c>
      <c r="B2553" s="693" t="s">
        <v>5121</v>
      </c>
      <c r="C2553" s="672" t="s">
        <v>966</v>
      </c>
      <c r="D2553" s="673">
        <v>36576</v>
      </c>
      <c r="E2553" s="674">
        <v>10</v>
      </c>
      <c r="F2553" s="675">
        <v>0.1</v>
      </c>
      <c r="G2553" s="676">
        <v>4830</v>
      </c>
      <c r="H2553" s="929">
        <v>0</v>
      </c>
      <c r="I2553" s="929">
        <v>4829</v>
      </c>
      <c r="J2553" s="689">
        <f t="shared" si="40"/>
        <v>1</v>
      </c>
    </row>
    <row r="2554" spans="1:10" ht="12.75" customHeight="1" x14ac:dyDescent="0.2">
      <c r="A2554" s="681" t="s">
        <v>2370</v>
      </c>
      <c r="B2554" s="693" t="s">
        <v>5122</v>
      </c>
      <c r="C2554" s="672" t="s">
        <v>966</v>
      </c>
      <c r="D2554" s="673">
        <v>36576</v>
      </c>
      <c r="E2554" s="674">
        <v>10</v>
      </c>
      <c r="F2554" s="675">
        <v>0.1</v>
      </c>
      <c r="G2554" s="676">
        <v>4830</v>
      </c>
      <c r="H2554" s="929">
        <v>0</v>
      </c>
      <c r="I2554" s="929">
        <v>4829</v>
      </c>
      <c r="J2554" s="689">
        <f t="shared" si="40"/>
        <v>1</v>
      </c>
    </row>
    <row r="2555" spans="1:10" ht="12.75" customHeight="1" x14ac:dyDescent="0.2">
      <c r="A2555" s="681" t="s">
        <v>2370</v>
      </c>
      <c r="B2555" s="693" t="s">
        <v>5123</v>
      </c>
      <c r="C2555" s="672" t="s">
        <v>966</v>
      </c>
      <c r="D2555" s="673">
        <v>36576</v>
      </c>
      <c r="E2555" s="674">
        <v>10</v>
      </c>
      <c r="F2555" s="675">
        <v>0.1</v>
      </c>
      <c r="G2555" s="676">
        <v>4830</v>
      </c>
      <c r="H2555" s="929">
        <v>0</v>
      </c>
      <c r="I2555" s="929">
        <v>4829</v>
      </c>
      <c r="J2555" s="689">
        <f t="shared" si="40"/>
        <v>1</v>
      </c>
    </row>
    <row r="2556" spans="1:10" ht="12.75" customHeight="1" x14ac:dyDescent="0.2">
      <c r="A2556" s="681" t="s">
        <v>2370</v>
      </c>
      <c r="B2556" s="693" t="s">
        <v>5124</v>
      </c>
      <c r="C2556" s="672" t="s">
        <v>885</v>
      </c>
      <c r="D2556" s="673">
        <v>36211</v>
      </c>
      <c r="E2556" s="674">
        <v>3</v>
      </c>
      <c r="F2556" s="675">
        <v>0.33</v>
      </c>
      <c r="G2556" s="676">
        <v>4890</v>
      </c>
      <c r="H2556" s="929">
        <v>0</v>
      </c>
      <c r="I2556" s="929">
        <v>4889</v>
      </c>
      <c r="J2556" s="689">
        <f t="shared" si="40"/>
        <v>1</v>
      </c>
    </row>
    <row r="2557" spans="1:10" ht="12.75" customHeight="1" x14ac:dyDescent="0.2">
      <c r="A2557" s="681" t="s">
        <v>2370</v>
      </c>
      <c r="B2557" s="693" t="s">
        <v>5125</v>
      </c>
      <c r="C2557" s="672" t="s">
        <v>787</v>
      </c>
      <c r="D2557" s="673">
        <v>36576</v>
      </c>
      <c r="E2557" s="674">
        <v>10</v>
      </c>
      <c r="F2557" s="675">
        <v>0.1</v>
      </c>
      <c r="G2557" s="676">
        <v>5002</v>
      </c>
      <c r="H2557" s="929">
        <v>0</v>
      </c>
      <c r="I2557" s="929">
        <v>5001</v>
      </c>
      <c r="J2557" s="689">
        <f t="shared" si="40"/>
        <v>1</v>
      </c>
    </row>
    <row r="2558" spans="1:10" ht="12.75" customHeight="1" x14ac:dyDescent="0.2">
      <c r="A2558" s="681" t="s">
        <v>2370</v>
      </c>
      <c r="B2558" s="693" t="s">
        <v>5126</v>
      </c>
      <c r="C2558" s="672" t="s">
        <v>899</v>
      </c>
      <c r="D2558" s="673">
        <v>39498</v>
      </c>
      <c r="E2558" s="674">
        <v>3</v>
      </c>
      <c r="F2558" s="675">
        <v>0.33</v>
      </c>
      <c r="G2558" s="676">
        <v>5160</v>
      </c>
      <c r="H2558" s="929">
        <v>0</v>
      </c>
      <c r="I2558" s="929">
        <v>5159</v>
      </c>
      <c r="J2558" s="689">
        <f t="shared" si="40"/>
        <v>1</v>
      </c>
    </row>
    <row r="2559" spans="1:10" ht="12.75" customHeight="1" x14ac:dyDescent="0.2">
      <c r="A2559" s="681" t="s">
        <v>2370</v>
      </c>
      <c r="B2559" s="693" t="s">
        <v>5127</v>
      </c>
      <c r="C2559" s="672" t="s">
        <v>892</v>
      </c>
      <c r="D2559" s="673">
        <v>39498</v>
      </c>
      <c r="E2559" s="674">
        <v>3</v>
      </c>
      <c r="F2559" s="675">
        <v>0.33</v>
      </c>
      <c r="G2559" s="676">
        <v>5165</v>
      </c>
      <c r="H2559" s="929">
        <v>0</v>
      </c>
      <c r="I2559" s="929">
        <v>5164</v>
      </c>
      <c r="J2559" s="689">
        <f t="shared" si="40"/>
        <v>1</v>
      </c>
    </row>
    <row r="2560" spans="1:10" ht="12.75" customHeight="1" x14ac:dyDescent="0.2">
      <c r="A2560" s="681" t="s">
        <v>2370</v>
      </c>
      <c r="B2560" s="693" t="s">
        <v>5128</v>
      </c>
      <c r="C2560" s="672" t="s">
        <v>787</v>
      </c>
      <c r="D2560" s="673">
        <v>36576</v>
      </c>
      <c r="E2560" s="674">
        <v>10</v>
      </c>
      <c r="F2560" s="675">
        <v>0.1</v>
      </c>
      <c r="G2560" s="676">
        <v>5175</v>
      </c>
      <c r="H2560" s="929">
        <v>0</v>
      </c>
      <c r="I2560" s="929">
        <v>5174</v>
      </c>
      <c r="J2560" s="689">
        <f t="shared" si="40"/>
        <v>1</v>
      </c>
    </row>
    <row r="2561" spans="1:10" ht="12.75" customHeight="1" x14ac:dyDescent="0.2">
      <c r="A2561" s="681" t="s">
        <v>2370</v>
      </c>
      <c r="B2561" s="693" t="s">
        <v>5129</v>
      </c>
      <c r="C2561" s="672" t="s">
        <v>787</v>
      </c>
      <c r="D2561" s="673">
        <v>36576</v>
      </c>
      <c r="E2561" s="674">
        <v>10</v>
      </c>
      <c r="F2561" s="675">
        <v>0.1</v>
      </c>
      <c r="G2561" s="676">
        <v>5175</v>
      </c>
      <c r="H2561" s="929">
        <v>0</v>
      </c>
      <c r="I2561" s="929">
        <v>5174</v>
      </c>
      <c r="J2561" s="689">
        <f t="shared" si="40"/>
        <v>1</v>
      </c>
    </row>
    <row r="2562" spans="1:10" ht="12.75" customHeight="1" x14ac:dyDescent="0.2">
      <c r="A2562" s="681" t="s">
        <v>2372</v>
      </c>
      <c r="B2562" s="693" t="s">
        <v>5130</v>
      </c>
      <c r="C2562" s="672" t="s">
        <v>1038</v>
      </c>
      <c r="D2562" s="673">
        <v>36211</v>
      </c>
      <c r="E2562" s="674">
        <v>3</v>
      </c>
      <c r="F2562" s="675">
        <v>0.33</v>
      </c>
      <c r="G2562" s="676">
        <v>5175</v>
      </c>
      <c r="H2562" s="929">
        <v>0</v>
      </c>
      <c r="I2562" s="929">
        <v>5174</v>
      </c>
      <c r="J2562" s="689">
        <f t="shared" si="40"/>
        <v>1</v>
      </c>
    </row>
    <row r="2563" spans="1:10" ht="12.75" customHeight="1" x14ac:dyDescent="0.2">
      <c r="A2563" s="681" t="s">
        <v>2370</v>
      </c>
      <c r="B2563" s="693" t="s">
        <v>5131</v>
      </c>
      <c r="C2563" s="672" t="s">
        <v>885</v>
      </c>
      <c r="D2563" s="673">
        <v>39498</v>
      </c>
      <c r="E2563" s="674">
        <v>3</v>
      </c>
      <c r="F2563" s="675">
        <v>0.33</v>
      </c>
      <c r="G2563" s="676">
        <v>5190</v>
      </c>
      <c r="H2563" s="929">
        <v>0</v>
      </c>
      <c r="I2563" s="929">
        <v>5189</v>
      </c>
      <c r="J2563" s="689">
        <f t="shared" si="40"/>
        <v>1</v>
      </c>
    </row>
    <row r="2564" spans="1:10" ht="12.75" customHeight="1" x14ac:dyDescent="0.2">
      <c r="A2564" s="681" t="s">
        <v>2370</v>
      </c>
      <c r="B2564" s="693" t="s">
        <v>5132</v>
      </c>
      <c r="C2564" s="672" t="s">
        <v>892</v>
      </c>
      <c r="D2564" s="673">
        <v>40594</v>
      </c>
      <c r="E2564" s="674">
        <v>3</v>
      </c>
      <c r="F2564" s="675">
        <v>0.33</v>
      </c>
      <c r="G2564" s="676">
        <v>5223</v>
      </c>
      <c r="H2564" s="929">
        <v>0</v>
      </c>
      <c r="I2564" s="929">
        <v>5222</v>
      </c>
      <c r="J2564" s="689">
        <f t="shared" si="40"/>
        <v>1</v>
      </c>
    </row>
    <row r="2565" spans="1:10" ht="12.75" customHeight="1" x14ac:dyDescent="0.2">
      <c r="A2565" s="681" t="s">
        <v>2370</v>
      </c>
      <c r="B2565" s="693" t="s">
        <v>5133</v>
      </c>
      <c r="C2565" s="672" t="s">
        <v>892</v>
      </c>
      <c r="D2565" s="673">
        <v>40594</v>
      </c>
      <c r="E2565" s="674">
        <v>3</v>
      </c>
      <c r="F2565" s="675">
        <v>0.33</v>
      </c>
      <c r="G2565" s="676">
        <v>5246</v>
      </c>
      <c r="H2565" s="929">
        <v>0</v>
      </c>
      <c r="I2565" s="929">
        <v>5245</v>
      </c>
      <c r="J2565" s="689">
        <f t="shared" si="40"/>
        <v>1</v>
      </c>
    </row>
    <row r="2566" spans="1:10" ht="12.75" customHeight="1" x14ac:dyDescent="0.2">
      <c r="A2566" s="681" t="s">
        <v>2370</v>
      </c>
      <c r="B2566" s="693" t="s">
        <v>5134</v>
      </c>
      <c r="C2566" s="672" t="s">
        <v>787</v>
      </c>
      <c r="D2566" s="673">
        <v>36576</v>
      </c>
      <c r="E2566" s="674">
        <v>10</v>
      </c>
      <c r="F2566" s="675">
        <v>0.1</v>
      </c>
      <c r="G2566" s="676">
        <v>5273</v>
      </c>
      <c r="H2566" s="929">
        <v>0</v>
      </c>
      <c r="I2566" s="929">
        <v>5272</v>
      </c>
      <c r="J2566" s="689">
        <f t="shared" si="40"/>
        <v>1</v>
      </c>
    </row>
    <row r="2567" spans="1:10" ht="12.75" customHeight="1" x14ac:dyDescent="0.2">
      <c r="A2567" s="681" t="s">
        <v>2370</v>
      </c>
      <c r="B2567" s="693" t="s">
        <v>5135</v>
      </c>
      <c r="C2567" s="672" t="s">
        <v>787</v>
      </c>
      <c r="D2567" s="673">
        <v>36211</v>
      </c>
      <c r="E2567" s="674">
        <v>10</v>
      </c>
      <c r="F2567" s="675">
        <v>0.1</v>
      </c>
      <c r="G2567" s="676">
        <v>5290</v>
      </c>
      <c r="H2567" s="929">
        <v>0</v>
      </c>
      <c r="I2567" s="929">
        <v>5289</v>
      </c>
      <c r="J2567" s="689">
        <f t="shared" ref="J2567:J2630" si="41">G2567-I2567</f>
        <v>1</v>
      </c>
    </row>
    <row r="2568" spans="1:10" ht="12.75" customHeight="1" x14ac:dyDescent="0.2">
      <c r="A2568" s="681" t="s">
        <v>2372</v>
      </c>
      <c r="B2568" s="693" t="s">
        <v>5136</v>
      </c>
      <c r="C2568" s="672" t="s">
        <v>1037</v>
      </c>
      <c r="D2568" s="673">
        <v>37307</v>
      </c>
      <c r="E2568" s="674">
        <v>3</v>
      </c>
      <c r="F2568" s="675">
        <v>0.33</v>
      </c>
      <c r="G2568" s="676">
        <v>5290</v>
      </c>
      <c r="H2568" s="929">
        <v>0</v>
      </c>
      <c r="I2568" s="929">
        <v>5289</v>
      </c>
      <c r="J2568" s="689">
        <f t="shared" si="41"/>
        <v>1</v>
      </c>
    </row>
    <row r="2569" spans="1:10" ht="12.75" customHeight="1" x14ac:dyDescent="0.2">
      <c r="A2569" s="681" t="s">
        <v>2372</v>
      </c>
      <c r="B2569" s="693" t="s">
        <v>5137</v>
      </c>
      <c r="C2569" s="672" t="s">
        <v>1037</v>
      </c>
      <c r="D2569" s="673">
        <v>37307</v>
      </c>
      <c r="E2569" s="674">
        <v>3</v>
      </c>
      <c r="F2569" s="675">
        <v>0.33</v>
      </c>
      <c r="G2569" s="676">
        <v>5290</v>
      </c>
      <c r="H2569" s="929">
        <v>0</v>
      </c>
      <c r="I2569" s="929">
        <v>5289</v>
      </c>
      <c r="J2569" s="689">
        <f t="shared" si="41"/>
        <v>1</v>
      </c>
    </row>
    <row r="2570" spans="1:10" ht="12.75" customHeight="1" x14ac:dyDescent="0.2">
      <c r="A2570" s="681" t="s">
        <v>2370</v>
      </c>
      <c r="B2570" s="693" t="s">
        <v>5138</v>
      </c>
      <c r="C2570" s="672" t="s">
        <v>785</v>
      </c>
      <c r="D2570" s="673">
        <v>36211</v>
      </c>
      <c r="E2570" s="674">
        <v>10</v>
      </c>
      <c r="F2570" s="675">
        <v>0.1</v>
      </c>
      <c r="G2570" s="676">
        <v>5292</v>
      </c>
      <c r="H2570" s="929">
        <v>0</v>
      </c>
      <c r="I2570" s="929">
        <v>5291</v>
      </c>
      <c r="J2570" s="689">
        <f t="shared" si="41"/>
        <v>1</v>
      </c>
    </row>
    <row r="2571" spans="1:10" ht="12.75" customHeight="1" x14ac:dyDescent="0.2">
      <c r="A2571" s="681" t="s">
        <v>2370</v>
      </c>
      <c r="B2571" s="693" t="s">
        <v>5139</v>
      </c>
      <c r="C2571" s="672" t="s">
        <v>892</v>
      </c>
      <c r="D2571" s="673">
        <v>39498</v>
      </c>
      <c r="E2571" s="674">
        <v>3</v>
      </c>
      <c r="F2571" s="675">
        <v>0.33</v>
      </c>
      <c r="G2571" s="676">
        <v>5295</v>
      </c>
      <c r="H2571" s="929">
        <v>0</v>
      </c>
      <c r="I2571" s="929">
        <v>5294</v>
      </c>
      <c r="J2571" s="689">
        <f t="shared" si="41"/>
        <v>1</v>
      </c>
    </row>
    <row r="2572" spans="1:10" ht="12.75" customHeight="1" x14ac:dyDescent="0.2">
      <c r="A2572" s="681" t="s">
        <v>2370</v>
      </c>
      <c r="B2572" s="693" t="s">
        <v>5140</v>
      </c>
      <c r="C2572" s="672" t="s">
        <v>790</v>
      </c>
      <c r="D2572" s="673">
        <v>36576</v>
      </c>
      <c r="E2572" s="674">
        <v>10</v>
      </c>
      <c r="F2572" s="675">
        <v>0.1</v>
      </c>
      <c r="G2572" s="676">
        <v>5394</v>
      </c>
      <c r="H2572" s="929">
        <v>0</v>
      </c>
      <c r="I2572" s="929">
        <v>5393</v>
      </c>
      <c r="J2572" s="689">
        <f t="shared" si="41"/>
        <v>1</v>
      </c>
    </row>
    <row r="2573" spans="1:10" ht="12.75" customHeight="1" x14ac:dyDescent="0.2">
      <c r="A2573" s="681" t="s">
        <v>2370</v>
      </c>
      <c r="B2573" s="693" t="s">
        <v>5141</v>
      </c>
      <c r="C2573" s="672" t="s">
        <v>787</v>
      </c>
      <c r="D2573" s="673">
        <v>36576</v>
      </c>
      <c r="E2573" s="674">
        <v>10</v>
      </c>
      <c r="F2573" s="675">
        <v>0.1</v>
      </c>
      <c r="G2573" s="676">
        <v>5440</v>
      </c>
      <c r="H2573" s="929">
        <v>0</v>
      </c>
      <c r="I2573" s="929">
        <v>5439</v>
      </c>
      <c r="J2573" s="689">
        <f t="shared" si="41"/>
        <v>1</v>
      </c>
    </row>
    <row r="2574" spans="1:10" ht="12.75" customHeight="1" x14ac:dyDescent="0.2">
      <c r="A2574" s="681" t="s">
        <v>2370</v>
      </c>
      <c r="B2574" s="693" t="s">
        <v>5142</v>
      </c>
      <c r="C2574" s="672" t="s">
        <v>892</v>
      </c>
      <c r="D2574" s="673">
        <v>38403</v>
      </c>
      <c r="E2574" s="674">
        <v>3</v>
      </c>
      <c r="F2574" s="675">
        <v>0.33</v>
      </c>
      <c r="G2574" s="676">
        <v>5504</v>
      </c>
      <c r="H2574" s="929">
        <v>0</v>
      </c>
      <c r="I2574" s="929">
        <v>5503</v>
      </c>
      <c r="J2574" s="689">
        <f t="shared" si="41"/>
        <v>1</v>
      </c>
    </row>
    <row r="2575" spans="1:10" ht="12.75" customHeight="1" x14ac:dyDescent="0.2">
      <c r="A2575" s="681" t="s">
        <v>2372</v>
      </c>
      <c r="B2575" s="693" t="s">
        <v>5143</v>
      </c>
      <c r="C2575" s="672" t="s">
        <v>1055</v>
      </c>
      <c r="D2575" s="673">
        <v>33289</v>
      </c>
      <c r="E2575" s="674">
        <v>10</v>
      </c>
      <c r="F2575" s="675">
        <v>0.1</v>
      </c>
      <c r="G2575" s="676">
        <v>5520</v>
      </c>
      <c r="H2575" s="929">
        <v>0</v>
      </c>
      <c r="I2575" s="929">
        <v>5519</v>
      </c>
      <c r="J2575" s="689">
        <f t="shared" si="41"/>
        <v>1</v>
      </c>
    </row>
    <row r="2576" spans="1:10" ht="12.75" customHeight="1" x14ac:dyDescent="0.2">
      <c r="A2576" s="681" t="s">
        <v>2370</v>
      </c>
      <c r="B2576" s="693" t="s">
        <v>5144</v>
      </c>
      <c r="C2576" s="672" t="s">
        <v>893</v>
      </c>
      <c r="D2576" s="673">
        <v>39498</v>
      </c>
      <c r="E2576" s="674">
        <v>3</v>
      </c>
      <c r="F2576" s="675">
        <v>0.33</v>
      </c>
      <c r="G2576" s="676">
        <v>5577</v>
      </c>
      <c r="H2576" s="929">
        <v>0</v>
      </c>
      <c r="I2576" s="929">
        <v>5576</v>
      </c>
      <c r="J2576" s="689">
        <f t="shared" si="41"/>
        <v>1</v>
      </c>
    </row>
    <row r="2577" spans="1:10" ht="12.75" customHeight="1" x14ac:dyDescent="0.2">
      <c r="A2577" s="681" t="s">
        <v>2372</v>
      </c>
      <c r="B2577" s="693" t="s">
        <v>5145</v>
      </c>
      <c r="C2577" s="672" t="s">
        <v>1007</v>
      </c>
      <c r="D2577" s="673">
        <v>37307</v>
      </c>
      <c r="E2577" s="674">
        <v>10</v>
      </c>
      <c r="F2577" s="675">
        <v>0.1</v>
      </c>
      <c r="G2577" s="676">
        <v>5577</v>
      </c>
      <c r="H2577" s="929">
        <v>0</v>
      </c>
      <c r="I2577" s="929">
        <v>5576</v>
      </c>
      <c r="J2577" s="689">
        <f t="shared" si="41"/>
        <v>1</v>
      </c>
    </row>
    <row r="2578" spans="1:10" ht="12.75" customHeight="1" x14ac:dyDescent="0.2">
      <c r="A2578" s="681" t="s">
        <v>2370</v>
      </c>
      <c r="B2578" s="693" t="s">
        <v>5146</v>
      </c>
      <c r="C2578" s="672" t="s">
        <v>893</v>
      </c>
      <c r="D2578" s="673">
        <v>39498</v>
      </c>
      <c r="E2578" s="674">
        <v>3</v>
      </c>
      <c r="F2578" s="675">
        <v>0.33</v>
      </c>
      <c r="G2578" s="676">
        <v>5578</v>
      </c>
      <c r="H2578" s="929">
        <v>0</v>
      </c>
      <c r="I2578" s="929">
        <v>5577</v>
      </c>
      <c r="J2578" s="689">
        <f t="shared" si="41"/>
        <v>1</v>
      </c>
    </row>
    <row r="2579" spans="1:10" ht="12.75" customHeight="1" x14ac:dyDescent="0.2">
      <c r="A2579" s="681" t="s">
        <v>2370</v>
      </c>
      <c r="B2579" s="693" t="s">
        <v>5147</v>
      </c>
      <c r="C2579" s="672" t="s">
        <v>893</v>
      </c>
      <c r="D2579" s="673">
        <v>39498</v>
      </c>
      <c r="E2579" s="674">
        <v>3</v>
      </c>
      <c r="F2579" s="675">
        <v>0.33</v>
      </c>
      <c r="G2579" s="676">
        <v>5578</v>
      </c>
      <c r="H2579" s="929">
        <v>0</v>
      </c>
      <c r="I2579" s="929">
        <v>5577</v>
      </c>
      <c r="J2579" s="689">
        <f t="shared" si="41"/>
        <v>1</v>
      </c>
    </row>
    <row r="2580" spans="1:10" ht="12.75" customHeight="1" x14ac:dyDescent="0.2">
      <c r="A2580" s="681" t="s">
        <v>2370</v>
      </c>
      <c r="B2580" s="693" t="s">
        <v>5148</v>
      </c>
      <c r="C2580" s="672" t="s">
        <v>894</v>
      </c>
      <c r="D2580" s="673">
        <v>39498</v>
      </c>
      <c r="E2580" s="674">
        <v>3</v>
      </c>
      <c r="F2580" s="675">
        <v>0.33</v>
      </c>
      <c r="G2580" s="676">
        <v>5578</v>
      </c>
      <c r="H2580" s="929">
        <v>0</v>
      </c>
      <c r="I2580" s="929">
        <v>5577</v>
      </c>
      <c r="J2580" s="689">
        <f t="shared" si="41"/>
        <v>1</v>
      </c>
    </row>
    <row r="2581" spans="1:10" ht="12.75" customHeight="1" x14ac:dyDescent="0.2">
      <c r="A2581" s="681" t="s">
        <v>2370</v>
      </c>
      <c r="B2581" s="693" t="s">
        <v>5149</v>
      </c>
      <c r="C2581" s="672" t="s">
        <v>893</v>
      </c>
      <c r="D2581" s="673">
        <v>39498</v>
      </c>
      <c r="E2581" s="674">
        <v>3</v>
      </c>
      <c r="F2581" s="675">
        <v>0.33</v>
      </c>
      <c r="G2581" s="676">
        <v>5578</v>
      </c>
      <c r="H2581" s="929">
        <v>0</v>
      </c>
      <c r="I2581" s="929">
        <v>5577</v>
      </c>
      <c r="J2581" s="689">
        <f t="shared" si="41"/>
        <v>1</v>
      </c>
    </row>
    <row r="2582" spans="1:10" ht="12.75" customHeight="1" x14ac:dyDescent="0.2">
      <c r="A2582" s="681" t="s">
        <v>2370</v>
      </c>
      <c r="B2582" s="693" t="s">
        <v>5150</v>
      </c>
      <c r="C2582" s="672" t="s">
        <v>893</v>
      </c>
      <c r="D2582" s="673">
        <v>39498</v>
      </c>
      <c r="E2582" s="674">
        <v>3</v>
      </c>
      <c r="F2582" s="675">
        <v>0.33</v>
      </c>
      <c r="G2582" s="676">
        <v>5578</v>
      </c>
      <c r="H2582" s="929">
        <v>0</v>
      </c>
      <c r="I2582" s="929">
        <v>5577</v>
      </c>
      <c r="J2582" s="689">
        <f t="shared" si="41"/>
        <v>1</v>
      </c>
    </row>
    <row r="2583" spans="1:10" ht="12.75" customHeight="1" x14ac:dyDescent="0.2">
      <c r="A2583" s="681" t="s">
        <v>2370</v>
      </c>
      <c r="B2583" s="693" t="s">
        <v>5151</v>
      </c>
      <c r="C2583" s="672" t="s">
        <v>892</v>
      </c>
      <c r="D2583" s="673">
        <v>39498</v>
      </c>
      <c r="E2583" s="674">
        <v>3</v>
      </c>
      <c r="F2583" s="675">
        <v>0.33</v>
      </c>
      <c r="G2583" s="676">
        <v>5590</v>
      </c>
      <c r="H2583" s="929">
        <v>0</v>
      </c>
      <c r="I2583" s="929">
        <v>5589</v>
      </c>
      <c r="J2583" s="689">
        <f t="shared" si="41"/>
        <v>1</v>
      </c>
    </row>
    <row r="2584" spans="1:10" ht="12.75" customHeight="1" x14ac:dyDescent="0.2">
      <c r="A2584" s="681" t="s">
        <v>2370</v>
      </c>
      <c r="B2584" s="693" t="s">
        <v>5152</v>
      </c>
      <c r="C2584" s="672" t="s">
        <v>892</v>
      </c>
      <c r="D2584" s="673">
        <v>40594</v>
      </c>
      <c r="E2584" s="674">
        <v>3</v>
      </c>
      <c r="F2584" s="675">
        <v>0.33</v>
      </c>
      <c r="G2584" s="676">
        <v>5593</v>
      </c>
      <c r="H2584" s="929">
        <v>0</v>
      </c>
      <c r="I2584" s="929">
        <v>5592</v>
      </c>
      <c r="J2584" s="689">
        <f t="shared" si="41"/>
        <v>1</v>
      </c>
    </row>
    <row r="2585" spans="1:10" ht="12.75" customHeight="1" x14ac:dyDescent="0.2">
      <c r="A2585" s="681" t="s">
        <v>2370</v>
      </c>
      <c r="B2585" s="693" t="s">
        <v>5153</v>
      </c>
      <c r="C2585" s="672" t="s">
        <v>892</v>
      </c>
      <c r="D2585" s="673">
        <v>39498</v>
      </c>
      <c r="E2585" s="674">
        <v>3</v>
      </c>
      <c r="F2585" s="675">
        <v>0.33</v>
      </c>
      <c r="G2585" s="676">
        <v>5600</v>
      </c>
      <c r="H2585" s="929">
        <v>0</v>
      </c>
      <c r="I2585" s="929">
        <v>5599</v>
      </c>
      <c r="J2585" s="689">
        <f t="shared" si="41"/>
        <v>1</v>
      </c>
    </row>
    <row r="2586" spans="1:10" ht="12.75" customHeight="1" x14ac:dyDescent="0.2">
      <c r="A2586" s="681" t="s">
        <v>2370</v>
      </c>
      <c r="B2586" s="693" t="s">
        <v>5154</v>
      </c>
      <c r="C2586" s="672" t="s">
        <v>892</v>
      </c>
      <c r="D2586" s="673">
        <v>40594</v>
      </c>
      <c r="E2586" s="674">
        <v>3</v>
      </c>
      <c r="F2586" s="675">
        <v>0.33</v>
      </c>
      <c r="G2586" s="676">
        <v>5637</v>
      </c>
      <c r="H2586" s="929">
        <v>0</v>
      </c>
      <c r="I2586" s="929">
        <v>5636</v>
      </c>
      <c r="J2586" s="689">
        <f t="shared" si="41"/>
        <v>1</v>
      </c>
    </row>
    <row r="2587" spans="1:10" ht="12.75" customHeight="1" x14ac:dyDescent="0.2">
      <c r="A2587" s="681" t="s">
        <v>2370</v>
      </c>
      <c r="B2587" s="693" t="s">
        <v>5155</v>
      </c>
      <c r="C2587" s="672" t="s">
        <v>892</v>
      </c>
      <c r="D2587" s="673">
        <v>40594</v>
      </c>
      <c r="E2587" s="674">
        <v>3</v>
      </c>
      <c r="F2587" s="675">
        <v>0.33</v>
      </c>
      <c r="G2587" s="676">
        <v>5679</v>
      </c>
      <c r="H2587" s="929">
        <v>0</v>
      </c>
      <c r="I2587" s="929">
        <v>5678</v>
      </c>
      <c r="J2587" s="689">
        <f t="shared" si="41"/>
        <v>1</v>
      </c>
    </row>
    <row r="2588" spans="1:10" ht="12.75" customHeight="1" x14ac:dyDescent="0.2">
      <c r="A2588" s="681" t="s">
        <v>2370</v>
      </c>
      <c r="B2588" s="693" t="s">
        <v>5156</v>
      </c>
      <c r="C2588" s="672" t="s">
        <v>868</v>
      </c>
      <c r="D2588" s="673">
        <v>35481</v>
      </c>
      <c r="E2588" s="674">
        <v>10</v>
      </c>
      <c r="F2588" s="675">
        <v>0.1</v>
      </c>
      <c r="G2588" s="676">
        <v>5699</v>
      </c>
      <c r="H2588" s="929">
        <v>0</v>
      </c>
      <c r="I2588" s="929">
        <v>5698</v>
      </c>
      <c r="J2588" s="689">
        <f t="shared" si="41"/>
        <v>1</v>
      </c>
    </row>
    <row r="2589" spans="1:10" ht="12.75" customHeight="1" x14ac:dyDescent="0.2">
      <c r="A2589" s="681" t="s">
        <v>2370</v>
      </c>
      <c r="B2589" s="693" t="s">
        <v>5157</v>
      </c>
      <c r="C2589" s="672" t="s">
        <v>894</v>
      </c>
      <c r="D2589" s="673">
        <v>40594</v>
      </c>
      <c r="E2589" s="674">
        <v>3</v>
      </c>
      <c r="F2589" s="675">
        <v>0.33</v>
      </c>
      <c r="G2589" s="676">
        <v>5750</v>
      </c>
      <c r="H2589" s="929">
        <v>0</v>
      </c>
      <c r="I2589" s="929">
        <v>5749</v>
      </c>
      <c r="J2589" s="689">
        <f t="shared" si="41"/>
        <v>1</v>
      </c>
    </row>
    <row r="2590" spans="1:10" ht="12.75" customHeight="1" x14ac:dyDescent="0.2">
      <c r="A2590" s="681" t="s">
        <v>2370</v>
      </c>
      <c r="B2590" s="693" t="s">
        <v>5158</v>
      </c>
      <c r="C2590" s="672" t="s">
        <v>894</v>
      </c>
      <c r="D2590" s="673">
        <v>39498</v>
      </c>
      <c r="E2590" s="674">
        <v>3</v>
      </c>
      <c r="F2590" s="675">
        <v>0.33</v>
      </c>
      <c r="G2590" s="676">
        <v>5750</v>
      </c>
      <c r="H2590" s="929">
        <v>0</v>
      </c>
      <c r="I2590" s="929">
        <v>5749</v>
      </c>
      <c r="J2590" s="689">
        <f t="shared" si="41"/>
        <v>1</v>
      </c>
    </row>
    <row r="2591" spans="1:10" ht="12.75" customHeight="1" x14ac:dyDescent="0.2">
      <c r="A2591" s="681" t="s">
        <v>2370</v>
      </c>
      <c r="B2591" s="693" t="s">
        <v>5159</v>
      </c>
      <c r="C2591" s="672" t="s">
        <v>947</v>
      </c>
      <c r="D2591" s="673">
        <v>35846</v>
      </c>
      <c r="E2591" s="674">
        <v>10</v>
      </c>
      <c r="F2591" s="675">
        <v>0.1</v>
      </c>
      <c r="G2591" s="676">
        <v>5750</v>
      </c>
      <c r="H2591" s="929">
        <v>0</v>
      </c>
      <c r="I2591" s="929">
        <v>5749</v>
      </c>
      <c r="J2591" s="689">
        <f t="shared" si="41"/>
        <v>1</v>
      </c>
    </row>
    <row r="2592" spans="1:10" ht="12.75" customHeight="1" x14ac:dyDescent="0.2">
      <c r="A2592" s="681" t="s">
        <v>2370</v>
      </c>
      <c r="B2592" s="693" t="s">
        <v>5160</v>
      </c>
      <c r="C2592" s="672" t="s">
        <v>966</v>
      </c>
      <c r="D2592" s="673">
        <v>36211</v>
      </c>
      <c r="E2592" s="674">
        <v>10</v>
      </c>
      <c r="F2592" s="675">
        <v>0.1</v>
      </c>
      <c r="G2592" s="676">
        <v>5750</v>
      </c>
      <c r="H2592" s="929">
        <v>0</v>
      </c>
      <c r="I2592" s="929">
        <v>5749</v>
      </c>
      <c r="J2592" s="689">
        <f t="shared" si="41"/>
        <v>1</v>
      </c>
    </row>
    <row r="2593" spans="1:10" ht="12.75" customHeight="1" x14ac:dyDescent="0.2">
      <c r="A2593" s="681" t="s">
        <v>2372</v>
      </c>
      <c r="B2593" s="693" t="s">
        <v>5161</v>
      </c>
      <c r="C2593" s="672" t="s">
        <v>1055</v>
      </c>
      <c r="D2593" s="673">
        <v>33289</v>
      </c>
      <c r="E2593" s="674">
        <v>10</v>
      </c>
      <c r="F2593" s="675">
        <v>0.1</v>
      </c>
      <c r="G2593" s="676">
        <v>5813</v>
      </c>
      <c r="H2593" s="929">
        <v>0</v>
      </c>
      <c r="I2593" s="929">
        <v>5812</v>
      </c>
      <c r="J2593" s="689">
        <f t="shared" si="41"/>
        <v>1</v>
      </c>
    </row>
    <row r="2594" spans="1:10" ht="12.75" customHeight="1" x14ac:dyDescent="0.2">
      <c r="A2594" s="681" t="s">
        <v>2370</v>
      </c>
      <c r="B2594" s="693" t="s">
        <v>5162</v>
      </c>
      <c r="C2594" s="672" t="s">
        <v>787</v>
      </c>
      <c r="D2594" s="673">
        <v>36576</v>
      </c>
      <c r="E2594" s="674">
        <v>10</v>
      </c>
      <c r="F2594" s="675">
        <v>0.1</v>
      </c>
      <c r="G2594" s="676">
        <v>5900</v>
      </c>
      <c r="H2594" s="929">
        <v>0</v>
      </c>
      <c r="I2594" s="929">
        <v>5899</v>
      </c>
      <c r="J2594" s="689">
        <f t="shared" si="41"/>
        <v>1</v>
      </c>
    </row>
    <row r="2595" spans="1:10" ht="12.75" customHeight="1" x14ac:dyDescent="0.2">
      <c r="A2595" s="681" t="s">
        <v>2370</v>
      </c>
      <c r="B2595" s="693" t="s">
        <v>5163</v>
      </c>
      <c r="C2595" s="672" t="s">
        <v>804</v>
      </c>
      <c r="D2595" s="673">
        <v>36211</v>
      </c>
      <c r="E2595" s="674">
        <v>10</v>
      </c>
      <c r="F2595" s="675">
        <v>0.1</v>
      </c>
      <c r="G2595" s="676">
        <v>6088.45</v>
      </c>
      <c r="H2595" s="929">
        <v>0</v>
      </c>
      <c r="I2595" s="929">
        <v>6087.45</v>
      </c>
      <c r="J2595" s="689">
        <f t="shared" si="41"/>
        <v>1</v>
      </c>
    </row>
    <row r="2596" spans="1:10" ht="12.75" customHeight="1" x14ac:dyDescent="0.2">
      <c r="A2596" s="681" t="s">
        <v>2370</v>
      </c>
      <c r="B2596" s="693" t="s">
        <v>5164</v>
      </c>
      <c r="C2596" s="672" t="s">
        <v>894</v>
      </c>
      <c r="D2596" s="673">
        <v>39498</v>
      </c>
      <c r="E2596" s="674">
        <v>3</v>
      </c>
      <c r="F2596" s="675">
        <v>0.33</v>
      </c>
      <c r="G2596" s="676">
        <v>6124</v>
      </c>
      <c r="H2596" s="929">
        <v>0</v>
      </c>
      <c r="I2596" s="929">
        <v>6123</v>
      </c>
      <c r="J2596" s="689">
        <f t="shared" si="41"/>
        <v>1</v>
      </c>
    </row>
    <row r="2597" spans="1:10" ht="12.75" customHeight="1" x14ac:dyDescent="0.2">
      <c r="A2597" s="681" t="s">
        <v>2370</v>
      </c>
      <c r="B2597" s="693" t="s">
        <v>5165</v>
      </c>
      <c r="C2597" s="672" t="s">
        <v>894</v>
      </c>
      <c r="D2597" s="673">
        <v>39498</v>
      </c>
      <c r="E2597" s="674">
        <v>3</v>
      </c>
      <c r="F2597" s="675">
        <v>0.33</v>
      </c>
      <c r="G2597" s="676">
        <v>6124</v>
      </c>
      <c r="H2597" s="929">
        <v>0</v>
      </c>
      <c r="I2597" s="929">
        <v>6123</v>
      </c>
      <c r="J2597" s="689">
        <f t="shared" si="41"/>
        <v>1</v>
      </c>
    </row>
    <row r="2598" spans="1:10" ht="12.75" customHeight="1" x14ac:dyDescent="0.2">
      <c r="A2598" s="681" t="s">
        <v>2370</v>
      </c>
      <c r="B2598" s="693" t="s">
        <v>5166</v>
      </c>
      <c r="C2598" s="672" t="s">
        <v>894</v>
      </c>
      <c r="D2598" s="673">
        <v>39498</v>
      </c>
      <c r="E2598" s="674">
        <v>3</v>
      </c>
      <c r="F2598" s="675">
        <v>0.33</v>
      </c>
      <c r="G2598" s="676">
        <v>6124</v>
      </c>
      <c r="H2598" s="929">
        <v>0</v>
      </c>
      <c r="I2598" s="929">
        <v>6123</v>
      </c>
      <c r="J2598" s="689">
        <f t="shared" si="41"/>
        <v>1</v>
      </c>
    </row>
    <row r="2599" spans="1:10" ht="12.75" customHeight="1" x14ac:dyDescent="0.2">
      <c r="A2599" s="681" t="s">
        <v>2370</v>
      </c>
      <c r="B2599" s="693" t="s">
        <v>5167</v>
      </c>
      <c r="C2599" s="672" t="s">
        <v>894</v>
      </c>
      <c r="D2599" s="673">
        <v>39498</v>
      </c>
      <c r="E2599" s="674">
        <v>3</v>
      </c>
      <c r="F2599" s="675">
        <v>0.33</v>
      </c>
      <c r="G2599" s="676">
        <v>6124</v>
      </c>
      <c r="H2599" s="929">
        <v>0</v>
      </c>
      <c r="I2599" s="929">
        <v>6123</v>
      </c>
      <c r="J2599" s="689">
        <f t="shared" si="41"/>
        <v>1</v>
      </c>
    </row>
    <row r="2600" spans="1:10" ht="12.75" customHeight="1" x14ac:dyDescent="0.2">
      <c r="A2600" s="681" t="s">
        <v>2370</v>
      </c>
      <c r="B2600" s="693" t="s">
        <v>5168</v>
      </c>
      <c r="C2600" s="672" t="s">
        <v>894</v>
      </c>
      <c r="D2600" s="673">
        <v>39498</v>
      </c>
      <c r="E2600" s="674">
        <v>3</v>
      </c>
      <c r="F2600" s="675">
        <v>0.33</v>
      </c>
      <c r="G2600" s="676">
        <v>6124</v>
      </c>
      <c r="H2600" s="929">
        <v>0</v>
      </c>
      <c r="I2600" s="929">
        <v>6123</v>
      </c>
      <c r="J2600" s="689">
        <f t="shared" si="41"/>
        <v>1</v>
      </c>
    </row>
    <row r="2601" spans="1:10" ht="12.75" customHeight="1" x14ac:dyDescent="0.2">
      <c r="A2601" s="681" t="s">
        <v>2370</v>
      </c>
      <c r="B2601" s="693" t="s">
        <v>5169</v>
      </c>
      <c r="C2601" s="672" t="s">
        <v>894</v>
      </c>
      <c r="D2601" s="673">
        <v>39498</v>
      </c>
      <c r="E2601" s="674">
        <v>3</v>
      </c>
      <c r="F2601" s="675">
        <v>0.33</v>
      </c>
      <c r="G2601" s="676">
        <v>6124</v>
      </c>
      <c r="H2601" s="929">
        <v>0</v>
      </c>
      <c r="I2601" s="929">
        <v>6123</v>
      </c>
      <c r="J2601" s="689">
        <f t="shared" si="41"/>
        <v>1</v>
      </c>
    </row>
    <row r="2602" spans="1:10" ht="12.75" customHeight="1" x14ac:dyDescent="0.2">
      <c r="A2602" s="681" t="s">
        <v>2370</v>
      </c>
      <c r="B2602" s="693" t="s">
        <v>5170</v>
      </c>
      <c r="C2602" s="672" t="s">
        <v>894</v>
      </c>
      <c r="D2602" s="673">
        <v>39498</v>
      </c>
      <c r="E2602" s="674">
        <v>3</v>
      </c>
      <c r="F2602" s="675">
        <v>0.33</v>
      </c>
      <c r="G2602" s="676">
        <v>6124</v>
      </c>
      <c r="H2602" s="929">
        <v>0</v>
      </c>
      <c r="I2602" s="929">
        <v>6123</v>
      </c>
      <c r="J2602" s="689">
        <f t="shared" si="41"/>
        <v>1</v>
      </c>
    </row>
    <row r="2603" spans="1:10" ht="12.75" customHeight="1" x14ac:dyDescent="0.2">
      <c r="A2603" s="681" t="s">
        <v>2370</v>
      </c>
      <c r="B2603" s="693" t="s">
        <v>5171</v>
      </c>
      <c r="C2603" s="672" t="s">
        <v>894</v>
      </c>
      <c r="D2603" s="673">
        <v>39498</v>
      </c>
      <c r="E2603" s="674">
        <v>3</v>
      </c>
      <c r="F2603" s="675">
        <v>0.33</v>
      </c>
      <c r="G2603" s="676">
        <v>6124</v>
      </c>
      <c r="H2603" s="929">
        <v>0</v>
      </c>
      <c r="I2603" s="929">
        <v>6123</v>
      </c>
      <c r="J2603" s="689">
        <f t="shared" si="41"/>
        <v>1</v>
      </c>
    </row>
    <row r="2604" spans="1:10" ht="12.75" customHeight="1" x14ac:dyDescent="0.2">
      <c r="A2604" s="681" t="s">
        <v>2370</v>
      </c>
      <c r="B2604" s="693" t="s">
        <v>5172</v>
      </c>
      <c r="C2604" s="672" t="s">
        <v>894</v>
      </c>
      <c r="D2604" s="673">
        <v>39498</v>
      </c>
      <c r="E2604" s="674">
        <v>3</v>
      </c>
      <c r="F2604" s="675">
        <v>0.33</v>
      </c>
      <c r="G2604" s="676">
        <v>6124</v>
      </c>
      <c r="H2604" s="929">
        <v>0</v>
      </c>
      <c r="I2604" s="929">
        <v>6123</v>
      </c>
      <c r="J2604" s="689">
        <f t="shared" si="41"/>
        <v>1</v>
      </c>
    </row>
    <row r="2605" spans="1:10" ht="12.75" customHeight="1" x14ac:dyDescent="0.2">
      <c r="A2605" s="681" t="s">
        <v>2370</v>
      </c>
      <c r="B2605" s="693" t="s">
        <v>5173</v>
      </c>
      <c r="C2605" s="672" t="s">
        <v>894</v>
      </c>
      <c r="D2605" s="673">
        <v>39498</v>
      </c>
      <c r="E2605" s="674">
        <v>3</v>
      </c>
      <c r="F2605" s="675">
        <v>0.33</v>
      </c>
      <c r="G2605" s="676">
        <v>6124</v>
      </c>
      <c r="H2605" s="929">
        <v>0</v>
      </c>
      <c r="I2605" s="929">
        <v>6123</v>
      </c>
      <c r="J2605" s="689">
        <f t="shared" si="41"/>
        <v>1</v>
      </c>
    </row>
    <row r="2606" spans="1:10" ht="12.75" customHeight="1" x14ac:dyDescent="0.2">
      <c r="A2606" s="681" t="s">
        <v>2370</v>
      </c>
      <c r="B2606" s="693" t="s">
        <v>5174</v>
      </c>
      <c r="C2606" s="672" t="s">
        <v>894</v>
      </c>
      <c r="D2606" s="673">
        <v>39498</v>
      </c>
      <c r="E2606" s="674">
        <v>3</v>
      </c>
      <c r="F2606" s="675">
        <v>0.33</v>
      </c>
      <c r="G2606" s="676">
        <v>6124</v>
      </c>
      <c r="H2606" s="929">
        <v>0</v>
      </c>
      <c r="I2606" s="929">
        <v>6123</v>
      </c>
      <c r="J2606" s="689">
        <f t="shared" si="41"/>
        <v>1</v>
      </c>
    </row>
    <row r="2607" spans="1:10" ht="12.75" customHeight="1" x14ac:dyDescent="0.2">
      <c r="A2607" s="681" t="s">
        <v>2370</v>
      </c>
      <c r="B2607" s="693" t="s">
        <v>5175</v>
      </c>
      <c r="C2607" s="672" t="s">
        <v>894</v>
      </c>
      <c r="D2607" s="673">
        <v>39498</v>
      </c>
      <c r="E2607" s="674">
        <v>3</v>
      </c>
      <c r="F2607" s="675">
        <v>0.33</v>
      </c>
      <c r="G2607" s="676">
        <v>6124</v>
      </c>
      <c r="H2607" s="929">
        <v>0</v>
      </c>
      <c r="I2607" s="929">
        <v>6123</v>
      </c>
      <c r="J2607" s="689">
        <f t="shared" si="41"/>
        <v>1</v>
      </c>
    </row>
    <row r="2608" spans="1:10" ht="12.75" customHeight="1" x14ac:dyDescent="0.2">
      <c r="A2608" s="681" t="s">
        <v>2370</v>
      </c>
      <c r="B2608" s="693" t="s">
        <v>5176</v>
      </c>
      <c r="C2608" s="672" t="s">
        <v>894</v>
      </c>
      <c r="D2608" s="673">
        <v>39498</v>
      </c>
      <c r="E2608" s="674">
        <v>3</v>
      </c>
      <c r="F2608" s="675">
        <v>0.33</v>
      </c>
      <c r="G2608" s="676">
        <v>6124</v>
      </c>
      <c r="H2608" s="929">
        <v>0</v>
      </c>
      <c r="I2608" s="929">
        <v>6123</v>
      </c>
      <c r="J2608" s="689">
        <f t="shared" si="41"/>
        <v>1</v>
      </c>
    </row>
    <row r="2609" spans="1:10" ht="12.75" customHeight="1" x14ac:dyDescent="0.2">
      <c r="A2609" s="681" t="s">
        <v>2370</v>
      </c>
      <c r="B2609" s="693" t="s">
        <v>5177</v>
      </c>
      <c r="C2609" s="672" t="s">
        <v>894</v>
      </c>
      <c r="D2609" s="673">
        <v>39498</v>
      </c>
      <c r="E2609" s="674">
        <v>3</v>
      </c>
      <c r="F2609" s="675">
        <v>0.33</v>
      </c>
      <c r="G2609" s="676">
        <v>6124</v>
      </c>
      <c r="H2609" s="929">
        <v>0</v>
      </c>
      <c r="I2609" s="929">
        <v>6123</v>
      </c>
      <c r="J2609" s="689">
        <f t="shared" si="41"/>
        <v>1</v>
      </c>
    </row>
    <row r="2610" spans="1:10" ht="12.75" customHeight="1" x14ac:dyDescent="0.2">
      <c r="A2610" s="681" t="s">
        <v>2370</v>
      </c>
      <c r="B2610" s="693" t="s">
        <v>5178</v>
      </c>
      <c r="C2610" s="672" t="s">
        <v>894</v>
      </c>
      <c r="D2610" s="673">
        <v>39498</v>
      </c>
      <c r="E2610" s="674">
        <v>3</v>
      </c>
      <c r="F2610" s="675">
        <v>0.33</v>
      </c>
      <c r="G2610" s="676">
        <v>6124</v>
      </c>
      <c r="H2610" s="929">
        <v>0</v>
      </c>
      <c r="I2610" s="929">
        <v>6123</v>
      </c>
      <c r="J2610" s="689">
        <f t="shared" si="41"/>
        <v>1</v>
      </c>
    </row>
    <row r="2611" spans="1:10" ht="12.75" customHeight="1" x14ac:dyDescent="0.2">
      <c r="A2611" s="681" t="s">
        <v>2370</v>
      </c>
      <c r="B2611" s="693" t="s">
        <v>5179</v>
      </c>
      <c r="C2611" s="672" t="s">
        <v>894</v>
      </c>
      <c r="D2611" s="673">
        <v>39498</v>
      </c>
      <c r="E2611" s="674">
        <v>3</v>
      </c>
      <c r="F2611" s="675">
        <v>0.33</v>
      </c>
      <c r="G2611" s="676">
        <v>6124</v>
      </c>
      <c r="H2611" s="929">
        <v>0</v>
      </c>
      <c r="I2611" s="929">
        <v>6123</v>
      </c>
      <c r="J2611" s="689">
        <f t="shared" si="41"/>
        <v>1</v>
      </c>
    </row>
    <row r="2612" spans="1:10" ht="12.75" customHeight="1" x14ac:dyDescent="0.2">
      <c r="A2612" s="681" t="s">
        <v>2370</v>
      </c>
      <c r="B2612" s="693" t="s">
        <v>5180</v>
      </c>
      <c r="C2612" s="672" t="s">
        <v>894</v>
      </c>
      <c r="D2612" s="673">
        <v>39498</v>
      </c>
      <c r="E2612" s="674">
        <v>3</v>
      </c>
      <c r="F2612" s="675">
        <v>0.33</v>
      </c>
      <c r="G2612" s="676">
        <v>6124</v>
      </c>
      <c r="H2612" s="929">
        <v>0</v>
      </c>
      <c r="I2612" s="929">
        <v>6123</v>
      </c>
      <c r="J2612" s="689">
        <f t="shared" si="41"/>
        <v>1</v>
      </c>
    </row>
    <row r="2613" spans="1:10" ht="12.75" customHeight="1" x14ac:dyDescent="0.2">
      <c r="A2613" s="681" t="s">
        <v>2370</v>
      </c>
      <c r="B2613" s="693" t="s">
        <v>5181</v>
      </c>
      <c r="C2613" s="672" t="s">
        <v>894</v>
      </c>
      <c r="D2613" s="673">
        <v>39498</v>
      </c>
      <c r="E2613" s="674">
        <v>3</v>
      </c>
      <c r="F2613" s="675">
        <v>0.33</v>
      </c>
      <c r="G2613" s="676">
        <v>6124</v>
      </c>
      <c r="H2613" s="929">
        <v>0</v>
      </c>
      <c r="I2613" s="929">
        <v>6123</v>
      </c>
      <c r="J2613" s="689">
        <f t="shared" si="41"/>
        <v>1</v>
      </c>
    </row>
    <row r="2614" spans="1:10" ht="12.75" customHeight="1" x14ac:dyDescent="0.2">
      <c r="A2614" s="681" t="s">
        <v>2370</v>
      </c>
      <c r="B2614" s="693" t="s">
        <v>5182</v>
      </c>
      <c r="C2614" s="672" t="s">
        <v>894</v>
      </c>
      <c r="D2614" s="673">
        <v>39498</v>
      </c>
      <c r="E2614" s="674">
        <v>3</v>
      </c>
      <c r="F2614" s="675">
        <v>0.33</v>
      </c>
      <c r="G2614" s="676">
        <v>6124</v>
      </c>
      <c r="H2614" s="929">
        <v>0</v>
      </c>
      <c r="I2614" s="929">
        <v>6123</v>
      </c>
      <c r="J2614" s="689">
        <f t="shared" si="41"/>
        <v>1</v>
      </c>
    </row>
    <row r="2615" spans="1:10" ht="12.75" customHeight="1" x14ac:dyDescent="0.2">
      <c r="A2615" s="681" t="s">
        <v>2370</v>
      </c>
      <c r="B2615" s="693" t="s">
        <v>5183</v>
      </c>
      <c r="C2615" s="672" t="s">
        <v>894</v>
      </c>
      <c r="D2615" s="673">
        <v>39498</v>
      </c>
      <c r="E2615" s="674">
        <v>3</v>
      </c>
      <c r="F2615" s="675">
        <v>0.33</v>
      </c>
      <c r="G2615" s="676">
        <v>6124</v>
      </c>
      <c r="H2615" s="929">
        <v>0</v>
      </c>
      <c r="I2615" s="929">
        <v>6123</v>
      </c>
      <c r="J2615" s="689">
        <f t="shared" si="41"/>
        <v>1</v>
      </c>
    </row>
    <row r="2616" spans="1:10" ht="12.75" customHeight="1" x14ac:dyDescent="0.2">
      <c r="A2616" s="681" t="s">
        <v>2370</v>
      </c>
      <c r="B2616" s="693" t="s">
        <v>5184</v>
      </c>
      <c r="C2616" s="672" t="s">
        <v>894</v>
      </c>
      <c r="D2616" s="673">
        <v>39498</v>
      </c>
      <c r="E2616" s="674">
        <v>3</v>
      </c>
      <c r="F2616" s="675">
        <v>0.33</v>
      </c>
      <c r="G2616" s="676">
        <v>6124</v>
      </c>
      <c r="H2616" s="929">
        <v>0</v>
      </c>
      <c r="I2616" s="929">
        <v>6123</v>
      </c>
      <c r="J2616" s="689">
        <f t="shared" si="41"/>
        <v>1</v>
      </c>
    </row>
    <row r="2617" spans="1:10" ht="12.75" customHeight="1" x14ac:dyDescent="0.2">
      <c r="A2617" s="681" t="s">
        <v>2370</v>
      </c>
      <c r="B2617" s="693" t="s">
        <v>5185</v>
      </c>
      <c r="C2617" s="672" t="s">
        <v>894</v>
      </c>
      <c r="D2617" s="673">
        <v>39498</v>
      </c>
      <c r="E2617" s="674">
        <v>3</v>
      </c>
      <c r="F2617" s="675">
        <v>0.33</v>
      </c>
      <c r="G2617" s="676">
        <v>6124</v>
      </c>
      <c r="H2617" s="929">
        <v>0</v>
      </c>
      <c r="I2617" s="929">
        <v>6123</v>
      </c>
      <c r="J2617" s="689">
        <f t="shared" si="41"/>
        <v>1</v>
      </c>
    </row>
    <row r="2618" spans="1:10" ht="12.75" customHeight="1" x14ac:dyDescent="0.2">
      <c r="A2618" s="681" t="s">
        <v>2370</v>
      </c>
      <c r="B2618" s="693" t="s">
        <v>5186</v>
      </c>
      <c r="C2618" s="672" t="s">
        <v>894</v>
      </c>
      <c r="D2618" s="673">
        <v>39498</v>
      </c>
      <c r="E2618" s="674">
        <v>3</v>
      </c>
      <c r="F2618" s="675">
        <v>0.33</v>
      </c>
      <c r="G2618" s="676">
        <v>6124</v>
      </c>
      <c r="H2618" s="929">
        <v>0</v>
      </c>
      <c r="I2618" s="929">
        <v>6123</v>
      </c>
      <c r="J2618" s="689">
        <f t="shared" si="41"/>
        <v>1</v>
      </c>
    </row>
    <row r="2619" spans="1:10" ht="12.75" customHeight="1" x14ac:dyDescent="0.2">
      <c r="A2619" s="681" t="s">
        <v>2370</v>
      </c>
      <c r="B2619" s="693" t="s">
        <v>5187</v>
      </c>
      <c r="C2619" s="672" t="s">
        <v>894</v>
      </c>
      <c r="D2619" s="673">
        <v>39498</v>
      </c>
      <c r="E2619" s="674">
        <v>3</v>
      </c>
      <c r="F2619" s="675">
        <v>0.33</v>
      </c>
      <c r="G2619" s="676">
        <v>6124</v>
      </c>
      <c r="H2619" s="929">
        <v>0</v>
      </c>
      <c r="I2619" s="929">
        <v>6123</v>
      </c>
      <c r="J2619" s="689">
        <f t="shared" si="41"/>
        <v>1</v>
      </c>
    </row>
    <row r="2620" spans="1:10" ht="12.75" customHeight="1" x14ac:dyDescent="0.2">
      <c r="A2620" s="681" t="s">
        <v>2370</v>
      </c>
      <c r="B2620" s="693" t="s">
        <v>5188</v>
      </c>
      <c r="C2620" s="672" t="s">
        <v>892</v>
      </c>
      <c r="D2620" s="673">
        <v>36211</v>
      </c>
      <c r="E2620" s="674">
        <v>3</v>
      </c>
      <c r="F2620" s="675">
        <v>0.33</v>
      </c>
      <c r="G2620" s="676">
        <v>6133</v>
      </c>
      <c r="H2620" s="929">
        <v>0</v>
      </c>
      <c r="I2620" s="929">
        <v>6132</v>
      </c>
      <c r="J2620" s="689">
        <f t="shared" si="41"/>
        <v>1</v>
      </c>
    </row>
    <row r="2621" spans="1:10" ht="12.75" customHeight="1" x14ac:dyDescent="0.2">
      <c r="A2621" s="681" t="s">
        <v>2370</v>
      </c>
      <c r="B2621" s="693" t="s">
        <v>5189</v>
      </c>
      <c r="C2621" s="672" t="s">
        <v>892</v>
      </c>
      <c r="D2621" s="673">
        <v>40594</v>
      </c>
      <c r="E2621" s="674">
        <v>3</v>
      </c>
      <c r="F2621" s="675">
        <v>0.33</v>
      </c>
      <c r="G2621" s="676">
        <v>6138</v>
      </c>
      <c r="H2621" s="929">
        <v>0</v>
      </c>
      <c r="I2621" s="929">
        <v>6137</v>
      </c>
      <c r="J2621" s="689">
        <f t="shared" si="41"/>
        <v>1</v>
      </c>
    </row>
    <row r="2622" spans="1:10" ht="12.75" customHeight="1" x14ac:dyDescent="0.2">
      <c r="A2622" s="681" t="s">
        <v>2370</v>
      </c>
      <c r="B2622" s="693" t="s">
        <v>5190</v>
      </c>
      <c r="C2622" s="672" t="s">
        <v>894</v>
      </c>
      <c r="D2622" s="673">
        <v>39498</v>
      </c>
      <c r="E2622" s="674">
        <v>3</v>
      </c>
      <c r="F2622" s="675">
        <v>0.33</v>
      </c>
      <c r="G2622" s="676">
        <v>6194</v>
      </c>
      <c r="H2622" s="929">
        <v>0</v>
      </c>
      <c r="I2622" s="929">
        <v>6193</v>
      </c>
      <c r="J2622" s="689">
        <f t="shared" si="41"/>
        <v>1</v>
      </c>
    </row>
    <row r="2623" spans="1:10" ht="12.75" customHeight="1" x14ac:dyDescent="0.2">
      <c r="A2623" s="681" t="s">
        <v>2370</v>
      </c>
      <c r="B2623" s="693" t="s">
        <v>5191</v>
      </c>
      <c r="C2623" s="672" t="s">
        <v>791</v>
      </c>
      <c r="D2623" s="673">
        <v>36211</v>
      </c>
      <c r="E2623" s="674">
        <v>10</v>
      </c>
      <c r="F2623" s="675">
        <v>0.1</v>
      </c>
      <c r="G2623" s="676">
        <v>6210</v>
      </c>
      <c r="H2623" s="929">
        <v>0</v>
      </c>
      <c r="I2623" s="929">
        <v>6209</v>
      </c>
      <c r="J2623" s="689">
        <f t="shared" si="41"/>
        <v>1</v>
      </c>
    </row>
    <row r="2624" spans="1:10" ht="12.75" customHeight="1" x14ac:dyDescent="0.2">
      <c r="A2624" s="681" t="s">
        <v>2370</v>
      </c>
      <c r="B2624" s="693" t="s">
        <v>5192</v>
      </c>
      <c r="C2624" s="672" t="s">
        <v>787</v>
      </c>
      <c r="D2624" s="673">
        <v>36576</v>
      </c>
      <c r="E2624" s="674">
        <v>10</v>
      </c>
      <c r="F2624" s="675">
        <v>0.1</v>
      </c>
      <c r="G2624" s="676">
        <v>6210</v>
      </c>
      <c r="H2624" s="929">
        <v>0</v>
      </c>
      <c r="I2624" s="929">
        <v>6209</v>
      </c>
      <c r="J2624" s="689">
        <f t="shared" si="41"/>
        <v>1</v>
      </c>
    </row>
    <row r="2625" spans="1:10" ht="12.75" customHeight="1" x14ac:dyDescent="0.2">
      <c r="A2625" s="681" t="s">
        <v>2370</v>
      </c>
      <c r="B2625" s="693" t="s">
        <v>5193</v>
      </c>
      <c r="C2625" s="672" t="s">
        <v>804</v>
      </c>
      <c r="D2625" s="673">
        <v>37307</v>
      </c>
      <c r="E2625" s="674">
        <v>10</v>
      </c>
      <c r="F2625" s="675">
        <v>0.1</v>
      </c>
      <c r="G2625" s="676">
        <v>6236</v>
      </c>
      <c r="H2625" s="929">
        <v>0</v>
      </c>
      <c r="I2625" s="929">
        <v>6235</v>
      </c>
      <c r="J2625" s="689">
        <f t="shared" si="41"/>
        <v>1</v>
      </c>
    </row>
    <row r="2626" spans="1:10" ht="12.75" customHeight="1" x14ac:dyDescent="0.2">
      <c r="A2626" s="681" t="s">
        <v>2370</v>
      </c>
      <c r="B2626" s="693" t="s">
        <v>5194</v>
      </c>
      <c r="C2626" s="672" t="s">
        <v>788</v>
      </c>
      <c r="D2626" s="673">
        <v>36576</v>
      </c>
      <c r="E2626" s="674">
        <v>10</v>
      </c>
      <c r="F2626" s="675">
        <v>0.1</v>
      </c>
      <c r="G2626" s="676">
        <v>6303</v>
      </c>
      <c r="H2626" s="929">
        <v>0</v>
      </c>
      <c r="I2626" s="929">
        <v>6302</v>
      </c>
      <c r="J2626" s="689">
        <f t="shared" si="41"/>
        <v>1</v>
      </c>
    </row>
    <row r="2627" spans="1:10" ht="12.75" customHeight="1" x14ac:dyDescent="0.2">
      <c r="A2627" s="681" t="s">
        <v>2370</v>
      </c>
      <c r="B2627" s="693" t="s">
        <v>5195</v>
      </c>
      <c r="C2627" s="672" t="s">
        <v>892</v>
      </c>
      <c r="D2627" s="673">
        <v>40594</v>
      </c>
      <c r="E2627" s="674">
        <v>3</v>
      </c>
      <c r="F2627" s="675">
        <v>0.33</v>
      </c>
      <c r="G2627" s="676">
        <v>6334</v>
      </c>
      <c r="H2627" s="929">
        <v>0</v>
      </c>
      <c r="I2627" s="929">
        <v>6333</v>
      </c>
      <c r="J2627" s="689">
        <f t="shared" si="41"/>
        <v>1</v>
      </c>
    </row>
    <row r="2628" spans="1:10" ht="12.75" customHeight="1" x14ac:dyDescent="0.2">
      <c r="A2628" s="681" t="s">
        <v>2370</v>
      </c>
      <c r="B2628" s="693" t="s">
        <v>5196</v>
      </c>
      <c r="C2628" s="672" t="s">
        <v>907</v>
      </c>
      <c r="D2628" s="673">
        <v>39498</v>
      </c>
      <c r="E2628" s="674">
        <v>3</v>
      </c>
      <c r="F2628" s="675">
        <v>0.33</v>
      </c>
      <c r="G2628" s="676">
        <v>6433</v>
      </c>
      <c r="H2628" s="929">
        <v>0</v>
      </c>
      <c r="I2628" s="929">
        <v>6432</v>
      </c>
      <c r="J2628" s="689">
        <f t="shared" si="41"/>
        <v>1</v>
      </c>
    </row>
    <row r="2629" spans="1:10" ht="12.75" customHeight="1" x14ac:dyDescent="0.2">
      <c r="A2629" s="681" t="s">
        <v>2370</v>
      </c>
      <c r="B2629" s="693" t="s">
        <v>5197</v>
      </c>
      <c r="C2629" s="672" t="s">
        <v>907</v>
      </c>
      <c r="D2629" s="673">
        <v>39498</v>
      </c>
      <c r="E2629" s="674">
        <v>3</v>
      </c>
      <c r="F2629" s="675">
        <v>0.33</v>
      </c>
      <c r="G2629" s="676">
        <v>6433</v>
      </c>
      <c r="H2629" s="929">
        <v>0</v>
      </c>
      <c r="I2629" s="929">
        <v>6432</v>
      </c>
      <c r="J2629" s="689">
        <f t="shared" si="41"/>
        <v>1</v>
      </c>
    </row>
    <row r="2630" spans="1:10" ht="12.75" customHeight="1" x14ac:dyDescent="0.2">
      <c r="A2630" s="681" t="s">
        <v>2370</v>
      </c>
      <c r="B2630" s="693" t="s">
        <v>5198</v>
      </c>
      <c r="C2630" s="672" t="s">
        <v>892</v>
      </c>
      <c r="D2630" s="673">
        <v>39498</v>
      </c>
      <c r="E2630" s="674">
        <v>3</v>
      </c>
      <c r="F2630" s="675">
        <v>0.33</v>
      </c>
      <c r="G2630" s="676">
        <v>6445</v>
      </c>
      <c r="H2630" s="929">
        <v>0</v>
      </c>
      <c r="I2630" s="929">
        <v>6444</v>
      </c>
      <c r="J2630" s="689">
        <f t="shared" si="41"/>
        <v>1</v>
      </c>
    </row>
    <row r="2631" spans="1:10" ht="12.75" customHeight="1" x14ac:dyDescent="0.2">
      <c r="A2631" s="681" t="s">
        <v>2370</v>
      </c>
      <c r="B2631" s="693" t="s">
        <v>5199</v>
      </c>
      <c r="C2631" s="672" t="s">
        <v>894</v>
      </c>
      <c r="D2631" s="673">
        <v>38403</v>
      </c>
      <c r="E2631" s="674">
        <v>3</v>
      </c>
      <c r="F2631" s="675">
        <v>0.33</v>
      </c>
      <c r="G2631" s="676">
        <v>6465</v>
      </c>
      <c r="H2631" s="929">
        <v>0</v>
      </c>
      <c r="I2631" s="929">
        <v>6464</v>
      </c>
      <c r="J2631" s="689">
        <f t="shared" ref="J2631:J2694" si="42">G2631-I2631</f>
        <v>1</v>
      </c>
    </row>
    <row r="2632" spans="1:10" ht="12.75" customHeight="1" x14ac:dyDescent="0.2">
      <c r="A2632" s="681" t="s">
        <v>2372</v>
      </c>
      <c r="B2632" s="693" t="s">
        <v>5200</v>
      </c>
      <c r="C2632" s="672" t="s">
        <v>1035</v>
      </c>
      <c r="D2632" s="673">
        <v>39498</v>
      </c>
      <c r="E2632" s="674">
        <v>3</v>
      </c>
      <c r="F2632" s="675">
        <v>0.33</v>
      </c>
      <c r="G2632" s="676">
        <v>6474</v>
      </c>
      <c r="H2632" s="929">
        <v>0</v>
      </c>
      <c r="I2632" s="929">
        <v>6473</v>
      </c>
      <c r="J2632" s="689">
        <f t="shared" si="42"/>
        <v>1</v>
      </c>
    </row>
    <row r="2633" spans="1:10" ht="12.75" customHeight="1" x14ac:dyDescent="0.2">
      <c r="A2633" s="681" t="s">
        <v>2370</v>
      </c>
      <c r="B2633" s="693" t="s">
        <v>5201</v>
      </c>
      <c r="C2633" s="672" t="s">
        <v>873</v>
      </c>
      <c r="D2633" s="673">
        <v>37307</v>
      </c>
      <c r="E2633" s="674">
        <v>10</v>
      </c>
      <c r="F2633" s="675">
        <v>0.1</v>
      </c>
      <c r="G2633" s="676">
        <v>6500</v>
      </c>
      <c r="H2633" s="929">
        <v>0</v>
      </c>
      <c r="I2633" s="929">
        <v>6499</v>
      </c>
      <c r="J2633" s="689">
        <f t="shared" si="42"/>
        <v>1</v>
      </c>
    </row>
    <row r="2634" spans="1:10" ht="12.75" customHeight="1" x14ac:dyDescent="0.2">
      <c r="A2634" s="681" t="s">
        <v>2370</v>
      </c>
      <c r="B2634" s="693" t="s">
        <v>5202</v>
      </c>
      <c r="C2634" s="672" t="s">
        <v>892</v>
      </c>
      <c r="D2634" s="673">
        <v>40594</v>
      </c>
      <c r="E2634" s="674">
        <v>3</v>
      </c>
      <c r="F2634" s="675">
        <v>0.33</v>
      </c>
      <c r="G2634" s="676">
        <v>6525</v>
      </c>
      <c r="H2634" s="929">
        <v>0</v>
      </c>
      <c r="I2634" s="929">
        <v>6524</v>
      </c>
      <c r="J2634" s="689">
        <f t="shared" si="42"/>
        <v>1</v>
      </c>
    </row>
    <row r="2635" spans="1:10" ht="12.75" customHeight="1" x14ac:dyDescent="0.2">
      <c r="A2635" s="681" t="s">
        <v>2370</v>
      </c>
      <c r="B2635" s="693" t="s">
        <v>5203</v>
      </c>
      <c r="C2635" s="672" t="s">
        <v>894</v>
      </c>
      <c r="D2635" s="673">
        <v>38037</v>
      </c>
      <c r="E2635" s="674">
        <v>3</v>
      </c>
      <c r="F2635" s="675">
        <v>0.33</v>
      </c>
      <c r="G2635" s="676">
        <v>6555</v>
      </c>
      <c r="H2635" s="929">
        <v>0</v>
      </c>
      <c r="I2635" s="929">
        <v>6554</v>
      </c>
      <c r="J2635" s="689">
        <f t="shared" si="42"/>
        <v>1</v>
      </c>
    </row>
    <row r="2636" spans="1:10" ht="12.75" customHeight="1" x14ac:dyDescent="0.2">
      <c r="A2636" s="681" t="s">
        <v>2370</v>
      </c>
      <c r="B2636" s="693" t="s">
        <v>5204</v>
      </c>
      <c r="C2636" s="672" t="s">
        <v>894</v>
      </c>
      <c r="D2636" s="673">
        <v>38037</v>
      </c>
      <c r="E2636" s="674">
        <v>3</v>
      </c>
      <c r="F2636" s="675">
        <v>0.33</v>
      </c>
      <c r="G2636" s="676">
        <v>6555</v>
      </c>
      <c r="H2636" s="929">
        <v>0</v>
      </c>
      <c r="I2636" s="929">
        <v>6554</v>
      </c>
      <c r="J2636" s="689">
        <f t="shared" si="42"/>
        <v>1</v>
      </c>
    </row>
    <row r="2637" spans="1:10" ht="12.75" customHeight="1" x14ac:dyDescent="0.2">
      <c r="A2637" s="681" t="s">
        <v>2370</v>
      </c>
      <c r="B2637" s="693" t="s">
        <v>5205</v>
      </c>
      <c r="C2637" s="672" t="s">
        <v>892</v>
      </c>
      <c r="D2637" s="673">
        <v>40594</v>
      </c>
      <c r="E2637" s="674">
        <v>3</v>
      </c>
      <c r="F2637" s="675">
        <v>0.33</v>
      </c>
      <c r="G2637" s="676">
        <v>6612</v>
      </c>
      <c r="H2637" s="929">
        <v>0</v>
      </c>
      <c r="I2637" s="929">
        <v>6611</v>
      </c>
      <c r="J2637" s="689">
        <f t="shared" si="42"/>
        <v>1</v>
      </c>
    </row>
    <row r="2638" spans="1:10" ht="12.75" customHeight="1" x14ac:dyDescent="0.2">
      <c r="A2638" s="681" t="s">
        <v>2370</v>
      </c>
      <c r="B2638" s="693" t="s">
        <v>5206</v>
      </c>
      <c r="C2638" s="672" t="s">
        <v>785</v>
      </c>
      <c r="D2638" s="673">
        <v>36576</v>
      </c>
      <c r="E2638" s="674">
        <v>10</v>
      </c>
      <c r="F2638" s="675">
        <v>0.1</v>
      </c>
      <c r="G2638" s="676">
        <v>6831</v>
      </c>
      <c r="H2638" s="929">
        <v>0</v>
      </c>
      <c r="I2638" s="929">
        <v>6830</v>
      </c>
      <c r="J2638" s="689">
        <f t="shared" si="42"/>
        <v>1</v>
      </c>
    </row>
    <row r="2639" spans="1:10" ht="12.75" customHeight="1" x14ac:dyDescent="0.2">
      <c r="A2639" s="681" t="s">
        <v>2370</v>
      </c>
      <c r="B2639" s="693" t="s">
        <v>5207</v>
      </c>
      <c r="C2639" s="672" t="s">
        <v>788</v>
      </c>
      <c r="D2639" s="673">
        <v>36576</v>
      </c>
      <c r="E2639" s="674">
        <v>10</v>
      </c>
      <c r="F2639" s="675">
        <v>0.1</v>
      </c>
      <c r="G2639" s="676">
        <v>6900</v>
      </c>
      <c r="H2639" s="929">
        <v>0</v>
      </c>
      <c r="I2639" s="929">
        <v>6899</v>
      </c>
      <c r="J2639" s="689">
        <f t="shared" si="42"/>
        <v>1</v>
      </c>
    </row>
    <row r="2640" spans="1:10" ht="12.75" customHeight="1" x14ac:dyDescent="0.2">
      <c r="A2640" s="681" t="s">
        <v>2370</v>
      </c>
      <c r="B2640" s="693" t="s">
        <v>5208</v>
      </c>
      <c r="C2640" s="672" t="s">
        <v>894</v>
      </c>
      <c r="D2640" s="673">
        <v>39498</v>
      </c>
      <c r="E2640" s="674">
        <v>3</v>
      </c>
      <c r="F2640" s="675">
        <v>0.33</v>
      </c>
      <c r="G2640" s="676">
        <v>6930</v>
      </c>
      <c r="H2640" s="929">
        <v>0</v>
      </c>
      <c r="I2640" s="929">
        <v>6929</v>
      </c>
      <c r="J2640" s="689">
        <f t="shared" si="42"/>
        <v>1</v>
      </c>
    </row>
    <row r="2641" spans="1:10" ht="12.75" customHeight="1" x14ac:dyDescent="0.2">
      <c r="A2641" s="681" t="s">
        <v>2370</v>
      </c>
      <c r="B2641" s="693" t="s">
        <v>5209</v>
      </c>
      <c r="C2641" s="672" t="s">
        <v>894</v>
      </c>
      <c r="D2641" s="673">
        <v>39498</v>
      </c>
      <c r="E2641" s="674">
        <v>3</v>
      </c>
      <c r="F2641" s="675">
        <v>0.33</v>
      </c>
      <c r="G2641" s="676">
        <v>6930</v>
      </c>
      <c r="H2641" s="929">
        <v>0</v>
      </c>
      <c r="I2641" s="929">
        <v>6929</v>
      </c>
      <c r="J2641" s="689">
        <f t="shared" si="42"/>
        <v>1</v>
      </c>
    </row>
    <row r="2642" spans="1:10" ht="12.75" customHeight="1" x14ac:dyDescent="0.2">
      <c r="A2642" s="681" t="s">
        <v>2370</v>
      </c>
      <c r="B2642" s="693" t="s">
        <v>5210</v>
      </c>
      <c r="C2642" s="672" t="s">
        <v>894</v>
      </c>
      <c r="D2642" s="673">
        <v>39498</v>
      </c>
      <c r="E2642" s="674">
        <v>3</v>
      </c>
      <c r="F2642" s="675">
        <v>0.33</v>
      </c>
      <c r="G2642" s="676">
        <v>6930</v>
      </c>
      <c r="H2642" s="929">
        <v>0</v>
      </c>
      <c r="I2642" s="929">
        <v>6929</v>
      </c>
      <c r="J2642" s="689">
        <f t="shared" si="42"/>
        <v>1</v>
      </c>
    </row>
    <row r="2643" spans="1:10" ht="12.75" customHeight="1" x14ac:dyDescent="0.2">
      <c r="A2643" s="681" t="s">
        <v>2370</v>
      </c>
      <c r="B2643" s="693" t="s">
        <v>5211</v>
      </c>
      <c r="C2643" s="672" t="s">
        <v>894</v>
      </c>
      <c r="D2643" s="673">
        <v>39498</v>
      </c>
      <c r="E2643" s="674">
        <v>3</v>
      </c>
      <c r="F2643" s="675">
        <v>0.33</v>
      </c>
      <c r="G2643" s="676">
        <v>6930</v>
      </c>
      <c r="H2643" s="929">
        <v>0</v>
      </c>
      <c r="I2643" s="929">
        <v>6929</v>
      </c>
      <c r="J2643" s="689">
        <f t="shared" si="42"/>
        <v>1</v>
      </c>
    </row>
    <row r="2644" spans="1:10" ht="12.75" customHeight="1" x14ac:dyDescent="0.2">
      <c r="A2644" s="681" t="s">
        <v>2370</v>
      </c>
      <c r="B2644" s="693" t="s">
        <v>5212</v>
      </c>
      <c r="C2644" s="672" t="s">
        <v>894</v>
      </c>
      <c r="D2644" s="673">
        <v>39498</v>
      </c>
      <c r="E2644" s="674">
        <v>3</v>
      </c>
      <c r="F2644" s="675">
        <v>0.33</v>
      </c>
      <c r="G2644" s="676">
        <v>6930</v>
      </c>
      <c r="H2644" s="929">
        <v>0</v>
      </c>
      <c r="I2644" s="929">
        <v>6929</v>
      </c>
      <c r="J2644" s="689">
        <f t="shared" si="42"/>
        <v>1</v>
      </c>
    </row>
    <row r="2645" spans="1:10" ht="12.75" customHeight="1" x14ac:dyDescent="0.2">
      <c r="A2645" s="681" t="s">
        <v>2370</v>
      </c>
      <c r="B2645" s="693" t="s">
        <v>5213</v>
      </c>
      <c r="C2645" s="672" t="s">
        <v>894</v>
      </c>
      <c r="D2645" s="673">
        <v>39498</v>
      </c>
      <c r="E2645" s="674">
        <v>3</v>
      </c>
      <c r="F2645" s="675">
        <v>0.33</v>
      </c>
      <c r="G2645" s="676">
        <v>6930</v>
      </c>
      <c r="H2645" s="929">
        <v>0</v>
      </c>
      <c r="I2645" s="929">
        <v>6929</v>
      </c>
      <c r="J2645" s="689">
        <f t="shared" si="42"/>
        <v>1</v>
      </c>
    </row>
    <row r="2646" spans="1:10" ht="12.75" customHeight="1" x14ac:dyDescent="0.2">
      <c r="A2646" s="681" t="s">
        <v>2370</v>
      </c>
      <c r="B2646" s="693" t="s">
        <v>5214</v>
      </c>
      <c r="C2646" s="672" t="s">
        <v>894</v>
      </c>
      <c r="D2646" s="673">
        <v>39498</v>
      </c>
      <c r="E2646" s="674">
        <v>3</v>
      </c>
      <c r="F2646" s="675">
        <v>0.33</v>
      </c>
      <c r="G2646" s="676">
        <v>6930</v>
      </c>
      <c r="H2646" s="929">
        <v>0</v>
      </c>
      <c r="I2646" s="929">
        <v>6929</v>
      </c>
      <c r="J2646" s="689">
        <f t="shared" si="42"/>
        <v>1</v>
      </c>
    </row>
    <row r="2647" spans="1:10" ht="12.75" customHeight="1" x14ac:dyDescent="0.2">
      <c r="A2647" s="681" t="s">
        <v>2370</v>
      </c>
      <c r="B2647" s="693" t="s">
        <v>5215</v>
      </c>
      <c r="C2647" s="672" t="s">
        <v>894</v>
      </c>
      <c r="D2647" s="673">
        <v>39498</v>
      </c>
      <c r="E2647" s="674">
        <v>3</v>
      </c>
      <c r="F2647" s="675">
        <v>0.33</v>
      </c>
      <c r="G2647" s="676">
        <v>6930</v>
      </c>
      <c r="H2647" s="929">
        <v>0</v>
      </c>
      <c r="I2647" s="929">
        <v>6929</v>
      </c>
      <c r="J2647" s="689">
        <f t="shared" si="42"/>
        <v>1</v>
      </c>
    </row>
    <row r="2648" spans="1:10" ht="12.75" customHeight="1" x14ac:dyDescent="0.2">
      <c r="A2648" s="681" t="s">
        <v>2370</v>
      </c>
      <c r="B2648" s="693" t="s">
        <v>5216</v>
      </c>
      <c r="C2648" s="672" t="s">
        <v>894</v>
      </c>
      <c r="D2648" s="673">
        <v>39498</v>
      </c>
      <c r="E2648" s="674">
        <v>3</v>
      </c>
      <c r="F2648" s="675">
        <v>0.33</v>
      </c>
      <c r="G2648" s="676">
        <v>6930</v>
      </c>
      <c r="H2648" s="929">
        <v>0</v>
      </c>
      <c r="I2648" s="929">
        <v>6929</v>
      </c>
      <c r="J2648" s="689">
        <f t="shared" si="42"/>
        <v>1</v>
      </c>
    </row>
    <row r="2649" spans="1:10" ht="12.75" customHeight="1" x14ac:dyDescent="0.2">
      <c r="A2649" s="681" t="s">
        <v>2370</v>
      </c>
      <c r="B2649" s="693" t="s">
        <v>5217</v>
      </c>
      <c r="C2649" s="672" t="s">
        <v>894</v>
      </c>
      <c r="D2649" s="673">
        <v>40594</v>
      </c>
      <c r="E2649" s="674">
        <v>3</v>
      </c>
      <c r="F2649" s="675">
        <v>0.33</v>
      </c>
      <c r="G2649" s="676">
        <v>6930</v>
      </c>
      <c r="H2649" s="929">
        <v>0</v>
      </c>
      <c r="I2649" s="929">
        <v>6929</v>
      </c>
      <c r="J2649" s="689">
        <f t="shared" si="42"/>
        <v>1</v>
      </c>
    </row>
    <row r="2650" spans="1:10" ht="12.75" customHeight="1" x14ac:dyDescent="0.2">
      <c r="A2650" s="681" t="s">
        <v>2370</v>
      </c>
      <c r="B2650" s="693" t="s">
        <v>5218</v>
      </c>
      <c r="C2650" s="672" t="s">
        <v>894</v>
      </c>
      <c r="D2650" s="673">
        <v>40594</v>
      </c>
      <c r="E2650" s="674">
        <v>3</v>
      </c>
      <c r="F2650" s="675">
        <v>0.33</v>
      </c>
      <c r="G2650" s="676">
        <v>6930</v>
      </c>
      <c r="H2650" s="929">
        <v>0</v>
      </c>
      <c r="I2650" s="929">
        <v>6929</v>
      </c>
      <c r="J2650" s="689">
        <f t="shared" si="42"/>
        <v>1</v>
      </c>
    </row>
    <row r="2651" spans="1:10" ht="12.75" customHeight="1" x14ac:dyDescent="0.2">
      <c r="A2651" s="681" t="s">
        <v>2370</v>
      </c>
      <c r="B2651" s="693" t="s">
        <v>5219</v>
      </c>
      <c r="C2651" s="672" t="s">
        <v>894</v>
      </c>
      <c r="D2651" s="673">
        <v>40594</v>
      </c>
      <c r="E2651" s="674">
        <v>3</v>
      </c>
      <c r="F2651" s="675">
        <v>0.33</v>
      </c>
      <c r="G2651" s="676">
        <v>6930</v>
      </c>
      <c r="H2651" s="929">
        <v>0</v>
      </c>
      <c r="I2651" s="929">
        <v>6929</v>
      </c>
      <c r="J2651" s="689">
        <f t="shared" si="42"/>
        <v>1</v>
      </c>
    </row>
    <row r="2652" spans="1:10" ht="12.75" customHeight="1" x14ac:dyDescent="0.2">
      <c r="A2652" s="681" t="s">
        <v>2370</v>
      </c>
      <c r="B2652" s="693" t="s">
        <v>5220</v>
      </c>
      <c r="C2652" s="672" t="s">
        <v>894</v>
      </c>
      <c r="D2652" s="673">
        <v>40594</v>
      </c>
      <c r="E2652" s="674">
        <v>3</v>
      </c>
      <c r="F2652" s="675">
        <v>0.33</v>
      </c>
      <c r="G2652" s="676">
        <v>6930</v>
      </c>
      <c r="H2652" s="929">
        <v>0</v>
      </c>
      <c r="I2652" s="929">
        <v>6929</v>
      </c>
      <c r="J2652" s="689">
        <f t="shared" si="42"/>
        <v>1</v>
      </c>
    </row>
    <row r="2653" spans="1:10" ht="12.75" customHeight="1" x14ac:dyDescent="0.2">
      <c r="A2653" s="681" t="s">
        <v>2370</v>
      </c>
      <c r="B2653" s="693" t="s">
        <v>5221</v>
      </c>
      <c r="C2653" s="672" t="s">
        <v>894</v>
      </c>
      <c r="D2653" s="673">
        <v>40594</v>
      </c>
      <c r="E2653" s="674">
        <v>3</v>
      </c>
      <c r="F2653" s="675">
        <v>0.33</v>
      </c>
      <c r="G2653" s="676">
        <v>6930</v>
      </c>
      <c r="H2653" s="929">
        <v>0</v>
      </c>
      <c r="I2653" s="929">
        <v>6929</v>
      </c>
      <c r="J2653" s="689">
        <f t="shared" si="42"/>
        <v>1</v>
      </c>
    </row>
    <row r="2654" spans="1:10" ht="12.75" customHeight="1" x14ac:dyDescent="0.2">
      <c r="A2654" s="681" t="s">
        <v>2370</v>
      </c>
      <c r="B2654" s="693" t="s">
        <v>5222</v>
      </c>
      <c r="C2654" s="672" t="s">
        <v>894</v>
      </c>
      <c r="D2654" s="673">
        <v>40594</v>
      </c>
      <c r="E2654" s="674">
        <v>3</v>
      </c>
      <c r="F2654" s="675">
        <v>0.33</v>
      </c>
      <c r="G2654" s="676">
        <v>6930</v>
      </c>
      <c r="H2654" s="929">
        <v>0</v>
      </c>
      <c r="I2654" s="929">
        <v>6929</v>
      </c>
      <c r="J2654" s="689">
        <f t="shared" si="42"/>
        <v>1</v>
      </c>
    </row>
    <row r="2655" spans="1:10" ht="12.75" customHeight="1" x14ac:dyDescent="0.2">
      <c r="A2655" s="681" t="s">
        <v>2370</v>
      </c>
      <c r="B2655" s="693" t="s">
        <v>5223</v>
      </c>
      <c r="C2655" s="672" t="s">
        <v>894</v>
      </c>
      <c r="D2655" s="673">
        <v>39498</v>
      </c>
      <c r="E2655" s="674">
        <v>3</v>
      </c>
      <c r="F2655" s="675">
        <v>0.33</v>
      </c>
      <c r="G2655" s="676">
        <v>6930</v>
      </c>
      <c r="H2655" s="929">
        <v>0</v>
      </c>
      <c r="I2655" s="929">
        <v>6929</v>
      </c>
      <c r="J2655" s="689">
        <f t="shared" si="42"/>
        <v>1</v>
      </c>
    </row>
    <row r="2656" spans="1:10" ht="12.75" customHeight="1" x14ac:dyDescent="0.2">
      <c r="A2656" s="681" t="s">
        <v>2370</v>
      </c>
      <c r="B2656" s="693" t="s">
        <v>5224</v>
      </c>
      <c r="C2656" s="672" t="s">
        <v>894</v>
      </c>
      <c r="D2656" s="673">
        <v>37672</v>
      </c>
      <c r="E2656" s="674">
        <v>3</v>
      </c>
      <c r="F2656" s="675">
        <v>0.33</v>
      </c>
      <c r="G2656" s="676">
        <v>7004</v>
      </c>
      <c r="H2656" s="929">
        <v>0</v>
      </c>
      <c r="I2656" s="929">
        <v>7003</v>
      </c>
      <c r="J2656" s="689">
        <f t="shared" si="42"/>
        <v>1</v>
      </c>
    </row>
    <row r="2657" spans="1:10" ht="12.75" customHeight="1" x14ac:dyDescent="0.2">
      <c r="A2657" s="681" t="s">
        <v>2370</v>
      </c>
      <c r="B2657" s="693" t="s">
        <v>5225</v>
      </c>
      <c r="C2657" s="672" t="s">
        <v>894</v>
      </c>
      <c r="D2657" s="673">
        <v>36211</v>
      </c>
      <c r="E2657" s="674">
        <v>3</v>
      </c>
      <c r="F2657" s="675">
        <v>0.33</v>
      </c>
      <c r="G2657" s="676">
        <v>7111</v>
      </c>
      <c r="H2657" s="929">
        <v>0</v>
      </c>
      <c r="I2657" s="929">
        <v>7110</v>
      </c>
      <c r="J2657" s="689">
        <f t="shared" si="42"/>
        <v>1</v>
      </c>
    </row>
    <row r="2658" spans="1:10" ht="12.75" customHeight="1" x14ac:dyDescent="0.2">
      <c r="A2658" s="681" t="s">
        <v>2370</v>
      </c>
      <c r="B2658" s="693" t="s">
        <v>5226</v>
      </c>
      <c r="C2658" s="672" t="s">
        <v>894</v>
      </c>
      <c r="D2658" s="673">
        <v>40594</v>
      </c>
      <c r="E2658" s="674">
        <v>3</v>
      </c>
      <c r="F2658" s="675">
        <v>0.33</v>
      </c>
      <c r="G2658" s="676">
        <v>7130</v>
      </c>
      <c r="H2658" s="929">
        <v>0</v>
      </c>
      <c r="I2658" s="929">
        <v>7129</v>
      </c>
      <c r="J2658" s="689">
        <f t="shared" si="42"/>
        <v>1</v>
      </c>
    </row>
    <row r="2659" spans="1:10" ht="12.75" customHeight="1" x14ac:dyDescent="0.2">
      <c r="A2659" s="681" t="s">
        <v>2370</v>
      </c>
      <c r="B2659" s="693" t="s">
        <v>5227</v>
      </c>
      <c r="C2659" s="672" t="s">
        <v>787</v>
      </c>
      <c r="D2659" s="673">
        <v>37307</v>
      </c>
      <c r="E2659" s="674">
        <v>10</v>
      </c>
      <c r="F2659" s="675">
        <v>0.1</v>
      </c>
      <c r="G2659" s="676">
        <v>7176</v>
      </c>
      <c r="H2659" s="929">
        <v>0</v>
      </c>
      <c r="I2659" s="929">
        <v>7175</v>
      </c>
      <c r="J2659" s="689">
        <f t="shared" si="42"/>
        <v>1</v>
      </c>
    </row>
    <row r="2660" spans="1:10" ht="12.75" customHeight="1" x14ac:dyDescent="0.2">
      <c r="A2660" s="681" t="s">
        <v>2370</v>
      </c>
      <c r="B2660" s="693" t="s">
        <v>5228</v>
      </c>
      <c r="C2660" s="672" t="s">
        <v>787</v>
      </c>
      <c r="D2660" s="673">
        <v>37307</v>
      </c>
      <c r="E2660" s="674">
        <v>10</v>
      </c>
      <c r="F2660" s="675">
        <v>0.1</v>
      </c>
      <c r="G2660" s="676">
        <v>7176</v>
      </c>
      <c r="H2660" s="929">
        <v>0</v>
      </c>
      <c r="I2660" s="929">
        <v>7175</v>
      </c>
      <c r="J2660" s="689">
        <f t="shared" si="42"/>
        <v>1</v>
      </c>
    </row>
    <row r="2661" spans="1:10" ht="12.75" customHeight="1" x14ac:dyDescent="0.2">
      <c r="A2661" s="681" t="s">
        <v>2370</v>
      </c>
      <c r="B2661" s="693" t="s">
        <v>5229</v>
      </c>
      <c r="C2661" s="672" t="s">
        <v>892</v>
      </c>
      <c r="D2661" s="673">
        <v>39498</v>
      </c>
      <c r="E2661" s="674">
        <v>3</v>
      </c>
      <c r="F2661" s="675">
        <v>0.33</v>
      </c>
      <c r="G2661" s="676">
        <v>7310</v>
      </c>
      <c r="H2661" s="929">
        <v>0</v>
      </c>
      <c r="I2661" s="929">
        <v>7309</v>
      </c>
      <c r="J2661" s="689">
        <f t="shared" si="42"/>
        <v>1</v>
      </c>
    </row>
    <row r="2662" spans="1:10" ht="12.75" customHeight="1" x14ac:dyDescent="0.2">
      <c r="A2662" s="681" t="s">
        <v>2370</v>
      </c>
      <c r="B2662" s="693" t="s">
        <v>5230</v>
      </c>
      <c r="C2662" s="672" t="s">
        <v>899</v>
      </c>
      <c r="D2662" s="673">
        <v>40594</v>
      </c>
      <c r="E2662" s="674">
        <v>3</v>
      </c>
      <c r="F2662" s="675">
        <v>0.33</v>
      </c>
      <c r="G2662" s="676">
        <v>7562</v>
      </c>
      <c r="H2662" s="929">
        <v>0</v>
      </c>
      <c r="I2662" s="929">
        <v>7561</v>
      </c>
      <c r="J2662" s="689">
        <f t="shared" si="42"/>
        <v>1</v>
      </c>
    </row>
    <row r="2663" spans="1:10" ht="12.75" customHeight="1" x14ac:dyDescent="0.2">
      <c r="A2663" s="681" t="s">
        <v>2372</v>
      </c>
      <c r="B2663" s="693" t="s">
        <v>5231</v>
      </c>
      <c r="C2663" s="672" t="s">
        <v>1029</v>
      </c>
      <c r="D2663" s="673">
        <v>40229</v>
      </c>
      <c r="E2663" s="674">
        <v>3</v>
      </c>
      <c r="F2663" s="675">
        <v>0.33</v>
      </c>
      <c r="G2663" s="676">
        <v>7580</v>
      </c>
      <c r="H2663" s="929">
        <v>0</v>
      </c>
      <c r="I2663" s="929">
        <v>7579</v>
      </c>
      <c r="J2663" s="689">
        <f t="shared" si="42"/>
        <v>1</v>
      </c>
    </row>
    <row r="2664" spans="1:10" ht="12.75" customHeight="1" x14ac:dyDescent="0.2">
      <c r="A2664" s="681" t="s">
        <v>2370</v>
      </c>
      <c r="B2664" s="693" t="s">
        <v>5232</v>
      </c>
      <c r="C2664" s="672" t="s">
        <v>787</v>
      </c>
      <c r="D2664" s="673">
        <v>36576</v>
      </c>
      <c r="E2664" s="674">
        <v>10</v>
      </c>
      <c r="F2664" s="675">
        <v>0.1</v>
      </c>
      <c r="G2664" s="676">
        <v>7648</v>
      </c>
      <c r="H2664" s="929">
        <v>0</v>
      </c>
      <c r="I2664" s="929">
        <v>7647</v>
      </c>
      <c r="J2664" s="689">
        <f t="shared" si="42"/>
        <v>1</v>
      </c>
    </row>
    <row r="2665" spans="1:10" ht="12.75" customHeight="1" x14ac:dyDescent="0.2">
      <c r="A2665" s="681" t="s">
        <v>2370</v>
      </c>
      <c r="B2665" s="693" t="s">
        <v>5233</v>
      </c>
      <c r="C2665" s="672" t="s">
        <v>787</v>
      </c>
      <c r="D2665" s="673">
        <v>36576</v>
      </c>
      <c r="E2665" s="674">
        <v>10</v>
      </c>
      <c r="F2665" s="675">
        <v>0.1</v>
      </c>
      <c r="G2665" s="676">
        <v>7648</v>
      </c>
      <c r="H2665" s="929">
        <v>0</v>
      </c>
      <c r="I2665" s="929">
        <v>7647</v>
      </c>
      <c r="J2665" s="689">
        <f t="shared" si="42"/>
        <v>1</v>
      </c>
    </row>
    <row r="2666" spans="1:10" ht="12.75" customHeight="1" x14ac:dyDescent="0.2">
      <c r="A2666" s="681" t="s">
        <v>2370</v>
      </c>
      <c r="B2666" s="693" t="s">
        <v>5234</v>
      </c>
      <c r="C2666" s="672" t="s">
        <v>790</v>
      </c>
      <c r="D2666" s="673">
        <v>37307</v>
      </c>
      <c r="E2666" s="674">
        <v>10</v>
      </c>
      <c r="F2666" s="675">
        <v>0.1</v>
      </c>
      <c r="G2666" s="676">
        <v>7659</v>
      </c>
      <c r="H2666" s="929">
        <v>0</v>
      </c>
      <c r="I2666" s="929">
        <v>7658</v>
      </c>
      <c r="J2666" s="689">
        <f t="shared" si="42"/>
        <v>1</v>
      </c>
    </row>
    <row r="2667" spans="1:10" ht="12.75" customHeight="1" x14ac:dyDescent="0.2">
      <c r="A2667" s="681" t="s">
        <v>2370</v>
      </c>
      <c r="B2667" s="693" t="s">
        <v>5235</v>
      </c>
      <c r="C2667" s="672" t="s">
        <v>787</v>
      </c>
      <c r="D2667" s="673">
        <v>36576</v>
      </c>
      <c r="E2667" s="674">
        <v>10</v>
      </c>
      <c r="F2667" s="675">
        <v>0.1</v>
      </c>
      <c r="G2667" s="676">
        <v>7659</v>
      </c>
      <c r="H2667" s="929">
        <v>0</v>
      </c>
      <c r="I2667" s="929">
        <v>7658</v>
      </c>
      <c r="J2667" s="689">
        <f t="shared" si="42"/>
        <v>1</v>
      </c>
    </row>
    <row r="2668" spans="1:10" ht="12.75" customHeight="1" x14ac:dyDescent="0.2">
      <c r="A2668" s="681" t="s">
        <v>2370</v>
      </c>
      <c r="B2668" s="693" t="s">
        <v>5236</v>
      </c>
      <c r="C2668" s="672" t="s">
        <v>786</v>
      </c>
      <c r="D2668" s="673">
        <v>37307</v>
      </c>
      <c r="E2668" s="674">
        <v>10</v>
      </c>
      <c r="F2668" s="675">
        <v>0.1</v>
      </c>
      <c r="G2668" s="676">
        <v>7765</v>
      </c>
      <c r="H2668" s="929">
        <v>0</v>
      </c>
      <c r="I2668" s="929">
        <v>7764</v>
      </c>
      <c r="J2668" s="689">
        <f t="shared" si="42"/>
        <v>1</v>
      </c>
    </row>
    <row r="2669" spans="1:10" ht="12.75" customHeight="1" x14ac:dyDescent="0.2">
      <c r="A2669" s="681" t="s">
        <v>2370</v>
      </c>
      <c r="B2669" s="693" t="s">
        <v>5237</v>
      </c>
      <c r="C2669" s="672" t="s">
        <v>894</v>
      </c>
      <c r="D2669" s="673">
        <v>39498</v>
      </c>
      <c r="E2669" s="674">
        <v>3</v>
      </c>
      <c r="F2669" s="675">
        <v>0.33</v>
      </c>
      <c r="G2669" s="676">
        <v>7800</v>
      </c>
      <c r="H2669" s="929">
        <v>0</v>
      </c>
      <c r="I2669" s="929">
        <v>7799</v>
      </c>
      <c r="J2669" s="689">
        <f t="shared" si="42"/>
        <v>1</v>
      </c>
    </row>
    <row r="2670" spans="1:10" ht="12.75" customHeight="1" x14ac:dyDescent="0.2">
      <c r="A2670" s="681" t="s">
        <v>2370</v>
      </c>
      <c r="B2670" s="693" t="s">
        <v>5238</v>
      </c>
      <c r="C2670" s="672" t="s">
        <v>894</v>
      </c>
      <c r="D2670" s="673">
        <v>39498</v>
      </c>
      <c r="E2670" s="674">
        <v>3</v>
      </c>
      <c r="F2670" s="675">
        <v>0.33</v>
      </c>
      <c r="G2670" s="676">
        <v>7800</v>
      </c>
      <c r="H2670" s="929">
        <v>0</v>
      </c>
      <c r="I2670" s="929">
        <v>7799</v>
      </c>
      <c r="J2670" s="689">
        <f t="shared" si="42"/>
        <v>1</v>
      </c>
    </row>
    <row r="2671" spans="1:10" ht="12.75" customHeight="1" x14ac:dyDescent="0.2">
      <c r="A2671" s="681" t="s">
        <v>2370</v>
      </c>
      <c r="B2671" s="693" t="s">
        <v>5239</v>
      </c>
      <c r="C2671" s="672" t="s">
        <v>894</v>
      </c>
      <c r="D2671" s="673">
        <v>39498</v>
      </c>
      <c r="E2671" s="674">
        <v>3</v>
      </c>
      <c r="F2671" s="675">
        <v>0.33</v>
      </c>
      <c r="G2671" s="676">
        <v>7800</v>
      </c>
      <c r="H2671" s="929">
        <v>0</v>
      </c>
      <c r="I2671" s="929">
        <v>7799</v>
      </c>
      <c r="J2671" s="689">
        <f t="shared" si="42"/>
        <v>1</v>
      </c>
    </row>
    <row r="2672" spans="1:10" ht="12.75" customHeight="1" x14ac:dyDescent="0.2">
      <c r="A2672" s="681" t="s">
        <v>2370</v>
      </c>
      <c r="B2672" s="693" t="s">
        <v>5240</v>
      </c>
      <c r="C2672" s="672" t="s">
        <v>894</v>
      </c>
      <c r="D2672" s="673">
        <v>39498</v>
      </c>
      <c r="E2672" s="674">
        <v>3</v>
      </c>
      <c r="F2672" s="675">
        <v>0.33</v>
      </c>
      <c r="G2672" s="676">
        <v>7800</v>
      </c>
      <c r="H2672" s="929">
        <v>0</v>
      </c>
      <c r="I2672" s="929">
        <v>7799</v>
      </c>
      <c r="J2672" s="689">
        <f t="shared" si="42"/>
        <v>1</v>
      </c>
    </row>
    <row r="2673" spans="1:10" ht="12.75" customHeight="1" x14ac:dyDescent="0.2">
      <c r="A2673" s="681" t="s">
        <v>2370</v>
      </c>
      <c r="B2673" s="693" t="s">
        <v>5241</v>
      </c>
      <c r="C2673" s="672" t="s">
        <v>894</v>
      </c>
      <c r="D2673" s="673">
        <v>39498</v>
      </c>
      <c r="E2673" s="674">
        <v>3</v>
      </c>
      <c r="F2673" s="675">
        <v>0.33</v>
      </c>
      <c r="G2673" s="676">
        <v>7800</v>
      </c>
      <c r="H2673" s="929">
        <v>0</v>
      </c>
      <c r="I2673" s="929">
        <v>7799</v>
      </c>
      <c r="J2673" s="689">
        <f t="shared" si="42"/>
        <v>1</v>
      </c>
    </row>
    <row r="2674" spans="1:10" ht="12.75" customHeight="1" x14ac:dyDescent="0.2">
      <c r="A2674" s="681" t="s">
        <v>2370</v>
      </c>
      <c r="B2674" s="693" t="s">
        <v>5242</v>
      </c>
      <c r="C2674" s="672" t="s">
        <v>806</v>
      </c>
      <c r="D2674" s="673">
        <v>36211</v>
      </c>
      <c r="E2674" s="674">
        <v>10</v>
      </c>
      <c r="F2674" s="675">
        <v>0.1</v>
      </c>
      <c r="G2674" s="676">
        <v>7820</v>
      </c>
      <c r="H2674" s="929">
        <v>0</v>
      </c>
      <c r="I2674" s="929">
        <v>7819</v>
      </c>
      <c r="J2674" s="689">
        <f t="shared" si="42"/>
        <v>1</v>
      </c>
    </row>
    <row r="2675" spans="1:10" ht="12.75" customHeight="1" x14ac:dyDescent="0.2">
      <c r="A2675" s="681" t="s">
        <v>2370</v>
      </c>
      <c r="B2675" s="693" t="s">
        <v>5243</v>
      </c>
      <c r="C2675" s="672" t="s">
        <v>894</v>
      </c>
      <c r="D2675" s="673">
        <v>39498</v>
      </c>
      <c r="E2675" s="674">
        <v>3</v>
      </c>
      <c r="F2675" s="675">
        <v>0.33</v>
      </c>
      <c r="G2675" s="676">
        <v>7894</v>
      </c>
      <c r="H2675" s="929">
        <v>0</v>
      </c>
      <c r="I2675" s="929">
        <v>7893</v>
      </c>
      <c r="J2675" s="689">
        <f t="shared" si="42"/>
        <v>1</v>
      </c>
    </row>
    <row r="2676" spans="1:10" ht="12.75" customHeight="1" x14ac:dyDescent="0.2">
      <c r="A2676" s="681" t="s">
        <v>2370</v>
      </c>
      <c r="B2676" s="693" t="s">
        <v>5244</v>
      </c>
      <c r="C2676" s="672" t="s">
        <v>787</v>
      </c>
      <c r="D2676" s="673">
        <v>36576</v>
      </c>
      <c r="E2676" s="674">
        <v>10</v>
      </c>
      <c r="F2676" s="675">
        <v>0.1</v>
      </c>
      <c r="G2676" s="676">
        <v>7935</v>
      </c>
      <c r="H2676" s="929">
        <v>0</v>
      </c>
      <c r="I2676" s="929">
        <v>7934</v>
      </c>
      <c r="J2676" s="689">
        <f t="shared" si="42"/>
        <v>1</v>
      </c>
    </row>
    <row r="2677" spans="1:10" ht="12.75" customHeight="1" x14ac:dyDescent="0.2">
      <c r="A2677" s="681" t="s">
        <v>2372</v>
      </c>
      <c r="B2677" s="693" t="s">
        <v>5245</v>
      </c>
      <c r="C2677" s="672" t="s">
        <v>1007</v>
      </c>
      <c r="D2677" s="673">
        <v>36211</v>
      </c>
      <c r="E2677" s="674">
        <v>10</v>
      </c>
      <c r="F2677" s="675">
        <v>0.1</v>
      </c>
      <c r="G2677" s="676">
        <v>7999</v>
      </c>
      <c r="H2677" s="929">
        <v>0</v>
      </c>
      <c r="I2677" s="929">
        <v>7998</v>
      </c>
      <c r="J2677" s="689">
        <f t="shared" si="42"/>
        <v>1</v>
      </c>
    </row>
    <row r="2678" spans="1:10" ht="12.75" customHeight="1" x14ac:dyDescent="0.2">
      <c r="A2678" s="681" t="s">
        <v>2372</v>
      </c>
      <c r="B2678" s="693" t="s">
        <v>5246</v>
      </c>
      <c r="C2678" s="672" t="s">
        <v>1007</v>
      </c>
      <c r="D2678" s="673">
        <v>36211</v>
      </c>
      <c r="E2678" s="674">
        <v>10</v>
      </c>
      <c r="F2678" s="675">
        <v>0.1</v>
      </c>
      <c r="G2678" s="676">
        <v>8000</v>
      </c>
      <c r="H2678" s="929">
        <v>0</v>
      </c>
      <c r="I2678" s="929">
        <v>7999</v>
      </c>
      <c r="J2678" s="689">
        <f t="shared" si="42"/>
        <v>1</v>
      </c>
    </row>
    <row r="2679" spans="1:10" ht="12.75" customHeight="1" x14ac:dyDescent="0.2">
      <c r="A2679" s="681" t="s">
        <v>2372</v>
      </c>
      <c r="B2679" s="693" t="s">
        <v>5247</v>
      </c>
      <c r="C2679" s="672" t="s">
        <v>1007</v>
      </c>
      <c r="D2679" s="673">
        <v>37307</v>
      </c>
      <c r="E2679" s="674">
        <v>10</v>
      </c>
      <c r="F2679" s="675">
        <v>0.1</v>
      </c>
      <c r="G2679" s="676">
        <v>8033</v>
      </c>
      <c r="H2679" s="929">
        <v>0</v>
      </c>
      <c r="I2679" s="929">
        <v>8032</v>
      </c>
      <c r="J2679" s="689">
        <f t="shared" si="42"/>
        <v>1</v>
      </c>
    </row>
    <row r="2680" spans="1:10" ht="12.75" customHeight="1" x14ac:dyDescent="0.2">
      <c r="A2680" s="681" t="s">
        <v>2370</v>
      </c>
      <c r="B2680" s="693" t="s">
        <v>5248</v>
      </c>
      <c r="C2680" s="672" t="s">
        <v>787</v>
      </c>
      <c r="D2680" s="673">
        <v>36576</v>
      </c>
      <c r="E2680" s="674">
        <v>10</v>
      </c>
      <c r="F2680" s="675">
        <v>0.1</v>
      </c>
      <c r="G2680" s="676">
        <v>8050</v>
      </c>
      <c r="H2680" s="929">
        <v>0</v>
      </c>
      <c r="I2680" s="929">
        <v>8049</v>
      </c>
      <c r="J2680" s="689">
        <f t="shared" si="42"/>
        <v>1</v>
      </c>
    </row>
    <row r="2681" spans="1:10" ht="12.75" customHeight="1" x14ac:dyDescent="0.2">
      <c r="A2681" s="681" t="s">
        <v>2372</v>
      </c>
      <c r="B2681" s="693" t="s">
        <v>5249</v>
      </c>
      <c r="C2681" s="672" t="s">
        <v>895</v>
      </c>
      <c r="D2681" s="673">
        <v>38768</v>
      </c>
      <c r="E2681" s="674">
        <v>3</v>
      </c>
      <c r="F2681" s="675">
        <v>0.33</v>
      </c>
      <c r="G2681" s="676">
        <v>8050</v>
      </c>
      <c r="H2681" s="929">
        <v>0</v>
      </c>
      <c r="I2681" s="929">
        <v>8049</v>
      </c>
      <c r="J2681" s="689">
        <f t="shared" si="42"/>
        <v>1</v>
      </c>
    </row>
    <row r="2682" spans="1:10" ht="12.75" customHeight="1" x14ac:dyDescent="0.2">
      <c r="A2682" s="681" t="s">
        <v>2370</v>
      </c>
      <c r="B2682" s="693" t="s">
        <v>5250</v>
      </c>
      <c r="C2682" s="672" t="s">
        <v>787</v>
      </c>
      <c r="D2682" s="673">
        <v>36576</v>
      </c>
      <c r="E2682" s="674">
        <v>10</v>
      </c>
      <c r="F2682" s="675">
        <v>0.1</v>
      </c>
      <c r="G2682" s="676">
        <v>8057</v>
      </c>
      <c r="H2682" s="929">
        <v>0</v>
      </c>
      <c r="I2682" s="929">
        <v>8056</v>
      </c>
      <c r="J2682" s="689">
        <f t="shared" si="42"/>
        <v>1</v>
      </c>
    </row>
    <row r="2683" spans="1:10" ht="12.75" customHeight="1" x14ac:dyDescent="0.2">
      <c r="A2683" s="681" t="s">
        <v>2370</v>
      </c>
      <c r="B2683" s="693" t="s">
        <v>5251</v>
      </c>
      <c r="C2683" s="672" t="s">
        <v>894</v>
      </c>
      <c r="D2683" s="673">
        <v>36576</v>
      </c>
      <c r="E2683" s="674">
        <v>3</v>
      </c>
      <c r="F2683" s="675">
        <v>0.33</v>
      </c>
      <c r="G2683" s="676">
        <v>8210</v>
      </c>
      <c r="H2683" s="929">
        <v>0</v>
      </c>
      <c r="I2683" s="929">
        <v>8209</v>
      </c>
      <c r="J2683" s="689">
        <f t="shared" si="42"/>
        <v>1</v>
      </c>
    </row>
    <row r="2684" spans="1:10" ht="12.75" customHeight="1" x14ac:dyDescent="0.2">
      <c r="A2684" s="681" t="s">
        <v>2372</v>
      </c>
      <c r="B2684" s="693" t="s">
        <v>5252</v>
      </c>
      <c r="C2684" s="672" t="s">
        <v>1023</v>
      </c>
      <c r="D2684" s="673">
        <v>39498</v>
      </c>
      <c r="E2684" s="674">
        <v>10</v>
      </c>
      <c r="F2684" s="675">
        <v>0.1</v>
      </c>
      <c r="G2684" s="676">
        <v>8257</v>
      </c>
      <c r="H2684" s="929">
        <v>0</v>
      </c>
      <c r="I2684" s="929">
        <v>8256</v>
      </c>
      <c r="J2684" s="689">
        <f t="shared" si="42"/>
        <v>1</v>
      </c>
    </row>
    <row r="2685" spans="1:10" ht="12.75" customHeight="1" x14ac:dyDescent="0.2">
      <c r="A2685" s="681" t="s">
        <v>2370</v>
      </c>
      <c r="B2685" s="693" t="s">
        <v>5253</v>
      </c>
      <c r="C2685" s="672" t="s">
        <v>894</v>
      </c>
      <c r="D2685" s="673">
        <v>37307</v>
      </c>
      <c r="E2685" s="674">
        <v>3</v>
      </c>
      <c r="F2685" s="675">
        <v>0.33</v>
      </c>
      <c r="G2685" s="676">
        <v>8665</v>
      </c>
      <c r="H2685" s="929">
        <v>0</v>
      </c>
      <c r="I2685" s="929">
        <v>8664</v>
      </c>
      <c r="J2685" s="689">
        <f t="shared" si="42"/>
        <v>1</v>
      </c>
    </row>
    <row r="2686" spans="1:10" ht="12.75" customHeight="1" x14ac:dyDescent="0.2">
      <c r="A2686" s="681" t="s">
        <v>2370</v>
      </c>
      <c r="B2686" s="693" t="s">
        <v>5254</v>
      </c>
      <c r="C2686" s="672" t="s">
        <v>791</v>
      </c>
      <c r="D2686" s="673">
        <v>36211</v>
      </c>
      <c r="E2686" s="674">
        <v>10</v>
      </c>
      <c r="F2686" s="675">
        <v>0.1</v>
      </c>
      <c r="G2686" s="676">
        <v>9200</v>
      </c>
      <c r="H2686" s="929">
        <v>0</v>
      </c>
      <c r="I2686" s="929">
        <v>9199</v>
      </c>
      <c r="J2686" s="689">
        <f t="shared" si="42"/>
        <v>1</v>
      </c>
    </row>
    <row r="2687" spans="1:10" ht="12.75" customHeight="1" x14ac:dyDescent="0.2">
      <c r="A2687" s="681" t="s">
        <v>2370</v>
      </c>
      <c r="B2687" s="693" t="s">
        <v>5255</v>
      </c>
      <c r="C2687" s="672" t="s">
        <v>892</v>
      </c>
      <c r="D2687" s="673">
        <v>39133</v>
      </c>
      <c r="E2687" s="674">
        <v>3</v>
      </c>
      <c r="F2687" s="675">
        <v>0.33</v>
      </c>
      <c r="G2687" s="676">
        <v>9294</v>
      </c>
      <c r="H2687" s="929">
        <v>0</v>
      </c>
      <c r="I2687" s="929">
        <v>9293</v>
      </c>
      <c r="J2687" s="689">
        <f t="shared" si="42"/>
        <v>1</v>
      </c>
    </row>
    <row r="2688" spans="1:10" ht="12.75" customHeight="1" x14ac:dyDescent="0.2">
      <c r="A2688" s="681" t="s">
        <v>2372</v>
      </c>
      <c r="B2688" s="693" t="s">
        <v>5256</v>
      </c>
      <c r="C2688" s="672" t="s">
        <v>1043</v>
      </c>
      <c r="D2688" s="673">
        <v>39864</v>
      </c>
      <c r="E2688" s="674">
        <v>10</v>
      </c>
      <c r="F2688" s="675">
        <v>0.1</v>
      </c>
      <c r="G2688" s="676">
        <v>9601</v>
      </c>
      <c r="H2688" s="929">
        <v>0</v>
      </c>
      <c r="I2688" s="929">
        <v>9600</v>
      </c>
      <c r="J2688" s="689">
        <f t="shared" si="42"/>
        <v>1</v>
      </c>
    </row>
    <row r="2689" spans="1:10" ht="12.75" customHeight="1" x14ac:dyDescent="0.2">
      <c r="A2689" s="681" t="s">
        <v>2370</v>
      </c>
      <c r="B2689" s="693" t="s">
        <v>5257</v>
      </c>
      <c r="C2689" s="672" t="s">
        <v>787</v>
      </c>
      <c r="D2689" s="673">
        <v>36211</v>
      </c>
      <c r="E2689" s="674">
        <v>10</v>
      </c>
      <c r="F2689" s="675">
        <v>0.1</v>
      </c>
      <c r="G2689" s="676">
        <v>9699</v>
      </c>
      <c r="H2689" s="929">
        <v>0</v>
      </c>
      <c r="I2689" s="929">
        <v>9698</v>
      </c>
      <c r="J2689" s="689">
        <f t="shared" si="42"/>
        <v>1</v>
      </c>
    </row>
    <row r="2690" spans="1:10" ht="12.75" customHeight="1" x14ac:dyDescent="0.2">
      <c r="A2690" s="681" t="s">
        <v>2372</v>
      </c>
      <c r="B2690" s="693" t="s">
        <v>5258</v>
      </c>
      <c r="C2690" s="672" t="s">
        <v>1037</v>
      </c>
      <c r="D2690" s="673">
        <v>39133</v>
      </c>
      <c r="E2690" s="674">
        <v>3</v>
      </c>
      <c r="F2690" s="675">
        <v>0.33</v>
      </c>
      <c r="G2690" s="676">
        <v>9890</v>
      </c>
      <c r="H2690" s="929">
        <v>0</v>
      </c>
      <c r="I2690" s="929">
        <v>9889</v>
      </c>
      <c r="J2690" s="689">
        <f t="shared" si="42"/>
        <v>1</v>
      </c>
    </row>
    <row r="2691" spans="1:10" ht="12.75" customHeight="1" x14ac:dyDescent="0.2">
      <c r="A2691" s="681" t="s">
        <v>2370</v>
      </c>
      <c r="B2691" s="693" t="s">
        <v>5259</v>
      </c>
      <c r="C2691" s="672" t="s">
        <v>891</v>
      </c>
      <c r="D2691" s="673">
        <v>39498</v>
      </c>
      <c r="E2691" s="674">
        <v>3</v>
      </c>
      <c r="F2691" s="675">
        <v>0.33</v>
      </c>
      <c r="G2691" s="676">
        <v>10448</v>
      </c>
      <c r="H2691" s="929">
        <v>0</v>
      </c>
      <c r="I2691" s="929">
        <v>10447</v>
      </c>
      <c r="J2691" s="689">
        <f t="shared" si="42"/>
        <v>1</v>
      </c>
    </row>
    <row r="2692" spans="1:10" ht="12.75" customHeight="1" x14ac:dyDescent="0.2">
      <c r="A2692" s="681" t="s">
        <v>2370</v>
      </c>
      <c r="B2692" s="693" t="s">
        <v>5260</v>
      </c>
      <c r="C2692" s="672" t="s">
        <v>892</v>
      </c>
      <c r="D2692" s="673">
        <v>40594</v>
      </c>
      <c r="E2692" s="674">
        <v>3</v>
      </c>
      <c r="F2692" s="675">
        <v>0.33</v>
      </c>
      <c r="G2692" s="676">
        <v>10579</v>
      </c>
      <c r="H2692" s="929">
        <v>0</v>
      </c>
      <c r="I2692" s="929">
        <v>10578</v>
      </c>
      <c r="J2692" s="689">
        <f t="shared" si="42"/>
        <v>1</v>
      </c>
    </row>
    <row r="2693" spans="1:10" ht="12.75" customHeight="1" x14ac:dyDescent="0.2">
      <c r="A2693" s="681" t="s">
        <v>2370</v>
      </c>
      <c r="B2693" s="693" t="s">
        <v>5261</v>
      </c>
      <c r="C2693" s="672" t="s">
        <v>892</v>
      </c>
      <c r="D2693" s="673">
        <v>40594</v>
      </c>
      <c r="E2693" s="674">
        <v>3</v>
      </c>
      <c r="F2693" s="675">
        <v>0.33</v>
      </c>
      <c r="G2693" s="676">
        <v>10579</v>
      </c>
      <c r="H2693" s="929">
        <v>0</v>
      </c>
      <c r="I2693" s="929">
        <v>10578</v>
      </c>
      <c r="J2693" s="689">
        <f t="shared" si="42"/>
        <v>1</v>
      </c>
    </row>
    <row r="2694" spans="1:10" ht="12.75" customHeight="1" x14ac:dyDescent="0.2">
      <c r="A2694" s="681" t="s">
        <v>2370</v>
      </c>
      <c r="B2694" s="693" t="s">
        <v>5262</v>
      </c>
      <c r="C2694" s="672" t="s">
        <v>892</v>
      </c>
      <c r="D2694" s="673">
        <v>40594</v>
      </c>
      <c r="E2694" s="674">
        <v>3</v>
      </c>
      <c r="F2694" s="675">
        <v>0.33</v>
      </c>
      <c r="G2694" s="676">
        <v>10579</v>
      </c>
      <c r="H2694" s="929">
        <v>0</v>
      </c>
      <c r="I2694" s="929">
        <v>10578</v>
      </c>
      <c r="J2694" s="689">
        <f t="shared" si="42"/>
        <v>1</v>
      </c>
    </row>
    <row r="2695" spans="1:10" ht="12.75" customHeight="1" x14ac:dyDescent="0.2">
      <c r="A2695" s="681" t="s">
        <v>2370</v>
      </c>
      <c r="B2695" s="693" t="s">
        <v>5263</v>
      </c>
      <c r="C2695" s="672" t="s">
        <v>892</v>
      </c>
      <c r="D2695" s="673">
        <v>40594</v>
      </c>
      <c r="E2695" s="674">
        <v>3</v>
      </c>
      <c r="F2695" s="675">
        <v>0.33</v>
      </c>
      <c r="G2695" s="676">
        <v>10579</v>
      </c>
      <c r="H2695" s="929">
        <v>0</v>
      </c>
      <c r="I2695" s="929">
        <v>10578</v>
      </c>
      <c r="J2695" s="689">
        <f t="shared" ref="J2695:J2758" si="43">G2695-I2695</f>
        <v>1</v>
      </c>
    </row>
    <row r="2696" spans="1:10" ht="12.75" customHeight="1" x14ac:dyDescent="0.2">
      <c r="A2696" s="681" t="s">
        <v>2370</v>
      </c>
      <c r="B2696" s="693" t="s">
        <v>5264</v>
      </c>
      <c r="C2696" s="672" t="s">
        <v>892</v>
      </c>
      <c r="D2696" s="673">
        <v>38403</v>
      </c>
      <c r="E2696" s="674">
        <v>3</v>
      </c>
      <c r="F2696" s="675">
        <v>0.33</v>
      </c>
      <c r="G2696" s="676">
        <v>10856</v>
      </c>
      <c r="H2696" s="929">
        <v>0</v>
      </c>
      <c r="I2696" s="929">
        <v>10855</v>
      </c>
      <c r="J2696" s="689">
        <f t="shared" si="43"/>
        <v>1</v>
      </c>
    </row>
    <row r="2697" spans="1:10" ht="12.75" customHeight="1" x14ac:dyDescent="0.2">
      <c r="A2697" s="681" t="s">
        <v>2370</v>
      </c>
      <c r="B2697" s="693" t="s">
        <v>5265</v>
      </c>
      <c r="C2697" s="672" t="s">
        <v>790</v>
      </c>
      <c r="D2697" s="673">
        <v>37307</v>
      </c>
      <c r="E2697" s="674">
        <v>10</v>
      </c>
      <c r="F2697" s="675">
        <v>0.1</v>
      </c>
      <c r="G2697" s="676">
        <v>11169</v>
      </c>
      <c r="H2697" s="929">
        <v>0</v>
      </c>
      <c r="I2697" s="929">
        <v>11168</v>
      </c>
      <c r="J2697" s="689">
        <f t="shared" si="43"/>
        <v>1</v>
      </c>
    </row>
    <row r="2698" spans="1:10" ht="12.75" customHeight="1" x14ac:dyDescent="0.2">
      <c r="A2698" s="681" t="s">
        <v>2370</v>
      </c>
      <c r="B2698" s="693" t="s">
        <v>5266</v>
      </c>
      <c r="C2698" s="672" t="s">
        <v>894</v>
      </c>
      <c r="D2698" s="673">
        <v>37307</v>
      </c>
      <c r="E2698" s="674">
        <v>3</v>
      </c>
      <c r="F2698" s="675">
        <v>0.33</v>
      </c>
      <c r="G2698" s="676">
        <v>11179</v>
      </c>
      <c r="H2698" s="929">
        <v>0</v>
      </c>
      <c r="I2698" s="929">
        <v>11178</v>
      </c>
      <c r="J2698" s="689">
        <f t="shared" si="43"/>
        <v>1</v>
      </c>
    </row>
    <row r="2699" spans="1:10" ht="12.75" customHeight="1" x14ac:dyDescent="0.2">
      <c r="A2699" s="681" t="s">
        <v>2370</v>
      </c>
      <c r="B2699" s="693" t="s">
        <v>5267</v>
      </c>
      <c r="C2699" s="672" t="s">
        <v>894</v>
      </c>
      <c r="D2699" s="673">
        <v>37307</v>
      </c>
      <c r="E2699" s="674">
        <v>3</v>
      </c>
      <c r="F2699" s="675">
        <v>0.33</v>
      </c>
      <c r="G2699" s="676">
        <v>11179</v>
      </c>
      <c r="H2699" s="929">
        <v>0</v>
      </c>
      <c r="I2699" s="929">
        <v>11178</v>
      </c>
      <c r="J2699" s="689">
        <f t="shared" si="43"/>
        <v>1</v>
      </c>
    </row>
    <row r="2700" spans="1:10" ht="12.75" customHeight="1" x14ac:dyDescent="0.2">
      <c r="A2700" s="681" t="s">
        <v>2370</v>
      </c>
      <c r="B2700" s="693" t="s">
        <v>5268</v>
      </c>
      <c r="C2700" s="672" t="s">
        <v>894</v>
      </c>
      <c r="D2700" s="673">
        <v>39498</v>
      </c>
      <c r="E2700" s="674">
        <v>3</v>
      </c>
      <c r="F2700" s="675">
        <v>0.33</v>
      </c>
      <c r="G2700" s="676">
        <v>11179</v>
      </c>
      <c r="H2700" s="929">
        <v>0</v>
      </c>
      <c r="I2700" s="929">
        <v>11178</v>
      </c>
      <c r="J2700" s="689">
        <f t="shared" si="43"/>
        <v>1</v>
      </c>
    </row>
    <row r="2701" spans="1:10" ht="12.75" customHeight="1" x14ac:dyDescent="0.2">
      <c r="A2701" s="681" t="s">
        <v>2370</v>
      </c>
      <c r="B2701" s="693" t="s">
        <v>5269</v>
      </c>
      <c r="C2701" s="672" t="s">
        <v>894</v>
      </c>
      <c r="D2701" s="673">
        <v>39498</v>
      </c>
      <c r="E2701" s="674">
        <v>3</v>
      </c>
      <c r="F2701" s="675">
        <v>0.33</v>
      </c>
      <c r="G2701" s="676">
        <v>11179</v>
      </c>
      <c r="H2701" s="929">
        <v>0</v>
      </c>
      <c r="I2701" s="929">
        <v>11178</v>
      </c>
      <c r="J2701" s="689">
        <f t="shared" si="43"/>
        <v>1</v>
      </c>
    </row>
    <row r="2702" spans="1:10" ht="12.75" customHeight="1" x14ac:dyDescent="0.2">
      <c r="A2702" s="681" t="s">
        <v>2370</v>
      </c>
      <c r="B2702" s="693" t="s">
        <v>5270</v>
      </c>
      <c r="C2702" s="672" t="s">
        <v>894</v>
      </c>
      <c r="D2702" s="673">
        <v>37307</v>
      </c>
      <c r="E2702" s="674">
        <v>3</v>
      </c>
      <c r="F2702" s="675">
        <v>0.33</v>
      </c>
      <c r="G2702" s="676">
        <v>11179</v>
      </c>
      <c r="H2702" s="929">
        <v>0</v>
      </c>
      <c r="I2702" s="929">
        <v>11178</v>
      </c>
      <c r="J2702" s="689">
        <f t="shared" si="43"/>
        <v>1</v>
      </c>
    </row>
    <row r="2703" spans="1:10" ht="12.75" customHeight="1" x14ac:dyDescent="0.2">
      <c r="A2703" s="681" t="s">
        <v>2370</v>
      </c>
      <c r="B2703" s="693" t="s">
        <v>5271</v>
      </c>
      <c r="C2703" s="672" t="s">
        <v>894</v>
      </c>
      <c r="D2703" s="673">
        <v>39498</v>
      </c>
      <c r="E2703" s="674">
        <v>3</v>
      </c>
      <c r="F2703" s="675">
        <v>0.33</v>
      </c>
      <c r="G2703" s="676">
        <v>11179</v>
      </c>
      <c r="H2703" s="929">
        <v>0</v>
      </c>
      <c r="I2703" s="929">
        <v>11178</v>
      </c>
      <c r="J2703" s="689">
        <f t="shared" si="43"/>
        <v>1</v>
      </c>
    </row>
    <row r="2704" spans="1:10" ht="12.75" customHeight="1" x14ac:dyDescent="0.2">
      <c r="A2704" s="681" t="s">
        <v>2370</v>
      </c>
      <c r="B2704" s="693" t="s">
        <v>5272</v>
      </c>
      <c r="C2704" s="672" t="s">
        <v>894</v>
      </c>
      <c r="D2704" s="673">
        <v>39498</v>
      </c>
      <c r="E2704" s="674">
        <v>3</v>
      </c>
      <c r="F2704" s="675">
        <v>0.33</v>
      </c>
      <c r="G2704" s="676">
        <v>11179</v>
      </c>
      <c r="H2704" s="929">
        <v>0</v>
      </c>
      <c r="I2704" s="929">
        <v>11178</v>
      </c>
      <c r="J2704" s="689">
        <f t="shared" si="43"/>
        <v>1</v>
      </c>
    </row>
    <row r="2705" spans="1:10" ht="12.75" customHeight="1" x14ac:dyDescent="0.2">
      <c r="A2705" s="681" t="s">
        <v>2370</v>
      </c>
      <c r="B2705" s="693" t="s">
        <v>5273</v>
      </c>
      <c r="C2705" s="672" t="s">
        <v>894</v>
      </c>
      <c r="D2705" s="673">
        <v>39498</v>
      </c>
      <c r="E2705" s="674">
        <v>3</v>
      </c>
      <c r="F2705" s="675">
        <v>0.33</v>
      </c>
      <c r="G2705" s="676">
        <v>11179</v>
      </c>
      <c r="H2705" s="929">
        <v>0</v>
      </c>
      <c r="I2705" s="929">
        <v>11178</v>
      </c>
      <c r="J2705" s="689">
        <f t="shared" si="43"/>
        <v>1</v>
      </c>
    </row>
    <row r="2706" spans="1:10" ht="12.75" customHeight="1" x14ac:dyDescent="0.2">
      <c r="A2706" s="681" t="s">
        <v>2370</v>
      </c>
      <c r="B2706" s="693" t="s">
        <v>5274</v>
      </c>
      <c r="C2706" s="672" t="s">
        <v>894</v>
      </c>
      <c r="D2706" s="673">
        <v>39498</v>
      </c>
      <c r="E2706" s="674">
        <v>3</v>
      </c>
      <c r="F2706" s="675">
        <v>0.33</v>
      </c>
      <c r="G2706" s="676">
        <v>11179</v>
      </c>
      <c r="H2706" s="929">
        <v>0</v>
      </c>
      <c r="I2706" s="929">
        <v>11178</v>
      </c>
      <c r="J2706" s="689">
        <f t="shared" si="43"/>
        <v>1</v>
      </c>
    </row>
    <row r="2707" spans="1:10" ht="12.75" customHeight="1" x14ac:dyDescent="0.2">
      <c r="A2707" s="681" t="s">
        <v>2370</v>
      </c>
      <c r="B2707" s="693" t="s">
        <v>5275</v>
      </c>
      <c r="C2707" s="672" t="s">
        <v>894</v>
      </c>
      <c r="D2707" s="673">
        <v>39498</v>
      </c>
      <c r="E2707" s="674">
        <v>3</v>
      </c>
      <c r="F2707" s="675">
        <v>0.33</v>
      </c>
      <c r="G2707" s="676">
        <v>11179</v>
      </c>
      <c r="H2707" s="929">
        <v>0</v>
      </c>
      <c r="I2707" s="929">
        <v>11178</v>
      </c>
      <c r="J2707" s="689">
        <f t="shared" si="43"/>
        <v>1</v>
      </c>
    </row>
    <row r="2708" spans="1:10" ht="12.75" customHeight="1" x14ac:dyDescent="0.2">
      <c r="A2708" s="681" t="s">
        <v>2370</v>
      </c>
      <c r="B2708" s="693" t="s">
        <v>5276</v>
      </c>
      <c r="C2708" s="672" t="s">
        <v>894</v>
      </c>
      <c r="D2708" s="673">
        <v>39864</v>
      </c>
      <c r="E2708" s="674">
        <v>3</v>
      </c>
      <c r="F2708" s="675">
        <v>0.33</v>
      </c>
      <c r="G2708" s="676">
        <v>11286</v>
      </c>
      <c r="H2708" s="929">
        <v>0</v>
      </c>
      <c r="I2708" s="929">
        <v>11285</v>
      </c>
      <c r="J2708" s="689">
        <f t="shared" si="43"/>
        <v>1</v>
      </c>
    </row>
    <row r="2709" spans="1:10" ht="12.75" customHeight="1" x14ac:dyDescent="0.2">
      <c r="A2709" s="681" t="s">
        <v>2372</v>
      </c>
      <c r="B2709" s="693" t="s">
        <v>5277</v>
      </c>
      <c r="C2709" s="672" t="s">
        <v>1020</v>
      </c>
      <c r="D2709" s="673">
        <v>39498</v>
      </c>
      <c r="E2709" s="674">
        <v>3</v>
      </c>
      <c r="F2709" s="675">
        <v>0.33</v>
      </c>
      <c r="G2709" s="676">
        <v>11816</v>
      </c>
      <c r="H2709" s="929">
        <v>0</v>
      </c>
      <c r="I2709" s="929">
        <v>11815</v>
      </c>
      <c r="J2709" s="689">
        <f t="shared" si="43"/>
        <v>1</v>
      </c>
    </row>
    <row r="2710" spans="1:10" ht="12.75" customHeight="1" x14ac:dyDescent="0.2">
      <c r="A2710" s="681" t="s">
        <v>2372</v>
      </c>
      <c r="B2710" s="693" t="s">
        <v>5278</v>
      </c>
      <c r="C2710" s="672" t="s">
        <v>1020</v>
      </c>
      <c r="D2710" s="673">
        <v>39498</v>
      </c>
      <c r="E2710" s="674">
        <v>3</v>
      </c>
      <c r="F2710" s="675">
        <v>0.33</v>
      </c>
      <c r="G2710" s="676">
        <v>11816</v>
      </c>
      <c r="H2710" s="929">
        <v>0</v>
      </c>
      <c r="I2710" s="929">
        <v>11815</v>
      </c>
      <c r="J2710" s="689">
        <f t="shared" si="43"/>
        <v>1</v>
      </c>
    </row>
    <row r="2711" spans="1:10" ht="12.75" customHeight="1" x14ac:dyDescent="0.2">
      <c r="A2711" s="681" t="s">
        <v>2370</v>
      </c>
      <c r="B2711" s="693" t="s">
        <v>5279</v>
      </c>
      <c r="C2711" s="672" t="s">
        <v>893</v>
      </c>
      <c r="D2711" s="673">
        <v>37307</v>
      </c>
      <c r="E2711" s="674">
        <v>3</v>
      </c>
      <c r="F2711" s="675">
        <v>0.33</v>
      </c>
      <c r="G2711" s="676">
        <v>11980</v>
      </c>
      <c r="H2711" s="929">
        <v>0</v>
      </c>
      <c r="I2711" s="929">
        <v>11979</v>
      </c>
      <c r="J2711" s="689">
        <f t="shared" si="43"/>
        <v>1</v>
      </c>
    </row>
    <row r="2712" spans="1:10" ht="12.75" customHeight="1" x14ac:dyDescent="0.2">
      <c r="A2712" s="681" t="s">
        <v>2372</v>
      </c>
      <c r="B2712" s="693" t="s">
        <v>5280</v>
      </c>
      <c r="C2712" s="672" t="s">
        <v>1007</v>
      </c>
      <c r="D2712" s="673">
        <v>33289</v>
      </c>
      <c r="E2712" s="674">
        <v>10</v>
      </c>
      <c r="F2712" s="675">
        <v>0.1</v>
      </c>
      <c r="G2712" s="676">
        <v>12189</v>
      </c>
      <c r="H2712" s="929">
        <v>0</v>
      </c>
      <c r="I2712" s="929">
        <v>12188</v>
      </c>
      <c r="J2712" s="689">
        <f t="shared" si="43"/>
        <v>1</v>
      </c>
    </row>
    <row r="2713" spans="1:10" ht="12.75" customHeight="1" x14ac:dyDescent="0.2">
      <c r="A2713" s="681" t="s">
        <v>2370</v>
      </c>
      <c r="B2713" s="693" t="s">
        <v>5281</v>
      </c>
      <c r="C2713" s="672" t="s">
        <v>910</v>
      </c>
      <c r="D2713" s="673">
        <v>39498</v>
      </c>
      <c r="E2713" s="674">
        <v>3</v>
      </c>
      <c r="F2713" s="675">
        <v>0.33</v>
      </c>
      <c r="G2713" s="676">
        <v>12419</v>
      </c>
      <c r="H2713" s="929">
        <v>0</v>
      </c>
      <c r="I2713" s="929">
        <v>12418</v>
      </c>
      <c r="J2713" s="689">
        <f t="shared" si="43"/>
        <v>1</v>
      </c>
    </row>
    <row r="2714" spans="1:10" ht="12.75" customHeight="1" x14ac:dyDescent="0.2">
      <c r="A2714" s="681" t="s">
        <v>2370</v>
      </c>
      <c r="B2714" s="693" t="s">
        <v>5282</v>
      </c>
      <c r="C2714" s="672" t="s">
        <v>910</v>
      </c>
      <c r="D2714" s="673">
        <v>39498</v>
      </c>
      <c r="E2714" s="674">
        <v>3</v>
      </c>
      <c r="F2714" s="675">
        <v>0.33</v>
      </c>
      <c r="G2714" s="676">
        <v>12419</v>
      </c>
      <c r="H2714" s="929">
        <v>0</v>
      </c>
      <c r="I2714" s="929">
        <v>12418</v>
      </c>
      <c r="J2714" s="689">
        <f t="shared" si="43"/>
        <v>1</v>
      </c>
    </row>
    <row r="2715" spans="1:10" ht="12.75" customHeight="1" x14ac:dyDescent="0.2">
      <c r="A2715" s="681" t="s">
        <v>2370</v>
      </c>
      <c r="B2715" s="693" t="s">
        <v>5283</v>
      </c>
      <c r="C2715" s="672" t="s">
        <v>894</v>
      </c>
      <c r="D2715" s="673">
        <v>37672</v>
      </c>
      <c r="E2715" s="674">
        <v>3</v>
      </c>
      <c r="F2715" s="675">
        <v>0.33</v>
      </c>
      <c r="G2715" s="676">
        <v>12667</v>
      </c>
      <c r="H2715" s="929">
        <v>0</v>
      </c>
      <c r="I2715" s="929">
        <v>12666</v>
      </c>
      <c r="J2715" s="689">
        <f t="shared" si="43"/>
        <v>1</v>
      </c>
    </row>
    <row r="2716" spans="1:10" ht="12.75" customHeight="1" x14ac:dyDescent="0.2">
      <c r="A2716" s="681" t="s">
        <v>2370</v>
      </c>
      <c r="B2716" s="693" t="s">
        <v>5284</v>
      </c>
      <c r="C2716" s="672" t="s">
        <v>894</v>
      </c>
      <c r="D2716" s="673">
        <v>37672</v>
      </c>
      <c r="E2716" s="674">
        <v>3</v>
      </c>
      <c r="F2716" s="675">
        <v>0.33</v>
      </c>
      <c r="G2716" s="676">
        <v>12667</v>
      </c>
      <c r="H2716" s="929">
        <v>0</v>
      </c>
      <c r="I2716" s="929">
        <v>12666</v>
      </c>
      <c r="J2716" s="689">
        <f t="shared" si="43"/>
        <v>1</v>
      </c>
    </row>
    <row r="2717" spans="1:10" ht="12.75" customHeight="1" x14ac:dyDescent="0.2">
      <c r="A2717" s="681" t="s">
        <v>2370</v>
      </c>
      <c r="B2717" s="693" t="s">
        <v>5285</v>
      </c>
      <c r="C2717" s="672" t="s">
        <v>790</v>
      </c>
      <c r="D2717" s="673">
        <v>37307</v>
      </c>
      <c r="E2717" s="674">
        <v>10</v>
      </c>
      <c r="F2717" s="675">
        <v>0.1</v>
      </c>
      <c r="G2717" s="676">
        <v>13190</v>
      </c>
      <c r="H2717" s="929">
        <v>0</v>
      </c>
      <c r="I2717" s="929">
        <v>13189</v>
      </c>
      <c r="J2717" s="689">
        <f t="shared" si="43"/>
        <v>1</v>
      </c>
    </row>
    <row r="2718" spans="1:10" ht="12.75" customHeight="1" x14ac:dyDescent="0.2">
      <c r="A2718" s="681" t="s">
        <v>2370</v>
      </c>
      <c r="B2718" s="693" t="s">
        <v>5286</v>
      </c>
      <c r="C2718" s="672" t="s">
        <v>910</v>
      </c>
      <c r="D2718" s="673">
        <v>39498</v>
      </c>
      <c r="E2718" s="674">
        <v>3</v>
      </c>
      <c r="F2718" s="675">
        <v>0.33</v>
      </c>
      <c r="G2718" s="676">
        <v>13400</v>
      </c>
      <c r="H2718" s="929">
        <v>0</v>
      </c>
      <c r="I2718" s="929">
        <v>13399</v>
      </c>
      <c r="J2718" s="689">
        <f t="shared" si="43"/>
        <v>1</v>
      </c>
    </row>
    <row r="2719" spans="1:10" ht="12.75" customHeight="1" x14ac:dyDescent="0.2">
      <c r="A2719" s="681" t="s">
        <v>2370</v>
      </c>
      <c r="B2719" s="693" t="s">
        <v>5287</v>
      </c>
      <c r="C2719" s="672" t="s">
        <v>894</v>
      </c>
      <c r="D2719" s="673">
        <v>39498</v>
      </c>
      <c r="E2719" s="674">
        <v>3</v>
      </c>
      <c r="F2719" s="675">
        <v>0.33</v>
      </c>
      <c r="G2719" s="676">
        <v>13566.55</v>
      </c>
      <c r="H2719" s="929">
        <v>0</v>
      </c>
      <c r="I2719" s="929">
        <v>13565.55</v>
      </c>
      <c r="J2719" s="689">
        <f t="shared" si="43"/>
        <v>1</v>
      </c>
    </row>
    <row r="2720" spans="1:10" ht="12.75" customHeight="1" x14ac:dyDescent="0.2">
      <c r="A2720" s="681" t="s">
        <v>2372</v>
      </c>
      <c r="B2720" s="693" t="s">
        <v>5288</v>
      </c>
      <c r="C2720" s="672" t="s">
        <v>895</v>
      </c>
      <c r="D2720" s="673">
        <v>36576</v>
      </c>
      <c r="E2720" s="674">
        <v>3</v>
      </c>
      <c r="F2720" s="675">
        <v>0.33</v>
      </c>
      <c r="G2720" s="676">
        <v>14145</v>
      </c>
      <c r="H2720" s="929">
        <v>0</v>
      </c>
      <c r="I2720" s="929">
        <v>14144</v>
      </c>
      <c r="J2720" s="689">
        <f t="shared" si="43"/>
        <v>1</v>
      </c>
    </row>
    <row r="2721" spans="1:10" ht="12.75" customHeight="1" x14ac:dyDescent="0.2">
      <c r="A2721" s="681" t="s">
        <v>2372</v>
      </c>
      <c r="B2721" s="693" t="s">
        <v>5289</v>
      </c>
      <c r="C2721" s="672" t="s">
        <v>895</v>
      </c>
      <c r="D2721" s="673">
        <v>38768</v>
      </c>
      <c r="E2721" s="674">
        <v>3</v>
      </c>
      <c r="F2721" s="675">
        <v>0.33</v>
      </c>
      <c r="G2721" s="676">
        <v>14356</v>
      </c>
      <c r="H2721" s="929">
        <v>0</v>
      </c>
      <c r="I2721" s="929">
        <v>14355</v>
      </c>
      <c r="J2721" s="689">
        <f t="shared" si="43"/>
        <v>1</v>
      </c>
    </row>
    <row r="2722" spans="1:10" ht="12.75" customHeight="1" x14ac:dyDescent="0.2">
      <c r="A2722" s="681" t="s">
        <v>1208</v>
      </c>
      <c r="B2722" s="693" t="s">
        <v>5290</v>
      </c>
      <c r="C2722" s="672" t="s">
        <v>992</v>
      </c>
      <c r="D2722" s="673">
        <v>1964</v>
      </c>
      <c r="E2722" s="674">
        <v>10</v>
      </c>
      <c r="F2722" s="675">
        <v>0.1</v>
      </c>
      <c r="G2722" s="676">
        <v>15000</v>
      </c>
      <c r="H2722" s="929">
        <v>0</v>
      </c>
      <c r="I2722" s="929">
        <v>15000</v>
      </c>
      <c r="J2722" s="689">
        <f t="shared" si="43"/>
        <v>0</v>
      </c>
    </row>
    <row r="2723" spans="1:10" ht="12.75" customHeight="1" x14ac:dyDescent="0.2">
      <c r="A2723" s="681" t="s">
        <v>1208</v>
      </c>
      <c r="B2723" s="693" t="s">
        <v>5291</v>
      </c>
      <c r="C2723" s="672" t="s">
        <v>984</v>
      </c>
      <c r="D2723" s="673">
        <v>1978</v>
      </c>
      <c r="E2723" s="674">
        <v>5</v>
      </c>
      <c r="F2723" s="675">
        <v>0.2</v>
      </c>
      <c r="G2723" s="676">
        <v>15000</v>
      </c>
      <c r="H2723" s="929">
        <v>0</v>
      </c>
      <c r="I2723" s="929">
        <v>15000</v>
      </c>
      <c r="J2723" s="689">
        <f t="shared" si="43"/>
        <v>0</v>
      </c>
    </row>
    <row r="2724" spans="1:10" ht="12.75" customHeight="1" x14ac:dyDescent="0.2">
      <c r="A2724" s="681" t="s">
        <v>2370</v>
      </c>
      <c r="B2724" s="693" t="s">
        <v>5292</v>
      </c>
      <c r="C2724" s="672" t="s">
        <v>894</v>
      </c>
      <c r="D2724" s="673">
        <v>39498</v>
      </c>
      <c r="E2724" s="674">
        <v>3</v>
      </c>
      <c r="F2724" s="675">
        <v>0.33</v>
      </c>
      <c r="G2724" s="676">
        <v>15109</v>
      </c>
      <c r="H2724" s="929">
        <v>0</v>
      </c>
      <c r="I2724" s="929">
        <v>15108</v>
      </c>
      <c r="J2724" s="689">
        <f t="shared" si="43"/>
        <v>1</v>
      </c>
    </row>
    <row r="2725" spans="1:10" ht="12.75" customHeight="1" x14ac:dyDescent="0.2">
      <c r="A2725" s="681" t="s">
        <v>2372</v>
      </c>
      <c r="B2725" s="693" t="s">
        <v>5293</v>
      </c>
      <c r="C2725" s="672" t="s">
        <v>1007</v>
      </c>
      <c r="D2725" s="673">
        <v>37307</v>
      </c>
      <c r="E2725" s="674">
        <v>10</v>
      </c>
      <c r="F2725" s="675">
        <v>0.1</v>
      </c>
      <c r="G2725" s="676">
        <v>15134</v>
      </c>
      <c r="H2725" s="929">
        <v>0</v>
      </c>
      <c r="I2725" s="929">
        <v>15133</v>
      </c>
      <c r="J2725" s="689">
        <f t="shared" si="43"/>
        <v>1</v>
      </c>
    </row>
    <row r="2726" spans="1:10" ht="12.75" customHeight="1" x14ac:dyDescent="0.2">
      <c r="A2726" s="681" t="s">
        <v>2372</v>
      </c>
      <c r="B2726" s="693" t="s">
        <v>5294</v>
      </c>
      <c r="C2726" s="672" t="s">
        <v>1007</v>
      </c>
      <c r="D2726" s="673">
        <v>37307</v>
      </c>
      <c r="E2726" s="674">
        <v>10</v>
      </c>
      <c r="F2726" s="675">
        <v>0.1</v>
      </c>
      <c r="G2726" s="676">
        <v>15134</v>
      </c>
      <c r="H2726" s="929">
        <v>0</v>
      </c>
      <c r="I2726" s="929">
        <v>15133</v>
      </c>
      <c r="J2726" s="689">
        <f t="shared" si="43"/>
        <v>1</v>
      </c>
    </row>
    <row r="2727" spans="1:10" ht="12.75" customHeight="1" x14ac:dyDescent="0.2">
      <c r="A2727" s="681" t="s">
        <v>2372</v>
      </c>
      <c r="B2727" s="693" t="s">
        <v>5295</v>
      </c>
      <c r="C2727" s="672" t="s">
        <v>1007</v>
      </c>
      <c r="D2727" s="673">
        <v>36576</v>
      </c>
      <c r="E2727" s="674">
        <v>10</v>
      </c>
      <c r="F2727" s="675">
        <v>0.1</v>
      </c>
      <c r="G2727" s="676">
        <v>15134</v>
      </c>
      <c r="H2727" s="929">
        <v>0</v>
      </c>
      <c r="I2727" s="929">
        <v>15133</v>
      </c>
      <c r="J2727" s="689">
        <f t="shared" si="43"/>
        <v>1</v>
      </c>
    </row>
    <row r="2728" spans="1:10" ht="12.75" customHeight="1" x14ac:dyDescent="0.2">
      <c r="A2728" s="681" t="s">
        <v>2372</v>
      </c>
      <c r="B2728" s="693" t="s">
        <v>5296</v>
      </c>
      <c r="C2728" s="672" t="s">
        <v>1007</v>
      </c>
      <c r="D2728" s="673">
        <v>36576</v>
      </c>
      <c r="E2728" s="674">
        <v>10</v>
      </c>
      <c r="F2728" s="675">
        <v>0.1</v>
      </c>
      <c r="G2728" s="676">
        <v>15134</v>
      </c>
      <c r="H2728" s="929">
        <v>0</v>
      </c>
      <c r="I2728" s="929">
        <v>15133</v>
      </c>
      <c r="J2728" s="689">
        <f t="shared" si="43"/>
        <v>1</v>
      </c>
    </row>
    <row r="2729" spans="1:10" ht="12.75" customHeight="1" x14ac:dyDescent="0.2">
      <c r="A2729" s="681" t="s">
        <v>2372</v>
      </c>
      <c r="B2729" s="693" t="s">
        <v>5297</v>
      </c>
      <c r="C2729" s="672" t="s">
        <v>895</v>
      </c>
      <c r="D2729" s="673">
        <v>36576</v>
      </c>
      <c r="E2729" s="674">
        <v>3</v>
      </c>
      <c r="F2729" s="675">
        <v>0.33</v>
      </c>
      <c r="G2729" s="676">
        <v>15985</v>
      </c>
      <c r="H2729" s="929">
        <v>0</v>
      </c>
      <c r="I2729" s="929">
        <v>15984</v>
      </c>
      <c r="J2729" s="689">
        <f t="shared" si="43"/>
        <v>1</v>
      </c>
    </row>
    <row r="2730" spans="1:10" ht="12.75" customHeight="1" x14ac:dyDescent="0.2">
      <c r="A2730" s="681" t="s">
        <v>2370</v>
      </c>
      <c r="B2730" s="693" t="s">
        <v>5298</v>
      </c>
      <c r="C2730" s="672" t="s">
        <v>790</v>
      </c>
      <c r="D2730" s="673">
        <v>35115</v>
      </c>
      <c r="E2730" s="674">
        <v>10</v>
      </c>
      <c r="F2730" s="675">
        <v>0.1</v>
      </c>
      <c r="G2730" s="676">
        <v>16445</v>
      </c>
      <c r="H2730" s="929">
        <v>0</v>
      </c>
      <c r="I2730" s="929">
        <v>16444</v>
      </c>
      <c r="J2730" s="689">
        <f t="shared" si="43"/>
        <v>1</v>
      </c>
    </row>
    <row r="2731" spans="1:10" ht="12.75" customHeight="1" x14ac:dyDescent="0.2">
      <c r="A2731" s="681" t="s">
        <v>2372</v>
      </c>
      <c r="B2731" s="693" t="s">
        <v>5299</v>
      </c>
      <c r="C2731" s="672" t="s">
        <v>1007</v>
      </c>
      <c r="D2731" s="673">
        <v>37307</v>
      </c>
      <c r="E2731" s="674">
        <v>10</v>
      </c>
      <c r="F2731" s="675">
        <v>0.1</v>
      </c>
      <c r="G2731" s="676">
        <v>16747</v>
      </c>
      <c r="H2731" s="929">
        <v>0</v>
      </c>
      <c r="I2731" s="929">
        <v>16746</v>
      </c>
      <c r="J2731" s="689">
        <f t="shared" si="43"/>
        <v>1</v>
      </c>
    </row>
    <row r="2732" spans="1:10" ht="12.75" customHeight="1" x14ac:dyDescent="0.2">
      <c r="A2732" s="681" t="s">
        <v>2370</v>
      </c>
      <c r="B2732" s="693" t="s">
        <v>5300</v>
      </c>
      <c r="C2732" s="672" t="s">
        <v>827</v>
      </c>
      <c r="D2732" s="673">
        <v>36576</v>
      </c>
      <c r="E2732" s="674">
        <v>10</v>
      </c>
      <c r="F2732" s="675">
        <v>0.1</v>
      </c>
      <c r="G2732" s="676">
        <v>17250</v>
      </c>
      <c r="H2732" s="929">
        <v>0</v>
      </c>
      <c r="I2732" s="929">
        <v>17249</v>
      </c>
      <c r="J2732" s="689">
        <f t="shared" si="43"/>
        <v>1</v>
      </c>
    </row>
    <row r="2733" spans="1:10" ht="12.75" customHeight="1" x14ac:dyDescent="0.2">
      <c r="A2733" s="681" t="s">
        <v>2370</v>
      </c>
      <c r="B2733" s="693" t="s">
        <v>5301</v>
      </c>
      <c r="C2733" s="672" t="s">
        <v>894</v>
      </c>
      <c r="D2733" s="673">
        <v>37307</v>
      </c>
      <c r="E2733" s="674">
        <v>3</v>
      </c>
      <c r="F2733" s="675">
        <v>0.33</v>
      </c>
      <c r="G2733" s="676">
        <v>17448</v>
      </c>
      <c r="H2733" s="929">
        <v>0</v>
      </c>
      <c r="I2733" s="929">
        <v>17447</v>
      </c>
      <c r="J2733" s="689">
        <f t="shared" si="43"/>
        <v>1</v>
      </c>
    </row>
    <row r="2734" spans="1:10" ht="12.75" customHeight="1" x14ac:dyDescent="0.2">
      <c r="A2734" s="681" t="s">
        <v>2372</v>
      </c>
      <c r="B2734" s="693" t="s">
        <v>5302</v>
      </c>
      <c r="C2734" s="672" t="s">
        <v>1007</v>
      </c>
      <c r="D2734" s="673">
        <v>36942</v>
      </c>
      <c r="E2734" s="674">
        <v>10</v>
      </c>
      <c r="F2734" s="675">
        <v>0.1</v>
      </c>
      <c r="G2734" s="676">
        <v>17980</v>
      </c>
      <c r="H2734" s="929">
        <v>0</v>
      </c>
      <c r="I2734" s="929">
        <v>17979</v>
      </c>
      <c r="J2734" s="689">
        <f t="shared" si="43"/>
        <v>1</v>
      </c>
    </row>
    <row r="2735" spans="1:10" ht="12.75" customHeight="1" x14ac:dyDescent="0.2">
      <c r="A2735" s="681" t="s">
        <v>2372</v>
      </c>
      <c r="B2735" s="693" t="s">
        <v>5303</v>
      </c>
      <c r="C2735" s="672" t="s">
        <v>1007</v>
      </c>
      <c r="D2735" s="673">
        <v>35481</v>
      </c>
      <c r="E2735" s="674">
        <v>10</v>
      </c>
      <c r="F2735" s="675">
        <v>0.1</v>
      </c>
      <c r="G2735" s="676">
        <v>18000</v>
      </c>
      <c r="H2735" s="929">
        <v>0</v>
      </c>
      <c r="I2735" s="929">
        <v>17999</v>
      </c>
      <c r="J2735" s="689">
        <f t="shared" si="43"/>
        <v>1</v>
      </c>
    </row>
    <row r="2736" spans="1:10" ht="12.75" customHeight="1" x14ac:dyDescent="0.2">
      <c r="A2736" s="681" t="s">
        <v>2372</v>
      </c>
      <c r="B2736" s="693" t="s">
        <v>5304</v>
      </c>
      <c r="C2736" s="672" t="s">
        <v>1007</v>
      </c>
      <c r="D2736" s="673">
        <v>36211</v>
      </c>
      <c r="E2736" s="674">
        <v>10</v>
      </c>
      <c r="F2736" s="675">
        <v>0.1</v>
      </c>
      <c r="G2736" s="676">
        <v>18480</v>
      </c>
      <c r="H2736" s="929">
        <v>0</v>
      </c>
      <c r="I2736" s="929">
        <v>18479</v>
      </c>
      <c r="J2736" s="689">
        <f t="shared" si="43"/>
        <v>1</v>
      </c>
    </row>
    <row r="2737" spans="1:10" ht="12.75" customHeight="1" x14ac:dyDescent="0.2">
      <c r="A2737" s="681" t="s">
        <v>2372</v>
      </c>
      <c r="B2737" s="693" t="s">
        <v>5305</v>
      </c>
      <c r="C2737" s="672" t="s">
        <v>1007</v>
      </c>
      <c r="D2737" s="673">
        <v>36211</v>
      </c>
      <c r="E2737" s="674">
        <v>10</v>
      </c>
      <c r="F2737" s="675">
        <v>0.1</v>
      </c>
      <c r="G2737" s="676">
        <v>18500</v>
      </c>
      <c r="H2737" s="929">
        <v>0</v>
      </c>
      <c r="I2737" s="929">
        <v>18499</v>
      </c>
      <c r="J2737" s="689">
        <f t="shared" si="43"/>
        <v>1</v>
      </c>
    </row>
    <row r="2738" spans="1:10" ht="12.75" customHeight="1" x14ac:dyDescent="0.2">
      <c r="A2738" s="681" t="s">
        <v>2372</v>
      </c>
      <c r="B2738" s="693" t="s">
        <v>5306</v>
      </c>
      <c r="C2738" s="672" t="s">
        <v>1036</v>
      </c>
      <c r="D2738" s="673">
        <v>39498</v>
      </c>
      <c r="E2738" s="674">
        <v>10</v>
      </c>
      <c r="F2738" s="675">
        <v>0.1</v>
      </c>
      <c r="G2738" s="676">
        <v>19000</v>
      </c>
      <c r="H2738" s="929">
        <v>0</v>
      </c>
      <c r="I2738" s="929">
        <v>18999</v>
      </c>
      <c r="J2738" s="689">
        <f t="shared" si="43"/>
        <v>1</v>
      </c>
    </row>
    <row r="2739" spans="1:10" ht="12.75" customHeight="1" x14ac:dyDescent="0.2">
      <c r="A2739" s="681" t="s">
        <v>2372</v>
      </c>
      <c r="B2739" s="693" t="s">
        <v>5307</v>
      </c>
      <c r="C2739" s="672" t="s">
        <v>1061</v>
      </c>
      <c r="D2739" s="673">
        <v>37307</v>
      </c>
      <c r="E2739" s="674">
        <v>10</v>
      </c>
      <c r="F2739" s="675">
        <v>0.1</v>
      </c>
      <c r="G2739" s="676">
        <v>19415</v>
      </c>
      <c r="H2739" s="929">
        <v>0</v>
      </c>
      <c r="I2739" s="929">
        <v>19414</v>
      </c>
      <c r="J2739" s="689">
        <f t="shared" si="43"/>
        <v>1</v>
      </c>
    </row>
    <row r="2740" spans="1:10" ht="12.75" customHeight="1" x14ac:dyDescent="0.2">
      <c r="A2740" s="681" t="s">
        <v>2372</v>
      </c>
      <c r="B2740" s="693" t="s">
        <v>5308</v>
      </c>
      <c r="C2740" s="672" t="s">
        <v>1061</v>
      </c>
      <c r="D2740" s="673">
        <v>35481</v>
      </c>
      <c r="E2740" s="674">
        <v>10</v>
      </c>
      <c r="F2740" s="675">
        <v>0.1</v>
      </c>
      <c r="G2740" s="676">
        <v>19415</v>
      </c>
      <c r="H2740" s="929">
        <v>0</v>
      </c>
      <c r="I2740" s="929">
        <v>19414</v>
      </c>
      <c r="J2740" s="689">
        <f t="shared" si="43"/>
        <v>1</v>
      </c>
    </row>
    <row r="2741" spans="1:10" ht="12.75" customHeight="1" x14ac:dyDescent="0.2">
      <c r="A2741" s="681" t="s">
        <v>2370</v>
      </c>
      <c r="B2741" s="693" t="s">
        <v>5309</v>
      </c>
      <c r="C2741" s="672" t="s">
        <v>795</v>
      </c>
      <c r="D2741" s="673">
        <v>36576</v>
      </c>
      <c r="E2741" s="674">
        <v>10</v>
      </c>
      <c r="F2741" s="675">
        <v>0.1</v>
      </c>
      <c r="G2741" s="676">
        <v>19876</v>
      </c>
      <c r="H2741" s="929">
        <v>0</v>
      </c>
      <c r="I2741" s="929">
        <v>19875</v>
      </c>
      <c r="J2741" s="689">
        <f t="shared" si="43"/>
        <v>1</v>
      </c>
    </row>
    <row r="2742" spans="1:10" ht="12.75" customHeight="1" x14ac:dyDescent="0.2">
      <c r="A2742" s="681" t="s">
        <v>2370</v>
      </c>
      <c r="B2742" s="693" t="s">
        <v>5310</v>
      </c>
      <c r="C2742" s="672" t="s">
        <v>868</v>
      </c>
      <c r="D2742" s="673">
        <v>36576</v>
      </c>
      <c r="E2742" s="674">
        <v>10</v>
      </c>
      <c r="F2742" s="675">
        <v>0.1</v>
      </c>
      <c r="G2742" s="676">
        <v>19912</v>
      </c>
      <c r="H2742" s="929">
        <v>0</v>
      </c>
      <c r="I2742" s="929">
        <v>19911</v>
      </c>
      <c r="J2742" s="689">
        <f t="shared" si="43"/>
        <v>1</v>
      </c>
    </row>
    <row r="2743" spans="1:10" ht="12.75" customHeight="1" x14ac:dyDescent="0.2">
      <c r="A2743" s="681" t="s">
        <v>2372</v>
      </c>
      <c r="B2743" s="693" t="s">
        <v>5311</v>
      </c>
      <c r="C2743" s="672" t="s">
        <v>1007</v>
      </c>
      <c r="D2743" s="673">
        <v>36576</v>
      </c>
      <c r="E2743" s="674">
        <v>10</v>
      </c>
      <c r="F2743" s="675">
        <v>0.1</v>
      </c>
      <c r="G2743" s="676">
        <v>20240</v>
      </c>
      <c r="H2743" s="929">
        <v>0</v>
      </c>
      <c r="I2743" s="929">
        <v>20239</v>
      </c>
      <c r="J2743" s="689">
        <f t="shared" si="43"/>
        <v>1</v>
      </c>
    </row>
    <row r="2744" spans="1:10" ht="12.75" customHeight="1" x14ac:dyDescent="0.2">
      <c r="A2744" s="681" t="s">
        <v>2372</v>
      </c>
      <c r="B2744" s="693" t="s">
        <v>5312</v>
      </c>
      <c r="C2744" s="672" t="s">
        <v>1007</v>
      </c>
      <c r="D2744" s="673">
        <v>36576</v>
      </c>
      <c r="E2744" s="674">
        <v>10</v>
      </c>
      <c r="F2744" s="675">
        <v>0.1</v>
      </c>
      <c r="G2744" s="676">
        <v>20276</v>
      </c>
      <c r="H2744" s="929">
        <v>0</v>
      </c>
      <c r="I2744" s="929">
        <v>20275</v>
      </c>
      <c r="J2744" s="689">
        <f t="shared" si="43"/>
        <v>1</v>
      </c>
    </row>
    <row r="2745" spans="1:10" ht="12.75" customHeight="1" x14ac:dyDescent="0.2">
      <c r="A2745" s="681" t="s">
        <v>2372</v>
      </c>
      <c r="B2745" s="693" t="s">
        <v>5313</v>
      </c>
      <c r="C2745" s="672" t="s">
        <v>1007</v>
      </c>
      <c r="D2745" s="673">
        <v>36576</v>
      </c>
      <c r="E2745" s="674">
        <v>10</v>
      </c>
      <c r="F2745" s="675">
        <v>0.1</v>
      </c>
      <c r="G2745" s="676">
        <v>20276</v>
      </c>
      <c r="H2745" s="929">
        <v>0</v>
      </c>
      <c r="I2745" s="929">
        <v>20275</v>
      </c>
      <c r="J2745" s="689">
        <f t="shared" si="43"/>
        <v>1</v>
      </c>
    </row>
    <row r="2746" spans="1:10" ht="12.75" customHeight="1" x14ac:dyDescent="0.2">
      <c r="A2746" s="681" t="s">
        <v>2372</v>
      </c>
      <c r="B2746" s="693" t="s">
        <v>5314</v>
      </c>
      <c r="C2746" s="672" t="s">
        <v>1007</v>
      </c>
      <c r="D2746" s="673">
        <v>36576</v>
      </c>
      <c r="E2746" s="674">
        <v>10</v>
      </c>
      <c r="F2746" s="675">
        <v>0.1</v>
      </c>
      <c r="G2746" s="676">
        <v>20276</v>
      </c>
      <c r="H2746" s="929">
        <v>0</v>
      </c>
      <c r="I2746" s="929">
        <v>20275</v>
      </c>
      <c r="J2746" s="689">
        <f t="shared" si="43"/>
        <v>1</v>
      </c>
    </row>
    <row r="2747" spans="1:10" ht="12.75" customHeight="1" x14ac:dyDescent="0.2">
      <c r="A2747" s="681" t="s">
        <v>2372</v>
      </c>
      <c r="B2747" s="693" t="s">
        <v>5315</v>
      </c>
      <c r="C2747" s="672" t="s">
        <v>1007</v>
      </c>
      <c r="D2747" s="673">
        <v>36576</v>
      </c>
      <c r="E2747" s="674">
        <v>10</v>
      </c>
      <c r="F2747" s="675">
        <v>0.1</v>
      </c>
      <c r="G2747" s="676">
        <v>20276</v>
      </c>
      <c r="H2747" s="929">
        <v>0</v>
      </c>
      <c r="I2747" s="929">
        <v>20275</v>
      </c>
      <c r="J2747" s="689">
        <f t="shared" si="43"/>
        <v>1</v>
      </c>
    </row>
    <row r="2748" spans="1:10" ht="12.75" customHeight="1" x14ac:dyDescent="0.2">
      <c r="A2748" s="681" t="s">
        <v>2372</v>
      </c>
      <c r="B2748" s="693" t="s">
        <v>5316</v>
      </c>
      <c r="C2748" s="672" t="s">
        <v>1007</v>
      </c>
      <c r="D2748" s="673">
        <v>37307</v>
      </c>
      <c r="E2748" s="674">
        <v>10</v>
      </c>
      <c r="F2748" s="675">
        <v>0.1</v>
      </c>
      <c r="G2748" s="676">
        <v>20276</v>
      </c>
      <c r="H2748" s="929">
        <v>0</v>
      </c>
      <c r="I2748" s="929">
        <v>20275</v>
      </c>
      <c r="J2748" s="689">
        <f t="shared" si="43"/>
        <v>1</v>
      </c>
    </row>
    <row r="2749" spans="1:10" ht="12.75" customHeight="1" x14ac:dyDescent="0.2">
      <c r="A2749" s="681" t="s">
        <v>2372</v>
      </c>
      <c r="B2749" s="693" t="s">
        <v>5317</v>
      </c>
      <c r="C2749" s="672" t="s">
        <v>1007</v>
      </c>
      <c r="D2749" s="673">
        <v>36576</v>
      </c>
      <c r="E2749" s="674">
        <v>10</v>
      </c>
      <c r="F2749" s="675">
        <v>0.1</v>
      </c>
      <c r="G2749" s="676">
        <v>20276</v>
      </c>
      <c r="H2749" s="929">
        <v>0</v>
      </c>
      <c r="I2749" s="929">
        <v>20275</v>
      </c>
      <c r="J2749" s="689">
        <f t="shared" si="43"/>
        <v>1</v>
      </c>
    </row>
    <row r="2750" spans="1:10" ht="12.75" customHeight="1" x14ac:dyDescent="0.2">
      <c r="A2750" s="681" t="s">
        <v>2370</v>
      </c>
      <c r="B2750" s="693" t="s">
        <v>5318</v>
      </c>
      <c r="C2750" s="672" t="s">
        <v>787</v>
      </c>
      <c r="D2750" s="673">
        <v>36576</v>
      </c>
      <c r="E2750" s="674">
        <v>10</v>
      </c>
      <c r="F2750" s="675">
        <v>0.1</v>
      </c>
      <c r="G2750" s="676">
        <v>20963</v>
      </c>
      <c r="H2750" s="929">
        <v>0</v>
      </c>
      <c r="I2750" s="929">
        <v>20962</v>
      </c>
      <c r="J2750" s="689">
        <f t="shared" si="43"/>
        <v>1</v>
      </c>
    </row>
    <row r="2751" spans="1:10" ht="12.75" customHeight="1" x14ac:dyDescent="0.2">
      <c r="A2751" s="681" t="s">
        <v>2372</v>
      </c>
      <c r="B2751" s="693" t="s">
        <v>5319</v>
      </c>
      <c r="C2751" s="672" t="s">
        <v>1025</v>
      </c>
      <c r="D2751" s="673">
        <v>40229</v>
      </c>
      <c r="E2751" s="674">
        <v>3</v>
      </c>
      <c r="F2751" s="675">
        <v>0.33</v>
      </c>
      <c r="G2751" s="676">
        <v>22237</v>
      </c>
      <c r="H2751" s="929">
        <v>0</v>
      </c>
      <c r="I2751" s="929">
        <v>22236</v>
      </c>
      <c r="J2751" s="689">
        <f t="shared" si="43"/>
        <v>1</v>
      </c>
    </row>
    <row r="2752" spans="1:10" ht="12.75" customHeight="1" x14ac:dyDescent="0.2">
      <c r="A2752" s="681" t="s">
        <v>2372</v>
      </c>
      <c r="B2752" s="693" t="s">
        <v>5320</v>
      </c>
      <c r="C2752" s="672" t="s">
        <v>1025</v>
      </c>
      <c r="D2752" s="673">
        <v>40229</v>
      </c>
      <c r="E2752" s="674">
        <v>3</v>
      </c>
      <c r="F2752" s="675">
        <v>0.33</v>
      </c>
      <c r="G2752" s="676">
        <v>22237</v>
      </c>
      <c r="H2752" s="929">
        <v>0</v>
      </c>
      <c r="I2752" s="929">
        <v>22236</v>
      </c>
      <c r="J2752" s="689">
        <f t="shared" si="43"/>
        <v>1</v>
      </c>
    </row>
    <row r="2753" spans="1:10" ht="12.75" customHeight="1" x14ac:dyDescent="0.2">
      <c r="A2753" s="681" t="s">
        <v>2372</v>
      </c>
      <c r="B2753" s="693" t="s">
        <v>5321</v>
      </c>
      <c r="C2753" s="672" t="s">
        <v>1025</v>
      </c>
      <c r="D2753" s="673">
        <v>40229</v>
      </c>
      <c r="E2753" s="674">
        <v>3</v>
      </c>
      <c r="F2753" s="675">
        <v>0.33</v>
      </c>
      <c r="G2753" s="676">
        <v>22237</v>
      </c>
      <c r="H2753" s="929">
        <v>0</v>
      </c>
      <c r="I2753" s="929">
        <v>22236</v>
      </c>
      <c r="J2753" s="689">
        <f t="shared" si="43"/>
        <v>1</v>
      </c>
    </row>
    <row r="2754" spans="1:10" ht="12.75" customHeight="1" x14ac:dyDescent="0.2">
      <c r="A2754" s="681" t="s">
        <v>2372</v>
      </c>
      <c r="B2754" s="693" t="s">
        <v>5322</v>
      </c>
      <c r="C2754" s="672" t="s">
        <v>1025</v>
      </c>
      <c r="D2754" s="673">
        <v>40229</v>
      </c>
      <c r="E2754" s="674">
        <v>3</v>
      </c>
      <c r="F2754" s="675">
        <v>0.33</v>
      </c>
      <c r="G2754" s="676">
        <v>22237</v>
      </c>
      <c r="H2754" s="929">
        <v>0</v>
      </c>
      <c r="I2754" s="929">
        <v>22236</v>
      </c>
      <c r="J2754" s="689">
        <f t="shared" si="43"/>
        <v>1</v>
      </c>
    </row>
    <row r="2755" spans="1:10" ht="12.75" customHeight="1" x14ac:dyDescent="0.2">
      <c r="A2755" s="681" t="s">
        <v>2372</v>
      </c>
      <c r="B2755" s="693" t="s">
        <v>5323</v>
      </c>
      <c r="C2755" s="672" t="s">
        <v>1025</v>
      </c>
      <c r="D2755" s="673">
        <v>40229</v>
      </c>
      <c r="E2755" s="674">
        <v>3</v>
      </c>
      <c r="F2755" s="675">
        <v>0.33</v>
      </c>
      <c r="G2755" s="676">
        <v>22237</v>
      </c>
      <c r="H2755" s="929">
        <v>0</v>
      </c>
      <c r="I2755" s="929">
        <v>22236</v>
      </c>
      <c r="J2755" s="689">
        <f t="shared" si="43"/>
        <v>1</v>
      </c>
    </row>
    <row r="2756" spans="1:10" ht="12.75" customHeight="1" x14ac:dyDescent="0.2">
      <c r="A2756" s="681" t="s">
        <v>2371</v>
      </c>
      <c r="B2756" s="693" t="s">
        <v>5324</v>
      </c>
      <c r="C2756" s="672" t="s">
        <v>971</v>
      </c>
      <c r="D2756" s="673">
        <v>38037</v>
      </c>
      <c r="E2756" s="674">
        <v>3</v>
      </c>
      <c r="F2756" s="675">
        <v>0.33</v>
      </c>
      <c r="G2756" s="676">
        <v>22500</v>
      </c>
      <c r="H2756" s="929">
        <v>0</v>
      </c>
      <c r="I2756" s="929">
        <v>22499</v>
      </c>
      <c r="J2756" s="689">
        <f t="shared" si="43"/>
        <v>1</v>
      </c>
    </row>
    <row r="2757" spans="1:10" ht="12.75" customHeight="1" x14ac:dyDescent="0.2">
      <c r="A2757" s="681" t="s">
        <v>2370</v>
      </c>
      <c r="B2757" s="693" t="s">
        <v>5325</v>
      </c>
      <c r="C2757" s="672" t="s">
        <v>900</v>
      </c>
      <c r="D2757" s="673">
        <v>38403</v>
      </c>
      <c r="E2757" s="674">
        <v>3</v>
      </c>
      <c r="F2757" s="675">
        <v>0.33</v>
      </c>
      <c r="G2757" s="676">
        <v>23161</v>
      </c>
      <c r="H2757" s="929">
        <v>0</v>
      </c>
      <c r="I2757" s="929">
        <v>23160</v>
      </c>
      <c r="J2757" s="689">
        <f t="shared" si="43"/>
        <v>1</v>
      </c>
    </row>
    <row r="2758" spans="1:10" ht="12.75" customHeight="1" x14ac:dyDescent="0.2">
      <c r="A2758" s="681" t="s">
        <v>2370</v>
      </c>
      <c r="B2758" s="693" t="s">
        <v>5326</v>
      </c>
      <c r="C2758" s="672" t="s">
        <v>900</v>
      </c>
      <c r="D2758" s="673">
        <v>39498</v>
      </c>
      <c r="E2758" s="674">
        <v>3</v>
      </c>
      <c r="F2758" s="675">
        <v>0.33</v>
      </c>
      <c r="G2758" s="676">
        <v>23161</v>
      </c>
      <c r="H2758" s="929">
        <v>0</v>
      </c>
      <c r="I2758" s="929">
        <v>23160</v>
      </c>
      <c r="J2758" s="689">
        <f t="shared" si="43"/>
        <v>1</v>
      </c>
    </row>
    <row r="2759" spans="1:10" ht="12.75" customHeight="1" x14ac:dyDescent="0.2">
      <c r="A2759" s="681" t="s">
        <v>2372</v>
      </c>
      <c r="B2759" s="693" t="s">
        <v>5327</v>
      </c>
      <c r="C2759" s="672" t="s">
        <v>1106</v>
      </c>
      <c r="D2759" s="673">
        <v>38037</v>
      </c>
      <c r="E2759" s="674">
        <v>10</v>
      </c>
      <c r="F2759" s="675">
        <v>0.1</v>
      </c>
      <c r="G2759" s="676">
        <v>24048</v>
      </c>
      <c r="H2759" s="929">
        <v>0</v>
      </c>
      <c r="I2759" s="929">
        <v>24047</v>
      </c>
      <c r="J2759" s="689">
        <f t="shared" ref="J2759:J2822" si="44">G2759-I2759</f>
        <v>1</v>
      </c>
    </row>
    <row r="2760" spans="1:10" ht="12.75" customHeight="1" x14ac:dyDescent="0.2">
      <c r="A2760" s="681" t="s">
        <v>2371</v>
      </c>
      <c r="B2760" s="693" t="s">
        <v>5328</v>
      </c>
      <c r="C2760" s="672" t="s">
        <v>968</v>
      </c>
      <c r="D2760" s="673">
        <v>39498</v>
      </c>
      <c r="E2760" s="674">
        <v>3</v>
      </c>
      <c r="F2760" s="675">
        <v>0.33</v>
      </c>
      <c r="G2760" s="676">
        <v>25216</v>
      </c>
      <c r="H2760" s="929">
        <v>0</v>
      </c>
      <c r="I2760" s="929">
        <v>25215</v>
      </c>
      <c r="J2760" s="689">
        <f t="shared" si="44"/>
        <v>1</v>
      </c>
    </row>
    <row r="2761" spans="1:10" ht="12.75" customHeight="1" x14ac:dyDescent="0.2">
      <c r="A2761" s="681" t="s">
        <v>2370</v>
      </c>
      <c r="B2761" s="693" t="s">
        <v>5329</v>
      </c>
      <c r="C2761" s="672" t="s">
        <v>941</v>
      </c>
      <c r="D2761" s="673">
        <v>37672</v>
      </c>
      <c r="E2761" s="674">
        <v>10</v>
      </c>
      <c r="F2761" s="675">
        <v>0.1</v>
      </c>
      <c r="G2761" s="676">
        <v>26450</v>
      </c>
      <c r="H2761" s="929">
        <v>0</v>
      </c>
      <c r="I2761" s="929">
        <v>26449</v>
      </c>
      <c r="J2761" s="689">
        <f t="shared" si="44"/>
        <v>1</v>
      </c>
    </row>
    <row r="2762" spans="1:10" ht="12.75" customHeight="1" x14ac:dyDescent="0.2">
      <c r="A2762" s="681" t="s">
        <v>2370</v>
      </c>
      <c r="B2762" s="693" t="s">
        <v>5330</v>
      </c>
      <c r="C2762" s="672" t="s">
        <v>900</v>
      </c>
      <c r="D2762" s="673">
        <v>39864</v>
      </c>
      <c r="E2762" s="674">
        <v>3</v>
      </c>
      <c r="F2762" s="675">
        <v>0.33</v>
      </c>
      <c r="G2762" s="676">
        <v>33530</v>
      </c>
      <c r="H2762" s="929">
        <v>0</v>
      </c>
      <c r="I2762" s="929">
        <v>33529</v>
      </c>
      <c r="J2762" s="689">
        <f t="shared" si="44"/>
        <v>1</v>
      </c>
    </row>
    <row r="2763" spans="1:10" ht="12.75" customHeight="1" x14ac:dyDescent="0.2">
      <c r="A2763" s="681" t="s">
        <v>2370</v>
      </c>
      <c r="B2763" s="693" t="s">
        <v>5331</v>
      </c>
      <c r="C2763" s="672" t="s">
        <v>894</v>
      </c>
      <c r="D2763" s="673">
        <v>36576</v>
      </c>
      <c r="E2763" s="674">
        <v>3</v>
      </c>
      <c r="F2763" s="675">
        <v>0.33</v>
      </c>
      <c r="G2763" s="676">
        <v>35045</v>
      </c>
      <c r="H2763" s="929">
        <v>0</v>
      </c>
      <c r="I2763" s="929">
        <v>35044</v>
      </c>
      <c r="J2763" s="689">
        <f t="shared" si="44"/>
        <v>1</v>
      </c>
    </row>
    <row r="2764" spans="1:10" ht="12.75" customHeight="1" x14ac:dyDescent="0.2">
      <c r="A2764" s="681" t="s">
        <v>2372</v>
      </c>
      <c r="B2764" s="693" t="s">
        <v>5332</v>
      </c>
      <c r="C2764" s="672" t="s">
        <v>1054</v>
      </c>
      <c r="D2764" s="673">
        <v>36211</v>
      </c>
      <c r="E2764" s="674">
        <v>10</v>
      </c>
      <c r="F2764" s="675">
        <v>0.1</v>
      </c>
      <c r="G2764" s="676">
        <v>35364</v>
      </c>
      <c r="H2764" s="929">
        <v>0</v>
      </c>
      <c r="I2764" s="929">
        <v>35363</v>
      </c>
      <c r="J2764" s="689">
        <f t="shared" si="44"/>
        <v>1</v>
      </c>
    </row>
    <row r="2765" spans="1:10" ht="12.75" customHeight="1" x14ac:dyDescent="0.2">
      <c r="A2765" s="681" t="s">
        <v>2372</v>
      </c>
      <c r="B2765" s="693" t="s">
        <v>5333</v>
      </c>
      <c r="C2765" s="672" t="s">
        <v>1007</v>
      </c>
      <c r="D2765" s="673">
        <v>35481</v>
      </c>
      <c r="E2765" s="674">
        <v>10</v>
      </c>
      <c r="F2765" s="675">
        <v>0.1</v>
      </c>
      <c r="G2765" s="676">
        <v>37247</v>
      </c>
      <c r="H2765" s="929">
        <v>0</v>
      </c>
      <c r="I2765" s="929">
        <v>37246</v>
      </c>
      <c r="J2765" s="689">
        <f t="shared" si="44"/>
        <v>1</v>
      </c>
    </row>
    <row r="2766" spans="1:10" ht="12.75" customHeight="1" x14ac:dyDescent="0.2">
      <c r="A2766" s="681" t="s">
        <v>2372</v>
      </c>
      <c r="B2766" s="693" t="s">
        <v>5334</v>
      </c>
      <c r="C2766" s="672" t="s">
        <v>1007</v>
      </c>
      <c r="D2766" s="673">
        <v>35115</v>
      </c>
      <c r="E2766" s="674">
        <v>10</v>
      </c>
      <c r="F2766" s="675">
        <v>0.1</v>
      </c>
      <c r="G2766" s="676">
        <v>41198</v>
      </c>
      <c r="H2766" s="929">
        <v>0</v>
      </c>
      <c r="I2766" s="929">
        <v>41197</v>
      </c>
      <c r="J2766" s="689">
        <f t="shared" si="44"/>
        <v>1</v>
      </c>
    </row>
    <row r="2767" spans="1:10" ht="12.75" customHeight="1" x14ac:dyDescent="0.2">
      <c r="A2767" s="681" t="s">
        <v>2370</v>
      </c>
      <c r="B2767" s="693" t="s">
        <v>5335</v>
      </c>
      <c r="C2767" s="672" t="s">
        <v>791</v>
      </c>
      <c r="D2767" s="673">
        <v>35115</v>
      </c>
      <c r="E2767" s="674">
        <v>10</v>
      </c>
      <c r="F2767" s="675">
        <v>0.1</v>
      </c>
      <c r="G2767" s="676">
        <v>41961</v>
      </c>
      <c r="H2767" s="929">
        <v>0</v>
      </c>
      <c r="I2767" s="929">
        <v>41960</v>
      </c>
      <c r="J2767" s="689">
        <f t="shared" si="44"/>
        <v>1</v>
      </c>
    </row>
    <row r="2768" spans="1:10" ht="12.75" customHeight="1" x14ac:dyDescent="0.2">
      <c r="A2768" s="681" t="s">
        <v>1208</v>
      </c>
      <c r="B2768" s="693" t="s">
        <v>5336</v>
      </c>
      <c r="C2768" s="672" t="s">
        <v>1000</v>
      </c>
      <c r="D2768" s="673">
        <v>39498</v>
      </c>
      <c r="E2768" s="674">
        <v>5</v>
      </c>
      <c r="F2768" s="675">
        <v>0.2</v>
      </c>
      <c r="G2768" s="676">
        <v>45900</v>
      </c>
      <c r="H2768" s="929">
        <v>0</v>
      </c>
      <c r="I2768" s="929">
        <v>45899</v>
      </c>
      <c r="J2768" s="689">
        <f t="shared" si="44"/>
        <v>1</v>
      </c>
    </row>
    <row r="2769" spans="1:10" ht="12.75" customHeight="1" x14ac:dyDescent="0.2">
      <c r="A2769" s="681" t="s">
        <v>1208</v>
      </c>
      <c r="B2769" s="693" t="s">
        <v>5337</v>
      </c>
      <c r="C2769" s="672" t="s">
        <v>1000</v>
      </c>
      <c r="D2769" s="673">
        <v>39498</v>
      </c>
      <c r="E2769" s="674">
        <v>5</v>
      </c>
      <c r="F2769" s="675">
        <v>0.2</v>
      </c>
      <c r="G2769" s="676">
        <v>45900</v>
      </c>
      <c r="H2769" s="929">
        <v>0</v>
      </c>
      <c r="I2769" s="929">
        <v>45899</v>
      </c>
      <c r="J2769" s="689">
        <f t="shared" si="44"/>
        <v>1</v>
      </c>
    </row>
    <row r="2770" spans="1:10" ht="12.75" customHeight="1" x14ac:dyDescent="0.2">
      <c r="A2770" s="681" t="s">
        <v>1208</v>
      </c>
      <c r="B2770" s="693" t="s">
        <v>5338</v>
      </c>
      <c r="C2770" s="672" t="s">
        <v>1000</v>
      </c>
      <c r="D2770" s="673">
        <v>39498</v>
      </c>
      <c r="E2770" s="674">
        <v>5</v>
      </c>
      <c r="F2770" s="675">
        <v>0.2</v>
      </c>
      <c r="G2770" s="676">
        <v>45900</v>
      </c>
      <c r="H2770" s="929">
        <v>0</v>
      </c>
      <c r="I2770" s="929">
        <v>45899</v>
      </c>
      <c r="J2770" s="689">
        <f t="shared" si="44"/>
        <v>1</v>
      </c>
    </row>
    <row r="2771" spans="1:10" ht="12.75" customHeight="1" x14ac:dyDescent="0.2">
      <c r="A2771" s="681" t="s">
        <v>1208</v>
      </c>
      <c r="B2771" s="693" t="s">
        <v>5339</v>
      </c>
      <c r="C2771" s="672" t="s">
        <v>1000</v>
      </c>
      <c r="D2771" s="673">
        <v>39498</v>
      </c>
      <c r="E2771" s="674">
        <v>5</v>
      </c>
      <c r="F2771" s="675">
        <v>0.2</v>
      </c>
      <c r="G2771" s="676">
        <v>52000</v>
      </c>
      <c r="H2771" s="929">
        <v>0</v>
      </c>
      <c r="I2771" s="929">
        <v>51999</v>
      </c>
      <c r="J2771" s="689">
        <f t="shared" si="44"/>
        <v>1</v>
      </c>
    </row>
    <row r="2772" spans="1:10" ht="12.75" customHeight="1" x14ac:dyDescent="0.2">
      <c r="A2772" s="681" t="s">
        <v>1208</v>
      </c>
      <c r="B2772" s="693" t="s">
        <v>5340</v>
      </c>
      <c r="C2772" s="672" t="s">
        <v>1000</v>
      </c>
      <c r="D2772" s="673">
        <v>39498</v>
      </c>
      <c r="E2772" s="674">
        <v>5</v>
      </c>
      <c r="F2772" s="675">
        <v>0.2</v>
      </c>
      <c r="G2772" s="676">
        <v>52000</v>
      </c>
      <c r="H2772" s="929">
        <v>0</v>
      </c>
      <c r="I2772" s="929">
        <v>51999</v>
      </c>
      <c r="J2772" s="689">
        <f t="shared" si="44"/>
        <v>1</v>
      </c>
    </row>
    <row r="2773" spans="1:10" ht="12.75" customHeight="1" x14ac:dyDescent="0.2">
      <c r="A2773" s="681" t="s">
        <v>1208</v>
      </c>
      <c r="B2773" s="693" t="s">
        <v>5341</v>
      </c>
      <c r="C2773" s="672" t="s">
        <v>1000</v>
      </c>
      <c r="D2773" s="673">
        <v>39498</v>
      </c>
      <c r="E2773" s="674">
        <v>5</v>
      </c>
      <c r="F2773" s="675">
        <v>0.2</v>
      </c>
      <c r="G2773" s="676">
        <v>52000</v>
      </c>
      <c r="H2773" s="929">
        <v>0</v>
      </c>
      <c r="I2773" s="929">
        <v>51999</v>
      </c>
      <c r="J2773" s="689">
        <f t="shared" si="44"/>
        <v>1</v>
      </c>
    </row>
    <row r="2774" spans="1:10" ht="12.75" customHeight="1" x14ac:dyDescent="0.2">
      <c r="A2774" s="681" t="s">
        <v>1208</v>
      </c>
      <c r="B2774" s="693" t="s">
        <v>5342</v>
      </c>
      <c r="C2774" s="672" t="s">
        <v>1000</v>
      </c>
      <c r="D2774" s="673">
        <v>39498</v>
      </c>
      <c r="E2774" s="674">
        <v>5</v>
      </c>
      <c r="F2774" s="675">
        <v>0.2</v>
      </c>
      <c r="G2774" s="676">
        <v>52000</v>
      </c>
      <c r="H2774" s="929">
        <v>0</v>
      </c>
      <c r="I2774" s="929">
        <v>51999</v>
      </c>
      <c r="J2774" s="689">
        <f t="shared" si="44"/>
        <v>1</v>
      </c>
    </row>
    <row r="2775" spans="1:10" ht="12.75" customHeight="1" x14ac:dyDescent="0.2">
      <c r="A2775" s="681" t="s">
        <v>1208</v>
      </c>
      <c r="B2775" s="693" t="s">
        <v>5343</v>
      </c>
      <c r="C2775" s="672" t="s">
        <v>1000</v>
      </c>
      <c r="D2775" s="673">
        <v>39498</v>
      </c>
      <c r="E2775" s="674">
        <v>5</v>
      </c>
      <c r="F2775" s="675">
        <v>0.2</v>
      </c>
      <c r="G2775" s="676">
        <v>52000</v>
      </c>
      <c r="H2775" s="929">
        <v>0</v>
      </c>
      <c r="I2775" s="929">
        <v>51999</v>
      </c>
      <c r="J2775" s="689">
        <f t="shared" si="44"/>
        <v>1</v>
      </c>
    </row>
    <row r="2776" spans="1:10" ht="12.75" customHeight="1" x14ac:dyDescent="0.2">
      <c r="A2776" s="681" t="s">
        <v>2372</v>
      </c>
      <c r="B2776" s="693" t="s">
        <v>5344</v>
      </c>
      <c r="C2776" s="672" t="s">
        <v>1007</v>
      </c>
      <c r="D2776" s="673">
        <v>36576</v>
      </c>
      <c r="E2776" s="674">
        <v>10</v>
      </c>
      <c r="F2776" s="675">
        <v>0.1</v>
      </c>
      <c r="G2776" s="676">
        <v>56454</v>
      </c>
      <c r="H2776" s="929">
        <v>0</v>
      </c>
      <c r="I2776" s="929">
        <v>56452</v>
      </c>
      <c r="J2776" s="689">
        <f t="shared" si="44"/>
        <v>2</v>
      </c>
    </row>
    <row r="2777" spans="1:10" ht="12.75" customHeight="1" x14ac:dyDescent="0.2">
      <c r="A2777" s="681" t="s">
        <v>2372</v>
      </c>
      <c r="B2777" s="693" t="s">
        <v>5345</v>
      </c>
      <c r="C2777" s="672" t="s">
        <v>1007</v>
      </c>
      <c r="D2777" s="673">
        <v>36576</v>
      </c>
      <c r="E2777" s="674">
        <v>10</v>
      </c>
      <c r="F2777" s="675">
        <v>0.1</v>
      </c>
      <c r="G2777" s="676">
        <v>56454</v>
      </c>
      <c r="H2777" s="929">
        <v>0</v>
      </c>
      <c r="I2777" s="929">
        <v>56452</v>
      </c>
      <c r="J2777" s="689">
        <f t="shared" si="44"/>
        <v>2</v>
      </c>
    </row>
    <row r="2778" spans="1:10" ht="12.75" customHeight="1" x14ac:dyDescent="0.2">
      <c r="A2778" s="681" t="s">
        <v>2372</v>
      </c>
      <c r="B2778" s="693" t="s">
        <v>5346</v>
      </c>
      <c r="C2778" s="672" t="s">
        <v>1007</v>
      </c>
      <c r="D2778" s="673">
        <v>36576</v>
      </c>
      <c r="E2778" s="674">
        <v>10</v>
      </c>
      <c r="F2778" s="675">
        <v>0.1</v>
      </c>
      <c r="G2778" s="676">
        <v>56454</v>
      </c>
      <c r="H2778" s="929">
        <v>0</v>
      </c>
      <c r="I2778" s="929">
        <v>56452</v>
      </c>
      <c r="J2778" s="689">
        <f t="shared" si="44"/>
        <v>2</v>
      </c>
    </row>
    <row r="2779" spans="1:10" ht="12.75" customHeight="1" x14ac:dyDescent="0.2">
      <c r="A2779" s="681" t="s">
        <v>2370</v>
      </c>
      <c r="B2779" s="693" t="s">
        <v>5347</v>
      </c>
      <c r="C2779" s="672" t="s">
        <v>965</v>
      </c>
      <c r="D2779" s="673">
        <v>37307</v>
      </c>
      <c r="E2779" s="674">
        <v>10</v>
      </c>
      <c r="F2779" s="675">
        <v>0.1</v>
      </c>
      <c r="G2779" s="676">
        <v>57970</v>
      </c>
      <c r="H2779" s="929">
        <v>0</v>
      </c>
      <c r="I2779" s="929">
        <v>57968</v>
      </c>
      <c r="J2779" s="689">
        <f t="shared" si="44"/>
        <v>2</v>
      </c>
    </row>
    <row r="2780" spans="1:10" ht="12.75" customHeight="1" x14ac:dyDescent="0.2">
      <c r="A2780" s="681" t="s">
        <v>2370</v>
      </c>
      <c r="B2780" s="693" t="s">
        <v>5348</v>
      </c>
      <c r="C2780" s="672" t="s">
        <v>965</v>
      </c>
      <c r="D2780" s="673">
        <v>37307</v>
      </c>
      <c r="E2780" s="674">
        <v>10</v>
      </c>
      <c r="F2780" s="675">
        <v>0.1</v>
      </c>
      <c r="G2780" s="676">
        <v>57970</v>
      </c>
      <c r="H2780" s="929">
        <v>0</v>
      </c>
      <c r="I2780" s="929">
        <v>57968</v>
      </c>
      <c r="J2780" s="689">
        <f t="shared" si="44"/>
        <v>2</v>
      </c>
    </row>
    <row r="2781" spans="1:10" ht="12.75" customHeight="1" x14ac:dyDescent="0.2">
      <c r="A2781" s="681" t="s">
        <v>2372</v>
      </c>
      <c r="B2781" s="693" t="s">
        <v>5349</v>
      </c>
      <c r="C2781" s="672" t="s">
        <v>1061</v>
      </c>
      <c r="D2781" s="673">
        <v>35481</v>
      </c>
      <c r="E2781" s="674">
        <v>10</v>
      </c>
      <c r="F2781" s="675">
        <v>0.1</v>
      </c>
      <c r="G2781" s="676">
        <v>63052</v>
      </c>
      <c r="H2781" s="929">
        <v>0</v>
      </c>
      <c r="I2781" s="929">
        <v>63050</v>
      </c>
      <c r="J2781" s="689">
        <f t="shared" si="44"/>
        <v>2</v>
      </c>
    </row>
    <row r="2782" spans="1:10" ht="12.75" customHeight="1" x14ac:dyDescent="0.2">
      <c r="A2782" s="681" t="s">
        <v>1208</v>
      </c>
      <c r="B2782" s="693" t="s">
        <v>5350</v>
      </c>
      <c r="C2782" s="672" t="s">
        <v>991</v>
      </c>
      <c r="D2782" s="673">
        <v>2002</v>
      </c>
      <c r="E2782" s="674">
        <v>5</v>
      </c>
      <c r="F2782" s="675">
        <v>0.2</v>
      </c>
      <c r="G2782" s="676">
        <v>63644</v>
      </c>
      <c r="H2782" s="929">
        <v>0</v>
      </c>
      <c r="I2782" s="929">
        <v>63643</v>
      </c>
      <c r="J2782" s="689">
        <f t="shared" si="44"/>
        <v>1</v>
      </c>
    </row>
    <row r="2783" spans="1:10" ht="12.75" customHeight="1" x14ac:dyDescent="0.2">
      <c r="A2783" s="681" t="s">
        <v>2372</v>
      </c>
      <c r="B2783" s="693" t="s">
        <v>5351</v>
      </c>
      <c r="C2783" s="672" t="s">
        <v>1007</v>
      </c>
      <c r="D2783" s="673">
        <v>36211</v>
      </c>
      <c r="E2783" s="674">
        <v>10</v>
      </c>
      <c r="F2783" s="675">
        <v>0.1</v>
      </c>
      <c r="G2783" s="676">
        <v>66976</v>
      </c>
      <c r="H2783" s="929">
        <v>0</v>
      </c>
      <c r="I2783" s="929">
        <v>66974</v>
      </c>
      <c r="J2783" s="689">
        <f t="shared" si="44"/>
        <v>2</v>
      </c>
    </row>
    <row r="2784" spans="1:10" ht="12.75" customHeight="1" x14ac:dyDescent="0.2">
      <c r="A2784" s="681" t="s">
        <v>1208</v>
      </c>
      <c r="B2784" s="693" t="s">
        <v>5352</v>
      </c>
      <c r="C2784" s="672" t="s">
        <v>977</v>
      </c>
      <c r="D2784" s="673">
        <v>1996</v>
      </c>
      <c r="E2784" s="674">
        <v>5</v>
      </c>
      <c r="F2784" s="675">
        <v>0.2</v>
      </c>
      <c r="G2784" s="676">
        <v>70400</v>
      </c>
      <c r="H2784" s="929">
        <v>0</v>
      </c>
      <c r="I2784" s="929">
        <v>70399</v>
      </c>
      <c r="J2784" s="689">
        <f t="shared" si="44"/>
        <v>1</v>
      </c>
    </row>
    <row r="2785" spans="1:10" ht="12.75" customHeight="1" x14ac:dyDescent="0.2">
      <c r="A2785" s="681" t="s">
        <v>1208</v>
      </c>
      <c r="B2785" s="693" t="s">
        <v>5353</v>
      </c>
      <c r="C2785" s="672" t="s">
        <v>977</v>
      </c>
      <c r="D2785" s="673">
        <v>1996</v>
      </c>
      <c r="E2785" s="674">
        <v>5</v>
      </c>
      <c r="F2785" s="675">
        <v>0.2</v>
      </c>
      <c r="G2785" s="676">
        <v>70400</v>
      </c>
      <c r="H2785" s="929">
        <v>0</v>
      </c>
      <c r="I2785" s="929">
        <v>70399</v>
      </c>
      <c r="J2785" s="689">
        <f t="shared" si="44"/>
        <v>1</v>
      </c>
    </row>
    <row r="2786" spans="1:10" ht="12.75" customHeight="1" x14ac:dyDescent="0.2">
      <c r="A2786" s="681" t="s">
        <v>1208</v>
      </c>
      <c r="B2786" s="693" t="s">
        <v>5354</v>
      </c>
      <c r="C2786" s="672" t="s">
        <v>984</v>
      </c>
      <c r="D2786" s="673">
        <v>1988</v>
      </c>
      <c r="E2786" s="674">
        <v>5</v>
      </c>
      <c r="F2786" s="675">
        <v>0.2</v>
      </c>
      <c r="G2786" s="676">
        <v>75000</v>
      </c>
      <c r="H2786" s="929">
        <v>0</v>
      </c>
      <c r="I2786" s="929">
        <v>74999</v>
      </c>
      <c r="J2786" s="689">
        <f t="shared" si="44"/>
        <v>1</v>
      </c>
    </row>
    <row r="2787" spans="1:10" ht="12.75" customHeight="1" x14ac:dyDescent="0.2">
      <c r="A2787" s="681" t="s">
        <v>2370</v>
      </c>
      <c r="B2787" s="693" t="s">
        <v>5355</v>
      </c>
      <c r="C2787" s="672" t="s">
        <v>885</v>
      </c>
      <c r="D2787" s="673">
        <v>38037</v>
      </c>
      <c r="E2787" s="674">
        <v>3</v>
      </c>
      <c r="F2787" s="675">
        <v>0.33</v>
      </c>
      <c r="G2787" s="676">
        <v>80976</v>
      </c>
      <c r="H2787" s="929">
        <v>0</v>
      </c>
      <c r="I2787" s="929">
        <v>80974</v>
      </c>
      <c r="J2787" s="689">
        <f t="shared" si="44"/>
        <v>2</v>
      </c>
    </row>
    <row r="2788" spans="1:10" ht="12.75" customHeight="1" x14ac:dyDescent="0.2">
      <c r="A2788" s="681" t="s">
        <v>1208</v>
      </c>
      <c r="B2788" s="693" t="s">
        <v>5356</v>
      </c>
      <c r="C2788" s="672" t="s">
        <v>977</v>
      </c>
      <c r="D2788" s="673">
        <v>1999</v>
      </c>
      <c r="E2788" s="674">
        <v>5</v>
      </c>
      <c r="F2788" s="675">
        <v>0.2</v>
      </c>
      <c r="G2788" s="676">
        <v>107199</v>
      </c>
      <c r="H2788" s="929">
        <v>0</v>
      </c>
      <c r="I2788" s="929">
        <v>107198</v>
      </c>
      <c r="J2788" s="689">
        <f t="shared" si="44"/>
        <v>1</v>
      </c>
    </row>
    <row r="2789" spans="1:10" ht="12.75" customHeight="1" x14ac:dyDescent="0.2">
      <c r="A2789" s="681" t="s">
        <v>1208</v>
      </c>
      <c r="B2789" s="693" t="s">
        <v>5357</v>
      </c>
      <c r="C2789" s="672" t="s">
        <v>990</v>
      </c>
      <c r="D2789" s="673">
        <v>1991</v>
      </c>
      <c r="E2789" s="674">
        <v>5</v>
      </c>
      <c r="F2789" s="675">
        <v>0.2</v>
      </c>
      <c r="G2789" s="676">
        <v>113208.42</v>
      </c>
      <c r="H2789" s="929">
        <v>0</v>
      </c>
      <c r="I2789" s="929">
        <v>113207.42</v>
      </c>
      <c r="J2789" s="689">
        <f t="shared" si="44"/>
        <v>1</v>
      </c>
    </row>
    <row r="2790" spans="1:10" ht="12.75" customHeight="1" x14ac:dyDescent="0.2">
      <c r="A2790" s="681" t="s">
        <v>1208</v>
      </c>
      <c r="B2790" s="693" t="s">
        <v>5358</v>
      </c>
      <c r="C2790" s="672" t="s">
        <v>977</v>
      </c>
      <c r="D2790" s="673">
        <v>2002</v>
      </c>
      <c r="E2790" s="674">
        <v>5</v>
      </c>
      <c r="F2790" s="675">
        <v>0.2</v>
      </c>
      <c r="G2790" s="676">
        <v>116966</v>
      </c>
      <c r="H2790" s="929">
        <v>0</v>
      </c>
      <c r="I2790" s="929">
        <v>116965</v>
      </c>
      <c r="J2790" s="689">
        <f t="shared" si="44"/>
        <v>1</v>
      </c>
    </row>
    <row r="2791" spans="1:10" ht="12.75" customHeight="1" x14ac:dyDescent="0.2">
      <c r="A2791" s="681" t="s">
        <v>1208</v>
      </c>
      <c r="B2791" s="693" t="s">
        <v>5359</v>
      </c>
      <c r="C2791" s="672" t="s">
        <v>977</v>
      </c>
      <c r="D2791" s="673">
        <v>2005</v>
      </c>
      <c r="E2791" s="674">
        <v>5</v>
      </c>
      <c r="F2791" s="675">
        <v>0.2</v>
      </c>
      <c r="G2791" s="676">
        <v>123900</v>
      </c>
      <c r="H2791" s="929">
        <v>0</v>
      </c>
      <c r="I2791" s="929">
        <v>123899</v>
      </c>
      <c r="J2791" s="689">
        <f t="shared" si="44"/>
        <v>1</v>
      </c>
    </row>
    <row r="2792" spans="1:10" ht="12.75" customHeight="1" x14ac:dyDescent="0.2">
      <c r="A2792" s="681" t="s">
        <v>1208</v>
      </c>
      <c r="B2792" s="693" t="s">
        <v>5360</v>
      </c>
      <c r="C2792" s="672" t="s">
        <v>977</v>
      </c>
      <c r="D2792" s="673">
        <v>2009</v>
      </c>
      <c r="E2792" s="674">
        <v>5</v>
      </c>
      <c r="F2792" s="675">
        <v>0.2</v>
      </c>
      <c r="G2792" s="676">
        <v>131061</v>
      </c>
      <c r="H2792" s="929">
        <v>0</v>
      </c>
      <c r="I2792" s="929">
        <v>131060</v>
      </c>
      <c r="J2792" s="689">
        <f t="shared" si="44"/>
        <v>1</v>
      </c>
    </row>
    <row r="2793" spans="1:10" ht="12.75" customHeight="1" x14ac:dyDescent="0.2">
      <c r="A2793" s="681" t="s">
        <v>1208</v>
      </c>
      <c r="B2793" s="693" t="s">
        <v>5361</v>
      </c>
      <c r="C2793" s="672" t="s">
        <v>977</v>
      </c>
      <c r="D2793" s="673">
        <v>2009</v>
      </c>
      <c r="E2793" s="674">
        <v>5</v>
      </c>
      <c r="F2793" s="675">
        <v>0.2</v>
      </c>
      <c r="G2793" s="676">
        <v>131061</v>
      </c>
      <c r="H2793" s="929">
        <v>0</v>
      </c>
      <c r="I2793" s="929">
        <v>131060</v>
      </c>
      <c r="J2793" s="689">
        <f t="shared" si="44"/>
        <v>1</v>
      </c>
    </row>
    <row r="2794" spans="1:10" ht="12.75" customHeight="1" x14ac:dyDescent="0.2">
      <c r="A2794" s="681" t="s">
        <v>1208</v>
      </c>
      <c r="B2794" s="693" t="s">
        <v>5362</v>
      </c>
      <c r="C2794" s="672" t="s">
        <v>977</v>
      </c>
      <c r="D2794" s="673">
        <v>2009</v>
      </c>
      <c r="E2794" s="674">
        <v>5</v>
      </c>
      <c r="F2794" s="675">
        <v>0.2</v>
      </c>
      <c r="G2794" s="676">
        <v>131061</v>
      </c>
      <c r="H2794" s="929">
        <v>0</v>
      </c>
      <c r="I2794" s="929">
        <v>131060</v>
      </c>
      <c r="J2794" s="689">
        <f t="shared" si="44"/>
        <v>1</v>
      </c>
    </row>
    <row r="2795" spans="1:10" ht="12.75" customHeight="1" x14ac:dyDescent="0.2">
      <c r="A2795" s="681" t="s">
        <v>1208</v>
      </c>
      <c r="B2795" s="693" t="s">
        <v>5363</v>
      </c>
      <c r="C2795" s="672" t="s">
        <v>977</v>
      </c>
      <c r="D2795" s="673">
        <v>2009</v>
      </c>
      <c r="E2795" s="674">
        <v>5</v>
      </c>
      <c r="F2795" s="675">
        <v>0.2</v>
      </c>
      <c r="G2795" s="676">
        <v>131061</v>
      </c>
      <c r="H2795" s="929">
        <v>0</v>
      </c>
      <c r="I2795" s="929">
        <v>131060</v>
      </c>
      <c r="J2795" s="689">
        <f t="shared" si="44"/>
        <v>1</v>
      </c>
    </row>
    <row r="2796" spans="1:10" ht="12.75" customHeight="1" x14ac:dyDescent="0.2">
      <c r="A2796" s="681" t="s">
        <v>1208</v>
      </c>
      <c r="B2796" s="693" t="s">
        <v>5364</v>
      </c>
      <c r="C2796" s="672" t="s">
        <v>977</v>
      </c>
      <c r="D2796" s="673">
        <v>2009</v>
      </c>
      <c r="E2796" s="674">
        <v>5</v>
      </c>
      <c r="F2796" s="675">
        <v>0.2</v>
      </c>
      <c r="G2796" s="676">
        <v>131061</v>
      </c>
      <c r="H2796" s="929">
        <v>0</v>
      </c>
      <c r="I2796" s="929">
        <v>131060</v>
      </c>
      <c r="J2796" s="689">
        <f t="shared" si="44"/>
        <v>1</v>
      </c>
    </row>
    <row r="2797" spans="1:10" ht="12.75" customHeight="1" x14ac:dyDescent="0.2">
      <c r="A2797" s="681" t="s">
        <v>1208</v>
      </c>
      <c r="B2797" s="693" t="s">
        <v>5365</v>
      </c>
      <c r="C2797" s="672" t="s">
        <v>977</v>
      </c>
      <c r="D2797" s="673">
        <v>2009</v>
      </c>
      <c r="E2797" s="674">
        <v>5</v>
      </c>
      <c r="F2797" s="675">
        <v>0.2</v>
      </c>
      <c r="G2797" s="676">
        <v>131061</v>
      </c>
      <c r="H2797" s="929">
        <v>0</v>
      </c>
      <c r="I2797" s="929">
        <v>131060</v>
      </c>
      <c r="J2797" s="689">
        <f t="shared" si="44"/>
        <v>1</v>
      </c>
    </row>
    <row r="2798" spans="1:10" ht="12.75" customHeight="1" x14ac:dyDescent="0.2">
      <c r="A2798" s="681" t="s">
        <v>1208</v>
      </c>
      <c r="B2798" s="693" t="s">
        <v>5366</v>
      </c>
      <c r="C2798" s="672" t="s">
        <v>977</v>
      </c>
      <c r="D2798" s="673">
        <v>2009</v>
      </c>
      <c r="E2798" s="674">
        <v>5</v>
      </c>
      <c r="F2798" s="675">
        <v>0.2</v>
      </c>
      <c r="G2798" s="676">
        <v>131061</v>
      </c>
      <c r="H2798" s="929">
        <v>0</v>
      </c>
      <c r="I2798" s="929">
        <v>131060</v>
      </c>
      <c r="J2798" s="689">
        <f t="shared" si="44"/>
        <v>1</v>
      </c>
    </row>
    <row r="2799" spans="1:10" ht="12.75" customHeight="1" x14ac:dyDescent="0.2">
      <c r="A2799" s="681" t="s">
        <v>2371</v>
      </c>
      <c r="B2799" s="693" t="s">
        <v>5367</v>
      </c>
      <c r="C2799" s="672" t="s">
        <v>969</v>
      </c>
      <c r="D2799" s="673">
        <v>39498</v>
      </c>
      <c r="E2799" s="674">
        <v>3</v>
      </c>
      <c r="F2799" s="675">
        <v>0.33</v>
      </c>
      <c r="G2799" s="676">
        <v>142597</v>
      </c>
      <c r="H2799" s="929">
        <v>0</v>
      </c>
      <c r="I2799" s="929">
        <v>142595</v>
      </c>
      <c r="J2799" s="689">
        <f t="shared" si="44"/>
        <v>2</v>
      </c>
    </row>
    <row r="2800" spans="1:10" ht="12.75" customHeight="1" x14ac:dyDescent="0.2">
      <c r="A2800" s="681" t="s">
        <v>1208</v>
      </c>
      <c r="B2800" s="693" t="s">
        <v>5368</v>
      </c>
      <c r="C2800" s="672" t="s">
        <v>977</v>
      </c>
      <c r="D2800" s="673">
        <v>2008</v>
      </c>
      <c r="E2800" s="674">
        <v>5</v>
      </c>
      <c r="F2800" s="675">
        <v>0.2</v>
      </c>
      <c r="G2800" s="676">
        <v>173136</v>
      </c>
      <c r="H2800" s="929">
        <v>0</v>
      </c>
      <c r="I2800" s="929">
        <v>173135</v>
      </c>
      <c r="J2800" s="689">
        <f t="shared" si="44"/>
        <v>1</v>
      </c>
    </row>
    <row r="2801" spans="1:10" ht="12.75" customHeight="1" x14ac:dyDescent="0.2">
      <c r="A2801" s="681" t="s">
        <v>1208</v>
      </c>
      <c r="B2801" s="693" t="s">
        <v>5369</v>
      </c>
      <c r="C2801" s="672" t="s">
        <v>977</v>
      </c>
      <c r="D2801" s="673">
        <v>2008</v>
      </c>
      <c r="E2801" s="674">
        <v>5</v>
      </c>
      <c r="F2801" s="675">
        <v>0.2</v>
      </c>
      <c r="G2801" s="676">
        <v>173136</v>
      </c>
      <c r="H2801" s="929">
        <v>0</v>
      </c>
      <c r="I2801" s="929">
        <v>173135</v>
      </c>
      <c r="J2801" s="689">
        <f t="shared" si="44"/>
        <v>1</v>
      </c>
    </row>
    <row r="2802" spans="1:10" ht="12.75" customHeight="1" x14ac:dyDescent="0.2">
      <c r="A2802" s="681" t="s">
        <v>1208</v>
      </c>
      <c r="B2802" s="693" t="s">
        <v>5370</v>
      </c>
      <c r="C2802" s="672" t="s">
        <v>977</v>
      </c>
      <c r="D2802" s="673">
        <v>2008</v>
      </c>
      <c r="E2802" s="674">
        <v>5</v>
      </c>
      <c r="F2802" s="675">
        <v>0.2</v>
      </c>
      <c r="G2802" s="676">
        <v>173136</v>
      </c>
      <c r="H2802" s="929">
        <v>0</v>
      </c>
      <c r="I2802" s="929">
        <v>173135</v>
      </c>
      <c r="J2802" s="689">
        <f t="shared" si="44"/>
        <v>1</v>
      </c>
    </row>
    <row r="2803" spans="1:10" ht="12.75" customHeight="1" x14ac:dyDescent="0.2">
      <c r="A2803" s="681" t="s">
        <v>1208</v>
      </c>
      <c r="B2803" s="693" t="s">
        <v>5371</v>
      </c>
      <c r="C2803" s="672" t="s">
        <v>977</v>
      </c>
      <c r="D2803" s="673">
        <v>2007</v>
      </c>
      <c r="E2803" s="674">
        <v>5</v>
      </c>
      <c r="F2803" s="675">
        <v>0.2</v>
      </c>
      <c r="G2803" s="676">
        <v>173136</v>
      </c>
      <c r="H2803" s="929">
        <v>0</v>
      </c>
      <c r="I2803" s="929">
        <v>173135</v>
      </c>
      <c r="J2803" s="689">
        <f t="shared" si="44"/>
        <v>1</v>
      </c>
    </row>
    <row r="2804" spans="1:10" ht="12.75" customHeight="1" x14ac:dyDescent="0.2">
      <c r="A2804" s="681" t="s">
        <v>1208</v>
      </c>
      <c r="B2804" s="693" t="s">
        <v>5372</v>
      </c>
      <c r="C2804" s="672" t="s">
        <v>977</v>
      </c>
      <c r="D2804" s="673">
        <v>2008</v>
      </c>
      <c r="E2804" s="674">
        <v>5</v>
      </c>
      <c r="F2804" s="675">
        <v>0.2</v>
      </c>
      <c r="G2804" s="676">
        <v>173136</v>
      </c>
      <c r="H2804" s="929">
        <v>0</v>
      </c>
      <c r="I2804" s="929">
        <v>173135</v>
      </c>
      <c r="J2804" s="689">
        <f t="shared" si="44"/>
        <v>1</v>
      </c>
    </row>
    <row r="2805" spans="1:10" ht="12.75" customHeight="1" x14ac:dyDescent="0.2">
      <c r="A2805" s="681" t="s">
        <v>1208</v>
      </c>
      <c r="B2805" s="693" t="s">
        <v>5373</v>
      </c>
      <c r="C2805" s="672" t="s">
        <v>977</v>
      </c>
      <c r="D2805" s="673">
        <v>2008</v>
      </c>
      <c r="E2805" s="674">
        <v>5</v>
      </c>
      <c r="F2805" s="675">
        <v>0.2</v>
      </c>
      <c r="G2805" s="676">
        <v>173136</v>
      </c>
      <c r="H2805" s="929">
        <v>0</v>
      </c>
      <c r="I2805" s="929">
        <v>173135</v>
      </c>
      <c r="J2805" s="689">
        <f t="shared" si="44"/>
        <v>1</v>
      </c>
    </row>
    <row r="2806" spans="1:10" ht="12.75" customHeight="1" x14ac:dyDescent="0.2">
      <c r="A2806" s="681" t="s">
        <v>1208</v>
      </c>
      <c r="B2806" s="693" t="s">
        <v>5374</v>
      </c>
      <c r="C2806" s="672" t="s">
        <v>977</v>
      </c>
      <c r="D2806" s="673">
        <v>2008</v>
      </c>
      <c r="E2806" s="674">
        <v>5</v>
      </c>
      <c r="F2806" s="675">
        <v>0.2</v>
      </c>
      <c r="G2806" s="676">
        <v>173136</v>
      </c>
      <c r="H2806" s="929">
        <v>0</v>
      </c>
      <c r="I2806" s="929">
        <v>173135</v>
      </c>
      <c r="J2806" s="689">
        <f t="shared" si="44"/>
        <v>1</v>
      </c>
    </row>
    <row r="2807" spans="1:10" ht="12.75" customHeight="1" x14ac:dyDescent="0.2">
      <c r="A2807" s="681" t="s">
        <v>1208</v>
      </c>
      <c r="B2807" s="693" t="s">
        <v>5375</v>
      </c>
      <c r="C2807" s="672" t="s">
        <v>977</v>
      </c>
      <c r="D2807" s="673">
        <v>2009</v>
      </c>
      <c r="E2807" s="674">
        <v>5</v>
      </c>
      <c r="F2807" s="675">
        <v>0.2</v>
      </c>
      <c r="G2807" s="676">
        <v>193000</v>
      </c>
      <c r="H2807" s="929">
        <v>0</v>
      </c>
      <c r="I2807" s="929">
        <v>192999</v>
      </c>
      <c r="J2807" s="689">
        <f t="shared" si="44"/>
        <v>1</v>
      </c>
    </row>
    <row r="2808" spans="1:10" ht="12.75" customHeight="1" x14ac:dyDescent="0.2">
      <c r="A2808" s="681" t="s">
        <v>1208</v>
      </c>
      <c r="B2808" s="693" t="s">
        <v>5376</v>
      </c>
      <c r="C2808" s="672" t="s">
        <v>977</v>
      </c>
      <c r="D2808" s="673">
        <v>2009</v>
      </c>
      <c r="E2808" s="674">
        <v>5</v>
      </c>
      <c r="F2808" s="675">
        <v>0.2</v>
      </c>
      <c r="G2808" s="676">
        <v>193000</v>
      </c>
      <c r="H2808" s="929">
        <v>0</v>
      </c>
      <c r="I2808" s="929">
        <v>192999</v>
      </c>
      <c r="J2808" s="689">
        <f t="shared" si="44"/>
        <v>1</v>
      </c>
    </row>
    <row r="2809" spans="1:10" ht="12.75" customHeight="1" x14ac:dyDescent="0.2">
      <c r="A2809" s="681" t="s">
        <v>1208</v>
      </c>
      <c r="B2809" s="693" t="s">
        <v>5377</v>
      </c>
      <c r="C2809" s="672" t="s">
        <v>977</v>
      </c>
      <c r="D2809" s="673">
        <v>2008</v>
      </c>
      <c r="E2809" s="674">
        <v>5</v>
      </c>
      <c r="F2809" s="675">
        <v>0.2</v>
      </c>
      <c r="G2809" s="676">
        <v>244000</v>
      </c>
      <c r="H2809" s="929">
        <v>0</v>
      </c>
      <c r="I2809" s="929">
        <v>243999</v>
      </c>
      <c r="J2809" s="689">
        <f t="shared" si="44"/>
        <v>1</v>
      </c>
    </row>
    <row r="2810" spans="1:10" ht="12.75" customHeight="1" x14ac:dyDescent="0.2">
      <c r="A2810" s="681" t="s">
        <v>1208</v>
      </c>
      <c r="B2810" s="693" t="s">
        <v>5378</v>
      </c>
      <c r="C2810" s="672" t="s">
        <v>985</v>
      </c>
      <c r="D2810" s="673">
        <v>2008</v>
      </c>
      <c r="E2810" s="674">
        <v>5</v>
      </c>
      <c r="F2810" s="675">
        <v>0.2</v>
      </c>
      <c r="G2810" s="676">
        <v>244000</v>
      </c>
      <c r="H2810" s="929">
        <v>0</v>
      </c>
      <c r="I2810" s="929">
        <v>243999</v>
      </c>
      <c r="J2810" s="689">
        <f t="shared" si="44"/>
        <v>1</v>
      </c>
    </row>
    <row r="2811" spans="1:10" ht="12.75" customHeight="1" x14ac:dyDescent="0.2">
      <c r="A2811" s="681" t="s">
        <v>1208</v>
      </c>
      <c r="B2811" s="693" t="s">
        <v>5379</v>
      </c>
      <c r="C2811" s="672" t="s">
        <v>977</v>
      </c>
      <c r="D2811" s="673">
        <v>2008</v>
      </c>
      <c r="E2811" s="674">
        <v>5</v>
      </c>
      <c r="F2811" s="675">
        <v>0.2</v>
      </c>
      <c r="G2811" s="676">
        <v>244000</v>
      </c>
      <c r="H2811" s="929">
        <v>0</v>
      </c>
      <c r="I2811" s="929">
        <v>243999</v>
      </c>
      <c r="J2811" s="689">
        <f t="shared" si="44"/>
        <v>1</v>
      </c>
    </row>
    <row r="2812" spans="1:10" ht="12.75" customHeight="1" x14ac:dyDescent="0.2">
      <c r="A2812" s="681" t="s">
        <v>1208</v>
      </c>
      <c r="B2812" s="693" t="s">
        <v>5380</v>
      </c>
      <c r="C2812" s="672" t="s">
        <v>979</v>
      </c>
      <c r="D2812" s="673">
        <v>2009</v>
      </c>
      <c r="E2812" s="674">
        <v>5</v>
      </c>
      <c r="F2812" s="675">
        <v>0.2</v>
      </c>
      <c r="G2812" s="676">
        <v>312030</v>
      </c>
      <c r="H2812" s="929">
        <v>0</v>
      </c>
      <c r="I2812" s="929">
        <v>312029</v>
      </c>
      <c r="J2812" s="689">
        <f t="shared" si="44"/>
        <v>1</v>
      </c>
    </row>
    <row r="2813" spans="1:10" ht="12.75" customHeight="1" x14ac:dyDescent="0.2">
      <c r="A2813" s="681" t="s">
        <v>1208</v>
      </c>
      <c r="B2813" s="693" t="s">
        <v>5381</v>
      </c>
      <c r="C2813" s="672" t="s">
        <v>977</v>
      </c>
      <c r="D2813" s="673">
        <v>2009</v>
      </c>
      <c r="E2813" s="674">
        <v>5</v>
      </c>
      <c r="F2813" s="675">
        <v>0.2</v>
      </c>
      <c r="G2813" s="676">
        <v>312030</v>
      </c>
      <c r="H2813" s="929">
        <v>0</v>
      </c>
      <c r="I2813" s="929">
        <v>312029</v>
      </c>
      <c r="J2813" s="689">
        <f t="shared" si="44"/>
        <v>1</v>
      </c>
    </row>
    <row r="2814" spans="1:10" ht="12.75" customHeight="1" x14ac:dyDescent="0.2">
      <c r="A2814" s="681" t="s">
        <v>1208</v>
      </c>
      <c r="B2814" s="693" t="s">
        <v>5382</v>
      </c>
      <c r="C2814" s="672" t="s">
        <v>982</v>
      </c>
      <c r="D2814" s="673">
        <v>2008</v>
      </c>
      <c r="E2814" s="674">
        <v>5</v>
      </c>
      <c r="F2814" s="675">
        <v>0.2</v>
      </c>
      <c r="G2814" s="676">
        <v>339023</v>
      </c>
      <c r="H2814" s="929">
        <v>0</v>
      </c>
      <c r="I2814" s="929">
        <v>339022</v>
      </c>
      <c r="J2814" s="689">
        <f t="shared" si="44"/>
        <v>1</v>
      </c>
    </row>
    <row r="2815" spans="1:10" ht="12.75" customHeight="1" x14ac:dyDescent="0.2">
      <c r="A2815" s="681" t="s">
        <v>1208</v>
      </c>
      <c r="B2815" s="693" t="s">
        <v>5383</v>
      </c>
      <c r="C2815" s="672" t="s">
        <v>977</v>
      </c>
      <c r="D2815" s="673">
        <v>2009</v>
      </c>
      <c r="E2815" s="674">
        <v>5</v>
      </c>
      <c r="F2815" s="675">
        <v>0.2</v>
      </c>
      <c r="G2815" s="676">
        <v>340000</v>
      </c>
      <c r="H2815" s="929">
        <v>0</v>
      </c>
      <c r="I2815" s="929">
        <v>339999</v>
      </c>
      <c r="J2815" s="689">
        <f t="shared" si="44"/>
        <v>1</v>
      </c>
    </row>
    <row r="2816" spans="1:10" ht="12.75" customHeight="1" x14ac:dyDescent="0.2">
      <c r="A2816" s="681" t="s">
        <v>1208</v>
      </c>
      <c r="B2816" s="693" t="s">
        <v>5384</v>
      </c>
      <c r="C2816" s="672" t="s">
        <v>980</v>
      </c>
      <c r="D2816" s="673">
        <v>2006</v>
      </c>
      <c r="E2816" s="674">
        <v>10</v>
      </c>
      <c r="F2816" s="675">
        <v>0.1</v>
      </c>
      <c r="G2816" s="676">
        <v>350000</v>
      </c>
      <c r="H2816" s="929">
        <v>0</v>
      </c>
      <c r="I2816" s="929">
        <v>349999</v>
      </c>
      <c r="J2816" s="689">
        <f t="shared" si="44"/>
        <v>1</v>
      </c>
    </row>
    <row r="2817" spans="1:10" ht="12.75" customHeight="1" x14ac:dyDescent="0.2">
      <c r="A2817" s="681" t="s">
        <v>1208</v>
      </c>
      <c r="B2817" s="693" t="s">
        <v>5385</v>
      </c>
      <c r="C2817" s="672" t="s">
        <v>980</v>
      </c>
      <c r="D2817" s="673">
        <v>2006</v>
      </c>
      <c r="E2817" s="674">
        <v>10</v>
      </c>
      <c r="F2817" s="675">
        <v>0.1</v>
      </c>
      <c r="G2817" s="676">
        <v>350000</v>
      </c>
      <c r="H2817" s="929">
        <v>0</v>
      </c>
      <c r="I2817" s="929">
        <v>349999</v>
      </c>
      <c r="J2817" s="689">
        <f t="shared" si="44"/>
        <v>1</v>
      </c>
    </row>
    <row r="2818" spans="1:10" ht="12.75" customHeight="1" x14ac:dyDescent="0.2">
      <c r="A2818" s="681" t="s">
        <v>1208</v>
      </c>
      <c r="B2818" s="693" t="s">
        <v>5386</v>
      </c>
      <c r="C2818" s="672" t="s">
        <v>987</v>
      </c>
      <c r="D2818" s="673">
        <v>2003</v>
      </c>
      <c r="E2818" s="674">
        <v>10</v>
      </c>
      <c r="F2818" s="675">
        <v>0.1</v>
      </c>
      <c r="G2818" s="676">
        <v>400000</v>
      </c>
      <c r="H2818" s="929">
        <v>0</v>
      </c>
      <c r="I2818" s="929">
        <v>399999</v>
      </c>
      <c r="J2818" s="689">
        <f t="shared" si="44"/>
        <v>1</v>
      </c>
    </row>
    <row r="2819" spans="1:10" ht="12.75" customHeight="1" x14ac:dyDescent="0.2">
      <c r="A2819" s="681" t="s">
        <v>1208</v>
      </c>
      <c r="B2819" s="693" t="s">
        <v>5387</v>
      </c>
      <c r="C2819" s="672" t="s">
        <v>980</v>
      </c>
      <c r="D2819" s="673">
        <v>2002</v>
      </c>
      <c r="E2819" s="674">
        <v>10</v>
      </c>
      <c r="F2819" s="675">
        <v>0.1</v>
      </c>
      <c r="G2819" s="676">
        <v>429440</v>
      </c>
      <c r="H2819" s="929">
        <v>0</v>
      </c>
      <c r="I2819" s="929">
        <v>429439</v>
      </c>
      <c r="J2819" s="689">
        <f t="shared" si="44"/>
        <v>1</v>
      </c>
    </row>
    <row r="2820" spans="1:10" ht="12.75" customHeight="1" x14ac:dyDescent="0.2">
      <c r="A2820" s="681" t="s">
        <v>1208</v>
      </c>
      <c r="B2820" s="693" t="s">
        <v>5388</v>
      </c>
      <c r="C2820" s="672" t="s">
        <v>987</v>
      </c>
      <c r="D2820" s="673">
        <v>2003</v>
      </c>
      <c r="E2820" s="674">
        <v>10</v>
      </c>
      <c r="F2820" s="675">
        <v>0.1</v>
      </c>
      <c r="G2820" s="676">
        <v>569825</v>
      </c>
      <c r="H2820" s="929">
        <v>0</v>
      </c>
      <c r="I2820" s="929">
        <v>569824</v>
      </c>
      <c r="J2820" s="689">
        <f t="shared" si="44"/>
        <v>1</v>
      </c>
    </row>
    <row r="2821" spans="1:10" ht="12.75" customHeight="1" x14ac:dyDescent="0.2">
      <c r="A2821" s="681" t="s">
        <v>1208</v>
      </c>
      <c r="B2821" s="693" t="s">
        <v>5389</v>
      </c>
      <c r="C2821" s="672" t="s">
        <v>987</v>
      </c>
      <c r="D2821" s="673">
        <v>2003</v>
      </c>
      <c r="E2821" s="674">
        <v>10</v>
      </c>
      <c r="F2821" s="675">
        <v>0.1</v>
      </c>
      <c r="G2821" s="676">
        <v>569825</v>
      </c>
      <c r="H2821" s="929">
        <v>0</v>
      </c>
      <c r="I2821" s="929">
        <v>569824</v>
      </c>
      <c r="J2821" s="689">
        <f t="shared" si="44"/>
        <v>1</v>
      </c>
    </row>
    <row r="2822" spans="1:10" ht="12.75" customHeight="1" x14ac:dyDescent="0.2">
      <c r="A2822" s="681" t="s">
        <v>1208</v>
      </c>
      <c r="B2822" s="693" t="s">
        <v>5390</v>
      </c>
      <c r="C2822" s="672" t="s">
        <v>988</v>
      </c>
      <c r="D2822" s="673">
        <v>2002</v>
      </c>
      <c r="E2822" s="674">
        <v>5</v>
      </c>
      <c r="F2822" s="675">
        <v>0.2</v>
      </c>
      <c r="G2822" s="676">
        <v>623612.80000000005</v>
      </c>
      <c r="H2822" s="929">
        <v>0</v>
      </c>
      <c r="I2822" s="929">
        <v>623611.80000000005</v>
      </c>
      <c r="J2822" s="689">
        <f t="shared" si="44"/>
        <v>1</v>
      </c>
    </row>
    <row r="2823" spans="1:10" ht="12.75" customHeight="1" x14ac:dyDescent="0.2">
      <c r="A2823" s="681" t="s">
        <v>1208</v>
      </c>
      <c r="B2823" s="693" t="s">
        <v>5391</v>
      </c>
      <c r="C2823" s="672" t="s">
        <v>988</v>
      </c>
      <c r="D2823" s="673">
        <v>2002</v>
      </c>
      <c r="E2823" s="674">
        <v>5</v>
      </c>
      <c r="F2823" s="675">
        <v>0.2</v>
      </c>
      <c r="G2823" s="676">
        <v>623612.80000000005</v>
      </c>
      <c r="H2823" s="929">
        <v>0</v>
      </c>
      <c r="I2823" s="929">
        <v>623611.80000000005</v>
      </c>
      <c r="J2823" s="689">
        <f t="shared" ref="J2823:J2886" si="45">G2823-I2823</f>
        <v>1</v>
      </c>
    </row>
    <row r="2824" spans="1:10" ht="12.75" customHeight="1" x14ac:dyDescent="0.2">
      <c r="A2824" s="681" t="s">
        <v>1208</v>
      </c>
      <c r="B2824" s="693" t="s">
        <v>5392</v>
      </c>
      <c r="C2824" s="672" t="s">
        <v>988</v>
      </c>
      <c r="D2824" s="673">
        <v>2002</v>
      </c>
      <c r="E2824" s="674">
        <v>5</v>
      </c>
      <c r="F2824" s="675">
        <v>0.2</v>
      </c>
      <c r="G2824" s="676">
        <v>623612.80000000005</v>
      </c>
      <c r="H2824" s="929">
        <v>0</v>
      </c>
      <c r="I2824" s="929">
        <v>623611.80000000005</v>
      </c>
      <c r="J2824" s="689">
        <f t="shared" si="45"/>
        <v>1</v>
      </c>
    </row>
    <row r="2825" spans="1:10" ht="12.75" customHeight="1" x14ac:dyDescent="0.2">
      <c r="A2825" s="681" t="s">
        <v>1208</v>
      </c>
      <c r="B2825" s="693" t="s">
        <v>5393</v>
      </c>
      <c r="C2825" s="672" t="s">
        <v>988</v>
      </c>
      <c r="D2825" s="673">
        <v>2002</v>
      </c>
      <c r="E2825" s="674">
        <v>5</v>
      </c>
      <c r="F2825" s="675">
        <v>0.2</v>
      </c>
      <c r="G2825" s="676">
        <v>623612.80000000005</v>
      </c>
      <c r="H2825" s="929">
        <v>0</v>
      </c>
      <c r="I2825" s="929">
        <v>623611.80000000005</v>
      </c>
      <c r="J2825" s="689">
        <f t="shared" si="45"/>
        <v>1</v>
      </c>
    </row>
    <row r="2826" spans="1:10" ht="12.75" customHeight="1" x14ac:dyDescent="0.2">
      <c r="A2826" s="681" t="s">
        <v>1208</v>
      </c>
      <c r="B2826" s="693" t="s">
        <v>5394</v>
      </c>
      <c r="C2826" s="672" t="s">
        <v>988</v>
      </c>
      <c r="D2826" s="673">
        <v>2002</v>
      </c>
      <c r="E2826" s="674">
        <v>5</v>
      </c>
      <c r="F2826" s="675">
        <v>0.2</v>
      </c>
      <c r="G2826" s="676">
        <v>623612.80000000005</v>
      </c>
      <c r="H2826" s="929">
        <v>0</v>
      </c>
      <c r="I2826" s="929">
        <v>623611.80000000005</v>
      </c>
      <c r="J2826" s="689">
        <f t="shared" si="45"/>
        <v>1</v>
      </c>
    </row>
    <row r="2827" spans="1:10" ht="12.75" customHeight="1" x14ac:dyDescent="0.2">
      <c r="A2827" s="681" t="s">
        <v>1208</v>
      </c>
      <c r="B2827" s="693" t="s">
        <v>5395</v>
      </c>
      <c r="C2827" s="672" t="s">
        <v>988</v>
      </c>
      <c r="D2827" s="673">
        <v>2002</v>
      </c>
      <c r="E2827" s="674">
        <v>5</v>
      </c>
      <c r="F2827" s="675">
        <v>0.2</v>
      </c>
      <c r="G2827" s="676">
        <v>623612.80000000005</v>
      </c>
      <c r="H2827" s="929">
        <v>0</v>
      </c>
      <c r="I2827" s="929">
        <v>623611.80000000005</v>
      </c>
      <c r="J2827" s="689">
        <f t="shared" si="45"/>
        <v>1</v>
      </c>
    </row>
    <row r="2828" spans="1:10" ht="12.75" customHeight="1" x14ac:dyDescent="0.2">
      <c r="A2828" s="681" t="s">
        <v>1208</v>
      </c>
      <c r="B2828" s="693" t="s">
        <v>5396</v>
      </c>
      <c r="C2828" s="672" t="s">
        <v>988</v>
      </c>
      <c r="D2828" s="673">
        <v>2003</v>
      </c>
      <c r="E2828" s="674">
        <v>5</v>
      </c>
      <c r="F2828" s="675">
        <v>0.2</v>
      </c>
      <c r="G2828" s="676">
        <v>623612.80000000005</v>
      </c>
      <c r="H2828" s="929">
        <v>0</v>
      </c>
      <c r="I2828" s="929">
        <v>623611.80000000005</v>
      </c>
      <c r="J2828" s="689">
        <f t="shared" si="45"/>
        <v>1</v>
      </c>
    </row>
    <row r="2829" spans="1:10" ht="12.75" customHeight="1" x14ac:dyDescent="0.2">
      <c r="A2829" s="681" t="s">
        <v>1208</v>
      </c>
      <c r="B2829" s="693" t="s">
        <v>5397</v>
      </c>
      <c r="C2829" s="672" t="s">
        <v>988</v>
      </c>
      <c r="D2829" s="673">
        <v>2005</v>
      </c>
      <c r="E2829" s="674">
        <v>5</v>
      </c>
      <c r="F2829" s="675">
        <v>0.2</v>
      </c>
      <c r="G2829" s="676">
        <v>814000</v>
      </c>
      <c r="H2829" s="929">
        <v>0</v>
      </c>
      <c r="I2829" s="929">
        <v>813999</v>
      </c>
      <c r="J2829" s="689">
        <f t="shared" si="45"/>
        <v>1</v>
      </c>
    </row>
    <row r="2830" spans="1:10" ht="12.75" customHeight="1" x14ac:dyDescent="0.2">
      <c r="A2830" s="681" t="s">
        <v>1208</v>
      </c>
      <c r="B2830" s="693" t="s">
        <v>5398</v>
      </c>
      <c r="C2830" s="672" t="s">
        <v>988</v>
      </c>
      <c r="D2830" s="673">
        <v>2008</v>
      </c>
      <c r="E2830" s="674">
        <v>5</v>
      </c>
      <c r="F2830" s="675">
        <v>0.2</v>
      </c>
      <c r="G2830" s="676">
        <v>824000</v>
      </c>
      <c r="H2830" s="929">
        <v>0</v>
      </c>
      <c r="I2830" s="929">
        <v>823999</v>
      </c>
      <c r="J2830" s="689">
        <f t="shared" si="45"/>
        <v>1</v>
      </c>
    </row>
    <row r="2831" spans="1:10" ht="12.75" customHeight="1" x14ac:dyDescent="0.2">
      <c r="A2831" s="681" t="s">
        <v>1208</v>
      </c>
      <c r="B2831" s="693" t="s">
        <v>5399</v>
      </c>
      <c r="C2831" s="672" t="s">
        <v>988</v>
      </c>
      <c r="D2831" s="673">
        <v>2008</v>
      </c>
      <c r="E2831" s="674">
        <v>5</v>
      </c>
      <c r="F2831" s="675">
        <v>0.2</v>
      </c>
      <c r="G2831" s="676">
        <v>824000</v>
      </c>
      <c r="H2831" s="929">
        <v>0</v>
      </c>
      <c r="I2831" s="929">
        <v>823999</v>
      </c>
      <c r="J2831" s="689">
        <f t="shared" si="45"/>
        <v>1</v>
      </c>
    </row>
    <row r="2832" spans="1:10" ht="12.75" customHeight="1" x14ac:dyDescent="0.2">
      <c r="A2832" s="681" t="s">
        <v>1208</v>
      </c>
      <c r="B2832" s="693" t="s">
        <v>5400</v>
      </c>
      <c r="C2832" s="672" t="s">
        <v>988</v>
      </c>
      <c r="D2832" s="673">
        <v>2008</v>
      </c>
      <c r="E2832" s="674">
        <v>5</v>
      </c>
      <c r="F2832" s="675">
        <v>0.2</v>
      </c>
      <c r="G2832" s="676">
        <v>824000</v>
      </c>
      <c r="H2832" s="929">
        <v>0</v>
      </c>
      <c r="I2832" s="929">
        <v>823999</v>
      </c>
      <c r="J2832" s="689">
        <f t="shared" si="45"/>
        <v>1</v>
      </c>
    </row>
    <row r="2833" spans="1:10" ht="12.75" customHeight="1" x14ac:dyDescent="0.2">
      <c r="A2833" s="681" t="s">
        <v>1208</v>
      </c>
      <c r="B2833" s="693" t="s">
        <v>5401</v>
      </c>
      <c r="C2833" s="672" t="s">
        <v>988</v>
      </c>
      <c r="D2833" s="673">
        <v>2008</v>
      </c>
      <c r="E2833" s="674">
        <v>5</v>
      </c>
      <c r="F2833" s="675">
        <v>0.2</v>
      </c>
      <c r="G2833" s="676">
        <v>824000</v>
      </c>
      <c r="H2833" s="929">
        <v>0</v>
      </c>
      <c r="I2833" s="929">
        <v>823999</v>
      </c>
      <c r="J2833" s="689">
        <f t="shared" si="45"/>
        <v>1</v>
      </c>
    </row>
    <row r="2834" spans="1:10" ht="12.75" customHeight="1" x14ac:dyDescent="0.2">
      <c r="A2834" s="681" t="s">
        <v>1208</v>
      </c>
      <c r="B2834" s="693" t="s">
        <v>5402</v>
      </c>
      <c r="C2834" s="672" t="s">
        <v>988</v>
      </c>
      <c r="D2834" s="673">
        <v>2008</v>
      </c>
      <c r="E2834" s="674">
        <v>5</v>
      </c>
      <c r="F2834" s="675">
        <v>0.2</v>
      </c>
      <c r="G2834" s="676">
        <v>824000</v>
      </c>
      <c r="H2834" s="929">
        <v>0</v>
      </c>
      <c r="I2834" s="929">
        <v>823999</v>
      </c>
      <c r="J2834" s="689">
        <f t="shared" si="45"/>
        <v>1</v>
      </c>
    </row>
    <row r="2835" spans="1:10" ht="12.75" customHeight="1" x14ac:dyDescent="0.2">
      <c r="A2835" s="681" t="s">
        <v>1208</v>
      </c>
      <c r="B2835" s="693" t="s">
        <v>5403</v>
      </c>
      <c r="C2835" s="672" t="s">
        <v>988</v>
      </c>
      <c r="D2835" s="673">
        <v>2008</v>
      </c>
      <c r="E2835" s="674">
        <v>5</v>
      </c>
      <c r="F2835" s="675">
        <v>0.2</v>
      </c>
      <c r="G2835" s="676">
        <v>824000</v>
      </c>
      <c r="H2835" s="929">
        <v>0</v>
      </c>
      <c r="I2835" s="929">
        <v>823999</v>
      </c>
      <c r="J2835" s="689">
        <f t="shared" si="45"/>
        <v>1</v>
      </c>
    </row>
    <row r="2836" spans="1:10" ht="12.75" customHeight="1" x14ac:dyDescent="0.2">
      <c r="A2836" s="681" t="s">
        <v>1208</v>
      </c>
      <c r="B2836" s="693" t="s">
        <v>5404</v>
      </c>
      <c r="C2836" s="672" t="s">
        <v>988</v>
      </c>
      <c r="D2836" s="673">
        <v>2008</v>
      </c>
      <c r="E2836" s="674">
        <v>5</v>
      </c>
      <c r="F2836" s="675">
        <v>0.2</v>
      </c>
      <c r="G2836" s="676">
        <v>824000</v>
      </c>
      <c r="H2836" s="929">
        <v>0</v>
      </c>
      <c r="I2836" s="929">
        <v>823999</v>
      </c>
      <c r="J2836" s="689">
        <f t="shared" si="45"/>
        <v>1</v>
      </c>
    </row>
    <row r="2837" spans="1:10" ht="12.75" customHeight="1" x14ac:dyDescent="0.2">
      <c r="A2837" s="681" t="s">
        <v>1208</v>
      </c>
      <c r="B2837" s="693" t="s">
        <v>5405</v>
      </c>
      <c r="C2837" s="672" t="s">
        <v>988</v>
      </c>
      <c r="D2837" s="673">
        <v>2008</v>
      </c>
      <c r="E2837" s="674">
        <v>5</v>
      </c>
      <c r="F2837" s="675">
        <v>0.2</v>
      </c>
      <c r="G2837" s="676">
        <v>824000</v>
      </c>
      <c r="H2837" s="929">
        <v>0</v>
      </c>
      <c r="I2837" s="929">
        <v>823999</v>
      </c>
      <c r="J2837" s="689">
        <f t="shared" si="45"/>
        <v>1</v>
      </c>
    </row>
    <row r="2838" spans="1:10" ht="12.75" customHeight="1" x14ac:dyDescent="0.2">
      <c r="A2838" s="681" t="s">
        <v>1208</v>
      </c>
      <c r="B2838" s="693" t="s">
        <v>5406</v>
      </c>
      <c r="C2838" s="672" t="s">
        <v>988</v>
      </c>
      <c r="D2838" s="673">
        <v>2008</v>
      </c>
      <c r="E2838" s="674">
        <v>5</v>
      </c>
      <c r="F2838" s="675">
        <v>0.2</v>
      </c>
      <c r="G2838" s="676">
        <v>824000</v>
      </c>
      <c r="H2838" s="929">
        <v>0</v>
      </c>
      <c r="I2838" s="929">
        <v>823999</v>
      </c>
      <c r="J2838" s="689">
        <f t="shared" si="45"/>
        <v>1</v>
      </c>
    </row>
    <row r="2839" spans="1:10" ht="12.75" customHeight="1" x14ac:dyDescent="0.2">
      <c r="A2839" s="681" t="s">
        <v>1208</v>
      </c>
      <c r="B2839" s="693" t="s">
        <v>5407</v>
      </c>
      <c r="C2839" s="672" t="s">
        <v>988</v>
      </c>
      <c r="D2839" s="673">
        <v>2008</v>
      </c>
      <c r="E2839" s="674">
        <v>5</v>
      </c>
      <c r="F2839" s="675">
        <v>0.2</v>
      </c>
      <c r="G2839" s="676">
        <v>824074</v>
      </c>
      <c r="H2839" s="929">
        <v>0</v>
      </c>
      <c r="I2839" s="929">
        <v>824073</v>
      </c>
      <c r="J2839" s="689">
        <f t="shared" si="45"/>
        <v>1</v>
      </c>
    </row>
    <row r="2840" spans="1:10" ht="12.75" customHeight="1" x14ac:dyDescent="0.2">
      <c r="A2840" s="681" t="s">
        <v>2372</v>
      </c>
      <c r="B2840" s="693" t="s">
        <v>5408</v>
      </c>
      <c r="C2840" s="672" t="s">
        <v>1045</v>
      </c>
      <c r="D2840" s="673">
        <v>39498</v>
      </c>
      <c r="E2840" s="674">
        <v>3</v>
      </c>
      <c r="F2840" s="675">
        <v>0.33</v>
      </c>
      <c r="G2840" s="676">
        <v>856338</v>
      </c>
      <c r="H2840" s="929">
        <v>0</v>
      </c>
      <c r="I2840" s="929">
        <v>856336</v>
      </c>
      <c r="J2840" s="689">
        <f t="shared" si="45"/>
        <v>2</v>
      </c>
    </row>
    <row r="2841" spans="1:10" ht="12.75" customHeight="1" x14ac:dyDescent="0.2">
      <c r="A2841" s="681" t="s">
        <v>1208</v>
      </c>
      <c r="B2841" s="693" t="s">
        <v>5409</v>
      </c>
      <c r="C2841" s="672" t="s">
        <v>984</v>
      </c>
      <c r="D2841" s="673">
        <v>1999</v>
      </c>
      <c r="E2841" s="674">
        <v>5</v>
      </c>
      <c r="F2841" s="675">
        <v>0.2</v>
      </c>
      <c r="G2841" s="676">
        <v>910800</v>
      </c>
      <c r="H2841" s="929">
        <v>0</v>
      </c>
      <c r="I2841" s="929">
        <v>910800</v>
      </c>
      <c r="J2841" s="689">
        <f t="shared" si="45"/>
        <v>0</v>
      </c>
    </row>
    <row r="2842" spans="1:10" ht="12.75" customHeight="1" x14ac:dyDescent="0.2">
      <c r="A2842" s="681" t="s">
        <v>1208</v>
      </c>
      <c r="B2842" s="693" t="s">
        <v>5410</v>
      </c>
      <c r="C2842" s="672" t="s">
        <v>984</v>
      </c>
      <c r="D2842" s="673">
        <v>1999</v>
      </c>
      <c r="E2842" s="674">
        <v>5</v>
      </c>
      <c r="F2842" s="675">
        <v>0.2</v>
      </c>
      <c r="G2842" s="676">
        <v>910800</v>
      </c>
      <c r="H2842" s="929">
        <v>0</v>
      </c>
      <c r="I2842" s="929">
        <v>910800</v>
      </c>
      <c r="J2842" s="689">
        <f t="shared" si="45"/>
        <v>0</v>
      </c>
    </row>
    <row r="2843" spans="1:10" ht="12.75" customHeight="1" x14ac:dyDescent="0.2">
      <c r="A2843" s="681"/>
      <c r="B2843" s="693"/>
      <c r="C2843" s="672"/>
      <c r="D2843" s="673"/>
      <c r="E2843" s="674"/>
      <c r="F2843" s="675"/>
      <c r="G2843" s="676"/>
      <c r="H2843" s="929"/>
      <c r="I2843" s="929"/>
      <c r="J2843" s="689"/>
    </row>
    <row r="2844" spans="1:10" ht="12.75" customHeight="1" x14ac:dyDescent="0.2">
      <c r="A2844" s="681" t="s">
        <v>2370</v>
      </c>
      <c r="B2844" s="693" t="s">
        <v>5411</v>
      </c>
      <c r="C2844" s="672" t="s">
        <v>791</v>
      </c>
      <c r="D2844" s="673">
        <v>38403</v>
      </c>
      <c r="E2844" s="674">
        <v>10</v>
      </c>
      <c r="F2844" s="675">
        <v>0.1</v>
      </c>
      <c r="G2844" s="676">
        <v>1541</v>
      </c>
      <c r="H2844" s="929">
        <v>0</v>
      </c>
      <c r="I2844" s="929">
        <v>1541</v>
      </c>
      <c r="J2844" s="689">
        <f t="shared" si="45"/>
        <v>0</v>
      </c>
    </row>
    <row r="2845" spans="1:10" ht="12.75" customHeight="1" x14ac:dyDescent="0.2">
      <c r="A2845" s="681" t="s">
        <v>2370</v>
      </c>
      <c r="B2845" s="693" t="s">
        <v>5412</v>
      </c>
      <c r="C2845" s="672" t="s">
        <v>791</v>
      </c>
      <c r="D2845" s="673">
        <v>38403</v>
      </c>
      <c r="E2845" s="674">
        <v>10</v>
      </c>
      <c r="F2845" s="675">
        <v>0.1</v>
      </c>
      <c r="G2845" s="676">
        <v>2300</v>
      </c>
      <c r="H2845" s="929">
        <v>0</v>
      </c>
      <c r="I2845" s="929">
        <v>2300</v>
      </c>
      <c r="J2845" s="689">
        <f t="shared" si="45"/>
        <v>0</v>
      </c>
    </row>
    <row r="2846" spans="1:10" ht="12.75" customHeight="1" x14ac:dyDescent="0.2">
      <c r="A2846" s="681" t="s">
        <v>2370</v>
      </c>
      <c r="B2846" s="693" t="s">
        <v>5413</v>
      </c>
      <c r="C2846" s="672" t="s">
        <v>791</v>
      </c>
      <c r="D2846" s="673">
        <v>38403</v>
      </c>
      <c r="E2846" s="674">
        <v>10</v>
      </c>
      <c r="F2846" s="675">
        <v>0.1</v>
      </c>
      <c r="G2846" s="676">
        <v>2334</v>
      </c>
      <c r="H2846" s="929">
        <v>0</v>
      </c>
      <c r="I2846" s="929">
        <v>2334</v>
      </c>
      <c r="J2846" s="689">
        <f t="shared" si="45"/>
        <v>0</v>
      </c>
    </row>
    <row r="2847" spans="1:10" ht="12.75" customHeight="1" x14ac:dyDescent="0.2">
      <c r="A2847" s="681" t="s">
        <v>2370</v>
      </c>
      <c r="B2847" s="693" t="s">
        <v>5414</v>
      </c>
      <c r="C2847" s="672" t="s">
        <v>791</v>
      </c>
      <c r="D2847" s="673">
        <v>38403</v>
      </c>
      <c r="E2847" s="674">
        <v>10</v>
      </c>
      <c r="F2847" s="675">
        <v>0.1</v>
      </c>
      <c r="G2847" s="676">
        <v>2760</v>
      </c>
      <c r="H2847" s="929">
        <v>0</v>
      </c>
      <c r="I2847" s="929">
        <v>2760</v>
      </c>
      <c r="J2847" s="689">
        <f t="shared" si="45"/>
        <v>0</v>
      </c>
    </row>
    <row r="2848" spans="1:10" ht="12.75" customHeight="1" x14ac:dyDescent="0.2">
      <c r="A2848" s="681" t="s">
        <v>2370</v>
      </c>
      <c r="B2848" s="693" t="s">
        <v>5415</v>
      </c>
      <c r="C2848" s="672" t="s">
        <v>791</v>
      </c>
      <c r="D2848" s="673">
        <v>38403</v>
      </c>
      <c r="E2848" s="674">
        <v>10</v>
      </c>
      <c r="F2848" s="675">
        <v>0.1</v>
      </c>
      <c r="G2848" s="676">
        <v>3198</v>
      </c>
      <c r="H2848" s="929">
        <v>0</v>
      </c>
      <c r="I2848" s="929">
        <v>3198</v>
      </c>
      <c r="J2848" s="689">
        <f t="shared" si="45"/>
        <v>0</v>
      </c>
    </row>
    <row r="2849" spans="1:10" ht="12.75" customHeight="1" x14ac:dyDescent="0.2">
      <c r="A2849" s="681" t="s">
        <v>2370</v>
      </c>
      <c r="B2849" s="693" t="s">
        <v>5416</v>
      </c>
      <c r="C2849" s="672" t="s">
        <v>791</v>
      </c>
      <c r="D2849" s="673">
        <v>38403</v>
      </c>
      <c r="E2849" s="674">
        <v>10</v>
      </c>
      <c r="F2849" s="675">
        <v>0.1</v>
      </c>
      <c r="G2849" s="676">
        <v>3873</v>
      </c>
      <c r="H2849" s="929">
        <v>0</v>
      </c>
      <c r="I2849" s="929">
        <v>3873</v>
      </c>
      <c r="J2849" s="689">
        <f t="shared" si="45"/>
        <v>0</v>
      </c>
    </row>
    <row r="2850" spans="1:10" ht="12.75" customHeight="1" x14ac:dyDescent="0.2">
      <c r="A2850" s="681" t="s">
        <v>2370</v>
      </c>
      <c r="B2850" s="693" t="s">
        <v>5417</v>
      </c>
      <c r="C2850" s="672" t="s">
        <v>791</v>
      </c>
      <c r="D2850" s="673">
        <v>38403</v>
      </c>
      <c r="E2850" s="674">
        <v>10</v>
      </c>
      <c r="F2850" s="675">
        <v>0.1</v>
      </c>
      <c r="G2850" s="676">
        <v>3873</v>
      </c>
      <c r="H2850" s="929">
        <v>0</v>
      </c>
      <c r="I2850" s="929">
        <v>3873</v>
      </c>
      <c r="J2850" s="689">
        <f t="shared" si="45"/>
        <v>0</v>
      </c>
    </row>
    <row r="2851" spans="1:10" ht="12.75" customHeight="1" x14ac:dyDescent="0.2">
      <c r="A2851" s="681" t="s">
        <v>2370</v>
      </c>
      <c r="B2851" s="693" t="s">
        <v>5418</v>
      </c>
      <c r="C2851" s="672" t="s">
        <v>791</v>
      </c>
      <c r="D2851" s="673">
        <v>38403</v>
      </c>
      <c r="E2851" s="674">
        <v>10</v>
      </c>
      <c r="F2851" s="675">
        <v>0.1</v>
      </c>
      <c r="G2851" s="676">
        <v>4370</v>
      </c>
      <c r="H2851" s="929">
        <v>0</v>
      </c>
      <c r="I2851" s="929">
        <v>4370</v>
      </c>
      <c r="J2851" s="689">
        <f t="shared" si="45"/>
        <v>0</v>
      </c>
    </row>
    <row r="2852" spans="1:10" ht="12.75" customHeight="1" x14ac:dyDescent="0.2">
      <c r="A2852" s="681" t="s">
        <v>1208</v>
      </c>
      <c r="B2852" s="693" t="s">
        <v>5558</v>
      </c>
      <c r="C2852" s="672" t="s">
        <v>979</v>
      </c>
      <c r="D2852" s="673">
        <v>40361</v>
      </c>
      <c r="E2852" s="674">
        <v>5</v>
      </c>
      <c r="F2852" s="675">
        <v>0.2</v>
      </c>
      <c r="G2852" s="676">
        <v>236700</v>
      </c>
      <c r="H2852" s="929">
        <v>0</v>
      </c>
      <c r="I2852" s="929">
        <v>236700</v>
      </c>
      <c r="J2852" s="689">
        <f t="shared" si="45"/>
        <v>0</v>
      </c>
    </row>
    <row r="2853" spans="1:10" ht="12.75" customHeight="1" x14ac:dyDescent="0.2">
      <c r="A2853" s="681" t="s">
        <v>1208</v>
      </c>
      <c r="B2853" s="693" t="s">
        <v>5559</v>
      </c>
      <c r="C2853" s="672" t="s">
        <v>979</v>
      </c>
      <c r="D2853" s="673">
        <v>40361</v>
      </c>
      <c r="E2853" s="674">
        <v>5</v>
      </c>
      <c r="F2853" s="675">
        <v>0.2</v>
      </c>
      <c r="G2853" s="676">
        <v>236700</v>
      </c>
      <c r="H2853" s="929">
        <v>0</v>
      </c>
      <c r="I2853" s="929">
        <v>236700</v>
      </c>
      <c r="J2853" s="689">
        <f t="shared" si="45"/>
        <v>0</v>
      </c>
    </row>
    <row r="2854" spans="1:10" ht="12.75" customHeight="1" x14ac:dyDescent="0.2">
      <c r="A2854" s="681" t="s">
        <v>1208</v>
      </c>
      <c r="B2854" s="693" t="s">
        <v>5560</v>
      </c>
      <c r="C2854" s="672" t="s">
        <v>979</v>
      </c>
      <c r="D2854" s="673">
        <v>40361</v>
      </c>
      <c r="E2854" s="674">
        <v>5</v>
      </c>
      <c r="F2854" s="675">
        <v>0.2</v>
      </c>
      <c r="G2854" s="676">
        <v>236700</v>
      </c>
      <c r="H2854" s="929">
        <v>0</v>
      </c>
      <c r="I2854" s="929">
        <v>236700</v>
      </c>
      <c r="J2854" s="689">
        <f t="shared" si="45"/>
        <v>0</v>
      </c>
    </row>
    <row r="2855" spans="1:10" ht="12.75" customHeight="1" x14ac:dyDescent="0.2">
      <c r="A2855" s="681" t="s">
        <v>1208</v>
      </c>
      <c r="B2855" s="693" t="s">
        <v>5561</v>
      </c>
      <c r="C2855" s="672" t="s">
        <v>979</v>
      </c>
      <c r="D2855" s="673">
        <v>40361</v>
      </c>
      <c r="E2855" s="674">
        <v>5</v>
      </c>
      <c r="F2855" s="675">
        <v>0.2</v>
      </c>
      <c r="G2855" s="676">
        <v>236700</v>
      </c>
      <c r="H2855" s="929">
        <v>0</v>
      </c>
      <c r="I2855" s="929">
        <v>236700</v>
      </c>
      <c r="J2855" s="689">
        <f t="shared" si="45"/>
        <v>0</v>
      </c>
    </row>
    <row r="2856" spans="1:10" ht="12.75" customHeight="1" x14ac:dyDescent="0.2">
      <c r="A2856" s="681" t="s">
        <v>1208</v>
      </c>
      <c r="B2856" s="693" t="s">
        <v>5562</v>
      </c>
      <c r="C2856" s="672" t="s">
        <v>979</v>
      </c>
      <c r="D2856" s="673">
        <v>40361</v>
      </c>
      <c r="E2856" s="674">
        <v>5</v>
      </c>
      <c r="F2856" s="675">
        <v>0.2</v>
      </c>
      <c r="G2856" s="676">
        <v>236700</v>
      </c>
      <c r="H2856" s="929">
        <v>0</v>
      </c>
      <c r="I2856" s="929">
        <v>236700</v>
      </c>
      <c r="J2856" s="689">
        <f t="shared" si="45"/>
        <v>0</v>
      </c>
    </row>
    <row r="2857" spans="1:10" ht="12.75" customHeight="1" x14ac:dyDescent="0.2">
      <c r="A2857" s="681" t="s">
        <v>1208</v>
      </c>
      <c r="B2857" s="693" t="s">
        <v>5563</v>
      </c>
      <c r="C2857" s="672" t="s">
        <v>979</v>
      </c>
      <c r="D2857" s="673">
        <v>40361</v>
      </c>
      <c r="E2857" s="674">
        <v>5</v>
      </c>
      <c r="F2857" s="675">
        <v>0.2</v>
      </c>
      <c r="G2857" s="676">
        <v>236701</v>
      </c>
      <c r="H2857" s="929">
        <v>0</v>
      </c>
      <c r="I2857" s="929">
        <v>236701</v>
      </c>
      <c r="J2857" s="689">
        <f t="shared" si="45"/>
        <v>0</v>
      </c>
    </row>
    <row r="2858" spans="1:10" ht="12.75" customHeight="1" x14ac:dyDescent="0.2">
      <c r="A2858" s="681" t="s">
        <v>1208</v>
      </c>
      <c r="B2858" s="693" t="s">
        <v>5564</v>
      </c>
      <c r="C2858" s="672" t="s">
        <v>979</v>
      </c>
      <c r="D2858" s="673">
        <v>40361</v>
      </c>
      <c r="E2858" s="674">
        <v>5</v>
      </c>
      <c r="F2858" s="675">
        <v>0.2</v>
      </c>
      <c r="G2858" s="676">
        <v>239800</v>
      </c>
      <c r="H2858" s="929">
        <v>0</v>
      </c>
      <c r="I2858" s="929">
        <v>239800</v>
      </c>
      <c r="J2858" s="689">
        <f t="shared" si="45"/>
        <v>0</v>
      </c>
    </row>
    <row r="2859" spans="1:10" ht="12.75" customHeight="1" x14ac:dyDescent="0.2">
      <c r="A2859" s="681" t="s">
        <v>1208</v>
      </c>
      <c r="B2859" s="693" t="s">
        <v>5565</v>
      </c>
      <c r="C2859" s="672" t="s">
        <v>979</v>
      </c>
      <c r="D2859" s="673">
        <v>40361</v>
      </c>
      <c r="E2859" s="674">
        <v>5</v>
      </c>
      <c r="F2859" s="675">
        <v>0.2</v>
      </c>
      <c r="G2859" s="676">
        <v>239800</v>
      </c>
      <c r="H2859" s="929">
        <v>0</v>
      </c>
      <c r="I2859" s="929">
        <v>239800</v>
      </c>
      <c r="J2859" s="689">
        <f t="shared" si="45"/>
        <v>0</v>
      </c>
    </row>
    <row r="2860" spans="1:10" ht="12.75" customHeight="1" x14ac:dyDescent="0.2">
      <c r="A2860" s="681" t="s">
        <v>2370</v>
      </c>
      <c r="B2860" s="693" t="s">
        <v>5600</v>
      </c>
      <c r="C2860" s="672" t="s">
        <v>907</v>
      </c>
      <c r="D2860" s="673">
        <v>40959</v>
      </c>
      <c r="E2860" s="674">
        <v>3</v>
      </c>
      <c r="F2860" s="675">
        <v>0.33</v>
      </c>
      <c r="G2860" s="676">
        <v>7778</v>
      </c>
      <c r="H2860" s="929">
        <v>0</v>
      </c>
      <c r="I2860" s="929">
        <v>7777</v>
      </c>
      <c r="J2860" s="689">
        <f t="shared" si="45"/>
        <v>1</v>
      </c>
    </row>
    <row r="2861" spans="1:10" ht="12.75" customHeight="1" x14ac:dyDescent="0.2">
      <c r="A2861" s="681" t="s">
        <v>2370</v>
      </c>
      <c r="B2861" s="693" t="s">
        <v>5601</v>
      </c>
      <c r="C2861" s="672" t="s">
        <v>907</v>
      </c>
      <c r="D2861" s="673">
        <v>40959</v>
      </c>
      <c r="E2861" s="674">
        <v>3</v>
      </c>
      <c r="F2861" s="675">
        <v>0.33</v>
      </c>
      <c r="G2861" s="676">
        <v>7778</v>
      </c>
      <c r="H2861" s="929">
        <v>0</v>
      </c>
      <c r="I2861" s="929">
        <v>7777</v>
      </c>
      <c r="J2861" s="689">
        <f t="shared" si="45"/>
        <v>1</v>
      </c>
    </row>
    <row r="2862" spans="1:10" ht="12.75" customHeight="1" x14ac:dyDescent="0.2">
      <c r="A2862" s="681" t="s">
        <v>2370</v>
      </c>
      <c r="B2862" s="693" t="s">
        <v>5634</v>
      </c>
      <c r="C2862" s="672" t="s">
        <v>907</v>
      </c>
      <c r="D2862" s="673">
        <v>40959</v>
      </c>
      <c r="E2862" s="674">
        <v>3</v>
      </c>
      <c r="F2862" s="675">
        <v>0.33</v>
      </c>
      <c r="G2862" s="676">
        <v>4176</v>
      </c>
      <c r="H2862" s="929">
        <v>0</v>
      </c>
      <c r="I2862" s="929">
        <v>4175</v>
      </c>
      <c r="J2862" s="689">
        <f t="shared" si="45"/>
        <v>1</v>
      </c>
    </row>
    <row r="2863" spans="1:10" ht="12.75" customHeight="1" x14ac:dyDescent="0.2">
      <c r="A2863" s="681" t="s">
        <v>2370</v>
      </c>
      <c r="B2863" s="693" t="s">
        <v>5617</v>
      </c>
      <c r="C2863" s="672" t="s">
        <v>916</v>
      </c>
      <c r="D2863" s="673">
        <v>40959</v>
      </c>
      <c r="E2863" s="674">
        <v>3</v>
      </c>
      <c r="F2863" s="675">
        <v>0.33</v>
      </c>
      <c r="G2863" s="676">
        <v>5199</v>
      </c>
      <c r="H2863" s="929">
        <v>0</v>
      </c>
      <c r="I2863" s="929">
        <v>5198</v>
      </c>
      <c r="J2863" s="689">
        <f t="shared" si="45"/>
        <v>1</v>
      </c>
    </row>
    <row r="2864" spans="1:10" ht="12.75" customHeight="1" x14ac:dyDescent="0.2">
      <c r="A2864" s="681" t="s">
        <v>2370</v>
      </c>
      <c r="B2864" s="693" t="s">
        <v>5627</v>
      </c>
      <c r="C2864" s="672" t="s">
        <v>916</v>
      </c>
      <c r="D2864" s="673">
        <v>40959</v>
      </c>
      <c r="E2864" s="674">
        <v>3</v>
      </c>
      <c r="F2864" s="675">
        <v>0.33</v>
      </c>
      <c r="G2864" s="676">
        <v>4756</v>
      </c>
      <c r="H2864" s="929">
        <v>0</v>
      </c>
      <c r="I2864" s="929">
        <v>4755</v>
      </c>
      <c r="J2864" s="689">
        <f t="shared" si="45"/>
        <v>1</v>
      </c>
    </row>
    <row r="2865" spans="1:10" ht="12.75" customHeight="1" x14ac:dyDescent="0.2">
      <c r="A2865" s="681" t="s">
        <v>2370</v>
      </c>
      <c r="B2865" s="693" t="s">
        <v>5628</v>
      </c>
      <c r="C2865" s="672" t="s">
        <v>916</v>
      </c>
      <c r="D2865" s="673">
        <v>40959</v>
      </c>
      <c r="E2865" s="674">
        <v>3</v>
      </c>
      <c r="F2865" s="675">
        <v>0.33</v>
      </c>
      <c r="G2865" s="676">
        <v>4756</v>
      </c>
      <c r="H2865" s="929">
        <v>0</v>
      </c>
      <c r="I2865" s="929">
        <v>4755</v>
      </c>
      <c r="J2865" s="689">
        <f t="shared" si="45"/>
        <v>1</v>
      </c>
    </row>
    <row r="2866" spans="1:10" ht="12.75" customHeight="1" x14ac:dyDescent="0.2">
      <c r="A2866" s="681" t="s">
        <v>2370</v>
      </c>
      <c r="B2866" s="693" t="s">
        <v>5629</v>
      </c>
      <c r="C2866" s="672" t="s">
        <v>916</v>
      </c>
      <c r="D2866" s="673">
        <v>40959</v>
      </c>
      <c r="E2866" s="674">
        <v>3</v>
      </c>
      <c r="F2866" s="675">
        <v>0.33</v>
      </c>
      <c r="G2866" s="676">
        <v>4756</v>
      </c>
      <c r="H2866" s="929">
        <v>0</v>
      </c>
      <c r="I2866" s="929">
        <v>4755</v>
      </c>
      <c r="J2866" s="689">
        <f t="shared" si="45"/>
        <v>1</v>
      </c>
    </row>
    <row r="2867" spans="1:10" ht="12.75" customHeight="1" x14ac:dyDescent="0.2">
      <c r="A2867" s="681" t="s">
        <v>2370</v>
      </c>
      <c r="B2867" s="693" t="s">
        <v>5635</v>
      </c>
      <c r="C2867" s="672" t="s">
        <v>916</v>
      </c>
      <c r="D2867" s="673">
        <v>40959</v>
      </c>
      <c r="E2867" s="674">
        <v>3</v>
      </c>
      <c r="F2867" s="675">
        <v>0.33</v>
      </c>
      <c r="G2867" s="676">
        <v>4176</v>
      </c>
      <c r="H2867" s="929">
        <v>0</v>
      </c>
      <c r="I2867" s="929">
        <v>4175</v>
      </c>
      <c r="J2867" s="689">
        <f t="shared" si="45"/>
        <v>1</v>
      </c>
    </row>
    <row r="2868" spans="1:10" ht="12.75" customHeight="1" x14ac:dyDescent="0.2">
      <c r="A2868" s="681" t="s">
        <v>2370</v>
      </c>
      <c r="B2868" s="693" t="s">
        <v>5636</v>
      </c>
      <c r="C2868" s="672" t="s">
        <v>916</v>
      </c>
      <c r="D2868" s="673">
        <v>40959</v>
      </c>
      <c r="E2868" s="674">
        <v>3</v>
      </c>
      <c r="F2868" s="675">
        <v>0.33</v>
      </c>
      <c r="G2868" s="676">
        <v>4176</v>
      </c>
      <c r="H2868" s="929">
        <v>0</v>
      </c>
      <c r="I2868" s="929">
        <v>4175</v>
      </c>
      <c r="J2868" s="689">
        <f t="shared" si="45"/>
        <v>1</v>
      </c>
    </row>
    <row r="2869" spans="1:10" ht="12.75" customHeight="1" x14ac:dyDescent="0.2">
      <c r="A2869" s="681" t="s">
        <v>2370</v>
      </c>
      <c r="B2869" s="693" t="s">
        <v>5637</v>
      </c>
      <c r="C2869" s="672" t="s">
        <v>916</v>
      </c>
      <c r="D2869" s="673">
        <v>40959</v>
      </c>
      <c r="E2869" s="674">
        <v>3</v>
      </c>
      <c r="F2869" s="675">
        <v>0.33</v>
      </c>
      <c r="G2869" s="676">
        <v>4176</v>
      </c>
      <c r="H2869" s="929">
        <v>0</v>
      </c>
      <c r="I2869" s="929">
        <v>4175</v>
      </c>
      <c r="J2869" s="689">
        <f t="shared" si="45"/>
        <v>1</v>
      </c>
    </row>
    <row r="2870" spans="1:10" ht="12.75" customHeight="1" x14ac:dyDescent="0.2">
      <c r="A2870" s="681" t="s">
        <v>2370</v>
      </c>
      <c r="B2870" s="693" t="s">
        <v>5638</v>
      </c>
      <c r="C2870" s="672" t="s">
        <v>916</v>
      </c>
      <c r="D2870" s="673">
        <v>40959</v>
      </c>
      <c r="E2870" s="674">
        <v>3</v>
      </c>
      <c r="F2870" s="675">
        <v>0.33</v>
      </c>
      <c r="G2870" s="676">
        <v>4176</v>
      </c>
      <c r="H2870" s="929">
        <v>0</v>
      </c>
      <c r="I2870" s="929">
        <v>4175</v>
      </c>
      <c r="J2870" s="689">
        <f t="shared" si="45"/>
        <v>1</v>
      </c>
    </row>
    <row r="2871" spans="1:10" ht="12.75" customHeight="1" x14ac:dyDescent="0.2">
      <c r="A2871" s="681" t="s">
        <v>2370</v>
      </c>
      <c r="B2871" s="693" t="s">
        <v>5639</v>
      </c>
      <c r="C2871" s="672" t="s">
        <v>916</v>
      </c>
      <c r="D2871" s="673">
        <v>40959</v>
      </c>
      <c r="E2871" s="674">
        <v>3</v>
      </c>
      <c r="F2871" s="675">
        <v>0.33</v>
      </c>
      <c r="G2871" s="676">
        <v>4176</v>
      </c>
      <c r="H2871" s="929">
        <v>0</v>
      </c>
      <c r="I2871" s="929">
        <v>4175</v>
      </c>
      <c r="J2871" s="689">
        <f t="shared" si="45"/>
        <v>1</v>
      </c>
    </row>
    <row r="2872" spans="1:10" ht="12.75" customHeight="1" x14ac:dyDescent="0.2">
      <c r="A2872" s="681" t="s">
        <v>2370</v>
      </c>
      <c r="B2872" s="693" t="s">
        <v>5640</v>
      </c>
      <c r="C2872" s="672" t="s">
        <v>916</v>
      </c>
      <c r="D2872" s="673">
        <v>40959</v>
      </c>
      <c r="E2872" s="674">
        <v>3</v>
      </c>
      <c r="F2872" s="675">
        <v>0.33</v>
      </c>
      <c r="G2872" s="676">
        <v>4176</v>
      </c>
      <c r="H2872" s="929">
        <v>0</v>
      </c>
      <c r="I2872" s="929">
        <v>4175</v>
      </c>
      <c r="J2872" s="689">
        <f t="shared" si="45"/>
        <v>1</v>
      </c>
    </row>
    <row r="2873" spans="1:10" ht="12.75" customHeight="1" x14ac:dyDescent="0.2">
      <c r="A2873" s="681" t="s">
        <v>2370</v>
      </c>
      <c r="B2873" s="693" t="s">
        <v>5641</v>
      </c>
      <c r="C2873" s="672" t="s">
        <v>916</v>
      </c>
      <c r="D2873" s="673">
        <v>40959</v>
      </c>
      <c r="E2873" s="674">
        <v>3</v>
      </c>
      <c r="F2873" s="675">
        <v>0.33</v>
      </c>
      <c r="G2873" s="676">
        <v>4176</v>
      </c>
      <c r="H2873" s="929">
        <v>0</v>
      </c>
      <c r="I2873" s="929">
        <v>4175</v>
      </c>
      <c r="J2873" s="689">
        <f t="shared" si="45"/>
        <v>1</v>
      </c>
    </row>
    <row r="2874" spans="1:10" ht="12.75" customHeight="1" x14ac:dyDescent="0.2">
      <c r="A2874" s="681" t="s">
        <v>2370</v>
      </c>
      <c r="B2874" s="693" t="s">
        <v>5630</v>
      </c>
      <c r="C2874" s="672" t="s">
        <v>917</v>
      </c>
      <c r="D2874" s="673">
        <v>40959</v>
      </c>
      <c r="E2874" s="674">
        <v>3</v>
      </c>
      <c r="F2874" s="675">
        <v>0.33</v>
      </c>
      <c r="G2874" s="676">
        <v>4756</v>
      </c>
      <c r="H2874" s="929">
        <v>0</v>
      </c>
      <c r="I2874" s="929">
        <v>4755</v>
      </c>
      <c r="J2874" s="689">
        <f t="shared" si="45"/>
        <v>1</v>
      </c>
    </row>
    <row r="2875" spans="1:10" ht="12.75" customHeight="1" x14ac:dyDescent="0.2">
      <c r="A2875" s="681" t="s">
        <v>2370</v>
      </c>
      <c r="B2875" s="693" t="s">
        <v>5633</v>
      </c>
      <c r="C2875" s="672" t="s">
        <v>917</v>
      </c>
      <c r="D2875" s="673">
        <v>40959</v>
      </c>
      <c r="E2875" s="674">
        <v>3</v>
      </c>
      <c r="F2875" s="675">
        <v>0.33</v>
      </c>
      <c r="G2875" s="676">
        <v>4400</v>
      </c>
      <c r="H2875" s="929">
        <v>0</v>
      </c>
      <c r="I2875" s="929">
        <v>4399</v>
      </c>
      <c r="J2875" s="689">
        <f t="shared" si="45"/>
        <v>1</v>
      </c>
    </row>
    <row r="2876" spans="1:10" ht="12.75" customHeight="1" x14ac:dyDescent="0.2">
      <c r="A2876" s="681" t="s">
        <v>2370</v>
      </c>
      <c r="B2876" s="693" t="s">
        <v>5642</v>
      </c>
      <c r="C2876" s="672" t="s">
        <v>917</v>
      </c>
      <c r="D2876" s="673">
        <v>40959</v>
      </c>
      <c r="E2876" s="674">
        <v>3</v>
      </c>
      <c r="F2876" s="675">
        <v>0.33</v>
      </c>
      <c r="G2876" s="676">
        <v>4176</v>
      </c>
      <c r="H2876" s="929">
        <v>0</v>
      </c>
      <c r="I2876" s="929">
        <v>4175</v>
      </c>
      <c r="J2876" s="689">
        <f t="shared" si="45"/>
        <v>1</v>
      </c>
    </row>
    <row r="2877" spans="1:10" ht="12.75" customHeight="1" x14ac:dyDescent="0.2">
      <c r="A2877" s="681" t="s">
        <v>2370</v>
      </c>
      <c r="B2877" s="693" t="s">
        <v>5643</v>
      </c>
      <c r="C2877" s="672" t="s">
        <v>917</v>
      </c>
      <c r="D2877" s="673">
        <v>40959</v>
      </c>
      <c r="E2877" s="674">
        <v>3</v>
      </c>
      <c r="F2877" s="675">
        <v>0.33</v>
      </c>
      <c r="G2877" s="676">
        <v>4176</v>
      </c>
      <c r="H2877" s="929">
        <v>0</v>
      </c>
      <c r="I2877" s="929">
        <v>4175</v>
      </c>
      <c r="J2877" s="689">
        <f t="shared" si="45"/>
        <v>1</v>
      </c>
    </row>
    <row r="2878" spans="1:10" ht="12.75" customHeight="1" x14ac:dyDescent="0.2">
      <c r="A2878" s="681" t="s">
        <v>2371</v>
      </c>
      <c r="B2878" s="693" t="s">
        <v>5594</v>
      </c>
      <c r="C2878" s="672" t="s">
        <v>973</v>
      </c>
      <c r="D2878" s="673">
        <v>40959</v>
      </c>
      <c r="E2878" s="674">
        <v>3</v>
      </c>
      <c r="F2878" s="675">
        <v>0.33</v>
      </c>
      <c r="G2878" s="676">
        <v>13325</v>
      </c>
      <c r="H2878" s="929">
        <v>0</v>
      </c>
      <c r="I2878" s="929">
        <v>13324</v>
      </c>
      <c r="J2878" s="689">
        <f t="shared" si="45"/>
        <v>1</v>
      </c>
    </row>
    <row r="2879" spans="1:10" ht="12.75" customHeight="1" x14ac:dyDescent="0.2">
      <c r="A2879" s="681" t="s">
        <v>2371</v>
      </c>
      <c r="B2879" s="693" t="s">
        <v>5670</v>
      </c>
      <c r="C2879" s="672" t="s">
        <v>975</v>
      </c>
      <c r="D2879" s="673">
        <v>40959</v>
      </c>
      <c r="E2879" s="674">
        <v>3</v>
      </c>
      <c r="F2879" s="675">
        <v>0.33</v>
      </c>
      <c r="G2879" s="676">
        <v>1819</v>
      </c>
      <c r="H2879" s="929">
        <v>0</v>
      </c>
      <c r="I2879" s="929">
        <v>1818</v>
      </c>
      <c r="J2879" s="689">
        <f t="shared" si="45"/>
        <v>1</v>
      </c>
    </row>
    <row r="2880" spans="1:10" ht="12.75" customHeight="1" x14ac:dyDescent="0.2">
      <c r="A2880" s="681" t="s">
        <v>2371</v>
      </c>
      <c r="B2880" s="693" t="s">
        <v>5671</v>
      </c>
      <c r="C2880" s="672" t="s">
        <v>975</v>
      </c>
      <c r="D2880" s="673">
        <v>40959</v>
      </c>
      <c r="E2880" s="674">
        <v>3</v>
      </c>
      <c r="F2880" s="675">
        <v>0.33</v>
      </c>
      <c r="G2880" s="676">
        <v>1819</v>
      </c>
      <c r="H2880" s="929">
        <v>0</v>
      </c>
      <c r="I2880" s="929">
        <v>1818</v>
      </c>
      <c r="J2880" s="689">
        <f t="shared" si="45"/>
        <v>1</v>
      </c>
    </row>
    <row r="2881" spans="1:10" ht="12.75" customHeight="1" x14ac:dyDescent="0.2">
      <c r="A2881" s="681" t="s">
        <v>2371</v>
      </c>
      <c r="B2881" s="693" t="s">
        <v>5674</v>
      </c>
      <c r="C2881" s="672" t="s">
        <v>975</v>
      </c>
      <c r="D2881" s="673">
        <v>40959</v>
      </c>
      <c r="E2881" s="674">
        <v>3</v>
      </c>
      <c r="F2881" s="675">
        <v>0.33</v>
      </c>
      <c r="G2881" s="676">
        <v>1722</v>
      </c>
      <c r="H2881" s="929">
        <v>0</v>
      </c>
      <c r="I2881" s="929">
        <v>1721</v>
      </c>
      <c r="J2881" s="689">
        <f t="shared" si="45"/>
        <v>1</v>
      </c>
    </row>
    <row r="2882" spans="1:10" ht="12.75" customHeight="1" x14ac:dyDescent="0.2">
      <c r="A2882" s="681" t="s">
        <v>2371</v>
      </c>
      <c r="B2882" s="693" t="s">
        <v>5673</v>
      </c>
      <c r="C2882" s="672" t="s">
        <v>972</v>
      </c>
      <c r="D2882" s="673">
        <v>40959</v>
      </c>
      <c r="E2882" s="674">
        <v>3</v>
      </c>
      <c r="F2882" s="675">
        <v>0.33</v>
      </c>
      <c r="G2882" s="676">
        <v>1722</v>
      </c>
      <c r="H2882" s="929">
        <v>0</v>
      </c>
      <c r="I2882" s="929">
        <v>1721</v>
      </c>
      <c r="J2882" s="689">
        <f t="shared" si="45"/>
        <v>1</v>
      </c>
    </row>
    <row r="2883" spans="1:10" ht="12.75" customHeight="1" x14ac:dyDescent="0.2">
      <c r="A2883" s="681" t="s">
        <v>1208</v>
      </c>
      <c r="B2883" s="693" t="s">
        <v>5557</v>
      </c>
      <c r="C2883" s="672" t="s">
        <v>984</v>
      </c>
      <c r="D2883" s="673">
        <v>40361</v>
      </c>
      <c r="E2883" s="674">
        <v>5</v>
      </c>
      <c r="F2883" s="675">
        <v>0.2</v>
      </c>
      <c r="G2883" s="676">
        <v>57768</v>
      </c>
      <c r="H2883" s="929">
        <v>0</v>
      </c>
      <c r="I2883" s="929">
        <v>57768</v>
      </c>
      <c r="J2883" s="689">
        <f t="shared" si="45"/>
        <v>0</v>
      </c>
    </row>
    <row r="2884" spans="1:10" ht="12.75" customHeight="1" x14ac:dyDescent="0.2">
      <c r="A2884" s="681" t="s">
        <v>1208</v>
      </c>
      <c r="B2884" s="693" t="s">
        <v>5571</v>
      </c>
      <c r="C2884" s="672" t="s">
        <v>984</v>
      </c>
      <c r="D2884" s="673">
        <v>40361</v>
      </c>
      <c r="E2884" s="674">
        <v>5</v>
      </c>
      <c r="F2884" s="675">
        <v>0.2</v>
      </c>
      <c r="G2884" s="676">
        <v>550000</v>
      </c>
      <c r="H2884" s="929">
        <v>0</v>
      </c>
      <c r="I2884" s="929">
        <v>550000</v>
      </c>
      <c r="J2884" s="689">
        <f t="shared" si="45"/>
        <v>0</v>
      </c>
    </row>
    <row r="2885" spans="1:10" ht="12.75" customHeight="1" x14ac:dyDescent="0.2">
      <c r="A2885" s="681" t="s">
        <v>2370</v>
      </c>
      <c r="B2885" s="693" t="s">
        <v>5554</v>
      </c>
      <c r="C2885" s="672" t="s">
        <v>931</v>
      </c>
      <c r="D2885" s="673">
        <v>38403</v>
      </c>
      <c r="E2885" s="674">
        <v>3</v>
      </c>
      <c r="F2885" s="675">
        <v>0.33</v>
      </c>
      <c r="G2885" s="676">
        <v>4413.7</v>
      </c>
      <c r="H2885" s="929">
        <v>0</v>
      </c>
      <c r="I2885" s="929">
        <v>4413.7</v>
      </c>
      <c r="J2885" s="689">
        <f t="shared" si="45"/>
        <v>0</v>
      </c>
    </row>
    <row r="2886" spans="1:10" ht="12.75" customHeight="1" x14ac:dyDescent="0.2">
      <c r="A2886" s="681" t="s">
        <v>2370</v>
      </c>
      <c r="B2886" s="693" t="s">
        <v>5555</v>
      </c>
      <c r="C2886" s="672" t="s">
        <v>931</v>
      </c>
      <c r="D2886" s="673">
        <v>38403</v>
      </c>
      <c r="E2886" s="674">
        <v>3</v>
      </c>
      <c r="F2886" s="675">
        <v>0.33</v>
      </c>
      <c r="G2886" s="676">
        <v>4414</v>
      </c>
      <c r="H2886" s="929">
        <v>0</v>
      </c>
      <c r="I2886" s="929">
        <v>4414</v>
      </c>
      <c r="J2886" s="689">
        <f t="shared" si="45"/>
        <v>0</v>
      </c>
    </row>
    <row r="2887" spans="1:10" ht="12.75" customHeight="1" x14ac:dyDescent="0.2">
      <c r="A2887" s="681" t="s">
        <v>2370</v>
      </c>
      <c r="B2887" s="693" t="s">
        <v>5556</v>
      </c>
      <c r="C2887" s="672" t="s">
        <v>931</v>
      </c>
      <c r="D2887" s="673">
        <v>38403</v>
      </c>
      <c r="E2887" s="674">
        <v>3</v>
      </c>
      <c r="F2887" s="675">
        <v>0.33</v>
      </c>
      <c r="G2887" s="676">
        <v>4414</v>
      </c>
      <c r="H2887" s="929">
        <v>0</v>
      </c>
      <c r="I2887" s="929">
        <v>4414</v>
      </c>
      <c r="J2887" s="689">
        <f t="shared" ref="J2887:J2950" si="46">G2887-I2887</f>
        <v>0</v>
      </c>
    </row>
    <row r="2888" spans="1:10" ht="12.75" customHeight="1" x14ac:dyDescent="0.2">
      <c r="A2888" s="681" t="s">
        <v>2370</v>
      </c>
      <c r="B2888" s="693" t="s">
        <v>5599</v>
      </c>
      <c r="C2888" s="672" t="s">
        <v>900</v>
      </c>
      <c r="D2888" s="673">
        <v>40959</v>
      </c>
      <c r="E2888" s="674">
        <v>3</v>
      </c>
      <c r="F2888" s="675">
        <v>0.33</v>
      </c>
      <c r="G2888" s="676">
        <v>8340</v>
      </c>
      <c r="H2888" s="929">
        <v>0</v>
      </c>
      <c r="I2888" s="929">
        <v>8339</v>
      </c>
      <c r="J2888" s="689">
        <f t="shared" si="46"/>
        <v>1</v>
      </c>
    </row>
    <row r="2889" spans="1:10" ht="12.75" customHeight="1" x14ac:dyDescent="0.2">
      <c r="A2889" s="681" t="s">
        <v>2372</v>
      </c>
      <c r="B2889" s="693" t="s">
        <v>5676</v>
      </c>
      <c r="C2889" s="672" t="s">
        <v>895</v>
      </c>
      <c r="D2889" s="673">
        <v>40959</v>
      </c>
      <c r="E2889" s="674">
        <v>3</v>
      </c>
      <c r="F2889" s="675">
        <v>0.33</v>
      </c>
      <c r="G2889" s="676">
        <v>1392</v>
      </c>
      <c r="H2889" s="929">
        <v>0</v>
      </c>
      <c r="I2889" s="929">
        <v>1391</v>
      </c>
      <c r="J2889" s="689">
        <f t="shared" si="46"/>
        <v>1</v>
      </c>
    </row>
    <row r="2890" spans="1:10" ht="12.75" customHeight="1" x14ac:dyDescent="0.2">
      <c r="A2890" s="681" t="s">
        <v>2372</v>
      </c>
      <c r="B2890" s="693" t="s">
        <v>5680</v>
      </c>
      <c r="C2890" s="672" t="s">
        <v>895</v>
      </c>
      <c r="D2890" s="673">
        <v>40959</v>
      </c>
      <c r="E2890" s="674">
        <v>3</v>
      </c>
      <c r="F2890" s="675">
        <v>0.33</v>
      </c>
      <c r="G2890" s="676">
        <v>1018</v>
      </c>
      <c r="H2890" s="929">
        <v>0</v>
      </c>
      <c r="I2890" s="929">
        <v>1017</v>
      </c>
      <c r="J2890" s="689">
        <f t="shared" si="46"/>
        <v>1</v>
      </c>
    </row>
    <row r="2891" spans="1:10" ht="12.75" customHeight="1" x14ac:dyDescent="0.2">
      <c r="A2891" s="681" t="s">
        <v>2372</v>
      </c>
      <c r="B2891" s="693" t="s">
        <v>5686</v>
      </c>
      <c r="C2891" s="672" t="s">
        <v>895</v>
      </c>
      <c r="D2891" s="673">
        <v>40959</v>
      </c>
      <c r="E2891" s="674">
        <v>3</v>
      </c>
      <c r="F2891" s="675">
        <v>0.33</v>
      </c>
      <c r="G2891" s="676">
        <v>568</v>
      </c>
      <c r="H2891" s="929">
        <v>0</v>
      </c>
      <c r="I2891" s="929">
        <v>567</v>
      </c>
      <c r="J2891" s="689">
        <f t="shared" si="46"/>
        <v>1</v>
      </c>
    </row>
    <row r="2892" spans="1:10" ht="12.75" customHeight="1" x14ac:dyDescent="0.2">
      <c r="A2892" s="681" t="s">
        <v>2372</v>
      </c>
      <c r="B2892" s="693" t="s">
        <v>5689</v>
      </c>
      <c r="C2892" s="672" t="s">
        <v>895</v>
      </c>
      <c r="D2892" s="673">
        <v>40959</v>
      </c>
      <c r="E2892" s="674">
        <v>3</v>
      </c>
      <c r="F2892" s="675">
        <v>0.33</v>
      </c>
      <c r="G2892" s="676">
        <v>496</v>
      </c>
      <c r="H2892" s="929">
        <v>0</v>
      </c>
      <c r="I2892" s="929">
        <v>495</v>
      </c>
      <c r="J2892" s="689">
        <f t="shared" si="46"/>
        <v>1</v>
      </c>
    </row>
    <row r="2893" spans="1:10" ht="12.75" customHeight="1" x14ac:dyDescent="0.2">
      <c r="A2893" s="681" t="s">
        <v>2372</v>
      </c>
      <c r="B2893" s="693" t="s">
        <v>5690</v>
      </c>
      <c r="C2893" s="672" t="s">
        <v>895</v>
      </c>
      <c r="D2893" s="673">
        <v>40959</v>
      </c>
      <c r="E2893" s="674">
        <v>3</v>
      </c>
      <c r="F2893" s="675">
        <v>0.33</v>
      </c>
      <c r="G2893" s="676">
        <v>456</v>
      </c>
      <c r="H2893" s="929">
        <v>0</v>
      </c>
      <c r="I2893" s="929">
        <v>455</v>
      </c>
      <c r="J2893" s="689">
        <f t="shared" si="46"/>
        <v>1</v>
      </c>
    </row>
    <row r="2894" spans="1:10" ht="12.75" customHeight="1" x14ac:dyDescent="0.2">
      <c r="A2894" s="681" t="s">
        <v>2372</v>
      </c>
      <c r="B2894" s="693" t="s">
        <v>5700</v>
      </c>
      <c r="C2894" s="672" t="s">
        <v>895</v>
      </c>
      <c r="D2894" s="673">
        <v>40959</v>
      </c>
      <c r="E2894" s="674">
        <v>3</v>
      </c>
      <c r="F2894" s="675">
        <v>0.33</v>
      </c>
      <c r="G2894" s="676">
        <v>313</v>
      </c>
      <c r="H2894" s="929">
        <v>0</v>
      </c>
      <c r="I2894" s="929">
        <v>312</v>
      </c>
      <c r="J2894" s="689">
        <f t="shared" si="46"/>
        <v>1</v>
      </c>
    </row>
    <row r="2895" spans="1:10" ht="12.75" customHeight="1" x14ac:dyDescent="0.2">
      <c r="A2895" s="681" t="s">
        <v>2372</v>
      </c>
      <c r="B2895" s="693" t="s">
        <v>5701</v>
      </c>
      <c r="C2895" s="672" t="s">
        <v>895</v>
      </c>
      <c r="D2895" s="673">
        <v>40959</v>
      </c>
      <c r="E2895" s="674">
        <v>3</v>
      </c>
      <c r="F2895" s="675">
        <v>0.33</v>
      </c>
      <c r="G2895" s="676">
        <v>297</v>
      </c>
      <c r="H2895" s="929">
        <v>0</v>
      </c>
      <c r="I2895" s="929">
        <v>296</v>
      </c>
      <c r="J2895" s="689">
        <f t="shared" si="46"/>
        <v>1</v>
      </c>
    </row>
    <row r="2896" spans="1:10" ht="12.75" customHeight="1" x14ac:dyDescent="0.2">
      <c r="A2896" s="681" t="s">
        <v>2370</v>
      </c>
      <c r="B2896" s="693" t="s">
        <v>5419</v>
      </c>
      <c r="C2896" s="672" t="s">
        <v>806</v>
      </c>
      <c r="D2896" s="673">
        <v>38403</v>
      </c>
      <c r="E2896" s="674">
        <v>10</v>
      </c>
      <c r="F2896" s="675">
        <v>0.1</v>
      </c>
      <c r="G2896" s="676">
        <v>3850</v>
      </c>
      <c r="H2896" s="929">
        <v>0</v>
      </c>
      <c r="I2896" s="929">
        <v>3850</v>
      </c>
      <c r="J2896" s="689">
        <f t="shared" si="46"/>
        <v>0</v>
      </c>
    </row>
    <row r="2897" spans="1:10" ht="12.75" customHeight="1" x14ac:dyDescent="0.2">
      <c r="A2897" s="681" t="s">
        <v>1208</v>
      </c>
      <c r="B2897" s="693" t="s">
        <v>5566</v>
      </c>
      <c r="C2897" s="672" t="s">
        <v>981</v>
      </c>
      <c r="D2897" s="673">
        <v>40361</v>
      </c>
      <c r="E2897" s="674">
        <v>5</v>
      </c>
      <c r="F2897" s="675">
        <v>0.2</v>
      </c>
      <c r="G2897" s="676">
        <v>293200</v>
      </c>
      <c r="H2897" s="929">
        <v>0</v>
      </c>
      <c r="I2897" s="929">
        <v>293200</v>
      </c>
      <c r="J2897" s="689">
        <f t="shared" si="46"/>
        <v>0</v>
      </c>
    </row>
    <row r="2898" spans="1:10" ht="12.75" customHeight="1" x14ac:dyDescent="0.2">
      <c r="A2898" s="681" t="s">
        <v>2370</v>
      </c>
      <c r="B2898" s="693" t="s">
        <v>5656</v>
      </c>
      <c r="C2898" s="672" t="s">
        <v>898</v>
      </c>
      <c r="D2898" s="673">
        <v>40959</v>
      </c>
      <c r="E2898" s="674">
        <v>3</v>
      </c>
      <c r="F2898" s="675">
        <v>0.33</v>
      </c>
      <c r="G2898" s="676">
        <v>2552</v>
      </c>
      <c r="H2898" s="929">
        <v>0</v>
      </c>
      <c r="I2898" s="929">
        <v>2551</v>
      </c>
      <c r="J2898" s="689">
        <f t="shared" si="46"/>
        <v>1</v>
      </c>
    </row>
    <row r="2899" spans="1:10" ht="12.75" customHeight="1" x14ac:dyDescent="0.2">
      <c r="A2899" s="681" t="s">
        <v>2370</v>
      </c>
      <c r="B2899" s="693" t="s">
        <v>5662</v>
      </c>
      <c r="C2899" s="672" t="s">
        <v>898</v>
      </c>
      <c r="D2899" s="673">
        <v>40959</v>
      </c>
      <c r="E2899" s="674">
        <v>3</v>
      </c>
      <c r="F2899" s="675">
        <v>0.33</v>
      </c>
      <c r="G2899" s="676">
        <v>2204</v>
      </c>
      <c r="H2899" s="929">
        <v>0</v>
      </c>
      <c r="I2899" s="929">
        <v>2203</v>
      </c>
      <c r="J2899" s="689">
        <f t="shared" si="46"/>
        <v>1</v>
      </c>
    </row>
    <row r="2900" spans="1:10" ht="12.75" customHeight="1" x14ac:dyDescent="0.2">
      <c r="A2900" s="681" t="s">
        <v>2370</v>
      </c>
      <c r="B2900" s="693" t="s">
        <v>5669</v>
      </c>
      <c r="C2900" s="672" t="s">
        <v>898</v>
      </c>
      <c r="D2900" s="673">
        <v>40959</v>
      </c>
      <c r="E2900" s="674">
        <v>3</v>
      </c>
      <c r="F2900" s="675">
        <v>0.33</v>
      </c>
      <c r="G2900" s="676">
        <v>1960</v>
      </c>
      <c r="H2900" s="929">
        <v>0</v>
      </c>
      <c r="I2900" s="929">
        <v>1959</v>
      </c>
      <c r="J2900" s="689">
        <f t="shared" si="46"/>
        <v>1</v>
      </c>
    </row>
    <row r="2901" spans="1:10" ht="12.75" customHeight="1" x14ac:dyDescent="0.2">
      <c r="A2901" s="681" t="s">
        <v>2372</v>
      </c>
      <c r="B2901" s="693" t="s">
        <v>5677</v>
      </c>
      <c r="C2901" s="672" t="s">
        <v>1030</v>
      </c>
      <c r="D2901" s="673">
        <v>40959</v>
      </c>
      <c r="E2901" s="674">
        <v>3</v>
      </c>
      <c r="F2901" s="675">
        <v>0.33</v>
      </c>
      <c r="G2901" s="676">
        <v>1298</v>
      </c>
      <c r="H2901" s="929">
        <v>0</v>
      </c>
      <c r="I2901" s="929">
        <v>1297</v>
      </c>
      <c r="J2901" s="689">
        <f t="shared" si="46"/>
        <v>1</v>
      </c>
    </row>
    <row r="2902" spans="1:10" ht="12.75" customHeight="1" x14ac:dyDescent="0.2">
      <c r="A2902" s="681" t="s">
        <v>2372</v>
      </c>
      <c r="B2902" s="693" t="s">
        <v>5678</v>
      </c>
      <c r="C2902" s="672" t="s">
        <v>1030</v>
      </c>
      <c r="D2902" s="673">
        <v>40959</v>
      </c>
      <c r="E2902" s="674">
        <v>3</v>
      </c>
      <c r="F2902" s="675">
        <v>0.33</v>
      </c>
      <c r="G2902" s="676">
        <v>1297</v>
      </c>
      <c r="H2902" s="929">
        <v>0</v>
      </c>
      <c r="I2902" s="929">
        <v>1296</v>
      </c>
      <c r="J2902" s="689">
        <f t="shared" si="46"/>
        <v>1</v>
      </c>
    </row>
    <row r="2903" spans="1:10" ht="12.75" customHeight="1" x14ac:dyDescent="0.2">
      <c r="A2903" s="681" t="s">
        <v>2372</v>
      </c>
      <c r="B2903" s="693" t="s">
        <v>5603</v>
      </c>
      <c r="C2903" s="672" t="s">
        <v>1041</v>
      </c>
      <c r="D2903" s="673">
        <v>40959</v>
      </c>
      <c r="E2903" s="674">
        <v>3</v>
      </c>
      <c r="F2903" s="675">
        <v>0.33</v>
      </c>
      <c r="G2903" s="676">
        <v>6914</v>
      </c>
      <c r="H2903" s="929">
        <v>0</v>
      </c>
      <c r="I2903" s="929">
        <v>6913</v>
      </c>
      <c r="J2903" s="689">
        <f t="shared" si="46"/>
        <v>1</v>
      </c>
    </row>
    <row r="2904" spans="1:10" ht="12.75" customHeight="1" x14ac:dyDescent="0.2">
      <c r="A2904" s="681" t="s">
        <v>2372</v>
      </c>
      <c r="B2904" s="693" t="s">
        <v>5618</v>
      </c>
      <c r="C2904" s="672" t="s">
        <v>738</v>
      </c>
      <c r="D2904" s="673">
        <v>40959</v>
      </c>
      <c r="E2904" s="674">
        <v>3</v>
      </c>
      <c r="F2904" s="675">
        <v>0.33</v>
      </c>
      <c r="G2904" s="676">
        <v>5185</v>
      </c>
      <c r="H2904" s="929">
        <v>0</v>
      </c>
      <c r="I2904" s="929">
        <v>5184</v>
      </c>
      <c r="J2904" s="689">
        <f t="shared" si="46"/>
        <v>1</v>
      </c>
    </row>
    <row r="2905" spans="1:10" ht="12.75" customHeight="1" x14ac:dyDescent="0.2">
      <c r="A2905" s="681" t="s">
        <v>2370</v>
      </c>
      <c r="B2905" s="693" t="s">
        <v>5545</v>
      </c>
      <c r="C2905" s="672" t="s">
        <v>921</v>
      </c>
      <c r="D2905" s="673">
        <v>38403</v>
      </c>
      <c r="E2905" s="674">
        <v>10</v>
      </c>
      <c r="F2905" s="675">
        <v>0.1</v>
      </c>
      <c r="G2905" s="676">
        <v>1068</v>
      </c>
      <c r="H2905" s="929">
        <v>0</v>
      </c>
      <c r="I2905" s="929">
        <v>1068</v>
      </c>
      <c r="J2905" s="689">
        <f t="shared" si="46"/>
        <v>0</v>
      </c>
    </row>
    <row r="2906" spans="1:10" ht="12.75" customHeight="1" x14ac:dyDescent="0.2">
      <c r="A2906" s="681" t="s">
        <v>2370</v>
      </c>
      <c r="B2906" s="693" t="s">
        <v>5546</v>
      </c>
      <c r="C2906" s="672" t="s">
        <v>921</v>
      </c>
      <c r="D2906" s="673">
        <v>38403</v>
      </c>
      <c r="E2906" s="674">
        <v>10</v>
      </c>
      <c r="F2906" s="675">
        <v>0.1</v>
      </c>
      <c r="G2906" s="676">
        <v>1068</v>
      </c>
      <c r="H2906" s="929">
        <v>0</v>
      </c>
      <c r="I2906" s="929">
        <v>1068</v>
      </c>
      <c r="J2906" s="689">
        <f t="shared" si="46"/>
        <v>0</v>
      </c>
    </row>
    <row r="2907" spans="1:10" ht="12.75" customHeight="1" x14ac:dyDescent="0.2">
      <c r="A2907" s="681" t="s">
        <v>2370</v>
      </c>
      <c r="B2907" s="693" t="s">
        <v>5547</v>
      </c>
      <c r="C2907" s="672" t="s">
        <v>921</v>
      </c>
      <c r="D2907" s="673">
        <v>38403</v>
      </c>
      <c r="E2907" s="674">
        <v>10</v>
      </c>
      <c r="F2907" s="675">
        <v>0.1</v>
      </c>
      <c r="G2907" s="676">
        <v>1068</v>
      </c>
      <c r="H2907" s="929">
        <v>0</v>
      </c>
      <c r="I2907" s="929">
        <v>1068</v>
      </c>
      <c r="J2907" s="689">
        <f t="shared" si="46"/>
        <v>0</v>
      </c>
    </row>
    <row r="2908" spans="1:10" ht="12.75" customHeight="1" x14ac:dyDescent="0.2">
      <c r="A2908" s="681" t="s">
        <v>2370</v>
      </c>
      <c r="B2908" s="693" t="s">
        <v>5549</v>
      </c>
      <c r="C2908" s="672" t="s">
        <v>921</v>
      </c>
      <c r="D2908" s="673">
        <v>38403</v>
      </c>
      <c r="E2908" s="674">
        <v>10</v>
      </c>
      <c r="F2908" s="675">
        <v>0.1</v>
      </c>
      <c r="G2908" s="676">
        <v>2932</v>
      </c>
      <c r="H2908" s="929">
        <v>0</v>
      </c>
      <c r="I2908" s="929">
        <v>2932</v>
      </c>
      <c r="J2908" s="689">
        <f t="shared" si="46"/>
        <v>0</v>
      </c>
    </row>
    <row r="2909" spans="1:10" ht="12.75" customHeight="1" x14ac:dyDescent="0.2">
      <c r="A2909" s="681" t="s">
        <v>2370</v>
      </c>
      <c r="B2909" s="693" t="s">
        <v>5550</v>
      </c>
      <c r="C2909" s="672" t="s">
        <v>921</v>
      </c>
      <c r="D2909" s="673">
        <v>38403</v>
      </c>
      <c r="E2909" s="674">
        <v>10</v>
      </c>
      <c r="F2909" s="675">
        <v>0.1</v>
      </c>
      <c r="G2909" s="676">
        <v>2932</v>
      </c>
      <c r="H2909" s="929">
        <v>0</v>
      </c>
      <c r="I2909" s="929">
        <v>2932</v>
      </c>
      <c r="J2909" s="689">
        <f t="shared" si="46"/>
        <v>0</v>
      </c>
    </row>
    <row r="2910" spans="1:10" ht="12.75" customHeight="1" x14ac:dyDescent="0.2">
      <c r="A2910" s="681" t="s">
        <v>2370</v>
      </c>
      <c r="B2910" s="693" t="s">
        <v>5551</v>
      </c>
      <c r="C2910" s="672" t="s">
        <v>921</v>
      </c>
      <c r="D2910" s="673">
        <v>38403</v>
      </c>
      <c r="E2910" s="674">
        <v>10</v>
      </c>
      <c r="F2910" s="675">
        <v>0.1</v>
      </c>
      <c r="G2910" s="676">
        <v>2932</v>
      </c>
      <c r="H2910" s="929">
        <v>0</v>
      </c>
      <c r="I2910" s="929">
        <v>2932</v>
      </c>
      <c r="J2910" s="689">
        <f t="shared" si="46"/>
        <v>0</v>
      </c>
    </row>
    <row r="2911" spans="1:10" ht="12.75" customHeight="1" x14ac:dyDescent="0.2">
      <c r="A2911" s="681" t="s">
        <v>2370</v>
      </c>
      <c r="B2911" s="693" t="s">
        <v>5552</v>
      </c>
      <c r="C2911" s="672" t="s">
        <v>921</v>
      </c>
      <c r="D2911" s="673">
        <v>38403</v>
      </c>
      <c r="E2911" s="674">
        <v>10</v>
      </c>
      <c r="F2911" s="675">
        <v>0.1</v>
      </c>
      <c r="G2911" s="676">
        <v>2932</v>
      </c>
      <c r="H2911" s="929">
        <v>0</v>
      </c>
      <c r="I2911" s="929">
        <v>2932</v>
      </c>
      <c r="J2911" s="689">
        <f t="shared" si="46"/>
        <v>0</v>
      </c>
    </row>
    <row r="2912" spans="1:10" ht="12.75" customHeight="1" x14ac:dyDescent="0.2">
      <c r="A2912" s="681" t="s">
        <v>2370</v>
      </c>
      <c r="B2912" s="693" t="s">
        <v>5553</v>
      </c>
      <c r="C2912" s="672" t="s">
        <v>921</v>
      </c>
      <c r="D2912" s="673">
        <v>38403</v>
      </c>
      <c r="E2912" s="674">
        <v>10</v>
      </c>
      <c r="F2912" s="675">
        <v>0.1</v>
      </c>
      <c r="G2912" s="676">
        <v>2932</v>
      </c>
      <c r="H2912" s="929">
        <v>0</v>
      </c>
      <c r="I2912" s="929">
        <v>2932</v>
      </c>
      <c r="J2912" s="689">
        <f t="shared" si="46"/>
        <v>0</v>
      </c>
    </row>
    <row r="2913" spans="1:10" ht="12.75" customHeight="1" x14ac:dyDescent="0.2">
      <c r="A2913" s="681" t="s">
        <v>2370</v>
      </c>
      <c r="B2913" s="693" t="s">
        <v>5420</v>
      </c>
      <c r="C2913" s="672" t="s">
        <v>787</v>
      </c>
      <c r="D2913" s="673">
        <v>38403</v>
      </c>
      <c r="E2913" s="674">
        <v>10</v>
      </c>
      <c r="F2913" s="675">
        <v>0.1</v>
      </c>
      <c r="G2913" s="676">
        <v>1075</v>
      </c>
      <c r="H2913" s="929">
        <v>0</v>
      </c>
      <c r="I2913" s="929">
        <v>1075</v>
      </c>
      <c r="J2913" s="689">
        <f t="shared" si="46"/>
        <v>0</v>
      </c>
    </row>
    <row r="2914" spans="1:10" ht="12.75" customHeight="1" x14ac:dyDescent="0.2">
      <c r="A2914" s="681" t="s">
        <v>2370</v>
      </c>
      <c r="B2914" s="693" t="s">
        <v>5421</v>
      </c>
      <c r="C2914" s="672" t="s">
        <v>787</v>
      </c>
      <c r="D2914" s="673">
        <v>38403</v>
      </c>
      <c r="E2914" s="674">
        <v>10</v>
      </c>
      <c r="F2914" s="675">
        <v>0.1</v>
      </c>
      <c r="G2914" s="676">
        <v>2093</v>
      </c>
      <c r="H2914" s="929">
        <v>0</v>
      </c>
      <c r="I2914" s="929">
        <v>2093</v>
      </c>
      <c r="J2914" s="689">
        <f t="shared" si="46"/>
        <v>0</v>
      </c>
    </row>
    <row r="2915" spans="1:10" ht="12.75" customHeight="1" x14ac:dyDescent="0.2">
      <c r="A2915" s="681" t="s">
        <v>2370</v>
      </c>
      <c r="B2915" s="693" t="s">
        <v>5422</v>
      </c>
      <c r="C2915" s="672" t="s">
        <v>787</v>
      </c>
      <c r="D2915" s="673">
        <v>38403</v>
      </c>
      <c r="E2915" s="674">
        <v>10</v>
      </c>
      <c r="F2915" s="675">
        <v>0.1</v>
      </c>
      <c r="G2915" s="676">
        <v>2120</v>
      </c>
      <c r="H2915" s="929">
        <v>0</v>
      </c>
      <c r="I2915" s="929">
        <v>2120</v>
      </c>
      <c r="J2915" s="689">
        <f t="shared" si="46"/>
        <v>0</v>
      </c>
    </row>
    <row r="2916" spans="1:10" ht="12.75" customHeight="1" x14ac:dyDescent="0.2">
      <c r="A2916" s="681" t="s">
        <v>2370</v>
      </c>
      <c r="B2916" s="693" t="s">
        <v>5423</v>
      </c>
      <c r="C2916" s="672" t="s">
        <v>787</v>
      </c>
      <c r="D2916" s="673">
        <v>38403</v>
      </c>
      <c r="E2916" s="674">
        <v>10</v>
      </c>
      <c r="F2916" s="675">
        <v>0.1</v>
      </c>
      <c r="G2916" s="676">
        <v>2120</v>
      </c>
      <c r="H2916" s="929">
        <v>0</v>
      </c>
      <c r="I2916" s="929">
        <v>2120</v>
      </c>
      <c r="J2916" s="689">
        <f t="shared" si="46"/>
        <v>0</v>
      </c>
    </row>
    <row r="2917" spans="1:10" ht="12.75" customHeight="1" x14ac:dyDescent="0.2">
      <c r="A2917" s="681" t="s">
        <v>2370</v>
      </c>
      <c r="B2917" s="693" t="s">
        <v>5424</v>
      </c>
      <c r="C2917" s="672" t="s">
        <v>787</v>
      </c>
      <c r="D2917" s="673">
        <v>38403</v>
      </c>
      <c r="E2917" s="674">
        <v>10</v>
      </c>
      <c r="F2917" s="675">
        <v>0.1</v>
      </c>
      <c r="G2917" s="676">
        <v>2548</v>
      </c>
      <c r="H2917" s="929">
        <v>0</v>
      </c>
      <c r="I2917" s="929">
        <v>2548</v>
      </c>
      <c r="J2917" s="689">
        <f t="shared" si="46"/>
        <v>0</v>
      </c>
    </row>
    <row r="2918" spans="1:10" ht="12.75" customHeight="1" x14ac:dyDescent="0.2">
      <c r="A2918" s="681" t="s">
        <v>2370</v>
      </c>
      <c r="B2918" s="693" t="s">
        <v>5425</v>
      </c>
      <c r="C2918" s="672" t="s">
        <v>787</v>
      </c>
      <c r="D2918" s="673">
        <v>38403</v>
      </c>
      <c r="E2918" s="674">
        <v>10</v>
      </c>
      <c r="F2918" s="675">
        <v>0.1</v>
      </c>
      <c r="G2918" s="676">
        <v>2967</v>
      </c>
      <c r="H2918" s="929">
        <v>0</v>
      </c>
      <c r="I2918" s="929">
        <v>2967</v>
      </c>
      <c r="J2918" s="689">
        <f t="shared" si="46"/>
        <v>0</v>
      </c>
    </row>
    <row r="2919" spans="1:10" ht="12.75" customHeight="1" x14ac:dyDescent="0.2">
      <c r="A2919" s="681" t="s">
        <v>2370</v>
      </c>
      <c r="B2919" s="693" t="s">
        <v>5426</v>
      </c>
      <c r="C2919" s="672" t="s">
        <v>787</v>
      </c>
      <c r="D2919" s="673">
        <v>38403</v>
      </c>
      <c r="E2919" s="674">
        <v>10</v>
      </c>
      <c r="F2919" s="675">
        <v>0.1</v>
      </c>
      <c r="G2919" s="676">
        <v>4736</v>
      </c>
      <c r="H2919" s="929">
        <v>0</v>
      </c>
      <c r="I2919" s="929">
        <v>4736</v>
      </c>
      <c r="J2919" s="689">
        <f t="shared" si="46"/>
        <v>0</v>
      </c>
    </row>
    <row r="2920" spans="1:10" ht="12.75" customHeight="1" x14ac:dyDescent="0.2">
      <c r="A2920" s="681" t="s">
        <v>2370</v>
      </c>
      <c r="B2920" s="693" t="s">
        <v>5427</v>
      </c>
      <c r="C2920" s="672" t="s">
        <v>787</v>
      </c>
      <c r="D2920" s="673">
        <v>38403</v>
      </c>
      <c r="E2920" s="674">
        <v>10</v>
      </c>
      <c r="F2920" s="675">
        <v>0.1</v>
      </c>
      <c r="G2920" s="676">
        <v>4738</v>
      </c>
      <c r="H2920" s="929">
        <v>0</v>
      </c>
      <c r="I2920" s="929">
        <v>4738</v>
      </c>
      <c r="J2920" s="689">
        <f t="shared" si="46"/>
        <v>0</v>
      </c>
    </row>
    <row r="2921" spans="1:10" ht="12.75" customHeight="1" x14ac:dyDescent="0.2">
      <c r="A2921" s="681" t="s">
        <v>2370</v>
      </c>
      <c r="B2921" s="693" t="s">
        <v>5428</v>
      </c>
      <c r="C2921" s="672" t="s">
        <v>787</v>
      </c>
      <c r="D2921" s="673">
        <v>38403</v>
      </c>
      <c r="E2921" s="674">
        <v>10</v>
      </c>
      <c r="F2921" s="675">
        <v>0.1</v>
      </c>
      <c r="G2921" s="676">
        <v>5716</v>
      </c>
      <c r="H2921" s="929">
        <v>0</v>
      </c>
      <c r="I2921" s="929">
        <v>5716</v>
      </c>
      <c r="J2921" s="689">
        <f t="shared" si="46"/>
        <v>0</v>
      </c>
    </row>
    <row r="2922" spans="1:10" ht="12.75" customHeight="1" x14ac:dyDescent="0.2">
      <c r="A2922" s="681" t="s">
        <v>2370</v>
      </c>
      <c r="B2922" s="693" t="s">
        <v>5429</v>
      </c>
      <c r="C2922" s="672" t="s">
        <v>787</v>
      </c>
      <c r="D2922" s="673">
        <v>38403</v>
      </c>
      <c r="E2922" s="674">
        <v>10</v>
      </c>
      <c r="F2922" s="675">
        <v>0.1</v>
      </c>
      <c r="G2922" s="676">
        <v>6000</v>
      </c>
      <c r="H2922" s="929">
        <v>0</v>
      </c>
      <c r="I2922" s="929">
        <v>6000</v>
      </c>
      <c r="J2922" s="689">
        <f t="shared" si="46"/>
        <v>0</v>
      </c>
    </row>
    <row r="2923" spans="1:10" ht="12.75" customHeight="1" x14ac:dyDescent="0.2">
      <c r="A2923" s="681" t="s">
        <v>2370</v>
      </c>
      <c r="B2923" s="693" t="s">
        <v>5430</v>
      </c>
      <c r="C2923" s="672" t="s">
        <v>787</v>
      </c>
      <c r="D2923" s="673">
        <v>38403</v>
      </c>
      <c r="E2923" s="674">
        <v>10</v>
      </c>
      <c r="F2923" s="675">
        <v>0.1</v>
      </c>
      <c r="G2923" s="676">
        <v>9611</v>
      </c>
      <c r="H2923" s="929">
        <v>0</v>
      </c>
      <c r="I2923" s="929">
        <v>9611</v>
      </c>
      <c r="J2923" s="689">
        <f t="shared" si="46"/>
        <v>0</v>
      </c>
    </row>
    <row r="2924" spans="1:10" ht="12.75" customHeight="1" x14ac:dyDescent="0.2">
      <c r="A2924" s="681" t="s">
        <v>2370</v>
      </c>
      <c r="B2924" s="693" t="s">
        <v>5431</v>
      </c>
      <c r="C2924" s="672" t="s">
        <v>787</v>
      </c>
      <c r="D2924" s="673">
        <v>38403</v>
      </c>
      <c r="E2924" s="674">
        <v>10</v>
      </c>
      <c r="F2924" s="675">
        <v>0.1</v>
      </c>
      <c r="G2924" s="676">
        <v>9856</v>
      </c>
      <c r="H2924" s="929">
        <v>0</v>
      </c>
      <c r="I2924" s="929">
        <v>9856</v>
      </c>
      <c r="J2924" s="689">
        <f t="shared" si="46"/>
        <v>0</v>
      </c>
    </row>
    <row r="2925" spans="1:10" ht="12.75" customHeight="1" x14ac:dyDescent="0.2">
      <c r="A2925" s="681" t="s">
        <v>2370</v>
      </c>
      <c r="B2925" s="693" t="s">
        <v>5432</v>
      </c>
      <c r="C2925" s="672" t="s">
        <v>787</v>
      </c>
      <c r="D2925" s="673">
        <v>38403</v>
      </c>
      <c r="E2925" s="674">
        <v>10</v>
      </c>
      <c r="F2925" s="675">
        <v>0.1</v>
      </c>
      <c r="G2925" s="676">
        <v>10292</v>
      </c>
      <c r="H2925" s="929">
        <v>0</v>
      </c>
      <c r="I2925" s="929">
        <v>10292</v>
      </c>
      <c r="J2925" s="689">
        <f t="shared" si="46"/>
        <v>0</v>
      </c>
    </row>
    <row r="2926" spans="1:10" ht="12.75" customHeight="1" x14ac:dyDescent="0.2">
      <c r="A2926" s="681" t="s">
        <v>2370</v>
      </c>
      <c r="B2926" s="693" t="s">
        <v>5433</v>
      </c>
      <c r="C2926" s="672" t="s">
        <v>787</v>
      </c>
      <c r="D2926" s="673">
        <v>38403</v>
      </c>
      <c r="E2926" s="674">
        <v>10</v>
      </c>
      <c r="F2926" s="675">
        <v>0.1</v>
      </c>
      <c r="G2926" s="676">
        <v>17552</v>
      </c>
      <c r="H2926" s="929">
        <v>0</v>
      </c>
      <c r="I2926" s="929">
        <v>17552</v>
      </c>
      <c r="J2926" s="689">
        <f t="shared" si="46"/>
        <v>0</v>
      </c>
    </row>
    <row r="2927" spans="1:10" ht="12.75" customHeight="1" x14ac:dyDescent="0.2">
      <c r="A2927" s="681" t="s">
        <v>2370</v>
      </c>
      <c r="B2927" s="693" t="s">
        <v>5434</v>
      </c>
      <c r="C2927" s="672" t="s">
        <v>828</v>
      </c>
      <c r="D2927" s="673">
        <v>38403</v>
      </c>
      <c r="E2927" s="674">
        <v>10</v>
      </c>
      <c r="F2927" s="675">
        <v>0.1</v>
      </c>
      <c r="G2927" s="676">
        <v>483</v>
      </c>
      <c r="H2927" s="929">
        <v>0</v>
      </c>
      <c r="I2927" s="929">
        <v>483</v>
      </c>
      <c r="J2927" s="689">
        <f t="shared" si="46"/>
        <v>0</v>
      </c>
    </row>
    <row r="2928" spans="1:10" ht="12.75" customHeight="1" x14ac:dyDescent="0.2">
      <c r="A2928" s="681" t="s">
        <v>2372</v>
      </c>
      <c r="B2928" s="693" t="s">
        <v>5575</v>
      </c>
      <c r="C2928" s="672" t="s">
        <v>1068</v>
      </c>
      <c r="D2928" s="673">
        <v>38403</v>
      </c>
      <c r="E2928" s="674">
        <v>10</v>
      </c>
      <c r="F2928" s="675">
        <v>0.1</v>
      </c>
      <c r="G2928" s="676">
        <v>1894</v>
      </c>
      <c r="H2928" s="929">
        <v>0</v>
      </c>
      <c r="I2928" s="929">
        <v>1894</v>
      </c>
      <c r="J2928" s="689">
        <f t="shared" si="46"/>
        <v>0</v>
      </c>
    </row>
    <row r="2929" spans="1:10" ht="12.75" customHeight="1" x14ac:dyDescent="0.2">
      <c r="A2929" s="681" t="s">
        <v>2372</v>
      </c>
      <c r="B2929" s="693" t="s">
        <v>5576</v>
      </c>
      <c r="C2929" s="672" t="s">
        <v>1068</v>
      </c>
      <c r="D2929" s="673">
        <v>38403</v>
      </c>
      <c r="E2929" s="674">
        <v>10</v>
      </c>
      <c r="F2929" s="675">
        <v>0.1</v>
      </c>
      <c r="G2929" s="676">
        <v>1894</v>
      </c>
      <c r="H2929" s="929">
        <v>0</v>
      </c>
      <c r="I2929" s="929">
        <v>1894</v>
      </c>
      <c r="J2929" s="689">
        <f t="shared" si="46"/>
        <v>0</v>
      </c>
    </row>
    <row r="2930" spans="1:10" ht="12.75" customHeight="1" x14ac:dyDescent="0.2">
      <c r="A2930" s="681" t="s">
        <v>2372</v>
      </c>
      <c r="B2930" s="693" t="s">
        <v>5577</v>
      </c>
      <c r="C2930" s="672" t="s">
        <v>1068</v>
      </c>
      <c r="D2930" s="673">
        <v>38403</v>
      </c>
      <c r="E2930" s="674">
        <v>10</v>
      </c>
      <c r="F2930" s="675">
        <v>0.1</v>
      </c>
      <c r="G2930" s="676">
        <v>1894</v>
      </c>
      <c r="H2930" s="929">
        <v>0</v>
      </c>
      <c r="I2930" s="929">
        <v>1894</v>
      </c>
      <c r="J2930" s="689">
        <f t="shared" si="46"/>
        <v>0</v>
      </c>
    </row>
    <row r="2931" spans="1:10" ht="12.75" customHeight="1" x14ac:dyDescent="0.2">
      <c r="A2931" s="681" t="s">
        <v>2372</v>
      </c>
      <c r="B2931" s="693" t="s">
        <v>5687</v>
      </c>
      <c r="C2931" s="672" t="s">
        <v>915</v>
      </c>
      <c r="D2931" s="673">
        <v>40959</v>
      </c>
      <c r="E2931" s="674">
        <v>3</v>
      </c>
      <c r="F2931" s="675">
        <v>0.33</v>
      </c>
      <c r="G2931" s="676">
        <v>568</v>
      </c>
      <c r="H2931" s="929">
        <v>0</v>
      </c>
      <c r="I2931" s="929">
        <v>567</v>
      </c>
      <c r="J2931" s="689">
        <f t="shared" si="46"/>
        <v>1</v>
      </c>
    </row>
    <row r="2932" spans="1:10" ht="12.75" customHeight="1" x14ac:dyDescent="0.2">
      <c r="A2932" s="681" t="s">
        <v>2372</v>
      </c>
      <c r="B2932" s="693" t="s">
        <v>5695</v>
      </c>
      <c r="C2932" s="672" t="s">
        <v>915</v>
      </c>
      <c r="D2932" s="673">
        <v>40959</v>
      </c>
      <c r="E2932" s="674">
        <v>3</v>
      </c>
      <c r="F2932" s="675">
        <v>0.33</v>
      </c>
      <c r="G2932" s="676">
        <v>452</v>
      </c>
      <c r="H2932" s="929">
        <v>0</v>
      </c>
      <c r="I2932" s="929">
        <v>451</v>
      </c>
      <c r="J2932" s="689">
        <f t="shared" si="46"/>
        <v>1</v>
      </c>
    </row>
    <row r="2933" spans="1:10" ht="12.75" customHeight="1" x14ac:dyDescent="0.2">
      <c r="A2933" s="681" t="s">
        <v>2372</v>
      </c>
      <c r="B2933" s="693" t="s">
        <v>5696</v>
      </c>
      <c r="C2933" s="672" t="s">
        <v>915</v>
      </c>
      <c r="D2933" s="673">
        <v>40959</v>
      </c>
      <c r="E2933" s="674">
        <v>3</v>
      </c>
      <c r="F2933" s="675">
        <v>0.33</v>
      </c>
      <c r="G2933" s="676">
        <v>452</v>
      </c>
      <c r="H2933" s="929">
        <v>0</v>
      </c>
      <c r="I2933" s="929">
        <v>451</v>
      </c>
      <c r="J2933" s="689">
        <f t="shared" si="46"/>
        <v>1</v>
      </c>
    </row>
    <row r="2934" spans="1:10" ht="12.75" customHeight="1" x14ac:dyDescent="0.2">
      <c r="A2934" s="681" t="s">
        <v>2372</v>
      </c>
      <c r="B2934" s="693" t="s">
        <v>5697</v>
      </c>
      <c r="C2934" s="672" t="s">
        <v>915</v>
      </c>
      <c r="D2934" s="673">
        <v>40959</v>
      </c>
      <c r="E2934" s="674">
        <v>3</v>
      </c>
      <c r="F2934" s="675">
        <v>0.33</v>
      </c>
      <c r="G2934" s="676">
        <v>441</v>
      </c>
      <c r="H2934" s="929">
        <v>0</v>
      </c>
      <c r="I2934" s="929">
        <v>440</v>
      </c>
      <c r="J2934" s="689">
        <f t="shared" si="46"/>
        <v>1</v>
      </c>
    </row>
    <row r="2935" spans="1:10" ht="12.75" customHeight="1" x14ac:dyDescent="0.2">
      <c r="A2935" s="681" t="s">
        <v>2370</v>
      </c>
      <c r="B2935" s="693" t="s">
        <v>5435</v>
      </c>
      <c r="C2935" s="672" t="s">
        <v>804</v>
      </c>
      <c r="D2935" s="673">
        <v>38403</v>
      </c>
      <c r="E2935" s="674">
        <v>10</v>
      </c>
      <c r="F2935" s="675">
        <v>0.1</v>
      </c>
      <c r="G2935" s="676">
        <v>1794</v>
      </c>
      <c r="H2935" s="929">
        <v>0</v>
      </c>
      <c r="I2935" s="929">
        <v>1794</v>
      </c>
      <c r="J2935" s="689">
        <f t="shared" si="46"/>
        <v>0</v>
      </c>
    </row>
    <row r="2936" spans="1:10" ht="12.75" customHeight="1" x14ac:dyDescent="0.2">
      <c r="A2936" s="681" t="s">
        <v>2370</v>
      </c>
      <c r="B2936" s="693" t="s">
        <v>5436</v>
      </c>
      <c r="C2936" s="672" t="s">
        <v>794</v>
      </c>
      <c r="D2936" s="673">
        <v>38403</v>
      </c>
      <c r="E2936" s="674">
        <v>10</v>
      </c>
      <c r="F2936" s="675">
        <v>0.1</v>
      </c>
      <c r="G2936" s="676">
        <v>375</v>
      </c>
      <c r="H2936" s="929">
        <v>0</v>
      </c>
      <c r="I2936" s="929">
        <v>375</v>
      </c>
      <c r="J2936" s="689">
        <f t="shared" si="46"/>
        <v>0</v>
      </c>
    </row>
    <row r="2937" spans="1:10" ht="12.75" customHeight="1" x14ac:dyDescent="0.2">
      <c r="A2937" s="681" t="s">
        <v>2370</v>
      </c>
      <c r="B2937" s="693" t="s">
        <v>5437</v>
      </c>
      <c r="C2937" s="672" t="s">
        <v>794</v>
      </c>
      <c r="D2937" s="673">
        <v>38403</v>
      </c>
      <c r="E2937" s="674">
        <v>10</v>
      </c>
      <c r="F2937" s="675">
        <v>0.1</v>
      </c>
      <c r="G2937" s="676">
        <v>445</v>
      </c>
      <c r="H2937" s="929">
        <v>0</v>
      </c>
      <c r="I2937" s="929">
        <v>445</v>
      </c>
      <c r="J2937" s="689">
        <f t="shared" si="46"/>
        <v>0</v>
      </c>
    </row>
    <row r="2938" spans="1:10" ht="12.75" customHeight="1" x14ac:dyDescent="0.2">
      <c r="A2938" s="681" t="s">
        <v>2370</v>
      </c>
      <c r="B2938" s="693" t="s">
        <v>5597</v>
      </c>
      <c r="C2938" s="672" t="s">
        <v>892</v>
      </c>
      <c r="D2938" s="673">
        <v>40959</v>
      </c>
      <c r="E2938" s="674">
        <v>3</v>
      </c>
      <c r="F2938" s="675">
        <v>0.33</v>
      </c>
      <c r="G2938" s="676">
        <v>8352</v>
      </c>
      <c r="H2938" s="929">
        <v>0</v>
      </c>
      <c r="I2938" s="929">
        <v>8351</v>
      </c>
      <c r="J2938" s="689">
        <f t="shared" si="46"/>
        <v>1</v>
      </c>
    </row>
    <row r="2939" spans="1:10" ht="12.75" customHeight="1" x14ac:dyDescent="0.2">
      <c r="A2939" s="681" t="s">
        <v>2370</v>
      </c>
      <c r="B2939" s="693" t="s">
        <v>5598</v>
      </c>
      <c r="C2939" s="672" t="s">
        <v>892</v>
      </c>
      <c r="D2939" s="673">
        <v>40959</v>
      </c>
      <c r="E2939" s="674">
        <v>3</v>
      </c>
      <c r="F2939" s="675">
        <v>0.33</v>
      </c>
      <c r="G2939" s="676">
        <v>8352</v>
      </c>
      <c r="H2939" s="929">
        <v>0</v>
      </c>
      <c r="I2939" s="929">
        <v>8351</v>
      </c>
      <c r="J2939" s="689">
        <f t="shared" si="46"/>
        <v>1</v>
      </c>
    </row>
    <row r="2940" spans="1:10" ht="12.75" customHeight="1" x14ac:dyDescent="0.2">
      <c r="A2940" s="681" t="s">
        <v>2370</v>
      </c>
      <c r="B2940" s="693" t="s">
        <v>5604</v>
      </c>
      <c r="C2940" s="672" t="s">
        <v>892</v>
      </c>
      <c r="D2940" s="673">
        <v>40959</v>
      </c>
      <c r="E2940" s="674">
        <v>3</v>
      </c>
      <c r="F2940" s="675">
        <v>0.33</v>
      </c>
      <c r="G2940" s="676">
        <v>6844</v>
      </c>
      <c r="H2940" s="929">
        <v>0</v>
      </c>
      <c r="I2940" s="929">
        <v>6843</v>
      </c>
      <c r="J2940" s="689">
        <f t="shared" si="46"/>
        <v>1</v>
      </c>
    </row>
    <row r="2941" spans="1:10" ht="12.75" customHeight="1" x14ac:dyDescent="0.2">
      <c r="A2941" s="681" t="s">
        <v>2370</v>
      </c>
      <c r="B2941" s="693" t="s">
        <v>5611</v>
      </c>
      <c r="C2941" s="672" t="s">
        <v>892</v>
      </c>
      <c r="D2941" s="673">
        <v>40959</v>
      </c>
      <c r="E2941" s="674">
        <v>3</v>
      </c>
      <c r="F2941" s="675">
        <v>0.33</v>
      </c>
      <c r="G2941" s="676">
        <v>6252</v>
      </c>
      <c r="H2941" s="929">
        <v>0</v>
      </c>
      <c r="I2941" s="929">
        <v>6251</v>
      </c>
      <c r="J2941" s="689">
        <f t="shared" si="46"/>
        <v>1</v>
      </c>
    </row>
    <row r="2942" spans="1:10" ht="12.75" customHeight="1" x14ac:dyDescent="0.2">
      <c r="A2942" s="681" t="s">
        <v>2370</v>
      </c>
      <c r="B2942" s="693" t="s">
        <v>5624</v>
      </c>
      <c r="C2942" s="672" t="s">
        <v>892</v>
      </c>
      <c r="D2942" s="673">
        <v>40959</v>
      </c>
      <c r="E2942" s="674">
        <v>3</v>
      </c>
      <c r="F2942" s="675">
        <v>0.33</v>
      </c>
      <c r="G2942" s="676">
        <v>4988</v>
      </c>
      <c r="H2942" s="929">
        <v>0</v>
      </c>
      <c r="I2942" s="929">
        <v>4987</v>
      </c>
      <c r="J2942" s="689">
        <f t="shared" si="46"/>
        <v>1</v>
      </c>
    </row>
    <row r="2943" spans="1:10" ht="12.75" customHeight="1" x14ac:dyDescent="0.2">
      <c r="A2943" s="681" t="s">
        <v>2370</v>
      </c>
      <c r="B2943" s="693" t="s">
        <v>5660</v>
      </c>
      <c r="C2943" s="672" t="s">
        <v>892</v>
      </c>
      <c r="D2943" s="673">
        <v>40959</v>
      </c>
      <c r="E2943" s="674">
        <v>3</v>
      </c>
      <c r="F2943" s="675">
        <v>0.33</v>
      </c>
      <c r="G2943" s="676">
        <v>2262</v>
      </c>
      <c r="H2943" s="929">
        <v>0</v>
      </c>
      <c r="I2943" s="929">
        <v>2261</v>
      </c>
      <c r="J2943" s="689">
        <f t="shared" si="46"/>
        <v>1</v>
      </c>
    </row>
    <row r="2944" spans="1:10" ht="12.75" customHeight="1" x14ac:dyDescent="0.2">
      <c r="A2944" s="681" t="s">
        <v>2370</v>
      </c>
      <c r="B2944" s="693" t="s">
        <v>5667</v>
      </c>
      <c r="C2944" s="672" t="s">
        <v>892</v>
      </c>
      <c r="D2944" s="673">
        <v>40959</v>
      </c>
      <c r="E2944" s="674">
        <v>3</v>
      </c>
      <c r="F2944" s="675">
        <v>0.33</v>
      </c>
      <c r="G2944" s="676">
        <v>1972</v>
      </c>
      <c r="H2944" s="929">
        <v>0</v>
      </c>
      <c r="I2944" s="929">
        <v>1971</v>
      </c>
      <c r="J2944" s="689">
        <f t="shared" si="46"/>
        <v>1</v>
      </c>
    </row>
    <row r="2945" spans="1:10" ht="12.75" customHeight="1" x14ac:dyDescent="0.2">
      <c r="A2945" s="681" t="s">
        <v>2370</v>
      </c>
      <c r="B2945" s="693" t="s">
        <v>5668</v>
      </c>
      <c r="C2945" s="672" t="s">
        <v>892</v>
      </c>
      <c r="D2945" s="673">
        <v>40959</v>
      </c>
      <c r="E2945" s="674">
        <v>3</v>
      </c>
      <c r="F2945" s="675">
        <v>0.33</v>
      </c>
      <c r="G2945" s="676">
        <v>1972</v>
      </c>
      <c r="H2945" s="929">
        <v>0</v>
      </c>
      <c r="I2945" s="929">
        <v>1971</v>
      </c>
      <c r="J2945" s="689">
        <f t="shared" si="46"/>
        <v>1</v>
      </c>
    </row>
    <row r="2946" spans="1:10" ht="12.75" customHeight="1" x14ac:dyDescent="0.2">
      <c r="A2946" s="681" t="s">
        <v>2370</v>
      </c>
      <c r="B2946" s="693" t="s">
        <v>5438</v>
      </c>
      <c r="C2946" s="672" t="s">
        <v>788</v>
      </c>
      <c r="D2946" s="673">
        <v>38403</v>
      </c>
      <c r="E2946" s="674">
        <v>10</v>
      </c>
      <c r="F2946" s="675">
        <v>0.1</v>
      </c>
      <c r="G2946" s="676">
        <v>2777</v>
      </c>
      <c r="H2946" s="929">
        <v>0</v>
      </c>
      <c r="I2946" s="929">
        <v>2777</v>
      </c>
      <c r="J2946" s="689">
        <f t="shared" si="46"/>
        <v>0</v>
      </c>
    </row>
    <row r="2947" spans="1:10" ht="12.75" customHeight="1" x14ac:dyDescent="0.2">
      <c r="A2947" s="681" t="s">
        <v>2370</v>
      </c>
      <c r="B2947" s="693" t="s">
        <v>5439</v>
      </c>
      <c r="C2947" s="672" t="s">
        <v>788</v>
      </c>
      <c r="D2947" s="673">
        <v>38403</v>
      </c>
      <c r="E2947" s="674">
        <v>10</v>
      </c>
      <c r="F2947" s="675">
        <v>0.1</v>
      </c>
      <c r="G2947" s="676">
        <v>3080</v>
      </c>
      <c r="H2947" s="929">
        <v>0</v>
      </c>
      <c r="I2947" s="929">
        <v>3080</v>
      </c>
      <c r="J2947" s="689">
        <f t="shared" si="46"/>
        <v>0</v>
      </c>
    </row>
    <row r="2948" spans="1:10" ht="12.75" customHeight="1" x14ac:dyDescent="0.2">
      <c r="A2948" s="681" t="s">
        <v>2370</v>
      </c>
      <c r="B2948" s="693" t="s">
        <v>5440</v>
      </c>
      <c r="C2948" s="672" t="s">
        <v>814</v>
      </c>
      <c r="D2948" s="673">
        <v>38403</v>
      </c>
      <c r="E2948" s="674">
        <v>3</v>
      </c>
      <c r="F2948" s="675">
        <v>0.33</v>
      </c>
      <c r="G2948" s="676">
        <v>1092</v>
      </c>
      <c r="H2948" s="929">
        <v>0</v>
      </c>
      <c r="I2948" s="929">
        <v>1092</v>
      </c>
      <c r="J2948" s="689">
        <f t="shared" si="46"/>
        <v>0</v>
      </c>
    </row>
    <row r="2949" spans="1:10" ht="12.75" customHeight="1" x14ac:dyDescent="0.2">
      <c r="A2949" s="681" t="s">
        <v>2370</v>
      </c>
      <c r="B2949" s="693" t="s">
        <v>5441</v>
      </c>
      <c r="C2949" s="672" t="s">
        <v>798</v>
      </c>
      <c r="D2949" s="673">
        <v>38403</v>
      </c>
      <c r="E2949" s="674">
        <v>10</v>
      </c>
      <c r="F2949" s="675">
        <v>0.1</v>
      </c>
      <c r="G2949" s="676">
        <v>2936</v>
      </c>
      <c r="H2949" s="929">
        <v>0</v>
      </c>
      <c r="I2949" s="929">
        <v>2936</v>
      </c>
      <c r="J2949" s="689">
        <f t="shared" si="46"/>
        <v>0</v>
      </c>
    </row>
    <row r="2950" spans="1:10" ht="12.75" customHeight="1" x14ac:dyDescent="0.2">
      <c r="A2950" s="681" t="s">
        <v>2370</v>
      </c>
      <c r="B2950" s="693" t="s">
        <v>5442</v>
      </c>
      <c r="C2950" s="672" t="s">
        <v>798</v>
      </c>
      <c r="D2950" s="673">
        <v>38403</v>
      </c>
      <c r="E2950" s="674">
        <v>10</v>
      </c>
      <c r="F2950" s="675">
        <v>0.1</v>
      </c>
      <c r="G2950" s="676">
        <v>3444</v>
      </c>
      <c r="H2950" s="929">
        <v>0</v>
      </c>
      <c r="I2950" s="929">
        <v>3444</v>
      </c>
      <c r="J2950" s="689">
        <f t="shared" si="46"/>
        <v>0</v>
      </c>
    </row>
    <row r="2951" spans="1:10" ht="12.75" customHeight="1" x14ac:dyDescent="0.2">
      <c r="A2951" s="681" t="s">
        <v>2370</v>
      </c>
      <c r="B2951" s="693" t="s">
        <v>5443</v>
      </c>
      <c r="C2951" s="672" t="s">
        <v>798</v>
      </c>
      <c r="D2951" s="673">
        <v>38403</v>
      </c>
      <c r="E2951" s="674">
        <v>10</v>
      </c>
      <c r="F2951" s="675">
        <v>0.1</v>
      </c>
      <c r="G2951" s="676">
        <v>4894</v>
      </c>
      <c r="H2951" s="929">
        <v>0</v>
      </c>
      <c r="I2951" s="929">
        <v>4894</v>
      </c>
      <c r="J2951" s="689">
        <f t="shared" ref="J2951:J3014" si="47">G2951-I2951</f>
        <v>0</v>
      </c>
    </row>
    <row r="2952" spans="1:10" ht="12.75" customHeight="1" x14ac:dyDescent="0.2">
      <c r="A2952" s="681" t="s">
        <v>2370</v>
      </c>
      <c r="B2952" s="693" t="s">
        <v>5444</v>
      </c>
      <c r="C2952" s="672" t="s">
        <v>798</v>
      </c>
      <c r="D2952" s="673">
        <v>38403</v>
      </c>
      <c r="E2952" s="674">
        <v>10</v>
      </c>
      <c r="F2952" s="675">
        <v>0.1</v>
      </c>
      <c r="G2952" s="676">
        <v>4894</v>
      </c>
      <c r="H2952" s="929">
        <v>0</v>
      </c>
      <c r="I2952" s="929">
        <v>4894</v>
      </c>
      <c r="J2952" s="689">
        <f t="shared" si="47"/>
        <v>0</v>
      </c>
    </row>
    <row r="2953" spans="1:10" ht="12.75" customHeight="1" x14ac:dyDescent="0.2">
      <c r="A2953" s="681" t="s">
        <v>2370</v>
      </c>
      <c r="B2953" s="693" t="s">
        <v>5445</v>
      </c>
      <c r="C2953" s="672" t="s">
        <v>798</v>
      </c>
      <c r="D2953" s="673">
        <v>38403</v>
      </c>
      <c r="E2953" s="674">
        <v>10</v>
      </c>
      <c r="F2953" s="675">
        <v>0.1</v>
      </c>
      <c r="G2953" s="676">
        <v>5173</v>
      </c>
      <c r="H2953" s="929">
        <v>0</v>
      </c>
      <c r="I2953" s="929">
        <v>5173</v>
      </c>
      <c r="J2953" s="689">
        <f t="shared" si="47"/>
        <v>0</v>
      </c>
    </row>
    <row r="2954" spans="1:10" ht="12.75" customHeight="1" x14ac:dyDescent="0.2">
      <c r="A2954" s="681" t="s">
        <v>2370</v>
      </c>
      <c r="B2954" s="693" t="s">
        <v>5711</v>
      </c>
      <c r="C2954" s="672" t="s">
        <v>906</v>
      </c>
      <c r="D2954" s="673">
        <v>40959</v>
      </c>
      <c r="E2954" s="674">
        <v>3</v>
      </c>
      <c r="F2954" s="675">
        <v>0.33</v>
      </c>
      <c r="G2954" s="676">
        <v>137</v>
      </c>
      <c r="H2954" s="929">
        <v>0</v>
      </c>
      <c r="I2954" s="929">
        <v>136</v>
      </c>
      <c r="J2954" s="689">
        <f t="shared" si="47"/>
        <v>1</v>
      </c>
    </row>
    <row r="2955" spans="1:10" ht="12.75" customHeight="1" x14ac:dyDescent="0.2">
      <c r="A2955" s="681" t="s">
        <v>2370</v>
      </c>
      <c r="B2955" s="693" t="s">
        <v>5446</v>
      </c>
      <c r="C2955" s="672" t="s">
        <v>790</v>
      </c>
      <c r="D2955" s="673">
        <v>38403</v>
      </c>
      <c r="E2955" s="674">
        <v>10</v>
      </c>
      <c r="F2955" s="675">
        <v>0.1</v>
      </c>
      <c r="G2955" s="676">
        <v>555</v>
      </c>
      <c r="H2955" s="929">
        <v>0</v>
      </c>
      <c r="I2955" s="929">
        <v>555</v>
      </c>
      <c r="J2955" s="689">
        <f t="shared" si="47"/>
        <v>0</v>
      </c>
    </row>
    <row r="2956" spans="1:10" ht="12.75" customHeight="1" x14ac:dyDescent="0.2">
      <c r="A2956" s="681" t="s">
        <v>2370</v>
      </c>
      <c r="B2956" s="693" t="s">
        <v>5447</v>
      </c>
      <c r="C2956" s="672" t="s">
        <v>790</v>
      </c>
      <c r="D2956" s="673">
        <v>38403</v>
      </c>
      <c r="E2956" s="674">
        <v>10</v>
      </c>
      <c r="F2956" s="675">
        <v>0.1</v>
      </c>
      <c r="G2956" s="676">
        <v>598</v>
      </c>
      <c r="H2956" s="929">
        <v>0</v>
      </c>
      <c r="I2956" s="929">
        <v>598</v>
      </c>
      <c r="J2956" s="689">
        <f t="shared" si="47"/>
        <v>0</v>
      </c>
    </row>
    <row r="2957" spans="1:10" ht="12.75" customHeight="1" x14ac:dyDescent="0.2">
      <c r="A2957" s="681" t="s">
        <v>2370</v>
      </c>
      <c r="B2957" s="693" t="s">
        <v>5448</v>
      </c>
      <c r="C2957" s="672" t="s">
        <v>790</v>
      </c>
      <c r="D2957" s="673">
        <v>38403</v>
      </c>
      <c r="E2957" s="674">
        <v>10</v>
      </c>
      <c r="F2957" s="675">
        <v>0.1</v>
      </c>
      <c r="G2957" s="676">
        <v>799</v>
      </c>
      <c r="H2957" s="929">
        <v>0</v>
      </c>
      <c r="I2957" s="929">
        <v>799</v>
      </c>
      <c r="J2957" s="689">
        <f t="shared" si="47"/>
        <v>0</v>
      </c>
    </row>
    <row r="2958" spans="1:10" ht="12.75" customHeight="1" x14ac:dyDescent="0.2">
      <c r="A2958" s="681" t="s">
        <v>2370</v>
      </c>
      <c r="B2958" s="693" t="s">
        <v>5449</v>
      </c>
      <c r="C2958" s="672" t="s">
        <v>790</v>
      </c>
      <c r="D2958" s="673">
        <v>38403</v>
      </c>
      <c r="E2958" s="674">
        <v>10</v>
      </c>
      <c r="F2958" s="675">
        <v>0.1</v>
      </c>
      <c r="G2958" s="676">
        <v>799</v>
      </c>
      <c r="H2958" s="929">
        <v>0</v>
      </c>
      <c r="I2958" s="929">
        <v>799</v>
      </c>
      <c r="J2958" s="689">
        <f t="shared" si="47"/>
        <v>0</v>
      </c>
    </row>
    <row r="2959" spans="1:10" ht="12.75" customHeight="1" x14ac:dyDescent="0.2">
      <c r="A2959" s="681" t="s">
        <v>2370</v>
      </c>
      <c r="B2959" s="693" t="s">
        <v>5450</v>
      </c>
      <c r="C2959" s="672" t="s">
        <v>790</v>
      </c>
      <c r="D2959" s="673">
        <v>38403</v>
      </c>
      <c r="E2959" s="674">
        <v>10</v>
      </c>
      <c r="F2959" s="675">
        <v>0.1</v>
      </c>
      <c r="G2959" s="676">
        <v>1650</v>
      </c>
      <c r="H2959" s="929">
        <v>0</v>
      </c>
      <c r="I2959" s="929">
        <v>1650</v>
      </c>
      <c r="J2959" s="689">
        <f t="shared" si="47"/>
        <v>0</v>
      </c>
    </row>
    <row r="2960" spans="1:10" ht="12.75" customHeight="1" x14ac:dyDescent="0.2">
      <c r="A2960" s="681" t="s">
        <v>2370</v>
      </c>
      <c r="B2960" s="693" t="s">
        <v>5451</v>
      </c>
      <c r="C2960" s="672" t="s">
        <v>790</v>
      </c>
      <c r="D2960" s="673">
        <v>38403</v>
      </c>
      <c r="E2960" s="674">
        <v>10</v>
      </c>
      <c r="F2960" s="675">
        <v>0.1</v>
      </c>
      <c r="G2960" s="676">
        <v>2260</v>
      </c>
      <c r="H2960" s="929">
        <v>0</v>
      </c>
      <c r="I2960" s="929">
        <v>2260</v>
      </c>
      <c r="J2960" s="689">
        <f t="shared" si="47"/>
        <v>0</v>
      </c>
    </row>
    <row r="2961" spans="1:10" ht="12.75" customHeight="1" x14ac:dyDescent="0.2">
      <c r="A2961" s="681" t="s">
        <v>2370</v>
      </c>
      <c r="B2961" s="693" t="s">
        <v>5452</v>
      </c>
      <c r="C2961" s="672" t="s">
        <v>790</v>
      </c>
      <c r="D2961" s="673">
        <v>38403</v>
      </c>
      <c r="E2961" s="674">
        <v>10</v>
      </c>
      <c r="F2961" s="675">
        <v>0.1</v>
      </c>
      <c r="G2961" s="676">
        <v>2277</v>
      </c>
      <c r="H2961" s="929">
        <v>0</v>
      </c>
      <c r="I2961" s="929">
        <v>2277</v>
      </c>
      <c r="J2961" s="689">
        <f t="shared" si="47"/>
        <v>0</v>
      </c>
    </row>
    <row r="2962" spans="1:10" ht="12.75" customHeight="1" x14ac:dyDescent="0.2">
      <c r="A2962" s="681" t="s">
        <v>2372</v>
      </c>
      <c r="B2962" s="693" t="s">
        <v>5688</v>
      </c>
      <c r="C2962" s="672" t="s">
        <v>1017</v>
      </c>
      <c r="D2962" s="673">
        <v>40959</v>
      </c>
      <c r="E2962" s="674">
        <v>3</v>
      </c>
      <c r="F2962" s="675">
        <v>0.33</v>
      </c>
      <c r="G2962" s="676">
        <v>534</v>
      </c>
      <c r="H2962" s="929">
        <v>0</v>
      </c>
      <c r="I2962" s="929">
        <v>533</v>
      </c>
      <c r="J2962" s="689">
        <f t="shared" si="47"/>
        <v>1</v>
      </c>
    </row>
    <row r="2963" spans="1:10" ht="12.75" customHeight="1" x14ac:dyDescent="0.2">
      <c r="A2963" s="681" t="s">
        <v>2372</v>
      </c>
      <c r="B2963" s="693" t="s">
        <v>5649</v>
      </c>
      <c r="C2963" s="672" t="s">
        <v>1031</v>
      </c>
      <c r="D2963" s="673">
        <v>40959</v>
      </c>
      <c r="E2963" s="674">
        <v>3</v>
      </c>
      <c r="F2963" s="675">
        <v>0.33</v>
      </c>
      <c r="G2963" s="676">
        <v>3352</v>
      </c>
      <c r="H2963" s="929">
        <v>0</v>
      </c>
      <c r="I2963" s="929">
        <v>3351</v>
      </c>
      <c r="J2963" s="689">
        <f t="shared" si="47"/>
        <v>1</v>
      </c>
    </row>
    <row r="2964" spans="1:10" ht="12.75" customHeight="1" x14ac:dyDescent="0.2">
      <c r="A2964" s="681" t="s">
        <v>2370</v>
      </c>
      <c r="B2964" s="693" t="s">
        <v>5596</v>
      </c>
      <c r="C2964" s="672" t="s">
        <v>910</v>
      </c>
      <c r="D2964" s="673">
        <v>40959</v>
      </c>
      <c r="E2964" s="674">
        <v>3</v>
      </c>
      <c r="F2964" s="675">
        <v>0.33</v>
      </c>
      <c r="G2964" s="676">
        <v>8688</v>
      </c>
      <c r="H2964" s="929">
        <v>0</v>
      </c>
      <c r="I2964" s="929">
        <v>8687</v>
      </c>
      <c r="J2964" s="689">
        <f t="shared" si="47"/>
        <v>1</v>
      </c>
    </row>
    <row r="2965" spans="1:10" ht="12.75" customHeight="1" x14ac:dyDescent="0.2">
      <c r="A2965" s="681" t="s">
        <v>2370</v>
      </c>
      <c r="B2965" s="693" t="s">
        <v>5548</v>
      </c>
      <c r="C2965" s="672" t="s">
        <v>827</v>
      </c>
      <c r="D2965" s="673">
        <v>38403</v>
      </c>
      <c r="E2965" s="674">
        <v>10</v>
      </c>
      <c r="F2965" s="675">
        <v>0.1</v>
      </c>
      <c r="G2965" s="676">
        <v>2415</v>
      </c>
      <c r="H2965" s="929">
        <v>0</v>
      </c>
      <c r="I2965" s="929">
        <v>2415</v>
      </c>
      <c r="J2965" s="689">
        <f t="shared" si="47"/>
        <v>0</v>
      </c>
    </row>
    <row r="2966" spans="1:10" ht="12.75" customHeight="1" x14ac:dyDescent="0.2">
      <c r="A2966" s="681" t="s">
        <v>2370</v>
      </c>
      <c r="B2966" s="693" t="s">
        <v>5646</v>
      </c>
      <c r="C2966" s="672" t="s">
        <v>893</v>
      </c>
      <c r="D2966" s="673">
        <v>40959</v>
      </c>
      <c r="E2966" s="674">
        <v>3</v>
      </c>
      <c r="F2966" s="675">
        <v>0.33</v>
      </c>
      <c r="G2966" s="676">
        <v>3445</v>
      </c>
      <c r="H2966" s="929">
        <v>0</v>
      </c>
      <c r="I2966" s="929">
        <v>3444</v>
      </c>
      <c r="J2966" s="689">
        <f t="shared" si="47"/>
        <v>1</v>
      </c>
    </row>
    <row r="2967" spans="1:10" ht="12.75" customHeight="1" x14ac:dyDescent="0.2">
      <c r="A2967" s="681" t="s">
        <v>2370</v>
      </c>
      <c r="B2967" s="693" t="s">
        <v>5647</v>
      </c>
      <c r="C2967" s="672" t="s">
        <v>893</v>
      </c>
      <c r="D2967" s="673">
        <v>40959</v>
      </c>
      <c r="E2967" s="674">
        <v>3</v>
      </c>
      <c r="F2967" s="675">
        <v>0.33</v>
      </c>
      <c r="G2967" s="676">
        <v>3434</v>
      </c>
      <c r="H2967" s="929">
        <v>0</v>
      </c>
      <c r="I2967" s="929">
        <v>3433</v>
      </c>
      <c r="J2967" s="689">
        <f t="shared" si="47"/>
        <v>1</v>
      </c>
    </row>
    <row r="2968" spans="1:10" ht="12.75" customHeight="1" x14ac:dyDescent="0.2">
      <c r="A2968" s="681" t="s">
        <v>2370</v>
      </c>
      <c r="B2968" s="693" t="s">
        <v>5648</v>
      </c>
      <c r="C2968" s="672" t="s">
        <v>893</v>
      </c>
      <c r="D2968" s="673">
        <v>40959</v>
      </c>
      <c r="E2968" s="674">
        <v>3</v>
      </c>
      <c r="F2968" s="675">
        <v>0.33</v>
      </c>
      <c r="G2968" s="676">
        <v>3434</v>
      </c>
      <c r="H2968" s="929">
        <v>0</v>
      </c>
      <c r="I2968" s="929">
        <v>3433</v>
      </c>
      <c r="J2968" s="689">
        <f t="shared" si="47"/>
        <v>1</v>
      </c>
    </row>
    <row r="2969" spans="1:10" ht="12.75" customHeight="1" x14ac:dyDescent="0.2">
      <c r="A2969" s="681" t="s">
        <v>2370</v>
      </c>
      <c r="B2969" s="693" t="s">
        <v>5650</v>
      </c>
      <c r="C2969" s="672" t="s">
        <v>893</v>
      </c>
      <c r="D2969" s="673">
        <v>40959</v>
      </c>
      <c r="E2969" s="674">
        <v>3</v>
      </c>
      <c r="F2969" s="675">
        <v>0.33</v>
      </c>
      <c r="G2969" s="676">
        <v>3016</v>
      </c>
      <c r="H2969" s="929">
        <v>0</v>
      </c>
      <c r="I2969" s="929">
        <v>3015</v>
      </c>
      <c r="J2969" s="689">
        <f t="shared" si="47"/>
        <v>1</v>
      </c>
    </row>
    <row r="2970" spans="1:10" ht="12.75" customHeight="1" x14ac:dyDescent="0.2">
      <c r="A2970" s="681" t="s">
        <v>2370</v>
      </c>
      <c r="B2970" s="693" t="s">
        <v>5653</v>
      </c>
      <c r="C2970" s="672" t="s">
        <v>893</v>
      </c>
      <c r="D2970" s="673">
        <v>40959</v>
      </c>
      <c r="E2970" s="674">
        <v>3</v>
      </c>
      <c r="F2970" s="675">
        <v>0.33</v>
      </c>
      <c r="G2970" s="676">
        <v>2769</v>
      </c>
      <c r="H2970" s="929">
        <v>0</v>
      </c>
      <c r="I2970" s="929">
        <v>2768</v>
      </c>
      <c r="J2970" s="689">
        <f t="shared" si="47"/>
        <v>1</v>
      </c>
    </row>
    <row r="2971" spans="1:10" ht="12.75" customHeight="1" x14ac:dyDescent="0.2">
      <c r="A2971" s="681" t="s">
        <v>2370</v>
      </c>
      <c r="B2971" s="693" t="s">
        <v>5654</v>
      </c>
      <c r="C2971" s="672" t="s">
        <v>893</v>
      </c>
      <c r="D2971" s="673">
        <v>40959</v>
      </c>
      <c r="E2971" s="674">
        <v>3</v>
      </c>
      <c r="F2971" s="675">
        <v>0.33</v>
      </c>
      <c r="G2971" s="676">
        <v>2738</v>
      </c>
      <c r="H2971" s="929">
        <v>0</v>
      </c>
      <c r="I2971" s="929">
        <v>2737</v>
      </c>
      <c r="J2971" s="689">
        <f t="shared" si="47"/>
        <v>1</v>
      </c>
    </row>
    <row r="2972" spans="1:10" ht="12.75" customHeight="1" x14ac:dyDescent="0.2">
      <c r="A2972" s="681" t="s">
        <v>2370</v>
      </c>
      <c r="B2972" s="693" t="s">
        <v>5655</v>
      </c>
      <c r="C2972" s="672" t="s">
        <v>893</v>
      </c>
      <c r="D2972" s="673">
        <v>40959</v>
      </c>
      <c r="E2972" s="674">
        <v>3</v>
      </c>
      <c r="F2972" s="675">
        <v>0.33</v>
      </c>
      <c r="G2972" s="676">
        <v>2622</v>
      </c>
      <c r="H2972" s="929">
        <v>0</v>
      </c>
      <c r="I2972" s="929">
        <v>2621</v>
      </c>
      <c r="J2972" s="689">
        <f t="shared" si="47"/>
        <v>1</v>
      </c>
    </row>
    <row r="2973" spans="1:10" ht="12.75" customHeight="1" x14ac:dyDescent="0.2">
      <c r="A2973" s="681" t="s">
        <v>2370</v>
      </c>
      <c r="B2973" s="693" t="s">
        <v>5657</v>
      </c>
      <c r="C2973" s="672" t="s">
        <v>893</v>
      </c>
      <c r="D2973" s="673">
        <v>40959</v>
      </c>
      <c r="E2973" s="674">
        <v>3</v>
      </c>
      <c r="F2973" s="675">
        <v>0.33</v>
      </c>
      <c r="G2973" s="676">
        <v>2504</v>
      </c>
      <c r="H2973" s="929">
        <v>0</v>
      </c>
      <c r="I2973" s="929">
        <v>2503</v>
      </c>
      <c r="J2973" s="689">
        <f t="shared" si="47"/>
        <v>1</v>
      </c>
    </row>
    <row r="2974" spans="1:10" ht="12.75" customHeight="1" x14ac:dyDescent="0.2">
      <c r="A2974" s="681" t="s">
        <v>2370</v>
      </c>
      <c r="B2974" s="693" t="s">
        <v>5658</v>
      </c>
      <c r="C2974" s="672" t="s">
        <v>893</v>
      </c>
      <c r="D2974" s="673">
        <v>40959</v>
      </c>
      <c r="E2974" s="674">
        <v>3</v>
      </c>
      <c r="F2974" s="675">
        <v>0.33</v>
      </c>
      <c r="G2974" s="676">
        <v>2504</v>
      </c>
      <c r="H2974" s="929">
        <v>0</v>
      </c>
      <c r="I2974" s="929">
        <v>2503</v>
      </c>
      <c r="J2974" s="689">
        <f t="shared" si="47"/>
        <v>1</v>
      </c>
    </row>
    <row r="2975" spans="1:10" ht="12.75" customHeight="1" x14ac:dyDescent="0.2">
      <c r="A2975" s="681" t="s">
        <v>2370</v>
      </c>
      <c r="B2975" s="693" t="s">
        <v>5659</v>
      </c>
      <c r="C2975" s="672" t="s">
        <v>893</v>
      </c>
      <c r="D2975" s="673">
        <v>40959</v>
      </c>
      <c r="E2975" s="674">
        <v>3</v>
      </c>
      <c r="F2975" s="675">
        <v>0.33</v>
      </c>
      <c r="G2975" s="676">
        <v>2274</v>
      </c>
      <c r="H2975" s="929">
        <v>0</v>
      </c>
      <c r="I2975" s="929">
        <v>2273</v>
      </c>
      <c r="J2975" s="689">
        <f t="shared" si="47"/>
        <v>1</v>
      </c>
    </row>
    <row r="2976" spans="1:10" ht="12.75" customHeight="1" x14ac:dyDescent="0.2">
      <c r="A2976" s="681" t="s">
        <v>2370</v>
      </c>
      <c r="B2976" s="693" t="s">
        <v>5661</v>
      </c>
      <c r="C2976" s="672" t="s">
        <v>893</v>
      </c>
      <c r="D2976" s="673">
        <v>40959</v>
      </c>
      <c r="E2976" s="674">
        <v>3</v>
      </c>
      <c r="F2976" s="675">
        <v>0.33</v>
      </c>
      <c r="G2976" s="676">
        <v>2243</v>
      </c>
      <c r="H2976" s="929">
        <v>0</v>
      </c>
      <c r="I2976" s="929">
        <v>2242</v>
      </c>
      <c r="J2976" s="689">
        <f t="shared" si="47"/>
        <v>1</v>
      </c>
    </row>
    <row r="2977" spans="1:10" ht="12.75" customHeight="1" x14ac:dyDescent="0.2">
      <c r="A2977" s="681" t="s">
        <v>2370</v>
      </c>
      <c r="B2977" s="693" t="s">
        <v>5663</v>
      </c>
      <c r="C2977" s="672" t="s">
        <v>893</v>
      </c>
      <c r="D2977" s="673">
        <v>40959</v>
      </c>
      <c r="E2977" s="674">
        <v>3</v>
      </c>
      <c r="F2977" s="675">
        <v>0.33</v>
      </c>
      <c r="G2977" s="676">
        <v>2076</v>
      </c>
      <c r="H2977" s="929">
        <v>0</v>
      </c>
      <c r="I2977" s="929">
        <v>2075</v>
      </c>
      <c r="J2977" s="689">
        <f t="shared" si="47"/>
        <v>1</v>
      </c>
    </row>
    <row r="2978" spans="1:10" ht="12.75" customHeight="1" x14ac:dyDescent="0.2">
      <c r="A2978" s="681" t="s">
        <v>2370</v>
      </c>
      <c r="B2978" s="693" t="s">
        <v>5664</v>
      </c>
      <c r="C2978" s="672" t="s">
        <v>893</v>
      </c>
      <c r="D2978" s="673">
        <v>40959</v>
      </c>
      <c r="E2978" s="674">
        <v>3</v>
      </c>
      <c r="F2978" s="675">
        <v>0.33</v>
      </c>
      <c r="G2978" s="676">
        <v>2076</v>
      </c>
      <c r="H2978" s="929">
        <v>0</v>
      </c>
      <c r="I2978" s="929">
        <v>2075</v>
      </c>
      <c r="J2978" s="689">
        <f t="shared" si="47"/>
        <v>1</v>
      </c>
    </row>
    <row r="2979" spans="1:10" ht="12.75" customHeight="1" x14ac:dyDescent="0.2">
      <c r="A2979" s="681" t="s">
        <v>2370</v>
      </c>
      <c r="B2979" s="693" t="s">
        <v>5665</v>
      </c>
      <c r="C2979" s="672" t="s">
        <v>893</v>
      </c>
      <c r="D2979" s="673">
        <v>40959</v>
      </c>
      <c r="E2979" s="674">
        <v>3</v>
      </c>
      <c r="F2979" s="675">
        <v>0.33</v>
      </c>
      <c r="G2979" s="676">
        <v>2076</v>
      </c>
      <c r="H2979" s="929">
        <v>0</v>
      </c>
      <c r="I2979" s="929">
        <v>2075</v>
      </c>
      <c r="J2979" s="689">
        <f t="shared" si="47"/>
        <v>1</v>
      </c>
    </row>
    <row r="2980" spans="1:10" ht="12.75" customHeight="1" x14ac:dyDescent="0.2">
      <c r="A2980" s="681" t="s">
        <v>2370</v>
      </c>
      <c r="B2980" s="693" t="s">
        <v>5672</v>
      </c>
      <c r="C2980" s="672" t="s">
        <v>893</v>
      </c>
      <c r="D2980" s="673">
        <v>40959</v>
      </c>
      <c r="E2980" s="674">
        <v>3</v>
      </c>
      <c r="F2980" s="675">
        <v>0.33</v>
      </c>
      <c r="G2980" s="676">
        <v>1739</v>
      </c>
      <c r="H2980" s="929">
        <v>0</v>
      </c>
      <c r="I2980" s="929">
        <v>1738</v>
      </c>
      <c r="J2980" s="689">
        <f t="shared" si="47"/>
        <v>1</v>
      </c>
    </row>
    <row r="2981" spans="1:10" ht="12.75" customHeight="1" x14ac:dyDescent="0.2">
      <c r="A2981" s="681" t="s">
        <v>2370</v>
      </c>
      <c r="B2981" s="693" t="s">
        <v>5675</v>
      </c>
      <c r="C2981" s="672" t="s">
        <v>893</v>
      </c>
      <c r="D2981" s="673">
        <v>40959</v>
      </c>
      <c r="E2981" s="674">
        <v>3</v>
      </c>
      <c r="F2981" s="675">
        <v>0.33</v>
      </c>
      <c r="G2981" s="676">
        <v>1617</v>
      </c>
      <c r="H2981" s="929">
        <v>0</v>
      </c>
      <c r="I2981" s="929">
        <v>1616</v>
      </c>
      <c r="J2981" s="689">
        <f t="shared" si="47"/>
        <v>1</v>
      </c>
    </row>
    <row r="2982" spans="1:10" ht="12.75" customHeight="1" x14ac:dyDescent="0.2">
      <c r="A2982" s="681" t="s">
        <v>2372</v>
      </c>
      <c r="B2982" s="693" t="s">
        <v>5579</v>
      </c>
      <c r="C2982" s="672" t="s">
        <v>1056</v>
      </c>
      <c r="D2982" s="673">
        <v>38403</v>
      </c>
      <c r="E2982" s="674">
        <v>10</v>
      </c>
      <c r="F2982" s="675">
        <v>0.1</v>
      </c>
      <c r="G2982" s="676">
        <v>10950</v>
      </c>
      <c r="H2982" s="929">
        <v>0</v>
      </c>
      <c r="I2982" s="929">
        <v>10950</v>
      </c>
      <c r="J2982" s="689">
        <f t="shared" si="47"/>
        <v>0</v>
      </c>
    </row>
    <row r="2983" spans="1:10" ht="12.75" customHeight="1" x14ac:dyDescent="0.2">
      <c r="A2983" s="681" t="s">
        <v>2370</v>
      </c>
      <c r="B2983" s="693" t="s">
        <v>5522</v>
      </c>
      <c r="C2983" s="672" t="s">
        <v>897</v>
      </c>
      <c r="D2983" s="673">
        <v>39498</v>
      </c>
      <c r="E2983" s="674">
        <v>3</v>
      </c>
      <c r="F2983" s="675">
        <v>0.33</v>
      </c>
      <c r="G2983" s="676">
        <v>37</v>
      </c>
      <c r="H2983" s="929">
        <v>0</v>
      </c>
      <c r="I2983" s="929">
        <v>37</v>
      </c>
      <c r="J2983" s="689">
        <f t="shared" si="47"/>
        <v>0</v>
      </c>
    </row>
    <row r="2984" spans="1:10" ht="12.75" customHeight="1" x14ac:dyDescent="0.2">
      <c r="A2984" s="681" t="s">
        <v>2370</v>
      </c>
      <c r="B2984" s="693" t="s">
        <v>5523</v>
      </c>
      <c r="C2984" s="672" t="s">
        <v>897</v>
      </c>
      <c r="D2984" s="673">
        <v>39498</v>
      </c>
      <c r="E2984" s="674">
        <v>3</v>
      </c>
      <c r="F2984" s="675">
        <v>0.33</v>
      </c>
      <c r="G2984" s="676">
        <v>58</v>
      </c>
      <c r="H2984" s="929">
        <v>0</v>
      </c>
      <c r="I2984" s="929">
        <v>58</v>
      </c>
      <c r="J2984" s="689">
        <f t="shared" si="47"/>
        <v>0</v>
      </c>
    </row>
    <row r="2985" spans="1:10" ht="12.75" customHeight="1" x14ac:dyDescent="0.2">
      <c r="A2985" s="681" t="s">
        <v>2370</v>
      </c>
      <c r="B2985" s="693" t="s">
        <v>5524</v>
      </c>
      <c r="C2985" s="672" t="s">
        <v>897</v>
      </c>
      <c r="D2985" s="673">
        <v>39498</v>
      </c>
      <c r="E2985" s="674">
        <v>3</v>
      </c>
      <c r="F2985" s="675">
        <v>0.33</v>
      </c>
      <c r="G2985" s="676">
        <v>58</v>
      </c>
      <c r="H2985" s="929">
        <v>0</v>
      </c>
      <c r="I2985" s="929">
        <v>58</v>
      </c>
      <c r="J2985" s="689">
        <f t="shared" si="47"/>
        <v>0</v>
      </c>
    </row>
    <row r="2986" spans="1:10" ht="12.75" customHeight="1" x14ac:dyDescent="0.2">
      <c r="A2986" s="681" t="s">
        <v>2370</v>
      </c>
      <c r="B2986" s="693" t="s">
        <v>5525</v>
      </c>
      <c r="C2986" s="672" t="s">
        <v>897</v>
      </c>
      <c r="D2986" s="673">
        <v>40594</v>
      </c>
      <c r="E2986" s="674">
        <v>3</v>
      </c>
      <c r="F2986" s="675">
        <v>0.33</v>
      </c>
      <c r="G2986" s="676">
        <v>34</v>
      </c>
      <c r="H2986" s="929">
        <v>0</v>
      </c>
      <c r="I2986" s="929">
        <v>34</v>
      </c>
      <c r="J2986" s="689">
        <f t="shared" si="47"/>
        <v>0</v>
      </c>
    </row>
    <row r="2987" spans="1:10" ht="12.75" customHeight="1" x14ac:dyDescent="0.2">
      <c r="A2987" s="681" t="s">
        <v>2370</v>
      </c>
      <c r="B2987" s="693" t="s">
        <v>5526</v>
      </c>
      <c r="C2987" s="672" t="s">
        <v>897</v>
      </c>
      <c r="D2987" s="673">
        <v>38768</v>
      </c>
      <c r="E2987" s="674">
        <v>3</v>
      </c>
      <c r="F2987" s="675">
        <v>0.33</v>
      </c>
      <c r="G2987" s="676">
        <v>120</v>
      </c>
      <c r="H2987" s="929">
        <v>0</v>
      </c>
      <c r="I2987" s="929">
        <v>120</v>
      </c>
      <c r="J2987" s="689">
        <f t="shared" si="47"/>
        <v>0</v>
      </c>
    </row>
    <row r="2988" spans="1:10" ht="12.75" customHeight="1" x14ac:dyDescent="0.2">
      <c r="A2988" s="681" t="s">
        <v>2370</v>
      </c>
      <c r="B2988" s="693" t="s">
        <v>5527</v>
      </c>
      <c r="C2988" s="672" t="s">
        <v>897</v>
      </c>
      <c r="D2988" s="673">
        <v>39498</v>
      </c>
      <c r="E2988" s="674">
        <v>3</v>
      </c>
      <c r="F2988" s="675">
        <v>0.33</v>
      </c>
      <c r="G2988" s="676">
        <v>138</v>
      </c>
      <c r="H2988" s="929">
        <v>0</v>
      </c>
      <c r="I2988" s="929">
        <v>138</v>
      </c>
      <c r="J2988" s="689">
        <f t="shared" si="47"/>
        <v>0</v>
      </c>
    </row>
    <row r="2989" spans="1:10" ht="12.75" customHeight="1" x14ac:dyDescent="0.2">
      <c r="A2989" s="681" t="s">
        <v>2370</v>
      </c>
      <c r="B2989" s="693" t="s">
        <v>5528</v>
      </c>
      <c r="C2989" s="672" t="s">
        <v>897</v>
      </c>
      <c r="D2989" s="673">
        <v>39498</v>
      </c>
      <c r="E2989" s="674">
        <v>3</v>
      </c>
      <c r="F2989" s="675">
        <v>0.33</v>
      </c>
      <c r="G2989" s="676">
        <v>138</v>
      </c>
      <c r="H2989" s="929">
        <v>0</v>
      </c>
      <c r="I2989" s="929">
        <v>138</v>
      </c>
      <c r="J2989" s="689">
        <f t="shared" si="47"/>
        <v>0</v>
      </c>
    </row>
    <row r="2990" spans="1:10" ht="12.75" customHeight="1" x14ac:dyDescent="0.2">
      <c r="A2990" s="681" t="s">
        <v>2370</v>
      </c>
      <c r="B2990" s="693" t="s">
        <v>5529</v>
      </c>
      <c r="C2990" s="672" t="s">
        <v>897</v>
      </c>
      <c r="D2990" s="673">
        <v>39498</v>
      </c>
      <c r="E2990" s="674">
        <v>3</v>
      </c>
      <c r="F2990" s="675">
        <v>0.33</v>
      </c>
      <c r="G2990" s="676">
        <v>138</v>
      </c>
      <c r="H2990" s="929">
        <v>0</v>
      </c>
      <c r="I2990" s="929">
        <v>138</v>
      </c>
      <c r="J2990" s="689">
        <f t="shared" si="47"/>
        <v>0</v>
      </c>
    </row>
    <row r="2991" spans="1:10" ht="12.75" customHeight="1" x14ac:dyDescent="0.2">
      <c r="A2991" s="681" t="s">
        <v>2370</v>
      </c>
      <c r="B2991" s="693" t="s">
        <v>5530</v>
      </c>
      <c r="C2991" s="672" t="s">
        <v>897</v>
      </c>
      <c r="D2991" s="673">
        <v>39498</v>
      </c>
      <c r="E2991" s="674">
        <v>3</v>
      </c>
      <c r="F2991" s="675">
        <v>0.33</v>
      </c>
      <c r="G2991" s="676">
        <v>138</v>
      </c>
      <c r="H2991" s="929">
        <v>0</v>
      </c>
      <c r="I2991" s="929">
        <v>138</v>
      </c>
      <c r="J2991" s="689">
        <f t="shared" si="47"/>
        <v>0</v>
      </c>
    </row>
    <row r="2992" spans="1:10" ht="12.75" customHeight="1" x14ac:dyDescent="0.2">
      <c r="A2992" s="681" t="s">
        <v>2370</v>
      </c>
      <c r="B2992" s="693" t="s">
        <v>5531</v>
      </c>
      <c r="C2992" s="672" t="s">
        <v>897</v>
      </c>
      <c r="D2992" s="673">
        <v>39498</v>
      </c>
      <c r="E2992" s="674">
        <v>3</v>
      </c>
      <c r="F2992" s="675">
        <v>0.33</v>
      </c>
      <c r="G2992" s="676">
        <v>138</v>
      </c>
      <c r="H2992" s="929">
        <v>0</v>
      </c>
      <c r="I2992" s="929">
        <v>138</v>
      </c>
      <c r="J2992" s="689">
        <f t="shared" si="47"/>
        <v>0</v>
      </c>
    </row>
    <row r="2993" spans="1:10" ht="12.75" customHeight="1" x14ac:dyDescent="0.2">
      <c r="A2993" s="681" t="s">
        <v>2370</v>
      </c>
      <c r="B2993" s="693" t="s">
        <v>5532</v>
      </c>
      <c r="C2993" s="672" t="s">
        <v>897</v>
      </c>
      <c r="D2993" s="673">
        <v>39498</v>
      </c>
      <c r="E2993" s="674">
        <v>3</v>
      </c>
      <c r="F2993" s="675">
        <v>0.33</v>
      </c>
      <c r="G2993" s="676">
        <v>138</v>
      </c>
      <c r="H2993" s="929">
        <v>0</v>
      </c>
      <c r="I2993" s="929">
        <v>138</v>
      </c>
      <c r="J2993" s="689">
        <f t="shared" si="47"/>
        <v>0</v>
      </c>
    </row>
    <row r="2994" spans="1:10" ht="12.75" customHeight="1" x14ac:dyDescent="0.2">
      <c r="A2994" s="681" t="s">
        <v>2370</v>
      </c>
      <c r="B2994" s="693" t="s">
        <v>5533</v>
      </c>
      <c r="C2994" s="672" t="s">
        <v>897</v>
      </c>
      <c r="D2994" s="673">
        <v>39498</v>
      </c>
      <c r="E2994" s="674">
        <v>3</v>
      </c>
      <c r="F2994" s="675">
        <v>0.33</v>
      </c>
      <c r="G2994" s="676">
        <v>138</v>
      </c>
      <c r="H2994" s="929">
        <v>0</v>
      </c>
      <c r="I2994" s="929">
        <v>138</v>
      </c>
      <c r="J2994" s="689">
        <f t="shared" si="47"/>
        <v>0</v>
      </c>
    </row>
    <row r="2995" spans="1:10" ht="12.75" customHeight="1" x14ac:dyDescent="0.2">
      <c r="A2995" s="681" t="s">
        <v>2370</v>
      </c>
      <c r="B2995" s="693" t="s">
        <v>5534</v>
      </c>
      <c r="C2995" s="672" t="s">
        <v>897</v>
      </c>
      <c r="D2995" s="673">
        <v>39498</v>
      </c>
      <c r="E2995" s="674">
        <v>3</v>
      </c>
      <c r="F2995" s="675">
        <v>0.33</v>
      </c>
      <c r="G2995" s="676">
        <v>138</v>
      </c>
      <c r="H2995" s="929">
        <v>0</v>
      </c>
      <c r="I2995" s="929">
        <v>138</v>
      </c>
      <c r="J2995" s="689">
        <f t="shared" si="47"/>
        <v>0</v>
      </c>
    </row>
    <row r="2996" spans="1:10" ht="12.75" customHeight="1" x14ac:dyDescent="0.2">
      <c r="A2996" s="681" t="s">
        <v>2370</v>
      </c>
      <c r="B2996" s="693" t="s">
        <v>5535</v>
      </c>
      <c r="C2996" s="672" t="s">
        <v>897</v>
      </c>
      <c r="D2996" s="673">
        <v>39498</v>
      </c>
      <c r="E2996" s="674">
        <v>3</v>
      </c>
      <c r="F2996" s="675">
        <v>0.33</v>
      </c>
      <c r="G2996" s="676">
        <v>139</v>
      </c>
      <c r="H2996" s="929">
        <v>0</v>
      </c>
      <c r="I2996" s="929">
        <v>139</v>
      </c>
      <c r="J2996" s="689">
        <f t="shared" si="47"/>
        <v>0</v>
      </c>
    </row>
    <row r="2997" spans="1:10" ht="12.75" customHeight="1" x14ac:dyDescent="0.2">
      <c r="A2997" s="681" t="s">
        <v>2370</v>
      </c>
      <c r="B2997" s="693" t="s">
        <v>5536</v>
      </c>
      <c r="C2997" s="672" t="s">
        <v>897</v>
      </c>
      <c r="D2997" s="673">
        <v>39498</v>
      </c>
      <c r="E2997" s="674">
        <v>3</v>
      </c>
      <c r="F2997" s="675">
        <v>0.33</v>
      </c>
      <c r="G2997" s="676">
        <v>172</v>
      </c>
      <c r="H2997" s="929">
        <v>0</v>
      </c>
      <c r="I2997" s="929">
        <v>172</v>
      </c>
      <c r="J2997" s="689">
        <f t="shared" si="47"/>
        <v>0</v>
      </c>
    </row>
    <row r="2998" spans="1:10" ht="12.75" customHeight="1" x14ac:dyDescent="0.2">
      <c r="A2998" s="681" t="s">
        <v>2370</v>
      </c>
      <c r="B2998" s="693" t="s">
        <v>5537</v>
      </c>
      <c r="C2998" s="672" t="s">
        <v>897</v>
      </c>
      <c r="D2998" s="673">
        <v>39498</v>
      </c>
      <c r="E2998" s="674">
        <v>3</v>
      </c>
      <c r="F2998" s="675">
        <v>0.33</v>
      </c>
      <c r="G2998" s="676">
        <v>184</v>
      </c>
      <c r="H2998" s="929">
        <v>0</v>
      </c>
      <c r="I2998" s="929">
        <v>184</v>
      </c>
      <c r="J2998" s="689">
        <f t="shared" si="47"/>
        <v>0</v>
      </c>
    </row>
    <row r="2999" spans="1:10" ht="12.75" customHeight="1" x14ac:dyDescent="0.2">
      <c r="A2999" s="681" t="s">
        <v>2370</v>
      </c>
      <c r="B2999" s="693" t="s">
        <v>5538</v>
      </c>
      <c r="C2999" s="672" t="s">
        <v>897</v>
      </c>
      <c r="D2999" s="673">
        <v>39498</v>
      </c>
      <c r="E2999" s="674">
        <v>3</v>
      </c>
      <c r="F2999" s="675">
        <v>0.33</v>
      </c>
      <c r="G2999" s="676">
        <v>184</v>
      </c>
      <c r="H2999" s="929">
        <v>0</v>
      </c>
      <c r="I2999" s="929">
        <v>184</v>
      </c>
      <c r="J2999" s="689">
        <f t="shared" si="47"/>
        <v>0</v>
      </c>
    </row>
    <row r="3000" spans="1:10" ht="12.75" customHeight="1" x14ac:dyDescent="0.2">
      <c r="A3000" s="681" t="s">
        <v>2370</v>
      </c>
      <c r="B3000" s="693" t="s">
        <v>5539</v>
      </c>
      <c r="C3000" s="672" t="s">
        <v>897</v>
      </c>
      <c r="D3000" s="673">
        <v>39498</v>
      </c>
      <c r="E3000" s="674">
        <v>3</v>
      </c>
      <c r="F3000" s="675">
        <v>0.33</v>
      </c>
      <c r="G3000" s="676">
        <v>250</v>
      </c>
      <c r="H3000" s="929">
        <v>0</v>
      </c>
      <c r="I3000" s="929">
        <v>250</v>
      </c>
      <c r="J3000" s="689">
        <f t="shared" si="47"/>
        <v>0</v>
      </c>
    </row>
    <row r="3001" spans="1:10" ht="12.75" customHeight="1" x14ac:dyDescent="0.2">
      <c r="A3001" s="681" t="s">
        <v>2370</v>
      </c>
      <c r="B3001" s="693" t="s">
        <v>5540</v>
      </c>
      <c r="C3001" s="672" t="s">
        <v>897</v>
      </c>
      <c r="D3001" s="673">
        <v>39498</v>
      </c>
      <c r="E3001" s="674">
        <v>3</v>
      </c>
      <c r="F3001" s="675">
        <v>0.33</v>
      </c>
      <c r="G3001" s="676">
        <v>250</v>
      </c>
      <c r="H3001" s="929">
        <v>0</v>
      </c>
      <c r="I3001" s="929">
        <v>250</v>
      </c>
      <c r="J3001" s="689">
        <f t="shared" si="47"/>
        <v>0</v>
      </c>
    </row>
    <row r="3002" spans="1:10" ht="12.75" customHeight="1" x14ac:dyDescent="0.2">
      <c r="A3002" s="681" t="s">
        <v>2370</v>
      </c>
      <c r="B3002" s="693" t="s">
        <v>5541</v>
      </c>
      <c r="C3002" s="672" t="s">
        <v>897</v>
      </c>
      <c r="D3002" s="673">
        <v>39498</v>
      </c>
      <c r="E3002" s="674">
        <v>3</v>
      </c>
      <c r="F3002" s="675">
        <v>0.33</v>
      </c>
      <c r="G3002" s="676">
        <v>352</v>
      </c>
      <c r="H3002" s="929">
        <v>0</v>
      </c>
      <c r="I3002" s="929">
        <v>352</v>
      </c>
      <c r="J3002" s="689">
        <f t="shared" si="47"/>
        <v>0</v>
      </c>
    </row>
    <row r="3003" spans="1:10" ht="12.75" customHeight="1" x14ac:dyDescent="0.2">
      <c r="A3003" s="681" t="s">
        <v>2370</v>
      </c>
      <c r="B3003" s="693" t="s">
        <v>5542</v>
      </c>
      <c r="C3003" s="672" t="s">
        <v>897</v>
      </c>
      <c r="D3003" s="673">
        <v>39864</v>
      </c>
      <c r="E3003" s="674">
        <v>3</v>
      </c>
      <c r="F3003" s="675">
        <v>0.33</v>
      </c>
      <c r="G3003" s="676">
        <v>200</v>
      </c>
      <c r="H3003" s="929">
        <v>0</v>
      </c>
      <c r="I3003" s="929">
        <v>200</v>
      </c>
      <c r="J3003" s="689">
        <f t="shared" si="47"/>
        <v>0</v>
      </c>
    </row>
    <row r="3004" spans="1:10" ht="12.75" customHeight="1" x14ac:dyDescent="0.2">
      <c r="A3004" s="681" t="s">
        <v>2370</v>
      </c>
      <c r="B3004" s="693" t="s">
        <v>5543</v>
      </c>
      <c r="C3004" s="672" t="s">
        <v>897</v>
      </c>
      <c r="D3004" s="673">
        <v>40594</v>
      </c>
      <c r="E3004" s="674">
        <v>3</v>
      </c>
      <c r="F3004" s="675">
        <v>0.33</v>
      </c>
      <c r="G3004" s="676">
        <v>81</v>
      </c>
      <c r="H3004" s="929">
        <v>0</v>
      </c>
      <c r="I3004" s="929">
        <v>81</v>
      </c>
      <c r="J3004" s="689">
        <f t="shared" si="47"/>
        <v>0</v>
      </c>
    </row>
    <row r="3005" spans="1:10" ht="12.75" customHeight="1" x14ac:dyDescent="0.2">
      <c r="A3005" s="681" t="s">
        <v>2370</v>
      </c>
      <c r="B3005" s="693" t="s">
        <v>5544</v>
      </c>
      <c r="C3005" s="672" t="s">
        <v>897</v>
      </c>
      <c r="D3005" s="673">
        <v>40594</v>
      </c>
      <c r="E3005" s="674">
        <v>3</v>
      </c>
      <c r="F3005" s="675">
        <v>0.33</v>
      </c>
      <c r="G3005" s="676">
        <v>81</v>
      </c>
      <c r="H3005" s="929">
        <v>0</v>
      </c>
      <c r="I3005" s="929">
        <v>81</v>
      </c>
      <c r="J3005" s="689">
        <f t="shared" si="47"/>
        <v>0</v>
      </c>
    </row>
    <row r="3006" spans="1:10" ht="12.75" customHeight="1" x14ac:dyDescent="0.2">
      <c r="A3006" s="681" t="s">
        <v>2372</v>
      </c>
      <c r="B3006" s="693" t="s">
        <v>5572</v>
      </c>
      <c r="C3006" s="672" t="s">
        <v>1069</v>
      </c>
      <c r="D3006" s="673">
        <v>38403</v>
      </c>
      <c r="E3006" s="674">
        <v>10</v>
      </c>
      <c r="F3006" s="675">
        <v>0.1</v>
      </c>
      <c r="G3006" s="676">
        <v>240</v>
      </c>
      <c r="H3006" s="929">
        <v>0</v>
      </c>
      <c r="I3006" s="929">
        <v>240</v>
      </c>
      <c r="J3006" s="689">
        <f t="shared" si="47"/>
        <v>0</v>
      </c>
    </row>
    <row r="3007" spans="1:10" ht="12.75" customHeight="1" x14ac:dyDescent="0.2">
      <c r="A3007" s="681" t="s">
        <v>2372</v>
      </c>
      <c r="B3007" s="693" t="s">
        <v>5573</v>
      </c>
      <c r="C3007" s="672" t="s">
        <v>1069</v>
      </c>
      <c r="D3007" s="673">
        <v>38403</v>
      </c>
      <c r="E3007" s="674">
        <v>10</v>
      </c>
      <c r="F3007" s="675">
        <v>0.1</v>
      </c>
      <c r="G3007" s="676">
        <v>240</v>
      </c>
      <c r="H3007" s="929">
        <v>0</v>
      </c>
      <c r="I3007" s="929">
        <v>240</v>
      </c>
      <c r="J3007" s="689">
        <f t="shared" si="47"/>
        <v>0</v>
      </c>
    </row>
    <row r="3008" spans="1:10" ht="12.75" customHeight="1" x14ac:dyDescent="0.2">
      <c r="A3008" s="681" t="s">
        <v>2372</v>
      </c>
      <c r="B3008" s="693" t="s">
        <v>5578</v>
      </c>
      <c r="C3008" s="672" t="s">
        <v>1048</v>
      </c>
      <c r="D3008" s="673">
        <v>38403</v>
      </c>
      <c r="E3008" s="674">
        <v>10</v>
      </c>
      <c r="F3008" s="675">
        <v>0.1</v>
      </c>
      <c r="G3008" s="676">
        <v>4169</v>
      </c>
      <c r="H3008" s="929">
        <v>0</v>
      </c>
      <c r="I3008" s="929">
        <v>4169</v>
      </c>
      <c r="J3008" s="689">
        <f t="shared" si="47"/>
        <v>0</v>
      </c>
    </row>
    <row r="3009" spans="1:10" ht="12.75" customHeight="1" x14ac:dyDescent="0.2">
      <c r="A3009" s="681" t="s">
        <v>2372</v>
      </c>
      <c r="B3009" s="693" t="s">
        <v>5593</v>
      </c>
      <c r="C3009" s="672" t="s">
        <v>1012</v>
      </c>
      <c r="D3009" s="673">
        <v>40959</v>
      </c>
      <c r="E3009" s="674">
        <v>3</v>
      </c>
      <c r="F3009" s="675">
        <v>0.33</v>
      </c>
      <c r="G3009" s="676">
        <v>86420</v>
      </c>
      <c r="H3009" s="929">
        <v>0</v>
      </c>
      <c r="I3009" s="929">
        <v>86419</v>
      </c>
      <c r="J3009" s="689">
        <f t="shared" si="47"/>
        <v>1</v>
      </c>
    </row>
    <row r="3010" spans="1:10" ht="12.75" customHeight="1" x14ac:dyDescent="0.2">
      <c r="A3010" s="681" t="s">
        <v>2372</v>
      </c>
      <c r="B3010" s="693" t="s">
        <v>5605</v>
      </c>
      <c r="C3010" s="672" t="s">
        <v>1012</v>
      </c>
      <c r="D3010" s="673">
        <v>40959</v>
      </c>
      <c r="E3010" s="674">
        <v>3</v>
      </c>
      <c r="F3010" s="675">
        <v>0.33</v>
      </c>
      <c r="G3010" s="676">
        <v>6842</v>
      </c>
      <c r="H3010" s="929">
        <v>0</v>
      </c>
      <c r="I3010" s="929">
        <v>6841</v>
      </c>
      <c r="J3010" s="689">
        <f t="shared" si="47"/>
        <v>1</v>
      </c>
    </row>
    <row r="3011" spans="1:10" ht="12.75" customHeight="1" x14ac:dyDescent="0.2">
      <c r="A3011" s="681" t="s">
        <v>1208</v>
      </c>
      <c r="B3011" s="693" t="s">
        <v>5567</v>
      </c>
      <c r="C3011" s="672" t="s">
        <v>977</v>
      </c>
      <c r="D3011" s="673">
        <v>40361</v>
      </c>
      <c r="E3011" s="674">
        <v>5</v>
      </c>
      <c r="F3011" s="675">
        <v>0.1</v>
      </c>
      <c r="G3011" s="676">
        <v>296797</v>
      </c>
      <c r="H3011" s="929">
        <v>0</v>
      </c>
      <c r="I3011" s="929">
        <v>296797</v>
      </c>
      <c r="J3011" s="689">
        <f t="shared" si="47"/>
        <v>0</v>
      </c>
    </row>
    <row r="3012" spans="1:10" ht="12.75" customHeight="1" x14ac:dyDescent="0.2">
      <c r="A3012" s="681" t="s">
        <v>1208</v>
      </c>
      <c r="B3012" s="693" t="s">
        <v>5568</v>
      </c>
      <c r="C3012" s="672" t="s">
        <v>977</v>
      </c>
      <c r="D3012" s="673">
        <v>40361</v>
      </c>
      <c r="E3012" s="674">
        <v>5</v>
      </c>
      <c r="F3012" s="675">
        <v>0.1</v>
      </c>
      <c r="G3012" s="676">
        <v>296800</v>
      </c>
      <c r="H3012" s="929">
        <v>0</v>
      </c>
      <c r="I3012" s="929">
        <v>296800</v>
      </c>
      <c r="J3012" s="689">
        <f t="shared" si="47"/>
        <v>0</v>
      </c>
    </row>
    <row r="3013" spans="1:10" ht="12.75" customHeight="1" x14ac:dyDescent="0.2">
      <c r="A3013" s="681" t="s">
        <v>1208</v>
      </c>
      <c r="B3013" s="693" t="s">
        <v>5569</v>
      </c>
      <c r="C3013" s="672" t="s">
        <v>977</v>
      </c>
      <c r="D3013" s="673">
        <v>40361</v>
      </c>
      <c r="E3013" s="674">
        <v>5</v>
      </c>
      <c r="F3013" s="675">
        <v>0.1</v>
      </c>
      <c r="G3013" s="676">
        <v>296800</v>
      </c>
      <c r="H3013" s="929">
        <v>0</v>
      </c>
      <c r="I3013" s="929">
        <v>296800</v>
      </c>
      <c r="J3013" s="689">
        <f t="shared" si="47"/>
        <v>0</v>
      </c>
    </row>
    <row r="3014" spans="1:10" ht="12.75" customHeight="1" x14ac:dyDescent="0.2">
      <c r="A3014" s="681" t="s">
        <v>2370</v>
      </c>
      <c r="B3014" s="693" t="s">
        <v>5453</v>
      </c>
      <c r="C3014" s="672" t="s">
        <v>789</v>
      </c>
      <c r="D3014" s="673">
        <v>38403</v>
      </c>
      <c r="E3014" s="674">
        <v>10</v>
      </c>
      <c r="F3014" s="675">
        <v>0.1</v>
      </c>
      <c r="G3014" s="676">
        <v>209</v>
      </c>
      <c r="H3014" s="929">
        <v>0</v>
      </c>
      <c r="I3014" s="929">
        <v>209</v>
      </c>
      <c r="J3014" s="689">
        <f t="shared" si="47"/>
        <v>0</v>
      </c>
    </row>
    <row r="3015" spans="1:10" ht="12.75" customHeight="1" x14ac:dyDescent="0.2">
      <c r="A3015" s="681" t="s">
        <v>2370</v>
      </c>
      <c r="B3015" s="693" t="s">
        <v>5454</v>
      </c>
      <c r="C3015" s="672" t="s">
        <v>789</v>
      </c>
      <c r="D3015" s="673">
        <v>38403</v>
      </c>
      <c r="E3015" s="674">
        <v>10</v>
      </c>
      <c r="F3015" s="675">
        <v>0.1</v>
      </c>
      <c r="G3015" s="676">
        <v>220</v>
      </c>
      <c r="H3015" s="929">
        <v>0</v>
      </c>
      <c r="I3015" s="929">
        <v>220</v>
      </c>
      <c r="J3015" s="689">
        <f t="shared" ref="J3015:J3078" si="48">G3015-I3015</f>
        <v>0</v>
      </c>
    </row>
    <row r="3016" spans="1:10" ht="12.75" customHeight="1" x14ac:dyDescent="0.2">
      <c r="A3016" s="681" t="s">
        <v>2370</v>
      </c>
      <c r="B3016" s="693" t="s">
        <v>5602</v>
      </c>
      <c r="C3016" s="672" t="s">
        <v>894</v>
      </c>
      <c r="D3016" s="673">
        <v>40959</v>
      </c>
      <c r="E3016" s="674">
        <v>3</v>
      </c>
      <c r="F3016" s="675">
        <v>0.33</v>
      </c>
      <c r="G3016" s="676">
        <v>6954</v>
      </c>
      <c r="H3016" s="929">
        <v>0</v>
      </c>
      <c r="I3016" s="929">
        <v>6953</v>
      </c>
      <c r="J3016" s="689">
        <f t="shared" si="48"/>
        <v>1</v>
      </c>
    </row>
    <row r="3017" spans="1:10" ht="12.75" customHeight="1" x14ac:dyDescent="0.2">
      <c r="A3017" s="681" t="s">
        <v>2370</v>
      </c>
      <c r="B3017" s="693" t="s">
        <v>5612</v>
      </c>
      <c r="C3017" s="672" t="s">
        <v>894</v>
      </c>
      <c r="D3017" s="673">
        <v>40959</v>
      </c>
      <c r="E3017" s="674">
        <v>3</v>
      </c>
      <c r="F3017" s="675">
        <v>0.33</v>
      </c>
      <c r="G3017" s="676">
        <v>6124</v>
      </c>
      <c r="H3017" s="929">
        <v>0</v>
      </c>
      <c r="I3017" s="929">
        <v>6123</v>
      </c>
      <c r="J3017" s="689">
        <f t="shared" si="48"/>
        <v>1</v>
      </c>
    </row>
    <row r="3018" spans="1:10" ht="12.75" customHeight="1" x14ac:dyDescent="0.2">
      <c r="A3018" s="681" t="s">
        <v>2370</v>
      </c>
      <c r="B3018" s="693" t="s">
        <v>5613</v>
      </c>
      <c r="C3018" s="672" t="s">
        <v>894</v>
      </c>
      <c r="D3018" s="673">
        <v>40959</v>
      </c>
      <c r="E3018" s="674">
        <v>3</v>
      </c>
      <c r="F3018" s="675">
        <v>0.33</v>
      </c>
      <c r="G3018" s="676">
        <v>6068</v>
      </c>
      <c r="H3018" s="929">
        <v>0</v>
      </c>
      <c r="I3018" s="929">
        <v>6067</v>
      </c>
      <c r="J3018" s="689">
        <f t="shared" si="48"/>
        <v>1</v>
      </c>
    </row>
    <row r="3019" spans="1:10" ht="12.75" customHeight="1" x14ac:dyDescent="0.2">
      <c r="A3019" s="681" t="s">
        <v>2370</v>
      </c>
      <c r="B3019" s="693" t="s">
        <v>5615</v>
      </c>
      <c r="C3019" s="672" t="s">
        <v>894</v>
      </c>
      <c r="D3019" s="673">
        <v>40959</v>
      </c>
      <c r="E3019" s="674">
        <v>3</v>
      </c>
      <c r="F3019" s="675">
        <v>0.33</v>
      </c>
      <c r="G3019" s="676">
        <v>5336</v>
      </c>
      <c r="H3019" s="929">
        <v>0</v>
      </c>
      <c r="I3019" s="929">
        <v>5335</v>
      </c>
      <c r="J3019" s="689">
        <f t="shared" si="48"/>
        <v>1</v>
      </c>
    </row>
    <row r="3020" spans="1:10" ht="12.75" customHeight="1" x14ac:dyDescent="0.2">
      <c r="A3020" s="681" t="s">
        <v>2370</v>
      </c>
      <c r="B3020" s="693" t="s">
        <v>5619</v>
      </c>
      <c r="C3020" s="672" t="s">
        <v>894</v>
      </c>
      <c r="D3020" s="673">
        <v>40959</v>
      </c>
      <c r="E3020" s="674">
        <v>3</v>
      </c>
      <c r="F3020" s="675">
        <v>0.33</v>
      </c>
      <c r="G3020" s="676">
        <v>5092</v>
      </c>
      <c r="H3020" s="929">
        <v>0</v>
      </c>
      <c r="I3020" s="929">
        <v>5091</v>
      </c>
      <c r="J3020" s="689">
        <f t="shared" si="48"/>
        <v>1</v>
      </c>
    </row>
    <row r="3021" spans="1:10" ht="12.75" customHeight="1" x14ac:dyDescent="0.2">
      <c r="A3021" s="681" t="s">
        <v>2370</v>
      </c>
      <c r="B3021" s="693" t="s">
        <v>5620</v>
      </c>
      <c r="C3021" s="672" t="s">
        <v>894</v>
      </c>
      <c r="D3021" s="673">
        <v>40959</v>
      </c>
      <c r="E3021" s="674">
        <v>3</v>
      </c>
      <c r="F3021" s="675">
        <v>0.33</v>
      </c>
      <c r="G3021" s="676">
        <v>5040</v>
      </c>
      <c r="H3021" s="929">
        <v>0</v>
      </c>
      <c r="I3021" s="929">
        <v>5039</v>
      </c>
      <c r="J3021" s="689">
        <f t="shared" si="48"/>
        <v>1</v>
      </c>
    </row>
    <row r="3022" spans="1:10" ht="12.75" customHeight="1" x14ac:dyDescent="0.2">
      <c r="A3022" s="681" t="s">
        <v>2370</v>
      </c>
      <c r="B3022" s="693" t="s">
        <v>5621</v>
      </c>
      <c r="C3022" s="672" t="s">
        <v>894</v>
      </c>
      <c r="D3022" s="673">
        <v>40959</v>
      </c>
      <c r="E3022" s="674">
        <v>3</v>
      </c>
      <c r="F3022" s="675">
        <v>0.33</v>
      </c>
      <c r="G3022" s="676">
        <v>5028</v>
      </c>
      <c r="H3022" s="929">
        <v>0</v>
      </c>
      <c r="I3022" s="929">
        <v>5027</v>
      </c>
      <c r="J3022" s="689">
        <f t="shared" si="48"/>
        <v>1</v>
      </c>
    </row>
    <row r="3023" spans="1:10" ht="12.75" customHeight="1" x14ac:dyDescent="0.2">
      <c r="A3023" s="681" t="s">
        <v>2370</v>
      </c>
      <c r="B3023" s="693" t="s">
        <v>5622</v>
      </c>
      <c r="C3023" s="672" t="s">
        <v>894</v>
      </c>
      <c r="D3023" s="673">
        <v>40959</v>
      </c>
      <c r="E3023" s="674">
        <v>3</v>
      </c>
      <c r="F3023" s="675">
        <v>0.33</v>
      </c>
      <c r="G3023" s="676">
        <v>5023</v>
      </c>
      <c r="H3023" s="929">
        <v>0</v>
      </c>
      <c r="I3023" s="929">
        <v>5022</v>
      </c>
      <c r="J3023" s="689">
        <f t="shared" si="48"/>
        <v>1</v>
      </c>
    </row>
    <row r="3024" spans="1:10" ht="12.75" customHeight="1" x14ac:dyDescent="0.2">
      <c r="A3024" s="681" t="s">
        <v>2370</v>
      </c>
      <c r="B3024" s="693" t="s">
        <v>5623</v>
      </c>
      <c r="C3024" s="672" t="s">
        <v>894</v>
      </c>
      <c r="D3024" s="673">
        <v>40959</v>
      </c>
      <c r="E3024" s="674">
        <v>3</v>
      </c>
      <c r="F3024" s="675">
        <v>0.33</v>
      </c>
      <c r="G3024" s="676">
        <v>5023</v>
      </c>
      <c r="H3024" s="929">
        <v>0</v>
      </c>
      <c r="I3024" s="929">
        <v>5022</v>
      </c>
      <c r="J3024" s="689">
        <f t="shared" si="48"/>
        <v>1</v>
      </c>
    </row>
    <row r="3025" spans="1:10" ht="12.75" customHeight="1" x14ac:dyDescent="0.2">
      <c r="A3025" s="681" t="s">
        <v>2370</v>
      </c>
      <c r="B3025" s="693" t="s">
        <v>5626</v>
      </c>
      <c r="C3025" s="672" t="s">
        <v>894</v>
      </c>
      <c r="D3025" s="673">
        <v>40959</v>
      </c>
      <c r="E3025" s="674">
        <v>3</v>
      </c>
      <c r="F3025" s="675">
        <v>0.33</v>
      </c>
      <c r="G3025" s="676">
        <v>4804</v>
      </c>
      <c r="H3025" s="929">
        <v>0</v>
      </c>
      <c r="I3025" s="929">
        <v>4803</v>
      </c>
      <c r="J3025" s="689">
        <f t="shared" si="48"/>
        <v>1</v>
      </c>
    </row>
    <row r="3026" spans="1:10" ht="12.75" customHeight="1" x14ac:dyDescent="0.2">
      <c r="A3026" s="681" t="s">
        <v>2370</v>
      </c>
      <c r="B3026" s="693" t="s">
        <v>5631</v>
      </c>
      <c r="C3026" s="672" t="s">
        <v>894</v>
      </c>
      <c r="D3026" s="673">
        <v>40959</v>
      </c>
      <c r="E3026" s="674">
        <v>3</v>
      </c>
      <c r="F3026" s="675">
        <v>0.33</v>
      </c>
      <c r="G3026" s="676">
        <v>4524</v>
      </c>
      <c r="H3026" s="929">
        <v>0</v>
      </c>
      <c r="I3026" s="929">
        <v>4523</v>
      </c>
      <c r="J3026" s="689">
        <f t="shared" si="48"/>
        <v>1</v>
      </c>
    </row>
    <row r="3027" spans="1:10" ht="12.75" customHeight="1" x14ac:dyDescent="0.2">
      <c r="A3027" s="681" t="s">
        <v>2370</v>
      </c>
      <c r="B3027" s="693" t="s">
        <v>5632</v>
      </c>
      <c r="C3027" s="672" t="s">
        <v>894</v>
      </c>
      <c r="D3027" s="673">
        <v>40959</v>
      </c>
      <c r="E3027" s="674">
        <v>3</v>
      </c>
      <c r="F3027" s="675">
        <v>0.33</v>
      </c>
      <c r="G3027" s="676">
        <v>4485</v>
      </c>
      <c r="H3027" s="929">
        <v>0</v>
      </c>
      <c r="I3027" s="929">
        <v>4484</v>
      </c>
      <c r="J3027" s="689">
        <f t="shared" si="48"/>
        <v>1</v>
      </c>
    </row>
    <row r="3028" spans="1:10" ht="12.75" customHeight="1" x14ac:dyDescent="0.2">
      <c r="A3028" s="681" t="s">
        <v>2370</v>
      </c>
      <c r="B3028" s="693" t="s">
        <v>5644</v>
      </c>
      <c r="C3028" s="672" t="s">
        <v>894</v>
      </c>
      <c r="D3028" s="673">
        <v>40959</v>
      </c>
      <c r="E3028" s="674">
        <v>3</v>
      </c>
      <c r="F3028" s="675">
        <v>0.33</v>
      </c>
      <c r="G3028" s="676">
        <v>4106</v>
      </c>
      <c r="H3028" s="929">
        <v>0</v>
      </c>
      <c r="I3028" s="929">
        <v>4105</v>
      </c>
      <c r="J3028" s="689">
        <f t="shared" si="48"/>
        <v>1</v>
      </c>
    </row>
    <row r="3029" spans="1:10" ht="12.75" customHeight="1" x14ac:dyDescent="0.2">
      <c r="A3029" s="681" t="s">
        <v>2372</v>
      </c>
      <c r="B3029" s="693" t="s">
        <v>5666</v>
      </c>
      <c r="C3029" s="672" t="s">
        <v>1032</v>
      </c>
      <c r="D3029" s="673">
        <v>40959</v>
      </c>
      <c r="E3029" s="674">
        <v>3</v>
      </c>
      <c r="F3029" s="675">
        <v>0.33</v>
      </c>
      <c r="G3029" s="676">
        <v>1975</v>
      </c>
      <c r="H3029" s="929">
        <v>0</v>
      </c>
      <c r="I3029" s="929">
        <v>1974</v>
      </c>
      <c r="J3029" s="689">
        <f t="shared" si="48"/>
        <v>1</v>
      </c>
    </row>
    <row r="3030" spans="1:10" ht="12.75" customHeight="1" x14ac:dyDescent="0.2">
      <c r="A3030" s="681" t="s">
        <v>2370</v>
      </c>
      <c r="B3030" s="693" t="s">
        <v>5616</v>
      </c>
      <c r="C3030" s="672" t="s">
        <v>889</v>
      </c>
      <c r="D3030" s="673">
        <v>40959</v>
      </c>
      <c r="E3030" s="674">
        <v>3</v>
      </c>
      <c r="F3030" s="675">
        <v>0.33</v>
      </c>
      <c r="G3030" s="676">
        <v>5220</v>
      </c>
      <c r="H3030" s="929">
        <v>0</v>
      </c>
      <c r="I3030" s="929">
        <v>5219</v>
      </c>
      <c r="J3030" s="689">
        <f t="shared" si="48"/>
        <v>1</v>
      </c>
    </row>
    <row r="3031" spans="1:10" ht="12.75" customHeight="1" x14ac:dyDescent="0.2">
      <c r="A3031" s="681" t="s">
        <v>2370</v>
      </c>
      <c r="B3031" s="693" t="s">
        <v>5681</v>
      </c>
      <c r="C3031" s="672" t="s">
        <v>889</v>
      </c>
      <c r="D3031" s="673">
        <v>40959</v>
      </c>
      <c r="E3031" s="674">
        <v>3</v>
      </c>
      <c r="F3031" s="675">
        <v>0.33</v>
      </c>
      <c r="G3031" s="676">
        <v>904.8</v>
      </c>
      <c r="H3031" s="929">
        <v>0</v>
      </c>
      <c r="I3031" s="929">
        <v>903.8</v>
      </c>
      <c r="J3031" s="689">
        <f t="shared" si="48"/>
        <v>1</v>
      </c>
    </row>
    <row r="3032" spans="1:10" ht="12.75" customHeight="1" x14ac:dyDescent="0.2">
      <c r="A3032" s="681" t="s">
        <v>2370</v>
      </c>
      <c r="B3032" s="693" t="s">
        <v>5682</v>
      </c>
      <c r="C3032" s="672" t="s">
        <v>889</v>
      </c>
      <c r="D3032" s="673">
        <v>40959</v>
      </c>
      <c r="E3032" s="674">
        <v>3</v>
      </c>
      <c r="F3032" s="675">
        <v>0.33</v>
      </c>
      <c r="G3032" s="676">
        <v>904.8</v>
      </c>
      <c r="H3032" s="929">
        <v>0</v>
      </c>
      <c r="I3032" s="929">
        <v>903.8</v>
      </c>
      <c r="J3032" s="689">
        <f t="shared" si="48"/>
        <v>1</v>
      </c>
    </row>
    <row r="3033" spans="1:10" ht="12.75" customHeight="1" x14ac:dyDescent="0.2">
      <c r="A3033" s="681" t="s">
        <v>2370</v>
      </c>
      <c r="B3033" s="693" t="s">
        <v>5683</v>
      </c>
      <c r="C3033" s="672" t="s">
        <v>889</v>
      </c>
      <c r="D3033" s="673">
        <v>40959</v>
      </c>
      <c r="E3033" s="674">
        <v>3</v>
      </c>
      <c r="F3033" s="675">
        <v>0.33</v>
      </c>
      <c r="G3033" s="676">
        <v>904.8</v>
      </c>
      <c r="H3033" s="929">
        <v>0</v>
      </c>
      <c r="I3033" s="929">
        <v>903.8</v>
      </c>
      <c r="J3033" s="689">
        <f t="shared" si="48"/>
        <v>1</v>
      </c>
    </row>
    <row r="3034" spans="1:10" ht="12.75" customHeight="1" x14ac:dyDescent="0.2">
      <c r="A3034" s="681" t="s">
        <v>2370</v>
      </c>
      <c r="B3034" s="693" t="s">
        <v>5684</v>
      </c>
      <c r="C3034" s="672" t="s">
        <v>889</v>
      </c>
      <c r="D3034" s="673">
        <v>40959</v>
      </c>
      <c r="E3034" s="674">
        <v>3</v>
      </c>
      <c r="F3034" s="675">
        <v>0.33</v>
      </c>
      <c r="G3034" s="676">
        <v>696</v>
      </c>
      <c r="H3034" s="929">
        <v>0</v>
      </c>
      <c r="I3034" s="929">
        <v>695</v>
      </c>
      <c r="J3034" s="689">
        <f t="shared" si="48"/>
        <v>1</v>
      </c>
    </row>
    <row r="3035" spans="1:10" ht="12.75" customHeight="1" x14ac:dyDescent="0.2">
      <c r="A3035" s="681" t="s">
        <v>2370</v>
      </c>
      <c r="B3035" s="693" t="s">
        <v>5685</v>
      </c>
      <c r="C3035" s="672" t="s">
        <v>889</v>
      </c>
      <c r="D3035" s="673">
        <v>40959</v>
      </c>
      <c r="E3035" s="674">
        <v>3</v>
      </c>
      <c r="F3035" s="675">
        <v>0.33</v>
      </c>
      <c r="G3035" s="676">
        <v>696</v>
      </c>
      <c r="H3035" s="929">
        <v>0</v>
      </c>
      <c r="I3035" s="929">
        <v>695</v>
      </c>
      <c r="J3035" s="689">
        <f t="shared" si="48"/>
        <v>1</v>
      </c>
    </row>
    <row r="3036" spans="1:10" ht="12.75" customHeight="1" x14ac:dyDescent="0.2">
      <c r="A3036" s="681" t="s">
        <v>2370</v>
      </c>
      <c r="B3036" s="693" t="s">
        <v>5691</v>
      </c>
      <c r="C3036" s="672" t="s">
        <v>889</v>
      </c>
      <c r="D3036" s="673">
        <v>40959</v>
      </c>
      <c r="E3036" s="674">
        <v>3</v>
      </c>
      <c r="F3036" s="675">
        <v>0.33</v>
      </c>
      <c r="G3036" s="676">
        <v>452.4</v>
      </c>
      <c r="H3036" s="929">
        <v>0</v>
      </c>
      <c r="I3036" s="929">
        <v>451.4</v>
      </c>
      <c r="J3036" s="689">
        <f t="shared" si="48"/>
        <v>1</v>
      </c>
    </row>
    <row r="3037" spans="1:10" ht="12.75" customHeight="1" x14ac:dyDescent="0.2">
      <c r="A3037" s="681" t="s">
        <v>2370</v>
      </c>
      <c r="B3037" s="693" t="s">
        <v>5692</v>
      </c>
      <c r="C3037" s="672" t="s">
        <v>889</v>
      </c>
      <c r="D3037" s="673">
        <v>40959</v>
      </c>
      <c r="E3037" s="674">
        <v>3</v>
      </c>
      <c r="F3037" s="675">
        <v>0.33</v>
      </c>
      <c r="G3037" s="676">
        <v>452.4</v>
      </c>
      <c r="H3037" s="929">
        <v>0</v>
      </c>
      <c r="I3037" s="929">
        <v>451.4</v>
      </c>
      <c r="J3037" s="689">
        <f t="shared" si="48"/>
        <v>1</v>
      </c>
    </row>
    <row r="3038" spans="1:10" ht="12.75" customHeight="1" x14ac:dyDescent="0.2">
      <c r="A3038" s="681" t="s">
        <v>2370</v>
      </c>
      <c r="B3038" s="693" t="s">
        <v>5693</v>
      </c>
      <c r="C3038" s="672" t="s">
        <v>889</v>
      </c>
      <c r="D3038" s="673">
        <v>40959</v>
      </c>
      <c r="E3038" s="674">
        <v>3</v>
      </c>
      <c r="F3038" s="675">
        <v>0.33</v>
      </c>
      <c r="G3038" s="676">
        <v>452</v>
      </c>
      <c r="H3038" s="929">
        <v>0</v>
      </c>
      <c r="I3038" s="929">
        <v>451</v>
      </c>
      <c r="J3038" s="689">
        <f t="shared" si="48"/>
        <v>1</v>
      </c>
    </row>
    <row r="3039" spans="1:10" ht="12.75" customHeight="1" x14ac:dyDescent="0.2">
      <c r="A3039" s="681" t="s">
        <v>2370</v>
      </c>
      <c r="B3039" s="693" t="s">
        <v>5694</v>
      </c>
      <c r="C3039" s="672" t="s">
        <v>889</v>
      </c>
      <c r="D3039" s="673">
        <v>40959</v>
      </c>
      <c r="E3039" s="674">
        <v>3</v>
      </c>
      <c r="F3039" s="675">
        <v>0.33</v>
      </c>
      <c r="G3039" s="676">
        <v>452</v>
      </c>
      <c r="H3039" s="929">
        <v>0</v>
      </c>
      <c r="I3039" s="929">
        <v>451</v>
      </c>
      <c r="J3039" s="689">
        <f t="shared" si="48"/>
        <v>1</v>
      </c>
    </row>
    <row r="3040" spans="1:10" ht="12.75" customHeight="1" x14ac:dyDescent="0.2">
      <c r="A3040" s="681" t="s">
        <v>2370</v>
      </c>
      <c r="B3040" s="693" t="s">
        <v>5699</v>
      </c>
      <c r="C3040" s="672" t="s">
        <v>889</v>
      </c>
      <c r="D3040" s="673">
        <v>40959</v>
      </c>
      <c r="E3040" s="674">
        <v>3</v>
      </c>
      <c r="F3040" s="675">
        <v>0.33</v>
      </c>
      <c r="G3040" s="676">
        <v>360</v>
      </c>
      <c r="H3040" s="929">
        <v>0</v>
      </c>
      <c r="I3040" s="929">
        <v>359</v>
      </c>
      <c r="J3040" s="689">
        <f t="shared" si="48"/>
        <v>1</v>
      </c>
    </row>
    <row r="3041" spans="1:10" ht="12.75" customHeight="1" x14ac:dyDescent="0.2">
      <c r="A3041" s="681" t="s">
        <v>2370</v>
      </c>
      <c r="B3041" s="693" t="s">
        <v>5702</v>
      </c>
      <c r="C3041" s="672" t="s">
        <v>889</v>
      </c>
      <c r="D3041" s="673">
        <v>40959</v>
      </c>
      <c r="E3041" s="674">
        <v>3</v>
      </c>
      <c r="F3041" s="675">
        <v>0.33</v>
      </c>
      <c r="G3041" s="676">
        <v>275.14999999999998</v>
      </c>
      <c r="H3041" s="929">
        <v>0</v>
      </c>
      <c r="I3041" s="929">
        <v>274.14999999999998</v>
      </c>
      <c r="J3041" s="689">
        <f t="shared" si="48"/>
        <v>1</v>
      </c>
    </row>
    <row r="3042" spans="1:10" ht="12.75" customHeight="1" x14ac:dyDescent="0.2">
      <c r="A3042" s="681" t="s">
        <v>2370</v>
      </c>
      <c r="B3042" s="693" t="s">
        <v>5703</v>
      </c>
      <c r="C3042" s="672" t="s">
        <v>889</v>
      </c>
      <c r="D3042" s="673">
        <v>40959</v>
      </c>
      <c r="E3042" s="674">
        <v>3</v>
      </c>
      <c r="F3042" s="675">
        <v>0.33</v>
      </c>
      <c r="G3042" s="676">
        <v>275.14999999999998</v>
      </c>
      <c r="H3042" s="929">
        <v>0</v>
      </c>
      <c r="I3042" s="929">
        <v>274.14999999999998</v>
      </c>
      <c r="J3042" s="689">
        <f t="shared" si="48"/>
        <v>1</v>
      </c>
    </row>
    <row r="3043" spans="1:10" ht="12.75" customHeight="1" x14ac:dyDescent="0.2">
      <c r="A3043" s="681" t="s">
        <v>2370</v>
      </c>
      <c r="B3043" s="693" t="s">
        <v>5704</v>
      </c>
      <c r="C3043" s="672" t="s">
        <v>889</v>
      </c>
      <c r="D3043" s="673">
        <v>40959</v>
      </c>
      <c r="E3043" s="674">
        <v>3</v>
      </c>
      <c r="F3043" s="675">
        <v>0.33</v>
      </c>
      <c r="G3043" s="676">
        <v>275.14999999999998</v>
      </c>
      <c r="H3043" s="929">
        <v>0</v>
      </c>
      <c r="I3043" s="929">
        <v>274.14999999999998</v>
      </c>
      <c r="J3043" s="689">
        <f t="shared" si="48"/>
        <v>1</v>
      </c>
    </row>
    <row r="3044" spans="1:10" ht="12.75" customHeight="1" x14ac:dyDescent="0.2">
      <c r="A3044" s="681" t="s">
        <v>2370</v>
      </c>
      <c r="B3044" s="693" t="s">
        <v>5705</v>
      </c>
      <c r="C3044" s="672" t="s">
        <v>889</v>
      </c>
      <c r="D3044" s="673">
        <v>40959</v>
      </c>
      <c r="E3044" s="674">
        <v>3</v>
      </c>
      <c r="F3044" s="675">
        <v>0.33</v>
      </c>
      <c r="G3044" s="676">
        <v>275.14999999999998</v>
      </c>
      <c r="H3044" s="929">
        <v>0</v>
      </c>
      <c r="I3044" s="929">
        <v>274.14999999999998</v>
      </c>
      <c r="J3044" s="689">
        <f t="shared" si="48"/>
        <v>1</v>
      </c>
    </row>
    <row r="3045" spans="1:10" ht="12.75" customHeight="1" x14ac:dyDescent="0.2">
      <c r="A3045" s="681" t="s">
        <v>2370</v>
      </c>
      <c r="B3045" s="693" t="s">
        <v>5706</v>
      </c>
      <c r="C3045" s="672" t="s">
        <v>889</v>
      </c>
      <c r="D3045" s="673">
        <v>40959</v>
      </c>
      <c r="E3045" s="674">
        <v>3</v>
      </c>
      <c r="F3045" s="675">
        <v>0.33</v>
      </c>
      <c r="G3045" s="676">
        <v>265.45</v>
      </c>
      <c r="H3045" s="929">
        <v>0</v>
      </c>
      <c r="I3045" s="929">
        <v>264.45</v>
      </c>
      <c r="J3045" s="689">
        <f t="shared" si="48"/>
        <v>1</v>
      </c>
    </row>
    <row r="3046" spans="1:10" ht="12.75" customHeight="1" x14ac:dyDescent="0.2">
      <c r="A3046" s="681" t="s">
        <v>2370</v>
      </c>
      <c r="B3046" s="693" t="s">
        <v>5698</v>
      </c>
      <c r="C3046" s="672" t="s">
        <v>890</v>
      </c>
      <c r="D3046" s="673">
        <v>40959</v>
      </c>
      <c r="E3046" s="674">
        <v>3</v>
      </c>
      <c r="F3046" s="675">
        <v>0.33</v>
      </c>
      <c r="G3046" s="676">
        <v>418</v>
      </c>
      <c r="H3046" s="929">
        <v>0</v>
      </c>
      <c r="I3046" s="929">
        <v>417</v>
      </c>
      <c r="J3046" s="689">
        <f t="shared" si="48"/>
        <v>1</v>
      </c>
    </row>
    <row r="3047" spans="1:10" ht="12.75" customHeight="1" x14ac:dyDescent="0.2">
      <c r="A3047" s="681" t="s">
        <v>2370</v>
      </c>
      <c r="B3047" s="693" t="s">
        <v>5592</v>
      </c>
      <c r="C3047" s="672" t="s">
        <v>911</v>
      </c>
      <c r="D3047" s="673">
        <v>40959</v>
      </c>
      <c r="E3047" s="674">
        <v>3</v>
      </c>
      <c r="F3047" s="675">
        <v>0.33</v>
      </c>
      <c r="G3047" s="676">
        <v>204856</v>
      </c>
      <c r="H3047" s="929">
        <v>0</v>
      </c>
      <c r="I3047" s="929">
        <v>204855</v>
      </c>
      <c r="J3047" s="689">
        <f t="shared" si="48"/>
        <v>1</v>
      </c>
    </row>
    <row r="3048" spans="1:10" ht="12.75" customHeight="1" x14ac:dyDescent="0.2">
      <c r="A3048" s="681" t="s">
        <v>2370</v>
      </c>
      <c r="B3048" s="693" t="s">
        <v>5455</v>
      </c>
      <c r="C3048" s="672" t="s">
        <v>785</v>
      </c>
      <c r="D3048" s="673">
        <v>38403</v>
      </c>
      <c r="E3048" s="674">
        <v>10</v>
      </c>
      <c r="F3048" s="675">
        <v>0.1</v>
      </c>
      <c r="G3048" s="676">
        <v>115</v>
      </c>
      <c r="H3048" s="929">
        <v>0</v>
      </c>
      <c r="I3048" s="929">
        <v>115</v>
      </c>
      <c r="J3048" s="689">
        <f t="shared" si="48"/>
        <v>0</v>
      </c>
    </row>
    <row r="3049" spans="1:10" ht="12.75" customHeight="1" x14ac:dyDescent="0.2">
      <c r="A3049" s="681" t="s">
        <v>2370</v>
      </c>
      <c r="B3049" s="693" t="s">
        <v>5456</v>
      </c>
      <c r="C3049" s="672" t="s">
        <v>785</v>
      </c>
      <c r="D3049" s="673">
        <v>38403</v>
      </c>
      <c r="E3049" s="674">
        <v>10</v>
      </c>
      <c r="F3049" s="675">
        <v>0.1</v>
      </c>
      <c r="G3049" s="676">
        <v>115</v>
      </c>
      <c r="H3049" s="929">
        <v>0</v>
      </c>
      <c r="I3049" s="929">
        <v>115</v>
      </c>
      <c r="J3049" s="689">
        <f t="shared" si="48"/>
        <v>0</v>
      </c>
    </row>
    <row r="3050" spans="1:10" ht="12.75" customHeight="1" x14ac:dyDescent="0.2">
      <c r="A3050" s="681" t="s">
        <v>2370</v>
      </c>
      <c r="B3050" s="693" t="s">
        <v>5457</v>
      </c>
      <c r="C3050" s="672" t="s">
        <v>785</v>
      </c>
      <c r="D3050" s="673">
        <v>38403</v>
      </c>
      <c r="E3050" s="674">
        <v>10</v>
      </c>
      <c r="F3050" s="675">
        <v>0.1</v>
      </c>
      <c r="G3050" s="676">
        <v>115</v>
      </c>
      <c r="H3050" s="929">
        <v>0</v>
      </c>
      <c r="I3050" s="929">
        <v>115</v>
      </c>
      <c r="J3050" s="689">
        <f t="shared" si="48"/>
        <v>0</v>
      </c>
    </row>
    <row r="3051" spans="1:10" ht="12.75" customHeight="1" x14ac:dyDescent="0.2">
      <c r="A3051" s="681" t="s">
        <v>2370</v>
      </c>
      <c r="B3051" s="693" t="s">
        <v>5458</v>
      </c>
      <c r="C3051" s="672" t="s">
        <v>785</v>
      </c>
      <c r="D3051" s="673">
        <v>38403</v>
      </c>
      <c r="E3051" s="674">
        <v>10</v>
      </c>
      <c r="F3051" s="675">
        <v>0.1</v>
      </c>
      <c r="G3051" s="676">
        <v>115</v>
      </c>
      <c r="H3051" s="929">
        <v>0</v>
      </c>
      <c r="I3051" s="929">
        <v>115</v>
      </c>
      <c r="J3051" s="689">
        <f t="shared" si="48"/>
        <v>0</v>
      </c>
    </row>
    <row r="3052" spans="1:10" ht="12.75" customHeight="1" x14ac:dyDescent="0.2">
      <c r="A3052" s="681" t="s">
        <v>2370</v>
      </c>
      <c r="B3052" s="693" t="s">
        <v>5459</v>
      </c>
      <c r="C3052" s="672" t="s">
        <v>785</v>
      </c>
      <c r="D3052" s="673">
        <v>38403</v>
      </c>
      <c r="E3052" s="674">
        <v>10</v>
      </c>
      <c r="F3052" s="675">
        <v>0.1</v>
      </c>
      <c r="G3052" s="676">
        <v>115</v>
      </c>
      <c r="H3052" s="929">
        <v>0</v>
      </c>
      <c r="I3052" s="929">
        <v>115</v>
      </c>
      <c r="J3052" s="689">
        <f t="shared" si="48"/>
        <v>0</v>
      </c>
    </row>
    <row r="3053" spans="1:10" ht="12.75" customHeight="1" x14ac:dyDescent="0.2">
      <c r="A3053" s="681" t="s">
        <v>2370</v>
      </c>
      <c r="B3053" s="693" t="s">
        <v>5460</v>
      </c>
      <c r="C3053" s="672" t="s">
        <v>785</v>
      </c>
      <c r="D3053" s="673">
        <v>38403</v>
      </c>
      <c r="E3053" s="674">
        <v>10</v>
      </c>
      <c r="F3053" s="675">
        <v>0.1</v>
      </c>
      <c r="G3053" s="676">
        <v>115</v>
      </c>
      <c r="H3053" s="929">
        <v>0</v>
      </c>
      <c r="I3053" s="929">
        <v>115</v>
      </c>
      <c r="J3053" s="689">
        <f t="shared" si="48"/>
        <v>0</v>
      </c>
    </row>
    <row r="3054" spans="1:10" ht="12.75" customHeight="1" x14ac:dyDescent="0.2">
      <c r="A3054" s="681" t="s">
        <v>2370</v>
      </c>
      <c r="B3054" s="693" t="s">
        <v>5461</v>
      </c>
      <c r="C3054" s="672" t="s">
        <v>785</v>
      </c>
      <c r="D3054" s="673">
        <v>38403</v>
      </c>
      <c r="E3054" s="674">
        <v>10</v>
      </c>
      <c r="F3054" s="675">
        <v>0.1</v>
      </c>
      <c r="G3054" s="676">
        <v>115</v>
      </c>
      <c r="H3054" s="929">
        <v>0</v>
      </c>
      <c r="I3054" s="929">
        <v>115</v>
      </c>
      <c r="J3054" s="689">
        <f t="shared" si="48"/>
        <v>0</v>
      </c>
    </row>
    <row r="3055" spans="1:10" ht="12.75" customHeight="1" x14ac:dyDescent="0.2">
      <c r="A3055" s="681" t="s">
        <v>2370</v>
      </c>
      <c r="B3055" s="693" t="s">
        <v>5462</v>
      </c>
      <c r="C3055" s="672" t="s">
        <v>785</v>
      </c>
      <c r="D3055" s="673">
        <v>38403</v>
      </c>
      <c r="E3055" s="674">
        <v>10</v>
      </c>
      <c r="F3055" s="675">
        <v>0.1</v>
      </c>
      <c r="G3055" s="676">
        <v>115</v>
      </c>
      <c r="H3055" s="929">
        <v>0</v>
      </c>
      <c r="I3055" s="929">
        <v>115</v>
      </c>
      <c r="J3055" s="689">
        <f t="shared" si="48"/>
        <v>0</v>
      </c>
    </row>
    <row r="3056" spans="1:10" ht="12.75" customHeight="1" x14ac:dyDescent="0.2">
      <c r="A3056" s="681" t="s">
        <v>2370</v>
      </c>
      <c r="B3056" s="693" t="s">
        <v>5463</v>
      </c>
      <c r="C3056" s="672" t="s">
        <v>785</v>
      </c>
      <c r="D3056" s="673">
        <v>38403</v>
      </c>
      <c r="E3056" s="674">
        <v>10</v>
      </c>
      <c r="F3056" s="675">
        <v>0.1</v>
      </c>
      <c r="G3056" s="676">
        <v>115</v>
      </c>
      <c r="H3056" s="929">
        <v>0</v>
      </c>
      <c r="I3056" s="929">
        <v>115</v>
      </c>
      <c r="J3056" s="689">
        <f t="shared" si="48"/>
        <v>0</v>
      </c>
    </row>
    <row r="3057" spans="1:10" ht="12.75" customHeight="1" x14ac:dyDescent="0.2">
      <c r="A3057" s="681" t="s">
        <v>2370</v>
      </c>
      <c r="B3057" s="693" t="s">
        <v>5464</v>
      </c>
      <c r="C3057" s="672" t="s">
        <v>785</v>
      </c>
      <c r="D3057" s="673">
        <v>38403</v>
      </c>
      <c r="E3057" s="674">
        <v>10</v>
      </c>
      <c r="F3057" s="675">
        <v>0.1</v>
      </c>
      <c r="G3057" s="676">
        <v>115</v>
      </c>
      <c r="H3057" s="929">
        <v>0</v>
      </c>
      <c r="I3057" s="929">
        <v>115</v>
      </c>
      <c r="J3057" s="689">
        <f t="shared" si="48"/>
        <v>0</v>
      </c>
    </row>
    <row r="3058" spans="1:10" ht="12.75" customHeight="1" x14ac:dyDescent="0.2">
      <c r="A3058" s="681" t="s">
        <v>2370</v>
      </c>
      <c r="B3058" s="693" t="s">
        <v>5465</v>
      </c>
      <c r="C3058" s="672" t="s">
        <v>785</v>
      </c>
      <c r="D3058" s="673">
        <v>38403</v>
      </c>
      <c r="E3058" s="674">
        <v>10</v>
      </c>
      <c r="F3058" s="675">
        <v>0.1</v>
      </c>
      <c r="G3058" s="676">
        <v>115</v>
      </c>
      <c r="H3058" s="929">
        <v>0</v>
      </c>
      <c r="I3058" s="929">
        <v>115</v>
      </c>
      <c r="J3058" s="689">
        <f t="shared" si="48"/>
        <v>0</v>
      </c>
    </row>
    <row r="3059" spans="1:10" ht="12.75" customHeight="1" x14ac:dyDescent="0.2">
      <c r="A3059" s="681" t="s">
        <v>2370</v>
      </c>
      <c r="B3059" s="693" t="s">
        <v>5466</v>
      </c>
      <c r="C3059" s="672" t="s">
        <v>785</v>
      </c>
      <c r="D3059" s="673">
        <v>38403</v>
      </c>
      <c r="E3059" s="674">
        <v>10</v>
      </c>
      <c r="F3059" s="675">
        <v>0.1</v>
      </c>
      <c r="G3059" s="676">
        <v>115</v>
      </c>
      <c r="H3059" s="929">
        <v>0</v>
      </c>
      <c r="I3059" s="929">
        <v>115</v>
      </c>
      <c r="J3059" s="689">
        <f t="shared" si="48"/>
        <v>0</v>
      </c>
    </row>
    <row r="3060" spans="1:10" ht="12.75" customHeight="1" x14ac:dyDescent="0.2">
      <c r="A3060" s="681" t="s">
        <v>2370</v>
      </c>
      <c r="B3060" s="693" t="s">
        <v>5467</v>
      </c>
      <c r="C3060" s="672" t="s">
        <v>785</v>
      </c>
      <c r="D3060" s="673">
        <v>38403</v>
      </c>
      <c r="E3060" s="674">
        <v>10</v>
      </c>
      <c r="F3060" s="675">
        <v>0.1</v>
      </c>
      <c r="G3060" s="676">
        <v>115</v>
      </c>
      <c r="H3060" s="929">
        <v>0</v>
      </c>
      <c r="I3060" s="929">
        <v>115</v>
      </c>
      <c r="J3060" s="689">
        <f t="shared" si="48"/>
        <v>0</v>
      </c>
    </row>
    <row r="3061" spans="1:10" ht="12.75" customHeight="1" x14ac:dyDescent="0.2">
      <c r="A3061" s="681" t="s">
        <v>2370</v>
      </c>
      <c r="B3061" s="693" t="s">
        <v>5468</v>
      </c>
      <c r="C3061" s="672" t="s">
        <v>785</v>
      </c>
      <c r="D3061" s="673">
        <v>38403</v>
      </c>
      <c r="E3061" s="674">
        <v>10</v>
      </c>
      <c r="F3061" s="675">
        <v>0.1</v>
      </c>
      <c r="G3061" s="676">
        <v>115</v>
      </c>
      <c r="H3061" s="929">
        <v>0</v>
      </c>
      <c r="I3061" s="929">
        <v>115</v>
      </c>
      <c r="J3061" s="689">
        <f t="shared" si="48"/>
        <v>0</v>
      </c>
    </row>
    <row r="3062" spans="1:10" ht="12.75" customHeight="1" x14ac:dyDescent="0.2">
      <c r="A3062" s="681" t="s">
        <v>2370</v>
      </c>
      <c r="B3062" s="693" t="s">
        <v>5469</v>
      </c>
      <c r="C3062" s="672" t="s">
        <v>785</v>
      </c>
      <c r="D3062" s="673">
        <v>38403</v>
      </c>
      <c r="E3062" s="674">
        <v>10</v>
      </c>
      <c r="F3062" s="675">
        <v>0.1</v>
      </c>
      <c r="G3062" s="676">
        <v>115</v>
      </c>
      <c r="H3062" s="929">
        <v>0</v>
      </c>
      <c r="I3062" s="929">
        <v>115</v>
      </c>
      <c r="J3062" s="689">
        <f t="shared" si="48"/>
        <v>0</v>
      </c>
    </row>
    <row r="3063" spans="1:10" ht="12.75" customHeight="1" x14ac:dyDescent="0.2">
      <c r="A3063" s="681" t="s">
        <v>2370</v>
      </c>
      <c r="B3063" s="693" t="s">
        <v>5470</v>
      </c>
      <c r="C3063" s="672" t="s">
        <v>785</v>
      </c>
      <c r="D3063" s="673">
        <v>38403</v>
      </c>
      <c r="E3063" s="674">
        <v>10</v>
      </c>
      <c r="F3063" s="675">
        <v>0.1</v>
      </c>
      <c r="G3063" s="676">
        <v>115</v>
      </c>
      <c r="H3063" s="929">
        <v>0</v>
      </c>
      <c r="I3063" s="929">
        <v>115</v>
      </c>
      <c r="J3063" s="689">
        <f t="shared" si="48"/>
        <v>0</v>
      </c>
    </row>
    <row r="3064" spans="1:10" ht="12.75" customHeight="1" x14ac:dyDescent="0.2">
      <c r="A3064" s="681" t="s">
        <v>2370</v>
      </c>
      <c r="B3064" s="693" t="s">
        <v>5471</v>
      </c>
      <c r="C3064" s="672" t="s">
        <v>785</v>
      </c>
      <c r="D3064" s="673">
        <v>38403</v>
      </c>
      <c r="E3064" s="674">
        <v>10</v>
      </c>
      <c r="F3064" s="675">
        <v>0.1</v>
      </c>
      <c r="G3064" s="676">
        <v>328</v>
      </c>
      <c r="H3064" s="929">
        <v>0</v>
      </c>
      <c r="I3064" s="929">
        <v>328</v>
      </c>
      <c r="J3064" s="689">
        <f t="shared" si="48"/>
        <v>0</v>
      </c>
    </row>
    <row r="3065" spans="1:10" ht="12.75" customHeight="1" x14ac:dyDescent="0.2">
      <c r="A3065" s="681" t="s">
        <v>2370</v>
      </c>
      <c r="B3065" s="693" t="s">
        <v>5472</v>
      </c>
      <c r="C3065" s="672" t="s">
        <v>785</v>
      </c>
      <c r="D3065" s="673">
        <v>38403</v>
      </c>
      <c r="E3065" s="674">
        <v>10</v>
      </c>
      <c r="F3065" s="675">
        <v>0.1</v>
      </c>
      <c r="G3065" s="676">
        <v>350</v>
      </c>
      <c r="H3065" s="929">
        <v>0</v>
      </c>
      <c r="I3065" s="929">
        <v>350</v>
      </c>
      <c r="J3065" s="689">
        <f t="shared" si="48"/>
        <v>0</v>
      </c>
    </row>
    <row r="3066" spans="1:10" ht="12.75" customHeight="1" x14ac:dyDescent="0.2">
      <c r="A3066" s="681" t="s">
        <v>2370</v>
      </c>
      <c r="B3066" s="693" t="s">
        <v>5473</v>
      </c>
      <c r="C3066" s="672" t="s">
        <v>785</v>
      </c>
      <c r="D3066" s="673">
        <v>38403</v>
      </c>
      <c r="E3066" s="674">
        <v>10</v>
      </c>
      <c r="F3066" s="675">
        <v>0.1</v>
      </c>
      <c r="G3066" s="676">
        <v>402</v>
      </c>
      <c r="H3066" s="929">
        <v>0</v>
      </c>
      <c r="I3066" s="929">
        <v>402</v>
      </c>
      <c r="J3066" s="689">
        <f t="shared" si="48"/>
        <v>0</v>
      </c>
    </row>
    <row r="3067" spans="1:10" ht="12.75" customHeight="1" x14ac:dyDescent="0.2">
      <c r="A3067" s="681" t="s">
        <v>2370</v>
      </c>
      <c r="B3067" s="693" t="s">
        <v>5474</v>
      </c>
      <c r="C3067" s="672" t="s">
        <v>785</v>
      </c>
      <c r="D3067" s="673">
        <v>38403</v>
      </c>
      <c r="E3067" s="674">
        <v>10</v>
      </c>
      <c r="F3067" s="675">
        <v>0.1</v>
      </c>
      <c r="G3067" s="676">
        <v>402</v>
      </c>
      <c r="H3067" s="929">
        <v>0</v>
      </c>
      <c r="I3067" s="929">
        <v>402</v>
      </c>
      <c r="J3067" s="689">
        <f t="shared" si="48"/>
        <v>0</v>
      </c>
    </row>
    <row r="3068" spans="1:10" ht="12.75" customHeight="1" x14ac:dyDescent="0.2">
      <c r="A3068" s="681" t="s">
        <v>2370</v>
      </c>
      <c r="B3068" s="693" t="s">
        <v>5475</v>
      </c>
      <c r="C3068" s="672" t="s">
        <v>785</v>
      </c>
      <c r="D3068" s="673">
        <v>38403</v>
      </c>
      <c r="E3068" s="674">
        <v>10</v>
      </c>
      <c r="F3068" s="675">
        <v>0.1</v>
      </c>
      <c r="G3068" s="676">
        <v>460</v>
      </c>
      <c r="H3068" s="929">
        <v>0</v>
      </c>
      <c r="I3068" s="929">
        <v>460</v>
      </c>
      <c r="J3068" s="689">
        <f t="shared" si="48"/>
        <v>0</v>
      </c>
    </row>
    <row r="3069" spans="1:10" ht="12.75" customHeight="1" x14ac:dyDescent="0.2">
      <c r="A3069" s="681" t="s">
        <v>2370</v>
      </c>
      <c r="B3069" s="693" t="s">
        <v>5476</v>
      </c>
      <c r="C3069" s="672" t="s">
        <v>785</v>
      </c>
      <c r="D3069" s="673">
        <v>38403</v>
      </c>
      <c r="E3069" s="674">
        <v>10</v>
      </c>
      <c r="F3069" s="675">
        <v>0.1</v>
      </c>
      <c r="G3069" s="676">
        <v>460</v>
      </c>
      <c r="H3069" s="929">
        <v>0</v>
      </c>
      <c r="I3069" s="929">
        <v>460</v>
      </c>
      <c r="J3069" s="689">
        <f t="shared" si="48"/>
        <v>0</v>
      </c>
    </row>
    <row r="3070" spans="1:10" ht="12.75" customHeight="1" x14ac:dyDescent="0.2">
      <c r="A3070" s="681" t="s">
        <v>2370</v>
      </c>
      <c r="B3070" s="693" t="s">
        <v>5477</v>
      </c>
      <c r="C3070" s="672" t="s">
        <v>785</v>
      </c>
      <c r="D3070" s="673">
        <v>38403</v>
      </c>
      <c r="E3070" s="674">
        <v>10</v>
      </c>
      <c r="F3070" s="675">
        <v>0.1</v>
      </c>
      <c r="G3070" s="676">
        <v>478</v>
      </c>
      <c r="H3070" s="929">
        <v>0</v>
      </c>
      <c r="I3070" s="929">
        <v>478</v>
      </c>
      <c r="J3070" s="689">
        <f t="shared" si="48"/>
        <v>0</v>
      </c>
    </row>
    <row r="3071" spans="1:10" ht="12.75" customHeight="1" x14ac:dyDescent="0.2">
      <c r="A3071" s="681" t="s">
        <v>2370</v>
      </c>
      <c r="B3071" s="693" t="s">
        <v>5478</v>
      </c>
      <c r="C3071" s="672" t="s">
        <v>785</v>
      </c>
      <c r="D3071" s="673">
        <v>38403</v>
      </c>
      <c r="E3071" s="674">
        <v>10</v>
      </c>
      <c r="F3071" s="675">
        <v>0.1</v>
      </c>
      <c r="G3071" s="676">
        <v>478</v>
      </c>
      <c r="H3071" s="929">
        <v>0</v>
      </c>
      <c r="I3071" s="929">
        <v>478</v>
      </c>
      <c r="J3071" s="689">
        <f t="shared" si="48"/>
        <v>0</v>
      </c>
    </row>
    <row r="3072" spans="1:10" ht="12.75" customHeight="1" x14ac:dyDescent="0.2">
      <c r="A3072" s="681" t="s">
        <v>2370</v>
      </c>
      <c r="B3072" s="693" t="s">
        <v>5479</v>
      </c>
      <c r="C3072" s="672" t="s">
        <v>785</v>
      </c>
      <c r="D3072" s="673">
        <v>38403</v>
      </c>
      <c r="E3072" s="674">
        <v>10</v>
      </c>
      <c r="F3072" s="675">
        <v>0.1</v>
      </c>
      <c r="G3072" s="676">
        <v>478</v>
      </c>
      <c r="H3072" s="929">
        <v>0</v>
      </c>
      <c r="I3072" s="929">
        <v>478</v>
      </c>
      <c r="J3072" s="689">
        <f t="shared" si="48"/>
        <v>0</v>
      </c>
    </row>
    <row r="3073" spans="1:10" ht="12.75" customHeight="1" x14ac:dyDescent="0.2">
      <c r="A3073" s="681" t="s">
        <v>2370</v>
      </c>
      <c r="B3073" s="693" t="s">
        <v>5480</v>
      </c>
      <c r="C3073" s="672" t="s">
        <v>785</v>
      </c>
      <c r="D3073" s="673">
        <v>38403</v>
      </c>
      <c r="E3073" s="674">
        <v>10</v>
      </c>
      <c r="F3073" s="675">
        <v>0.1</v>
      </c>
      <c r="G3073" s="676">
        <v>478</v>
      </c>
      <c r="H3073" s="929">
        <v>0</v>
      </c>
      <c r="I3073" s="929">
        <v>478</v>
      </c>
      <c r="J3073" s="689">
        <f t="shared" si="48"/>
        <v>0</v>
      </c>
    </row>
    <row r="3074" spans="1:10" ht="12.75" customHeight="1" x14ac:dyDescent="0.2">
      <c r="A3074" s="681" t="s">
        <v>2370</v>
      </c>
      <c r="B3074" s="693" t="s">
        <v>5481</v>
      </c>
      <c r="C3074" s="672" t="s">
        <v>785</v>
      </c>
      <c r="D3074" s="673">
        <v>38403</v>
      </c>
      <c r="E3074" s="674">
        <v>10</v>
      </c>
      <c r="F3074" s="675">
        <v>0.1</v>
      </c>
      <c r="G3074" s="676">
        <v>478</v>
      </c>
      <c r="H3074" s="929">
        <v>0</v>
      </c>
      <c r="I3074" s="929">
        <v>478</v>
      </c>
      <c r="J3074" s="689">
        <f t="shared" si="48"/>
        <v>0</v>
      </c>
    </row>
    <row r="3075" spans="1:10" ht="12.75" customHeight="1" x14ac:dyDescent="0.2">
      <c r="A3075" s="681" t="s">
        <v>2370</v>
      </c>
      <c r="B3075" s="693" t="s">
        <v>5482</v>
      </c>
      <c r="C3075" s="672" t="s">
        <v>785</v>
      </c>
      <c r="D3075" s="673">
        <v>38403</v>
      </c>
      <c r="E3075" s="674">
        <v>10</v>
      </c>
      <c r="F3075" s="675">
        <v>0.1</v>
      </c>
      <c r="G3075" s="676">
        <v>478</v>
      </c>
      <c r="H3075" s="929">
        <v>0</v>
      </c>
      <c r="I3075" s="929">
        <v>478</v>
      </c>
      <c r="J3075" s="689">
        <f t="shared" si="48"/>
        <v>0</v>
      </c>
    </row>
    <row r="3076" spans="1:10" ht="12.75" customHeight="1" x14ac:dyDescent="0.2">
      <c r="A3076" s="681" t="s">
        <v>2370</v>
      </c>
      <c r="B3076" s="693" t="s">
        <v>5483</v>
      </c>
      <c r="C3076" s="672" t="s">
        <v>785</v>
      </c>
      <c r="D3076" s="673">
        <v>38403</v>
      </c>
      <c r="E3076" s="674">
        <v>10</v>
      </c>
      <c r="F3076" s="675">
        <v>0.1</v>
      </c>
      <c r="G3076" s="676">
        <v>684</v>
      </c>
      <c r="H3076" s="929">
        <v>0</v>
      </c>
      <c r="I3076" s="929">
        <v>684</v>
      </c>
      <c r="J3076" s="689">
        <f t="shared" si="48"/>
        <v>0</v>
      </c>
    </row>
    <row r="3077" spans="1:10" ht="12.75" customHeight="1" x14ac:dyDescent="0.2">
      <c r="A3077" s="681" t="s">
        <v>2370</v>
      </c>
      <c r="B3077" s="693" t="s">
        <v>5484</v>
      </c>
      <c r="C3077" s="672" t="s">
        <v>785</v>
      </c>
      <c r="D3077" s="673">
        <v>38403</v>
      </c>
      <c r="E3077" s="674">
        <v>10</v>
      </c>
      <c r="F3077" s="675">
        <v>0.1</v>
      </c>
      <c r="G3077" s="676">
        <v>690</v>
      </c>
      <c r="H3077" s="929">
        <v>0</v>
      </c>
      <c r="I3077" s="929">
        <v>690</v>
      </c>
      <c r="J3077" s="689">
        <f t="shared" si="48"/>
        <v>0</v>
      </c>
    </row>
    <row r="3078" spans="1:10" ht="12.75" customHeight="1" x14ac:dyDescent="0.2">
      <c r="A3078" s="681" t="s">
        <v>2370</v>
      </c>
      <c r="B3078" s="693" t="s">
        <v>5485</v>
      </c>
      <c r="C3078" s="672" t="s">
        <v>785</v>
      </c>
      <c r="D3078" s="673">
        <v>38403</v>
      </c>
      <c r="E3078" s="674">
        <v>10</v>
      </c>
      <c r="F3078" s="675">
        <v>0.1</v>
      </c>
      <c r="G3078" s="676">
        <v>690</v>
      </c>
      <c r="H3078" s="929">
        <v>0</v>
      </c>
      <c r="I3078" s="929">
        <v>690</v>
      </c>
      <c r="J3078" s="689">
        <f t="shared" si="48"/>
        <v>0</v>
      </c>
    </row>
    <row r="3079" spans="1:10" ht="12.75" customHeight="1" x14ac:dyDescent="0.2">
      <c r="A3079" s="681" t="s">
        <v>2370</v>
      </c>
      <c r="B3079" s="693" t="s">
        <v>5486</v>
      </c>
      <c r="C3079" s="672" t="s">
        <v>785</v>
      </c>
      <c r="D3079" s="673">
        <v>38403</v>
      </c>
      <c r="E3079" s="674">
        <v>10</v>
      </c>
      <c r="F3079" s="675">
        <v>0.1</v>
      </c>
      <c r="G3079" s="676">
        <v>735</v>
      </c>
      <c r="H3079" s="929">
        <v>0</v>
      </c>
      <c r="I3079" s="929">
        <v>735</v>
      </c>
      <c r="J3079" s="689">
        <f t="shared" ref="J3079:J3142" si="49">G3079-I3079</f>
        <v>0</v>
      </c>
    </row>
    <row r="3080" spans="1:10" ht="12.75" customHeight="1" x14ac:dyDescent="0.2">
      <c r="A3080" s="681" t="s">
        <v>2370</v>
      </c>
      <c r="B3080" s="693" t="s">
        <v>5487</v>
      </c>
      <c r="C3080" s="672" t="s">
        <v>785</v>
      </c>
      <c r="D3080" s="673">
        <v>38403</v>
      </c>
      <c r="E3080" s="674">
        <v>10</v>
      </c>
      <c r="F3080" s="675">
        <v>0.1</v>
      </c>
      <c r="G3080" s="676">
        <v>745</v>
      </c>
      <c r="H3080" s="929">
        <v>0</v>
      </c>
      <c r="I3080" s="929">
        <v>745</v>
      </c>
      <c r="J3080" s="689">
        <f t="shared" si="49"/>
        <v>0</v>
      </c>
    </row>
    <row r="3081" spans="1:10" ht="12.75" customHeight="1" x14ac:dyDescent="0.2">
      <c r="A3081" s="681" t="s">
        <v>2370</v>
      </c>
      <c r="B3081" s="693" t="s">
        <v>5488</v>
      </c>
      <c r="C3081" s="672" t="s">
        <v>785</v>
      </c>
      <c r="D3081" s="673">
        <v>38403</v>
      </c>
      <c r="E3081" s="674">
        <v>10</v>
      </c>
      <c r="F3081" s="675">
        <v>0.1</v>
      </c>
      <c r="G3081" s="676">
        <v>745</v>
      </c>
      <c r="H3081" s="929">
        <v>0</v>
      </c>
      <c r="I3081" s="929">
        <v>745</v>
      </c>
      <c r="J3081" s="689">
        <f t="shared" si="49"/>
        <v>0</v>
      </c>
    </row>
    <row r="3082" spans="1:10" ht="12.75" customHeight="1" x14ac:dyDescent="0.2">
      <c r="A3082" s="681" t="s">
        <v>2370</v>
      </c>
      <c r="B3082" s="693" t="s">
        <v>5489</v>
      </c>
      <c r="C3082" s="672" t="s">
        <v>785</v>
      </c>
      <c r="D3082" s="673">
        <v>38403</v>
      </c>
      <c r="E3082" s="674">
        <v>10</v>
      </c>
      <c r="F3082" s="675">
        <v>0.1</v>
      </c>
      <c r="G3082" s="676">
        <v>745</v>
      </c>
      <c r="H3082" s="929">
        <v>0</v>
      </c>
      <c r="I3082" s="929">
        <v>745</v>
      </c>
      <c r="J3082" s="689">
        <f t="shared" si="49"/>
        <v>0</v>
      </c>
    </row>
    <row r="3083" spans="1:10" ht="12.75" customHeight="1" x14ac:dyDescent="0.2">
      <c r="A3083" s="681" t="s">
        <v>2370</v>
      </c>
      <c r="B3083" s="693" t="s">
        <v>5490</v>
      </c>
      <c r="C3083" s="672" t="s">
        <v>785</v>
      </c>
      <c r="D3083" s="673">
        <v>38403</v>
      </c>
      <c r="E3083" s="674">
        <v>10</v>
      </c>
      <c r="F3083" s="675">
        <v>0.1</v>
      </c>
      <c r="G3083" s="676">
        <v>745</v>
      </c>
      <c r="H3083" s="929">
        <v>0</v>
      </c>
      <c r="I3083" s="929">
        <v>745</v>
      </c>
      <c r="J3083" s="689">
        <f t="shared" si="49"/>
        <v>0</v>
      </c>
    </row>
    <row r="3084" spans="1:10" ht="12.75" customHeight="1" x14ac:dyDescent="0.2">
      <c r="A3084" s="681" t="s">
        <v>2370</v>
      </c>
      <c r="B3084" s="693" t="s">
        <v>5491</v>
      </c>
      <c r="C3084" s="672" t="s">
        <v>785</v>
      </c>
      <c r="D3084" s="673">
        <v>38403</v>
      </c>
      <c r="E3084" s="674">
        <v>10</v>
      </c>
      <c r="F3084" s="675">
        <v>0.1</v>
      </c>
      <c r="G3084" s="676">
        <v>782</v>
      </c>
      <c r="H3084" s="929">
        <v>0</v>
      </c>
      <c r="I3084" s="929">
        <v>782</v>
      </c>
      <c r="J3084" s="689">
        <f t="shared" si="49"/>
        <v>0</v>
      </c>
    </row>
    <row r="3085" spans="1:10" ht="12.75" customHeight="1" x14ac:dyDescent="0.2">
      <c r="A3085" s="681" t="s">
        <v>2370</v>
      </c>
      <c r="B3085" s="693" t="s">
        <v>5492</v>
      </c>
      <c r="C3085" s="672" t="s">
        <v>785</v>
      </c>
      <c r="D3085" s="673">
        <v>38403</v>
      </c>
      <c r="E3085" s="674">
        <v>10</v>
      </c>
      <c r="F3085" s="675">
        <v>0.1</v>
      </c>
      <c r="G3085" s="676">
        <v>782</v>
      </c>
      <c r="H3085" s="929">
        <v>0</v>
      </c>
      <c r="I3085" s="929">
        <v>782</v>
      </c>
      <c r="J3085" s="689">
        <f t="shared" si="49"/>
        <v>0</v>
      </c>
    </row>
    <row r="3086" spans="1:10" ht="12.75" customHeight="1" x14ac:dyDescent="0.2">
      <c r="A3086" s="681" t="s">
        <v>2370</v>
      </c>
      <c r="B3086" s="693" t="s">
        <v>5493</v>
      </c>
      <c r="C3086" s="672" t="s">
        <v>785</v>
      </c>
      <c r="D3086" s="673">
        <v>38403</v>
      </c>
      <c r="E3086" s="674">
        <v>10</v>
      </c>
      <c r="F3086" s="675">
        <v>0.1</v>
      </c>
      <c r="G3086" s="676">
        <v>829</v>
      </c>
      <c r="H3086" s="929">
        <v>0</v>
      </c>
      <c r="I3086" s="929">
        <v>829</v>
      </c>
      <c r="J3086" s="689">
        <f t="shared" si="49"/>
        <v>0</v>
      </c>
    </row>
    <row r="3087" spans="1:10" ht="12.75" customHeight="1" x14ac:dyDescent="0.2">
      <c r="A3087" s="681" t="s">
        <v>2370</v>
      </c>
      <c r="B3087" s="693" t="s">
        <v>5494</v>
      </c>
      <c r="C3087" s="672" t="s">
        <v>785</v>
      </c>
      <c r="D3087" s="673">
        <v>38403</v>
      </c>
      <c r="E3087" s="674">
        <v>10</v>
      </c>
      <c r="F3087" s="675">
        <v>0.1</v>
      </c>
      <c r="G3087" s="676">
        <v>829</v>
      </c>
      <c r="H3087" s="929">
        <v>0</v>
      </c>
      <c r="I3087" s="929">
        <v>829</v>
      </c>
      <c r="J3087" s="689">
        <f t="shared" si="49"/>
        <v>0</v>
      </c>
    </row>
    <row r="3088" spans="1:10" ht="12.75" customHeight="1" x14ac:dyDescent="0.2">
      <c r="A3088" s="681" t="s">
        <v>2370</v>
      </c>
      <c r="B3088" s="693" t="s">
        <v>5495</v>
      </c>
      <c r="C3088" s="672" t="s">
        <v>785</v>
      </c>
      <c r="D3088" s="673">
        <v>38403</v>
      </c>
      <c r="E3088" s="674">
        <v>10</v>
      </c>
      <c r="F3088" s="675">
        <v>0.1</v>
      </c>
      <c r="G3088" s="676">
        <v>829</v>
      </c>
      <c r="H3088" s="929">
        <v>0</v>
      </c>
      <c r="I3088" s="929">
        <v>829</v>
      </c>
      <c r="J3088" s="689">
        <f t="shared" si="49"/>
        <v>0</v>
      </c>
    </row>
    <row r="3089" spans="1:10" ht="12.75" customHeight="1" x14ac:dyDescent="0.2">
      <c r="A3089" s="681" t="s">
        <v>2370</v>
      </c>
      <c r="B3089" s="693" t="s">
        <v>5496</v>
      </c>
      <c r="C3089" s="672" t="s">
        <v>785</v>
      </c>
      <c r="D3089" s="673">
        <v>38403</v>
      </c>
      <c r="E3089" s="674">
        <v>10</v>
      </c>
      <c r="F3089" s="675">
        <v>0.1</v>
      </c>
      <c r="G3089" s="676">
        <v>829</v>
      </c>
      <c r="H3089" s="929">
        <v>0</v>
      </c>
      <c r="I3089" s="929">
        <v>829</v>
      </c>
      <c r="J3089" s="689">
        <f t="shared" si="49"/>
        <v>0</v>
      </c>
    </row>
    <row r="3090" spans="1:10" ht="12.75" customHeight="1" x14ac:dyDescent="0.2">
      <c r="A3090" s="681" t="s">
        <v>2370</v>
      </c>
      <c r="B3090" s="693" t="s">
        <v>5497</v>
      </c>
      <c r="C3090" s="672" t="s">
        <v>785</v>
      </c>
      <c r="D3090" s="673">
        <v>38403</v>
      </c>
      <c r="E3090" s="674">
        <v>10</v>
      </c>
      <c r="F3090" s="675">
        <v>0.1</v>
      </c>
      <c r="G3090" s="676">
        <v>829</v>
      </c>
      <c r="H3090" s="929">
        <v>0</v>
      </c>
      <c r="I3090" s="929">
        <v>829</v>
      </c>
      <c r="J3090" s="689">
        <f t="shared" si="49"/>
        <v>0</v>
      </c>
    </row>
    <row r="3091" spans="1:10" ht="12.75" customHeight="1" x14ac:dyDescent="0.2">
      <c r="A3091" s="681" t="s">
        <v>2370</v>
      </c>
      <c r="B3091" s="693" t="s">
        <v>5498</v>
      </c>
      <c r="C3091" s="672" t="s">
        <v>785</v>
      </c>
      <c r="D3091" s="673">
        <v>38403</v>
      </c>
      <c r="E3091" s="674">
        <v>10</v>
      </c>
      <c r="F3091" s="675">
        <v>0.1</v>
      </c>
      <c r="G3091" s="676">
        <v>829</v>
      </c>
      <c r="H3091" s="929">
        <v>0</v>
      </c>
      <c r="I3091" s="929">
        <v>829</v>
      </c>
      <c r="J3091" s="689">
        <f t="shared" si="49"/>
        <v>0</v>
      </c>
    </row>
    <row r="3092" spans="1:10" ht="12.75" customHeight="1" x14ac:dyDescent="0.2">
      <c r="A3092" s="681" t="s">
        <v>2370</v>
      </c>
      <c r="B3092" s="693" t="s">
        <v>5499</v>
      </c>
      <c r="C3092" s="672" t="s">
        <v>785</v>
      </c>
      <c r="D3092" s="673">
        <v>38403</v>
      </c>
      <c r="E3092" s="674">
        <v>10</v>
      </c>
      <c r="F3092" s="675">
        <v>0.1</v>
      </c>
      <c r="G3092" s="676">
        <v>829</v>
      </c>
      <c r="H3092" s="929">
        <v>0</v>
      </c>
      <c r="I3092" s="929">
        <v>829</v>
      </c>
      <c r="J3092" s="689">
        <f t="shared" si="49"/>
        <v>0</v>
      </c>
    </row>
    <row r="3093" spans="1:10" ht="12.75" customHeight="1" x14ac:dyDescent="0.2">
      <c r="A3093" s="681" t="s">
        <v>2370</v>
      </c>
      <c r="B3093" s="693" t="s">
        <v>5500</v>
      </c>
      <c r="C3093" s="672" t="s">
        <v>785</v>
      </c>
      <c r="D3093" s="673">
        <v>38403</v>
      </c>
      <c r="E3093" s="674">
        <v>10</v>
      </c>
      <c r="F3093" s="675">
        <v>0.1</v>
      </c>
      <c r="G3093" s="676">
        <v>829</v>
      </c>
      <c r="H3093" s="929">
        <v>0</v>
      </c>
      <c r="I3093" s="929">
        <v>829</v>
      </c>
      <c r="J3093" s="689">
        <f t="shared" si="49"/>
        <v>0</v>
      </c>
    </row>
    <row r="3094" spans="1:10" ht="12.75" customHeight="1" x14ac:dyDescent="0.2">
      <c r="A3094" s="681" t="s">
        <v>2370</v>
      </c>
      <c r="B3094" s="693" t="s">
        <v>5501</v>
      </c>
      <c r="C3094" s="672" t="s">
        <v>785</v>
      </c>
      <c r="D3094" s="673">
        <v>38403</v>
      </c>
      <c r="E3094" s="674">
        <v>10</v>
      </c>
      <c r="F3094" s="675">
        <v>0.1</v>
      </c>
      <c r="G3094" s="676">
        <v>829</v>
      </c>
      <c r="H3094" s="929">
        <v>0</v>
      </c>
      <c r="I3094" s="929">
        <v>829</v>
      </c>
      <c r="J3094" s="689">
        <f t="shared" si="49"/>
        <v>0</v>
      </c>
    </row>
    <row r="3095" spans="1:10" ht="12.75" customHeight="1" x14ac:dyDescent="0.2">
      <c r="A3095" s="681" t="s">
        <v>2370</v>
      </c>
      <c r="B3095" s="693" t="s">
        <v>5502</v>
      </c>
      <c r="C3095" s="672" t="s">
        <v>785</v>
      </c>
      <c r="D3095" s="673">
        <v>38403</v>
      </c>
      <c r="E3095" s="674">
        <v>10</v>
      </c>
      <c r="F3095" s="675">
        <v>0.1</v>
      </c>
      <c r="G3095" s="676">
        <v>829</v>
      </c>
      <c r="H3095" s="929">
        <v>0</v>
      </c>
      <c r="I3095" s="929">
        <v>829</v>
      </c>
      <c r="J3095" s="689">
        <f t="shared" si="49"/>
        <v>0</v>
      </c>
    </row>
    <row r="3096" spans="1:10" ht="12.75" customHeight="1" x14ac:dyDescent="0.2">
      <c r="A3096" s="681" t="s">
        <v>2370</v>
      </c>
      <c r="B3096" s="693" t="s">
        <v>5503</v>
      </c>
      <c r="C3096" s="672" t="s">
        <v>785</v>
      </c>
      <c r="D3096" s="673">
        <v>38403</v>
      </c>
      <c r="E3096" s="674">
        <v>10</v>
      </c>
      <c r="F3096" s="675">
        <v>0.1</v>
      </c>
      <c r="G3096" s="676">
        <v>829</v>
      </c>
      <c r="H3096" s="929">
        <v>0</v>
      </c>
      <c r="I3096" s="929">
        <v>829</v>
      </c>
      <c r="J3096" s="689">
        <f t="shared" si="49"/>
        <v>0</v>
      </c>
    </row>
    <row r="3097" spans="1:10" ht="12.75" customHeight="1" x14ac:dyDescent="0.2">
      <c r="A3097" s="681" t="s">
        <v>2370</v>
      </c>
      <c r="B3097" s="693" t="s">
        <v>5504</v>
      </c>
      <c r="C3097" s="672" t="s">
        <v>785</v>
      </c>
      <c r="D3097" s="673">
        <v>38403</v>
      </c>
      <c r="E3097" s="674">
        <v>10</v>
      </c>
      <c r="F3097" s="675">
        <v>0.1</v>
      </c>
      <c r="G3097" s="676">
        <v>908</v>
      </c>
      <c r="H3097" s="929">
        <v>0</v>
      </c>
      <c r="I3097" s="929">
        <v>908</v>
      </c>
      <c r="J3097" s="689">
        <f t="shared" si="49"/>
        <v>0</v>
      </c>
    </row>
    <row r="3098" spans="1:10" ht="12.75" customHeight="1" x14ac:dyDescent="0.2">
      <c r="A3098" s="681" t="s">
        <v>2370</v>
      </c>
      <c r="B3098" s="693" t="s">
        <v>5505</v>
      </c>
      <c r="C3098" s="672" t="s">
        <v>785</v>
      </c>
      <c r="D3098" s="673">
        <v>38403</v>
      </c>
      <c r="E3098" s="674">
        <v>10</v>
      </c>
      <c r="F3098" s="675">
        <v>0.1</v>
      </c>
      <c r="G3098" s="676">
        <v>1221</v>
      </c>
      <c r="H3098" s="929">
        <v>0</v>
      </c>
      <c r="I3098" s="929">
        <v>1221</v>
      </c>
      <c r="J3098" s="689">
        <f t="shared" si="49"/>
        <v>0</v>
      </c>
    </row>
    <row r="3099" spans="1:10" ht="12.75" customHeight="1" x14ac:dyDescent="0.2">
      <c r="A3099" s="681" t="s">
        <v>2370</v>
      </c>
      <c r="B3099" s="693" t="s">
        <v>5506</v>
      </c>
      <c r="C3099" s="672" t="s">
        <v>785</v>
      </c>
      <c r="D3099" s="673">
        <v>38403</v>
      </c>
      <c r="E3099" s="674">
        <v>10</v>
      </c>
      <c r="F3099" s="675">
        <v>0.1</v>
      </c>
      <c r="G3099" s="676">
        <v>1237</v>
      </c>
      <c r="H3099" s="929">
        <v>0</v>
      </c>
      <c r="I3099" s="929">
        <v>1237</v>
      </c>
      <c r="J3099" s="689">
        <f t="shared" si="49"/>
        <v>0</v>
      </c>
    </row>
    <row r="3100" spans="1:10" ht="12.75" customHeight="1" x14ac:dyDescent="0.2">
      <c r="A3100" s="681" t="s">
        <v>2370</v>
      </c>
      <c r="B3100" s="693" t="s">
        <v>5507</v>
      </c>
      <c r="C3100" s="672" t="s">
        <v>785</v>
      </c>
      <c r="D3100" s="673">
        <v>38403</v>
      </c>
      <c r="E3100" s="674">
        <v>10</v>
      </c>
      <c r="F3100" s="675">
        <v>0.1</v>
      </c>
      <c r="G3100" s="676">
        <v>1237</v>
      </c>
      <c r="H3100" s="929">
        <v>0</v>
      </c>
      <c r="I3100" s="929">
        <v>1237</v>
      </c>
      <c r="J3100" s="689">
        <f t="shared" si="49"/>
        <v>0</v>
      </c>
    </row>
    <row r="3101" spans="1:10" ht="12.75" customHeight="1" x14ac:dyDescent="0.2">
      <c r="A3101" s="681" t="s">
        <v>2370</v>
      </c>
      <c r="B3101" s="693" t="s">
        <v>5508</v>
      </c>
      <c r="C3101" s="672" t="s">
        <v>785</v>
      </c>
      <c r="D3101" s="673">
        <v>38403</v>
      </c>
      <c r="E3101" s="674">
        <v>10</v>
      </c>
      <c r="F3101" s="675">
        <v>0.1</v>
      </c>
      <c r="G3101" s="676">
        <v>1237</v>
      </c>
      <c r="H3101" s="929">
        <v>0</v>
      </c>
      <c r="I3101" s="929">
        <v>1237</v>
      </c>
      <c r="J3101" s="689">
        <f t="shared" si="49"/>
        <v>0</v>
      </c>
    </row>
    <row r="3102" spans="1:10" ht="12.75" customHeight="1" x14ac:dyDescent="0.2">
      <c r="A3102" s="681" t="s">
        <v>2370</v>
      </c>
      <c r="B3102" s="693" t="s">
        <v>5509</v>
      </c>
      <c r="C3102" s="672" t="s">
        <v>785</v>
      </c>
      <c r="D3102" s="673">
        <v>38403</v>
      </c>
      <c r="E3102" s="674">
        <v>10</v>
      </c>
      <c r="F3102" s="675">
        <v>0.1</v>
      </c>
      <c r="G3102" s="676">
        <v>1237</v>
      </c>
      <c r="H3102" s="929">
        <v>0</v>
      </c>
      <c r="I3102" s="929">
        <v>1237</v>
      </c>
      <c r="J3102" s="689">
        <f t="shared" si="49"/>
        <v>0</v>
      </c>
    </row>
    <row r="3103" spans="1:10" ht="12.75" customHeight="1" x14ac:dyDescent="0.2">
      <c r="A3103" s="681" t="s">
        <v>2370</v>
      </c>
      <c r="B3103" s="693" t="s">
        <v>5510</v>
      </c>
      <c r="C3103" s="672" t="s">
        <v>785</v>
      </c>
      <c r="D3103" s="673">
        <v>38403</v>
      </c>
      <c r="E3103" s="674">
        <v>10</v>
      </c>
      <c r="F3103" s="675">
        <v>0.1</v>
      </c>
      <c r="G3103" s="676">
        <v>1237</v>
      </c>
      <c r="H3103" s="929">
        <v>0</v>
      </c>
      <c r="I3103" s="929">
        <v>1237</v>
      </c>
      <c r="J3103" s="689">
        <f t="shared" si="49"/>
        <v>0</v>
      </c>
    </row>
    <row r="3104" spans="1:10" ht="12.75" customHeight="1" x14ac:dyDescent="0.2">
      <c r="A3104" s="681" t="s">
        <v>2370</v>
      </c>
      <c r="B3104" s="693" t="s">
        <v>5511</v>
      </c>
      <c r="C3104" s="672" t="s">
        <v>785</v>
      </c>
      <c r="D3104" s="673">
        <v>38403</v>
      </c>
      <c r="E3104" s="674">
        <v>10</v>
      </c>
      <c r="F3104" s="675">
        <v>0.1</v>
      </c>
      <c r="G3104" s="676">
        <v>1322</v>
      </c>
      <c r="H3104" s="929">
        <v>0</v>
      </c>
      <c r="I3104" s="929">
        <v>1322</v>
      </c>
      <c r="J3104" s="689">
        <f t="shared" si="49"/>
        <v>0</v>
      </c>
    </row>
    <row r="3105" spans="1:10" ht="12.75" customHeight="1" x14ac:dyDescent="0.2">
      <c r="A3105" s="681" t="s">
        <v>2370</v>
      </c>
      <c r="B3105" s="693" t="s">
        <v>5512</v>
      </c>
      <c r="C3105" s="672" t="s">
        <v>785</v>
      </c>
      <c r="D3105" s="673">
        <v>38403</v>
      </c>
      <c r="E3105" s="674">
        <v>10</v>
      </c>
      <c r="F3105" s="675">
        <v>0.1</v>
      </c>
      <c r="G3105" s="676">
        <v>1683</v>
      </c>
      <c r="H3105" s="929">
        <v>0</v>
      </c>
      <c r="I3105" s="929">
        <v>1683</v>
      </c>
      <c r="J3105" s="689">
        <f t="shared" si="49"/>
        <v>0</v>
      </c>
    </row>
    <row r="3106" spans="1:10" ht="12.75" customHeight="1" x14ac:dyDescent="0.2">
      <c r="A3106" s="681" t="s">
        <v>2370</v>
      </c>
      <c r="B3106" s="693" t="s">
        <v>5513</v>
      </c>
      <c r="C3106" s="672" t="s">
        <v>785</v>
      </c>
      <c r="D3106" s="673">
        <v>38403</v>
      </c>
      <c r="E3106" s="674">
        <v>10</v>
      </c>
      <c r="F3106" s="675">
        <v>0.1</v>
      </c>
      <c r="G3106" s="676">
        <v>1702</v>
      </c>
      <c r="H3106" s="929">
        <v>0</v>
      </c>
      <c r="I3106" s="929">
        <v>1702</v>
      </c>
      <c r="J3106" s="689">
        <f t="shared" si="49"/>
        <v>0</v>
      </c>
    </row>
    <row r="3107" spans="1:10" ht="12.75" customHeight="1" x14ac:dyDescent="0.2">
      <c r="A3107" s="681" t="s">
        <v>2370</v>
      </c>
      <c r="B3107" s="693" t="s">
        <v>5514</v>
      </c>
      <c r="C3107" s="672" t="s">
        <v>785</v>
      </c>
      <c r="D3107" s="673">
        <v>38403</v>
      </c>
      <c r="E3107" s="674">
        <v>10</v>
      </c>
      <c r="F3107" s="675">
        <v>0.1</v>
      </c>
      <c r="G3107" s="676">
        <v>1702</v>
      </c>
      <c r="H3107" s="929">
        <v>0</v>
      </c>
      <c r="I3107" s="929">
        <v>1702</v>
      </c>
      <c r="J3107" s="689">
        <f t="shared" si="49"/>
        <v>0</v>
      </c>
    </row>
    <row r="3108" spans="1:10" ht="12.75" customHeight="1" x14ac:dyDescent="0.2">
      <c r="A3108" s="681" t="s">
        <v>2370</v>
      </c>
      <c r="B3108" s="693" t="s">
        <v>5515</v>
      </c>
      <c r="C3108" s="672" t="s">
        <v>838</v>
      </c>
      <c r="D3108" s="673">
        <v>38403</v>
      </c>
      <c r="E3108" s="674">
        <v>10</v>
      </c>
      <c r="F3108" s="675">
        <v>0.1</v>
      </c>
      <c r="G3108" s="676">
        <v>829</v>
      </c>
      <c r="H3108" s="929">
        <v>0</v>
      </c>
      <c r="I3108" s="929">
        <v>829</v>
      </c>
      <c r="J3108" s="689">
        <f t="shared" si="49"/>
        <v>0</v>
      </c>
    </row>
    <row r="3109" spans="1:10" ht="12.75" customHeight="1" x14ac:dyDescent="0.2">
      <c r="A3109" s="681" t="s">
        <v>2370</v>
      </c>
      <c r="B3109" s="693" t="s">
        <v>5516</v>
      </c>
      <c r="C3109" s="672" t="s">
        <v>786</v>
      </c>
      <c r="D3109" s="673">
        <v>38403</v>
      </c>
      <c r="E3109" s="674">
        <v>10</v>
      </c>
      <c r="F3109" s="675">
        <v>0.1</v>
      </c>
      <c r="G3109" s="676">
        <v>218</v>
      </c>
      <c r="H3109" s="929">
        <v>0</v>
      </c>
      <c r="I3109" s="929">
        <v>218</v>
      </c>
      <c r="J3109" s="689">
        <f t="shared" si="49"/>
        <v>0</v>
      </c>
    </row>
    <row r="3110" spans="1:10" ht="12.75" customHeight="1" x14ac:dyDescent="0.2">
      <c r="A3110" s="681" t="s">
        <v>2370</v>
      </c>
      <c r="B3110" s="693" t="s">
        <v>5517</v>
      </c>
      <c r="C3110" s="672" t="s">
        <v>786</v>
      </c>
      <c r="D3110" s="673">
        <v>38403</v>
      </c>
      <c r="E3110" s="674">
        <v>10</v>
      </c>
      <c r="F3110" s="675">
        <v>0.1</v>
      </c>
      <c r="G3110" s="676">
        <v>218</v>
      </c>
      <c r="H3110" s="929">
        <v>0</v>
      </c>
      <c r="I3110" s="929">
        <v>218</v>
      </c>
      <c r="J3110" s="689">
        <f t="shared" si="49"/>
        <v>0</v>
      </c>
    </row>
    <row r="3111" spans="1:10" ht="12.75" customHeight="1" x14ac:dyDescent="0.2">
      <c r="A3111" s="681" t="s">
        <v>2370</v>
      </c>
      <c r="B3111" s="693" t="s">
        <v>5518</v>
      </c>
      <c r="C3111" s="672" t="s">
        <v>786</v>
      </c>
      <c r="D3111" s="673">
        <v>38403</v>
      </c>
      <c r="E3111" s="674">
        <v>10</v>
      </c>
      <c r="F3111" s="675">
        <v>0.1</v>
      </c>
      <c r="G3111" s="676">
        <v>1360</v>
      </c>
      <c r="H3111" s="929">
        <v>0</v>
      </c>
      <c r="I3111" s="929">
        <v>1360</v>
      </c>
      <c r="J3111" s="689">
        <f t="shared" si="49"/>
        <v>0</v>
      </c>
    </row>
    <row r="3112" spans="1:10" ht="12.75" customHeight="1" x14ac:dyDescent="0.2">
      <c r="A3112" s="681" t="s">
        <v>2370</v>
      </c>
      <c r="B3112" s="693" t="s">
        <v>5519</v>
      </c>
      <c r="C3112" s="672" t="s">
        <v>786</v>
      </c>
      <c r="D3112" s="673">
        <v>38403</v>
      </c>
      <c r="E3112" s="674">
        <v>10</v>
      </c>
      <c r="F3112" s="675">
        <v>0.1</v>
      </c>
      <c r="G3112" s="676">
        <v>2070</v>
      </c>
      <c r="H3112" s="929">
        <v>0</v>
      </c>
      <c r="I3112" s="929">
        <v>2070</v>
      </c>
      <c r="J3112" s="689">
        <f t="shared" si="49"/>
        <v>0</v>
      </c>
    </row>
    <row r="3113" spans="1:10" ht="12.75" customHeight="1" x14ac:dyDescent="0.2">
      <c r="A3113" s="681" t="s">
        <v>2370</v>
      </c>
      <c r="B3113" s="693" t="s">
        <v>5520</v>
      </c>
      <c r="C3113" s="672" t="s">
        <v>795</v>
      </c>
      <c r="D3113" s="673">
        <v>38403</v>
      </c>
      <c r="E3113" s="674">
        <v>10</v>
      </c>
      <c r="F3113" s="675">
        <v>0.1</v>
      </c>
      <c r="G3113" s="676">
        <v>19876</v>
      </c>
      <c r="H3113" s="929">
        <v>0</v>
      </c>
      <c r="I3113" s="929">
        <v>19876</v>
      </c>
      <c r="J3113" s="689">
        <f t="shared" si="49"/>
        <v>0</v>
      </c>
    </row>
    <row r="3114" spans="1:10" ht="12.75" customHeight="1" x14ac:dyDescent="0.2">
      <c r="A3114" s="681" t="s">
        <v>2372</v>
      </c>
      <c r="B3114" s="693" t="s">
        <v>5574</v>
      </c>
      <c r="C3114" s="672" t="s">
        <v>1067</v>
      </c>
      <c r="D3114" s="673">
        <v>38403</v>
      </c>
      <c r="E3114" s="674">
        <v>10</v>
      </c>
      <c r="F3114" s="675">
        <v>0.1</v>
      </c>
      <c r="G3114" s="676">
        <v>1100</v>
      </c>
      <c r="H3114" s="929">
        <v>0</v>
      </c>
      <c r="I3114" s="929">
        <v>1100</v>
      </c>
      <c r="J3114" s="689">
        <f t="shared" si="49"/>
        <v>0</v>
      </c>
    </row>
    <row r="3115" spans="1:10" ht="12.75" customHeight="1" x14ac:dyDescent="0.2">
      <c r="A3115" s="681" t="s">
        <v>2370</v>
      </c>
      <c r="B3115" s="693" t="s">
        <v>5707</v>
      </c>
      <c r="C3115" s="672" t="s">
        <v>896</v>
      </c>
      <c r="D3115" s="673">
        <v>40959</v>
      </c>
      <c r="E3115" s="674">
        <v>3</v>
      </c>
      <c r="F3115" s="675">
        <v>0.33</v>
      </c>
      <c r="G3115" s="676">
        <v>232</v>
      </c>
      <c r="H3115" s="929">
        <v>0</v>
      </c>
      <c r="I3115" s="929">
        <v>231</v>
      </c>
      <c r="J3115" s="689">
        <f t="shared" si="49"/>
        <v>1</v>
      </c>
    </row>
    <row r="3116" spans="1:10" ht="12.75" customHeight="1" x14ac:dyDescent="0.2">
      <c r="A3116" s="681" t="s">
        <v>2370</v>
      </c>
      <c r="B3116" s="693" t="s">
        <v>5521</v>
      </c>
      <c r="C3116" s="672" t="s">
        <v>818</v>
      </c>
      <c r="D3116" s="673">
        <v>38403</v>
      </c>
      <c r="E3116" s="674">
        <v>10</v>
      </c>
      <c r="F3116" s="675">
        <v>0.1</v>
      </c>
      <c r="G3116" s="676">
        <v>127</v>
      </c>
      <c r="H3116" s="929">
        <v>0</v>
      </c>
      <c r="I3116" s="929">
        <v>127</v>
      </c>
      <c r="J3116" s="689">
        <f t="shared" si="49"/>
        <v>0</v>
      </c>
    </row>
    <row r="3117" spans="1:10" ht="12.75" customHeight="1" x14ac:dyDescent="0.2">
      <c r="A3117" s="681" t="s">
        <v>2370</v>
      </c>
      <c r="B3117" s="693" t="s">
        <v>5580</v>
      </c>
      <c r="C3117" s="672" t="s">
        <v>736</v>
      </c>
      <c r="D3117" s="673">
        <v>40959</v>
      </c>
      <c r="E3117" s="674">
        <v>3</v>
      </c>
      <c r="F3117" s="675">
        <v>0.33</v>
      </c>
      <c r="G3117" s="676">
        <v>104</v>
      </c>
      <c r="H3117" s="929">
        <v>0</v>
      </c>
      <c r="I3117" s="929">
        <v>103.00000000000001</v>
      </c>
      <c r="J3117" s="689">
        <f t="shared" si="49"/>
        <v>0.99999999999998579</v>
      </c>
    </row>
    <row r="3118" spans="1:10" ht="12.75" customHeight="1" x14ac:dyDescent="0.2">
      <c r="A3118" s="681" t="s">
        <v>2370</v>
      </c>
      <c r="B3118" s="693" t="s">
        <v>5581</v>
      </c>
      <c r="C3118" s="672" t="s">
        <v>736</v>
      </c>
      <c r="D3118" s="673">
        <v>40959</v>
      </c>
      <c r="E3118" s="674">
        <v>3</v>
      </c>
      <c r="F3118" s="675">
        <v>0.33</v>
      </c>
      <c r="G3118" s="676">
        <v>104</v>
      </c>
      <c r="H3118" s="929">
        <v>0</v>
      </c>
      <c r="I3118" s="929">
        <v>103.00000000000001</v>
      </c>
      <c r="J3118" s="689">
        <f t="shared" si="49"/>
        <v>0.99999999999998579</v>
      </c>
    </row>
    <row r="3119" spans="1:10" ht="12.75" customHeight="1" x14ac:dyDescent="0.2">
      <c r="A3119" s="681" t="s">
        <v>2370</v>
      </c>
      <c r="B3119" s="693" t="s">
        <v>5582</v>
      </c>
      <c r="C3119" s="672" t="s">
        <v>736</v>
      </c>
      <c r="D3119" s="673">
        <v>40959</v>
      </c>
      <c r="E3119" s="674">
        <v>3</v>
      </c>
      <c r="F3119" s="675">
        <v>0.33</v>
      </c>
      <c r="G3119" s="676">
        <v>104</v>
      </c>
      <c r="H3119" s="929">
        <v>0</v>
      </c>
      <c r="I3119" s="929">
        <v>103.00000000000001</v>
      </c>
      <c r="J3119" s="689">
        <f t="shared" si="49"/>
        <v>0.99999999999998579</v>
      </c>
    </row>
    <row r="3120" spans="1:10" ht="12.75" customHeight="1" x14ac:dyDescent="0.2">
      <c r="A3120" s="681" t="s">
        <v>2370</v>
      </c>
      <c r="B3120" s="693" t="s">
        <v>5583</v>
      </c>
      <c r="C3120" s="672" t="s">
        <v>736</v>
      </c>
      <c r="D3120" s="673">
        <v>40959</v>
      </c>
      <c r="E3120" s="674">
        <v>3</v>
      </c>
      <c r="F3120" s="675">
        <v>0.33</v>
      </c>
      <c r="G3120" s="676">
        <v>104.4</v>
      </c>
      <c r="H3120" s="929">
        <v>0</v>
      </c>
      <c r="I3120" s="929">
        <v>103.396</v>
      </c>
      <c r="J3120" s="689">
        <f t="shared" si="49"/>
        <v>1.0040000000000049</v>
      </c>
    </row>
    <row r="3121" spans="1:10" ht="12.75" customHeight="1" x14ac:dyDescent="0.2">
      <c r="A3121" s="681" t="s">
        <v>2370</v>
      </c>
      <c r="B3121" s="693" t="s">
        <v>5584</v>
      </c>
      <c r="C3121" s="672" t="s">
        <v>736</v>
      </c>
      <c r="D3121" s="673">
        <v>40959</v>
      </c>
      <c r="E3121" s="674">
        <v>3</v>
      </c>
      <c r="F3121" s="675">
        <v>0.33</v>
      </c>
      <c r="G3121" s="676">
        <v>104.4</v>
      </c>
      <c r="H3121" s="929">
        <v>0</v>
      </c>
      <c r="I3121" s="929">
        <v>103.396</v>
      </c>
      <c r="J3121" s="689">
        <f t="shared" si="49"/>
        <v>1.0040000000000049</v>
      </c>
    </row>
    <row r="3122" spans="1:10" ht="12.75" customHeight="1" x14ac:dyDescent="0.2">
      <c r="A3122" s="681" t="s">
        <v>2370</v>
      </c>
      <c r="B3122" s="693" t="s">
        <v>5585</v>
      </c>
      <c r="C3122" s="672" t="s">
        <v>736</v>
      </c>
      <c r="D3122" s="673">
        <v>40959</v>
      </c>
      <c r="E3122" s="674">
        <v>3</v>
      </c>
      <c r="F3122" s="675">
        <v>0.33</v>
      </c>
      <c r="G3122" s="676">
        <v>104.4</v>
      </c>
      <c r="H3122" s="929">
        <v>0</v>
      </c>
      <c r="I3122" s="929">
        <v>103.396</v>
      </c>
      <c r="J3122" s="689">
        <f t="shared" si="49"/>
        <v>1.0040000000000049</v>
      </c>
    </row>
    <row r="3123" spans="1:10" ht="12.75" customHeight="1" x14ac:dyDescent="0.2">
      <c r="A3123" s="681" t="s">
        <v>2370</v>
      </c>
      <c r="B3123" s="693" t="s">
        <v>5586</v>
      </c>
      <c r="C3123" s="672" t="s">
        <v>736</v>
      </c>
      <c r="D3123" s="673">
        <v>40959</v>
      </c>
      <c r="E3123" s="674">
        <v>3</v>
      </c>
      <c r="F3123" s="675">
        <v>0.33</v>
      </c>
      <c r="G3123" s="676">
        <v>104.4</v>
      </c>
      <c r="H3123" s="929">
        <v>0</v>
      </c>
      <c r="I3123" s="929">
        <v>103.396</v>
      </c>
      <c r="J3123" s="689">
        <f t="shared" si="49"/>
        <v>1.0040000000000049</v>
      </c>
    </row>
    <row r="3124" spans="1:10" ht="12.75" customHeight="1" x14ac:dyDescent="0.2">
      <c r="A3124" s="681" t="s">
        <v>2370</v>
      </c>
      <c r="B3124" s="693" t="s">
        <v>5587</v>
      </c>
      <c r="C3124" s="672" t="s">
        <v>736</v>
      </c>
      <c r="D3124" s="673">
        <v>40959</v>
      </c>
      <c r="E3124" s="674">
        <v>3</v>
      </c>
      <c r="F3124" s="675">
        <v>0.33</v>
      </c>
      <c r="G3124" s="676">
        <v>104.4</v>
      </c>
      <c r="H3124" s="929">
        <v>0</v>
      </c>
      <c r="I3124" s="929">
        <v>103.396</v>
      </c>
      <c r="J3124" s="689">
        <f t="shared" si="49"/>
        <v>1.0040000000000049</v>
      </c>
    </row>
    <row r="3125" spans="1:10" ht="12.75" customHeight="1" x14ac:dyDescent="0.2">
      <c r="A3125" s="681" t="s">
        <v>2370</v>
      </c>
      <c r="B3125" s="693" t="s">
        <v>5588</v>
      </c>
      <c r="C3125" s="672" t="s">
        <v>736</v>
      </c>
      <c r="D3125" s="673">
        <v>40959</v>
      </c>
      <c r="E3125" s="674">
        <v>3</v>
      </c>
      <c r="F3125" s="675">
        <v>0.33</v>
      </c>
      <c r="G3125" s="676">
        <v>104.4</v>
      </c>
      <c r="H3125" s="929">
        <v>0</v>
      </c>
      <c r="I3125" s="929">
        <v>103.396</v>
      </c>
      <c r="J3125" s="689">
        <f t="shared" si="49"/>
        <v>1.0040000000000049</v>
      </c>
    </row>
    <row r="3126" spans="1:10" ht="12.75" customHeight="1" x14ac:dyDescent="0.2">
      <c r="A3126" s="681" t="s">
        <v>2370</v>
      </c>
      <c r="B3126" s="693" t="s">
        <v>5589</v>
      </c>
      <c r="C3126" s="672" t="s">
        <v>736</v>
      </c>
      <c r="D3126" s="673">
        <v>40959</v>
      </c>
      <c r="E3126" s="674">
        <v>3</v>
      </c>
      <c r="F3126" s="675">
        <v>0.33</v>
      </c>
      <c r="G3126" s="676">
        <v>104.4</v>
      </c>
      <c r="H3126" s="929">
        <v>0</v>
      </c>
      <c r="I3126" s="929">
        <v>103.396</v>
      </c>
      <c r="J3126" s="689">
        <f t="shared" si="49"/>
        <v>1.0040000000000049</v>
      </c>
    </row>
    <row r="3127" spans="1:10" ht="12.75" customHeight="1" x14ac:dyDescent="0.2">
      <c r="A3127" s="681" t="s">
        <v>2370</v>
      </c>
      <c r="B3127" s="693" t="s">
        <v>5590</v>
      </c>
      <c r="C3127" s="672" t="s">
        <v>736</v>
      </c>
      <c r="D3127" s="673">
        <v>40959</v>
      </c>
      <c r="E3127" s="674">
        <v>3</v>
      </c>
      <c r="F3127" s="675">
        <v>0.33</v>
      </c>
      <c r="G3127" s="676">
        <v>104.4</v>
      </c>
      <c r="H3127" s="929">
        <v>0</v>
      </c>
      <c r="I3127" s="929">
        <v>103.396</v>
      </c>
      <c r="J3127" s="689">
        <f t="shared" si="49"/>
        <v>1.0040000000000049</v>
      </c>
    </row>
    <row r="3128" spans="1:10" ht="12.75" customHeight="1" x14ac:dyDescent="0.2">
      <c r="A3128" s="681" t="s">
        <v>2370</v>
      </c>
      <c r="B3128" s="693" t="s">
        <v>5591</v>
      </c>
      <c r="C3128" s="672" t="s">
        <v>736</v>
      </c>
      <c r="D3128" s="673">
        <v>40959</v>
      </c>
      <c r="E3128" s="674">
        <v>3</v>
      </c>
      <c r="F3128" s="675">
        <v>0.33</v>
      </c>
      <c r="G3128" s="676">
        <v>110</v>
      </c>
      <c r="H3128" s="929">
        <v>0</v>
      </c>
      <c r="I3128" s="929">
        <v>109</v>
      </c>
      <c r="J3128" s="689">
        <f t="shared" si="49"/>
        <v>1</v>
      </c>
    </row>
    <row r="3129" spans="1:10" ht="12.75" customHeight="1" x14ac:dyDescent="0.2">
      <c r="A3129" s="681" t="s">
        <v>2370</v>
      </c>
      <c r="B3129" s="693" t="s">
        <v>5708</v>
      </c>
      <c r="C3129" s="672" t="s">
        <v>736</v>
      </c>
      <c r="D3129" s="673">
        <v>40959</v>
      </c>
      <c r="E3129" s="674">
        <v>3</v>
      </c>
      <c r="F3129" s="675">
        <v>0.33</v>
      </c>
      <c r="G3129" s="676">
        <v>174</v>
      </c>
      <c r="H3129" s="929">
        <v>0</v>
      </c>
      <c r="I3129" s="929">
        <v>173</v>
      </c>
      <c r="J3129" s="689">
        <f t="shared" si="49"/>
        <v>1</v>
      </c>
    </row>
    <row r="3130" spans="1:10" ht="12.75" customHeight="1" x14ac:dyDescent="0.2">
      <c r="A3130" s="681" t="s">
        <v>2370</v>
      </c>
      <c r="B3130" s="693" t="s">
        <v>5709</v>
      </c>
      <c r="C3130" s="672" t="s">
        <v>736</v>
      </c>
      <c r="D3130" s="673">
        <v>40959</v>
      </c>
      <c r="E3130" s="674">
        <v>3</v>
      </c>
      <c r="F3130" s="675">
        <v>0.33</v>
      </c>
      <c r="G3130" s="676">
        <v>151</v>
      </c>
      <c r="H3130" s="929">
        <v>0</v>
      </c>
      <c r="I3130" s="929">
        <v>150</v>
      </c>
      <c r="J3130" s="689">
        <f t="shared" si="49"/>
        <v>1</v>
      </c>
    </row>
    <row r="3131" spans="1:10" ht="12.75" customHeight="1" x14ac:dyDescent="0.2">
      <c r="A3131" s="681" t="s">
        <v>2370</v>
      </c>
      <c r="B3131" s="693" t="s">
        <v>5710</v>
      </c>
      <c r="C3131" s="672" t="s">
        <v>736</v>
      </c>
      <c r="D3131" s="673">
        <v>40959</v>
      </c>
      <c r="E3131" s="674">
        <v>3</v>
      </c>
      <c r="F3131" s="675">
        <v>0.33</v>
      </c>
      <c r="G3131" s="676">
        <v>148</v>
      </c>
      <c r="H3131" s="929">
        <v>0</v>
      </c>
      <c r="I3131" s="929">
        <v>147</v>
      </c>
      <c r="J3131" s="689">
        <f t="shared" si="49"/>
        <v>1</v>
      </c>
    </row>
    <row r="3132" spans="1:10" ht="12.75" customHeight="1" x14ac:dyDescent="0.2">
      <c r="A3132" s="681" t="s">
        <v>2370</v>
      </c>
      <c r="B3132" s="693" t="s">
        <v>5712</v>
      </c>
      <c r="C3132" s="672" t="s">
        <v>736</v>
      </c>
      <c r="D3132" s="673">
        <v>40959</v>
      </c>
      <c r="E3132" s="674">
        <v>3</v>
      </c>
      <c r="F3132" s="675">
        <v>0.33</v>
      </c>
      <c r="G3132" s="676">
        <v>110</v>
      </c>
      <c r="H3132" s="929">
        <v>0</v>
      </c>
      <c r="I3132" s="929">
        <v>109</v>
      </c>
      <c r="J3132" s="689">
        <f t="shared" si="49"/>
        <v>1</v>
      </c>
    </row>
    <row r="3133" spans="1:10" ht="12.75" customHeight="1" x14ac:dyDescent="0.2">
      <c r="A3133" s="681" t="s">
        <v>2370</v>
      </c>
      <c r="B3133" s="693" t="s">
        <v>5713</v>
      </c>
      <c r="C3133" s="672" t="s">
        <v>736</v>
      </c>
      <c r="D3133" s="673">
        <v>40959</v>
      </c>
      <c r="E3133" s="674">
        <v>3</v>
      </c>
      <c r="F3133" s="675">
        <v>0.33</v>
      </c>
      <c r="G3133" s="676">
        <v>110</v>
      </c>
      <c r="H3133" s="929">
        <v>0</v>
      </c>
      <c r="I3133" s="929">
        <v>109</v>
      </c>
      <c r="J3133" s="689">
        <f t="shared" si="49"/>
        <v>1</v>
      </c>
    </row>
    <row r="3134" spans="1:10" ht="12.75" customHeight="1" x14ac:dyDescent="0.2">
      <c r="A3134" s="681" t="s">
        <v>2372</v>
      </c>
      <c r="B3134" s="693" t="s">
        <v>5606</v>
      </c>
      <c r="C3134" s="672" t="s">
        <v>1020</v>
      </c>
      <c r="D3134" s="673">
        <v>40959</v>
      </c>
      <c r="E3134" s="674">
        <v>3</v>
      </c>
      <c r="F3134" s="675">
        <v>0.33</v>
      </c>
      <c r="G3134" s="676">
        <v>6832</v>
      </c>
      <c r="H3134" s="929">
        <v>0</v>
      </c>
      <c r="I3134" s="929">
        <v>6831</v>
      </c>
      <c r="J3134" s="689">
        <f t="shared" si="49"/>
        <v>1</v>
      </c>
    </row>
    <row r="3135" spans="1:10" ht="12.75" customHeight="1" x14ac:dyDescent="0.2">
      <c r="A3135" s="681" t="s">
        <v>2372</v>
      </c>
      <c r="B3135" s="693" t="s">
        <v>5607</v>
      </c>
      <c r="C3135" s="672" t="s">
        <v>1020</v>
      </c>
      <c r="D3135" s="673">
        <v>40959</v>
      </c>
      <c r="E3135" s="674">
        <v>3</v>
      </c>
      <c r="F3135" s="675">
        <v>0.33</v>
      </c>
      <c r="G3135" s="676">
        <v>6832</v>
      </c>
      <c r="H3135" s="929">
        <v>0</v>
      </c>
      <c r="I3135" s="929">
        <v>6831</v>
      </c>
      <c r="J3135" s="689">
        <f t="shared" si="49"/>
        <v>1</v>
      </c>
    </row>
    <row r="3136" spans="1:10" ht="12.75" customHeight="1" x14ac:dyDescent="0.2">
      <c r="A3136" s="681" t="s">
        <v>2372</v>
      </c>
      <c r="B3136" s="693" t="s">
        <v>5608</v>
      </c>
      <c r="C3136" s="672" t="s">
        <v>1020</v>
      </c>
      <c r="D3136" s="673">
        <v>40959</v>
      </c>
      <c r="E3136" s="674">
        <v>3</v>
      </c>
      <c r="F3136" s="675">
        <v>0.33</v>
      </c>
      <c r="G3136" s="676">
        <v>6832</v>
      </c>
      <c r="H3136" s="929">
        <v>0</v>
      </c>
      <c r="I3136" s="929">
        <v>6831</v>
      </c>
      <c r="J3136" s="689">
        <f t="shared" si="49"/>
        <v>1</v>
      </c>
    </row>
    <row r="3137" spans="1:10" ht="12.75" customHeight="1" x14ac:dyDescent="0.2">
      <c r="A3137" s="681" t="s">
        <v>2372</v>
      </c>
      <c r="B3137" s="693" t="s">
        <v>5609</v>
      </c>
      <c r="C3137" s="672" t="s">
        <v>1020</v>
      </c>
      <c r="D3137" s="673">
        <v>40959</v>
      </c>
      <c r="E3137" s="674">
        <v>3</v>
      </c>
      <c r="F3137" s="675">
        <v>0.33</v>
      </c>
      <c r="G3137" s="676">
        <v>6832</v>
      </c>
      <c r="H3137" s="929">
        <v>0</v>
      </c>
      <c r="I3137" s="929">
        <v>6831</v>
      </c>
      <c r="J3137" s="689">
        <f t="shared" si="49"/>
        <v>1</v>
      </c>
    </row>
    <row r="3138" spans="1:10" ht="12.75" customHeight="1" x14ac:dyDescent="0.2">
      <c r="A3138" s="681" t="s">
        <v>2372</v>
      </c>
      <c r="B3138" s="693" t="s">
        <v>5610</v>
      </c>
      <c r="C3138" s="672" t="s">
        <v>1020</v>
      </c>
      <c r="D3138" s="673">
        <v>40959</v>
      </c>
      <c r="E3138" s="674">
        <v>3</v>
      </c>
      <c r="F3138" s="675">
        <v>0.33</v>
      </c>
      <c r="G3138" s="676">
        <v>6832</v>
      </c>
      <c r="H3138" s="929">
        <v>0</v>
      </c>
      <c r="I3138" s="929">
        <v>6831</v>
      </c>
      <c r="J3138" s="689">
        <f t="shared" si="49"/>
        <v>1</v>
      </c>
    </row>
    <row r="3139" spans="1:10" ht="12.75" customHeight="1" x14ac:dyDescent="0.2">
      <c r="A3139" s="681" t="s">
        <v>2372</v>
      </c>
      <c r="B3139" s="693" t="s">
        <v>5614</v>
      </c>
      <c r="C3139" s="672" t="s">
        <v>1020</v>
      </c>
      <c r="D3139" s="673">
        <v>40959</v>
      </c>
      <c r="E3139" s="674">
        <v>3</v>
      </c>
      <c r="F3139" s="675">
        <v>0.33</v>
      </c>
      <c r="G3139" s="676">
        <v>5672</v>
      </c>
      <c r="H3139" s="929">
        <v>0</v>
      </c>
      <c r="I3139" s="929">
        <v>5671</v>
      </c>
      <c r="J3139" s="689">
        <f t="shared" si="49"/>
        <v>1</v>
      </c>
    </row>
    <row r="3140" spans="1:10" ht="12.75" customHeight="1" x14ac:dyDescent="0.2">
      <c r="A3140" s="681" t="s">
        <v>2372</v>
      </c>
      <c r="B3140" s="693" t="s">
        <v>5625</v>
      </c>
      <c r="C3140" s="672" t="s">
        <v>1020</v>
      </c>
      <c r="D3140" s="673">
        <v>40959</v>
      </c>
      <c r="E3140" s="674">
        <v>3</v>
      </c>
      <c r="F3140" s="675">
        <v>0.33</v>
      </c>
      <c r="G3140" s="676">
        <v>4843</v>
      </c>
      <c r="H3140" s="929">
        <v>0</v>
      </c>
      <c r="I3140" s="929">
        <v>4842</v>
      </c>
      <c r="J3140" s="689">
        <f t="shared" si="49"/>
        <v>1</v>
      </c>
    </row>
    <row r="3141" spans="1:10" ht="12.75" customHeight="1" x14ac:dyDescent="0.2">
      <c r="A3141" s="681" t="s">
        <v>2372</v>
      </c>
      <c r="B3141" s="693" t="s">
        <v>5645</v>
      </c>
      <c r="C3141" s="672" t="s">
        <v>1020</v>
      </c>
      <c r="D3141" s="673">
        <v>40959</v>
      </c>
      <c r="E3141" s="674">
        <v>3</v>
      </c>
      <c r="F3141" s="675">
        <v>0.33</v>
      </c>
      <c r="G3141" s="676">
        <v>3743</v>
      </c>
      <c r="H3141" s="929">
        <v>0</v>
      </c>
      <c r="I3141" s="929">
        <v>3742</v>
      </c>
      <c r="J3141" s="689">
        <f t="shared" si="49"/>
        <v>1</v>
      </c>
    </row>
    <row r="3142" spans="1:10" ht="12.75" customHeight="1" x14ac:dyDescent="0.2">
      <c r="A3142" s="681" t="s">
        <v>2372</v>
      </c>
      <c r="B3142" s="693" t="s">
        <v>5679</v>
      </c>
      <c r="C3142" s="672" t="s">
        <v>1020</v>
      </c>
      <c r="D3142" s="673">
        <v>40959</v>
      </c>
      <c r="E3142" s="674">
        <v>3</v>
      </c>
      <c r="F3142" s="675">
        <v>0.33</v>
      </c>
      <c r="G3142" s="676">
        <v>1137</v>
      </c>
      <c r="H3142" s="929">
        <v>0</v>
      </c>
      <c r="I3142" s="929">
        <v>1136</v>
      </c>
      <c r="J3142" s="689">
        <f t="shared" si="49"/>
        <v>1</v>
      </c>
    </row>
    <row r="3143" spans="1:10" ht="12.75" customHeight="1" x14ac:dyDescent="0.2">
      <c r="A3143" s="681" t="s">
        <v>2370</v>
      </c>
      <c r="B3143" s="693" t="s">
        <v>5651</v>
      </c>
      <c r="C3143" s="672" t="s">
        <v>885</v>
      </c>
      <c r="D3143" s="673">
        <v>40959</v>
      </c>
      <c r="E3143" s="674">
        <v>3</v>
      </c>
      <c r="F3143" s="675">
        <v>0.33</v>
      </c>
      <c r="G3143" s="676">
        <v>2999</v>
      </c>
      <c r="H3143" s="929">
        <v>0</v>
      </c>
      <c r="I3143" s="929">
        <v>2998</v>
      </c>
      <c r="J3143" s="689">
        <f t="shared" ref="J3143:J3206" si="50">G3143-I3143</f>
        <v>1</v>
      </c>
    </row>
    <row r="3144" spans="1:10" ht="12.75" customHeight="1" x14ac:dyDescent="0.2">
      <c r="A3144" s="681" t="s">
        <v>2370</v>
      </c>
      <c r="B3144" s="693" t="s">
        <v>5652</v>
      </c>
      <c r="C3144" s="672" t="s">
        <v>885</v>
      </c>
      <c r="D3144" s="673">
        <v>40959</v>
      </c>
      <c r="E3144" s="674">
        <v>3</v>
      </c>
      <c r="F3144" s="675">
        <v>0.33</v>
      </c>
      <c r="G3144" s="676">
        <v>2999</v>
      </c>
      <c r="H3144" s="929">
        <v>0</v>
      </c>
      <c r="I3144" s="929">
        <v>2998</v>
      </c>
      <c r="J3144" s="689">
        <f t="shared" si="50"/>
        <v>1</v>
      </c>
    </row>
    <row r="3145" spans="1:10" ht="12.75" customHeight="1" x14ac:dyDescent="0.2">
      <c r="A3145" s="681" t="s">
        <v>1208</v>
      </c>
      <c r="B3145" s="693" t="s">
        <v>5570</v>
      </c>
      <c r="C3145" s="672" t="s">
        <v>998</v>
      </c>
      <c r="D3145" s="673">
        <v>40361</v>
      </c>
      <c r="E3145" s="674">
        <v>5</v>
      </c>
      <c r="F3145" s="675">
        <v>0.2</v>
      </c>
      <c r="G3145" s="676">
        <v>330000</v>
      </c>
      <c r="H3145" s="929">
        <v>0</v>
      </c>
      <c r="I3145" s="929">
        <v>330000</v>
      </c>
      <c r="J3145" s="689">
        <f t="shared" si="50"/>
        <v>0</v>
      </c>
    </row>
    <row r="3146" spans="1:10" ht="12.75" customHeight="1" x14ac:dyDescent="0.2">
      <c r="A3146" s="681" t="s">
        <v>2371</v>
      </c>
      <c r="B3146" s="693" t="s">
        <v>5595</v>
      </c>
      <c r="C3146" s="672" t="s">
        <v>969</v>
      </c>
      <c r="D3146" s="673">
        <v>40959</v>
      </c>
      <c r="E3146" s="674">
        <v>3</v>
      </c>
      <c r="F3146" s="675">
        <v>0.33</v>
      </c>
      <c r="G3146" s="676">
        <v>10370</v>
      </c>
      <c r="H3146" s="929">
        <v>0</v>
      </c>
      <c r="I3146" s="929">
        <v>10369</v>
      </c>
      <c r="J3146" s="689">
        <f t="shared" si="50"/>
        <v>1</v>
      </c>
    </row>
    <row r="3147" spans="1:10" ht="12.75" customHeight="1" x14ac:dyDescent="0.2">
      <c r="A3147" s="681"/>
      <c r="B3147" s="693"/>
      <c r="C3147" s="672"/>
      <c r="D3147" s="673"/>
      <c r="E3147" s="674"/>
      <c r="F3147" s="675"/>
      <c r="G3147" s="676"/>
      <c r="H3147" s="929"/>
      <c r="I3147" s="929"/>
      <c r="J3147" s="689"/>
    </row>
    <row r="3148" spans="1:10" ht="12.75" customHeight="1" x14ac:dyDescent="0.2">
      <c r="A3148" s="681" t="s">
        <v>2370</v>
      </c>
      <c r="B3148" s="693" t="s">
        <v>5714</v>
      </c>
      <c r="C3148" s="672" t="s">
        <v>818</v>
      </c>
      <c r="D3148" s="673">
        <v>38768</v>
      </c>
      <c r="E3148" s="674">
        <v>10</v>
      </c>
      <c r="F3148" s="675">
        <v>0.1</v>
      </c>
      <c r="G3148" s="676">
        <v>245</v>
      </c>
      <c r="H3148" s="929">
        <v>0</v>
      </c>
      <c r="I3148" s="929">
        <v>245</v>
      </c>
      <c r="J3148" s="689">
        <f t="shared" si="50"/>
        <v>0</v>
      </c>
    </row>
    <row r="3149" spans="1:10" ht="12.75" customHeight="1" x14ac:dyDescent="0.2">
      <c r="A3149" s="681" t="s">
        <v>2370</v>
      </c>
      <c r="B3149" s="693" t="s">
        <v>5715</v>
      </c>
      <c r="C3149" s="672" t="s">
        <v>818</v>
      </c>
      <c r="D3149" s="673">
        <v>38768</v>
      </c>
      <c r="E3149" s="674">
        <v>10</v>
      </c>
      <c r="F3149" s="675">
        <v>0.1</v>
      </c>
      <c r="G3149" s="676">
        <v>245</v>
      </c>
      <c r="H3149" s="929">
        <v>0</v>
      </c>
      <c r="I3149" s="929">
        <v>245</v>
      </c>
      <c r="J3149" s="689">
        <f t="shared" si="50"/>
        <v>0</v>
      </c>
    </row>
    <row r="3150" spans="1:10" ht="12.75" customHeight="1" x14ac:dyDescent="0.2">
      <c r="A3150" s="681" t="s">
        <v>2370</v>
      </c>
      <c r="B3150" s="693" t="s">
        <v>5716</v>
      </c>
      <c r="C3150" s="672" t="s">
        <v>847</v>
      </c>
      <c r="D3150" s="673">
        <v>38768</v>
      </c>
      <c r="E3150" s="674">
        <v>10</v>
      </c>
      <c r="F3150" s="675">
        <v>0.1</v>
      </c>
      <c r="G3150" s="676">
        <v>416.25</v>
      </c>
      <c r="H3150" s="929">
        <v>0</v>
      </c>
      <c r="I3150" s="929">
        <v>416.25</v>
      </c>
      <c r="J3150" s="689">
        <f t="shared" si="50"/>
        <v>0</v>
      </c>
    </row>
    <row r="3151" spans="1:10" ht="12.75" customHeight="1" x14ac:dyDescent="0.2">
      <c r="A3151" s="681" t="s">
        <v>2370</v>
      </c>
      <c r="B3151" s="693" t="s">
        <v>5717</v>
      </c>
      <c r="C3151" s="672" t="s">
        <v>785</v>
      </c>
      <c r="D3151" s="673">
        <v>38768</v>
      </c>
      <c r="E3151" s="674">
        <v>10</v>
      </c>
      <c r="F3151" s="675">
        <v>0.1</v>
      </c>
      <c r="G3151" s="676">
        <v>782</v>
      </c>
      <c r="H3151" s="929">
        <v>0</v>
      </c>
      <c r="I3151" s="929">
        <v>782.00000000000011</v>
      </c>
      <c r="J3151" s="689">
        <f t="shared" si="50"/>
        <v>0</v>
      </c>
    </row>
    <row r="3152" spans="1:10" ht="12.75" customHeight="1" x14ac:dyDescent="0.2">
      <c r="A3152" s="681" t="s">
        <v>2370</v>
      </c>
      <c r="B3152" s="693" t="s">
        <v>5718</v>
      </c>
      <c r="C3152" s="672" t="s">
        <v>790</v>
      </c>
      <c r="D3152" s="673">
        <v>38768</v>
      </c>
      <c r="E3152" s="674">
        <v>10</v>
      </c>
      <c r="F3152" s="675">
        <v>0.1</v>
      </c>
      <c r="G3152" s="676">
        <v>1024</v>
      </c>
      <c r="H3152" s="929">
        <v>0</v>
      </c>
      <c r="I3152" s="929">
        <v>1024</v>
      </c>
      <c r="J3152" s="689">
        <f t="shared" si="50"/>
        <v>0</v>
      </c>
    </row>
    <row r="3153" spans="1:10" ht="12.75" customHeight="1" x14ac:dyDescent="0.2">
      <c r="A3153" s="681" t="s">
        <v>2370</v>
      </c>
      <c r="B3153" s="693" t="s">
        <v>5719</v>
      </c>
      <c r="C3153" s="672" t="s">
        <v>790</v>
      </c>
      <c r="D3153" s="673">
        <v>38768</v>
      </c>
      <c r="E3153" s="674">
        <v>10</v>
      </c>
      <c r="F3153" s="675">
        <v>0.1</v>
      </c>
      <c r="G3153" s="676">
        <v>1024</v>
      </c>
      <c r="H3153" s="929">
        <v>0</v>
      </c>
      <c r="I3153" s="929">
        <v>1024</v>
      </c>
      <c r="J3153" s="689">
        <f t="shared" si="50"/>
        <v>0</v>
      </c>
    </row>
    <row r="3154" spans="1:10" ht="12.75" customHeight="1" x14ac:dyDescent="0.2">
      <c r="A3154" s="681" t="s">
        <v>2370</v>
      </c>
      <c r="B3154" s="693" t="s">
        <v>5720</v>
      </c>
      <c r="C3154" s="672" t="s">
        <v>790</v>
      </c>
      <c r="D3154" s="673">
        <v>38768</v>
      </c>
      <c r="E3154" s="674">
        <v>10</v>
      </c>
      <c r="F3154" s="675">
        <v>0.1</v>
      </c>
      <c r="G3154" s="676">
        <v>1024</v>
      </c>
      <c r="H3154" s="929">
        <v>0</v>
      </c>
      <c r="I3154" s="929">
        <v>1024</v>
      </c>
      <c r="J3154" s="689">
        <f t="shared" si="50"/>
        <v>0</v>
      </c>
    </row>
    <row r="3155" spans="1:10" ht="12.75" customHeight="1" x14ac:dyDescent="0.2">
      <c r="A3155" s="681" t="s">
        <v>2370</v>
      </c>
      <c r="B3155" s="693" t="s">
        <v>5721</v>
      </c>
      <c r="C3155" s="672" t="s">
        <v>790</v>
      </c>
      <c r="D3155" s="673">
        <v>38768</v>
      </c>
      <c r="E3155" s="674">
        <v>10</v>
      </c>
      <c r="F3155" s="675">
        <v>0.1</v>
      </c>
      <c r="G3155" s="676">
        <v>1024</v>
      </c>
      <c r="H3155" s="929">
        <v>0</v>
      </c>
      <c r="I3155" s="929">
        <v>1024</v>
      </c>
      <c r="J3155" s="689">
        <f t="shared" si="50"/>
        <v>0</v>
      </c>
    </row>
    <row r="3156" spans="1:10" ht="12.75" customHeight="1" x14ac:dyDescent="0.2">
      <c r="A3156" s="681" t="s">
        <v>2370</v>
      </c>
      <c r="B3156" s="693" t="s">
        <v>5722</v>
      </c>
      <c r="C3156" s="672" t="s">
        <v>790</v>
      </c>
      <c r="D3156" s="673">
        <v>38768</v>
      </c>
      <c r="E3156" s="674">
        <v>10</v>
      </c>
      <c r="F3156" s="675">
        <v>0.1</v>
      </c>
      <c r="G3156" s="676">
        <v>1024</v>
      </c>
      <c r="H3156" s="929">
        <v>0</v>
      </c>
      <c r="I3156" s="929">
        <v>1024</v>
      </c>
      <c r="J3156" s="689">
        <f t="shared" si="50"/>
        <v>0</v>
      </c>
    </row>
    <row r="3157" spans="1:10" ht="12.75" customHeight="1" x14ac:dyDescent="0.2">
      <c r="A3157" s="681" t="s">
        <v>2370</v>
      </c>
      <c r="B3157" s="693" t="s">
        <v>5723</v>
      </c>
      <c r="C3157" s="672" t="s">
        <v>790</v>
      </c>
      <c r="D3157" s="673">
        <v>38768</v>
      </c>
      <c r="E3157" s="674">
        <v>10</v>
      </c>
      <c r="F3157" s="675">
        <v>0.1</v>
      </c>
      <c r="G3157" s="676">
        <v>1024</v>
      </c>
      <c r="H3157" s="929">
        <v>0</v>
      </c>
      <c r="I3157" s="929">
        <v>1024</v>
      </c>
      <c r="J3157" s="689">
        <f t="shared" si="50"/>
        <v>0</v>
      </c>
    </row>
    <row r="3158" spans="1:10" ht="12.75" customHeight="1" x14ac:dyDescent="0.2">
      <c r="A3158" s="681" t="s">
        <v>2370</v>
      </c>
      <c r="B3158" s="693" t="s">
        <v>5724</v>
      </c>
      <c r="C3158" s="672" t="s">
        <v>785</v>
      </c>
      <c r="D3158" s="673">
        <v>38768</v>
      </c>
      <c r="E3158" s="674">
        <v>10</v>
      </c>
      <c r="F3158" s="675">
        <v>0.1</v>
      </c>
      <c r="G3158" s="676">
        <v>1238</v>
      </c>
      <c r="H3158" s="929">
        <v>0</v>
      </c>
      <c r="I3158" s="929">
        <v>1238</v>
      </c>
      <c r="J3158" s="689">
        <f t="shared" si="50"/>
        <v>0</v>
      </c>
    </row>
    <row r="3159" spans="1:10" ht="12.75" customHeight="1" x14ac:dyDescent="0.2">
      <c r="A3159" s="681" t="s">
        <v>2370</v>
      </c>
      <c r="B3159" s="693" t="s">
        <v>5725</v>
      </c>
      <c r="C3159" s="672" t="s">
        <v>786</v>
      </c>
      <c r="D3159" s="673">
        <v>38768</v>
      </c>
      <c r="E3159" s="674">
        <v>10</v>
      </c>
      <c r="F3159" s="675">
        <v>0.1</v>
      </c>
      <c r="G3159" s="676">
        <v>1552</v>
      </c>
      <c r="H3159" s="929">
        <v>0</v>
      </c>
      <c r="I3159" s="929">
        <v>1552</v>
      </c>
      <c r="J3159" s="689">
        <f t="shared" si="50"/>
        <v>0</v>
      </c>
    </row>
    <row r="3160" spans="1:10" ht="12.75" customHeight="1" x14ac:dyDescent="0.2">
      <c r="A3160" s="681" t="s">
        <v>2370</v>
      </c>
      <c r="B3160" s="693" t="s">
        <v>5726</v>
      </c>
      <c r="C3160" s="672" t="s">
        <v>926</v>
      </c>
      <c r="D3160" s="673">
        <v>38768</v>
      </c>
      <c r="E3160" s="674">
        <v>10</v>
      </c>
      <c r="F3160" s="675">
        <v>0.1</v>
      </c>
      <c r="G3160" s="676">
        <v>3141</v>
      </c>
      <c r="H3160" s="929">
        <v>0</v>
      </c>
      <c r="I3160" s="929">
        <v>3141</v>
      </c>
      <c r="J3160" s="689">
        <f t="shared" si="50"/>
        <v>0</v>
      </c>
    </row>
    <row r="3161" spans="1:10" ht="12.75" customHeight="1" x14ac:dyDescent="0.2">
      <c r="A3161" s="681" t="s">
        <v>2370</v>
      </c>
      <c r="B3161" s="693" t="s">
        <v>5727</v>
      </c>
      <c r="C3161" s="672" t="s">
        <v>926</v>
      </c>
      <c r="D3161" s="673">
        <v>38768</v>
      </c>
      <c r="E3161" s="674">
        <v>10</v>
      </c>
      <c r="F3161" s="675">
        <v>0.1</v>
      </c>
      <c r="G3161" s="676">
        <v>3141</v>
      </c>
      <c r="H3161" s="929">
        <v>0</v>
      </c>
      <c r="I3161" s="929">
        <v>3141</v>
      </c>
      <c r="J3161" s="689">
        <f t="shared" si="50"/>
        <v>0</v>
      </c>
    </row>
    <row r="3162" spans="1:10" ht="12.75" customHeight="1" x14ac:dyDescent="0.2">
      <c r="A3162" s="681" t="s">
        <v>2372</v>
      </c>
      <c r="B3162" s="693" t="s">
        <v>5728</v>
      </c>
      <c r="C3162" s="672" t="s">
        <v>1059</v>
      </c>
      <c r="D3162" s="673">
        <v>38768</v>
      </c>
      <c r="E3162" s="674">
        <v>10</v>
      </c>
      <c r="F3162" s="675">
        <v>0.1</v>
      </c>
      <c r="G3162" s="676">
        <v>6544</v>
      </c>
      <c r="H3162" s="929">
        <v>0</v>
      </c>
      <c r="I3162" s="929">
        <v>6544</v>
      </c>
      <c r="J3162" s="689">
        <f t="shared" si="50"/>
        <v>0</v>
      </c>
    </row>
    <row r="3163" spans="1:10" ht="12.75" customHeight="1" x14ac:dyDescent="0.2">
      <c r="A3163" s="681" t="s">
        <v>2372</v>
      </c>
      <c r="B3163" s="693" t="s">
        <v>5729</v>
      </c>
      <c r="C3163" s="672" t="s">
        <v>1007</v>
      </c>
      <c r="D3163" s="673">
        <v>38768</v>
      </c>
      <c r="E3163" s="674">
        <v>10</v>
      </c>
      <c r="F3163" s="675">
        <v>0.1</v>
      </c>
      <c r="G3163" s="676">
        <v>8999</v>
      </c>
      <c r="H3163" s="929">
        <v>0</v>
      </c>
      <c r="I3163" s="929">
        <v>8999</v>
      </c>
      <c r="J3163" s="689">
        <f t="shared" si="50"/>
        <v>0</v>
      </c>
    </row>
    <row r="3164" spans="1:10" ht="12.75" customHeight="1" x14ac:dyDescent="0.2">
      <c r="A3164" s="681" t="s">
        <v>2370</v>
      </c>
      <c r="B3164" s="693" t="s">
        <v>5730</v>
      </c>
      <c r="C3164" s="672" t="s">
        <v>859</v>
      </c>
      <c r="D3164" s="673">
        <v>38768</v>
      </c>
      <c r="E3164" s="674">
        <v>10</v>
      </c>
      <c r="F3164" s="675">
        <v>0.1</v>
      </c>
      <c r="G3164" s="676">
        <v>48348</v>
      </c>
      <c r="H3164" s="929">
        <v>0</v>
      </c>
      <c r="I3164" s="929">
        <v>48348.000000000007</v>
      </c>
      <c r="J3164" s="689">
        <f t="shared" si="50"/>
        <v>0</v>
      </c>
    </row>
    <row r="3165" spans="1:10" ht="12.75" customHeight="1" x14ac:dyDescent="0.2">
      <c r="A3165" s="681"/>
      <c r="B3165" s="693"/>
      <c r="C3165" s="672"/>
      <c r="D3165" s="673"/>
      <c r="E3165" s="674"/>
      <c r="F3165" s="675"/>
      <c r="G3165" s="676"/>
      <c r="H3165" s="929"/>
      <c r="I3165" s="929"/>
      <c r="J3165" s="689"/>
    </row>
    <row r="3166" spans="1:10" ht="12.75" customHeight="1" x14ac:dyDescent="0.2">
      <c r="A3166" s="681"/>
      <c r="B3166" s="693"/>
      <c r="C3166" s="672"/>
      <c r="D3166" s="673"/>
      <c r="E3166" s="674"/>
      <c r="F3166" s="675"/>
      <c r="G3166" s="676"/>
      <c r="H3166" s="929"/>
      <c r="I3166" s="929"/>
      <c r="J3166" s="689"/>
    </row>
    <row r="3167" spans="1:10" ht="12.75" customHeight="1" x14ac:dyDescent="0.2">
      <c r="A3167" s="681" t="s">
        <v>2370</v>
      </c>
      <c r="B3167" s="693" t="s">
        <v>5731</v>
      </c>
      <c r="C3167" s="672" t="s">
        <v>835</v>
      </c>
      <c r="D3167" s="673">
        <v>39133</v>
      </c>
      <c r="E3167" s="674">
        <v>10</v>
      </c>
      <c r="F3167" s="675">
        <v>0.1</v>
      </c>
      <c r="G3167" s="676">
        <v>1271</v>
      </c>
      <c r="H3167" s="929">
        <v>0</v>
      </c>
      <c r="I3167" s="929">
        <v>1271</v>
      </c>
      <c r="J3167" s="689">
        <f t="shared" si="50"/>
        <v>0</v>
      </c>
    </row>
    <row r="3168" spans="1:10" ht="12.75" customHeight="1" x14ac:dyDescent="0.2">
      <c r="A3168" s="681" t="s">
        <v>2370</v>
      </c>
      <c r="B3168" s="693" t="s">
        <v>5732</v>
      </c>
      <c r="C3168" s="672" t="s">
        <v>835</v>
      </c>
      <c r="D3168" s="673">
        <v>39133</v>
      </c>
      <c r="E3168" s="674">
        <v>10</v>
      </c>
      <c r="F3168" s="675">
        <v>0.1</v>
      </c>
      <c r="G3168" s="676">
        <v>2542</v>
      </c>
      <c r="H3168" s="929">
        <v>0</v>
      </c>
      <c r="I3168" s="929">
        <v>2542</v>
      </c>
      <c r="J3168" s="689">
        <f t="shared" si="50"/>
        <v>0</v>
      </c>
    </row>
    <row r="3169" spans="1:10" ht="12.75" customHeight="1" x14ac:dyDescent="0.2">
      <c r="A3169" s="681" t="s">
        <v>2370</v>
      </c>
      <c r="B3169" s="693" t="s">
        <v>5733</v>
      </c>
      <c r="C3169" s="672" t="s">
        <v>790</v>
      </c>
      <c r="D3169" s="673">
        <v>39133</v>
      </c>
      <c r="E3169" s="674">
        <v>10</v>
      </c>
      <c r="F3169" s="675">
        <v>0.1</v>
      </c>
      <c r="G3169" s="676">
        <v>7078</v>
      </c>
      <c r="H3169" s="929">
        <v>0</v>
      </c>
      <c r="I3169" s="929">
        <v>7078.0000000000009</v>
      </c>
      <c r="J3169" s="689">
        <f t="shared" si="50"/>
        <v>0</v>
      </c>
    </row>
    <row r="3170" spans="1:10" ht="12.75" customHeight="1" x14ac:dyDescent="0.2">
      <c r="A3170" s="681"/>
      <c r="B3170" s="693"/>
      <c r="C3170" s="672"/>
      <c r="D3170" s="673"/>
      <c r="E3170" s="674"/>
      <c r="F3170" s="675"/>
      <c r="G3170" s="676"/>
      <c r="H3170" s="929"/>
      <c r="I3170" s="929"/>
      <c r="J3170" s="689"/>
    </row>
    <row r="3171" spans="1:10" ht="12.75" customHeight="1" x14ac:dyDescent="0.2">
      <c r="A3171" s="681"/>
      <c r="B3171" s="693"/>
      <c r="C3171" s="672"/>
      <c r="D3171" s="673"/>
      <c r="E3171" s="674"/>
      <c r="F3171" s="675"/>
      <c r="G3171" s="676"/>
      <c r="H3171" s="929"/>
      <c r="I3171" s="929"/>
      <c r="J3171" s="689"/>
    </row>
    <row r="3172" spans="1:10" ht="12.75" customHeight="1" x14ac:dyDescent="0.2">
      <c r="A3172" s="681"/>
      <c r="B3172" s="693"/>
      <c r="C3172" s="672"/>
      <c r="D3172" s="673"/>
      <c r="E3172" s="674"/>
      <c r="F3172" s="675"/>
      <c r="G3172" s="676"/>
      <c r="H3172" s="929"/>
      <c r="I3172" s="929"/>
      <c r="J3172" s="689"/>
    </row>
    <row r="3173" spans="1:10" ht="12.75" customHeight="1" x14ac:dyDescent="0.2">
      <c r="A3173" s="681"/>
      <c r="B3173" s="693"/>
      <c r="C3173" s="672"/>
      <c r="D3173" s="673"/>
      <c r="E3173" s="674"/>
      <c r="F3173" s="675"/>
      <c r="G3173" s="676"/>
      <c r="H3173" s="929"/>
      <c r="I3173" s="929"/>
      <c r="J3173" s="689"/>
    </row>
    <row r="3174" spans="1:10" ht="12.75" customHeight="1" x14ac:dyDescent="0.2">
      <c r="A3174" s="681"/>
      <c r="B3174" s="693"/>
      <c r="C3174" s="672"/>
      <c r="D3174" s="673"/>
      <c r="E3174" s="674"/>
      <c r="F3174" s="675"/>
      <c r="G3174" s="676"/>
      <c r="H3174" s="929"/>
      <c r="I3174" s="929"/>
      <c r="J3174" s="689"/>
    </row>
    <row r="3175" spans="1:10" ht="12.75" customHeight="1" x14ac:dyDescent="0.2">
      <c r="A3175" s="681" t="s">
        <v>2370</v>
      </c>
      <c r="B3175" s="693" t="s">
        <v>5734</v>
      </c>
      <c r="C3175" s="672" t="s">
        <v>813</v>
      </c>
      <c r="D3175" s="673">
        <v>39498</v>
      </c>
      <c r="E3175" s="674">
        <v>10</v>
      </c>
      <c r="F3175" s="675">
        <v>0.1</v>
      </c>
      <c r="G3175" s="676">
        <v>199</v>
      </c>
      <c r="H3175" s="929">
        <v>19.899999999999999</v>
      </c>
      <c r="I3175" s="929">
        <v>199.00000000000003</v>
      </c>
      <c r="J3175" s="689">
        <f t="shared" si="50"/>
        <v>0</v>
      </c>
    </row>
    <row r="3176" spans="1:10" ht="12.75" customHeight="1" x14ac:dyDescent="0.2">
      <c r="A3176" s="681" t="s">
        <v>2372</v>
      </c>
      <c r="B3176" s="693" t="s">
        <v>5735</v>
      </c>
      <c r="C3176" s="672" t="s">
        <v>1104</v>
      </c>
      <c r="D3176" s="673">
        <v>39498</v>
      </c>
      <c r="E3176" s="674">
        <v>10</v>
      </c>
      <c r="F3176" s="675">
        <v>0.1</v>
      </c>
      <c r="G3176" s="676">
        <v>226</v>
      </c>
      <c r="H3176" s="929">
        <v>22.599999999999998</v>
      </c>
      <c r="I3176" s="929">
        <v>225.99999999999997</v>
      </c>
      <c r="J3176" s="689">
        <f t="shared" si="50"/>
        <v>0</v>
      </c>
    </row>
    <row r="3177" spans="1:10" ht="12.75" customHeight="1" x14ac:dyDescent="0.2">
      <c r="A3177" s="681" t="s">
        <v>2370</v>
      </c>
      <c r="B3177" s="693" t="s">
        <v>5736</v>
      </c>
      <c r="C3177" s="672" t="s">
        <v>789</v>
      </c>
      <c r="D3177" s="673">
        <v>39498</v>
      </c>
      <c r="E3177" s="674">
        <v>10</v>
      </c>
      <c r="F3177" s="675">
        <v>0.1</v>
      </c>
      <c r="G3177" s="676">
        <v>277</v>
      </c>
      <c r="H3177" s="929">
        <v>27.7</v>
      </c>
      <c r="I3177" s="929">
        <v>276.99999999999994</v>
      </c>
      <c r="J3177" s="689">
        <f t="shared" si="50"/>
        <v>0</v>
      </c>
    </row>
    <row r="3178" spans="1:10" ht="12.75" customHeight="1" x14ac:dyDescent="0.2">
      <c r="A3178" s="681" t="s">
        <v>2372</v>
      </c>
      <c r="B3178" s="693" t="s">
        <v>5737</v>
      </c>
      <c r="C3178" s="672" t="s">
        <v>1102</v>
      </c>
      <c r="D3178" s="673">
        <v>39498</v>
      </c>
      <c r="E3178" s="674">
        <v>10</v>
      </c>
      <c r="F3178" s="675">
        <v>0.1</v>
      </c>
      <c r="G3178" s="676">
        <v>356</v>
      </c>
      <c r="H3178" s="929">
        <v>35.600000000000009</v>
      </c>
      <c r="I3178" s="929">
        <v>356.00000000000006</v>
      </c>
      <c r="J3178" s="689">
        <f t="shared" si="50"/>
        <v>0</v>
      </c>
    </row>
    <row r="3179" spans="1:10" ht="12.75" customHeight="1" x14ac:dyDescent="0.2">
      <c r="A3179" s="681" t="s">
        <v>2370</v>
      </c>
      <c r="B3179" s="693" t="s">
        <v>5738</v>
      </c>
      <c r="C3179" s="672" t="s">
        <v>785</v>
      </c>
      <c r="D3179" s="673">
        <v>39498</v>
      </c>
      <c r="E3179" s="674">
        <v>10</v>
      </c>
      <c r="F3179" s="675">
        <v>0.1</v>
      </c>
      <c r="G3179" s="676">
        <v>361</v>
      </c>
      <c r="H3179" s="929">
        <v>36.1</v>
      </c>
      <c r="I3179" s="929">
        <v>361.00000000000006</v>
      </c>
      <c r="J3179" s="689">
        <f t="shared" si="50"/>
        <v>0</v>
      </c>
    </row>
    <row r="3180" spans="1:10" ht="12.75" customHeight="1" x14ac:dyDescent="0.2">
      <c r="A3180" s="681" t="s">
        <v>2370</v>
      </c>
      <c r="B3180" s="693" t="s">
        <v>5739</v>
      </c>
      <c r="C3180" s="672" t="s">
        <v>785</v>
      </c>
      <c r="D3180" s="673">
        <v>39498</v>
      </c>
      <c r="E3180" s="674">
        <v>10</v>
      </c>
      <c r="F3180" s="675">
        <v>0.1</v>
      </c>
      <c r="G3180" s="676">
        <v>361</v>
      </c>
      <c r="H3180" s="929">
        <v>36.1</v>
      </c>
      <c r="I3180" s="929">
        <v>361.00000000000006</v>
      </c>
      <c r="J3180" s="689">
        <f t="shared" si="50"/>
        <v>0</v>
      </c>
    </row>
    <row r="3181" spans="1:10" ht="12.75" customHeight="1" x14ac:dyDescent="0.2">
      <c r="A3181" s="681" t="s">
        <v>2370</v>
      </c>
      <c r="B3181" s="693" t="s">
        <v>5740</v>
      </c>
      <c r="C3181" s="672" t="s">
        <v>785</v>
      </c>
      <c r="D3181" s="673">
        <v>39498</v>
      </c>
      <c r="E3181" s="674">
        <v>10</v>
      </c>
      <c r="F3181" s="675">
        <v>0.1</v>
      </c>
      <c r="G3181" s="676">
        <v>361</v>
      </c>
      <c r="H3181" s="929">
        <v>36.1</v>
      </c>
      <c r="I3181" s="929">
        <v>361.00000000000006</v>
      </c>
      <c r="J3181" s="689">
        <f t="shared" si="50"/>
        <v>0</v>
      </c>
    </row>
    <row r="3182" spans="1:10" ht="12.75" customHeight="1" x14ac:dyDescent="0.2">
      <c r="A3182" s="681" t="s">
        <v>2370</v>
      </c>
      <c r="B3182" s="693" t="s">
        <v>5741</v>
      </c>
      <c r="C3182" s="672" t="s">
        <v>785</v>
      </c>
      <c r="D3182" s="673">
        <v>39498</v>
      </c>
      <c r="E3182" s="674">
        <v>10</v>
      </c>
      <c r="F3182" s="675">
        <v>0.1</v>
      </c>
      <c r="G3182" s="676">
        <v>361</v>
      </c>
      <c r="H3182" s="929">
        <v>36.1</v>
      </c>
      <c r="I3182" s="929">
        <v>361.00000000000006</v>
      </c>
      <c r="J3182" s="689">
        <f t="shared" si="50"/>
        <v>0</v>
      </c>
    </row>
    <row r="3183" spans="1:10" ht="12.75" customHeight="1" x14ac:dyDescent="0.2">
      <c r="A3183" s="681" t="s">
        <v>2370</v>
      </c>
      <c r="B3183" s="693" t="s">
        <v>5742</v>
      </c>
      <c r="C3183" s="672" t="s">
        <v>785</v>
      </c>
      <c r="D3183" s="673">
        <v>39498</v>
      </c>
      <c r="E3183" s="674">
        <v>10</v>
      </c>
      <c r="F3183" s="675">
        <v>0.1</v>
      </c>
      <c r="G3183" s="676">
        <v>361</v>
      </c>
      <c r="H3183" s="929">
        <v>36.1</v>
      </c>
      <c r="I3183" s="929">
        <v>361.00000000000006</v>
      </c>
      <c r="J3183" s="689">
        <f t="shared" si="50"/>
        <v>0</v>
      </c>
    </row>
    <row r="3184" spans="1:10" ht="12.75" customHeight="1" x14ac:dyDescent="0.2">
      <c r="A3184" s="681" t="s">
        <v>2370</v>
      </c>
      <c r="B3184" s="693" t="s">
        <v>5743</v>
      </c>
      <c r="C3184" s="672" t="s">
        <v>785</v>
      </c>
      <c r="D3184" s="673">
        <v>39498</v>
      </c>
      <c r="E3184" s="674">
        <v>10</v>
      </c>
      <c r="F3184" s="675">
        <v>0.1</v>
      </c>
      <c r="G3184" s="676">
        <v>361</v>
      </c>
      <c r="H3184" s="929">
        <v>36.1</v>
      </c>
      <c r="I3184" s="929">
        <v>361.00000000000006</v>
      </c>
      <c r="J3184" s="689">
        <f t="shared" si="50"/>
        <v>0</v>
      </c>
    </row>
    <row r="3185" spans="1:10" ht="12.75" customHeight="1" x14ac:dyDescent="0.2">
      <c r="A3185" s="681" t="s">
        <v>2370</v>
      </c>
      <c r="B3185" s="693" t="s">
        <v>5744</v>
      </c>
      <c r="C3185" s="672" t="s">
        <v>785</v>
      </c>
      <c r="D3185" s="673">
        <v>39498</v>
      </c>
      <c r="E3185" s="674">
        <v>10</v>
      </c>
      <c r="F3185" s="675">
        <v>0.1</v>
      </c>
      <c r="G3185" s="676">
        <v>361</v>
      </c>
      <c r="H3185" s="929">
        <v>36.1</v>
      </c>
      <c r="I3185" s="929">
        <v>361.00000000000006</v>
      </c>
      <c r="J3185" s="689">
        <f t="shared" si="50"/>
        <v>0</v>
      </c>
    </row>
    <row r="3186" spans="1:10" ht="12.75" customHeight="1" x14ac:dyDescent="0.2">
      <c r="A3186" s="681" t="s">
        <v>2370</v>
      </c>
      <c r="B3186" s="693" t="s">
        <v>5745</v>
      </c>
      <c r="C3186" s="672" t="s">
        <v>785</v>
      </c>
      <c r="D3186" s="673">
        <v>39498</v>
      </c>
      <c r="E3186" s="674">
        <v>10</v>
      </c>
      <c r="F3186" s="675">
        <v>0.1</v>
      </c>
      <c r="G3186" s="676">
        <v>361</v>
      </c>
      <c r="H3186" s="929">
        <v>36.1</v>
      </c>
      <c r="I3186" s="929">
        <v>361.00000000000006</v>
      </c>
      <c r="J3186" s="689">
        <f t="shared" si="50"/>
        <v>0</v>
      </c>
    </row>
    <row r="3187" spans="1:10" ht="12.75" customHeight="1" x14ac:dyDescent="0.2">
      <c r="A3187" s="681" t="s">
        <v>2370</v>
      </c>
      <c r="B3187" s="693" t="s">
        <v>5746</v>
      </c>
      <c r="C3187" s="672" t="s">
        <v>785</v>
      </c>
      <c r="D3187" s="673">
        <v>39498</v>
      </c>
      <c r="E3187" s="674">
        <v>10</v>
      </c>
      <c r="F3187" s="675">
        <v>0.1</v>
      </c>
      <c r="G3187" s="676">
        <v>361</v>
      </c>
      <c r="H3187" s="929">
        <v>36.1</v>
      </c>
      <c r="I3187" s="929">
        <v>361.00000000000006</v>
      </c>
      <c r="J3187" s="689">
        <f t="shared" si="50"/>
        <v>0</v>
      </c>
    </row>
    <row r="3188" spans="1:10" ht="12.75" customHeight="1" x14ac:dyDescent="0.2">
      <c r="A3188" s="681" t="s">
        <v>2370</v>
      </c>
      <c r="B3188" s="693" t="s">
        <v>5747</v>
      </c>
      <c r="C3188" s="672" t="s">
        <v>785</v>
      </c>
      <c r="D3188" s="673">
        <v>39498</v>
      </c>
      <c r="E3188" s="674">
        <v>10</v>
      </c>
      <c r="F3188" s="675">
        <v>0.1</v>
      </c>
      <c r="G3188" s="676">
        <v>361</v>
      </c>
      <c r="H3188" s="929">
        <v>36.1</v>
      </c>
      <c r="I3188" s="929">
        <v>361.00000000000006</v>
      </c>
      <c r="J3188" s="689">
        <f t="shared" si="50"/>
        <v>0</v>
      </c>
    </row>
    <row r="3189" spans="1:10" ht="12.75" customHeight="1" x14ac:dyDescent="0.2">
      <c r="A3189" s="681" t="s">
        <v>2370</v>
      </c>
      <c r="B3189" s="693" t="s">
        <v>5748</v>
      </c>
      <c r="C3189" s="672" t="s">
        <v>794</v>
      </c>
      <c r="D3189" s="673">
        <v>39498</v>
      </c>
      <c r="E3189" s="674">
        <v>10</v>
      </c>
      <c r="F3189" s="675">
        <v>0.1</v>
      </c>
      <c r="G3189" s="676">
        <v>364</v>
      </c>
      <c r="H3189" s="929">
        <v>36.399999999999991</v>
      </c>
      <c r="I3189" s="929">
        <v>363.99999999999994</v>
      </c>
      <c r="J3189" s="689">
        <f t="shared" si="50"/>
        <v>0</v>
      </c>
    </row>
    <row r="3190" spans="1:10" ht="12.75" customHeight="1" x14ac:dyDescent="0.2">
      <c r="A3190" s="681" t="s">
        <v>2370</v>
      </c>
      <c r="B3190" s="693" t="s">
        <v>5749</v>
      </c>
      <c r="C3190" s="672" t="s">
        <v>785</v>
      </c>
      <c r="D3190" s="673">
        <v>39498</v>
      </c>
      <c r="E3190" s="674">
        <v>10</v>
      </c>
      <c r="F3190" s="675">
        <v>0.1</v>
      </c>
      <c r="G3190" s="676">
        <v>378</v>
      </c>
      <c r="H3190" s="929">
        <v>37.79999999999999</v>
      </c>
      <c r="I3190" s="929">
        <v>378.00000000000006</v>
      </c>
      <c r="J3190" s="689">
        <f t="shared" si="50"/>
        <v>0</v>
      </c>
    </row>
    <row r="3191" spans="1:10" ht="12.75" customHeight="1" x14ac:dyDescent="0.2">
      <c r="A3191" s="681" t="s">
        <v>2370</v>
      </c>
      <c r="B3191" s="693" t="s">
        <v>5750</v>
      </c>
      <c r="C3191" s="672" t="s">
        <v>785</v>
      </c>
      <c r="D3191" s="673">
        <v>39498</v>
      </c>
      <c r="E3191" s="674">
        <v>10</v>
      </c>
      <c r="F3191" s="675">
        <v>0.1</v>
      </c>
      <c r="G3191" s="676">
        <v>378</v>
      </c>
      <c r="H3191" s="929">
        <v>37.79999999999999</v>
      </c>
      <c r="I3191" s="929">
        <v>378.00000000000006</v>
      </c>
      <c r="J3191" s="689">
        <f t="shared" si="50"/>
        <v>0</v>
      </c>
    </row>
    <row r="3192" spans="1:10" ht="12.75" customHeight="1" x14ac:dyDescent="0.2">
      <c r="A3192" s="681" t="s">
        <v>2370</v>
      </c>
      <c r="B3192" s="693" t="s">
        <v>5751</v>
      </c>
      <c r="C3192" s="672" t="s">
        <v>785</v>
      </c>
      <c r="D3192" s="673">
        <v>39498</v>
      </c>
      <c r="E3192" s="674">
        <v>10</v>
      </c>
      <c r="F3192" s="675">
        <v>0.1</v>
      </c>
      <c r="G3192" s="676">
        <v>378</v>
      </c>
      <c r="H3192" s="929">
        <v>37.79999999999999</v>
      </c>
      <c r="I3192" s="929">
        <v>378.00000000000006</v>
      </c>
      <c r="J3192" s="689">
        <f t="shared" si="50"/>
        <v>0</v>
      </c>
    </row>
    <row r="3193" spans="1:10" ht="12.75" customHeight="1" x14ac:dyDescent="0.2">
      <c r="A3193" s="681" t="s">
        <v>2370</v>
      </c>
      <c r="B3193" s="693" t="s">
        <v>5752</v>
      </c>
      <c r="C3193" s="672" t="s">
        <v>785</v>
      </c>
      <c r="D3193" s="673">
        <v>39498</v>
      </c>
      <c r="E3193" s="674">
        <v>10</v>
      </c>
      <c r="F3193" s="675">
        <v>0.1</v>
      </c>
      <c r="G3193" s="676">
        <v>378</v>
      </c>
      <c r="H3193" s="929">
        <v>37.79999999999999</v>
      </c>
      <c r="I3193" s="929">
        <v>378.00000000000006</v>
      </c>
      <c r="J3193" s="689">
        <f t="shared" si="50"/>
        <v>0</v>
      </c>
    </row>
    <row r="3194" spans="1:10" ht="12.75" customHeight="1" x14ac:dyDescent="0.2">
      <c r="A3194" s="681" t="s">
        <v>2370</v>
      </c>
      <c r="B3194" s="693" t="s">
        <v>5753</v>
      </c>
      <c r="C3194" s="672" t="s">
        <v>785</v>
      </c>
      <c r="D3194" s="673">
        <v>39498</v>
      </c>
      <c r="E3194" s="674">
        <v>10</v>
      </c>
      <c r="F3194" s="675">
        <v>0.1</v>
      </c>
      <c r="G3194" s="676">
        <v>378</v>
      </c>
      <c r="H3194" s="929">
        <v>37.79999999999999</v>
      </c>
      <c r="I3194" s="929">
        <v>378.00000000000006</v>
      </c>
      <c r="J3194" s="689">
        <f t="shared" si="50"/>
        <v>0</v>
      </c>
    </row>
    <row r="3195" spans="1:10" ht="12.75" customHeight="1" x14ac:dyDescent="0.2">
      <c r="A3195" s="681" t="s">
        <v>2370</v>
      </c>
      <c r="B3195" s="693" t="s">
        <v>5754</v>
      </c>
      <c r="C3195" s="672" t="s">
        <v>785</v>
      </c>
      <c r="D3195" s="673">
        <v>39498</v>
      </c>
      <c r="E3195" s="674">
        <v>10</v>
      </c>
      <c r="F3195" s="675">
        <v>0.1</v>
      </c>
      <c r="G3195" s="676">
        <v>378</v>
      </c>
      <c r="H3195" s="929">
        <v>37.79999999999999</v>
      </c>
      <c r="I3195" s="929">
        <v>378.00000000000006</v>
      </c>
      <c r="J3195" s="689">
        <f t="shared" si="50"/>
        <v>0</v>
      </c>
    </row>
    <row r="3196" spans="1:10" ht="12.75" customHeight="1" x14ac:dyDescent="0.2">
      <c r="A3196" s="681" t="s">
        <v>2370</v>
      </c>
      <c r="B3196" s="693" t="s">
        <v>5755</v>
      </c>
      <c r="C3196" s="672" t="s">
        <v>785</v>
      </c>
      <c r="D3196" s="673">
        <v>39498</v>
      </c>
      <c r="E3196" s="674">
        <v>10</v>
      </c>
      <c r="F3196" s="675">
        <v>0.1</v>
      </c>
      <c r="G3196" s="676">
        <v>378</v>
      </c>
      <c r="H3196" s="929">
        <v>37.79999999999999</v>
      </c>
      <c r="I3196" s="929">
        <v>378.00000000000006</v>
      </c>
      <c r="J3196" s="689">
        <f t="shared" si="50"/>
        <v>0</v>
      </c>
    </row>
    <row r="3197" spans="1:10" ht="12.75" customHeight="1" x14ac:dyDescent="0.2">
      <c r="A3197" s="681" t="s">
        <v>2370</v>
      </c>
      <c r="B3197" s="693" t="s">
        <v>5756</v>
      </c>
      <c r="C3197" s="672" t="s">
        <v>785</v>
      </c>
      <c r="D3197" s="673">
        <v>39498</v>
      </c>
      <c r="E3197" s="674">
        <v>10</v>
      </c>
      <c r="F3197" s="675">
        <v>0.1</v>
      </c>
      <c r="G3197" s="676">
        <v>378</v>
      </c>
      <c r="H3197" s="929">
        <v>37.79999999999999</v>
      </c>
      <c r="I3197" s="929">
        <v>378.00000000000006</v>
      </c>
      <c r="J3197" s="689">
        <f t="shared" si="50"/>
        <v>0</v>
      </c>
    </row>
    <row r="3198" spans="1:10" ht="12.75" customHeight="1" x14ac:dyDescent="0.2">
      <c r="A3198" s="681" t="s">
        <v>2370</v>
      </c>
      <c r="B3198" s="693" t="s">
        <v>5757</v>
      </c>
      <c r="C3198" s="672" t="s">
        <v>785</v>
      </c>
      <c r="D3198" s="673">
        <v>39498</v>
      </c>
      <c r="E3198" s="674">
        <v>10</v>
      </c>
      <c r="F3198" s="675">
        <v>0.1</v>
      </c>
      <c r="G3198" s="676">
        <v>378</v>
      </c>
      <c r="H3198" s="929">
        <v>37.79999999999999</v>
      </c>
      <c r="I3198" s="929">
        <v>378.00000000000006</v>
      </c>
      <c r="J3198" s="689">
        <f t="shared" si="50"/>
        <v>0</v>
      </c>
    </row>
    <row r="3199" spans="1:10" ht="12.75" customHeight="1" x14ac:dyDescent="0.2">
      <c r="A3199" s="681" t="s">
        <v>2372</v>
      </c>
      <c r="B3199" s="693" t="s">
        <v>5758</v>
      </c>
      <c r="C3199" s="672" t="s">
        <v>1076</v>
      </c>
      <c r="D3199" s="673">
        <v>39498</v>
      </c>
      <c r="E3199" s="674">
        <v>10</v>
      </c>
      <c r="F3199" s="675">
        <v>0.1</v>
      </c>
      <c r="G3199" s="676">
        <v>406</v>
      </c>
      <c r="H3199" s="929">
        <v>40.6</v>
      </c>
      <c r="I3199" s="929">
        <v>406.00000000000006</v>
      </c>
      <c r="J3199" s="689">
        <f t="shared" si="50"/>
        <v>0</v>
      </c>
    </row>
    <row r="3200" spans="1:10" ht="12.75" customHeight="1" x14ac:dyDescent="0.2">
      <c r="A3200" s="681" t="s">
        <v>2370</v>
      </c>
      <c r="B3200" s="693" t="s">
        <v>5759</v>
      </c>
      <c r="C3200" s="672" t="s">
        <v>785</v>
      </c>
      <c r="D3200" s="673">
        <v>39498</v>
      </c>
      <c r="E3200" s="674">
        <v>10</v>
      </c>
      <c r="F3200" s="675">
        <v>0.1</v>
      </c>
      <c r="G3200" s="676">
        <v>420</v>
      </c>
      <c r="H3200" s="929">
        <v>42</v>
      </c>
      <c r="I3200" s="929">
        <v>420</v>
      </c>
      <c r="J3200" s="689">
        <f t="shared" si="50"/>
        <v>0</v>
      </c>
    </row>
    <row r="3201" spans="1:10" ht="12.75" customHeight="1" x14ac:dyDescent="0.2">
      <c r="A3201" s="681" t="s">
        <v>2370</v>
      </c>
      <c r="B3201" s="693" t="s">
        <v>5760</v>
      </c>
      <c r="C3201" s="672" t="s">
        <v>785</v>
      </c>
      <c r="D3201" s="673">
        <v>39498</v>
      </c>
      <c r="E3201" s="674">
        <v>10</v>
      </c>
      <c r="F3201" s="675">
        <v>0.1</v>
      </c>
      <c r="G3201" s="676">
        <v>420</v>
      </c>
      <c r="H3201" s="929">
        <v>42</v>
      </c>
      <c r="I3201" s="929">
        <v>420</v>
      </c>
      <c r="J3201" s="689">
        <f t="shared" si="50"/>
        <v>0</v>
      </c>
    </row>
    <row r="3202" spans="1:10" ht="12.75" customHeight="1" x14ac:dyDescent="0.2">
      <c r="A3202" s="681" t="s">
        <v>2370</v>
      </c>
      <c r="B3202" s="693" t="s">
        <v>5761</v>
      </c>
      <c r="C3202" s="672" t="s">
        <v>785</v>
      </c>
      <c r="D3202" s="673">
        <v>39498</v>
      </c>
      <c r="E3202" s="674">
        <v>10</v>
      </c>
      <c r="F3202" s="675">
        <v>0.1</v>
      </c>
      <c r="G3202" s="676">
        <v>420</v>
      </c>
      <c r="H3202" s="929">
        <v>42</v>
      </c>
      <c r="I3202" s="929">
        <v>420</v>
      </c>
      <c r="J3202" s="689">
        <f t="shared" si="50"/>
        <v>0</v>
      </c>
    </row>
    <row r="3203" spans="1:10" ht="12.75" customHeight="1" x14ac:dyDescent="0.2">
      <c r="A3203" s="681" t="s">
        <v>2370</v>
      </c>
      <c r="B3203" s="693" t="s">
        <v>5762</v>
      </c>
      <c r="C3203" s="672" t="s">
        <v>785</v>
      </c>
      <c r="D3203" s="673">
        <v>39498</v>
      </c>
      <c r="E3203" s="674">
        <v>10</v>
      </c>
      <c r="F3203" s="675">
        <v>0.1</v>
      </c>
      <c r="G3203" s="676">
        <v>420</v>
      </c>
      <c r="H3203" s="929">
        <v>42</v>
      </c>
      <c r="I3203" s="929">
        <v>420</v>
      </c>
      <c r="J3203" s="689">
        <f t="shared" si="50"/>
        <v>0</v>
      </c>
    </row>
    <row r="3204" spans="1:10" ht="12.75" customHeight="1" x14ac:dyDescent="0.2">
      <c r="A3204" s="681" t="s">
        <v>2370</v>
      </c>
      <c r="B3204" s="693" t="s">
        <v>5763</v>
      </c>
      <c r="C3204" s="672" t="s">
        <v>785</v>
      </c>
      <c r="D3204" s="673">
        <v>39498</v>
      </c>
      <c r="E3204" s="674">
        <v>10</v>
      </c>
      <c r="F3204" s="675">
        <v>0.1</v>
      </c>
      <c r="G3204" s="676">
        <v>420</v>
      </c>
      <c r="H3204" s="929">
        <v>42</v>
      </c>
      <c r="I3204" s="929">
        <v>420</v>
      </c>
      <c r="J3204" s="689">
        <f t="shared" si="50"/>
        <v>0</v>
      </c>
    </row>
    <row r="3205" spans="1:10" ht="12.75" customHeight="1" x14ac:dyDescent="0.2">
      <c r="A3205" s="681" t="s">
        <v>2370</v>
      </c>
      <c r="B3205" s="693" t="s">
        <v>5764</v>
      </c>
      <c r="C3205" s="672" t="s">
        <v>789</v>
      </c>
      <c r="D3205" s="673">
        <v>39498</v>
      </c>
      <c r="E3205" s="674">
        <v>10</v>
      </c>
      <c r="F3205" s="675">
        <v>0.1</v>
      </c>
      <c r="G3205" s="676">
        <v>425</v>
      </c>
      <c r="H3205" s="929">
        <v>42.5</v>
      </c>
      <c r="I3205" s="929">
        <v>425</v>
      </c>
      <c r="J3205" s="689">
        <f t="shared" si="50"/>
        <v>0</v>
      </c>
    </row>
    <row r="3206" spans="1:10" ht="12.75" customHeight="1" x14ac:dyDescent="0.2">
      <c r="A3206" s="681" t="s">
        <v>2370</v>
      </c>
      <c r="B3206" s="693" t="s">
        <v>5765</v>
      </c>
      <c r="C3206" s="672" t="s">
        <v>785</v>
      </c>
      <c r="D3206" s="673">
        <v>39498</v>
      </c>
      <c r="E3206" s="674">
        <v>10</v>
      </c>
      <c r="F3206" s="675">
        <v>0.1</v>
      </c>
      <c r="G3206" s="676">
        <v>441</v>
      </c>
      <c r="H3206" s="929">
        <v>44.099999999999994</v>
      </c>
      <c r="I3206" s="929">
        <v>441.00000000000011</v>
      </c>
      <c r="J3206" s="689">
        <f t="shared" si="50"/>
        <v>0</v>
      </c>
    </row>
    <row r="3207" spans="1:10" ht="12.75" customHeight="1" x14ac:dyDescent="0.2">
      <c r="A3207" s="681" t="s">
        <v>2370</v>
      </c>
      <c r="B3207" s="693" t="s">
        <v>5766</v>
      </c>
      <c r="C3207" s="672" t="s">
        <v>785</v>
      </c>
      <c r="D3207" s="673">
        <v>39498</v>
      </c>
      <c r="E3207" s="674">
        <v>10</v>
      </c>
      <c r="F3207" s="675">
        <v>0.1</v>
      </c>
      <c r="G3207" s="676">
        <v>443</v>
      </c>
      <c r="H3207" s="929">
        <v>44.299999999999983</v>
      </c>
      <c r="I3207" s="929">
        <v>443</v>
      </c>
      <c r="J3207" s="689">
        <f t="shared" ref="J3207:J3270" si="51">G3207-I3207</f>
        <v>0</v>
      </c>
    </row>
    <row r="3208" spans="1:10" ht="12.75" customHeight="1" x14ac:dyDescent="0.2">
      <c r="A3208" s="681" t="s">
        <v>2372</v>
      </c>
      <c r="B3208" s="693" t="s">
        <v>5767</v>
      </c>
      <c r="C3208" s="672" t="s">
        <v>1050</v>
      </c>
      <c r="D3208" s="673">
        <v>39498</v>
      </c>
      <c r="E3208" s="674">
        <v>10</v>
      </c>
      <c r="F3208" s="675">
        <v>0.1</v>
      </c>
      <c r="G3208" s="676">
        <v>459</v>
      </c>
      <c r="H3208" s="929">
        <v>45.900000000000006</v>
      </c>
      <c r="I3208" s="929">
        <v>458.99999999999989</v>
      </c>
      <c r="J3208" s="689">
        <f t="shared" si="51"/>
        <v>0</v>
      </c>
    </row>
    <row r="3209" spans="1:10" ht="12.75" customHeight="1" x14ac:dyDescent="0.2">
      <c r="A3209" s="681" t="s">
        <v>2370</v>
      </c>
      <c r="B3209" s="693" t="s">
        <v>5768</v>
      </c>
      <c r="C3209" s="672" t="s">
        <v>785</v>
      </c>
      <c r="D3209" s="673">
        <v>39498</v>
      </c>
      <c r="E3209" s="674">
        <v>10</v>
      </c>
      <c r="F3209" s="675">
        <v>0.1</v>
      </c>
      <c r="G3209" s="676">
        <v>466</v>
      </c>
      <c r="H3209" s="929">
        <v>46.6</v>
      </c>
      <c r="I3209" s="929">
        <v>466.00000000000011</v>
      </c>
      <c r="J3209" s="689">
        <f t="shared" si="51"/>
        <v>0</v>
      </c>
    </row>
    <row r="3210" spans="1:10" ht="12.75" customHeight="1" x14ac:dyDescent="0.2">
      <c r="A3210" s="681" t="s">
        <v>2370</v>
      </c>
      <c r="B3210" s="693" t="s">
        <v>5769</v>
      </c>
      <c r="C3210" s="672" t="s">
        <v>785</v>
      </c>
      <c r="D3210" s="673">
        <v>39498</v>
      </c>
      <c r="E3210" s="674">
        <v>10</v>
      </c>
      <c r="F3210" s="675">
        <v>0.1</v>
      </c>
      <c r="G3210" s="676">
        <v>466</v>
      </c>
      <c r="H3210" s="929">
        <v>46.6</v>
      </c>
      <c r="I3210" s="929">
        <v>466.00000000000011</v>
      </c>
      <c r="J3210" s="689">
        <f t="shared" si="51"/>
        <v>0</v>
      </c>
    </row>
    <row r="3211" spans="1:10" ht="12.75" customHeight="1" x14ac:dyDescent="0.2">
      <c r="A3211" s="681" t="s">
        <v>2370</v>
      </c>
      <c r="B3211" s="693" t="s">
        <v>5770</v>
      </c>
      <c r="C3211" s="672" t="s">
        <v>785</v>
      </c>
      <c r="D3211" s="673">
        <v>39498</v>
      </c>
      <c r="E3211" s="674">
        <v>10</v>
      </c>
      <c r="F3211" s="675">
        <v>0.1</v>
      </c>
      <c r="G3211" s="676">
        <v>482</v>
      </c>
      <c r="H3211" s="929">
        <v>48.199999999999996</v>
      </c>
      <c r="I3211" s="929">
        <v>481.99999999999994</v>
      </c>
      <c r="J3211" s="689">
        <f t="shared" si="51"/>
        <v>0</v>
      </c>
    </row>
    <row r="3212" spans="1:10" ht="12.75" customHeight="1" x14ac:dyDescent="0.2">
      <c r="A3212" s="681" t="s">
        <v>2370</v>
      </c>
      <c r="B3212" s="693" t="s">
        <v>5771</v>
      </c>
      <c r="C3212" s="672" t="s">
        <v>785</v>
      </c>
      <c r="D3212" s="673">
        <v>39498</v>
      </c>
      <c r="E3212" s="674">
        <v>10</v>
      </c>
      <c r="F3212" s="675">
        <v>0.1</v>
      </c>
      <c r="G3212" s="676">
        <v>482</v>
      </c>
      <c r="H3212" s="929">
        <v>48.199999999999996</v>
      </c>
      <c r="I3212" s="929">
        <v>481.99999999999994</v>
      </c>
      <c r="J3212" s="689">
        <f t="shared" si="51"/>
        <v>0</v>
      </c>
    </row>
    <row r="3213" spans="1:10" ht="12.75" customHeight="1" x14ac:dyDescent="0.2">
      <c r="A3213" s="681" t="s">
        <v>2370</v>
      </c>
      <c r="B3213" s="693" t="s">
        <v>5772</v>
      </c>
      <c r="C3213" s="672" t="s">
        <v>862</v>
      </c>
      <c r="D3213" s="673">
        <v>39498</v>
      </c>
      <c r="E3213" s="674">
        <v>10</v>
      </c>
      <c r="F3213" s="675">
        <v>0.1</v>
      </c>
      <c r="G3213" s="676">
        <v>497</v>
      </c>
      <c r="H3213" s="929">
        <v>49.699999999999996</v>
      </c>
      <c r="I3213" s="929">
        <v>496.99999999999994</v>
      </c>
      <c r="J3213" s="689">
        <f t="shared" si="51"/>
        <v>0</v>
      </c>
    </row>
    <row r="3214" spans="1:10" ht="12.75" customHeight="1" x14ac:dyDescent="0.2">
      <c r="A3214" s="681" t="s">
        <v>2370</v>
      </c>
      <c r="B3214" s="693" t="s">
        <v>5773</v>
      </c>
      <c r="C3214" s="672" t="s">
        <v>785</v>
      </c>
      <c r="D3214" s="673">
        <v>39498</v>
      </c>
      <c r="E3214" s="674">
        <v>10</v>
      </c>
      <c r="F3214" s="675">
        <v>0.1</v>
      </c>
      <c r="G3214" s="676">
        <v>501</v>
      </c>
      <c r="H3214" s="929">
        <v>50.099999999999987</v>
      </c>
      <c r="I3214" s="929">
        <v>501</v>
      </c>
      <c r="J3214" s="689">
        <f t="shared" si="51"/>
        <v>0</v>
      </c>
    </row>
    <row r="3215" spans="1:10" ht="12.75" customHeight="1" x14ac:dyDescent="0.2">
      <c r="A3215" s="681" t="s">
        <v>2370</v>
      </c>
      <c r="B3215" s="693" t="s">
        <v>5774</v>
      </c>
      <c r="C3215" s="672" t="s">
        <v>785</v>
      </c>
      <c r="D3215" s="673">
        <v>39498</v>
      </c>
      <c r="E3215" s="674">
        <v>10</v>
      </c>
      <c r="F3215" s="675">
        <v>0.1</v>
      </c>
      <c r="G3215" s="676">
        <v>501</v>
      </c>
      <c r="H3215" s="929">
        <v>50.099999999999987</v>
      </c>
      <c r="I3215" s="929">
        <v>501</v>
      </c>
      <c r="J3215" s="689">
        <f t="shared" si="51"/>
        <v>0</v>
      </c>
    </row>
    <row r="3216" spans="1:10" ht="12.75" customHeight="1" x14ac:dyDescent="0.2">
      <c r="A3216" s="681" t="s">
        <v>2370</v>
      </c>
      <c r="B3216" s="693" t="s">
        <v>5775</v>
      </c>
      <c r="C3216" s="672" t="s">
        <v>785</v>
      </c>
      <c r="D3216" s="673">
        <v>39498</v>
      </c>
      <c r="E3216" s="674">
        <v>10</v>
      </c>
      <c r="F3216" s="675">
        <v>0.1</v>
      </c>
      <c r="G3216" s="676">
        <v>501</v>
      </c>
      <c r="H3216" s="929">
        <v>50.099999999999987</v>
      </c>
      <c r="I3216" s="929">
        <v>501</v>
      </c>
      <c r="J3216" s="689">
        <f t="shared" si="51"/>
        <v>0</v>
      </c>
    </row>
    <row r="3217" spans="1:10" ht="12.75" customHeight="1" x14ac:dyDescent="0.2">
      <c r="A3217" s="681" t="s">
        <v>2370</v>
      </c>
      <c r="B3217" s="693" t="s">
        <v>5776</v>
      </c>
      <c r="C3217" s="672" t="s">
        <v>785</v>
      </c>
      <c r="D3217" s="673">
        <v>39498</v>
      </c>
      <c r="E3217" s="674">
        <v>10</v>
      </c>
      <c r="F3217" s="675">
        <v>0.1</v>
      </c>
      <c r="G3217" s="676">
        <v>501</v>
      </c>
      <c r="H3217" s="929">
        <v>50.099999999999987</v>
      </c>
      <c r="I3217" s="929">
        <v>501</v>
      </c>
      <c r="J3217" s="689">
        <f t="shared" si="51"/>
        <v>0</v>
      </c>
    </row>
    <row r="3218" spans="1:10" ht="12.75" customHeight="1" x14ac:dyDescent="0.2">
      <c r="A3218" s="681" t="s">
        <v>2370</v>
      </c>
      <c r="B3218" s="693" t="s">
        <v>5777</v>
      </c>
      <c r="C3218" s="672" t="s">
        <v>785</v>
      </c>
      <c r="D3218" s="673">
        <v>39498</v>
      </c>
      <c r="E3218" s="674">
        <v>10</v>
      </c>
      <c r="F3218" s="675">
        <v>0.1</v>
      </c>
      <c r="G3218" s="676">
        <v>501</v>
      </c>
      <c r="H3218" s="929">
        <v>50.099999999999987</v>
      </c>
      <c r="I3218" s="929">
        <v>501</v>
      </c>
      <c r="J3218" s="689">
        <f t="shared" si="51"/>
        <v>0</v>
      </c>
    </row>
    <row r="3219" spans="1:10" ht="12.75" customHeight="1" x14ac:dyDescent="0.2">
      <c r="A3219" s="681" t="s">
        <v>2370</v>
      </c>
      <c r="B3219" s="693" t="s">
        <v>5778</v>
      </c>
      <c r="C3219" s="672" t="s">
        <v>785</v>
      </c>
      <c r="D3219" s="673">
        <v>39498</v>
      </c>
      <c r="E3219" s="674">
        <v>10</v>
      </c>
      <c r="F3219" s="675">
        <v>0.1</v>
      </c>
      <c r="G3219" s="676">
        <v>501</v>
      </c>
      <c r="H3219" s="929">
        <v>50.099999999999987</v>
      </c>
      <c r="I3219" s="929">
        <v>501</v>
      </c>
      <c r="J3219" s="689">
        <f t="shared" si="51"/>
        <v>0</v>
      </c>
    </row>
    <row r="3220" spans="1:10" ht="12.75" customHeight="1" x14ac:dyDescent="0.2">
      <c r="A3220" s="681" t="s">
        <v>2370</v>
      </c>
      <c r="B3220" s="693" t="s">
        <v>5779</v>
      </c>
      <c r="C3220" s="672" t="s">
        <v>785</v>
      </c>
      <c r="D3220" s="673">
        <v>39498</v>
      </c>
      <c r="E3220" s="674">
        <v>10</v>
      </c>
      <c r="F3220" s="675">
        <v>0.1</v>
      </c>
      <c r="G3220" s="676">
        <v>501</v>
      </c>
      <c r="H3220" s="929">
        <v>50.099999999999987</v>
      </c>
      <c r="I3220" s="929">
        <v>501</v>
      </c>
      <c r="J3220" s="689">
        <f t="shared" si="51"/>
        <v>0</v>
      </c>
    </row>
    <row r="3221" spans="1:10" ht="12.75" customHeight="1" x14ac:dyDescent="0.2">
      <c r="A3221" s="681" t="s">
        <v>2370</v>
      </c>
      <c r="B3221" s="693" t="s">
        <v>5780</v>
      </c>
      <c r="C3221" s="672" t="s">
        <v>785</v>
      </c>
      <c r="D3221" s="673">
        <v>39498</v>
      </c>
      <c r="E3221" s="674">
        <v>10</v>
      </c>
      <c r="F3221" s="675">
        <v>0.1</v>
      </c>
      <c r="G3221" s="676">
        <v>501</v>
      </c>
      <c r="H3221" s="929">
        <v>50.099999999999987</v>
      </c>
      <c r="I3221" s="929">
        <v>501</v>
      </c>
      <c r="J3221" s="689">
        <f t="shared" si="51"/>
        <v>0</v>
      </c>
    </row>
    <row r="3222" spans="1:10" ht="12.75" customHeight="1" x14ac:dyDescent="0.2">
      <c r="A3222" s="681" t="s">
        <v>2370</v>
      </c>
      <c r="B3222" s="693" t="s">
        <v>5781</v>
      </c>
      <c r="C3222" s="672" t="s">
        <v>785</v>
      </c>
      <c r="D3222" s="673">
        <v>39498</v>
      </c>
      <c r="E3222" s="674">
        <v>10</v>
      </c>
      <c r="F3222" s="675">
        <v>0.1</v>
      </c>
      <c r="G3222" s="676">
        <v>501</v>
      </c>
      <c r="H3222" s="929">
        <v>50.099999999999987</v>
      </c>
      <c r="I3222" s="929">
        <v>501</v>
      </c>
      <c r="J3222" s="689">
        <f t="shared" si="51"/>
        <v>0</v>
      </c>
    </row>
    <row r="3223" spans="1:10" ht="12.75" customHeight="1" x14ac:dyDescent="0.2">
      <c r="A3223" s="681" t="s">
        <v>2370</v>
      </c>
      <c r="B3223" s="693" t="s">
        <v>5782</v>
      </c>
      <c r="C3223" s="672" t="s">
        <v>785</v>
      </c>
      <c r="D3223" s="673">
        <v>39498</v>
      </c>
      <c r="E3223" s="674">
        <v>10</v>
      </c>
      <c r="F3223" s="675">
        <v>0.1</v>
      </c>
      <c r="G3223" s="676">
        <v>501</v>
      </c>
      <c r="H3223" s="929">
        <v>50.099999999999987</v>
      </c>
      <c r="I3223" s="929">
        <v>501</v>
      </c>
      <c r="J3223" s="689">
        <f t="shared" si="51"/>
        <v>0</v>
      </c>
    </row>
    <row r="3224" spans="1:10" ht="12.75" customHeight="1" x14ac:dyDescent="0.2">
      <c r="A3224" s="681" t="s">
        <v>2370</v>
      </c>
      <c r="B3224" s="693" t="s">
        <v>5783</v>
      </c>
      <c r="C3224" s="672" t="s">
        <v>785</v>
      </c>
      <c r="D3224" s="673">
        <v>39498</v>
      </c>
      <c r="E3224" s="674">
        <v>10</v>
      </c>
      <c r="F3224" s="675">
        <v>0.1</v>
      </c>
      <c r="G3224" s="676">
        <v>501</v>
      </c>
      <c r="H3224" s="929">
        <v>50.099999999999987</v>
      </c>
      <c r="I3224" s="929">
        <v>501</v>
      </c>
      <c r="J3224" s="689">
        <f t="shared" si="51"/>
        <v>0</v>
      </c>
    </row>
    <row r="3225" spans="1:10" ht="12.75" customHeight="1" x14ac:dyDescent="0.2">
      <c r="A3225" s="681" t="s">
        <v>2370</v>
      </c>
      <c r="B3225" s="693" t="s">
        <v>5784</v>
      </c>
      <c r="C3225" s="672" t="s">
        <v>792</v>
      </c>
      <c r="D3225" s="673">
        <v>39498</v>
      </c>
      <c r="E3225" s="674">
        <v>10</v>
      </c>
      <c r="F3225" s="675">
        <v>0.1</v>
      </c>
      <c r="G3225" s="676">
        <v>512</v>
      </c>
      <c r="H3225" s="929">
        <v>51.199999999999996</v>
      </c>
      <c r="I3225" s="929">
        <v>511.99999999999994</v>
      </c>
      <c r="J3225" s="689">
        <f t="shared" si="51"/>
        <v>0</v>
      </c>
    </row>
    <row r="3226" spans="1:10" ht="12.75" customHeight="1" x14ac:dyDescent="0.2">
      <c r="A3226" s="681" t="s">
        <v>2370</v>
      </c>
      <c r="B3226" s="693" t="s">
        <v>5785</v>
      </c>
      <c r="C3226" s="672" t="s">
        <v>789</v>
      </c>
      <c r="D3226" s="673">
        <v>39498</v>
      </c>
      <c r="E3226" s="674">
        <v>10</v>
      </c>
      <c r="F3226" s="675">
        <v>0.1</v>
      </c>
      <c r="G3226" s="676">
        <v>512</v>
      </c>
      <c r="H3226" s="929">
        <v>51.199999999999996</v>
      </c>
      <c r="I3226" s="929">
        <v>511.99999999999994</v>
      </c>
      <c r="J3226" s="689">
        <f t="shared" si="51"/>
        <v>0</v>
      </c>
    </row>
    <row r="3227" spans="1:10" ht="12.75" customHeight="1" x14ac:dyDescent="0.2">
      <c r="A3227" s="681" t="s">
        <v>2370</v>
      </c>
      <c r="B3227" s="693" t="s">
        <v>5786</v>
      </c>
      <c r="C3227" s="672" t="s">
        <v>785</v>
      </c>
      <c r="D3227" s="673">
        <v>39498</v>
      </c>
      <c r="E3227" s="674">
        <v>10</v>
      </c>
      <c r="F3227" s="675">
        <v>0.1</v>
      </c>
      <c r="G3227" s="676">
        <v>569</v>
      </c>
      <c r="H3227" s="929">
        <v>56.9</v>
      </c>
      <c r="I3227" s="929">
        <v>568.99999999999989</v>
      </c>
      <c r="J3227" s="689">
        <f t="shared" si="51"/>
        <v>0</v>
      </c>
    </row>
    <row r="3228" spans="1:10" ht="12.75" customHeight="1" x14ac:dyDescent="0.2">
      <c r="A3228" s="681" t="s">
        <v>2370</v>
      </c>
      <c r="B3228" s="693" t="s">
        <v>5787</v>
      </c>
      <c r="C3228" s="672" t="s">
        <v>785</v>
      </c>
      <c r="D3228" s="673">
        <v>39498</v>
      </c>
      <c r="E3228" s="674">
        <v>10</v>
      </c>
      <c r="F3228" s="675">
        <v>0.1</v>
      </c>
      <c r="G3228" s="676">
        <v>621</v>
      </c>
      <c r="H3228" s="929">
        <v>62.099999999999987</v>
      </c>
      <c r="I3228" s="929">
        <v>621.00000000000011</v>
      </c>
      <c r="J3228" s="689">
        <f t="shared" si="51"/>
        <v>0</v>
      </c>
    </row>
    <row r="3229" spans="1:10" ht="12.75" customHeight="1" x14ac:dyDescent="0.2">
      <c r="A3229" s="681" t="s">
        <v>2370</v>
      </c>
      <c r="B3229" s="693" t="s">
        <v>5788</v>
      </c>
      <c r="C3229" s="672" t="s">
        <v>785</v>
      </c>
      <c r="D3229" s="673">
        <v>39498</v>
      </c>
      <c r="E3229" s="674">
        <v>10</v>
      </c>
      <c r="F3229" s="675">
        <v>0.1</v>
      </c>
      <c r="G3229" s="676">
        <v>621</v>
      </c>
      <c r="H3229" s="929">
        <v>62.099999999999987</v>
      </c>
      <c r="I3229" s="929">
        <v>621.00000000000011</v>
      </c>
      <c r="J3229" s="689">
        <f t="shared" si="51"/>
        <v>0</v>
      </c>
    </row>
    <row r="3230" spans="1:10" ht="12.75" customHeight="1" x14ac:dyDescent="0.2">
      <c r="A3230" s="681" t="s">
        <v>2370</v>
      </c>
      <c r="B3230" s="693" t="s">
        <v>5789</v>
      </c>
      <c r="C3230" s="672" t="s">
        <v>785</v>
      </c>
      <c r="D3230" s="673">
        <v>39498</v>
      </c>
      <c r="E3230" s="674">
        <v>10</v>
      </c>
      <c r="F3230" s="675">
        <v>0.1</v>
      </c>
      <c r="G3230" s="676">
        <v>621</v>
      </c>
      <c r="H3230" s="929">
        <v>62.099999999999987</v>
      </c>
      <c r="I3230" s="929">
        <v>621.00000000000011</v>
      </c>
      <c r="J3230" s="689">
        <f t="shared" si="51"/>
        <v>0</v>
      </c>
    </row>
    <row r="3231" spans="1:10" ht="12.75" customHeight="1" x14ac:dyDescent="0.2">
      <c r="A3231" s="681" t="s">
        <v>2370</v>
      </c>
      <c r="B3231" s="693" t="s">
        <v>5790</v>
      </c>
      <c r="C3231" s="672" t="s">
        <v>785</v>
      </c>
      <c r="D3231" s="673">
        <v>39498</v>
      </c>
      <c r="E3231" s="674">
        <v>10</v>
      </c>
      <c r="F3231" s="675">
        <v>0.1</v>
      </c>
      <c r="G3231" s="676">
        <v>621</v>
      </c>
      <c r="H3231" s="929">
        <v>62.099999999999987</v>
      </c>
      <c r="I3231" s="929">
        <v>621.00000000000011</v>
      </c>
      <c r="J3231" s="689">
        <f t="shared" si="51"/>
        <v>0</v>
      </c>
    </row>
    <row r="3232" spans="1:10" ht="12.75" customHeight="1" x14ac:dyDescent="0.2">
      <c r="A3232" s="681" t="s">
        <v>2370</v>
      </c>
      <c r="B3232" s="693" t="s">
        <v>5791</v>
      </c>
      <c r="C3232" s="672" t="s">
        <v>785</v>
      </c>
      <c r="D3232" s="673">
        <v>39498</v>
      </c>
      <c r="E3232" s="674">
        <v>10</v>
      </c>
      <c r="F3232" s="675">
        <v>0.1</v>
      </c>
      <c r="G3232" s="676">
        <v>621</v>
      </c>
      <c r="H3232" s="929">
        <v>62.099999999999987</v>
      </c>
      <c r="I3232" s="929">
        <v>621.00000000000011</v>
      </c>
      <c r="J3232" s="689">
        <f t="shared" si="51"/>
        <v>0</v>
      </c>
    </row>
    <row r="3233" spans="1:10" ht="12.75" customHeight="1" x14ac:dyDescent="0.2">
      <c r="A3233" s="681" t="s">
        <v>2370</v>
      </c>
      <c r="B3233" s="693" t="s">
        <v>5792</v>
      </c>
      <c r="C3233" s="672" t="s">
        <v>785</v>
      </c>
      <c r="D3233" s="673">
        <v>39498</v>
      </c>
      <c r="E3233" s="674">
        <v>10</v>
      </c>
      <c r="F3233" s="675">
        <v>0.1</v>
      </c>
      <c r="G3233" s="676">
        <v>621</v>
      </c>
      <c r="H3233" s="929">
        <v>62.099999999999987</v>
      </c>
      <c r="I3233" s="929">
        <v>621.00000000000011</v>
      </c>
      <c r="J3233" s="689">
        <f t="shared" si="51"/>
        <v>0</v>
      </c>
    </row>
    <row r="3234" spans="1:10" ht="12.75" customHeight="1" x14ac:dyDescent="0.2">
      <c r="A3234" s="681" t="s">
        <v>2370</v>
      </c>
      <c r="B3234" s="693" t="s">
        <v>5793</v>
      </c>
      <c r="C3234" s="672" t="s">
        <v>826</v>
      </c>
      <c r="D3234" s="673">
        <v>39498</v>
      </c>
      <c r="E3234" s="674">
        <v>10</v>
      </c>
      <c r="F3234" s="675">
        <v>0.1</v>
      </c>
      <c r="G3234" s="676">
        <v>667</v>
      </c>
      <c r="H3234" s="929">
        <v>66.700000000000017</v>
      </c>
      <c r="I3234" s="929">
        <v>667.00000000000011</v>
      </c>
      <c r="J3234" s="689">
        <f t="shared" si="51"/>
        <v>0</v>
      </c>
    </row>
    <row r="3235" spans="1:10" ht="12.75" customHeight="1" x14ac:dyDescent="0.2">
      <c r="A3235" s="681" t="s">
        <v>2370</v>
      </c>
      <c r="B3235" s="693" t="s">
        <v>5794</v>
      </c>
      <c r="C3235" s="672" t="s">
        <v>785</v>
      </c>
      <c r="D3235" s="673">
        <v>39498</v>
      </c>
      <c r="E3235" s="674">
        <v>10</v>
      </c>
      <c r="F3235" s="675">
        <v>0.1</v>
      </c>
      <c r="G3235" s="676">
        <v>679</v>
      </c>
      <c r="H3235" s="929">
        <v>67.899999999999991</v>
      </c>
      <c r="I3235" s="929">
        <v>678.99999999999989</v>
      </c>
      <c r="J3235" s="689">
        <f t="shared" si="51"/>
        <v>0</v>
      </c>
    </row>
    <row r="3236" spans="1:10" ht="12.75" customHeight="1" x14ac:dyDescent="0.2">
      <c r="A3236" s="681" t="s">
        <v>2370</v>
      </c>
      <c r="B3236" s="693" t="s">
        <v>5795</v>
      </c>
      <c r="C3236" s="672" t="s">
        <v>785</v>
      </c>
      <c r="D3236" s="673">
        <v>39498</v>
      </c>
      <c r="E3236" s="674">
        <v>10</v>
      </c>
      <c r="F3236" s="675">
        <v>0.1</v>
      </c>
      <c r="G3236" s="676">
        <v>679</v>
      </c>
      <c r="H3236" s="929">
        <v>67.899999999999991</v>
      </c>
      <c r="I3236" s="929">
        <v>678.99999999999989</v>
      </c>
      <c r="J3236" s="689">
        <f t="shared" si="51"/>
        <v>0</v>
      </c>
    </row>
    <row r="3237" spans="1:10" ht="12.75" customHeight="1" x14ac:dyDescent="0.2">
      <c r="A3237" s="681" t="s">
        <v>2370</v>
      </c>
      <c r="B3237" s="693" t="s">
        <v>5796</v>
      </c>
      <c r="C3237" s="672" t="s">
        <v>785</v>
      </c>
      <c r="D3237" s="673">
        <v>39498</v>
      </c>
      <c r="E3237" s="674">
        <v>10</v>
      </c>
      <c r="F3237" s="675">
        <v>0.1</v>
      </c>
      <c r="G3237" s="676">
        <v>679</v>
      </c>
      <c r="H3237" s="929">
        <v>67.899999999999991</v>
      </c>
      <c r="I3237" s="929">
        <v>678.99999999999989</v>
      </c>
      <c r="J3237" s="689">
        <f t="shared" si="51"/>
        <v>0</v>
      </c>
    </row>
    <row r="3238" spans="1:10" ht="12.75" customHeight="1" x14ac:dyDescent="0.2">
      <c r="A3238" s="681" t="s">
        <v>2370</v>
      </c>
      <c r="B3238" s="693" t="s">
        <v>5797</v>
      </c>
      <c r="C3238" s="672" t="s">
        <v>785</v>
      </c>
      <c r="D3238" s="673">
        <v>39498</v>
      </c>
      <c r="E3238" s="674">
        <v>10</v>
      </c>
      <c r="F3238" s="675">
        <v>0.1</v>
      </c>
      <c r="G3238" s="676">
        <v>679</v>
      </c>
      <c r="H3238" s="929">
        <v>67.899999999999991</v>
      </c>
      <c r="I3238" s="929">
        <v>678.99999999999989</v>
      </c>
      <c r="J3238" s="689">
        <f t="shared" si="51"/>
        <v>0</v>
      </c>
    </row>
    <row r="3239" spans="1:10" ht="12.75" customHeight="1" x14ac:dyDescent="0.2">
      <c r="A3239" s="681" t="s">
        <v>2370</v>
      </c>
      <c r="B3239" s="693" t="s">
        <v>5798</v>
      </c>
      <c r="C3239" s="672" t="s">
        <v>785</v>
      </c>
      <c r="D3239" s="673">
        <v>39498</v>
      </c>
      <c r="E3239" s="674">
        <v>10</v>
      </c>
      <c r="F3239" s="675">
        <v>0.1</v>
      </c>
      <c r="G3239" s="676">
        <v>679</v>
      </c>
      <c r="H3239" s="929">
        <v>67.899999999999991</v>
      </c>
      <c r="I3239" s="929">
        <v>678.99999999999989</v>
      </c>
      <c r="J3239" s="689">
        <f t="shared" si="51"/>
        <v>0</v>
      </c>
    </row>
    <row r="3240" spans="1:10" ht="12.75" customHeight="1" x14ac:dyDescent="0.2">
      <c r="A3240" s="681" t="s">
        <v>2370</v>
      </c>
      <c r="B3240" s="693" t="s">
        <v>5799</v>
      </c>
      <c r="C3240" s="672" t="s">
        <v>785</v>
      </c>
      <c r="D3240" s="673">
        <v>39498</v>
      </c>
      <c r="E3240" s="674">
        <v>10</v>
      </c>
      <c r="F3240" s="675">
        <v>0.1</v>
      </c>
      <c r="G3240" s="676">
        <v>679</v>
      </c>
      <c r="H3240" s="929">
        <v>67.899999999999991</v>
      </c>
      <c r="I3240" s="929">
        <v>678.99999999999989</v>
      </c>
      <c r="J3240" s="689">
        <f t="shared" si="51"/>
        <v>0</v>
      </c>
    </row>
    <row r="3241" spans="1:10" ht="12.75" customHeight="1" x14ac:dyDescent="0.2">
      <c r="A3241" s="681" t="s">
        <v>2370</v>
      </c>
      <c r="B3241" s="693" t="s">
        <v>5800</v>
      </c>
      <c r="C3241" s="672" t="s">
        <v>826</v>
      </c>
      <c r="D3241" s="673">
        <v>39498</v>
      </c>
      <c r="E3241" s="674">
        <v>10</v>
      </c>
      <c r="F3241" s="675">
        <v>0.1</v>
      </c>
      <c r="G3241" s="676">
        <v>682</v>
      </c>
      <c r="H3241" s="929">
        <v>68.200000000000017</v>
      </c>
      <c r="I3241" s="929">
        <v>682.00000000000011</v>
      </c>
      <c r="J3241" s="689">
        <f t="shared" si="51"/>
        <v>0</v>
      </c>
    </row>
    <row r="3242" spans="1:10" ht="12.75" customHeight="1" x14ac:dyDescent="0.2">
      <c r="A3242" s="681" t="s">
        <v>2370</v>
      </c>
      <c r="B3242" s="693" t="s">
        <v>5801</v>
      </c>
      <c r="C3242" s="672" t="s">
        <v>785</v>
      </c>
      <c r="D3242" s="673">
        <v>39498</v>
      </c>
      <c r="E3242" s="674">
        <v>10</v>
      </c>
      <c r="F3242" s="675">
        <v>0.1</v>
      </c>
      <c r="G3242" s="676">
        <v>690</v>
      </c>
      <c r="H3242" s="929">
        <v>69</v>
      </c>
      <c r="I3242" s="929">
        <v>690</v>
      </c>
      <c r="J3242" s="689">
        <f t="shared" si="51"/>
        <v>0</v>
      </c>
    </row>
    <row r="3243" spans="1:10" ht="12.75" customHeight="1" x14ac:dyDescent="0.2">
      <c r="A3243" s="681" t="s">
        <v>2370</v>
      </c>
      <c r="B3243" s="693" t="s">
        <v>5802</v>
      </c>
      <c r="C3243" s="672" t="s">
        <v>785</v>
      </c>
      <c r="D3243" s="673">
        <v>39498</v>
      </c>
      <c r="E3243" s="674">
        <v>10</v>
      </c>
      <c r="F3243" s="675">
        <v>0.1</v>
      </c>
      <c r="G3243" s="676">
        <v>690</v>
      </c>
      <c r="H3243" s="929">
        <v>69</v>
      </c>
      <c r="I3243" s="929">
        <v>690</v>
      </c>
      <c r="J3243" s="689">
        <f t="shared" si="51"/>
        <v>0</v>
      </c>
    </row>
    <row r="3244" spans="1:10" ht="12.75" customHeight="1" x14ac:dyDescent="0.2">
      <c r="A3244" s="681" t="s">
        <v>2370</v>
      </c>
      <c r="B3244" s="693" t="s">
        <v>5803</v>
      </c>
      <c r="C3244" s="672" t="s">
        <v>785</v>
      </c>
      <c r="D3244" s="673">
        <v>39498</v>
      </c>
      <c r="E3244" s="674">
        <v>10</v>
      </c>
      <c r="F3244" s="675">
        <v>0.1</v>
      </c>
      <c r="G3244" s="676">
        <v>690</v>
      </c>
      <c r="H3244" s="929">
        <v>69</v>
      </c>
      <c r="I3244" s="929">
        <v>690</v>
      </c>
      <c r="J3244" s="689">
        <f t="shared" si="51"/>
        <v>0</v>
      </c>
    </row>
    <row r="3245" spans="1:10" ht="12.75" customHeight="1" x14ac:dyDescent="0.2">
      <c r="A3245" s="681" t="s">
        <v>2370</v>
      </c>
      <c r="B3245" s="693" t="s">
        <v>5804</v>
      </c>
      <c r="C3245" s="672" t="s">
        <v>785</v>
      </c>
      <c r="D3245" s="673">
        <v>39498</v>
      </c>
      <c r="E3245" s="674">
        <v>10</v>
      </c>
      <c r="F3245" s="675">
        <v>0.1</v>
      </c>
      <c r="G3245" s="676">
        <v>690</v>
      </c>
      <c r="H3245" s="929">
        <v>69</v>
      </c>
      <c r="I3245" s="929">
        <v>690</v>
      </c>
      <c r="J3245" s="689">
        <f t="shared" si="51"/>
        <v>0</v>
      </c>
    </row>
    <row r="3246" spans="1:10" ht="12.75" customHeight="1" x14ac:dyDescent="0.2">
      <c r="A3246" s="681" t="s">
        <v>2370</v>
      </c>
      <c r="B3246" s="693" t="s">
        <v>5805</v>
      </c>
      <c r="C3246" s="672" t="s">
        <v>785</v>
      </c>
      <c r="D3246" s="673">
        <v>39498</v>
      </c>
      <c r="E3246" s="674">
        <v>10</v>
      </c>
      <c r="F3246" s="675">
        <v>0.1</v>
      </c>
      <c r="G3246" s="676">
        <v>690</v>
      </c>
      <c r="H3246" s="929">
        <v>69</v>
      </c>
      <c r="I3246" s="929">
        <v>690</v>
      </c>
      <c r="J3246" s="689">
        <f t="shared" si="51"/>
        <v>0</v>
      </c>
    </row>
    <row r="3247" spans="1:10" ht="12.75" customHeight="1" x14ac:dyDescent="0.2">
      <c r="A3247" s="681" t="s">
        <v>2370</v>
      </c>
      <c r="B3247" s="693" t="s">
        <v>5806</v>
      </c>
      <c r="C3247" s="672" t="s">
        <v>785</v>
      </c>
      <c r="D3247" s="673">
        <v>39498</v>
      </c>
      <c r="E3247" s="674">
        <v>10</v>
      </c>
      <c r="F3247" s="675">
        <v>0.1</v>
      </c>
      <c r="G3247" s="676">
        <v>690</v>
      </c>
      <c r="H3247" s="929">
        <v>69</v>
      </c>
      <c r="I3247" s="929">
        <v>690</v>
      </c>
      <c r="J3247" s="689">
        <f t="shared" si="51"/>
        <v>0</v>
      </c>
    </row>
    <row r="3248" spans="1:10" ht="12.75" customHeight="1" x14ac:dyDescent="0.2">
      <c r="A3248" s="681" t="s">
        <v>2370</v>
      </c>
      <c r="B3248" s="693" t="s">
        <v>5807</v>
      </c>
      <c r="C3248" s="672" t="s">
        <v>785</v>
      </c>
      <c r="D3248" s="673">
        <v>39498</v>
      </c>
      <c r="E3248" s="674">
        <v>10</v>
      </c>
      <c r="F3248" s="675">
        <v>0.1</v>
      </c>
      <c r="G3248" s="676">
        <v>690</v>
      </c>
      <c r="H3248" s="929">
        <v>69</v>
      </c>
      <c r="I3248" s="929">
        <v>690</v>
      </c>
      <c r="J3248" s="689">
        <f t="shared" si="51"/>
        <v>0</v>
      </c>
    </row>
    <row r="3249" spans="1:10" ht="12.75" customHeight="1" x14ac:dyDescent="0.2">
      <c r="A3249" s="681" t="s">
        <v>2370</v>
      </c>
      <c r="B3249" s="693" t="s">
        <v>5808</v>
      </c>
      <c r="C3249" s="672" t="s">
        <v>785</v>
      </c>
      <c r="D3249" s="673">
        <v>39498</v>
      </c>
      <c r="E3249" s="674">
        <v>10</v>
      </c>
      <c r="F3249" s="675">
        <v>0.1</v>
      </c>
      <c r="G3249" s="676">
        <v>690</v>
      </c>
      <c r="H3249" s="929">
        <v>69</v>
      </c>
      <c r="I3249" s="929">
        <v>690</v>
      </c>
      <c r="J3249" s="689">
        <f t="shared" si="51"/>
        <v>0</v>
      </c>
    </row>
    <row r="3250" spans="1:10" ht="12.75" customHeight="1" x14ac:dyDescent="0.2">
      <c r="A3250" s="681" t="s">
        <v>2370</v>
      </c>
      <c r="B3250" s="693" t="s">
        <v>5809</v>
      </c>
      <c r="C3250" s="672" t="s">
        <v>785</v>
      </c>
      <c r="D3250" s="673">
        <v>39498</v>
      </c>
      <c r="E3250" s="674">
        <v>10</v>
      </c>
      <c r="F3250" s="675">
        <v>0.1</v>
      </c>
      <c r="G3250" s="676">
        <v>690</v>
      </c>
      <c r="H3250" s="929">
        <v>69</v>
      </c>
      <c r="I3250" s="929">
        <v>690</v>
      </c>
      <c r="J3250" s="689">
        <f t="shared" si="51"/>
        <v>0</v>
      </c>
    </row>
    <row r="3251" spans="1:10" ht="12.75" customHeight="1" x14ac:dyDescent="0.2">
      <c r="A3251" s="681" t="s">
        <v>2370</v>
      </c>
      <c r="B3251" s="693" t="s">
        <v>5810</v>
      </c>
      <c r="C3251" s="672" t="s">
        <v>785</v>
      </c>
      <c r="D3251" s="673">
        <v>39498</v>
      </c>
      <c r="E3251" s="674">
        <v>10</v>
      </c>
      <c r="F3251" s="675">
        <v>0.1</v>
      </c>
      <c r="G3251" s="676">
        <v>690</v>
      </c>
      <c r="H3251" s="929">
        <v>69</v>
      </c>
      <c r="I3251" s="929">
        <v>690</v>
      </c>
      <c r="J3251" s="689">
        <f t="shared" si="51"/>
        <v>0</v>
      </c>
    </row>
    <row r="3252" spans="1:10" ht="12.75" customHeight="1" x14ac:dyDescent="0.2">
      <c r="A3252" s="681" t="s">
        <v>2370</v>
      </c>
      <c r="B3252" s="693" t="s">
        <v>5811</v>
      </c>
      <c r="C3252" s="672" t="s">
        <v>785</v>
      </c>
      <c r="D3252" s="673">
        <v>39498</v>
      </c>
      <c r="E3252" s="674">
        <v>10</v>
      </c>
      <c r="F3252" s="675">
        <v>0.1</v>
      </c>
      <c r="G3252" s="676">
        <v>690</v>
      </c>
      <c r="H3252" s="929">
        <v>69</v>
      </c>
      <c r="I3252" s="929">
        <v>690</v>
      </c>
      <c r="J3252" s="689">
        <f t="shared" si="51"/>
        <v>0</v>
      </c>
    </row>
    <row r="3253" spans="1:10" ht="12.75" customHeight="1" x14ac:dyDescent="0.2">
      <c r="A3253" s="681" t="s">
        <v>2370</v>
      </c>
      <c r="B3253" s="693" t="s">
        <v>5812</v>
      </c>
      <c r="C3253" s="672" t="s">
        <v>785</v>
      </c>
      <c r="D3253" s="673">
        <v>39498</v>
      </c>
      <c r="E3253" s="674">
        <v>10</v>
      </c>
      <c r="F3253" s="675">
        <v>0.1</v>
      </c>
      <c r="G3253" s="676">
        <v>690</v>
      </c>
      <c r="H3253" s="929">
        <v>69</v>
      </c>
      <c r="I3253" s="929">
        <v>690</v>
      </c>
      <c r="J3253" s="689">
        <f t="shared" si="51"/>
        <v>0</v>
      </c>
    </row>
    <row r="3254" spans="1:10" ht="12.75" customHeight="1" x14ac:dyDescent="0.2">
      <c r="A3254" s="681" t="s">
        <v>2370</v>
      </c>
      <c r="B3254" s="693" t="s">
        <v>5813</v>
      </c>
      <c r="C3254" s="672" t="s">
        <v>819</v>
      </c>
      <c r="D3254" s="673">
        <v>39498</v>
      </c>
      <c r="E3254" s="674">
        <v>10</v>
      </c>
      <c r="F3254" s="675">
        <v>0.1</v>
      </c>
      <c r="G3254" s="676">
        <v>789</v>
      </c>
      <c r="H3254" s="929">
        <v>78.90000000000002</v>
      </c>
      <c r="I3254" s="929">
        <v>788.99999999999989</v>
      </c>
      <c r="J3254" s="689">
        <f t="shared" si="51"/>
        <v>0</v>
      </c>
    </row>
    <row r="3255" spans="1:10" ht="12.75" customHeight="1" x14ac:dyDescent="0.2">
      <c r="A3255" s="681" t="s">
        <v>2370</v>
      </c>
      <c r="B3255" s="693" t="s">
        <v>5814</v>
      </c>
      <c r="C3255" s="672" t="s">
        <v>819</v>
      </c>
      <c r="D3255" s="673">
        <v>39498</v>
      </c>
      <c r="E3255" s="674">
        <v>10</v>
      </c>
      <c r="F3255" s="675">
        <v>0.1</v>
      </c>
      <c r="G3255" s="676">
        <v>789</v>
      </c>
      <c r="H3255" s="929">
        <v>78.90000000000002</v>
      </c>
      <c r="I3255" s="929">
        <v>788.99999999999989</v>
      </c>
      <c r="J3255" s="689">
        <f t="shared" si="51"/>
        <v>0</v>
      </c>
    </row>
    <row r="3256" spans="1:10" ht="12.75" customHeight="1" x14ac:dyDescent="0.2">
      <c r="A3256" s="681" t="s">
        <v>2370</v>
      </c>
      <c r="B3256" s="693" t="s">
        <v>5815</v>
      </c>
      <c r="C3256" s="672" t="s">
        <v>819</v>
      </c>
      <c r="D3256" s="673">
        <v>39498</v>
      </c>
      <c r="E3256" s="674">
        <v>10</v>
      </c>
      <c r="F3256" s="675">
        <v>0.1</v>
      </c>
      <c r="G3256" s="676">
        <v>789</v>
      </c>
      <c r="H3256" s="929">
        <v>78.90000000000002</v>
      </c>
      <c r="I3256" s="929">
        <v>788.99999999999989</v>
      </c>
      <c r="J3256" s="689">
        <f t="shared" si="51"/>
        <v>0</v>
      </c>
    </row>
    <row r="3257" spans="1:10" ht="12.75" customHeight="1" x14ac:dyDescent="0.2">
      <c r="A3257" s="681" t="s">
        <v>2370</v>
      </c>
      <c r="B3257" s="693" t="s">
        <v>5816</v>
      </c>
      <c r="C3257" s="672" t="s">
        <v>819</v>
      </c>
      <c r="D3257" s="673">
        <v>39498</v>
      </c>
      <c r="E3257" s="674">
        <v>10</v>
      </c>
      <c r="F3257" s="675">
        <v>0.1</v>
      </c>
      <c r="G3257" s="676">
        <v>789</v>
      </c>
      <c r="H3257" s="929">
        <v>78.90000000000002</v>
      </c>
      <c r="I3257" s="929">
        <v>788.99999999999989</v>
      </c>
      <c r="J3257" s="689">
        <f t="shared" si="51"/>
        <v>0</v>
      </c>
    </row>
    <row r="3258" spans="1:10" ht="12.75" customHeight="1" x14ac:dyDescent="0.2">
      <c r="A3258" s="681" t="s">
        <v>2370</v>
      </c>
      <c r="B3258" s="693" t="s">
        <v>5817</v>
      </c>
      <c r="C3258" s="672" t="s">
        <v>819</v>
      </c>
      <c r="D3258" s="673">
        <v>39498</v>
      </c>
      <c r="E3258" s="674">
        <v>10</v>
      </c>
      <c r="F3258" s="675">
        <v>0.1</v>
      </c>
      <c r="G3258" s="676">
        <v>789</v>
      </c>
      <c r="H3258" s="929">
        <v>78.90000000000002</v>
      </c>
      <c r="I3258" s="929">
        <v>788.99999999999989</v>
      </c>
      <c r="J3258" s="689">
        <f t="shared" si="51"/>
        <v>0</v>
      </c>
    </row>
    <row r="3259" spans="1:10" ht="12.75" customHeight="1" x14ac:dyDescent="0.2">
      <c r="A3259" s="681" t="s">
        <v>2370</v>
      </c>
      <c r="B3259" s="693" t="s">
        <v>5818</v>
      </c>
      <c r="C3259" s="672" t="s">
        <v>800</v>
      </c>
      <c r="D3259" s="673">
        <v>39498</v>
      </c>
      <c r="E3259" s="674">
        <v>10</v>
      </c>
      <c r="F3259" s="675">
        <v>0.1</v>
      </c>
      <c r="G3259" s="676">
        <v>800</v>
      </c>
      <c r="H3259" s="929">
        <v>80</v>
      </c>
      <c r="I3259" s="929">
        <v>800</v>
      </c>
      <c r="J3259" s="689">
        <f t="shared" si="51"/>
        <v>0</v>
      </c>
    </row>
    <row r="3260" spans="1:10" ht="12.75" customHeight="1" x14ac:dyDescent="0.2">
      <c r="A3260" s="681" t="s">
        <v>2370</v>
      </c>
      <c r="B3260" s="693" t="s">
        <v>5819</v>
      </c>
      <c r="C3260" s="672" t="s">
        <v>785</v>
      </c>
      <c r="D3260" s="673">
        <v>39498</v>
      </c>
      <c r="E3260" s="674">
        <v>10</v>
      </c>
      <c r="F3260" s="675">
        <v>0.1</v>
      </c>
      <c r="G3260" s="676">
        <v>800</v>
      </c>
      <c r="H3260" s="929">
        <v>80</v>
      </c>
      <c r="I3260" s="929">
        <v>800</v>
      </c>
      <c r="J3260" s="689">
        <f t="shared" si="51"/>
        <v>0</v>
      </c>
    </row>
    <row r="3261" spans="1:10" ht="12.75" customHeight="1" x14ac:dyDescent="0.2">
      <c r="A3261" s="681" t="s">
        <v>2370</v>
      </c>
      <c r="B3261" s="693" t="s">
        <v>5820</v>
      </c>
      <c r="C3261" s="672" t="s">
        <v>785</v>
      </c>
      <c r="D3261" s="673">
        <v>39498</v>
      </c>
      <c r="E3261" s="674">
        <v>10</v>
      </c>
      <c r="F3261" s="675">
        <v>0.1</v>
      </c>
      <c r="G3261" s="676">
        <v>800</v>
      </c>
      <c r="H3261" s="929">
        <v>80</v>
      </c>
      <c r="I3261" s="929">
        <v>800</v>
      </c>
      <c r="J3261" s="689">
        <f t="shared" si="51"/>
        <v>0</v>
      </c>
    </row>
    <row r="3262" spans="1:10" ht="12.75" customHeight="1" x14ac:dyDescent="0.2">
      <c r="A3262" s="681" t="s">
        <v>2370</v>
      </c>
      <c r="B3262" s="693" t="s">
        <v>5821</v>
      </c>
      <c r="C3262" s="672" t="s">
        <v>785</v>
      </c>
      <c r="D3262" s="673">
        <v>39498</v>
      </c>
      <c r="E3262" s="674">
        <v>10</v>
      </c>
      <c r="F3262" s="675">
        <v>0.1</v>
      </c>
      <c r="G3262" s="676">
        <v>800</v>
      </c>
      <c r="H3262" s="929">
        <v>80</v>
      </c>
      <c r="I3262" s="929">
        <v>800</v>
      </c>
      <c r="J3262" s="689">
        <f t="shared" si="51"/>
        <v>0</v>
      </c>
    </row>
    <row r="3263" spans="1:10" ht="12.75" customHeight="1" x14ac:dyDescent="0.2">
      <c r="A3263" s="681" t="s">
        <v>2370</v>
      </c>
      <c r="B3263" s="693" t="s">
        <v>5822</v>
      </c>
      <c r="C3263" s="672" t="s">
        <v>785</v>
      </c>
      <c r="D3263" s="673">
        <v>39498</v>
      </c>
      <c r="E3263" s="674">
        <v>10</v>
      </c>
      <c r="F3263" s="675">
        <v>0.1</v>
      </c>
      <c r="G3263" s="676">
        <v>800</v>
      </c>
      <c r="H3263" s="929">
        <v>80</v>
      </c>
      <c r="I3263" s="929">
        <v>800</v>
      </c>
      <c r="J3263" s="689">
        <f t="shared" si="51"/>
        <v>0</v>
      </c>
    </row>
    <row r="3264" spans="1:10" ht="12.75" customHeight="1" x14ac:dyDescent="0.2">
      <c r="A3264" s="681" t="s">
        <v>2370</v>
      </c>
      <c r="B3264" s="693" t="s">
        <v>5823</v>
      </c>
      <c r="C3264" s="672" t="s">
        <v>785</v>
      </c>
      <c r="D3264" s="673">
        <v>39498</v>
      </c>
      <c r="E3264" s="674">
        <v>10</v>
      </c>
      <c r="F3264" s="675">
        <v>0.1</v>
      </c>
      <c r="G3264" s="676">
        <v>822</v>
      </c>
      <c r="H3264" s="929">
        <v>82.199999999999989</v>
      </c>
      <c r="I3264" s="929">
        <v>822</v>
      </c>
      <c r="J3264" s="689">
        <f t="shared" si="51"/>
        <v>0</v>
      </c>
    </row>
    <row r="3265" spans="1:10" ht="12.75" customHeight="1" x14ac:dyDescent="0.2">
      <c r="A3265" s="681" t="s">
        <v>2370</v>
      </c>
      <c r="B3265" s="693" t="s">
        <v>5824</v>
      </c>
      <c r="C3265" s="672" t="s">
        <v>785</v>
      </c>
      <c r="D3265" s="673">
        <v>39498</v>
      </c>
      <c r="E3265" s="674">
        <v>10</v>
      </c>
      <c r="F3265" s="675">
        <v>0.1</v>
      </c>
      <c r="G3265" s="676">
        <v>822</v>
      </c>
      <c r="H3265" s="929">
        <v>82.199999999999989</v>
      </c>
      <c r="I3265" s="929">
        <v>822</v>
      </c>
      <c r="J3265" s="689">
        <f t="shared" si="51"/>
        <v>0</v>
      </c>
    </row>
    <row r="3266" spans="1:10" ht="12.75" customHeight="1" x14ac:dyDescent="0.2">
      <c r="A3266" s="681" t="s">
        <v>2370</v>
      </c>
      <c r="B3266" s="693" t="s">
        <v>5825</v>
      </c>
      <c r="C3266" s="672" t="s">
        <v>785</v>
      </c>
      <c r="D3266" s="673">
        <v>39498</v>
      </c>
      <c r="E3266" s="674">
        <v>10</v>
      </c>
      <c r="F3266" s="675">
        <v>0.1</v>
      </c>
      <c r="G3266" s="676">
        <v>822</v>
      </c>
      <c r="H3266" s="929">
        <v>82.199999999999989</v>
      </c>
      <c r="I3266" s="929">
        <v>822</v>
      </c>
      <c r="J3266" s="689">
        <f t="shared" si="51"/>
        <v>0</v>
      </c>
    </row>
    <row r="3267" spans="1:10" ht="12.75" customHeight="1" x14ac:dyDescent="0.2">
      <c r="A3267" s="681" t="s">
        <v>2370</v>
      </c>
      <c r="B3267" s="693" t="s">
        <v>5826</v>
      </c>
      <c r="C3267" s="672" t="s">
        <v>785</v>
      </c>
      <c r="D3267" s="673">
        <v>39498</v>
      </c>
      <c r="E3267" s="674">
        <v>10</v>
      </c>
      <c r="F3267" s="675">
        <v>0.1</v>
      </c>
      <c r="G3267" s="676">
        <v>908</v>
      </c>
      <c r="H3267" s="929">
        <v>90.799999999999969</v>
      </c>
      <c r="I3267" s="929">
        <v>907.99999999999977</v>
      </c>
      <c r="J3267" s="689">
        <f t="shared" si="51"/>
        <v>0</v>
      </c>
    </row>
    <row r="3268" spans="1:10" ht="12.75" customHeight="1" x14ac:dyDescent="0.2">
      <c r="A3268" s="681" t="s">
        <v>2370</v>
      </c>
      <c r="B3268" s="693" t="s">
        <v>5827</v>
      </c>
      <c r="C3268" s="672" t="s">
        <v>785</v>
      </c>
      <c r="D3268" s="673">
        <v>39498</v>
      </c>
      <c r="E3268" s="674">
        <v>10</v>
      </c>
      <c r="F3268" s="675">
        <v>0.1</v>
      </c>
      <c r="G3268" s="676">
        <v>988</v>
      </c>
      <c r="H3268" s="929">
        <v>98.8</v>
      </c>
      <c r="I3268" s="929">
        <v>987.99999999999977</v>
      </c>
      <c r="J3268" s="689">
        <f t="shared" si="51"/>
        <v>0</v>
      </c>
    </row>
    <row r="3269" spans="1:10" ht="12.75" customHeight="1" x14ac:dyDescent="0.2">
      <c r="A3269" s="681" t="s">
        <v>2370</v>
      </c>
      <c r="B3269" s="693" t="s">
        <v>5828</v>
      </c>
      <c r="C3269" s="672" t="s">
        <v>785</v>
      </c>
      <c r="D3269" s="673">
        <v>39498</v>
      </c>
      <c r="E3269" s="674">
        <v>10</v>
      </c>
      <c r="F3269" s="675">
        <v>0.1</v>
      </c>
      <c r="G3269" s="676">
        <v>988</v>
      </c>
      <c r="H3269" s="929">
        <v>98.8</v>
      </c>
      <c r="I3269" s="929">
        <v>987.99999999999977</v>
      </c>
      <c r="J3269" s="689">
        <f t="shared" si="51"/>
        <v>0</v>
      </c>
    </row>
    <row r="3270" spans="1:10" ht="12.75" customHeight="1" x14ac:dyDescent="0.2">
      <c r="A3270" s="681" t="s">
        <v>2370</v>
      </c>
      <c r="B3270" s="693" t="s">
        <v>5829</v>
      </c>
      <c r="C3270" s="672" t="s">
        <v>864</v>
      </c>
      <c r="D3270" s="673">
        <v>39498</v>
      </c>
      <c r="E3270" s="674">
        <v>10</v>
      </c>
      <c r="F3270" s="675">
        <v>0.1</v>
      </c>
      <c r="G3270" s="676">
        <v>1090</v>
      </c>
      <c r="H3270" s="929">
        <v>108.99999999999999</v>
      </c>
      <c r="I3270" s="929">
        <v>1090</v>
      </c>
      <c r="J3270" s="689">
        <f t="shared" si="51"/>
        <v>0</v>
      </c>
    </row>
    <row r="3271" spans="1:10" ht="12.75" customHeight="1" x14ac:dyDescent="0.2">
      <c r="A3271" s="681" t="s">
        <v>2370</v>
      </c>
      <c r="B3271" s="693" t="s">
        <v>5830</v>
      </c>
      <c r="C3271" s="672" t="s">
        <v>830</v>
      </c>
      <c r="D3271" s="673">
        <v>39498</v>
      </c>
      <c r="E3271" s="674">
        <v>10</v>
      </c>
      <c r="F3271" s="675">
        <v>0.1</v>
      </c>
      <c r="G3271" s="676">
        <v>1100</v>
      </c>
      <c r="H3271" s="929">
        <v>110.00000000000001</v>
      </c>
      <c r="I3271" s="929">
        <v>1100</v>
      </c>
      <c r="J3271" s="689">
        <f t="shared" ref="J3271:J3334" si="52">G3271-I3271</f>
        <v>0</v>
      </c>
    </row>
    <row r="3272" spans="1:10" ht="12.75" customHeight="1" x14ac:dyDescent="0.2">
      <c r="A3272" s="681" t="s">
        <v>2370</v>
      </c>
      <c r="B3272" s="693" t="s">
        <v>5831</v>
      </c>
      <c r="C3272" s="672" t="s">
        <v>830</v>
      </c>
      <c r="D3272" s="673">
        <v>39498</v>
      </c>
      <c r="E3272" s="674">
        <v>10</v>
      </c>
      <c r="F3272" s="675">
        <v>0.1</v>
      </c>
      <c r="G3272" s="676">
        <v>1101</v>
      </c>
      <c r="H3272" s="929">
        <v>110.09999999999998</v>
      </c>
      <c r="I3272" s="929">
        <v>1101</v>
      </c>
      <c r="J3272" s="689">
        <f t="shared" si="52"/>
        <v>0</v>
      </c>
    </row>
    <row r="3273" spans="1:10" ht="12.75" customHeight="1" x14ac:dyDescent="0.2">
      <c r="A3273" s="681" t="s">
        <v>2370</v>
      </c>
      <c r="B3273" s="693" t="s">
        <v>5832</v>
      </c>
      <c r="C3273" s="672" t="s">
        <v>830</v>
      </c>
      <c r="D3273" s="673">
        <v>39498</v>
      </c>
      <c r="E3273" s="674">
        <v>10</v>
      </c>
      <c r="F3273" s="675">
        <v>0.1</v>
      </c>
      <c r="G3273" s="676">
        <v>1101</v>
      </c>
      <c r="H3273" s="929">
        <v>110.09999999999998</v>
      </c>
      <c r="I3273" s="929">
        <v>1101</v>
      </c>
      <c r="J3273" s="689">
        <f t="shared" si="52"/>
        <v>0</v>
      </c>
    </row>
    <row r="3274" spans="1:10" ht="12.75" customHeight="1" x14ac:dyDescent="0.2">
      <c r="A3274" s="681" t="s">
        <v>2370</v>
      </c>
      <c r="B3274" s="693" t="s">
        <v>5833</v>
      </c>
      <c r="C3274" s="672" t="s">
        <v>806</v>
      </c>
      <c r="D3274" s="673">
        <v>39498</v>
      </c>
      <c r="E3274" s="674">
        <v>10</v>
      </c>
      <c r="F3274" s="675">
        <v>0.1</v>
      </c>
      <c r="G3274" s="676">
        <v>1104</v>
      </c>
      <c r="H3274" s="929">
        <v>110.40000000000002</v>
      </c>
      <c r="I3274" s="929">
        <v>1104</v>
      </c>
      <c r="J3274" s="689">
        <f t="shared" si="52"/>
        <v>0</v>
      </c>
    </row>
    <row r="3275" spans="1:10" ht="12.75" customHeight="1" x14ac:dyDescent="0.2">
      <c r="A3275" s="681" t="s">
        <v>2370</v>
      </c>
      <c r="B3275" s="693" t="s">
        <v>5834</v>
      </c>
      <c r="C3275" s="672" t="s">
        <v>785</v>
      </c>
      <c r="D3275" s="673">
        <v>39498</v>
      </c>
      <c r="E3275" s="674">
        <v>10</v>
      </c>
      <c r="F3275" s="675">
        <v>0.1</v>
      </c>
      <c r="G3275" s="676">
        <v>1127</v>
      </c>
      <c r="H3275" s="929">
        <v>112.69999999999999</v>
      </c>
      <c r="I3275" s="929">
        <v>1127.0000000000002</v>
      </c>
      <c r="J3275" s="689">
        <f t="shared" si="52"/>
        <v>0</v>
      </c>
    </row>
    <row r="3276" spans="1:10" ht="12.75" customHeight="1" x14ac:dyDescent="0.2">
      <c r="A3276" s="681" t="s">
        <v>2370</v>
      </c>
      <c r="B3276" s="693" t="s">
        <v>5835</v>
      </c>
      <c r="C3276" s="672" t="s">
        <v>785</v>
      </c>
      <c r="D3276" s="673">
        <v>39498</v>
      </c>
      <c r="E3276" s="674">
        <v>10</v>
      </c>
      <c r="F3276" s="675">
        <v>0.1</v>
      </c>
      <c r="G3276" s="676">
        <v>1127</v>
      </c>
      <c r="H3276" s="929">
        <v>112.69999999999999</v>
      </c>
      <c r="I3276" s="929">
        <v>1127.0000000000002</v>
      </c>
      <c r="J3276" s="689">
        <f t="shared" si="52"/>
        <v>0</v>
      </c>
    </row>
    <row r="3277" spans="1:10" ht="12.75" customHeight="1" x14ac:dyDescent="0.2">
      <c r="A3277" s="681" t="s">
        <v>2370</v>
      </c>
      <c r="B3277" s="693" t="s">
        <v>5836</v>
      </c>
      <c r="C3277" s="672" t="s">
        <v>785</v>
      </c>
      <c r="D3277" s="673">
        <v>39498</v>
      </c>
      <c r="E3277" s="674">
        <v>10</v>
      </c>
      <c r="F3277" s="675">
        <v>0.1</v>
      </c>
      <c r="G3277" s="676">
        <v>1202</v>
      </c>
      <c r="H3277" s="929">
        <v>120.19999999999999</v>
      </c>
      <c r="I3277" s="929">
        <v>1202.0000000000002</v>
      </c>
      <c r="J3277" s="689">
        <f t="shared" si="52"/>
        <v>0</v>
      </c>
    </row>
    <row r="3278" spans="1:10" ht="12.75" customHeight="1" x14ac:dyDescent="0.2">
      <c r="A3278" s="681" t="s">
        <v>2370</v>
      </c>
      <c r="B3278" s="693" t="s">
        <v>5837</v>
      </c>
      <c r="C3278" s="672" t="s">
        <v>785</v>
      </c>
      <c r="D3278" s="673">
        <v>39498</v>
      </c>
      <c r="E3278" s="674">
        <v>10</v>
      </c>
      <c r="F3278" s="675">
        <v>0.1</v>
      </c>
      <c r="G3278" s="676">
        <v>1202</v>
      </c>
      <c r="H3278" s="929">
        <v>120.19999999999999</v>
      </c>
      <c r="I3278" s="929">
        <v>1202.0000000000002</v>
      </c>
      <c r="J3278" s="689">
        <f t="shared" si="52"/>
        <v>0</v>
      </c>
    </row>
    <row r="3279" spans="1:10" ht="12.75" customHeight="1" x14ac:dyDescent="0.2">
      <c r="A3279" s="681" t="s">
        <v>2370</v>
      </c>
      <c r="B3279" s="693" t="s">
        <v>5838</v>
      </c>
      <c r="C3279" s="672" t="s">
        <v>785</v>
      </c>
      <c r="D3279" s="673">
        <v>39498</v>
      </c>
      <c r="E3279" s="674">
        <v>10</v>
      </c>
      <c r="F3279" s="675">
        <v>0.1</v>
      </c>
      <c r="G3279" s="676">
        <v>1232</v>
      </c>
      <c r="H3279" s="929">
        <v>123.19999999999999</v>
      </c>
      <c r="I3279" s="929">
        <v>1232.0000000000002</v>
      </c>
      <c r="J3279" s="689">
        <f t="shared" si="52"/>
        <v>0</v>
      </c>
    </row>
    <row r="3280" spans="1:10" ht="12.75" customHeight="1" x14ac:dyDescent="0.2">
      <c r="A3280" s="681" t="s">
        <v>2370</v>
      </c>
      <c r="B3280" s="693" t="s">
        <v>5839</v>
      </c>
      <c r="C3280" s="672" t="s">
        <v>785</v>
      </c>
      <c r="D3280" s="673">
        <v>39498</v>
      </c>
      <c r="E3280" s="674">
        <v>10</v>
      </c>
      <c r="F3280" s="675">
        <v>0.1</v>
      </c>
      <c r="G3280" s="676">
        <v>1232</v>
      </c>
      <c r="H3280" s="929">
        <v>123.19999999999999</v>
      </c>
      <c r="I3280" s="929">
        <v>1232.0000000000002</v>
      </c>
      <c r="J3280" s="689">
        <f t="shared" si="52"/>
        <v>0</v>
      </c>
    </row>
    <row r="3281" spans="1:10" ht="12.75" customHeight="1" x14ac:dyDescent="0.2">
      <c r="A3281" s="681" t="s">
        <v>2370</v>
      </c>
      <c r="B3281" s="693" t="s">
        <v>5840</v>
      </c>
      <c r="C3281" s="672" t="s">
        <v>786</v>
      </c>
      <c r="D3281" s="673">
        <v>39498</v>
      </c>
      <c r="E3281" s="674">
        <v>10</v>
      </c>
      <c r="F3281" s="675">
        <v>0.1</v>
      </c>
      <c r="G3281" s="676">
        <v>1328</v>
      </c>
      <c r="H3281" s="929">
        <v>132.79999999999998</v>
      </c>
      <c r="I3281" s="929">
        <v>1327.9999999999998</v>
      </c>
      <c r="J3281" s="689">
        <f t="shared" si="52"/>
        <v>0</v>
      </c>
    </row>
    <row r="3282" spans="1:10" ht="12.75" customHeight="1" x14ac:dyDescent="0.2">
      <c r="A3282" s="681" t="s">
        <v>2370</v>
      </c>
      <c r="B3282" s="693" t="s">
        <v>5841</v>
      </c>
      <c r="C3282" s="672" t="s">
        <v>786</v>
      </c>
      <c r="D3282" s="673">
        <v>39498</v>
      </c>
      <c r="E3282" s="674">
        <v>10</v>
      </c>
      <c r="F3282" s="675">
        <v>0.1</v>
      </c>
      <c r="G3282" s="676">
        <v>1405</v>
      </c>
      <c r="H3282" s="929">
        <v>140.5</v>
      </c>
      <c r="I3282" s="929">
        <v>1405</v>
      </c>
      <c r="J3282" s="689">
        <f t="shared" si="52"/>
        <v>0</v>
      </c>
    </row>
    <row r="3283" spans="1:10" ht="12.75" customHeight="1" x14ac:dyDescent="0.2">
      <c r="A3283" s="681" t="s">
        <v>2370</v>
      </c>
      <c r="B3283" s="693" t="s">
        <v>5842</v>
      </c>
      <c r="C3283" s="672" t="s">
        <v>786</v>
      </c>
      <c r="D3283" s="673">
        <v>39498</v>
      </c>
      <c r="E3283" s="674">
        <v>10</v>
      </c>
      <c r="F3283" s="675">
        <v>0.1</v>
      </c>
      <c r="G3283" s="676">
        <v>1405</v>
      </c>
      <c r="H3283" s="929">
        <v>140.5</v>
      </c>
      <c r="I3283" s="929">
        <v>1405</v>
      </c>
      <c r="J3283" s="689">
        <f t="shared" si="52"/>
        <v>0</v>
      </c>
    </row>
    <row r="3284" spans="1:10" ht="12.75" customHeight="1" x14ac:dyDescent="0.2">
      <c r="A3284" s="681" t="s">
        <v>2370</v>
      </c>
      <c r="B3284" s="693" t="s">
        <v>5843</v>
      </c>
      <c r="C3284" s="672" t="s">
        <v>786</v>
      </c>
      <c r="D3284" s="673">
        <v>39498</v>
      </c>
      <c r="E3284" s="674">
        <v>10</v>
      </c>
      <c r="F3284" s="675">
        <v>0.1</v>
      </c>
      <c r="G3284" s="676">
        <v>1405</v>
      </c>
      <c r="H3284" s="929">
        <v>140.5</v>
      </c>
      <c r="I3284" s="929">
        <v>1405</v>
      </c>
      <c r="J3284" s="689">
        <f t="shared" si="52"/>
        <v>0</v>
      </c>
    </row>
    <row r="3285" spans="1:10" ht="12.75" customHeight="1" x14ac:dyDescent="0.2">
      <c r="A3285" s="681" t="s">
        <v>2370</v>
      </c>
      <c r="B3285" s="693" t="s">
        <v>5844</v>
      </c>
      <c r="C3285" s="672" t="s">
        <v>819</v>
      </c>
      <c r="D3285" s="673">
        <v>39498</v>
      </c>
      <c r="E3285" s="674">
        <v>10</v>
      </c>
      <c r="F3285" s="675">
        <v>0.1</v>
      </c>
      <c r="G3285" s="676">
        <v>1426</v>
      </c>
      <c r="H3285" s="929">
        <v>142.59999999999997</v>
      </c>
      <c r="I3285" s="929">
        <v>1425.9999999999998</v>
      </c>
      <c r="J3285" s="689">
        <f t="shared" si="52"/>
        <v>0</v>
      </c>
    </row>
    <row r="3286" spans="1:10" ht="12.75" customHeight="1" x14ac:dyDescent="0.2">
      <c r="A3286" s="681" t="s">
        <v>2370</v>
      </c>
      <c r="B3286" s="693" t="s">
        <v>5845</v>
      </c>
      <c r="C3286" s="672" t="s">
        <v>790</v>
      </c>
      <c r="D3286" s="673">
        <v>39498</v>
      </c>
      <c r="E3286" s="674">
        <v>10</v>
      </c>
      <c r="F3286" s="675">
        <v>0.1</v>
      </c>
      <c r="G3286" s="676">
        <v>1429</v>
      </c>
      <c r="H3286" s="929">
        <v>142.9</v>
      </c>
      <c r="I3286" s="929">
        <v>1429.0000000000002</v>
      </c>
      <c r="J3286" s="689">
        <f t="shared" si="52"/>
        <v>0</v>
      </c>
    </row>
    <row r="3287" spans="1:10" ht="12.75" customHeight="1" x14ac:dyDescent="0.2">
      <c r="A3287" s="681" t="s">
        <v>2370</v>
      </c>
      <c r="B3287" s="693" t="s">
        <v>5846</v>
      </c>
      <c r="C3287" s="672" t="s">
        <v>791</v>
      </c>
      <c r="D3287" s="673">
        <v>39498</v>
      </c>
      <c r="E3287" s="674">
        <v>10</v>
      </c>
      <c r="F3287" s="675">
        <v>0.1</v>
      </c>
      <c r="G3287" s="676">
        <v>1495</v>
      </c>
      <c r="H3287" s="929">
        <v>149.5</v>
      </c>
      <c r="I3287" s="929">
        <v>1495</v>
      </c>
      <c r="J3287" s="689">
        <f t="shared" si="52"/>
        <v>0</v>
      </c>
    </row>
    <row r="3288" spans="1:10" ht="12.75" customHeight="1" x14ac:dyDescent="0.2">
      <c r="A3288" s="681" t="s">
        <v>2370</v>
      </c>
      <c r="B3288" s="693" t="s">
        <v>5847</v>
      </c>
      <c r="C3288" s="672" t="s">
        <v>832</v>
      </c>
      <c r="D3288" s="673">
        <v>39498</v>
      </c>
      <c r="E3288" s="674">
        <v>10</v>
      </c>
      <c r="F3288" s="675">
        <v>0.1</v>
      </c>
      <c r="G3288" s="676">
        <v>1517</v>
      </c>
      <c r="H3288" s="929">
        <v>151.69999999999999</v>
      </c>
      <c r="I3288" s="929">
        <v>1517.0000000000002</v>
      </c>
      <c r="J3288" s="689">
        <f t="shared" si="52"/>
        <v>0</v>
      </c>
    </row>
    <row r="3289" spans="1:10" ht="12.75" customHeight="1" x14ac:dyDescent="0.2">
      <c r="A3289" s="681" t="s">
        <v>2370</v>
      </c>
      <c r="B3289" s="693" t="s">
        <v>5848</v>
      </c>
      <c r="C3289" s="672" t="s">
        <v>921</v>
      </c>
      <c r="D3289" s="673">
        <v>39498</v>
      </c>
      <c r="E3289" s="674">
        <v>10</v>
      </c>
      <c r="F3289" s="675">
        <v>0.1</v>
      </c>
      <c r="G3289" s="676">
        <v>1537</v>
      </c>
      <c r="H3289" s="929">
        <v>153.70000000000002</v>
      </c>
      <c r="I3289" s="929">
        <v>1537.0000000000002</v>
      </c>
      <c r="J3289" s="689">
        <f t="shared" si="52"/>
        <v>0</v>
      </c>
    </row>
    <row r="3290" spans="1:10" ht="12.75" customHeight="1" x14ac:dyDescent="0.2">
      <c r="A3290" s="681" t="s">
        <v>2372</v>
      </c>
      <c r="B3290" s="693" t="s">
        <v>5849</v>
      </c>
      <c r="C3290" s="672" t="s">
        <v>737</v>
      </c>
      <c r="D3290" s="673">
        <v>39498</v>
      </c>
      <c r="E3290" s="674">
        <v>10</v>
      </c>
      <c r="F3290" s="675">
        <v>0.1</v>
      </c>
      <c r="G3290" s="676">
        <v>1599</v>
      </c>
      <c r="H3290" s="929">
        <v>159.89999999999998</v>
      </c>
      <c r="I3290" s="929">
        <v>1599</v>
      </c>
      <c r="J3290" s="689">
        <f t="shared" si="52"/>
        <v>0</v>
      </c>
    </row>
    <row r="3291" spans="1:10" ht="12.75" customHeight="1" x14ac:dyDescent="0.2">
      <c r="A3291" s="681" t="s">
        <v>2370</v>
      </c>
      <c r="B3291" s="693" t="s">
        <v>5850</v>
      </c>
      <c r="C3291" s="672" t="s">
        <v>846</v>
      </c>
      <c r="D3291" s="673">
        <v>39498</v>
      </c>
      <c r="E3291" s="674">
        <v>10</v>
      </c>
      <c r="F3291" s="675">
        <v>0.1</v>
      </c>
      <c r="G3291" s="676">
        <v>1653</v>
      </c>
      <c r="H3291" s="929">
        <v>165.30000000000004</v>
      </c>
      <c r="I3291" s="929">
        <v>1652.9999999999998</v>
      </c>
      <c r="J3291" s="689">
        <f t="shared" si="52"/>
        <v>0</v>
      </c>
    </row>
    <row r="3292" spans="1:10" ht="12.75" customHeight="1" x14ac:dyDescent="0.2">
      <c r="A3292" s="681" t="s">
        <v>2370</v>
      </c>
      <c r="B3292" s="693" t="s">
        <v>5851</v>
      </c>
      <c r="C3292" s="672" t="s">
        <v>798</v>
      </c>
      <c r="D3292" s="673">
        <v>39498</v>
      </c>
      <c r="E3292" s="674">
        <v>10</v>
      </c>
      <c r="F3292" s="675">
        <v>0.1</v>
      </c>
      <c r="G3292" s="676">
        <v>1709</v>
      </c>
      <c r="H3292" s="929">
        <v>170.90000000000006</v>
      </c>
      <c r="I3292" s="929">
        <v>1709.0000000000005</v>
      </c>
      <c r="J3292" s="689">
        <f t="shared" si="52"/>
        <v>0</v>
      </c>
    </row>
    <row r="3293" spans="1:10" ht="12.75" customHeight="1" x14ac:dyDescent="0.2">
      <c r="A3293" s="681" t="s">
        <v>2370</v>
      </c>
      <c r="B3293" s="693" t="s">
        <v>5852</v>
      </c>
      <c r="C3293" s="672" t="s">
        <v>786</v>
      </c>
      <c r="D3293" s="673">
        <v>39498</v>
      </c>
      <c r="E3293" s="674">
        <v>10</v>
      </c>
      <c r="F3293" s="675">
        <v>0.1</v>
      </c>
      <c r="G3293" s="676">
        <v>1725</v>
      </c>
      <c r="H3293" s="929">
        <v>172.5</v>
      </c>
      <c r="I3293" s="929">
        <v>1725</v>
      </c>
      <c r="J3293" s="689">
        <f t="shared" si="52"/>
        <v>0</v>
      </c>
    </row>
    <row r="3294" spans="1:10" ht="12.75" customHeight="1" x14ac:dyDescent="0.2">
      <c r="A3294" s="681" t="s">
        <v>2370</v>
      </c>
      <c r="B3294" s="693" t="s">
        <v>5853</v>
      </c>
      <c r="C3294" s="672" t="s">
        <v>786</v>
      </c>
      <c r="D3294" s="673">
        <v>39498</v>
      </c>
      <c r="E3294" s="674">
        <v>10</v>
      </c>
      <c r="F3294" s="675">
        <v>0.1</v>
      </c>
      <c r="G3294" s="676">
        <v>1898</v>
      </c>
      <c r="H3294" s="929">
        <v>189.79999999999998</v>
      </c>
      <c r="I3294" s="929">
        <v>1897.9999999999998</v>
      </c>
      <c r="J3294" s="689">
        <f t="shared" si="52"/>
        <v>0</v>
      </c>
    </row>
    <row r="3295" spans="1:10" ht="12.75" customHeight="1" x14ac:dyDescent="0.2">
      <c r="A3295" s="681" t="s">
        <v>2370</v>
      </c>
      <c r="B3295" s="693" t="s">
        <v>5854</v>
      </c>
      <c r="C3295" s="672" t="s">
        <v>864</v>
      </c>
      <c r="D3295" s="673">
        <v>39498</v>
      </c>
      <c r="E3295" s="674">
        <v>10</v>
      </c>
      <c r="F3295" s="675">
        <v>0.1</v>
      </c>
      <c r="G3295" s="676">
        <v>1899</v>
      </c>
      <c r="H3295" s="929">
        <v>189.89999999999998</v>
      </c>
      <c r="I3295" s="929">
        <v>1899.0000000000005</v>
      </c>
      <c r="J3295" s="689">
        <f t="shared" si="52"/>
        <v>0</v>
      </c>
    </row>
    <row r="3296" spans="1:10" ht="12.75" customHeight="1" x14ac:dyDescent="0.2">
      <c r="A3296" s="681" t="s">
        <v>2370</v>
      </c>
      <c r="B3296" s="693" t="s">
        <v>5855</v>
      </c>
      <c r="C3296" s="672" t="s">
        <v>790</v>
      </c>
      <c r="D3296" s="673">
        <v>39498</v>
      </c>
      <c r="E3296" s="674">
        <v>10</v>
      </c>
      <c r="F3296" s="675">
        <v>0.1</v>
      </c>
      <c r="G3296" s="676">
        <v>1932</v>
      </c>
      <c r="H3296" s="929">
        <v>193.19999999999996</v>
      </c>
      <c r="I3296" s="929">
        <v>1932.0000000000002</v>
      </c>
      <c r="J3296" s="689">
        <f t="shared" si="52"/>
        <v>0</v>
      </c>
    </row>
    <row r="3297" spans="1:10" ht="12.75" customHeight="1" x14ac:dyDescent="0.2">
      <c r="A3297" s="681" t="s">
        <v>2372</v>
      </c>
      <c r="B3297" s="693" t="s">
        <v>5856</v>
      </c>
      <c r="C3297" s="672" t="s">
        <v>1005</v>
      </c>
      <c r="D3297" s="673">
        <v>39498</v>
      </c>
      <c r="E3297" s="674">
        <v>10</v>
      </c>
      <c r="F3297" s="675">
        <v>0.1</v>
      </c>
      <c r="G3297" s="676">
        <v>2012</v>
      </c>
      <c r="H3297" s="929">
        <v>201.19999999999993</v>
      </c>
      <c r="I3297" s="929">
        <v>2012</v>
      </c>
      <c r="J3297" s="689">
        <f t="shared" si="52"/>
        <v>0</v>
      </c>
    </row>
    <row r="3298" spans="1:10" ht="12.75" customHeight="1" x14ac:dyDescent="0.2">
      <c r="A3298" s="681" t="s">
        <v>2370</v>
      </c>
      <c r="B3298" s="693" t="s">
        <v>5857</v>
      </c>
      <c r="C3298" s="672" t="s">
        <v>786</v>
      </c>
      <c r="D3298" s="673">
        <v>39498</v>
      </c>
      <c r="E3298" s="674">
        <v>10</v>
      </c>
      <c r="F3298" s="675">
        <v>0.1</v>
      </c>
      <c r="G3298" s="676">
        <v>2018</v>
      </c>
      <c r="H3298" s="929">
        <v>201.79999999999998</v>
      </c>
      <c r="I3298" s="929">
        <v>2017.9999999999998</v>
      </c>
      <c r="J3298" s="689">
        <f t="shared" si="52"/>
        <v>0</v>
      </c>
    </row>
    <row r="3299" spans="1:10" ht="12.75" customHeight="1" x14ac:dyDescent="0.2">
      <c r="A3299" s="681" t="s">
        <v>2370</v>
      </c>
      <c r="B3299" s="693" t="s">
        <v>5858</v>
      </c>
      <c r="C3299" s="672" t="s">
        <v>786</v>
      </c>
      <c r="D3299" s="673">
        <v>39498</v>
      </c>
      <c r="E3299" s="674">
        <v>10</v>
      </c>
      <c r="F3299" s="675">
        <v>0.1</v>
      </c>
      <c r="G3299" s="676">
        <v>2018</v>
      </c>
      <c r="H3299" s="929">
        <v>201.79999999999998</v>
      </c>
      <c r="I3299" s="929">
        <v>2017.9999999999998</v>
      </c>
      <c r="J3299" s="689">
        <f t="shared" si="52"/>
        <v>0</v>
      </c>
    </row>
    <row r="3300" spans="1:10" ht="12.75" customHeight="1" x14ac:dyDescent="0.2">
      <c r="A3300" s="681" t="s">
        <v>2370</v>
      </c>
      <c r="B3300" s="693" t="s">
        <v>5859</v>
      </c>
      <c r="C3300" s="672" t="s">
        <v>786</v>
      </c>
      <c r="D3300" s="673">
        <v>39498</v>
      </c>
      <c r="E3300" s="674">
        <v>10</v>
      </c>
      <c r="F3300" s="675">
        <v>0.1</v>
      </c>
      <c r="G3300" s="676">
        <v>2018</v>
      </c>
      <c r="H3300" s="929">
        <v>201.79999999999998</v>
      </c>
      <c r="I3300" s="929">
        <v>2017.9999999999998</v>
      </c>
      <c r="J3300" s="689">
        <f t="shared" si="52"/>
        <v>0</v>
      </c>
    </row>
    <row r="3301" spans="1:10" ht="12.75" customHeight="1" x14ac:dyDescent="0.2">
      <c r="A3301" s="681" t="s">
        <v>2370</v>
      </c>
      <c r="B3301" s="693" t="s">
        <v>5860</v>
      </c>
      <c r="C3301" s="672" t="s">
        <v>786</v>
      </c>
      <c r="D3301" s="673">
        <v>39498</v>
      </c>
      <c r="E3301" s="674">
        <v>10</v>
      </c>
      <c r="F3301" s="675">
        <v>0.1</v>
      </c>
      <c r="G3301" s="676">
        <v>2018</v>
      </c>
      <c r="H3301" s="929">
        <v>201.79999999999998</v>
      </c>
      <c r="I3301" s="929">
        <v>2017.9999999999998</v>
      </c>
      <c r="J3301" s="689">
        <f t="shared" si="52"/>
        <v>0</v>
      </c>
    </row>
    <row r="3302" spans="1:10" ht="12.75" customHeight="1" x14ac:dyDescent="0.2">
      <c r="A3302" s="681" t="s">
        <v>2370</v>
      </c>
      <c r="B3302" s="693" t="s">
        <v>5861</v>
      </c>
      <c r="C3302" s="672" t="s">
        <v>786</v>
      </c>
      <c r="D3302" s="673">
        <v>39498</v>
      </c>
      <c r="E3302" s="674">
        <v>10</v>
      </c>
      <c r="F3302" s="675">
        <v>0.1</v>
      </c>
      <c r="G3302" s="676">
        <v>2018.25</v>
      </c>
      <c r="H3302" s="929">
        <v>201.82499999999996</v>
      </c>
      <c r="I3302" s="929">
        <v>2018.2500000000002</v>
      </c>
      <c r="J3302" s="689">
        <f t="shared" si="52"/>
        <v>0</v>
      </c>
    </row>
    <row r="3303" spans="1:10" ht="12.75" customHeight="1" x14ac:dyDescent="0.2">
      <c r="A3303" s="681" t="s">
        <v>2370</v>
      </c>
      <c r="B3303" s="693" t="s">
        <v>5862</v>
      </c>
      <c r="C3303" s="672" t="s">
        <v>925</v>
      </c>
      <c r="D3303" s="673">
        <v>39498</v>
      </c>
      <c r="E3303" s="674">
        <v>10</v>
      </c>
      <c r="F3303" s="675">
        <v>0.1</v>
      </c>
      <c r="G3303" s="676">
        <v>2101</v>
      </c>
      <c r="H3303" s="929">
        <v>210.09999999999994</v>
      </c>
      <c r="I3303" s="929">
        <v>2100.9999999999995</v>
      </c>
      <c r="J3303" s="689">
        <f t="shared" si="52"/>
        <v>0</v>
      </c>
    </row>
    <row r="3304" spans="1:10" ht="12.75" customHeight="1" x14ac:dyDescent="0.2">
      <c r="A3304" s="681" t="s">
        <v>2370</v>
      </c>
      <c r="B3304" s="693" t="s">
        <v>5863</v>
      </c>
      <c r="C3304" s="672" t="s">
        <v>785</v>
      </c>
      <c r="D3304" s="673">
        <v>39498</v>
      </c>
      <c r="E3304" s="674">
        <v>10</v>
      </c>
      <c r="F3304" s="675">
        <v>0.1</v>
      </c>
      <c r="G3304" s="676">
        <v>2128</v>
      </c>
      <c r="H3304" s="929">
        <v>212.80000000000007</v>
      </c>
      <c r="I3304" s="929">
        <v>2128</v>
      </c>
      <c r="J3304" s="689">
        <f t="shared" si="52"/>
        <v>0</v>
      </c>
    </row>
    <row r="3305" spans="1:10" ht="12.75" customHeight="1" x14ac:dyDescent="0.2">
      <c r="A3305" s="681" t="s">
        <v>2370</v>
      </c>
      <c r="B3305" s="693" t="s">
        <v>5864</v>
      </c>
      <c r="C3305" s="672" t="s">
        <v>787</v>
      </c>
      <c r="D3305" s="673">
        <v>39498</v>
      </c>
      <c r="E3305" s="674">
        <v>10</v>
      </c>
      <c r="F3305" s="675">
        <v>0.1</v>
      </c>
      <c r="G3305" s="676">
        <v>2168</v>
      </c>
      <c r="H3305" s="929">
        <v>216.79999999999998</v>
      </c>
      <c r="I3305" s="929">
        <v>2168</v>
      </c>
      <c r="J3305" s="689">
        <f t="shared" si="52"/>
        <v>0</v>
      </c>
    </row>
    <row r="3306" spans="1:10" ht="12.75" customHeight="1" x14ac:dyDescent="0.2">
      <c r="A3306" s="681" t="s">
        <v>2370</v>
      </c>
      <c r="B3306" s="693" t="s">
        <v>5865</v>
      </c>
      <c r="C3306" s="672" t="s">
        <v>787</v>
      </c>
      <c r="D3306" s="673">
        <v>39498</v>
      </c>
      <c r="E3306" s="674">
        <v>10</v>
      </c>
      <c r="F3306" s="675">
        <v>0.1</v>
      </c>
      <c r="G3306" s="676">
        <v>2168</v>
      </c>
      <c r="H3306" s="929">
        <v>216.79999999999998</v>
      </c>
      <c r="I3306" s="929">
        <v>2168</v>
      </c>
      <c r="J3306" s="689">
        <f t="shared" si="52"/>
        <v>0</v>
      </c>
    </row>
    <row r="3307" spans="1:10" ht="12.75" customHeight="1" x14ac:dyDescent="0.2">
      <c r="A3307" s="681" t="s">
        <v>2370</v>
      </c>
      <c r="B3307" s="693" t="s">
        <v>5866</v>
      </c>
      <c r="C3307" s="672" t="s">
        <v>785</v>
      </c>
      <c r="D3307" s="673">
        <v>39498</v>
      </c>
      <c r="E3307" s="674">
        <v>10</v>
      </c>
      <c r="F3307" s="675">
        <v>0.1</v>
      </c>
      <c r="G3307" s="676">
        <v>2185</v>
      </c>
      <c r="H3307" s="929">
        <v>218.50000000000003</v>
      </c>
      <c r="I3307" s="929">
        <v>2185</v>
      </c>
      <c r="J3307" s="689">
        <f t="shared" si="52"/>
        <v>0</v>
      </c>
    </row>
    <row r="3308" spans="1:10" ht="12.75" customHeight="1" x14ac:dyDescent="0.2">
      <c r="A3308" s="681" t="s">
        <v>2372</v>
      </c>
      <c r="B3308" s="693" t="s">
        <v>5867</v>
      </c>
      <c r="C3308" s="672" t="s">
        <v>1049</v>
      </c>
      <c r="D3308" s="673">
        <v>39498</v>
      </c>
      <c r="E3308" s="674">
        <v>10</v>
      </c>
      <c r="F3308" s="675">
        <v>0.1</v>
      </c>
      <c r="G3308" s="676">
        <v>2338</v>
      </c>
      <c r="H3308" s="929">
        <v>233.80000000000007</v>
      </c>
      <c r="I3308" s="929">
        <v>2338</v>
      </c>
      <c r="J3308" s="689">
        <f t="shared" si="52"/>
        <v>0</v>
      </c>
    </row>
    <row r="3309" spans="1:10" ht="12.75" customHeight="1" x14ac:dyDescent="0.2">
      <c r="A3309" s="681" t="s">
        <v>2370</v>
      </c>
      <c r="B3309" s="693" t="s">
        <v>5868</v>
      </c>
      <c r="C3309" s="672" t="s">
        <v>787</v>
      </c>
      <c r="D3309" s="673">
        <v>39498</v>
      </c>
      <c r="E3309" s="674">
        <v>10</v>
      </c>
      <c r="F3309" s="675">
        <v>0.1</v>
      </c>
      <c r="G3309" s="676">
        <v>2350</v>
      </c>
      <c r="H3309" s="929">
        <v>235.00000000000003</v>
      </c>
      <c r="I3309" s="929">
        <v>2350</v>
      </c>
      <c r="J3309" s="689">
        <f t="shared" si="52"/>
        <v>0</v>
      </c>
    </row>
    <row r="3310" spans="1:10" ht="12.75" customHeight="1" x14ac:dyDescent="0.2">
      <c r="A3310" s="681" t="s">
        <v>2370</v>
      </c>
      <c r="B3310" s="693" t="s">
        <v>5869</v>
      </c>
      <c r="C3310" s="672" t="s">
        <v>787</v>
      </c>
      <c r="D3310" s="673">
        <v>39498</v>
      </c>
      <c r="E3310" s="674">
        <v>10</v>
      </c>
      <c r="F3310" s="675">
        <v>0.1</v>
      </c>
      <c r="G3310" s="676">
        <v>2351</v>
      </c>
      <c r="H3310" s="929">
        <v>235.1</v>
      </c>
      <c r="I3310" s="929">
        <v>2350.9999999999995</v>
      </c>
      <c r="J3310" s="689">
        <f t="shared" si="52"/>
        <v>0</v>
      </c>
    </row>
    <row r="3311" spans="1:10" ht="12.75" customHeight="1" x14ac:dyDescent="0.2">
      <c r="A3311" s="681" t="s">
        <v>2370</v>
      </c>
      <c r="B3311" s="693" t="s">
        <v>5870</v>
      </c>
      <c r="C3311" s="672" t="s">
        <v>787</v>
      </c>
      <c r="D3311" s="673">
        <v>39498</v>
      </c>
      <c r="E3311" s="674">
        <v>10</v>
      </c>
      <c r="F3311" s="675">
        <v>0.1</v>
      </c>
      <c r="G3311" s="676">
        <v>2351</v>
      </c>
      <c r="H3311" s="929">
        <v>235.1</v>
      </c>
      <c r="I3311" s="929">
        <v>2350.9999999999995</v>
      </c>
      <c r="J3311" s="689">
        <f t="shared" si="52"/>
        <v>0</v>
      </c>
    </row>
    <row r="3312" spans="1:10" ht="12.75" customHeight="1" x14ac:dyDescent="0.2">
      <c r="A3312" s="681" t="s">
        <v>2370</v>
      </c>
      <c r="B3312" s="693" t="s">
        <v>5871</v>
      </c>
      <c r="C3312" s="672" t="s">
        <v>787</v>
      </c>
      <c r="D3312" s="673">
        <v>39498</v>
      </c>
      <c r="E3312" s="674">
        <v>10</v>
      </c>
      <c r="F3312" s="675">
        <v>0.1</v>
      </c>
      <c r="G3312" s="676">
        <v>2351</v>
      </c>
      <c r="H3312" s="929">
        <v>235.1</v>
      </c>
      <c r="I3312" s="929">
        <v>2350.9999999999995</v>
      </c>
      <c r="J3312" s="689">
        <f t="shared" si="52"/>
        <v>0</v>
      </c>
    </row>
    <row r="3313" spans="1:10" ht="12.75" customHeight="1" x14ac:dyDescent="0.2">
      <c r="A3313" s="681" t="s">
        <v>2370</v>
      </c>
      <c r="B3313" s="693" t="s">
        <v>5872</v>
      </c>
      <c r="C3313" s="672" t="s">
        <v>787</v>
      </c>
      <c r="D3313" s="673">
        <v>39498</v>
      </c>
      <c r="E3313" s="674">
        <v>10</v>
      </c>
      <c r="F3313" s="675">
        <v>0.1</v>
      </c>
      <c r="G3313" s="676">
        <v>2351</v>
      </c>
      <c r="H3313" s="929">
        <v>235.1</v>
      </c>
      <c r="I3313" s="929">
        <v>2350.9999999999995</v>
      </c>
      <c r="J3313" s="689">
        <f t="shared" si="52"/>
        <v>0</v>
      </c>
    </row>
    <row r="3314" spans="1:10" ht="12.75" customHeight="1" x14ac:dyDescent="0.2">
      <c r="A3314" s="681" t="s">
        <v>2370</v>
      </c>
      <c r="B3314" s="693" t="s">
        <v>5873</v>
      </c>
      <c r="C3314" s="672" t="s">
        <v>839</v>
      </c>
      <c r="D3314" s="673">
        <v>39498</v>
      </c>
      <c r="E3314" s="674">
        <v>10</v>
      </c>
      <c r="F3314" s="675">
        <v>0.1</v>
      </c>
      <c r="G3314" s="676">
        <v>2351</v>
      </c>
      <c r="H3314" s="929">
        <v>235.1</v>
      </c>
      <c r="I3314" s="929">
        <v>2350.9999999999995</v>
      </c>
      <c r="J3314" s="689">
        <f t="shared" si="52"/>
        <v>0</v>
      </c>
    </row>
    <row r="3315" spans="1:10" ht="12.75" customHeight="1" x14ac:dyDescent="0.2">
      <c r="A3315" s="681" t="s">
        <v>2370</v>
      </c>
      <c r="B3315" s="693" t="s">
        <v>5874</v>
      </c>
      <c r="C3315" s="672" t="s">
        <v>843</v>
      </c>
      <c r="D3315" s="673">
        <v>39498</v>
      </c>
      <c r="E3315" s="674">
        <v>10</v>
      </c>
      <c r="F3315" s="675">
        <v>0.1</v>
      </c>
      <c r="G3315" s="676">
        <v>2361</v>
      </c>
      <c r="H3315" s="929">
        <v>236.10000000000005</v>
      </c>
      <c r="I3315" s="929">
        <v>2360.9999999999995</v>
      </c>
      <c r="J3315" s="689">
        <f t="shared" si="52"/>
        <v>0</v>
      </c>
    </row>
    <row r="3316" spans="1:10" ht="12.75" customHeight="1" x14ac:dyDescent="0.2">
      <c r="A3316" s="681" t="s">
        <v>2370</v>
      </c>
      <c r="B3316" s="693" t="s">
        <v>5875</v>
      </c>
      <c r="C3316" s="672" t="s">
        <v>785</v>
      </c>
      <c r="D3316" s="673">
        <v>39498</v>
      </c>
      <c r="E3316" s="674">
        <v>10</v>
      </c>
      <c r="F3316" s="675">
        <v>0.1</v>
      </c>
      <c r="G3316" s="676">
        <v>2384</v>
      </c>
      <c r="H3316" s="929">
        <v>238.40000000000006</v>
      </c>
      <c r="I3316" s="929">
        <v>2384.0000000000005</v>
      </c>
      <c r="J3316" s="689">
        <f t="shared" si="52"/>
        <v>0</v>
      </c>
    </row>
    <row r="3317" spans="1:10" ht="12.75" customHeight="1" x14ac:dyDescent="0.2">
      <c r="A3317" s="681" t="s">
        <v>2372</v>
      </c>
      <c r="B3317" s="693" t="s">
        <v>5876</v>
      </c>
      <c r="C3317" s="672" t="s">
        <v>1065</v>
      </c>
      <c r="D3317" s="673">
        <v>39498</v>
      </c>
      <c r="E3317" s="674">
        <v>10</v>
      </c>
      <c r="F3317" s="675">
        <v>0.1</v>
      </c>
      <c r="G3317" s="676">
        <v>2386</v>
      </c>
      <c r="H3317" s="929">
        <v>238.59999999999994</v>
      </c>
      <c r="I3317" s="929">
        <v>2385.9999999999995</v>
      </c>
      <c r="J3317" s="689">
        <f t="shared" si="52"/>
        <v>0</v>
      </c>
    </row>
    <row r="3318" spans="1:10" ht="12.75" customHeight="1" x14ac:dyDescent="0.2">
      <c r="A3318" s="681" t="s">
        <v>2372</v>
      </c>
      <c r="B3318" s="693" t="s">
        <v>5877</v>
      </c>
      <c r="C3318" s="672" t="s">
        <v>1065</v>
      </c>
      <c r="D3318" s="673">
        <v>39498</v>
      </c>
      <c r="E3318" s="674">
        <v>10</v>
      </c>
      <c r="F3318" s="675">
        <v>0.1</v>
      </c>
      <c r="G3318" s="676">
        <v>2386</v>
      </c>
      <c r="H3318" s="929">
        <v>238.59999999999994</v>
      </c>
      <c r="I3318" s="929">
        <v>2385.9999999999995</v>
      </c>
      <c r="J3318" s="689">
        <f t="shared" si="52"/>
        <v>0</v>
      </c>
    </row>
    <row r="3319" spans="1:10" ht="12.75" customHeight="1" x14ac:dyDescent="0.2">
      <c r="A3319" s="681" t="s">
        <v>2372</v>
      </c>
      <c r="B3319" s="693" t="s">
        <v>5878</v>
      </c>
      <c r="C3319" s="672" t="s">
        <v>1065</v>
      </c>
      <c r="D3319" s="673">
        <v>39498</v>
      </c>
      <c r="E3319" s="674">
        <v>10</v>
      </c>
      <c r="F3319" s="675">
        <v>0.1</v>
      </c>
      <c r="G3319" s="676">
        <v>2386</v>
      </c>
      <c r="H3319" s="929">
        <v>238.59999999999994</v>
      </c>
      <c r="I3319" s="929">
        <v>2385.9999999999995</v>
      </c>
      <c r="J3319" s="689">
        <f t="shared" si="52"/>
        <v>0</v>
      </c>
    </row>
    <row r="3320" spans="1:10" ht="12.75" customHeight="1" x14ac:dyDescent="0.2">
      <c r="A3320" s="681" t="s">
        <v>2372</v>
      </c>
      <c r="B3320" s="693" t="s">
        <v>5879</v>
      </c>
      <c r="C3320" s="672" t="s">
        <v>1065</v>
      </c>
      <c r="D3320" s="673">
        <v>39498</v>
      </c>
      <c r="E3320" s="674">
        <v>10</v>
      </c>
      <c r="F3320" s="675">
        <v>0.1</v>
      </c>
      <c r="G3320" s="676">
        <v>2386</v>
      </c>
      <c r="H3320" s="929">
        <v>238.59999999999994</v>
      </c>
      <c r="I3320" s="929">
        <v>2385.9999999999995</v>
      </c>
      <c r="J3320" s="689">
        <f t="shared" si="52"/>
        <v>0</v>
      </c>
    </row>
    <row r="3321" spans="1:10" ht="12.75" customHeight="1" x14ac:dyDescent="0.2">
      <c r="A3321" s="681" t="s">
        <v>2372</v>
      </c>
      <c r="B3321" s="693" t="s">
        <v>5880</v>
      </c>
      <c r="C3321" s="672" t="s">
        <v>1065</v>
      </c>
      <c r="D3321" s="673">
        <v>39498</v>
      </c>
      <c r="E3321" s="674">
        <v>10</v>
      </c>
      <c r="F3321" s="675">
        <v>0.1</v>
      </c>
      <c r="G3321" s="676">
        <v>2386</v>
      </c>
      <c r="H3321" s="929">
        <v>238.59999999999994</v>
      </c>
      <c r="I3321" s="929">
        <v>2385.9999999999995</v>
      </c>
      <c r="J3321" s="689">
        <f t="shared" si="52"/>
        <v>0</v>
      </c>
    </row>
    <row r="3322" spans="1:10" ht="12.75" customHeight="1" x14ac:dyDescent="0.2">
      <c r="A3322" s="681" t="s">
        <v>2372</v>
      </c>
      <c r="B3322" s="693" t="s">
        <v>5881</v>
      </c>
      <c r="C3322" s="672" t="s">
        <v>1065</v>
      </c>
      <c r="D3322" s="673">
        <v>39498</v>
      </c>
      <c r="E3322" s="674">
        <v>10</v>
      </c>
      <c r="F3322" s="675">
        <v>0.1</v>
      </c>
      <c r="G3322" s="676">
        <v>2386</v>
      </c>
      <c r="H3322" s="929">
        <v>238.59999999999994</v>
      </c>
      <c r="I3322" s="929">
        <v>2385.9999999999995</v>
      </c>
      <c r="J3322" s="689">
        <f t="shared" si="52"/>
        <v>0</v>
      </c>
    </row>
    <row r="3323" spans="1:10" ht="12.75" customHeight="1" x14ac:dyDescent="0.2">
      <c r="A3323" s="681" t="s">
        <v>2372</v>
      </c>
      <c r="B3323" s="693" t="s">
        <v>5882</v>
      </c>
      <c r="C3323" s="672" t="s">
        <v>1065</v>
      </c>
      <c r="D3323" s="673">
        <v>39498</v>
      </c>
      <c r="E3323" s="674">
        <v>10</v>
      </c>
      <c r="F3323" s="675">
        <v>0.1</v>
      </c>
      <c r="G3323" s="676">
        <v>2386</v>
      </c>
      <c r="H3323" s="929">
        <v>238.59999999999994</v>
      </c>
      <c r="I3323" s="929">
        <v>2385.9999999999995</v>
      </c>
      <c r="J3323" s="689">
        <f t="shared" si="52"/>
        <v>0</v>
      </c>
    </row>
    <row r="3324" spans="1:10" ht="12.75" customHeight="1" x14ac:dyDescent="0.2">
      <c r="A3324" s="681" t="s">
        <v>2372</v>
      </c>
      <c r="B3324" s="693" t="s">
        <v>5883</v>
      </c>
      <c r="C3324" s="672" t="s">
        <v>1065</v>
      </c>
      <c r="D3324" s="673">
        <v>39498</v>
      </c>
      <c r="E3324" s="674">
        <v>10</v>
      </c>
      <c r="F3324" s="675">
        <v>0.1</v>
      </c>
      <c r="G3324" s="676">
        <v>2386</v>
      </c>
      <c r="H3324" s="929">
        <v>238.59999999999994</v>
      </c>
      <c r="I3324" s="929">
        <v>2385.9999999999995</v>
      </c>
      <c r="J3324" s="689">
        <f t="shared" si="52"/>
        <v>0</v>
      </c>
    </row>
    <row r="3325" spans="1:10" ht="12.75" customHeight="1" x14ac:dyDescent="0.2">
      <c r="A3325" s="681" t="s">
        <v>2370</v>
      </c>
      <c r="B3325" s="693" t="s">
        <v>5884</v>
      </c>
      <c r="C3325" s="672" t="s">
        <v>786</v>
      </c>
      <c r="D3325" s="673">
        <v>39498</v>
      </c>
      <c r="E3325" s="674">
        <v>10</v>
      </c>
      <c r="F3325" s="675">
        <v>0.1</v>
      </c>
      <c r="G3325" s="676">
        <v>2415</v>
      </c>
      <c r="H3325" s="929">
        <v>241.5</v>
      </c>
      <c r="I3325" s="929">
        <v>2415</v>
      </c>
      <c r="J3325" s="689">
        <f t="shared" si="52"/>
        <v>0</v>
      </c>
    </row>
    <row r="3326" spans="1:10" ht="12.75" customHeight="1" x14ac:dyDescent="0.2">
      <c r="A3326" s="681" t="s">
        <v>2370</v>
      </c>
      <c r="B3326" s="693" t="s">
        <v>5885</v>
      </c>
      <c r="C3326" s="672" t="s">
        <v>786</v>
      </c>
      <c r="D3326" s="673">
        <v>39498</v>
      </c>
      <c r="E3326" s="674">
        <v>10</v>
      </c>
      <c r="F3326" s="675">
        <v>0.1</v>
      </c>
      <c r="G3326" s="676">
        <v>2415</v>
      </c>
      <c r="H3326" s="929">
        <v>241.5</v>
      </c>
      <c r="I3326" s="929">
        <v>2415</v>
      </c>
      <c r="J3326" s="689">
        <f t="shared" si="52"/>
        <v>0</v>
      </c>
    </row>
    <row r="3327" spans="1:10" ht="12.75" customHeight="1" x14ac:dyDescent="0.2">
      <c r="A3327" s="681" t="s">
        <v>2370</v>
      </c>
      <c r="B3327" s="693" t="s">
        <v>5886</v>
      </c>
      <c r="C3327" s="672" t="s">
        <v>786</v>
      </c>
      <c r="D3327" s="673">
        <v>39498</v>
      </c>
      <c r="E3327" s="674">
        <v>10</v>
      </c>
      <c r="F3327" s="675">
        <v>0.1</v>
      </c>
      <c r="G3327" s="676">
        <v>2415</v>
      </c>
      <c r="H3327" s="929">
        <v>241.5</v>
      </c>
      <c r="I3327" s="929">
        <v>2415</v>
      </c>
      <c r="J3327" s="689">
        <f t="shared" si="52"/>
        <v>0</v>
      </c>
    </row>
    <row r="3328" spans="1:10" ht="12.75" customHeight="1" x14ac:dyDescent="0.2">
      <c r="A3328" s="681" t="s">
        <v>2370</v>
      </c>
      <c r="B3328" s="693" t="s">
        <v>5887</v>
      </c>
      <c r="C3328" s="672" t="s">
        <v>786</v>
      </c>
      <c r="D3328" s="673">
        <v>39498</v>
      </c>
      <c r="E3328" s="674">
        <v>10</v>
      </c>
      <c r="F3328" s="675">
        <v>0.1</v>
      </c>
      <c r="G3328" s="676">
        <v>2415</v>
      </c>
      <c r="H3328" s="929">
        <v>241.5</v>
      </c>
      <c r="I3328" s="929">
        <v>2415</v>
      </c>
      <c r="J3328" s="689">
        <f t="shared" si="52"/>
        <v>0</v>
      </c>
    </row>
    <row r="3329" spans="1:10" ht="12.75" customHeight="1" x14ac:dyDescent="0.2">
      <c r="A3329" s="681" t="s">
        <v>2370</v>
      </c>
      <c r="B3329" s="693" t="s">
        <v>5888</v>
      </c>
      <c r="C3329" s="672" t="s">
        <v>786</v>
      </c>
      <c r="D3329" s="673">
        <v>39498</v>
      </c>
      <c r="E3329" s="674">
        <v>10</v>
      </c>
      <c r="F3329" s="675">
        <v>0.1</v>
      </c>
      <c r="G3329" s="676">
        <v>2415</v>
      </c>
      <c r="H3329" s="929">
        <v>241.5</v>
      </c>
      <c r="I3329" s="929">
        <v>2415</v>
      </c>
      <c r="J3329" s="689">
        <f t="shared" si="52"/>
        <v>0</v>
      </c>
    </row>
    <row r="3330" spans="1:10" ht="12.75" customHeight="1" x14ac:dyDescent="0.2">
      <c r="A3330" s="681" t="s">
        <v>2370</v>
      </c>
      <c r="B3330" s="693" t="s">
        <v>5889</v>
      </c>
      <c r="C3330" s="672" t="s">
        <v>840</v>
      </c>
      <c r="D3330" s="673">
        <v>39498</v>
      </c>
      <c r="E3330" s="674">
        <v>10</v>
      </c>
      <c r="F3330" s="675">
        <v>0.1</v>
      </c>
      <c r="G3330" s="676">
        <v>2450</v>
      </c>
      <c r="H3330" s="929">
        <v>244.99999999999997</v>
      </c>
      <c r="I3330" s="929">
        <v>2450</v>
      </c>
      <c r="J3330" s="689">
        <f t="shared" si="52"/>
        <v>0</v>
      </c>
    </row>
    <row r="3331" spans="1:10" ht="12.75" customHeight="1" x14ac:dyDescent="0.2">
      <c r="A3331" s="681" t="s">
        <v>2370</v>
      </c>
      <c r="B3331" s="693" t="s">
        <v>5890</v>
      </c>
      <c r="C3331" s="672" t="s">
        <v>790</v>
      </c>
      <c r="D3331" s="673">
        <v>39498</v>
      </c>
      <c r="E3331" s="674">
        <v>10</v>
      </c>
      <c r="F3331" s="675">
        <v>0.1</v>
      </c>
      <c r="G3331" s="676">
        <v>2467</v>
      </c>
      <c r="H3331" s="929">
        <v>246.70000000000002</v>
      </c>
      <c r="I3331" s="929">
        <v>2467</v>
      </c>
      <c r="J3331" s="689">
        <f t="shared" si="52"/>
        <v>0</v>
      </c>
    </row>
    <row r="3332" spans="1:10" ht="12.75" customHeight="1" x14ac:dyDescent="0.2">
      <c r="A3332" s="681" t="s">
        <v>2370</v>
      </c>
      <c r="B3332" s="693" t="s">
        <v>5891</v>
      </c>
      <c r="C3332" s="672" t="s">
        <v>787</v>
      </c>
      <c r="D3332" s="673">
        <v>39498</v>
      </c>
      <c r="E3332" s="674">
        <v>10</v>
      </c>
      <c r="F3332" s="675">
        <v>0.1</v>
      </c>
      <c r="G3332" s="676">
        <v>2530</v>
      </c>
      <c r="H3332" s="929">
        <v>253.00000000000003</v>
      </c>
      <c r="I3332" s="929">
        <v>2530</v>
      </c>
      <c r="J3332" s="689">
        <f t="shared" si="52"/>
        <v>0</v>
      </c>
    </row>
    <row r="3333" spans="1:10" ht="12.75" customHeight="1" x14ac:dyDescent="0.2">
      <c r="A3333" s="681" t="s">
        <v>2370</v>
      </c>
      <c r="B3333" s="693" t="s">
        <v>5892</v>
      </c>
      <c r="C3333" s="672" t="s">
        <v>787</v>
      </c>
      <c r="D3333" s="673">
        <v>39498</v>
      </c>
      <c r="E3333" s="674">
        <v>10</v>
      </c>
      <c r="F3333" s="675">
        <v>0.1</v>
      </c>
      <c r="G3333" s="676">
        <v>2530</v>
      </c>
      <c r="H3333" s="929">
        <v>253.00000000000003</v>
      </c>
      <c r="I3333" s="929">
        <v>2530</v>
      </c>
      <c r="J3333" s="689">
        <f t="shared" si="52"/>
        <v>0</v>
      </c>
    </row>
    <row r="3334" spans="1:10" ht="12.75" customHeight="1" x14ac:dyDescent="0.2">
      <c r="A3334" s="681" t="s">
        <v>2370</v>
      </c>
      <c r="B3334" s="693" t="s">
        <v>5893</v>
      </c>
      <c r="C3334" s="672" t="s">
        <v>787</v>
      </c>
      <c r="D3334" s="673">
        <v>39498</v>
      </c>
      <c r="E3334" s="674">
        <v>10</v>
      </c>
      <c r="F3334" s="675">
        <v>0.1</v>
      </c>
      <c r="G3334" s="676">
        <v>2530</v>
      </c>
      <c r="H3334" s="929">
        <v>253.00000000000003</v>
      </c>
      <c r="I3334" s="929">
        <v>2530</v>
      </c>
      <c r="J3334" s="689">
        <f t="shared" si="52"/>
        <v>0</v>
      </c>
    </row>
    <row r="3335" spans="1:10" ht="12.75" customHeight="1" x14ac:dyDescent="0.2">
      <c r="A3335" s="681" t="s">
        <v>2370</v>
      </c>
      <c r="B3335" s="693" t="s">
        <v>5894</v>
      </c>
      <c r="C3335" s="672" t="s">
        <v>787</v>
      </c>
      <c r="D3335" s="673">
        <v>39498</v>
      </c>
      <c r="E3335" s="674">
        <v>10</v>
      </c>
      <c r="F3335" s="675">
        <v>0.1</v>
      </c>
      <c r="G3335" s="676">
        <v>2530</v>
      </c>
      <c r="H3335" s="929">
        <v>253.00000000000003</v>
      </c>
      <c r="I3335" s="929">
        <v>2530</v>
      </c>
      <c r="J3335" s="689">
        <f t="shared" ref="J3335:J3398" si="53">G3335-I3335</f>
        <v>0</v>
      </c>
    </row>
    <row r="3336" spans="1:10" ht="12.75" customHeight="1" x14ac:dyDescent="0.2">
      <c r="A3336" s="681" t="s">
        <v>2370</v>
      </c>
      <c r="B3336" s="693" t="s">
        <v>5895</v>
      </c>
      <c r="C3336" s="672" t="s">
        <v>787</v>
      </c>
      <c r="D3336" s="673">
        <v>39498</v>
      </c>
      <c r="E3336" s="674">
        <v>10</v>
      </c>
      <c r="F3336" s="675">
        <v>0.1</v>
      </c>
      <c r="G3336" s="676">
        <v>2530</v>
      </c>
      <c r="H3336" s="929">
        <v>253.00000000000003</v>
      </c>
      <c r="I3336" s="929">
        <v>2530</v>
      </c>
      <c r="J3336" s="689">
        <f t="shared" si="53"/>
        <v>0</v>
      </c>
    </row>
    <row r="3337" spans="1:10" ht="12.75" customHeight="1" x14ac:dyDescent="0.2">
      <c r="A3337" s="681" t="s">
        <v>2370</v>
      </c>
      <c r="B3337" s="693" t="s">
        <v>5896</v>
      </c>
      <c r="C3337" s="672" t="s">
        <v>788</v>
      </c>
      <c r="D3337" s="673">
        <v>39498</v>
      </c>
      <c r="E3337" s="674">
        <v>10</v>
      </c>
      <c r="F3337" s="675">
        <v>0.1</v>
      </c>
      <c r="G3337" s="676">
        <v>2588</v>
      </c>
      <c r="H3337" s="929">
        <v>258.8</v>
      </c>
      <c r="I3337" s="929">
        <v>2588.0000000000005</v>
      </c>
      <c r="J3337" s="689">
        <f t="shared" si="53"/>
        <v>0</v>
      </c>
    </row>
    <row r="3338" spans="1:10" ht="12.75" customHeight="1" x14ac:dyDescent="0.2">
      <c r="A3338" s="681" t="s">
        <v>2370</v>
      </c>
      <c r="B3338" s="693" t="s">
        <v>5897</v>
      </c>
      <c r="C3338" s="672" t="s">
        <v>940</v>
      </c>
      <c r="D3338" s="673">
        <v>39498</v>
      </c>
      <c r="E3338" s="674">
        <v>10</v>
      </c>
      <c r="F3338" s="675">
        <v>0.1</v>
      </c>
      <c r="G3338" s="676">
        <v>2608</v>
      </c>
      <c r="H3338" s="929">
        <v>260.80000000000007</v>
      </c>
      <c r="I3338" s="929">
        <v>2608.0000000000005</v>
      </c>
      <c r="J3338" s="689">
        <f t="shared" si="53"/>
        <v>0</v>
      </c>
    </row>
    <row r="3339" spans="1:10" ht="12.75" customHeight="1" x14ac:dyDescent="0.2">
      <c r="A3339" s="681" t="s">
        <v>2370</v>
      </c>
      <c r="B3339" s="693" t="s">
        <v>5898</v>
      </c>
      <c r="C3339" s="672" t="s">
        <v>940</v>
      </c>
      <c r="D3339" s="673">
        <v>39498</v>
      </c>
      <c r="E3339" s="674">
        <v>10</v>
      </c>
      <c r="F3339" s="675">
        <v>0.1</v>
      </c>
      <c r="G3339" s="676">
        <v>2608</v>
      </c>
      <c r="H3339" s="929">
        <v>260.80000000000007</v>
      </c>
      <c r="I3339" s="929">
        <v>2608.0000000000005</v>
      </c>
      <c r="J3339" s="689">
        <f t="shared" si="53"/>
        <v>0</v>
      </c>
    </row>
    <row r="3340" spans="1:10" ht="12.75" customHeight="1" x14ac:dyDescent="0.2">
      <c r="A3340" s="681" t="s">
        <v>2370</v>
      </c>
      <c r="B3340" s="693" t="s">
        <v>5899</v>
      </c>
      <c r="C3340" s="672" t="s">
        <v>791</v>
      </c>
      <c r="D3340" s="673">
        <v>39498</v>
      </c>
      <c r="E3340" s="674">
        <v>10</v>
      </c>
      <c r="F3340" s="675">
        <v>0.1</v>
      </c>
      <c r="G3340" s="676">
        <v>2616</v>
      </c>
      <c r="H3340" s="929">
        <v>261.60000000000008</v>
      </c>
      <c r="I3340" s="929">
        <v>2615.9999999999995</v>
      </c>
      <c r="J3340" s="689">
        <f t="shared" si="53"/>
        <v>0</v>
      </c>
    </row>
    <row r="3341" spans="1:10" ht="12.75" customHeight="1" x14ac:dyDescent="0.2">
      <c r="A3341" s="681" t="s">
        <v>2370</v>
      </c>
      <c r="B3341" s="693" t="s">
        <v>5900</v>
      </c>
      <c r="C3341" s="672" t="s">
        <v>791</v>
      </c>
      <c r="D3341" s="673">
        <v>39498</v>
      </c>
      <c r="E3341" s="674">
        <v>10</v>
      </c>
      <c r="F3341" s="675">
        <v>0.1</v>
      </c>
      <c r="G3341" s="676">
        <v>2616</v>
      </c>
      <c r="H3341" s="929">
        <v>261.60000000000008</v>
      </c>
      <c r="I3341" s="929">
        <v>2615.9999999999995</v>
      </c>
      <c r="J3341" s="689">
        <f t="shared" si="53"/>
        <v>0</v>
      </c>
    </row>
    <row r="3342" spans="1:10" ht="12.75" customHeight="1" x14ac:dyDescent="0.2">
      <c r="A3342" s="681" t="s">
        <v>2370</v>
      </c>
      <c r="B3342" s="693" t="s">
        <v>5901</v>
      </c>
      <c r="C3342" s="672" t="s">
        <v>791</v>
      </c>
      <c r="D3342" s="673">
        <v>39498</v>
      </c>
      <c r="E3342" s="674">
        <v>10</v>
      </c>
      <c r="F3342" s="675">
        <v>0.1</v>
      </c>
      <c r="G3342" s="676">
        <v>2616</v>
      </c>
      <c r="H3342" s="929">
        <v>261.60000000000008</v>
      </c>
      <c r="I3342" s="929">
        <v>2615.9999999999995</v>
      </c>
      <c r="J3342" s="689">
        <f t="shared" si="53"/>
        <v>0</v>
      </c>
    </row>
    <row r="3343" spans="1:10" ht="12.75" customHeight="1" x14ac:dyDescent="0.2">
      <c r="A3343" s="681" t="s">
        <v>2370</v>
      </c>
      <c r="B3343" s="693" t="s">
        <v>5902</v>
      </c>
      <c r="C3343" s="672" t="s">
        <v>791</v>
      </c>
      <c r="D3343" s="673">
        <v>39498</v>
      </c>
      <c r="E3343" s="674">
        <v>10</v>
      </c>
      <c r="F3343" s="675">
        <v>0.1</v>
      </c>
      <c r="G3343" s="676">
        <v>2616</v>
      </c>
      <c r="H3343" s="929">
        <v>261.60000000000008</v>
      </c>
      <c r="I3343" s="929">
        <v>2615.9999999999995</v>
      </c>
      <c r="J3343" s="689">
        <f t="shared" si="53"/>
        <v>0</v>
      </c>
    </row>
    <row r="3344" spans="1:10" ht="12.75" customHeight="1" x14ac:dyDescent="0.2">
      <c r="A3344" s="681" t="s">
        <v>2370</v>
      </c>
      <c r="B3344" s="693" t="s">
        <v>5903</v>
      </c>
      <c r="C3344" s="672" t="s">
        <v>791</v>
      </c>
      <c r="D3344" s="673">
        <v>39498</v>
      </c>
      <c r="E3344" s="674">
        <v>10</v>
      </c>
      <c r="F3344" s="675">
        <v>0.1</v>
      </c>
      <c r="G3344" s="676">
        <v>2616</v>
      </c>
      <c r="H3344" s="929">
        <v>261.60000000000008</v>
      </c>
      <c r="I3344" s="929">
        <v>2615.9999999999995</v>
      </c>
      <c r="J3344" s="689">
        <f t="shared" si="53"/>
        <v>0</v>
      </c>
    </row>
    <row r="3345" spans="1:10" ht="12.75" customHeight="1" x14ac:dyDescent="0.2">
      <c r="A3345" s="681" t="s">
        <v>2370</v>
      </c>
      <c r="B3345" s="693" t="s">
        <v>5904</v>
      </c>
      <c r="C3345" s="672" t="s">
        <v>791</v>
      </c>
      <c r="D3345" s="673">
        <v>39498</v>
      </c>
      <c r="E3345" s="674">
        <v>10</v>
      </c>
      <c r="F3345" s="675">
        <v>0.1</v>
      </c>
      <c r="G3345" s="676">
        <v>2616</v>
      </c>
      <c r="H3345" s="929">
        <v>261.60000000000008</v>
      </c>
      <c r="I3345" s="929">
        <v>2615.9999999999995</v>
      </c>
      <c r="J3345" s="689">
        <f t="shared" si="53"/>
        <v>0</v>
      </c>
    </row>
    <row r="3346" spans="1:10" ht="12.75" customHeight="1" x14ac:dyDescent="0.2">
      <c r="A3346" s="681" t="s">
        <v>2370</v>
      </c>
      <c r="B3346" s="693" t="s">
        <v>5905</v>
      </c>
      <c r="C3346" s="672" t="s">
        <v>791</v>
      </c>
      <c r="D3346" s="673">
        <v>39498</v>
      </c>
      <c r="E3346" s="674">
        <v>10</v>
      </c>
      <c r="F3346" s="675">
        <v>0.1</v>
      </c>
      <c r="G3346" s="676">
        <v>2616</v>
      </c>
      <c r="H3346" s="929">
        <v>261.60000000000008</v>
      </c>
      <c r="I3346" s="929">
        <v>2615.9999999999995</v>
      </c>
      <c r="J3346" s="689">
        <f t="shared" si="53"/>
        <v>0</v>
      </c>
    </row>
    <row r="3347" spans="1:10" ht="12.75" customHeight="1" x14ac:dyDescent="0.2">
      <c r="A3347" s="681" t="s">
        <v>2370</v>
      </c>
      <c r="B3347" s="693" t="s">
        <v>5906</v>
      </c>
      <c r="C3347" s="672" t="s">
        <v>791</v>
      </c>
      <c r="D3347" s="673">
        <v>39498</v>
      </c>
      <c r="E3347" s="674">
        <v>10</v>
      </c>
      <c r="F3347" s="675">
        <v>0.1</v>
      </c>
      <c r="G3347" s="676">
        <v>2616</v>
      </c>
      <c r="H3347" s="929">
        <v>261.60000000000008</v>
      </c>
      <c r="I3347" s="929">
        <v>2615.9999999999995</v>
      </c>
      <c r="J3347" s="689">
        <f t="shared" si="53"/>
        <v>0</v>
      </c>
    </row>
    <row r="3348" spans="1:10" ht="12.75" customHeight="1" x14ac:dyDescent="0.2">
      <c r="A3348" s="681" t="s">
        <v>2370</v>
      </c>
      <c r="B3348" s="693" t="s">
        <v>5907</v>
      </c>
      <c r="C3348" s="672" t="s">
        <v>944</v>
      </c>
      <c r="D3348" s="673">
        <v>39498</v>
      </c>
      <c r="E3348" s="674">
        <v>10</v>
      </c>
      <c r="F3348" s="675">
        <v>0.1</v>
      </c>
      <c r="G3348" s="676">
        <v>2628</v>
      </c>
      <c r="H3348" s="929">
        <v>262.8</v>
      </c>
      <c r="I3348" s="929">
        <v>2628.0000000000005</v>
      </c>
      <c r="J3348" s="689">
        <f t="shared" si="53"/>
        <v>0</v>
      </c>
    </row>
    <row r="3349" spans="1:10" ht="12.75" customHeight="1" x14ac:dyDescent="0.2">
      <c r="A3349" s="681" t="s">
        <v>2370</v>
      </c>
      <c r="B3349" s="693" t="s">
        <v>5908</v>
      </c>
      <c r="C3349" s="672" t="s">
        <v>944</v>
      </c>
      <c r="D3349" s="673">
        <v>39498</v>
      </c>
      <c r="E3349" s="674">
        <v>10</v>
      </c>
      <c r="F3349" s="675">
        <v>0.1</v>
      </c>
      <c r="G3349" s="676">
        <v>2628</v>
      </c>
      <c r="H3349" s="929">
        <v>262.8</v>
      </c>
      <c r="I3349" s="929">
        <v>2628.0000000000005</v>
      </c>
      <c r="J3349" s="689">
        <f t="shared" si="53"/>
        <v>0</v>
      </c>
    </row>
    <row r="3350" spans="1:10" ht="12.75" customHeight="1" x14ac:dyDescent="0.2">
      <c r="A3350" s="681" t="s">
        <v>2370</v>
      </c>
      <c r="B3350" s="693" t="s">
        <v>5909</v>
      </c>
      <c r="C3350" s="672" t="s">
        <v>944</v>
      </c>
      <c r="D3350" s="673">
        <v>39498</v>
      </c>
      <c r="E3350" s="674">
        <v>10</v>
      </c>
      <c r="F3350" s="675">
        <v>0.1</v>
      </c>
      <c r="G3350" s="676">
        <v>2628</v>
      </c>
      <c r="H3350" s="929">
        <v>262.8</v>
      </c>
      <c r="I3350" s="929">
        <v>2628.0000000000005</v>
      </c>
      <c r="J3350" s="689">
        <f t="shared" si="53"/>
        <v>0</v>
      </c>
    </row>
    <row r="3351" spans="1:10" ht="12.75" customHeight="1" x14ac:dyDescent="0.2">
      <c r="A3351" s="681" t="s">
        <v>2370</v>
      </c>
      <c r="B3351" s="693" t="s">
        <v>5910</v>
      </c>
      <c r="C3351" s="672" t="s">
        <v>944</v>
      </c>
      <c r="D3351" s="673">
        <v>39498</v>
      </c>
      <c r="E3351" s="674">
        <v>10</v>
      </c>
      <c r="F3351" s="675">
        <v>0.1</v>
      </c>
      <c r="G3351" s="676">
        <v>2628</v>
      </c>
      <c r="H3351" s="929">
        <v>262.8</v>
      </c>
      <c r="I3351" s="929">
        <v>2628.0000000000005</v>
      </c>
      <c r="J3351" s="689">
        <f t="shared" si="53"/>
        <v>0</v>
      </c>
    </row>
    <row r="3352" spans="1:10" ht="12.75" customHeight="1" x14ac:dyDescent="0.2">
      <c r="A3352" s="681" t="s">
        <v>2370</v>
      </c>
      <c r="B3352" s="693" t="s">
        <v>5911</v>
      </c>
      <c r="C3352" s="672" t="s">
        <v>944</v>
      </c>
      <c r="D3352" s="673">
        <v>39498</v>
      </c>
      <c r="E3352" s="674">
        <v>10</v>
      </c>
      <c r="F3352" s="675">
        <v>0.1</v>
      </c>
      <c r="G3352" s="676">
        <v>2628</v>
      </c>
      <c r="H3352" s="929">
        <v>262.8</v>
      </c>
      <c r="I3352" s="929">
        <v>2628.0000000000005</v>
      </c>
      <c r="J3352" s="689">
        <f t="shared" si="53"/>
        <v>0</v>
      </c>
    </row>
    <row r="3353" spans="1:10" ht="12.75" customHeight="1" x14ac:dyDescent="0.2">
      <c r="A3353" s="681" t="s">
        <v>2370</v>
      </c>
      <c r="B3353" s="693" t="s">
        <v>5912</v>
      </c>
      <c r="C3353" s="672" t="s">
        <v>944</v>
      </c>
      <c r="D3353" s="673">
        <v>39498</v>
      </c>
      <c r="E3353" s="674">
        <v>10</v>
      </c>
      <c r="F3353" s="675">
        <v>0.1</v>
      </c>
      <c r="G3353" s="676">
        <v>2628</v>
      </c>
      <c r="H3353" s="929">
        <v>262.8</v>
      </c>
      <c r="I3353" s="929">
        <v>2628.0000000000005</v>
      </c>
      <c r="J3353" s="689">
        <f t="shared" si="53"/>
        <v>0</v>
      </c>
    </row>
    <row r="3354" spans="1:10" ht="12.75" customHeight="1" x14ac:dyDescent="0.2">
      <c r="A3354" s="681" t="s">
        <v>2370</v>
      </c>
      <c r="B3354" s="693" t="s">
        <v>5913</v>
      </c>
      <c r="C3354" s="672" t="s">
        <v>944</v>
      </c>
      <c r="D3354" s="673">
        <v>39498</v>
      </c>
      <c r="E3354" s="674">
        <v>10</v>
      </c>
      <c r="F3354" s="675">
        <v>0.1</v>
      </c>
      <c r="G3354" s="676">
        <v>2628</v>
      </c>
      <c r="H3354" s="929">
        <v>262.8</v>
      </c>
      <c r="I3354" s="929">
        <v>2628.0000000000005</v>
      </c>
      <c r="J3354" s="689">
        <f t="shared" si="53"/>
        <v>0</v>
      </c>
    </row>
    <row r="3355" spans="1:10" ht="12.75" customHeight="1" x14ac:dyDescent="0.2">
      <c r="A3355" s="681" t="s">
        <v>2370</v>
      </c>
      <c r="B3355" s="693" t="s">
        <v>5914</v>
      </c>
      <c r="C3355" s="672" t="s">
        <v>944</v>
      </c>
      <c r="D3355" s="673">
        <v>39498</v>
      </c>
      <c r="E3355" s="674">
        <v>10</v>
      </c>
      <c r="F3355" s="675">
        <v>0.1</v>
      </c>
      <c r="G3355" s="676">
        <v>2628</v>
      </c>
      <c r="H3355" s="929">
        <v>262.8</v>
      </c>
      <c r="I3355" s="929">
        <v>2628.0000000000005</v>
      </c>
      <c r="J3355" s="689">
        <f t="shared" si="53"/>
        <v>0</v>
      </c>
    </row>
    <row r="3356" spans="1:10" ht="12.75" customHeight="1" x14ac:dyDescent="0.2">
      <c r="A3356" s="681" t="s">
        <v>2370</v>
      </c>
      <c r="B3356" s="693" t="s">
        <v>5915</v>
      </c>
      <c r="C3356" s="672" t="s">
        <v>944</v>
      </c>
      <c r="D3356" s="673">
        <v>39498</v>
      </c>
      <c r="E3356" s="674">
        <v>10</v>
      </c>
      <c r="F3356" s="675">
        <v>0.1</v>
      </c>
      <c r="G3356" s="676">
        <v>2628</v>
      </c>
      <c r="H3356" s="929">
        <v>262.8</v>
      </c>
      <c r="I3356" s="929">
        <v>2628.0000000000005</v>
      </c>
      <c r="J3356" s="689">
        <f t="shared" si="53"/>
        <v>0</v>
      </c>
    </row>
    <row r="3357" spans="1:10" ht="12.75" customHeight="1" x14ac:dyDescent="0.2">
      <c r="A3357" s="681" t="s">
        <v>2370</v>
      </c>
      <c r="B3357" s="693" t="s">
        <v>5916</v>
      </c>
      <c r="C3357" s="672" t="s">
        <v>944</v>
      </c>
      <c r="D3357" s="673">
        <v>39498</v>
      </c>
      <c r="E3357" s="674">
        <v>10</v>
      </c>
      <c r="F3357" s="675">
        <v>0.1</v>
      </c>
      <c r="G3357" s="676">
        <v>2628</v>
      </c>
      <c r="H3357" s="929">
        <v>262.8</v>
      </c>
      <c r="I3357" s="929">
        <v>2628.0000000000005</v>
      </c>
      <c r="J3357" s="689">
        <f t="shared" si="53"/>
        <v>0</v>
      </c>
    </row>
    <row r="3358" spans="1:10" ht="12.75" customHeight="1" x14ac:dyDescent="0.2">
      <c r="A3358" s="681" t="s">
        <v>2370</v>
      </c>
      <c r="B3358" s="693" t="s">
        <v>5917</v>
      </c>
      <c r="C3358" s="672" t="s">
        <v>944</v>
      </c>
      <c r="D3358" s="673">
        <v>39498</v>
      </c>
      <c r="E3358" s="674">
        <v>10</v>
      </c>
      <c r="F3358" s="675">
        <v>0.1</v>
      </c>
      <c r="G3358" s="676">
        <v>2628</v>
      </c>
      <c r="H3358" s="929">
        <v>262.8</v>
      </c>
      <c r="I3358" s="929">
        <v>2628.0000000000005</v>
      </c>
      <c r="J3358" s="689">
        <f t="shared" si="53"/>
        <v>0</v>
      </c>
    </row>
    <row r="3359" spans="1:10" ht="12.75" customHeight="1" x14ac:dyDescent="0.2">
      <c r="A3359" s="681" t="s">
        <v>2370</v>
      </c>
      <c r="B3359" s="693" t="s">
        <v>5918</v>
      </c>
      <c r="C3359" s="672" t="s">
        <v>944</v>
      </c>
      <c r="D3359" s="673">
        <v>39498</v>
      </c>
      <c r="E3359" s="674">
        <v>10</v>
      </c>
      <c r="F3359" s="675">
        <v>0.1</v>
      </c>
      <c r="G3359" s="676">
        <v>2628</v>
      </c>
      <c r="H3359" s="929">
        <v>262.8</v>
      </c>
      <c r="I3359" s="929">
        <v>2628.0000000000005</v>
      </c>
      <c r="J3359" s="689">
        <f t="shared" si="53"/>
        <v>0</v>
      </c>
    </row>
    <row r="3360" spans="1:10" ht="12.75" customHeight="1" x14ac:dyDescent="0.2">
      <c r="A3360" s="681" t="s">
        <v>2370</v>
      </c>
      <c r="B3360" s="693" t="s">
        <v>5919</v>
      </c>
      <c r="C3360" s="672" t="s">
        <v>944</v>
      </c>
      <c r="D3360" s="673">
        <v>39498</v>
      </c>
      <c r="E3360" s="674">
        <v>10</v>
      </c>
      <c r="F3360" s="675">
        <v>0.1</v>
      </c>
      <c r="G3360" s="676">
        <v>2628</v>
      </c>
      <c r="H3360" s="929">
        <v>262.8</v>
      </c>
      <c r="I3360" s="929">
        <v>2628.0000000000005</v>
      </c>
      <c r="J3360" s="689">
        <f t="shared" si="53"/>
        <v>0</v>
      </c>
    </row>
    <row r="3361" spans="1:10" ht="12.75" customHeight="1" x14ac:dyDescent="0.2">
      <c r="A3361" s="681" t="s">
        <v>2370</v>
      </c>
      <c r="B3361" s="693" t="s">
        <v>5920</v>
      </c>
      <c r="C3361" s="672" t="s">
        <v>944</v>
      </c>
      <c r="D3361" s="673">
        <v>39498</v>
      </c>
      <c r="E3361" s="674">
        <v>10</v>
      </c>
      <c r="F3361" s="675">
        <v>0.1</v>
      </c>
      <c r="G3361" s="676">
        <v>2628</v>
      </c>
      <c r="H3361" s="929">
        <v>262.8</v>
      </c>
      <c r="I3361" s="929">
        <v>2628.0000000000005</v>
      </c>
      <c r="J3361" s="689">
        <f t="shared" si="53"/>
        <v>0</v>
      </c>
    </row>
    <row r="3362" spans="1:10" ht="12.75" customHeight="1" x14ac:dyDescent="0.2">
      <c r="A3362" s="681" t="s">
        <v>2370</v>
      </c>
      <c r="B3362" s="693" t="s">
        <v>5921</v>
      </c>
      <c r="C3362" s="672" t="s">
        <v>944</v>
      </c>
      <c r="D3362" s="673">
        <v>39498</v>
      </c>
      <c r="E3362" s="674">
        <v>10</v>
      </c>
      <c r="F3362" s="675">
        <v>0.1</v>
      </c>
      <c r="G3362" s="676">
        <v>2628</v>
      </c>
      <c r="H3362" s="929">
        <v>262.8</v>
      </c>
      <c r="I3362" s="929">
        <v>2628.0000000000005</v>
      </c>
      <c r="J3362" s="689">
        <f t="shared" si="53"/>
        <v>0</v>
      </c>
    </row>
    <row r="3363" spans="1:10" ht="12.75" customHeight="1" x14ac:dyDescent="0.2">
      <c r="A3363" s="681" t="s">
        <v>2370</v>
      </c>
      <c r="B3363" s="693" t="s">
        <v>5922</v>
      </c>
      <c r="C3363" s="672" t="s">
        <v>944</v>
      </c>
      <c r="D3363" s="673">
        <v>39498</v>
      </c>
      <c r="E3363" s="674">
        <v>10</v>
      </c>
      <c r="F3363" s="675">
        <v>0.1</v>
      </c>
      <c r="G3363" s="676">
        <v>2628</v>
      </c>
      <c r="H3363" s="929">
        <v>262.8</v>
      </c>
      <c r="I3363" s="929">
        <v>2628.0000000000005</v>
      </c>
      <c r="J3363" s="689">
        <f t="shared" si="53"/>
        <v>0</v>
      </c>
    </row>
    <row r="3364" spans="1:10" ht="12.75" customHeight="1" x14ac:dyDescent="0.2">
      <c r="A3364" s="681" t="s">
        <v>2370</v>
      </c>
      <c r="B3364" s="693" t="s">
        <v>5923</v>
      </c>
      <c r="C3364" s="672" t="s">
        <v>944</v>
      </c>
      <c r="D3364" s="673">
        <v>39498</v>
      </c>
      <c r="E3364" s="674">
        <v>10</v>
      </c>
      <c r="F3364" s="675">
        <v>0.1</v>
      </c>
      <c r="G3364" s="676">
        <v>2628</v>
      </c>
      <c r="H3364" s="929">
        <v>262.8</v>
      </c>
      <c r="I3364" s="929">
        <v>2628.0000000000005</v>
      </c>
      <c r="J3364" s="689">
        <f t="shared" si="53"/>
        <v>0</v>
      </c>
    </row>
    <row r="3365" spans="1:10" ht="12.75" customHeight="1" x14ac:dyDescent="0.2">
      <c r="A3365" s="681" t="s">
        <v>2370</v>
      </c>
      <c r="B3365" s="693" t="s">
        <v>5924</v>
      </c>
      <c r="C3365" s="672" t="s">
        <v>944</v>
      </c>
      <c r="D3365" s="673">
        <v>39498</v>
      </c>
      <c r="E3365" s="674">
        <v>10</v>
      </c>
      <c r="F3365" s="675">
        <v>0.1</v>
      </c>
      <c r="G3365" s="676">
        <v>2628</v>
      </c>
      <c r="H3365" s="929">
        <v>262.8</v>
      </c>
      <c r="I3365" s="929">
        <v>2628.0000000000005</v>
      </c>
      <c r="J3365" s="689">
        <f t="shared" si="53"/>
        <v>0</v>
      </c>
    </row>
    <row r="3366" spans="1:10" ht="12.75" customHeight="1" x14ac:dyDescent="0.2">
      <c r="A3366" s="681" t="s">
        <v>2370</v>
      </c>
      <c r="B3366" s="693" t="s">
        <v>5925</v>
      </c>
      <c r="C3366" s="672" t="s">
        <v>944</v>
      </c>
      <c r="D3366" s="673">
        <v>39498</v>
      </c>
      <c r="E3366" s="674">
        <v>10</v>
      </c>
      <c r="F3366" s="675">
        <v>0.1</v>
      </c>
      <c r="G3366" s="676">
        <v>2628</v>
      </c>
      <c r="H3366" s="929">
        <v>262.8</v>
      </c>
      <c r="I3366" s="929">
        <v>2628.0000000000005</v>
      </c>
      <c r="J3366" s="689">
        <f t="shared" si="53"/>
        <v>0</v>
      </c>
    </row>
    <row r="3367" spans="1:10" ht="12.75" customHeight="1" x14ac:dyDescent="0.2">
      <c r="A3367" s="681" t="s">
        <v>2370</v>
      </c>
      <c r="B3367" s="693" t="s">
        <v>5926</v>
      </c>
      <c r="C3367" s="672" t="s">
        <v>944</v>
      </c>
      <c r="D3367" s="673">
        <v>39498</v>
      </c>
      <c r="E3367" s="674">
        <v>10</v>
      </c>
      <c r="F3367" s="675">
        <v>0.1</v>
      </c>
      <c r="G3367" s="676">
        <v>2628</v>
      </c>
      <c r="H3367" s="929">
        <v>262.8</v>
      </c>
      <c r="I3367" s="929">
        <v>2628.0000000000005</v>
      </c>
      <c r="J3367" s="689">
        <f t="shared" si="53"/>
        <v>0</v>
      </c>
    </row>
    <row r="3368" spans="1:10" ht="12.75" customHeight="1" x14ac:dyDescent="0.2">
      <c r="A3368" s="681" t="s">
        <v>2370</v>
      </c>
      <c r="B3368" s="693" t="s">
        <v>5927</v>
      </c>
      <c r="C3368" s="672" t="s">
        <v>944</v>
      </c>
      <c r="D3368" s="673">
        <v>39498</v>
      </c>
      <c r="E3368" s="674">
        <v>10</v>
      </c>
      <c r="F3368" s="675">
        <v>0.1</v>
      </c>
      <c r="G3368" s="676">
        <v>2628</v>
      </c>
      <c r="H3368" s="929">
        <v>262.8</v>
      </c>
      <c r="I3368" s="929">
        <v>2628.0000000000005</v>
      </c>
      <c r="J3368" s="689">
        <f t="shared" si="53"/>
        <v>0</v>
      </c>
    </row>
    <row r="3369" spans="1:10" ht="12.75" customHeight="1" x14ac:dyDescent="0.2">
      <c r="A3369" s="681" t="s">
        <v>2370</v>
      </c>
      <c r="B3369" s="693" t="s">
        <v>5928</v>
      </c>
      <c r="C3369" s="672" t="s">
        <v>944</v>
      </c>
      <c r="D3369" s="673">
        <v>39498</v>
      </c>
      <c r="E3369" s="674">
        <v>10</v>
      </c>
      <c r="F3369" s="675">
        <v>0.1</v>
      </c>
      <c r="G3369" s="676">
        <v>2628</v>
      </c>
      <c r="H3369" s="929">
        <v>262.8</v>
      </c>
      <c r="I3369" s="929">
        <v>2628.0000000000005</v>
      </c>
      <c r="J3369" s="689">
        <f t="shared" si="53"/>
        <v>0</v>
      </c>
    </row>
    <row r="3370" spans="1:10" ht="12.75" customHeight="1" x14ac:dyDescent="0.2">
      <c r="A3370" s="681" t="s">
        <v>2370</v>
      </c>
      <c r="B3370" s="693" t="s">
        <v>5929</v>
      </c>
      <c r="C3370" s="672" t="s">
        <v>944</v>
      </c>
      <c r="D3370" s="673">
        <v>39498</v>
      </c>
      <c r="E3370" s="674">
        <v>10</v>
      </c>
      <c r="F3370" s="675">
        <v>0.1</v>
      </c>
      <c r="G3370" s="676">
        <v>2628</v>
      </c>
      <c r="H3370" s="929">
        <v>262.8</v>
      </c>
      <c r="I3370" s="929">
        <v>2628.0000000000005</v>
      </c>
      <c r="J3370" s="689">
        <f t="shared" si="53"/>
        <v>0</v>
      </c>
    </row>
    <row r="3371" spans="1:10" ht="12.75" customHeight="1" x14ac:dyDescent="0.2">
      <c r="A3371" s="681" t="s">
        <v>2370</v>
      </c>
      <c r="B3371" s="693" t="s">
        <v>5930</v>
      </c>
      <c r="C3371" s="672" t="s">
        <v>944</v>
      </c>
      <c r="D3371" s="673">
        <v>39498</v>
      </c>
      <c r="E3371" s="674">
        <v>10</v>
      </c>
      <c r="F3371" s="675">
        <v>0.1</v>
      </c>
      <c r="G3371" s="676">
        <v>2628</v>
      </c>
      <c r="H3371" s="929">
        <v>262.8</v>
      </c>
      <c r="I3371" s="929">
        <v>2628.0000000000005</v>
      </c>
      <c r="J3371" s="689">
        <f t="shared" si="53"/>
        <v>0</v>
      </c>
    </row>
    <row r="3372" spans="1:10" ht="12.75" customHeight="1" x14ac:dyDescent="0.2">
      <c r="A3372" s="681" t="s">
        <v>2370</v>
      </c>
      <c r="B3372" s="693" t="s">
        <v>5931</v>
      </c>
      <c r="C3372" s="672" t="s">
        <v>944</v>
      </c>
      <c r="D3372" s="673">
        <v>39498</v>
      </c>
      <c r="E3372" s="674">
        <v>10</v>
      </c>
      <c r="F3372" s="675">
        <v>0.1</v>
      </c>
      <c r="G3372" s="676">
        <v>2628</v>
      </c>
      <c r="H3372" s="929">
        <v>262.8</v>
      </c>
      <c r="I3372" s="929">
        <v>2628.0000000000005</v>
      </c>
      <c r="J3372" s="689">
        <f t="shared" si="53"/>
        <v>0</v>
      </c>
    </row>
    <row r="3373" spans="1:10" ht="12.75" customHeight="1" x14ac:dyDescent="0.2">
      <c r="A3373" s="681" t="s">
        <v>2370</v>
      </c>
      <c r="B3373" s="693" t="s">
        <v>5932</v>
      </c>
      <c r="C3373" s="672" t="s">
        <v>944</v>
      </c>
      <c r="D3373" s="673">
        <v>39498</v>
      </c>
      <c r="E3373" s="674">
        <v>10</v>
      </c>
      <c r="F3373" s="675">
        <v>0.1</v>
      </c>
      <c r="G3373" s="676">
        <v>2628</v>
      </c>
      <c r="H3373" s="929">
        <v>262.8</v>
      </c>
      <c r="I3373" s="929">
        <v>2628.0000000000005</v>
      </c>
      <c r="J3373" s="689">
        <f t="shared" si="53"/>
        <v>0</v>
      </c>
    </row>
    <row r="3374" spans="1:10" ht="12.75" customHeight="1" x14ac:dyDescent="0.2">
      <c r="A3374" s="681" t="s">
        <v>2370</v>
      </c>
      <c r="B3374" s="693" t="s">
        <v>5933</v>
      </c>
      <c r="C3374" s="672" t="s">
        <v>944</v>
      </c>
      <c r="D3374" s="673">
        <v>39498</v>
      </c>
      <c r="E3374" s="674">
        <v>10</v>
      </c>
      <c r="F3374" s="675">
        <v>0.1</v>
      </c>
      <c r="G3374" s="676">
        <v>2628</v>
      </c>
      <c r="H3374" s="929">
        <v>262.8</v>
      </c>
      <c r="I3374" s="929">
        <v>2628.0000000000005</v>
      </c>
      <c r="J3374" s="689">
        <f t="shared" si="53"/>
        <v>0</v>
      </c>
    </row>
    <row r="3375" spans="1:10" ht="12.75" customHeight="1" x14ac:dyDescent="0.2">
      <c r="A3375" s="681" t="s">
        <v>2370</v>
      </c>
      <c r="B3375" s="693" t="s">
        <v>5934</v>
      </c>
      <c r="C3375" s="672" t="s">
        <v>944</v>
      </c>
      <c r="D3375" s="673">
        <v>39498</v>
      </c>
      <c r="E3375" s="674">
        <v>10</v>
      </c>
      <c r="F3375" s="675">
        <v>0.1</v>
      </c>
      <c r="G3375" s="676">
        <v>2628</v>
      </c>
      <c r="H3375" s="929">
        <v>262.8</v>
      </c>
      <c r="I3375" s="929">
        <v>2628.0000000000005</v>
      </c>
      <c r="J3375" s="689">
        <f t="shared" si="53"/>
        <v>0</v>
      </c>
    </row>
    <row r="3376" spans="1:10" ht="12.75" customHeight="1" x14ac:dyDescent="0.2">
      <c r="A3376" s="681" t="s">
        <v>2370</v>
      </c>
      <c r="B3376" s="693" t="s">
        <v>5935</v>
      </c>
      <c r="C3376" s="672" t="s">
        <v>944</v>
      </c>
      <c r="D3376" s="673">
        <v>39498</v>
      </c>
      <c r="E3376" s="674">
        <v>10</v>
      </c>
      <c r="F3376" s="675">
        <v>0.1</v>
      </c>
      <c r="G3376" s="676">
        <v>2628</v>
      </c>
      <c r="H3376" s="929">
        <v>262.8</v>
      </c>
      <c r="I3376" s="929">
        <v>2628.0000000000005</v>
      </c>
      <c r="J3376" s="689">
        <f t="shared" si="53"/>
        <v>0</v>
      </c>
    </row>
    <row r="3377" spans="1:10" ht="12.75" customHeight="1" x14ac:dyDescent="0.2">
      <c r="A3377" s="681" t="s">
        <v>2370</v>
      </c>
      <c r="B3377" s="693" t="s">
        <v>5936</v>
      </c>
      <c r="C3377" s="672" t="s">
        <v>944</v>
      </c>
      <c r="D3377" s="673">
        <v>39498</v>
      </c>
      <c r="E3377" s="674">
        <v>10</v>
      </c>
      <c r="F3377" s="675">
        <v>0.1</v>
      </c>
      <c r="G3377" s="676">
        <v>2628</v>
      </c>
      <c r="H3377" s="929">
        <v>262.8</v>
      </c>
      <c r="I3377" s="929">
        <v>2628.0000000000005</v>
      </c>
      <c r="J3377" s="689">
        <f t="shared" si="53"/>
        <v>0</v>
      </c>
    </row>
    <row r="3378" spans="1:10" ht="12.75" customHeight="1" x14ac:dyDescent="0.2">
      <c r="A3378" s="681" t="s">
        <v>2370</v>
      </c>
      <c r="B3378" s="693" t="s">
        <v>5937</v>
      </c>
      <c r="C3378" s="672" t="s">
        <v>944</v>
      </c>
      <c r="D3378" s="673">
        <v>39498</v>
      </c>
      <c r="E3378" s="674">
        <v>10</v>
      </c>
      <c r="F3378" s="675">
        <v>0.1</v>
      </c>
      <c r="G3378" s="676">
        <v>2628</v>
      </c>
      <c r="H3378" s="929">
        <v>262.8</v>
      </c>
      <c r="I3378" s="929">
        <v>2628.0000000000005</v>
      </c>
      <c r="J3378" s="689">
        <f t="shared" si="53"/>
        <v>0</v>
      </c>
    </row>
    <row r="3379" spans="1:10" ht="12.75" customHeight="1" x14ac:dyDescent="0.2">
      <c r="A3379" s="681" t="s">
        <v>2370</v>
      </c>
      <c r="B3379" s="693" t="s">
        <v>5938</v>
      </c>
      <c r="C3379" s="672" t="s">
        <v>944</v>
      </c>
      <c r="D3379" s="673">
        <v>39498</v>
      </c>
      <c r="E3379" s="674">
        <v>10</v>
      </c>
      <c r="F3379" s="675">
        <v>0.1</v>
      </c>
      <c r="G3379" s="676">
        <v>2628</v>
      </c>
      <c r="H3379" s="929">
        <v>262.8</v>
      </c>
      <c r="I3379" s="929">
        <v>2628.0000000000005</v>
      </c>
      <c r="J3379" s="689">
        <f t="shared" si="53"/>
        <v>0</v>
      </c>
    </row>
    <row r="3380" spans="1:10" ht="12.75" customHeight="1" x14ac:dyDescent="0.2">
      <c r="A3380" s="681" t="s">
        <v>2370</v>
      </c>
      <c r="B3380" s="693" t="s">
        <v>5939</v>
      </c>
      <c r="C3380" s="672" t="s">
        <v>944</v>
      </c>
      <c r="D3380" s="673">
        <v>39498</v>
      </c>
      <c r="E3380" s="674">
        <v>10</v>
      </c>
      <c r="F3380" s="675">
        <v>0.1</v>
      </c>
      <c r="G3380" s="676">
        <v>2628</v>
      </c>
      <c r="H3380" s="929">
        <v>262.8</v>
      </c>
      <c r="I3380" s="929">
        <v>2628.0000000000005</v>
      </c>
      <c r="J3380" s="689">
        <f t="shared" si="53"/>
        <v>0</v>
      </c>
    </row>
    <row r="3381" spans="1:10" ht="12.75" customHeight="1" x14ac:dyDescent="0.2">
      <c r="A3381" s="681" t="s">
        <v>2370</v>
      </c>
      <c r="B3381" s="693" t="s">
        <v>5940</v>
      </c>
      <c r="C3381" s="672" t="s">
        <v>944</v>
      </c>
      <c r="D3381" s="673">
        <v>39498</v>
      </c>
      <c r="E3381" s="674">
        <v>10</v>
      </c>
      <c r="F3381" s="675">
        <v>0.1</v>
      </c>
      <c r="G3381" s="676">
        <v>2628</v>
      </c>
      <c r="H3381" s="929">
        <v>262.8</v>
      </c>
      <c r="I3381" s="929">
        <v>2628.0000000000005</v>
      </c>
      <c r="J3381" s="689">
        <f t="shared" si="53"/>
        <v>0</v>
      </c>
    </row>
    <row r="3382" spans="1:10" ht="12.75" customHeight="1" x14ac:dyDescent="0.2">
      <c r="A3382" s="681" t="s">
        <v>2370</v>
      </c>
      <c r="B3382" s="693" t="s">
        <v>5941</v>
      </c>
      <c r="C3382" s="672" t="s">
        <v>944</v>
      </c>
      <c r="D3382" s="673">
        <v>39498</v>
      </c>
      <c r="E3382" s="674">
        <v>10</v>
      </c>
      <c r="F3382" s="675">
        <v>0.1</v>
      </c>
      <c r="G3382" s="676">
        <v>2628</v>
      </c>
      <c r="H3382" s="929">
        <v>262.8</v>
      </c>
      <c r="I3382" s="929">
        <v>2628.0000000000005</v>
      </c>
      <c r="J3382" s="689">
        <f t="shared" si="53"/>
        <v>0</v>
      </c>
    </row>
    <row r="3383" spans="1:10" ht="12.75" customHeight="1" x14ac:dyDescent="0.2">
      <c r="A3383" s="681" t="s">
        <v>2370</v>
      </c>
      <c r="B3383" s="693" t="s">
        <v>5942</v>
      </c>
      <c r="C3383" s="672" t="s">
        <v>944</v>
      </c>
      <c r="D3383" s="673">
        <v>39498</v>
      </c>
      <c r="E3383" s="674">
        <v>10</v>
      </c>
      <c r="F3383" s="675">
        <v>0.1</v>
      </c>
      <c r="G3383" s="676">
        <v>2628</v>
      </c>
      <c r="H3383" s="929">
        <v>262.8</v>
      </c>
      <c r="I3383" s="929">
        <v>2628.0000000000005</v>
      </c>
      <c r="J3383" s="689">
        <f t="shared" si="53"/>
        <v>0</v>
      </c>
    </row>
    <row r="3384" spans="1:10" ht="12.75" customHeight="1" x14ac:dyDescent="0.2">
      <c r="A3384" s="681" t="s">
        <v>2370</v>
      </c>
      <c r="B3384" s="693" t="s">
        <v>5943</v>
      </c>
      <c r="C3384" s="672" t="s">
        <v>944</v>
      </c>
      <c r="D3384" s="673">
        <v>39498</v>
      </c>
      <c r="E3384" s="674">
        <v>10</v>
      </c>
      <c r="F3384" s="675">
        <v>0.1</v>
      </c>
      <c r="G3384" s="676">
        <v>2628</v>
      </c>
      <c r="H3384" s="929">
        <v>262.8</v>
      </c>
      <c r="I3384" s="929">
        <v>2628.0000000000005</v>
      </c>
      <c r="J3384" s="689">
        <f t="shared" si="53"/>
        <v>0</v>
      </c>
    </row>
    <row r="3385" spans="1:10" ht="12.75" customHeight="1" x14ac:dyDescent="0.2">
      <c r="A3385" s="681" t="s">
        <v>2370</v>
      </c>
      <c r="B3385" s="693" t="s">
        <v>5944</v>
      </c>
      <c r="C3385" s="672" t="s">
        <v>944</v>
      </c>
      <c r="D3385" s="673">
        <v>39498</v>
      </c>
      <c r="E3385" s="674">
        <v>10</v>
      </c>
      <c r="F3385" s="675">
        <v>0.1</v>
      </c>
      <c r="G3385" s="676">
        <v>2628</v>
      </c>
      <c r="H3385" s="929">
        <v>262.8</v>
      </c>
      <c r="I3385" s="929">
        <v>2628.0000000000005</v>
      </c>
      <c r="J3385" s="689">
        <f t="shared" si="53"/>
        <v>0</v>
      </c>
    </row>
    <row r="3386" spans="1:10" ht="12.75" customHeight="1" x14ac:dyDescent="0.2">
      <c r="A3386" s="681" t="s">
        <v>2370</v>
      </c>
      <c r="B3386" s="693" t="s">
        <v>5945</v>
      </c>
      <c r="C3386" s="672" t="s">
        <v>944</v>
      </c>
      <c r="D3386" s="673">
        <v>39498</v>
      </c>
      <c r="E3386" s="674">
        <v>10</v>
      </c>
      <c r="F3386" s="675">
        <v>0.1</v>
      </c>
      <c r="G3386" s="676">
        <v>2628</v>
      </c>
      <c r="H3386" s="929">
        <v>262.8</v>
      </c>
      <c r="I3386" s="929">
        <v>2628.0000000000005</v>
      </c>
      <c r="J3386" s="689">
        <f t="shared" si="53"/>
        <v>0</v>
      </c>
    </row>
    <row r="3387" spans="1:10" ht="12.75" customHeight="1" x14ac:dyDescent="0.2">
      <c r="A3387" s="681" t="s">
        <v>2370</v>
      </c>
      <c r="B3387" s="693" t="s">
        <v>5946</v>
      </c>
      <c r="C3387" s="672" t="s">
        <v>944</v>
      </c>
      <c r="D3387" s="673">
        <v>39498</v>
      </c>
      <c r="E3387" s="674">
        <v>10</v>
      </c>
      <c r="F3387" s="675">
        <v>0.1</v>
      </c>
      <c r="G3387" s="676">
        <v>2628</v>
      </c>
      <c r="H3387" s="929">
        <v>262.8</v>
      </c>
      <c r="I3387" s="929">
        <v>2628.0000000000005</v>
      </c>
      <c r="J3387" s="689">
        <f t="shared" si="53"/>
        <v>0</v>
      </c>
    </row>
    <row r="3388" spans="1:10" ht="12.75" customHeight="1" x14ac:dyDescent="0.2">
      <c r="A3388" s="681" t="s">
        <v>2370</v>
      </c>
      <c r="B3388" s="693" t="s">
        <v>5947</v>
      </c>
      <c r="C3388" s="672" t="s">
        <v>944</v>
      </c>
      <c r="D3388" s="673">
        <v>39498</v>
      </c>
      <c r="E3388" s="674">
        <v>10</v>
      </c>
      <c r="F3388" s="675">
        <v>0.1</v>
      </c>
      <c r="G3388" s="676">
        <v>2628</v>
      </c>
      <c r="H3388" s="929">
        <v>262.8</v>
      </c>
      <c r="I3388" s="929">
        <v>2628.0000000000005</v>
      </c>
      <c r="J3388" s="689">
        <f t="shared" si="53"/>
        <v>0</v>
      </c>
    </row>
    <row r="3389" spans="1:10" ht="12.75" customHeight="1" x14ac:dyDescent="0.2">
      <c r="A3389" s="681" t="s">
        <v>2370</v>
      </c>
      <c r="B3389" s="693" t="s">
        <v>5948</v>
      </c>
      <c r="C3389" s="672" t="s">
        <v>944</v>
      </c>
      <c r="D3389" s="673">
        <v>39498</v>
      </c>
      <c r="E3389" s="674">
        <v>10</v>
      </c>
      <c r="F3389" s="675">
        <v>0.1</v>
      </c>
      <c r="G3389" s="676">
        <v>2628</v>
      </c>
      <c r="H3389" s="929">
        <v>262.8</v>
      </c>
      <c r="I3389" s="929">
        <v>2628.0000000000005</v>
      </c>
      <c r="J3389" s="689">
        <f t="shared" si="53"/>
        <v>0</v>
      </c>
    </row>
    <row r="3390" spans="1:10" ht="12.75" customHeight="1" x14ac:dyDescent="0.2">
      <c r="A3390" s="681" t="s">
        <v>2370</v>
      </c>
      <c r="B3390" s="693" t="s">
        <v>5949</v>
      </c>
      <c r="C3390" s="672" t="s">
        <v>944</v>
      </c>
      <c r="D3390" s="673">
        <v>39498</v>
      </c>
      <c r="E3390" s="674">
        <v>10</v>
      </c>
      <c r="F3390" s="675">
        <v>0.1</v>
      </c>
      <c r="G3390" s="676">
        <v>2628</v>
      </c>
      <c r="H3390" s="929">
        <v>262.8</v>
      </c>
      <c r="I3390" s="929">
        <v>2628.0000000000005</v>
      </c>
      <c r="J3390" s="689">
        <f t="shared" si="53"/>
        <v>0</v>
      </c>
    </row>
    <row r="3391" spans="1:10" ht="12.75" customHeight="1" x14ac:dyDescent="0.2">
      <c r="A3391" s="681" t="s">
        <v>2370</v>
      </c>
      <c r="B3391" s="693" t="s">
        <v>5950</v>
      </c>
      <c r="C3391" s="672" t="s">
        <v>944</v>
      </c>
      <c r="D3391" s="673">
        <v>39498</v>
      </c>
      <c r="E3391" s="674">
        <v>10</v>
      </c>
      <c r="F3391" s="675">
        <v>0.1</v>
      </c>
      <c r="G3391" s="676">
        <v>2628</v>
      </c>
      <c r="H3391" s="929">
        <v>262.8</v>
      </c>
      <c r="I3391" s="929">
        <v>2628.0000000000005</v>
      </c>
      <c r="J3391" s="689">
        <f t="shared" si="53"/>
        <v>0</v>
      </c>
    </row>
    <row r="3392" spans="1:10" ht="12.75" customHeight="1" x14ac:dyDescent="0.2">
      <c r="A3392" s="681" t="s">
        <v>2370</v>
      </c>
      <c r="B3392" s="693" t="s">
        <v>5951</v>
      </c>
      <c r="C3392" s="672" t="s">
        <v>944</v>
      </c>
      <c r="D3392" s="673">
        <v>39498</v>
      </c>
      <c r="E3392" s="674">
        <v>10</v>
      </c>
      <c r="F3392" s="675">
        <v>0.1</v>
      </c>
      <c r="G3392" s="676">
        <v>2628</v>
      </c>
      <c r="H3392" s="929">
        <v>262.8</v>
      </c>
      <c r="I3392" s="929">
        <v>2628.0000000000005</v>
      </c>
      <c r="J3392" s="689">
        <f t="shared" si="53"/>
        <v>0</v>
      </c>
    </row>
    <row r="3393" spans="1:10" ht="12.75" customHeight="1" x14ac:dyDescent="0.2">
      <c r="A3393" s="681" t="s">
        <v>2370</v>
      </c>
      <c r="B3393" s="693" t="s">
        <v>5952</v>
      </c>
      <c r="C3393" s="672" t="s">
        <v>944</v>
      </c>
      <c r="D3393" s="673">
        <v>39498</v>
      </c>
      <c r="E3393" s="674">
        <v>10</v>
      </c>
      <c r="F3393" s="675">
        <v>0.1</v>
      </c>
      <c r="G3393" s="676">
        <v>2628</v>
      </c>
      <c r="H3393" s="929">
        <v>262.8</v>
      </c>
      <c r="I3393" s="929">
        <v>2628.0000000000005</v>
      </c>
      <c r="J3393" s="689">
        <f t="shared" si="53"/>
        <v>0</v>
      </c>
    </row>
    <row r="3394" spans="1:10" ht="12.75" customHeight="1" x14ac:dyDescent="0.2">
      <c r="A3394" s="681" t="s">
        <v>2370</v>
      </c>
      <c r="B3394" s="693" t="s">
        <v>5953</v>
      </c>
      <c r="C3394" s="672" t="s">
        <v>944</v>
      </c>
      <c r="D3394" s="673">
        <v>39498</v>
      </c>
      <c r="E3394" s="674">
        <v>10</v>
      </c>
      <c r="F3394" s="675">
        <v>0.1</v>
      </c>
      <c r="G3394" s="676">
        <v>2628</v>
      </c>
      <c r="H3394" s="929">
        <v>262.8</v>
      </c>
      <c r="I3394" s="929">
        <v>2628.0000000000005</v>
      </c>
      <c r="J3394" s="689">
        <f t="shared" si="53"/>
        <v>0</v>
      </c>
    </row>
    <row r="3395" spans="1:10" ht="12.75" customHeight="1" x14ac:dyDescent="0.2">
      <c r="A3395" s="681" t="s">
        <v>2370</v>
      </c>
      <c r="B3395" s="693" t="s">
        <v>5954</v>
      </c>
      <c r="C3395" s="672" t="s">
        <v>944</v>
      </c>
      <c r="D3395" s="673">
        <v>39498</v>
      </c>
      <c r="E3395" s="674">
        <v>10</v>
      </c>
      <c r="F3395" s="675">
        <v>0.1</v>
      </c>
      <c r="G3395" s="676">
        <v>2628</v>
      </c>
      <c r="H3395" s="929">
        <v>262.8</v>
      </c>
      <c r="I3395" s="929">
        <v>2628.0000000000005</v>
      </c>
      <c r="J3395" s="689">
        <f t="shared" si="53"/>
        <v>0</v>
      </c>
    </row>
    <row r="3396" spans="1:10" ht="12.75" customHeight="1" x14ac:dyDescent="0.2">
      <c r="A3396" s="681" t="s">
        <v>2370</v>
      </c>
      <c r="B3396" s="693" t="s">
        <v>5955</v>
      </c>
      <c r="C3396" s="672" t="s">
        <v>944</v>
      </c>
      <c r="D3396" s="673">
        <v>39498</v>
      </c>
      <c r="E3396" s="674">
        <v>10</v>
      </c>
      <c r="F3396" s="675">
        <v>0.1</v>
      </c>
      <c r="G3396" s="676">
        <v>2628</v>
      </c>
      <c r="H3396" s="929">
        <v>262.8</v>
      </c>
      <c r="I3396" s="929">
        <v>2628.0000000000005</v>
      </c>
      <c r="J3396" s="689">
        <f t="shared" si="53"/>
        <v>0</v>
      </c>
    </row>
    <row r="3397" spans="1:10" ht="12.75" customHeight="1" x14ac:dyDescent="0.2">
      <c r="A3397" s="681" t="s">
        <v>2370</v>
      </c>
      <c r="B3397" s="693" t="s">
        <v>5956</v>
      </c>
      <c r="C3397" s="672" t="s">
        <v>944</v>
      </c>
      <c r="D3397" s="673">
        <v>39498</v>
      </c>
      <c r="E3397" s="674">
        <v>10</v>
      </c>
      <c r="F3397" s="675">
        <v>0.1</v>
      </c>
      <c r="G3397" s="676">
        <v>2628</v>
      </c>
      <c r="H3397" s="929">
        <v>262.8</v>
      </c>
      <c r="I3397" s="929">
        <v>2628.0000000000005</v>
      </c>
      <c r="J3397" s="689">
        <f t="shared" si="53"/>
        <v>0</v>
      </c>
    </row>
    <row r="3398" spans="1:10" ht="12.75" customHeight="1" x14ac:dyDescent="0.2">
      <c r="A3398" s="681" t="s">
        <v>2370</v>
      </c>
      <c r="B3398" s="693" t="s">
        <v>5957</v>
      </c>
      <c r="C3398" s="672" t="s">
        <v>944</v>
      </c>
      <c r="D3398" s="673">
        <v>39498</v>
      </c>
      <c r="E3398" s="674">
        <v>10</v>
      </c>
      <c r="F3398" s="675">
        <v>0.1</v>
      </c>
      <c r="G3398" s="676">
        <v>2628</v>
      </c>
      <c r="H3398" s="929">
        <v>262.8</v>
      </c>
      <c r="I3398" s="929">
        <v>2628.0000000000005</v>
      </c>
      <c r="J3398" s="689">
        <f t="shared" si="53"/>
        <v>0</v>
      </c>
    </row>
    <row r="3399" spans="1:10" ht="12.75" customHeight="1" x14ac:dyDescent="0.2">
      <c r="A3399" s="681" t="s">
        <v>2370</v>
      </c>
      <c r="B3399" s="693" t="s">
        <v>5958</v>
      </c>
      <c r="C3399" s="672" t="s">
        <v>944</v>
      </c>
      <c r="D3399" s="673">
        <v>39498</v>
      </c>
      <c r="E3399" s="674">
        <v>10</v>
      </c>
      <c r="F3399" s="675">
        <v>0.1</v>
      </c>
      <c r="G3399" s="676">
        <v>2628</v>
      </c>
      <c r="H3399" s="929">
        <v>262.8</v>
      </c>
      <c r="I3399" s="929">
        <v>2628.0000000000005</v>
      </c>
      <c r="J3399" s="689">
        <f t="shared" ref="J3399:J3462" si="54">G3399-I3399</f>
        <v>0</v>
      </c>
    </row>
    <row r="3400" spans="1:10" ht="12.75" customHeight="1" x14ac:dyDescent="0.2">
      <c r="A3400" s="681" t="s">
        <v>2370</v>
      </c>
      <c r="B3400" s="693" t="s">
        <v>5959</v>
      </c>
      <c r="C3400" s="672" t="s">
        <v>944</v>
      </c>
      <c r="D3400" s="673">
        <v>39498</v>
      </c>
      <c r="E3400" s="674">
        <v>10</v>
      </c>
      <c r="F3400" s="675">
        <v>0.1</v>
      </c>
      <c r="G3400" s="676">
        <v>2628</v>
      </c>
      <c r="H3400" s="929">
        <v>262.8</v>
      </c>
      <c r="I3400" s="929">
        <v>2628.0000000000005</v>
      </c>
      <c r="J3400" s="689">
        <f t="shared" si="54"/>
        <v>0</v>
      </c>
    </row>
    <row r="3401" spans="1:10" ht="12.75" customHeight="1" x14ac:dyDescent="0.2">
      <c r="A3401" s="681" t="s">
        <v>2370</v>
      </c>
      <c r="B3401" s="693" t="s">
        <v>5960</v>
      </c>
      <c r="C3401" s="672" t="s">
        <v>944</v>
      </c>
      <c r="D3401" s="673">
        <v>39498</v>
      </c>
      <c r="E3401" s="674">
        <v>10</v>
      </c>
      <c r="F3401" s="675">
        <v>0.1</v>
      </c>
      <c r="G3401" s="676">
        <v>2628</v>
      </c>
      <c r="H3401" s="929">
        <v>262.8</v>
      </c>
      <c r="I3401" s="929">
        <v>2628.0000000000005</v>
      </c>
      <c r="J3401" s="689">
        <f t="shared" si="54"/>
        <v>0</v>
      </c>
    </row>
    <row r="3402" spans="1:10" ht="12.75" customHeight="1" x14ac:dyDescent="0.2">
      <c r="A3402" s="681" t="s">
        <v>2370</v>
      </c>
      <c r="B3402" s="693" t="s">
        <v>5961</v>
      </c>
      <c r="C3402" s="672" t="s">
        <v>944</v>
      </c>
      <c r="D3402" s="673">
        <v>39498</v>
      </c>
      <c r="E3402" s="674">
        <v>10</v>
      </c>
      <c r="F3402" s="675">
        <v>0.1</v>
      </c>
      <c r="G3402" s="676">
        <v>2628</v>
      </c>
      <c r="H3402" s="929">
        <v>262.8</v>
      </c>
      <c r="I3402" s="929">
        <v>2628.0000000000005</v>
      </c>
      <c r="J3402" s="689">
        <f t="shared" si="54"/>
        <v>0</v>
      </c>
    </row>
    <row r="3403" spans="1:10" ht="12.75" customHeight="1" x14ac:dyDescent="0.2">
      <c r="A3403" s="681" t="s">
        <v>2370</v>
      </c>
      <c r="B3403" s="693" t="s">
        <v>5962</v>
      </c>
      <c r="C3403" s="672" t="s">
        <v>944</v>
      </c>
      <c r="D3403" s="673">
        <v>39498</v>
      </c>
      <c r="E3403" s="674">
        <v>10</v>
      </c>
      <c r="F3403" s="675">
        <v>0.1</v>
      </c>
      <c r="G3403" s="676">
        <v>2628</v>
      </c>
      <c r="H3403" s="929">
        <v>262.8</v>
      </c>
      <c r="I3403" s="929">
        <v>2628.0000000000005</v>
      </c>
      <c r="J3403" s="689">
        <f t="shared" si="54"/>
        <v>0</v>
      </c>
    </row>
    <row r="3404" spans="1:10" ht="12.75" customHeight="1" x14ac:dyDescent="0.2">
      <c r="A3404" s="681" t="s">
        <v>2370</v>
      </c>
      <c r="B3404" s="693" t="s">
        <v>5963</v>
      </c>
      <c r="C3404" s="672" t="s">
        <v>944</v>
      </c>
      <c r="D3404" s="673">
        <v>39498</v>
      </c>
      <c r="E3404" s="674">
        <v>10</v>
      </c>
      <c r="F3404" s="675">
        <v>0.1</v>
      </c>
      <c r="G3404" s="676">
        <v>2628</v>
      </c>
      <c r="H3404" s="929">
        <v>262.8</v>
      </c>
      <c r="I3404" s="929">
        <v>2628.0000000000005</v>
      </c>
      <c r="J3404" s="689">
        <f t="shared" si="54"/>
        <v>0</v>
      </c>
    </row>
    <row r="3405" spans="1:10" ht="12.75" customHeight="1" x14ac:dyDescent="0.2">
      <c r="A3405" s="681" t="s">
        <v>2370</v>
      </c>
      <c r="B3405" s="693" t="s">
        <v>5964</v>
      </c>
      <c r="C3405" s="672" t="s">
        <v>944</v>
      </c>
      <c r="D3405" s="673">
        <v>39498</v>
      </c>
      <c r="E3405" s="674">
        <v>10</v>
      </c>
      <c r="F3405" s="675">
        <v>0.1</v>
      </c>
      <c r="G3405" s="676">
        <v>2628</v>
      </c>
      <c r="H3405" s="929">
        <v>262.8</v>
      </c>
      <c r="I3405" s="929">
        <v>2628.0000000000005</v>
      </c>
      <c r="J3405" s="689">
        <f t="shared" si="54"/>
        <v>0</v>
      </c>
    </row>
    <row r="3406" spans="1:10" ht="12.75" customHeight="1" x14ac:dyDescent="0.2">
      <c r="A3406" s="681" t="s">
        <v>2370</v>
      </c>
      <c r="B3406" s="693" t="s">
        <v>5965</v>
      </c>
      <c r="C3406" s="672" t="s">
        <v>944</v>
      </c>
      <c r="D3406" s="673">
        <v>39498</v>
      </c>
      <c r="E3406" s="674">
        <v>10</v>
      </c>
      <c r="F3406" s="675">
        <v>0.1</v>
      </c>
      <c r="G3406" s="676">
        <v>2628</v>
      </c>
      <c r="H3406" s="929">
        <v>262.8</v>
      </c>
      <c r="I3406" s="929">
        <v>2628.0000000000005</v>
      </c>
      <c r="J3406" s="689">
        <f t="shared" si="54"/>
        <v>0</v>
      </c>
    </row>
    <row r="3407" spans="1:10" ht="12.75" customHeight="1" x14ac:dyDescent="0.2">
      <c r="A3407" s="681" t="s">
        <v>2370</v>
      </c>
      <c r="B3407" s="693" t="s">
        <v>5966</v>
      </c>
      <c r="C3407" s="672" t="s">
        <v>944</v>
      </c>
      <c r="D3407" s="673">
        <v>39498</v>
      </c>
      <c r="E3407" s="674">
        <v>10</v>
      </c>
      <c r="F3407" s="675">
        <v>0.1</v>
      </c>
      <c r="G3407" s="676">
        <v>2628</v>
      </c>
      <c r="H3407" s="929">
        <v>262.8</v>
      </c>
      <c r="I3407" s="929">
        <v>2628.0000000000005</v>
      </c>
      <c r="J3407" s="689">
        <f t="shared" si="54"/>
        <v>0</v>
      </c>
    </row>
    <row r="3408" spans="1:10" ht="12.75" customHeight="1" x14ac:dyDescent="0.2">
      <c r="A3408" s="681" t="s">
        <v>2370</v>
      </c>
      <c r="B3408" s="693" t="s">
        <v>5967</v>
      </c>
      <c r="C3408" s="672" t="s">
        <v>944</v>
      </c>
      <c r="D3408" s="673">
        <v>39498</v>
      </c>
      <c r="E3408" s="674">
        <v>10</v>
      </c>
      <c r="F3408" s="675">
        <v>0.1</v>
      </c>
      <c r="G3408" s="676">
        <v>2628</v>
      </c>
      <c r="H3408" s="929">
        <v>262.8</v>
      </c>
      <c r="I3408" s="929">
        <v>2628.0000000000005</v>
      </c>
      <c r="J3408" s="689">
        <f t="shared" si="54"/>
        <v>0</v>
      </c>
    </row>
    <row r="3409" spans="1:10" ht="12.75" customHeight="1" x14ac:dyDescent="0.2">
      <c r="A3409" s="681" t="s">
        <v>2370</v>
      </c>
      <c r="B3409" s="693" t="s">
        <v>5968</v>
      </c>
      <c r="C3409" s="672" t="s">
        <v>832</v>
      </c>
      <c r="D3409" s="673">
        <v>39498</v>
      </c>
      <c r="E3409" s="674">
        <v>10</v>
      </c>
      <c r="F3409" s="675">
        <v>0.1</v>
      </c>
      <c r="G3409" s="676">
        <v>2818</v>
      </c>
      <c r="H3409" s="929">
        <v>281.80000000000007</v>
      </c>
      <c r="I3409" s="929">
        <v>2818.0000000000005</v>
      </c>
      <c r="J3409" s="689">
        <f t="shared" si="54"/>
        <v>0</v>
      </c>
    </row>
    <row r="3410" spans="1:10" ht="12.75" customHeight="1" x14ac:dyDescent="0.2">
      <c r="A3410" s="681" t="s">
        <v>2370</v>
      </c>
      <c r="B3410" s="693" t="s">
        <v>5969</v>
      </c>
      <c r="C3410" s="672" t="s">
        <v>852</v>
      </c>
      <c r="D3410" s="673">
        <v>39498</v>
      </c>
      <c r="E3410" s="674">
        <v>10</v>
      </c>
      <c r="F3410" s="675">
        <v>0.1</v>
      </c>
      <c r="G3410" s="676">
        <v>2818</v>
      </c>
      <c r="H3410" s="929">
        <v>281.80000000000007</v>
      </c>
      <c r="I3410" s="929">
        <v>2818.0000000000005</v>
      </c>
      <c r="J3410" s="689">
        <f t="shared" si="54"/>
        <v>0</v>
      </c>
    </row>
    <row r="3411" spans="1:10" ht="12.75" customHeight="1" x14ac:dyDescent="0.2">
      <c r="A3411" s="681" t="s">
        <v>2370</v>
      </c>
      <c r="B3411" s="693" t="s">
        <v>5970</v>
      </c>
      <c r="C3411" s="672" t="s">
        <v>791</v>
      </c>
      <c r="D3411" s="673">
        <v>39498</v>
      </c>
      <c r="E3411" s="674">
        <v>10</v>
      </c>
      <c r="F3411" s="675">
        <v>0.1</v>
      </c>
      <c r="G3411" s="676">
        <v>3105</v>
      </c>
      <c r="H3411" s="929">
        <v>310.5</v>
      </c>
      <c r="I3411" s="929">
        <v>3105</v>
      </c>
      <c r="J3411" s="689">
        <f t="shared" si="54"/>
        <v>0</v>
      </c>
    </row>
    <row r="3412" spans="1:10" ht="12.75" customHeight="1" x14ac:dyDescent="0.2">
      <c r="A3412" s="681" t="s">
        <v>2370</v>
      </c>
      <c r="B3412" s="693" t="s">
        <v>5971</v>
      </c>
      <c r="C3412" s="672" t="s">
        <v>964</v>
      </c>
      <c r="D3412" s="673">
        <v>39498</v>
      </c>
      <c r="E3412" s="674">
        <v>10</v>
      </c>
      <c r="F3412" s="675">
        <v>0.1</v>
      </c>
      <c r="G3412" s="676">
        <v>3105</v>
      </c>
      <c r="H3412" s="929">
        <v>310.5</v>
      </c>
      <c r="I3412" s="929">
        <v>3105</v>
      </c>
      <c r="J3412" s="689">
        <f t="shared" si="54"/>
        <v>0</v>
      </c>
    </row>
    <row r="3413" spans="1:10" ht="12.75" customHeight="1" x14ac:dyDescent="0.2">
      <c r="A3413" s="681" t="s">
        <v>2372</v>
      </c>
      <c r="B3413" s="693" t="s">
        <v>5972</v>
      </c>
      <c r="C3413" s="672" t="s">
        <v>1009</v>
      </c>
      <c r="D3413" s="673">
        <v>39498</v>
      </c>
      <c r="E3413" s="674">
        <v>10</v>
      </c>
      <c r="F3413" s="675">
        <v>0.1</v>
      </c>
      <c r="G3413" s="676">
        <v>3138</v>
      </c>
      <c r="H3413" s="929">
        <v>313.79999999999995</v>
      </c>
      <c r="I3413" s="929">
        <v>3138</v>
      </c>
      <c r="J3413" s="689">
        <f t="shared" si="54"/>
        <v>0</v>
      </c>
    </row>
    <row r="3414" spans="1:10" ht="12.75" customHeight="1" x14ac:dyDescent="0.2">
      <c r="A3414" s="681" t="s">
        <v>2370</v>
      </c>
      <c r="B3414" s="693" t="s">
        <v>5973</v>
      </c>
      <c r="C3414" s="672" t="s">
        <v>940</v>
      </c>
      <c r="D3414" s="673">
        <v>39498</v>
      </c>
      <c r="E3414" s="674">
        <v>10</v>
      </c>
      <c r="F3414" s="675">
        <v>0.1</v>
      </c>
      <c r="G3414" s="676">
        <v>3195</v>
      </c>
      <c r="H3414" s="929">
        <v>319.5</v>
      </c>
      <c r="I3414" s="929">
        <v>3195</v>
      </c>
      <c r="J3414" s="689">
        <f t="shared" si="54"/>
        <v>0</v>
      </c>
    </row>
    <row r="3415" spans="1:10" ht="12.75" customHeight="1" x14ac:dyDescent="0.2">
      <c r="A3415" s="681" t="s">
        <v>2370</v>
      </c>
      <c r="B3415" s="693" t="s">
        <v>5974</v>
      </c>
      <c r="C3415" s="672" t="s">
        <v>940</v>
      </c>
      <c r="D3415" s="673">
        <v>39498</v>
      </c>
      <c r="E3415" s="674">
        <v>10</v>
      </c>
      <c r="F3415" s="675">
        <v>0.1</v>
      </c>
      <c r="G3415" s="676">
        <v>3195</v>
      </c>
      <c r="H3415" s="929">
        <v>319.5</v>
      </c>
      <c r="I3415" s="929">
        <v>3195</v>
      </c>
      <c r="J3415" s="689">
        <f t="shared" si="54"/>
        <v>0</v>
      </c>
    </row>
    <row r="3416" spans="1:10" ht="12.75" customHeight="1" x14ac:dyDescent="0.2">
      <c r="A3416" s="681" t="s">
        <v>2370</v>
      </c>
      <c r="B3416" s="693" t="s">
        <v>5975</v>
      </c>
      <c r="C3416" s="672" t="s">
        <v>940</v>
      </c>
      <c r="D3416" s="673">
        <v>39498</v>
      </c>
      <c r="E3416" s="674">
        <v>10</v>
      </c>
      <c r="F3416" s="675">
        <v>0.1</v>
      </c>
      <c r="G3416" s="676">
        <v>3195</v>
      </c>
      <c r="H3416" s="929">
        <v>319.5</v>
      </c>
      <c r="I3416" s="929">
        <v>3195</v>
      </c>
      <c r="J3416" s="689">
        <f t="shared" si="54"/>
        <v>0</v>
      </c>
    </row>
    <row r="3417" spans="1:10" ht="12.75" customHeight="1" x14ac:dyDescent="0.2">
      <c r="A3417" s="681" t="s">
        <v>2370</v>
      </c>
      <c r="B3417" s="693" t="s">
        <v>5976</v>
      </c>
      <c r="C3417" s="672" t="s">
        <v>940</v>
      </c>
      <c r="D3417" s="673">
        <v>39498</v>
      </c>
      <c r="E3417" s="674">
        <v>10</v>
      </c>
      <c r="F3417" s="675">
        <v>0.1</v>
      </c>
      <c r="G3417" s="676">
        <v>3195</v>
      </c>
      <c r="H3417" s="929">
        <v>319.5</v>
      </c>
      <c r="I3417" s="929">
        <v>3195</v>
      </c>
      <c r="J3417" s="689">
        <f t="shared" si="54"/>
        <v>0</v>
      </c>
    </row>
    <row r="3418" spans="1:10" ht="12.75" customHeight="1" x14ac:dyDescent="0.2">
      <c r="A3418" s="681" t="s">
        <v>2370</v>
      </c>
      <c r="B3418" s="693" t="s">
        <v>5977</v>
      </c>
      <c r="C3418" s="672" t="s">
        <v>802</v>
      </c>
      <c r="D3418" s="673">
        <v>39498</v>
      </c>
      <c r="E3418" s="674">
        <v>10</v>
      </c>
      <c r="F3418" s="675">
        <v>0.1</v>
      </c>
      <c r="G3418" s="676">
        <v>3232</v>
      </c>
      <c r="H3418" s="929">
        <v>323.2</v>
      </c>
      <c r="I3418" s="929">
        <v>3232</v>
      </c>
      <c r="J3418" s="689">
        <f t="shared" si="54"/>
        <v>0</v>
      </c>
    </row>
    <row r="3419" spans="1:10" ht="12.75" customHeight="1" x14ac:dyDescent="0.2">
      <c r="A3419" s="681" t="s">
        <v>2370</v>
      </c>
      <c r="B3419" s="693" t="s">
        <v>5978</v>
      </c>
      <c r="C3419" s="672" t="s">
        <v>791</v>
      </c>
      <c r="D3419" s="673">
        <v>39498</v>
      </c>
      <c r="E3419" s="674">
        <v>10</v>
      </c>
      <c r="F3419" s="675">
        <v>0.1</v>
      </c>
      <c r="G3419" s="676">
        <v>3346</v>
      </c>
      <c r="H3419" s="929">
        <v>334.59999999999997</v>
      </c>
      <c r="I3419" s="929">
        <v>3345.9999999999995</v>
      </c>
      <c r="J3419" s="689">
        <f t="shared" si="54"/>
        <v>0</v>
      </c>
    </row>
    <row r="3420" spans="1:10" ht="12.75" customHeight="1" x14ac:dyDescent="0.2">
      <c r="A3420" s="681" t="s">
        <v>2372</v>
      </c>
      <c r="B3420" s="693" t="s">
        <v>5979</v>
      </c>
      <c r="C3420" s="672" t="s">
        <v>1010</v>
      </c>
      <c r="D3420" s="673">
        <v>39498</v>
      </c>
      <c r="E3420" s="674">
        <v>10</v>
      </c>
      <c r="F3420" s="675">
        <v>0.1</v>
      </c>
      <c r="G3420" s="676">
        <v>3370</v>
      </c>
      <c r="H3420" s="929">
        <v>337</v>
      </c>
      <c r="I3420" s="929">
        <v>3370</v>
      </c>
      <c r="J3420" s="689">
        <f t="shared" si="54"/>
        <v>0</v>
      </c>
    </row>
    <row r="3421" spans="1:10" ht="12.75" customHeight="1" x14ac:dyDescent="0.2">
      <c r="A3421" s="681" t="s">
        <v>2370</v>
      </c>
      <c r="B3421" s="693" t="s">
        <v>5980</v>
      </c>
      <c r="C3421" s="672" t="s">
        <v>791</v>
      </c>
      <c r="D3421" s="673">
        <v>39498</v>
      </c>
      <c r="E3421" s="674">
        <v>10</v>
      </c>
      <c r="F3421" s="675">
        <v>0.1</v>
      </c>
      <c r="G3421" s="676">
        <v>3413</v>
      </c>
      <c r="H3421" s="929">
        <v>341.3</v>
      </c>
      <c r="I3421" s="929">
        <v>3413.0000000000005</v>
      </c>
      <c r="J3421" s="689">
        <f t="shared" si="54"/>
        <v>0</v>
      </c>
    </row>
    <row r="3422" spans="1:10" ht="12.75" customHeight="1" x14ac:dyDescent="0.2">
      <c r="A3422" s="681" t="s">
        <v>2372</v>
      </c>
      <c r="B3422" s="693" t="s">
        <v>5981</v>
      </c>
      <c r="C3422" s="672" t="s">
        <v>1056</v>
      </c>
      <c r="D3422" s="673">
        <v>39498</v>
      </c>
      <c r="E3422" s="674">
        <v>10</v>
      </c>
      <c r="F3422" s="675">
        <v>0.1</v>
      </c>
      <c r="G3422" s="676">
        <v>3440</v>
      </c>
      <c r="H3422" s="929">
        <v>344.00000000000006</v>
      </c>
      <c r="I3422" s="929">
        <v>3440</v>
      </c>
      <c r="J3422" s="689">
        <f t="shared" si="54"/>
        <v>0</v>
      </c>
    </row>
    <row r="3423" spans="1:10" ht="12.75" customHeight="1" x14ac:dyDescent="0.2">
      <c r="A3423" s="681" t="s">
        <v>2370</v>
      </c>
      <c r="B3423" s="693" t="s">
        <v>5982</v>
      </c>
      <c r="C3423" s="672" t="s">
        <v>790</v>
      </c>
      <c r="D3423" s="673">
        <v>39498</v>
      </c>
      <c r="E3423" s="674">
        <v>10</v>
      </c>
      <c r="F3423" s="675">
        <v>0.1</v>
      </c>
      <c r="G3423" s="676">
        <v>3462</v>
      </c>
      <c r="H3423" s="929">
        <v>346.20000000000005</v>
      </c>
      <c r="I3423" s="929">
        <v>3461.9999999999991</v>
      </c>
      <c r="J3423" s="689">
        <f t="shared" si="54"/>
        <v>0</v>
      </c>
    </row>
    <row r="3424" spans="1:10" ht="12.75" customHeight="1" x14ac:dyDescent="0.2">
      <c r="A3424" s="681" t="s">
        <v>2372</v>
      </c>
      <c r="B3424" s="693" t="s">
        <v>5983</v>
      </c>
      <c r="C3424" s="672" t="s">
        <v>1063</v>
      </c>
      <c r="D3424" s="673">
        <v>39498</v>
      </c>
      <c r="E3424" s="674">
        <v>10</v>
      </c>
      <c r="F3424" s="675">
        <v>0.1</v>
      </c>
      <c r="G3424" s="676">
        <v>3680</v>
      </c>
      <c r="H3424" s="929">
        <v>368.00000000000006</v>
      </c>
      <c r="I3424" s="929">
        <v>3680</v>
      </c>
      <c r="J3424" s="689">
        <f t="shared" si="54"/>
        <v>0</v>
      </c>
    </row>
    <row r="3425" spans="1:10" ht="12.75" customHeight="1" x14ac:dyDescent="0.2">
      <c r="A3425" s="681" t="s">
        <v>2372</v>
      </c>
      <c r="B3425" s="693" t="s">
        <v>5984</v>
      </c>
      <c r="C3425" s="672" t="s">
        <v>1010</v>
      </c>
      <c r="D3425" s="673">
        <v>39498</v>
      </c>
      <c r="E3425" s="674">
        <v>10</v>
      </c>
      <c r="F3425" s="675">
        <v>0.1</v>
      </c>
      <c r="G3425" s="676">
        <v>3713</v>
      </c>
      <c r="H3425" s="929">
        <v>371.3</v>
      </c>
      <c r="I3425" s="929">
        <v>3713.0000000000009</v>
      </c>
      <c r="J3425" s="689">
        <f t="shared" si="54"/>
        <v>0</v>
      </c>
    </row>
    <row r="3426" spans="1:10" ht="12.75" customHeight="1" x14ac:dyDescent="0.2">
      <c r="A3426" s="681" t="s">
        <v>2370</v>
      </c>
      <c r="B3426" s="693" t="s">
        <v>5985</v>
      </c>
      <c r="C3426" s="672" t="s">
        <v>786</v>
      </c>
      <c r="D3426" s="673">
        <v>39498</v>
      </c>
      <c r="E3426" s="674">
        <v>10</v>
      </c>
      <c r="F3426" s="675">
        <v>0.1</v>
      </c>
      <c r="G3426" s="676">
        <v>3910</v>
      </c>
      <c r="H3426" s="929">
        <v>390.99999999999994</v>
      </c>
      <c r="I3426" s="929">
        <v>3910</v>
      </c>
      <c r="J3426" s="689">
        <f t="shared" si="54"/>
        <v>0</v>
      </c>
    </row>
    <row r="3427" spans="1:10" ht="12.75" customHeight="1" x14ac:dyDescent="0.2">
      <c r="A3427" s="681" t="s">
        <v>2370</v>
      </c>
      <c r="B3427" s="693" t="s">
        <v>5986</v>
      </c>
      <c r="C3427" s="672" t="s">
        <v>787</v>
      </c>
      <c r="D3427" s="673">
        <v>39498</v>
      </c>
      <c r="E3427" s="674">
        <v>10</v>
      </c>
      <c r="F3427" s="675">
        <v>0.1</v>
      </c>
      <c r="G3427" s="676">
        <v>4106</v>
      </c>
      <c r="H3427" s="929">
        <v>410.60000000000014</v>
      </c>
      <c r="I3427" s="929">
        <v>4106</v>
      </c>
      <c r="J3427" s="689">
        <f t="shared" si="54"/>
        <v>0</v>
      </c>
    </row>
    <row r="3428" spans="1:10" ht="12.75" customHeight="1" x14ac:dyDescent="0.2">
      <c r="A3428" s="681" t="s">
        <v>2370</v>
      </c>
      <c r="B3428" s="693" t="s">
        <v>5987</v>
      </c>
      <c r="C3428" s="672" t="s">
        <v>788</v>
      </c>
      <c r="D3428" s="673">
        <v>39498</v>
      </c>
      <c r="E3428" s="674">
        <v>10</v>
      </c>
      <c r="F3428" s="675">
        <v>0.1</v>
      </c>
      <c r="G3428" s="676">
        <v>4186</v>
      </c>
      <c r="H3428" s="929">
        <v>418.59999999999997</v>
      </c>
      <c r="I3428" s="929">
        <v>4186</v>
      </c>
      <c r="J3428" s="689">
        <f t="shared" si="54"/>
        <v>0</v>
      </c>
    </row>
    <row r="3429" spans="1:10" ht="12.75" customHeight="1" x14ac:dyDescent="0.2">
      <c r="A3429" s="681" t="s">
        <v>2372</v>
      </c>
      <c r="B3429" s="693" t="s">
        <v>5988</v>
      </c>
      <c r="C3429" s="672" t="s">
        <v>1010</v>
      </c>
      <c r="D3429" s="673">
        <v>39498</v>
      </c>
      <c r="E3429" s="674">
        <v>10</v>
      </c>
      <c r="F3429" s="675">
        <v>0.1</v>
      </c>
      <c r="G3429" s="676">
        <v>4261</v>
      </c>
      <c r="H3429" s="929">
        <v>426.09999999999997</v>
      </c>
      <c r="I3429" s="929">
        <v>4261</v>
      </c>
      <c r="J3429" s="689">
        <f t="shared" si="54"/>
        <v>0</v>
      </c>
    </row>
    <row r="3430" spans="1:10" ht="12.75" customHeight="1" x14ac:dyDescent="0.2">
      <c r="A3430" s="681" t="s">
        <v>2370</v>
      </c>
      <c r="B3430" s="693" t="s">
        <v>5989</v>
      </c>
      <c r="C3430" s="672" t="s">
        <v>818</v>
      </c>
      <c r="D3430" s="673">
        <v>39498</v>
      </c>
      <c r="E3430" s="674">
        <v>10</v>
      </c>
      <c r="F3430" s="675">
        <v>0.1</v>
      </c>
      <c r="G3430" s="676">
        <v>4767</v>
      </c>
      <c r="H3430" s="929">
        <v>476.7000000000001</v>
      </c>
      <c r="I3430" s="929">
        <v>4766.9999999999991</v>
      </c>
      <c r="J3430" s="689">
        <f t="shared" si="54"/>
        <v>0</v>
      </c>
    </row>
    <row r="3431" spans="1:10" ht="12.75" customHeight="1" x14ac:dyDescent="0.2">
      <c r="A3431" s="681" t="s">
        <v>2370</v>
      </c>
      <c r="B3431" s="693" t="s">
        <v>5990</v>
      </c>
      <c r="C3431" s="672" t="s">
        <v>818</v>
      </c>
      <c r="D3431" s="673">
        <v>39498</v>
      </c>
      <c r="E3431" s="674">
        <v>10</v>
      </c>
      <c r="F3431" s="675">
        <v>0.1</v>
      </c>
      <c r="G3431" s="676">
        <v>4767</v>
      </c>
      <c r="H3431" s="929">
        <v>476.7000000000001</v>
      </c>
      <c r="I3431" s="929">
        <v>4766.9999999999991</v>
      </c>
      <c r="J3431" s="689">
        <f t="shared" si="54"/>
        <v>0</v>
      </c>
    </row>
    <row r="3432" spans="1:10" ht="12.75" customHeight="1" x14ac:dyDescent="0.2">
      <c r="A3432" s="681" t="s">
        <v>2370</v>
      </c>
      <c r="B3432" s="693" t="s">
        <v>5991</v>
      </c>
      <c r="C3432" s="672" t="s">
        <v>787</v>
      </c>
      <c r="D3432" s="673">
        <v>39498</v>
      </c>
      <c r="E3432" s="674">
        <v>10</v>
      </c>
      <c r="F3432" s="675">
        <v>0.1</v>
      </c>
      <c r="G3432" s="676">
        <v>4926</v>
      </c>
      <c r="H3432" s="929">
        <v>492.60000000000008</v>
      </c>
      <c r="I3432" s="929">
        <v>4926</v>
      </c>
      <c r="J3432" s="689">
        <f t="shared" si="54"/>
        <v>0</v>
      </c>
    </row>
    <row r="3433" spans="1:10" ht="12.75" customHeight="1" x14ac:dyDescent="0.2">
      <c r="A3433" s="681" t="s">
        <v>2370</v>
      </c>
      <c r="B3433" s="693" t="s">
        <v>5992</v>
      </c>
      <c r="C3433" s="672" t="s">
        <v>787</v>
      </c>
      <c r="D3433" s="673">
        <v>39498</v>
      </c>
      <c r="E3433" s="674">
        <v>10</v>
      </c>
      <c r="F3433" s="675">
        <v>0.1</v>
      </c>
      <c r="G3433" s="676">
        <v>4926</v>
      </c>
      <c r="H3433" s="929">
        <v>492.60000000000008</v>
      </c>
      <c r="I3433" s="929">
        <v>4926</v>
      </c>
      <c r="J3433" s="689">
        <f t="shared" si="54"/>
        <v>0</v>
      </c>
    </row>
    <row r="3434" spans="1:10" ht="12.75" customHeight="1" x14ac:dyDescent="0.2">
      <c r="A3434" s="681" t="s">
        <v>2370</v>
      </c>
      <c r="B3434" s="693" t="s">
        <v>5993</v>
      </c>
      <c r="C3434" s="672" t="s">
        <v>787</v>
      </c>
      <c r="D3434" s="673">
        <v>39498</v>
      </c>
      <c r="E3434" s="674">
        <v>10</v>
      </c>
      <c r="F3434" s="675">
        <v>0.1</v>
      </c>
      <c r="G3434" s="676">
        <v>4926</v>
      </c>
      <c r="H3434" s="929">
        <v>492.60000000000008</v>
      </c>
      <c r="I3434" s="929">
        <v>4926</v>
      </c>
      <c r="J3434" s="689">
        <f t="shared" si="54"/>
        <v>0</v>
      </c>
    </row>
    <row r="3435" spans="1:10" ht="12.75" customHeight="1" x14ac:dyDescent="0.2">
      <c r="A3435" s="681" t="s">
        <v>2372</v>
      </c>
      <c r="B3435" s="693" t="s">
        <v>5994</v>
      </c>
      <c r="C3435" s="672" t="s">
        <v>1007</v>
      </c>
      <c r="D3435" s="673">
        <v>39498</v>
      </c>
      <c r="E3435" s="674">
        <v>10</v>
      </c>
      <c r="F3435" s="675">
        <v>0.1</v>
      </c>
      <c r="G3435" s="676">
        <v>4949</v>
      </c>
      <c r="H3435" s="929">
        <v>494.90000000000003</v>
      </c>
      <c r="I3435" s="929">
        <v>4949</v>
      </c>
      <c r="J3435" s="689">
        <f t="shared" si="54"/>
        <v>0</v>
      </c>
    </row>
    <row r="3436" spans="1:10" ht="12.75" customHeight="1" x14ac:dyDescent="0.2">
      <c r="A3436" s="681" t="s">
        <v>2370</v>
      </c>
      <c r="B3436" s="693" t="s">
        <v>5995</v>
      </c>
      <c r="C3436" s="672" t="s">
        <v>926</v>
      </c>
      <c r="D3436" s="673">
        <v>39498</v>
      </c>
      <c r="E3436" s="674">
        <v>10</v>
      </c>
      <c r="F3436" s="675">
        <v>0.1</v>
      </c>
      <c r="G3436" s="676">
        <v>4991</v>
      </c>
      <c r="H3436" s="929">
        <v>499.10000000000014</v>
      </c>
      <c r="I3436" s="929">
        <v>4991</v>
      </c>
      <c r="J3436" s="689">
        <f t="shared" si="54"/>
        <v>0</v>
      </c>
    </row>
    <row r="3437" spans="1:10" ht="12.75" customHeight="1" x14ac:dyDescent="0.2">
      <c r="A3437" s="681" t="s">
        <v>2372</v>
      </c>
      <c r="B3437" s="693" t="s">
        <v>5996</v>
      </c>
      <c r="C3437" s="672" t="s">
        <v>1099</v>
      </c>
      <c r="D3437" s="673">
        <v>39498</v>
      </c>
      <c r="E3437" s="674">
        <v>10</v>
      </c>
      <c r="F3437" s="675">
        <v>0.1</v>
      </c>
      <c r="G3437" s="676">
        <v>5060</v>
      </c>
      <c r="H3437" s="929">
        <v>506.00000000000006</v>
      </c>
      <c r="I3437" s="929">
        <v>5060</v>
      </c>
      <c r="J3437" s="689">
        <f t="shared" si="54"/>
        <v>0</v>
      </c>
    </row>
    <row r="3438" spans="1:10" ht="12.75" customHeight="1" x14ac:dyDescent="0.2">
      <c r="A3438" s="681" t="s">
        <v>2372</v>
      </c>
      <c r="B3438" s="693" t="s">
        <v>5997</v>
      </c>
      <c r="C3438" s="672" t="s">
        <v>1099</v>
      </c>
      <c r="D3438" s="673">
        <v>39498</v>
      </c>
      <c r="E3438" s="674">
        <v>10</v>
      </c>
      <c r="F3438" s="675">
        <v>0.1</v>
      </c>
      <c r="G3438" s="676">
        <v>5060</v>
      </c>
      <c r="H3438" s="929">
        <v>506.00000000000006</v>
      </c>
      <c r="I3438" s="929">
        <v>5060</v>
      </c>
      <c r="J3438" s="689">
        <f t="shared" si="54"/>
        <v>0</v>
      </c>
    </row>
    <row r="3439" spans="1:10" ht="12.75" customHeight="1" x14ac:dyDescent="0.2">
      <c r="A3439" s="681" t="s">
        <v>2370</v>
      </c>
      <c r="B3439" s="693" t="s">
        <v>5998</v>
      </c>
      <c r="C3439" s="672" t="s">
        <v>787</v>
      </c>
      <c r="D3439" s="673">
        <v>39498</v>
      </c>
      <c r="E3439" s="674">
        <v>10</v>
      </c>
      <c r="F3439" s="675">
        <v>0.1</v>
      </c>
      <c r="G3439" s="676">
        <v>5230</v>
      </c>
      <c r="H3439" s="929">
        <v>522.99999999999989</v>
      </c>
      <c r="I3439" s="929">
        <v>5230</v>
      </c>
      <c r="J3439" s="689">
        <f t="shared" si="54"/>
        <v>0</v>
      </c>
    </row>
    <row r="3440" spans="1:10" ht="12.75" customHeight="1" x14ac:dyDescent="0.2">
      <c r="A3440" s="681" t="s">
        <v>2370</v>
      </c>
      <c r="B3440" s="693" t="s">
        <v>5999</v>
      </c>
      <c r="C3440" s="672" t="s">
        <v>795</v>
      </c>
      <c r="D3440" s="673">
        <v>39498</v>
      </c>
      <c r="E3440" s="674">
        <v>10</v>
      </c>
      <c r="F3440" s="675">
        <v>0.1</v>
      </c>
      <c r="G3440" s="676">
        <v>5284</v>
      </c>
      <c r="H3440" s="929">
        <v>528.39999999999986</v>
      </c>
      <c r="I3440" s="929">
        <v>5283.9999999999991</v>
      </c>
      <c r="J3440" s="689">
        <f t="shared" si="54"/>
        <v>0</v>
      </c>
    </row>
    <row r="3441" spans="1:10" ht="12.75" customHeight="1" x14ac:dyDescent="0.2">
      <c r="A3441" s="681" t="s">
        <v>2370</v>
      </c>
      <c r="B3441" s="693" t="s">
        <v>6000</v>
      </c>
      <c r="C3441" s="672" t="s">
        <v>940</v>
      </c>
      <c r="D3441" s="673">
        <v>39498</v>
      </c>
      <c r="E3441" s="674">
        <v>10</v>
      </c>
      <c r="F3441" s="675">
        <v>0.1</v>
      </c>
      <c r="G3441" s="676">
        <v>5382</v>
      </c>
      <c r="H3441" s="929">
        <v>538.20000000000016</v>
      </c>
      <c r="I3441" s="929">
        <v>5381.9999999999991</v>
      </c>
      <c r="J3441" s="689">
        <f t="shared" si="54"/>
        <v>0</v>
      </c>
    </row>
    <row r="3442" spans="1:10" ht="12.75" customHeight="1" x14ac:dyDescent="0.2">
      <c r="A3442" s="681" t="s">
        <v>2370</v>
      </c>
      <c r="B3442" s="693" t="s">
        <v>6001</v>
      </c>
      <c r="C3442" s="672" t="s">
        <v>940</v>
      </c>
      <c r="D3442" s="673">
        <v>39498</v>
      </c>
      <c r="E3442" s="674">
        <v>10</v>
      </c>
      <c r="F3442" s="675">
        <v>0.1</v>
      </c>
      <c r="G3442" s="676">
        <v>5382</v>
      </c>
      <c r="H3442" s="929">
        <v>538.20000000000016</v>
      </c>
      <c r="I3442" s="929">
        <v>5381.9999999999991</v>
      </c>
      <c r="J3442" s="689">
        <f t="shared" si="54"/>
        <v>0</v>
      </c>
    </row>
    <row r="3443" spans="1:10" ht="12.75" customHeight="1" x14ac:dyDescent="0.2">
      <c r="A3443" s="681" t="s">
        <v>2370</v>
      </c>
      <c r="B3443" s="693" t="s">
        <v>6002</v>
      </c>
      <c r="C3443" s="672" t="s">
        <v>786</v>
      </c>
      <c r="D3443" s="673">
        <v>39498</v>
      </c>
      <c r="E3443" s="674">
        <v>10</v>
      </c>
      <c r="F3443" s="675">
        <v>0.1</v>
      </c>
      <c r="G3443" s="676">
        <v>5483</v>
      </c>
      <c r="H3443" s="929">
        <v>548.29999999999995</v>
      </c>
      <c r="I3443" s="929">
        <v>5483.0000000000009</v>
      </c>
      <c r="J3443" s="689">
        <f t="shared" si="54"/>
        <v>0</v>
      </c>
    </row>
    <row r="3444" spans="1:10" ht="12.75" customHeight="1" x14ac:dyDescent="0.2">
      <c r="A3444" s="681" t="s">
        <v>2370</v>
      </c>
      <c r="B3444" s="693" t="s">
        <v>6003</v>
      </c>
      <c r="C3444" s="672" t="s">
        <v>786</v>
      </c>
      <c r="D3444" s="673">
        <v>39498</v>
      </c>
      <c r="E3444" s="674">
        <v>10</v>
      </c>
      <c r="F3444" s="675">
        <v>0.1</v>
      </c>
      <c r="G3444" s="676">
        <v>5483</v>
      </c>
      <c r="H3444" s="929">
        <v>548.29999999999995</v>
      </c>
      <c r="I3444" s="929">
        <v>5483.0000000000009</v>
      </c>
      <c r="J3444" s="689">
        <f t="shared" si="54"/>
        <v>0</v>
      </c>
    </row>
    <row r="3445" spans="1:10" ht="12.75" customHeight="1" x14ac:dyDescent="0.2">
      <c r="A3445" s="681" t="s">
        <v>2370</v>
      </c>
      <c r="B3445" s="693" t="s">
        <v>6004</v>
      </c>
      <c r="C3445" s="672" t="s">
        <v>923</v>
      </c>
      <c r="D3445" s="673">
        <v>39498</v>
      </c>
      <c r="E3445" s="674">
        <v>10</v>
      </c>
      <c r="F3445" s="675">
        <v>0.1</v>
      </c>
      <c r="G3445" s="676">
        <v>5488</v>
      </c>
      <c r="H3445" s="929">
        <v>548.80000000000007</v>
      </c>
      <c r="I3445" s="929">
        <v>5488.0000000000009</v>
      </c>
      <c r="J3445" s="689">
        <f t="shared" si="54"/>
        <v>0</v>
      </c>
    </row>
    <row r="3446" spans="1:10" ht="12.75" customHeight="1" x14ac:dyDescent="0.2">
      <c r="A3446" s="681" t="s">
        <v>2372</v>
      </c>
      <c r="B3446" s="693" t="s">
        <v>6005</v>
      </c>
      <c r="C3446" s="672" t="s">
        <v>1063</v>
      </c>
      <c r="D3446" s="673">
        <v>39498</v>
      </c>
      <c r="E3446" s="674">
        <v>10</v>
      </c>
      <c r="F3446" s="675">
        <v>0.1</v>
      </c>
      <c r="G3446" s="676">
        <v>5827</v>
      </c>
      <c r="H3446" s="929">
        <v>582.69999999999993</v>
      </c>
      <c r="I3446" s="929">
        <v>5826.9999999999991</v>
      </c>
      <c r="J3446" s="689">
        <f t="shared" si="54"/>
        <v>0</v>
      </c>
    </row>
    <row r="3447" spans="1:10" ht="12.75" customHeight="1" x14ac:dyDescent="0.2">
      <c r="A3447" s="681" t="s">
        <v>2372</v>
      </c>
      <c r="B3447" s="693" t="s">
        <v>6006</v>
      </c>
      <c r="C3447" s="672" t="s">
        <v>737</v>
      </c>
      <c r="D3447" s="673">
        <v>39498</v>
      </c>
      <c r="E3447" s="674">
        <v>10</v>
      </c>
      <c r="F3447" s="675">
        <v>0.1</v>
      </c>
      <c r="G3447" s="676">
        <v>6021</v>
      </c>
      <c r="H3447" s="929">
        <v>602.1</v>
      </c>
      <c r="I3447" s="929">
        <v>6021.0000000000009</v>
      </c>
      <c r="J3447" s="689">
        <f t="shared" si="54"/>
        <v>0</v>
      </c>
    </row>
    <row r="3448" spans="1:10" ht="12.75" customHeight="1" x14ac:dyDescent="0.2">
      <c r="A3448" s="681" t="s">
        <v>2372</v>
      </c>
      <c r="B3448" s="693" t="s">
        <v>6007</v>
      </c>
      <c r="C3448" s="672" t="s">
        <v>737</v>
      </c>
      <c r="D3448" s="673">
        <v>39498</v>
      </c>
      <c r="E3448" s="674">
        <v>10</v>
      </c>
      <c r="F3448" s="675">
        <v>0.1</v>
      </c>
      <c r="G3448" s="676">
        <v>6021</v>
      </c>
      <c r="H3448" s="929">
        <v>602.1</v>
      </c>
      <c r="I3448" s="929">
        <v>6021.0000000000009</v>
      </c>
      <c r="J3448" s="689">
        <f t="shared" si="54"/>
        <v>0</v>
      </c>
    </row>
    <row r="3449" spans="1:10" ht="12.75" customHeight="1" x14ac:dyDescent="0.2">
      <c r="A3449" s="681" t="s">
        <v>2372</v>
      </c>
      <c r="B3449" s="693" t="s">
        <v>6008</v>
      </c>
      <c r="C3449" s="672" t="s">
        <v>1062</v>
      </c>
      <c r="D3449" s="673">
        <v>39498</v>
      </c>
      <c r="E3449" s="674">
        <v>10</v>
      </c>
      <c r="F3449" s="675">
        <v>0.1</v>
      </c>
      <c r="G3449" s="676">
        <v>6106</v>
      </c>
      <c r="H3449" s="929">
        <v>610.6</v>
      </c>
      <c r="I3449" s="929">
        <v>6106.0000000000009</v>
      </c>
      <c r="J3449" s="689">
        <f t="shared" si="54"/>
        <v>0</v>
      </c>
    </row>
    <row r="3450" spans="1:10" ht="12.75" customHeight="1" x14ac:dyDescent="0.2">
      <c r="A3450" s="681" t="s">
        <v>2370</v>
      </c>
      <c r="B3450" s="693" t="s">
        <v>6009</v>
      </c>
      <c r="C3450" s="672" t="s">
        <v>940</v>
      </c>
      <c r="D3450" s="673">
        <v>39498</v>
      </c>
      <c r="E3450" s="674">
        <v>10</v>
      </c>
      <c r="F3450" s="675">
        <v>0.1</v>
      </c>
      <c r="G3450" s="676">
        <v>6157</v>
      </c>
      <c r="H3450" s="929">
        <v>615.69999999999982</v>
      </c>
      <c r="I3450" s="929">
        <v>6156.9999999999991</v>
      </c>
      <c r="J3450" s="689">
        <f t="shared" si="54"/>
        <v>0</v>
      </c>
    </row>
    <row r="3451" spans="1:10" ht="12.75" customHeight="1" x14ac:dyDescent="0.2">
      <c r="A3451" s="681" t="s">
        <v>2370</v>
      </c>
      <c r="B3451" s="693" t="s">
        <v>6010</v>
      </c>
      <c r="C3451" s="672" t="s">
        <v>940</v>
      </c>
      <c r="D3451" s="673">
        <v>39498</v>
      </c>
      <c r="E3451" s="674">
        <v>10</v>
      </c>
      <c r="F3451" s="675">
        <v>0.1</v>
      </c>
      <c r="G3451" s="676">
        <v>6157</v>
      </c>
      <c r="H3451" s="929">
        <v>615.69999999999982</v>
      </c>
      <c r="I3451" s="929">
        <v>6156.9999999999991</v>
      </c>
      <c r="J3451" s="689">
        <f t="shared" si="54"/>
        <v>0</v>
      </c>
    </row>
    <row r="3452" spans="1:10" ht="12.75" customHeight="1" x14ac:dyDescent="0.2">
      <c r="A3452" s="681" t="s">
        <v>2372</v>
      </c>
      <c r="B3452" s="693" t="s">
        <v>6011</v>
      </c>
      <c r="C3452" s="672" t="s">
        <v>1007</v>
      </c>
      <c r="D3452" s="673">
        <v>39498</v>
      </c>
      <c r="E3452" s="674">
        <v>10</v>
      </c>
      <c r="F3452" s="675">
        <v>0.1</v>
      </c>
      <c r="G3452" s="676">
        <v>6450</v>
      </c>
      <c r="H3452" s="929">
        <v>645</v>
      </c>
      <c r="I3452" s="929">
        <v>6450</v>
      </c>
      <c r="J3452" s="689">
        <f t="shared" si="54"/>
        <v>0</v>
      </c>
    </row>
    <row r="3453" spans="1:10" ht="12.75" customHeight="1" x14ac:dyDescent="0.2">
      <c r="A3453" s="681" t="s">
        <v>2372</v>
      </c>
      <c r="B3453" s="693" t="s">
        <v>6012</v>
      </c>
      <c r="C3453" s="672" t="s">
        <v>1007</v>
      </c>
      <c r="D3453" s="673">
        <v>39498</v>
      </c>
      <c r="E3453" s="674">
        <v>10</v>
      </c>
      <c r="F3453" s="675">
        <v>0.1</v>
      </c>
      <c r="G3453" s="676">
        <v>6549</v>
      </c>
      <c r="H3453" s="929">
        <v>654.90000000000009</v>
      </c>
      <c r="I3453" s="929">
        <v>6549</v>
      </c>
      <c r="J3453" s="689">
        <f t="shared" si="54"/>
        <v>0</v>
      </c>
    </row>
    <row r="3454" spans="1:10" ht="12.75" customHeight="1" x14ac:dyDescent="0.2">
      <c r="A3454" s="681" t="s">
        <v>2372</v>
      </c>
      <c r="B3454" s="693" t="s">
        <v>6013</v>
      </c>
      <c r="C3454" s="672" t="s">
        <v>1072</v>
      </c>
      <c r="D3454" s="673">
        <v>39498</v>
      </c>
      <c r="E3454" s="674">
        <v>10</v>
      </c>
      <c r="F3454" s="675">
        <v>0.1</v>
      </c>
      <c r="G3454" s="676">
        <v>6601</v>
      </c>
      <c r="H3454" s="929">
        <v>660.1</v>
      </c>
      <c r="I3454" s="929">
        <v>6601.0000000000009</v>
      </c>
      <c r="J3454" s="689">
        <f t="shared" si="54"/>
        <v>0</v>
      </c>
    </row>
    <row r="3455" spans="1:10" ht="12.75" customHeight="1" x14ac:dyDescent="0.2">
      <c r="A3455" s="681" t="s">
        <v>2370</v>
      </c>
      <c r="B3455" s="693" t="s">
        <v>6014</v>
      </c>
      <c r="C3455" s="672" t="s">
        <v>860</v>
      </c>
      <c r="D3455" s="673">
        <v>39498</v>
      </c>
      <c r="E3455" s="674">
        <v>10</v>
      </c>
      <c r="F3455" s="675">
        <v>0.1</v>
      </c>
      <c r="G3455" s="676">
        <v>6732</v>
      </c>
      <c r="H3455" s="929">
        <v>673.20000000000016</v>
      </c>
      <c r="I3455" s="929">
        <v>6731.9999999999991</v>
      </c>
      <c r="J3455" s="689">
        <f t="shared" si="54"/>
        <v>0</v>
      </c>
    </row>
    <row r="3456" spans="1:10" ht="12.75" customHeight="1" x14ac:dyDescent="0.2">
      <c r="A3456" s="681" t="s">
        <v>2370</v>
      </c>
      <c r="B3456" s="693" t="s">
        <v>6015</v>
      </c>
      <c r="C3456" s="672" t="s">
        <v>795</v>
      </c>
      <c r="D3456" s="673">
        <v>39498</v>
      </c>
      <c r="E3456" s="674">
        <v>10</v>
      </c>
      <c r="F3456" s="675">
        <v>0.1</v>
      </c>
      <c r="G3456" s="676">
        <v>6802</v>
      </c>
      <c r="H3456" s="929">
        <v>680.19999999999982</v>
      </c>
      <c r="I3456" s="929">
        <v>6801.9999999999991</v>
      </c>
      <c r="J3456" s="689">
        <f t="shared" si="54"/>
        <v>0</v>
      </c>
    </row>
    <row r="3457" spans="1:10" ht="12.75" customHeight="1" x14ac:dyDescent="0.2">
      <c r="A3457" s="681" t="s">
        <v>2370</v>
      </c>
      <c r="B3457" s="693" t="s">
        <v>6016</v>
      </c>
      <c r="C3457" s="672" t="s">
        <v>967</v>
      </c>
      <c r="D3457" s="673">
        <v>39498</v>
      </c>
      <c r="E3457" s="674">
        <v>10</v>
      </c>
      <c r="F3457" s="675">
        <v>0.1</v>
      </c>
      <c r="G3457" s="676">
        <v>6875</v>
      </c>
      <c r="H3457" s="929">
        <v>687.49999999999989</v>
      </c>
      <c r="I3457" s="929">
        <v>6875</v>
      </c>
      <c r="J3457" s="689">
        <f t="shared" si="54"/>
        <v>0</v>
      </c>
    </row>
    <row r="3458" spans="1:10" ht="12.75" customHeight="1" x14ac:dyDescent="0.2">
      <c r="A3458" s="681" t="s">
        <v>2372</v>
      </c>
      <c r="B3458" s="693" t="s">
        <v>6017</v>
      </c>
      <c r="C3458" s="672" t="s">
        <v>737</v>
      </c>
      <c r="D3458" s="673">
        <v>39498</v>
      </c>
      <c r="E3458" s="674">
        <v>10</v>
      </c>
      <c r="F3458" s="675">
        <v>0.1</v>
      </c>
      <c r="G3458" s="676">
        <v>6943</v>
      </c>
      <c r="H3458" s="929">
        <v>694.30000000000007</v>
      </c>
      <c r="I3458" s="929">
        <v>6943.0000000000009</v>
      </c>
      <c r="J3458" s="689">
        <f t="shared" si="54"/>
        <v>0</v>
      </c>
    </row>
    <row r="3459" spans="1:10" ht="12.75" customHeight="1" x14ac:dyDescent="0.2">
      <c r="A3459" s="681" t="s">
        <v>2372</v>
      </c>
      <c r="B3459" s="693" t="s">
        <v>6018</v>
      </c>
      <c r="C3459" s="672" t="s">
        <v>1007</v>
      </c>
      <c r="D3459" s="673">
        <v>39498</v>
      </c>
      <c r="E3459" s="674">
        <v>10</v>
      </c>
      <c r="F3459" s="675">
        <v>0.1</v>
      </c>
      <c r="G3459" s="676">
        <v>7073</v>
      </c>
      <c r="H3459" s="929">
        <v>707.29999999999973</v>
      </c>
      <c r="I3459" s="929">
        <v>7073</v>
      </c>
      <c r="J3459" s="689">
        <f t="shared" si="54"/>
        <v>0</v>
      </c>
    </row>
    <row r="3460" spans="1:10" ht="12.75" customHeight="1" x14ac:dyDescent="0.2">
      <c r="A3460" s="681" t="s">
        <v>2370</v>
      </c>
      <c r="B3460" s="693" t="s">
        <v>6019</v>
      </c>
      <c r="C3460" s="672" t="s">
        <v>788</v>
      </c>
      <c r="D3460" s="673">
        <v>39498</v>
      </c>
      <c r="E3460" s="674">
        <v>10</v>
      </c>
      <c r="F3460" s="675">
        <v>0.1</v>
      </c>
      <c r="G3460" s="676">
        <v>7164</v>
      </c>
      <c r="H3460" s="929">
        <v>716.40000000000009</v>
      </c>
      <c r="I3460" s="929">
        <v>7163.9999999999982</v>
      </c>
      <c r="J3460" s="689">
        <f t="shared" si="54"/>
        <v>0</v>
      </c>
    </row>
    <row r="3461" spans="1:10" ht="12.75" customHeight="1" x14ac:dyDescent="0.2">
      <c r="A3461" s="681" t="s">
        <v>2370</v>
      </c>
      <c r="B3461" s="693" t="s">
        <v>6020</v>
      </c>
      <c r="C3461" s="672" t="s">
        <v>923</v>
      </c>
      <c r="D3461" s="673">
        <v>39498</v>
      </c>
      <c r="E3461" s="674">
        <v>10</v>
      </c>
      <c r="F3461" s="675">
        <v>0.1</v>
      </c>
      <c r="G3461" s="676">
        <v>7250</v>
      </c>
      <c r="H3461" s="929">
        <v>724.99999999999989</v>
      </c>
      <c r="I3461" s="929">
        <v>7250</v>
      </c>
      <c r="J3461" s="689">
        <f t="shared" si="54"/>
        <v>0</v>
      </c>
    </row>
    <row r="3462" spans="1:10" ht="12.75" customHeight="1" x14ac:dyDescent="0.2">
      <c r="A3462" s="681" t="s">
        <v>2372</v>
      </c>
      <c r="B3462" s="693" t="s">
        <v>6021</v>
      </c>
      <c r="C3462" s="672" t="s">
        <v>1007</v>
      </c>
      <c r="D3462" s="673">
        <v>39498</v>
      </c>
      <c r="E3462" s="674">
        <v>10</v>
      </c>
      <c r="F3462" s="675">
        <v>0.1</v>
      </c>
      <c r="G3462" s="676">
        <v>7435</v>
      </c>
      <c r="H3462" s="929">
        <v>743.50000000000011</v>
      </c>
      <c r="I3462" s="929">
        <v>7435</v>
      </c>
      <c r="J3462" s="689">
        <f t="shared" si="54"/>
        <v>0</v>
      </c>
    </row>
    <row r="3463" spans="1:10" ht="12.75" customHeight="1" x14ac:dyDescent="0.2">
      <c r="A3463" s="681" t="s">
        <v>2370</v>
      </c>
      <c r="B3463" s="693" t="s">
        <v>6022</v>
      </c>
      <c r="C3463" s="672" t="s">
        <v>806</v>
      </c>
      <c r="D3463" s="673">
        <v>39498</v>
      </c>
      <c r="E3463" s="674">
        <v>10</v>
      </c>
      <c r="F3463" s="675">
        <v>0.1</v>
      </c>
      <c r="G3463" s="676">
        <v>7765</v>
      </c>
      <c r="H3463" s="929">
        <v>776.50000000000011</v>
      </c>
      <c r="I3463" s="929">
        <v>7765</v>
      </c>
      <c r="J3463" s="689">
        <f t="shared" ref="J3463:J3526" si="55">G3463-I3463</f>
        <v>0</v>
      </c>
    </row>
    <row r="3464" spans="1:10" ht="12.75" customHeight="1" x14ac:dyDescent="0.2">
      <c r="A3464" s="681" t="s">
        <v>2370</v>
      </c>
      <c r="B3464" s="693" t="s">
        <v>6023</v>
      </c>
      <c r="C3464" s="672" t="s">
        <v>787</v>
      </c>
      <c r="D3464" s="673">
        <v>39498</v>
      </c>
      <c r="E3464" s="674">
        <v>10</v>
      </c>
      <c r="F3464" s="675">
        <v>0.1</v>
      </c>
      <c r="G3464" s="676">
        <v>8625</v>
      </c>
      <c r="H3464" s="929">
        <v>862.5</v>
      </c>
      <c r="I3464" s="929">
        <v>8625</v>
      </c>
      <c r="J3464" s="689">
        <f t="shared" si="55"/>
        <v>0</v>
      </c>
    </row>
    <row r="3465" spans="1:10" ht="12.75" customHeight="1" x14ac:dyDescent="0.2">
      <c r="A3465" s="681" t="s">
        <v>2370</v>
      </c>
      <c r="B3465" s="693" t="s">
        <v>6024</v>
      </c>
      <c r="C3465" s="672" t="s">
        <v>787</v>
      </c>
      <c r="D3465" s="673">
        <v>39498</v>
      </c>
      <c r="E3465" s="674">
        <v>10</v>
      </c>
      <c r="F3465" s="675">
        <v>0.1</v>
      </c>
      <c r="G3465" s="676">
        <v>8731</v>
      </c>
      <c r="H3465" s="929">
        <v>873.09999999999991</v>
      </c>
      <c r="I3465" s="929">
        <v>8731.0000000000018</v>
      </c>
      <c r="J3465" s="689">
        <f t="shared" si="55"/>
        <v>0</v>
      </c>
    </row>
    <row r="3466" spans="1:10" ht="12.75" customHeight="1" x14ac:dyDescent="0.2">
      <c r="A3466" s="681" t="s">
        <v>2372</v>
      </c>
      <c r="B3466" s="693" t="s">
        <v>6025</v>
      </c>
      <c r="C3466" s="672" t="s">
        <v>1007</v>
      </c>
      <c r="D3466" s="673">
        <v>39498</v>
      </c>
      <c r="E3466" s="674">
        <v>10</v>
      </c>
      <c r="F3466" s="675">
        <v>0.1</v>
      </c>
      <c r="G3466" s="676">
        <v>8799</v>
      </c>
      <c r="H3466" s="929">
        <v>879.9000000000002</v>
      </c>
      <c r="I3466" s="929">
        <v>8799</v>
      </c>
      <c r="J3466" s="689">
        <f t="shared" si="55"/>
        <v>0</v>
      </c>
    </row>
    <row r="3467" spans="1:10" ht="12.75" customHeight="1" x14ac:dyDescent="0.2">
      <c r="A3467" s="681" t="s">
        <v>2372</v>
      </c>
      <c r="B3467" s="693" t="s">
        <v>6026</v>
      </c>
      <c r="C3467" s="672" t="s">
        <v>1007</v>
      </c>
      <c r="D3467" s="673">
        <v>39498</v>
      </c>
      <c r="E3467" s="674">
        <v>10</v>
      </c>
      <c r="F3467" s="675">
        <v>0.1</v>
      </c>
      <c r="G3467" s="676">
        <v>8799</v>
      </c>
      <c r="H3467" s="929">
        <v>879.9000000000002</v>
      </c>
      <c r="I3467" s="929">
        <v>8799</v>
      </c>
      <c r="J3467" s="689">
        <f t="shared" si="55"/>
        <v>0</v>
      </c>
    </row>
    <row r="3468" spans="1:10" ht="12.75" customHeight="1" x14ac:dyDescent="0.2">
      <c r="A3468" s="681" t="s">
        <v>2372</v>
      </c>
      <c r="B3468" s="693" t="s">
        <v>6027</v>
      </c>
      <c r="C3468" s="672" t="s">
        <v>1007</v>
      </c>
      <c r="D3468" s="673">
        <v>39498</v>
      </c>
      <c r="E3468" s="674">
        <v>10</v>
      </c>
      <c r="F3468" s="675">
        <v>0.1</v>
      </c>
      <c r="G3468" s="676">
        <v>8799</v>
      </c>
      <c r="H3468" s="929">
        <v>879.9000000000002</v>
      </c>
      <c r="I3468" s="929">
        <v>8799</v>
      </c>
      <c r="J3468" s="689">
        <f t="shared" si="55"/>
        <v>0</v>
      </c>
    </row>
    <row r="3469" spans="1:10" ht="12.75" customHeight="1" x14ac:dyDescent="0.2">
      <c r="A3469" s="681" t="s">
        <v>2372</v>
      </c>
      <c r="B3469" s="693" t="s">
        <v>6028</v>
      </c>
      <c r="C3469" s="672" t="s">
        <v>1007</v>
      </c>
      <c r="D3469" s="673">
        <v>39498</v>
      </c>
      <c r="E3469" s="674">
        <v>10</v>
      </c>
      <c r="F3469" s="675">
        <v>0.1</v>
      </c>
      <c r="G3469" s="676">
        <v>8799</v>
      </c>
      <c r="H3469" s="929">
        <v>879.9000000000002</v>
      </c>
      <c r="I3469" s="929">
        <v>8799</v>
      </c>
      <c r="J3469" s="689">
        <f t="shared" si="55"/>
        <v>0</v>
      </c>
    </row>
    <row r="3470" spans="1:10" ht="12.75" customHeight="1" x14ac:dyDescent="0.2">
      <c r="A3470" s="681" t="s">
        <v>2372</v>
      </c>
      <c r="B3470" s="693" t="s">
        <v>6029</v>
      </c>
      <c r="C3470" s="672" t="s">
        <v>1007</v>
      </c>
      <c r="D3470" s="673">
        <v>39498</v>
      </c>
      <c r="E3470" s="674">
        <v>10</v>
      </c>
      <c r="F3470" s="675">
        <v>0.1</v>
      </c>
      <c r="G3470" s="676">
        <v>8799</v>
      </c>
      <c r="H3470" s="929">
        <v>879.9000000000002</v>
      </c>
      <c r="I3470" s="929">
        <v>8799</v>
      </c>
      <c r="J3470" s="689">
        <f t="shared" si="55"/>
        <v>0</v>
      </c>
    </row>
    <row r="3471" spans="1:10" ht="12.75" customHeight="1" x14ac:dyDescent="0.2">
      <c r="A3471" s="681" t="s">
        <v>2372</v>
      </c>
      <c r="B3471" s="693" t="s">
        <v>6030</v>
      </c>
      <c r="C3471" s="672" t="s">
        <v>1007</v>
      </c>
      <c r="D3471" s="673">
        <v>39498</v>
      </c>
      <c r="E3471" s="674">
        <v>10</v>
      </c>
      <c r="F3471" s="675">
        <v>0.1</v>
      </c>
      <c r="G3471" s="676">
        <v>8799</v>
      </c>
      <c r="H3471" s="929">
        <v>879.9000000000002</v>
      </c>
      <c r="I3471" s="929">
        <v>8799</v>
      </c>
      <c r="J3471" s="689">
        <f t="shared" si="55"/>
        <v>0</v>
      </c>
    </row>
    <row r="3472" spans="1:10" ht="12.75" customHeight="1" x14ac:dyDescent="0.2">
      <c r="A3472" s="681" t="s">
        <v>2370</v>
      </c>
      <c r="B3472" s="693" t="s">
        <v>6031</v>
      </c>
      <c r="C3472" s="672" t="s">
        <v>787</v>
      </c>
      <c r="D3472" s="673">
        <v>39498</v>
      </c>
      <c r="E3472" s="674">
        <v>10</v>
      </c>
      <c r="F3472" s="675">
        <v>0.1</v>
      </c>
      <c r="G3472" s="676">
        <v>8911</v>
      </c>
      <c r="H3472" s="929">
        <v>891.09999999999991</v>
      </c>
      <c r="I3472" s="929">
        <v>8911.0000000000018</v>
      </c>
      <c r="J3472" s="689">
        <f t="shared" si="55"/>
        <v>0</v>
      </c>
    </row>
    <row r="3473" spans="1:10" ht="12.75" customHeight="1" x14ac:dyDescent="0.2">
      <c r="A3473" s="681" t="s">
        <v>2370</v>
      </c>
      <c r="B3473" s="693" t="s">
        <v>6032</v>
      </c>
      <c r="C3473" s="672" t="s">
        <v>787</v>
      </c>
      <c r="D3473" s="673">
        <v>39498</v>
      </c>
      <c r="E3473" s="674">
        <v>10</v>
      </c>
      <c r="F3473" s="675">
        <v>0.1</v>
      </c>
      <c r="G3473" s="676">
        <v>8911</v>
      </c>
      <c r="H3473" s="929">
        <v>891.09999999999991</v>
      </c>
      <c r="I3473" s="929">
        <v>8911.0000000000018</v>
      </c>
      <c r="J3473" s="689">
        <f t="shared" si="55"/>
        <v>0</v>
      </c>
    </row>
    <row r="3474" spans="1:10" ht="12.75" customHeight="1" x14ac:dyDescent="0.2">
      <c r="A3474" s="681" t="s">
        <v>2370</v>
      </c>
      <c r="B3474" s="693" t="s">
        <v>6033</v>
      </c>
      <c r="C3474" s="672" t="s">
        <v>787</v>
      </c>
      <c r="D3474" s="673">
        <v>39498</v>
      </c>
      <c r="E3474" s="674">
        <v>10</v>
      </c>
      <c r="F3474" s="675">
        <v>0.1</v>
      </c>
      <c r="G3474" s="676">
        <v>8911</v>
      </c>
      <c r="H3474" s="929">
        <v>891.09999999999991</v>
      </c>
      <c r="I3474" s="929">
        <v>8911.0000000000018</v>
      </c>
      <c r="J3474" s="689">
        <f t="shared" si="55"/>
        <v>0</v>
      </c>
    </row>
    <row r="3475" spans="1:10" ht="12.75" customHeight="1" x14ac:dyDescent="0.2">
      <c r="A3475" s="681" t="s">
        <v>2370</v>
      </c>
      <c r="B3475" s="693" t="s">
        <v>6034</v>
      </c>
      <c r="C3475" s="672" t="s">
        <v>787</v>
      </c>
      <c r="D3475" s="673">
        <v>39498</v>
      </c>
      <c r="E3475" s="674">
        <v>10</v>
      </c>
      <c r="F3475" s="675">
        <v>0.1</v>
      </c>
      <c r="G3475" s="676">
        <v>9338</v>
      </c>
      <c r="H3475" s="929">
        <v>933.79999999999973</v>
      </c>
      <c r="I3475" s="929">
        <v>9338</v>
      </c>
      <c r="J3475" s="689">
        <f t="shared" si="55"/>
        <v>0</v>
      </c>
    </row>
    <row r="3476" spans="1:10" ht="12.75" customHeight="1" x14ac:dyDescent="0.2">
      <c r="A3476" s="681" t="s">
        <v>2372</v>
      </c>
      <c r="B3476" s="693" t="s">
        <v>6035</v>
      </c>
      <c r="C3476" s="672" t="s">
        <v>1007</v>
      </c>
      <c r="D3476" s="673">
        <v>39498</v>
      </c>
      <c r="E3476" s="674">
        <v>10</v>
      </c>
      <c r="F3476" s="675">
        <v>0.1</v>
      </c>
      <c r="G3476" s="676">
        <v>9425</v>
      </c>
      <c r="H3476" s="929">
        <v>942.49999999999989</v>
      </c>
      <c r="I3476" s="929">
        <v>9425</v>
      </c>
      <c r="J3476" s="689">
        <f t="shared" si="55"/>
        <v>0</v>
      </c>
    </row>
    <row r="3477" spans="1:10" ht="12.75" customHeight="1" x14ac:dyDescent="0.2">
      <c r="A3477" s="681" t="s">
        <v>2370</v>
      </c>
      <c r="B3477" s="693" t="s">
        <v>6036</v>
      </c>
      <c r="C3477" s="672" t="s">
        <v>806</v>
      </c>
      <c r="D3477" s="673">
        <v>39498</v>
      </c>
      <c r="E3477" s="674">
        <v>10</v>
      </c>
      <c r="F3477" s="675">
        <v>0.1</v>
      </c>
      <c r="G3477" s="676">
        <v>10143</v>
      </c>
      <c r="H3477" s="929">
        <v>1014.2999999999998</v>
      </c>
      <c r="I3477" s="929">
        <v>10143</v>
      </c>
      <c r="J3477" s="689">
        <f t="shared" si="55"/>
        <v>0</v>
      </c>
    </row>
    <row r="3478" spans="1:10" ht="12.75" customHeight="1" x14ac:dyDescent="0.2">
      <c r="A3478" s="681" t="s">
        <v>2372</v>
      </c>
      <c r="B3478" s="693" t="s">
        <v>6037</v>
      </c>
      <c r="C3478" s="672" t="s">
        <v>737</v>
      </c>
      <c r="D3478" s="673">
        <v>39498</v>
      </c>
      <c r="E3478" s="674">
        <v>10</v>
      </c>
      <c r="F3478" s="675">
        <v>0.1</v>
      </c>
      <c r="G3478" s="676">
        <v>11057</v>
      </c>
      <c r="H3478" s="929">
        <v>1105.7</v>
      </c>
      <c r="I3478" s="929">
        <v>11057.000000000002</v>
      </c>
      <c r="J3478" s="689">
        <f t="shared" si="55"/>
        <v>0</v>
      </c>
    </row>
    <row r="3479" spans="1:10" ht="12.75" customHeight="1" x14ac:dyDescent="0.2">
      <c r="A3479" s="681" t="s">
        <v>2372</v>
      </c>
      <c r="B3479" s="693" t="s">
        <v>6038</v>
      </c>
      <c r="C3479" s="672" t="s">
        <v>737</v>
      </c>
      <c r="D3479" s="673">
        <v>39498</v>
      </c>
      <c r="E3479" s="674">
        <v>10</v>
      </c>
      <c r="F3479" s="675">
        <v>0.1</v>
      </c>
      <c r="G3479" s="676">
        <v>11057</v>
      </c>
      <c r="H3479" s="929">
        <v>1105.7</v>
      </c>
      <c r="I3479" s="929">
        <v>11057.000000000002</v>
      </c>
      <c r="J3479" s="689">
        <f t="shared" si="55"/>
        <v>0</v>
      </c>
    </row>
    <row r="3480" spans="1:10" ht="12.75" customHeight="1" x14ac:dyDescent="0.2">
      <c r="A3480" s="681" t="s">
        <v>2372</v>
      </c>
      <c r="B3480" s="693" t="s">
        <v>6039</v>
      </c>
      <c r="C3480" s="672" t="s">
        <v>737</v>
      </c>
      <c r="D3480" s="673">
        <v>39498</v>
      </c>
      <c r="E3480" s="674">
        <v>10</v>
      </c>
      <c r="F3480" s="675">
        <v>0.1</v>
      </c>
      <c r="G3480" s="676">
        <v>11057</v>
      </c>
      <c r="H3480" s="929">
        <v>1105.7</v>
      </c>
      <c r="I3480" s="929">
        <v>11057.000000000002</v>
      </c>
      <c r="J3480" s="689">
        <f t="shared" si="55"/>
        <v>0</v>
      </c>
    </row>
    <row r="3481" spans="1:10" ht="12.75" customHeight="1" x14ac:dyDescent="0.2">
      <c r="A3481" s="681" t="s">
        <v>2372</v>
      </c>
      <c r="B3481" s="693" t="s">
        <v>6040</v>
      </c>
      <c r="C3481" s="672" t="s">
        <v>737</v>
      </c>
      <c r="D3481" s="673">
        <v>39498</v>
      </c>
      <c r="E3481" s="674">
        <v>10</v>
      </c>
      <c r="F3481" s="675">
        <v>0.1</v>
      </c>
      <c r="G3481" s="676">
        <v>11057</v>
      </c>
      <c r="H3481" s="929">
        <v>1105.7</v>
      </c>
      <c r="I3481" s="929">
        <v>11057.000000000002</v>
      </c>
      <c r="J3481" s="689">
        <f t="shared" si="55"/>
        <v>0</v>
      </c>
    </row>
    <row r="3482" spans="1:10" ht="12.75" customHeight="1" x14ac:dyDescent="0.2">
      <c r="A3482" s="681" t="s">
        <v>2372</v>
      </c>
      <c r="B3482" s="693" t="s">
        <v>6041</v>
      </c>
      <c r="C3482" s="672" t="s">
        <v>737</v>
      </c>
      <c r="D3482" s="673">
        <v>39498</v>
      </c>
      <c r="E3482" s="674">
        <v>10</v>
      </c>
      <c r="F3482" s="675">
        <v>0.1</v>
      </c>
      <c r="G3482" s="676">
        <v>11057</v>
      </c>
      <c r="H3482" s="929">
        <v>1105.7</v>
      </c>
      <c r="I3482" s="929">
        <v>11057.000000000002</v>
      </c>
      <c r="J3482" s="689">
        <f t="shared" si="55"/>
        <v>0</v>
      </c>
    </row>
    <row r="3483" spans="1:10" ht="12.75" customHeight="1" x14ac:dyDescent="0.2">
      <c r="A3483" s="681" t="s">
        <v>2372</v>
      </c>
      <c r="B3483" s="693" t="s">
        <v>6042</v>
      </c>
      <c r="C3483" s="672" t="s">
        <v>737</v>
      </c>
      <c r="D3483" s="673">
        <v>39498</v>
      </c>
      <c r="E3483" s="674">
        <v>10</v>
      </c>
      <c r="F3483" s="675">
        <v>0.1</v>
      </c>
      <c r="G3483" s="676">
        <v>11057</v>
      </c>
      <c r="H3483" s="929">
        <v>1105.7</v>
      </c>
      <c r="I3483" s="929">
        <v>11057.000000000002</v>
      </c>
      <c r="J3483" s="689">
        <f t="shared" si="55"/>
        <v>0</v>
      </c>
    </row>
    <row r="3484" spans="1:10" ht="12.75" customHeight="1" x14ac:dyDescent="0.2">
      <c r="A3484" s="681" t="s">
        <v>2372</v>
      </c>
      <c r="B3484" s="693" t="s">
        <v>6043</v>
      </c>
      <c r="C3484" s="672" t="s">
        <v>737</v>
      </c>
      <c r="D3484" s="673">
        <v>39498</v>
      </c>
      <c r="E3484" s="674">
        <v>10</v>
      </c>
      <c r="F3484" s="675">
        <v>0.1</v>
      </c>
      <c r="G3484" s="676">
        <v>11057</v>
      </c>
      <c r="H3484" s="929">
        <v>1105.7</v>
      </c>
      <c r="I3484" s="929">
        <v>11057.000000000002</v>
      </c>
      <c r="J3484" s="689">
        <f t="shared" si="55"/>
        <v>0</v>
      </c>
    </row>
    <row r="3485" spans="1:10" ht="12.75" customHeight="1" x14ac:dyDescent="0.2">
      <c r="A3485" s="681" t="s">
        <v>2372</v>
      </c>
      <c r="B3485" s="693" t="s">
        <v>6044</v>
      </c>
      <c r="C3485" s="672" t="s">
        <v>737</v>
      </c>
      <c r="D3485" s="673">
        <v>39498</v>
      </c>
      <c r="E3485" s="674">
        <v>10</v>
      </c>
      <c r="F3485" s="675">
        <v>0.1</v>
      </c>
      <c r="G3485" s="676">
        <v>11057</v>
      </c>
      <c r="H3485" s="929">
        <v>1105.7</v>
      </c>
      <c r="I3485" s="929">
        <v>11057.000000000002</v>
      </c>
      <c r="J3485" s="689">
        <f t="shared" si="55"/>
        <v>0</v>
      </c>
    </row>
    <row r="3486" spans="1:10" ht="12.75" customHeight="1" x14ac:dyDescent="0.2">
      <c r="A3486" s="681" t="s">
        <v>2372</v>
      </c>
      <c r="B3486" s="693" t="s">
        <v>6045</v>
      </c>
      <c r="C3486" s="672" t="s">
        <v>737</v>
      </c>
      <c r="D3486" s="673">
        <v>39498</v>
      </c>
      <c r="E3486" s="674">
        <v>10</v>
      </c>
      <c r="F3486" s="675">
        <v>0.1</v>
      </c>
      <c r="G3486" s="676">
        <v>11057</v>
      </c>
      <c r="H3486" s="929">
        <v>1105.7</v>
      </c>
      <c r="I3486" s="929">
        <v>11057.000000000002</v>
      </c>
      <c r="J3486" s="689">
        <f t="shared" si="55"/>
        <v>0</v>
      </c>
    </row>
    <row r="3487" spans="1:10" ht="12.75" customHeight="1" x14ac:dyDescent="0.2">
      <c r="A3487" s="681" t="s">
        <v>2370</v>
      </c>
      <c r="B3487" s="693" t="s">
        <v>6046</v>
      </c>
      <c r="C3487" s="672" t="s">
        <v>801</v>
      </c>
      <c r="D3487" s="673">
        <v>39498</v>
      </c>
      <c r="E3487" s="674">
        <v>10</v>
      </c>
      <c r="F3487" s="675">
        <v>0.1</v>
      </c>
      <c r="G3487" s="676">
        <v>12535</v>
      </c>
      <c r="H3487" s="929">
        <v>1253.5</v>
      </c>
      <c r="I3487" s="929">
        <v>12535</v>
      </c>
      <c r="J3487" s="689">
        <f t="shared" si="55"/>
        <v>0</v>
      </c>
    </row>
    <row r="3488" spans="1:10" ht="12.75" customHeight="1" x14ac:dyDescent="0.2">
      <c r="A3488" s="681" t="s">
        <v>2372</v>
      </c>
      <c r="B3488" s="693" t="s">
        <v>6047</v>
      </c>
      <c r="C3488" s="672" t="s">
        <v>737</v>
      </c>
      <c r="D3488" s="673">
        <v>39498</v>
      </c>
      <c r="E3488" s="674">
        <v>10</v>
      </c>
      <c r="F3488" s="675">
        <v>0.1</v>
      </c>
      <c r="G3488" s="676">
        <v>13055</v>
      </c>
      <c r="H3488" s="929">
        <v>1305.5</v>
      </c>
      <c r="I3488" s="929">
        <v>13055</v>
      </c>
      <c r="J3488" s="689">
        <f t="shared" si="55"/>
        <v>0</v>
      </c>
    </row>
    <row r="3489" spans="1:10" ht="12.75" customHeight="1" x14ac:dyDescent="0.2">
      <c r="A3489" s="681" t="s">
        <v>2370</v>
      </c>
      <c r="B3489" s="693" t="s">
        <v>6048</v>
      </c>
      <c r="C3489" s="672" t="s">
        <v>785</v>
      </c>
      <c r="D3489" s="673">
        <v>39498</v>
      </c>
      <c r="E3489" s="674">
        <v>10</v>
      </c>
      <c r="F3489" s="675">
        <v>0.1</v>
      </c>
      <c r="G3489" s="676">
        <v>23874</v>
      </c>
      <c r="H3489" s="929">
        <v>2387.4</v>
      </c>
      <c r="I3489" s="929">
        <v>23874.000000000004</v>
      </c>
      <c r="J3489" s="689">
        <f t="shared" si="55"/>
        <v>0</v>
      </c>
    </row>
    <row r="3490" spans="1:10" ht="12.75" customHeight="1" x14ac:dyDescent="0.2">
      <c r="A3490" s="681" t="s">
        <v>2370</v>
      </c>
      <c r="B3490" s="693" t="s">
        <v>6049</v>
      </c>
      <c r="C3490" s="672" t="s">
        <v>859</v>
      </c>
      <c r="D3490" s="673">
        <v>39498</v>
      </c>
      <c r="E3490" s="674">
        <v>10</v>
      </c>
      <c r="F3490" s="675">
        <v>0.1</v>
      </c>
      <c r="G3490" s="676">
        <v>192438</v>
      </c>
      <c r="H3490" s="929">
        <v>19243.8</v>
      </c>
      <c r="I3490" s="929">
        <v>192437.99999999997</v>
      </c>
      <c r="J3490" s="689">
        <f t="shared" si="55"/>
        <v>0</v>
      </c>
    </row>
    <row r="3491" spans="1:10" ht="12.75" customHeight="1" x14ac:dyDescent="0.2">
      <c r="A3491" s="681" t="s">
        <v>2370</v>
      </c>
      <c r="B3491" s="693" t="s">
        <v>6050</v>
      </c>
      <c r="C3491" s="672" t="s">
        <v>813</v>
      </c>
      <c r="D3491" s="673">
        <v>39864</v>
      </c>
      <c r="E3491" s="674">
        <v>10</v>
      </c>
      <c r="F3491" s="675">
        <v>0.1</v>
      </c>
      <c r="G3491" s="676">
        <v>204</v>
      </c>
      <c r="H3491" s="929">
        <v>20.399999999999995</v>
      </c>
      <c r="I3491" s="929">
        <v>183.60000000000002</v>
      </c>
      <c r="J3491" s="689">
        <f t="shared" si="55"/>
        <v>20.399999999999977</v>
      </c>
    </row>
    <row r="3492" spans="1:10" ht="12.75" customHeight="1" x14ac:dyDescent="0.2">
      <c r="A3492" s="681" t="s">
        <v>2370</v>
      </c>
      <c r="B3492" s="693" t="s">
        <v>6051</v>
      </c>
      <c r="C3492" s="672" t="s">
        <v>818</v>
      </c>
      <c r="D3492" s="673">
        <v>39864</v>
      </c>
      <c r="E3492" s="674">
        <v>10</v>
      </c>
      <c r="F3492" s="675">
        <v>0.1</v>
      </c>
      <c r="G3492" s="676">
        <v>245</v>
      </c>
      <c r="H3492" s="929">
        <v>24.500000000000004</v>
      </c>
      <c r="I3492" s="929">
        <v>220.5</v>
      </c>
      <c r="J3492" s="689">
        <f t="shared" si="55"/>
        <v>24.5</v>
      </c>
    </row>
    <row r="3493" spans="1:10" ht="12.75" customHeight="1" x14ac:dyDescent="0.2">
      <c r="A3493" s="681" t="s">
        <v>2370</v>
      </c>
      <c r="B3493" s="693" t="s">
        <v>6052</v>
      </c>
      <c r="C3493" s="672" t="s">
        <v>792</v>
      </c>
      <c r="D3493" s="673">
        <v>39864</v>
      </c>
      <c r="E3493" s="674">
        <v>10</v>
      </c>
      <c r="F3493" s="675">
        <v>0.1</v>
      </c>
      <c r="G3493" s="676">
        <v>250</v>
      </c>
      <c r="H3493" s="929">
        <v>24.999999999999996</v>
      </c>
      <c r="I3493" s="929">
        <v>225</v>
      </c>
      <c r="J3493" s="689">
        <f t="shared" si="55"/>
        <v>25</v>
      </c>
    </row>
    <row r="3494" spans="1:10" ht="12.75" customHeight="1" x14ac:dyDescent="0.2">
      <c r="A3494" s="681" t="s">
        <v>2370</v>
      </c>
      <c r="B3494" s="693" t="s">
        <v>6053</v>
      </c>
      <c r="C3494" s="672" t="s">
        <v>785</v>
      </c>
      <c r="D3494" s="673">
        <v>39864</v>
      </c>
      <c r="E3494" s="674">
        <v>10</v>
      </c>
      <c r="F3494" s="675">
        <v>0.1</v>
      </c>
      <c r="G3494" s="676">
        <v>345</v>
      </c>
      <c r="H3494" s="929">
        <v>34.5</v>
      </c>
      <c r="I3494" s="929">
        <v>310.5</v>
      </c>
      <c r="J3494" s="689">
        <f t="shared" si="55"/>
        <v>34.5</v>
      </c>
    </row>
    <row r="3495" spans="1:10" ht="12.75" customHeight="1" x14ac:dyDescent="0.2">
      <c r="A3495" s="681" t="s">
        <v>2370</v>
      </c>
      <c r="B3495" s="693" t="s">
        <v>6054</v>
      </c>
      <c r="C3495" s="672" t="s">
        <v>785</v>
      </c>
      <c r="D3495" s="673">
        <v>39864</v>
      </c>
      <c r="E3495" s="674">
        <v>10</v>
      </c>
      <c r="F3495" s="675">
        <v>0.1</v>
      </c>
      <c r="G3495" s="676">
        <v>345</v>
      </c>
      <c r="H3495" s="929">
        <v>34.5</v>
      </c>
      <c r="I3495" s="929">
        <v>310.5</v>
      </c>
      <c r="J3495" s="689">
        <f t="shared" si="55"/>
        <v>34.5</v>
      </c>
    </row>
    <row r="3496" spans="1:10" ht="12.75" customHeight="1" x14ac:dyDescent="0.2">
      <c r="A3496" s="681" t="s">
        <v>2370</v>
      </c>
      <c r="B3496" s="693" t="s">
        <v>6055</v>
      </c>
      <c r="C3496" s="672" t="s">
        <v>785</v>
      </c>
      <c r="D3496" s="673">
        <v>39864</v>
      </c>
      <c r="E3496" s="674">
        <v>10</v>
      </c>
      <c r="F3496" s="675">
        <v>0.1</v>
      </c>
      <c r="G3496" s="676">
        <v>345</v>
      </c>
      <c r="H3496" s="929">
        <v>34.5</v>
      </c>
      <c r="I3496" s="929">
        <v>310.5</v>
      </c>
      <c r="J3496" s="689">
        <f t="shared" si="55"/>
        <v>34.5</v>
      </c>
    </row>
    <row r="3497" spans="1:10" ht="12.75" customHeight="1" x14ac:dyDescent="0.2">
      <c r="A3497" s="681" t="s">
        <v>2370</v>
      </c>
      <c r="B3497" s="693" t="s">
        <v>6056</v>
      </c>
      <c r="C3497" s="672" t="s">
        <v>785</v>
      </c>
      <c r="D3497" s="673">
        <v>39864</v>
      </c>
      <c r="E3497" s="674">
        <v>10</v>
      </c>
      <c r="F3497" s="675">
        <v>0.1</v>
      </c>
      <c r="G3497" s="676">
        <v>345</v>
      </c>
      <c r="H3497" s="929">
        <v>34.5</v>
      </c>
      <c r="I3497" s="929">
        <v>310.5</v>
      </c>
      <c r="J3497" s="689">
        <f t="shared" si="55"/>
        <v>34.5</v>
      </c>
    </row>
    <row r="3498" spans="1:10" ht="12.75" customHeight="1" x14ac:dyDescent="0.2">
      <c r="A3498" s="681" t="s">
        <v>2370</v>
      </c>
      <c r="B3498" s="693" t="s">
        <v>6057</v>
      </c>
      <c r="C3498" s="672" t="s">
        <v>785</v>
      </c>
      <c r="D3498" s="673">
        <v>39864</v>
      </c>
      <c r="E3498" s="674">
        <v>10</v>
      </c>
      <c r="F3498" s="675">
        <v>0.1</v>
      </c>
      <c r="G3498" s="676">
        <v>345</v>
      </c>
      <c r="H3498" s="929">
        <v>34.5</v>
      </c>
      <c r="I3498" s="929">
        <v>310.5</v>
      </c>
      <c r="J3498" s="689">
        <f t="shared" si="55"/>
        <v>34.5</v>
      </c>
    </row>
    <row r="3499" spans="1:10" ht="12.75" customHeight="1" x14ac:dyDescent="0.2">
      <c r="A3499" s="681" t="s">
        <v>2370</v>
      </c>
      <c r="B3499" s="693" t="s">
        <v>6058</v>
      </c>
      <c r="C3499" s="672" t="s">
        <v>785</v>
      </c>
      <c r="D3499" s="673">
        <v>39864</v>
      </c>
      <c r="E3499" s="674">
        <v>10</v>
      </c>
      <c r="F3499" s="675">
        <v>0.1</v>
      </c>
      <c r="G3499" s="676">
        <v>345</v>
      </c>
      <c r="H3499" s="929">
        <v>34.5</v>
      </c>
      <c r="I3499" s="929">
        <v>310.5</v>
      </c>
      <c r="J3499" s="689">
        <f t="shared" si="55"/>
        <v>34.5</v>
      </c>
    </row>
    <row r="3500" spans="1:10" ht="12.75" customHeight="1" x14ac:dyDescent="0.2">
      <c r="A3500" s="681" t="s">
        <v>2370</v>
      </c>
      <c r="B3500" s="693" t="s">
        <v>6059</v>
      </c>
      <c r="C3500" s="672" t="s">
        <v>785</v>
      </c>
      <c r="D3500" s="673">
        <v>39864</v>
      </c>
      <c r="E3500" s="674">
        <v>10</v>
      </c>
      <c r="F3500" s="675">
        <v>0.1</v>
      </c>
      <c r="G3500" s="676">
        <v>345</v>
      </c>
      <c r="H3500" s="929">
        <v>34.5</v>
      </c>
      <c r="I3500" s="929">
        <v>310.5</v>
      </c>
      <c r="J3500" s="689">
        <f t="shared" si="55"/>
        <v>34.5</v>
      </c>
    </row>
    <row r="3501" spans="1:10" ht="12.75" customHeight="1" x14ac:dyDescent="0.2">
      <c r="A3501" s="681" t="s">
        <v>2370</v>
      </c>
      <c r="B3501" s="693" t="s">
        <v>6060</v>
      </c>
      <c r="C3501" s="672" t="s">
        <v>794</v>
      </c>
      <c r="D3501" s="673">
        <v>39864</v>
      </c>
      <c r="E3501" s="674">
        <v>10</v>
      </c>
      <c r="F3501" s="675">
        <v>0.1</v>
      </c>
      <c r="G3501" s="676">
        <v>364</v>
      </c>
      <c r="H3501" s="929">
        <v>36.399999999999991</v>
      </c>
      <c r="I3501" s="929">
        <v>327.59999999999997</v>
      </c>
      <c r="J3501" s="689">
        <f t="shared" si="55"/>
        <v>36.400000000000034</v>
      </c>
    </row>
    <row r="3502" spans="1:10" ht="12.75" customHeight="1" x14ac:dyDescent="0.2">
      <c r="A3502" s="681" t="s">
        <v>2370</v>
      </c>
      <c r="B3502" s="693" t="s">
        <v>6061</v>
      </c>
      <c r="C3502" s="672" t="s">
        <v>785</v>
      </c>
      <c r="D3502" s="673">
        <v>39864</v>
      </c>
      <c r="E3502" s="674">
        <v>10</v>
      </c>
      <c r="F3502" s="675">
        <v>0.1</v>
      </c>
      <c r="G3502" s="676">
        <v>420</v>
      </c>
      <c r="H3502" s="929">
        <v>42</v>
      </c>
      <c r="I3502" s="929">
        <v>378</v>
      </c>
      <c r="J3502" s="689">
        <f t="shared" si="55"/>
        <v>42</v>
      </c>
    </row>
    <row r="3503" spans="1:10" ht="12.75" customHeight="1" x14ac:dyDescent="0.2">
      <c r="A3503" s="681" t="s">
        <v>2370</v>
      </c>
      <c r="B3503" s="693" t="s">
        <v>6062</v>
      </c>
      <c r="C3503" s="672" t="s">
        <v>785</v>
      </c>
      <c r="D3503" s="673">
        <v>39864</v>
      </c>
      <c r="E3503" s="674">
        <v>10</v>
      </c>
      <c r="F3503" s="675">
        <v>0.1</v>
      </c>
      <c r="G3503" s="676">
        <v>420</v>
      </c>
      <c r="H3503" s="929">
        <v>42</v>
      </c>
      <c r="I3503" s="929">
        <v>378</v>
      </c>
      <c r="J3503" s="689">
        <f t="shared" si="55"/>
        <v>42</v>
      </c>
    </row>
    <row r="3504" spans="1:10" ht="12.75" customHeight="1" x14ac:dyDescent="0.2">
      <c r="A3504" s="681" t="s">
        <v>2370</v>
      </c>
      <c r="B3504" s="693" t="s">
        <v>6063</v>
      </c>
      <c r="C3504" s="672" t="s">
        <v>785</v>
      </c>
      <c r="D3504" s="673">
        <v>39864</v>
      </c>
      <c r="E3504" s="674">
        <v>10</v>
      </c>
      <c r="F3504" s="675">
        <v>0.1</v>
      </c>
      <c r="G3504" s="676">
        <v>420</v>
      </c>
      <c r="H3504" s="929">
        <v>42</v>
      </c>
      <c r="I3504" s="929">
        <v>378</v>
      </c>
      <c r="J3504" s="689">
        <f t="shared" si="55"/>
        <v>42</v>
      </c>
    </row>
    <row r="3505" spans="1:10" ht="12.75" customHeight="1" x14ac:dyDescent="0.2">
      <c r="A3505" s="681" t="s">
        <v>2370</v>
      </c>
      <c r="B3505" s="693" t="s">
        <v>6064</v>
      </c>
      <c r="C3505" s="672" t="s">
        <v>785</v>
      </c>
      <c r="D3505" s="673">
        <v>39864</v>
      </c>
      <c r="E3505" s="674">
        <v>10</v>
      </c>
      <c r="F3505" s="675">
        <v>0.1</v>
      </c>
      <c r="G3505" s="676">
        <v>420</v>
      </c>
      <c r="H3505" s="929">
        <v>42</v>
      </c>
      <c r="I3505" s="929">
        <v>378</v>
      </c>
      <c r="J3505" s="689">
        <f t="shared" si="55"/>
        <v>42</v>
      </c>
    </row>
    <row r="3506" spans="1:10" ht="12.75" customHeight="1" x14ac:dyDescent="0.2">
      <c r="A3506" s="681" t="s">
        <v>2370</v>
      </c>
      <c r="B3506" s="693" t="s">
        <v>6065</v>
      </c>
      <c r="C3506" s="672" t="s">
        <v>785</v>
      </c>
      <c r="D3506" s="673">
        <v>39864</v>
      </c>
      <c r="E3506" s="674">
        <v>10</v>
      </c>
      <c r="F3506" s="675">
        <v>0.1</v>
      </c>
      <c r="G3506" s="676">
        <v>420</v>
      </c>
      <c r="H3506" s="929">
        <v>42</v>
      </c>
      <c r="I3506" s="929">
        <v>378</v>
      </c>
      <c r="J3506" s="689">
        <f t="shared" si="55"/>
        <v>42</v>
      </c>
    </row>
    <row r="3507" spans="1:10" ht="12.75" customHeight="1" x14ac:dyDescent="0.2">
      <c r="A3507" s="681" t="s">
        <v>2370</v>
      </c>
      <c r="B3507" s="693" t="s">
        <v>6066</v>
      </c>
      <c r="C3507" s="672" t="s">
        <v>785</v>
      </c>
      <c r="D3507" s="673">
        <v>39864</v>
      </c>
      <c r="E3507" s="674">
        <v>10</v>
      </c>
      <c r="F3507" s="675">
        <v>0.1</v>
      </c>
      <c r="G3507" s="676">
        <v>429</v>
      </c>
      <c r="H3507" s="929">
        <v>42.900000000000006</v>
      </c>
      <c r="I3507" s="929">
        <v>386.09999999999991</v>
      </c>
      <c r="J3507" s="689">
        <f t="shared" si="55"/>
        <v>42.900000000000091</v>
      </c>
    </row>
    <row r="3508" spans="1:10" ht="12.75" customHeight="1" x14ac:dyDescent="0.2">
      <c r="A3508" s="681" t="s">
        <v>2370</v>
      </c>
      <c r="B3508" s="693" t="s">
        <v>6067</v>
      </c>
      <c r="C3508" s="672" t="s">
        <v>785</v>
      </c>
      <c r="D3508" s="673">
        <v>39864</v>
      </c>
      <c r="E3508" s="674">
        <v>10</v>
      </c>
      <c r="F3508" s="675">
        <v>0.1</v>
      </c>
      <c r="G3508" s="676">
        <v>454</v>
      </c>
      <c r="H3508" s="929">
        <v>45.399999999999984</v>
      </c>
      <c r="I3508" s="929">
        <v>408.59999999999991</v>
      </c>
      <c r="J3508" s="689">
        <f t="shared" si="55"/>
        <v>45.400000000000091</v>
      </c>
    </row>
    <row r="3509" spans="1:10" ht="12.75" customHeight="1" x14ac:dyDescent="0.2">
      <c r="A3509" s="681" t="s">
        <v>2370</v>
      </c>
      <c r="B3509" s="693" t="s">
        <v>6068</v>
      </c>
      <c r="C3509" s="672" t="s">
        <v>785</v>
      </c>
      <c r="D3509" s="673">
        <v>39864</v>
      </c>
      <c r="E3509" s="674">
        <v>10</v>
      </c>
      <c r="F3509" s="675">
        <v>0.1</v>
      </c>
      <c r="G3509" s="676">
        <v>454</v>
      </c>
      <c r="H3509" s="929">
        <v>45.399999999999984</v>
      </c>
      <c r="I3509" s="929">
        <v>408.59999999999991</v>
      </c>
      <c r="J3509" s="689">
        <f t="shared" si="55"/>
        <v>45.400000000000091</v>
      </c>
    </row>
    <row r="3510" spans="1:10" ht="12.75" customHeight="1" x14ac:dyDescent="0.2">
      <c r="A3510" s="681" t="s">
        <v>2370</v>
      </c>
      <c r="B3510" s="693" t="s">
        <v>6069</v>
      </c>
      <c r="C3510" s="672" t="s">
        <v>785</v>
      </c>
      <c r="D3510" s="673">
        <v>39864</v>
      </c>
      <c r="E3510" s="674">
        <v>10</v>
      </c>
      <c r="F3510" s="675">
        <v>0.1</v>
      </c>
      <c r="G3510" s="676">
        <v>454</v>
      </c>
      <c r="H3510" s="929">
        <v>45.399999999999984</v>
      </c>
      <c r="I3510" s="929">
        <v>408.59999999999991</v>
      </c>
      <c r="J3510" s="689">
        <f t="shared" si="55"/>
        <v>45.400000000000091</v>
      </c>
    </row>
    <row r="3511" spans="1:10" ht="12.75" customHeight="1" x14ac:dyDescent="0.2">
      <c r="A3511" s="681" t="s">
        <v>2370</v>
      </c>
      <c r="B3511" s="693" t="s">
        <v>6070</v>
      </c>
      <c r="C3511" s="672" t="s">
        <v>785</v>
      </c>
      <c r="D3511" s="673">
        <v>39864</v>
      </c>
      <c r="E3511" s="674">
        <v>10</v>
      </c>
      <c r="F3511" s="675">
        <v>0.1</v>
      </c>
      <c r="G3511" s="676">
        <v>454</v>
      </c>
      <c r="H3511" s="929">
        <v>45.399999999999984</v>
      </c>
      <c r="I3511" s="929">
        <v>408.59999999999991</v>
      </c>
      <c r="J3511" s="689">
        <f t="shared" si="55"/>
        <v>45.400000000000091</v>
      </c>
    </row>
    <row r="3512" spans="1:10" ht="12.75" customHeight="1" x14ac:dyDescent="0.2">
      <c r="A3512" s="681" t="s">
        <v>2372</v>
      </c>
      <c r="B3512" s="693" t="s">
        <v>6071</v>
      </c>
      <c r="C3512" s="672" t="s">
        <v>1049</v>
      </c>
      <c r="D3512" s="673">
        <v>39864</v>
      </c>
      <c r="E3512" s="674">
        <v>10</v>
      </c>
      <c r="F3512" s="675">
        <v>0.1</v>
      </c>
      <c r="G3512" s="676">
        <v>459</v>
      </c>
      <c r="H3512" s="929">
        <v>45.900000000000006</v>
      </c>
      <c r="I3512" s="929">
        <v>413.09999999999991</v>
      </c>
      <c r="J3512" s="689">
        <f t="shared" si="55"/>
        <v>45.900000000000091</v>
      </c>
    </row>
    <row r="3513" spans="1:10" ht="12.75" customHeight="1" x14ac:dyDescent="0.2">
      <c r="A3513" s="681" t="s">
        <v>2370</v>
      </c>
      <c r="B3513" s="693" t="s">
        <v>6072</v>
      </c>
      <c r="C3513" s="672" t="s">
        <v>785</v>
      </c>
      <c r="D3513" s="673">
        <v>39864</v>
      </c>
      <c r="E3513" s="674">
        <v>10</v>
      </c>
      <c r="F3513" s="675">
        <v>0.1</v>
      </c>
      <c r="G3513" s="676">
        <v>505</v>
      </c>
      <c r="H3513" s="929">
        <v>50.500000000000007</v>
      </c>
      <c r="I3513" s="929">
        <v>454.5</v>
      </c>
      <c r="J3513" s="689">
        <f t="shared" si="55"/>
        <v>50.5</v>
      </c>
    </row>
    <row r="3514" spans="1:10" ht="12.75" customHeight="1" x14ac:dyDescent="0.2">
      <c r="A3514" s="681" t="s">
        <v>2370</v>
      </c>
      <c r="B3514" s="693" t="s">
        <v>6073</v>
      </c>
      <c r="C3514" s="672" t="s">
        <v>785</v>
      </c>
      <c r="D3514" s="673">
        <v>39864</v>
      </c>
      <c r="E3514" s="674">
        <v>10</v>
      </c>
      <c r="F3514" s="675">
        <v>0.1</v>
      </c>
      <c r="G3514" s="676">
        <v>505</v>
      </c>
      <c r="H3514" s="929">
        <v>50.500000000000007</v>
      </c>
      <c r="I3514" s="929">
        <v>454.5</v>
      </c>
      <c r="J3514" s="689">
        <f t="shared" si="55"/>
        <v>50.5</v>
      </c>
    </row>
    <row r="3515" spans="1:10" ht="12.75" customHeight="1" x14ac:dyDescent="0.2">
      <c r="A3515" s="681" t="s">
        <v>2370</v>
      </c>
      <c r="B3515" s="693" t="s">
        <v>6074</v>
      </c>
      <c r="C3515" s="672" t="s">
        <v>785</v>
      </c>
      <c r="D3515" s="673">
        <v>39864</v>
      </c>
      <c r="E3515" s="674">
        <v>10</v>
      </c>
      <c r="F3515" s="675">
        <v>0.1</v>
      </c>
      <c r="G3515" s="676">
        <v>505</v>
      </c>
      <c r="H3515" s="929">
        <v>50.500000000000007</v>
      </c>
      <c r="I3515" s="929">
        <v>454.5</v>
      </c>
      <c r="J3515" s="689">
        <f t="shared" si="55"/>
        <v>50.5</v>
      </c>
    </row>
    <row r="3516" spans="1:10" ht="12.75" customHeight="1" x14ac:dyDescent="0.2">
      <c r="A3516" s="681" t="s">
        <v>2370</v>
      </c>
      <c r="B3516" s="693" t="s">
        <v>6075</v>
      </c>
      <c r="C3516" s="672" t="s">
        <v>785</v>
      </c>
      <c r="D3516" s="673">
        <v>39864</v>
      </c>
      <c r="E3516" s="674">
        <v>10</v>
      </c>
      <c r="F3516" s="675">
        <v>0.1</v>
      </c>
      <c r="G3516" s="676">
        <v>505</v>
      </c>
      <c r="H3516" s="929">
        <v>50.500000000000007</v>
      </c>
      <c r="I3516" s="929">
        <v>454.5</v>
      </c>
      <c r="J3516" s="689">
        <f t="shared" si="55"/>
        <v>50.5</v>
      </c>
    </row>
    <row r="3517" spans="1:10" ht="12.75" customHeight="1" x14ac:dyDescent="0.2">
      <c r="A3517" s="681" t="s">
        <v>2370</v>
      </c>
      <c r="B3517" s="693" t="s">
        <v>6076</v>
      </c>
      <c r="C3517" s="672" t="s">
        <v>785</v>
      </c>
      <c r="D3517" s="673">
        <v>39864</v>
      </c>
      <c r="E3517" s="674">
        <v>10</v>
      </c>
      <c r="F3517" s="675">
        <v>0.1</v>
      </c>
      <c r="G3517" s="676">
        <v>505</v>
      </c>
      <c r="H3517" s="929">
        <v>50.500000000000007</v>
      </c>
      <c r="I3517" s="929">
        <v>454.5</v>
      </c>
      <c r="J3517" s="689">
        <f t="shared" si="55"/>
        <v>50.5</v>
      </c>
    </row>
    <row r="3518" spans="1:10" ht="12.75" customHeight="1" x14ac:dyDescent="0.2">
      <c r="A3518" s="681" t="s">
        <v>2370</v>
      </c>
      <c r="B3518" s="693" t="s">
        <v>6077</v>
      </c>
      <c r="C3518" s="672" t="s">
        <v>785</v>
      </c>
      <c r="D3518" s="673">
        <v>39864</v>
      </c>
      <c r="E3518" s="674">
        <v>10</v>
      </c>
      <c r="F3518" s="675">
        <v>0.1</v>
      </c>
      <c r="G3518" s="676">
        <v>505</v>
      </c>
      <c r="H3518" s="929">
        <v>50.500000000000007</v>
      </c>
      <c r="I3518" s="929">
        <v>454.5</v>
      </c>
      <c r="J3518" s="689">
        <f t="shared" si="55"/>
        <v>50.5</v>
      </c>
    </row>
    <row r="3519" spans="1:10" ht="12.75" customHeight="1" x14ac:dyDescent="0.2">
      <c r="A3519" s="681" t="s">
        <v>2370</v>
      </c>
      <c r="B3519" s="693" t="s">
        <v>6078</v>
      </c>
      <c r="C3519" s="672" t="s">
        <v>785</v>
      </c>
      <c r="D3519" s="673">
        <v>39864</v>
      </c>
      <c r="E3519" s="674">
        <v>10</v>
      </c>
      <c r="F3519" s="675">
        <v>0.1</v>
      </c>
      <c r="G3519" s="676">
        <v>505</v>
      </c>
      <c r="H3519" s="929">
        <v>50.500000000000007</v>
      </c>
      <c r="I3519" s="929">
        <v>454.5</v>
      </c>
      <c r="J3519" s="689">
        <f t="shared" si="55"/>
        <v>50.5</v>
      </c>
    </row>
    <row r="3520" spans="1:10" ht="12.75" customHeight="1" x14ac:dyDescent="0.2">
      <c r="A3520" s="681" t="s">
        <v>2370</v>
      </c>
      <c r="B3520" s="693" t="s">
        <v>6079</v>
      </c>
      <c r="C3520" s="672" t="s">
        <v>785</v>
      </c>
      <c r="D3520" s="673">
        <v>39864</v>
      </c>
      <c r="E3520" s="674">
        <v>10</v>
      </c>
      <c r="F3520" s="675">
        <v>0.1</v>
      </c>
      <c r="G3520" s="676">
        <v>505</v>
      </c>
      <c r="H3520" s="929">
        <v>50.500000000000007</v>
      </c>
      <c r="I3520" s="929">
        <v>454.5</v>
      </c>
      <c r="J3520" s="689">
        <f t="shared" si="55"/>
        <v>50.5</v>
      </c>
    </row>
    <row r="3521" spans="1:10" ht="12.75" customHeight="1" x14ac:dyDescent="0.2">
      <c r="A3521" s="681" t="s">
        <v>2370</v>
      </c>
      <c r="B3521" s="693" t="s">
        <v>6080</v>
      </c>
      <c r="C3521" s="672" t="s">
        <v>785</v>
      </c>
      <c r="D3521" s="673">
        <v>39864</v>
      </c>
      <c r="E3521" s="674">
        <v>10</v>
      </c>
      <c r="F3521" s="675">
        <v>0.1</v>
      </c>
      <c r="G3521" s="676">
        <v>505</v>
      </c>
      <c r="H3521" s="929">
        <v>50.500000000000007</v>
      </c>
      <c r="I3521" s="929">
        <v>454.5</v>
      </c>
      <c r="J3521" s="689">
        <f t="shared" si="55"/>
        <v>50.5</v>
      </c>
    </row>
    <row r="3522" spans="1:10" ht="12.75" customHeight="1" x14ac:dyDescent="0.2">
      <c r="A3522" s="681" t="s">
        <v>2370</v>
      </c>
      <c r="B3522" s="693" t="s">
        <v>6081</v>
      </c>
      <c r="C3522" s="672" t="s">
        <v>797</v>
      </c>
      <c r="D3522" s="673">
        <v>39864</v>
      </c>
      <c r="E3522" s="674">
        <v>10</v>
      </c>
      <c r="F3522" s="675">
        <v>0.1</v>
      </c>
      <c r="G3522" s="676">
        <v>512</v>
      </c>
      <c r="H3522" s="929">
        <v>51.199999999999996</v>
      </c>
      <c r="I3522" s="929">
        <v>460.79999999999995</v>
      </c>
      <c r="J3522" s="689">
        <f t="shared" si="55"/>
        <v>51.200000000000045</v>
      </c>
    </row>
    <row r="3523" spans="1:10" ht="12.75" customHeight="1" x14ac:dyDescent="0.2">
      <c r="A3523" s="681" t="s">
        <v>2370</v>
      </c>
      <c r="B3523" s="693" t="s">
        <v>6082</v>
      </c>
      <c r="C3523" s="672" t="s">
        <v>797</v>
      </c>
      <c r="D3523" s="673">
        <v>39864</v>
      </c>
      <c r="E3523" s="674">
        <v>10</v>
      </c>
      <c r="F3523" s="675">
        <v>0.1</v>
      </c>
      <c r="G3523" s="676">
        <v>512</v>
      </c>
      <c r="H3523" s="929">
        <v>51.199999999999996</v>
      </c>
      <c r="I3523" s="929">
        <v>460.79999999999995</v>
      </c>
      <c r="J3523" s="689">
        <f t="shared" si="55"/>
        <v>51.200000000000045</v>
      </c>
    </row>
    <row r="3524" spans="1:10" ht="12.75" customHeight="1" x14ac:dyDescent="0.2">
      <c r="A3524" s="681" t="s">
        <v>2370</v>
      </c>
      <c r="B3524" s="693" t="s">
        <v>6083</v>
      </c>
      <c r="C3524" s="672" t="s">
        <v>797</v>
      </c>
      <c r="D3524" s="673">
        <v>39864</v>
      </c>
      <c r="E3524" s="674">
        <v>10</v>
      </c>
      <c r="F3524" s="675">
        <v>0.1</v>
      </c>
      <c r="G3524" s="676">
        <v>512</v>
      </c>
      <c r="H3524" s="929">
        <v>51.199999999999996</v>
      </c>
      <c r="I3524" s="929">
        <v>460.79999999999995</v>
      </c>
      <c r="J3524" s="689">
        <f t="shared" si="55"/>
        <v>51.200000000000045</v>
      </c>
    </row>
    <row r="3525" spans="1:10" ht="12.75" customHeight="1" x14ac:dyDescent="0.2">
      <c r="A3525" s="681" t="s">
        <v>2370</v>
      </c>
      <c r="B3525" s="693" t="s">
        <v>6084</v>
      </c>
      <c r="C3525" s="672" t="s">
        <v>797</v>
      </c>
      <c r="D3525" s="673">
        <v>39864</v>
      </c>
      <c r="E3525" s="674">
        <v>10</v>
      </c>
      <c r="F3525" s="675">
        <v>0.1</v>
      </c>
      <c r="G3525" s="676">
        <v>512</v>
      </c>
      <c r="H3525" s="929">
        <v>51.199999999999996</v>
      </c>
      <c r="I3525" s="929">
        <v>460.79999999999995</v>
      </c>
      <c r="J3525" s="689">
        <f t="shared" si="55"/>
        <v>51.200000000000045</v>
      </c>
    </row>
    <row r="3526" spans="1:10" ht="12.75" customHeight="1" x14ac:dyDescent="0.2">
      <c r="A3526" s="681" t="s">
        <v>2370</v>
      </c>
      <c r="B3526" s="693" t="s">
        <v>6085</v>
      </c>
      <c r="C3526" s="672" t="s">
        <v>797</v>
      </c>
      <c r="D3526" s="673">
        <v>39864</v>
      </c>
      <c r="E3526" s="674">
        <v>10</v>
      </c>
      <c r="F3526" s="675">
        <v>0.1</v>
      </c>
      <c r="G3526" s="676">
        <v>512</v>
      </c>
      <c r="H3526" s="929">
        <v>51.199999999999996</v>
      </c>
      <c r="I3526" s="929">
        <v>460.79999999999995</v>
      </c>
      <c r="J3526" s="689">
        <f t="shared" si="55"/>
        <v>51.200000000000045</v>
      </c>
    </row>
    <row r="3527" spans="1:10" ht="12.75" customHeight="1" x14ac:dyDescent="0.2">
      <c r="A3527" s="681" t="s">
        <v>2370</v>
      </c>
      <c r="B3527" s="693" t="s">
        <v>6086</v>
      </c>
      <c r="C3527" s="672" t="s">
        <v>797</v>
      </c>
      <c r="D3527" s="673">
        <v>39864</v>
      </c>
      <c r="E3527" s="674">
        <v>10</v>
      </c>
      <c r="F3527" s="675">
        <v>0.1</v>
      </c>
      <c r="G3527" s="676">
        <v>512</v>
      </c>
      <c r="H3527" s="929">
        <v>51.199999999999996</v>
      </c>
      <c r="I3527" s="929">
        <v>460.79999999999995</v>
      </c>
      <c r="J3527" s="689">
        <f t="shared" ref="J3527:J3590" si="56">G3527-I3527</f>
        <v>51.200000000000045</v>
      </c>
    </row>
    <row r="3528" spans="1:10" ht="12.75" customHeight="1" x14ac:dyDescent="0.2">
      <c r="A3528" s="681" t="s">
        <v>2370</v>
      </c>
      <c r="B3528" s="693" t="s">
        <v>6087</v>
      </c>
      <c r="C3528" s="672" t="s">
        <v>785</v>
      </c>
      <c r="D3528" s="673">
        <v>39864</v>
      </c>
      <c r="E3528" s="674">
        <v>10</v>
      </c>
      <c r="F3528" s="675">
        <v>0.1</v>
      </c>
      <c r="G3528" s="676">
        <v>529</v>
      </c>
      <c r="H3528" s="929">
        <v>52.899999999999984</v>
      </c>
      <c r="I3528" s="929">
        <v>476.09999999999991</v>
      </c>
      <c r="J3528" s="689">
        <f t="shared" si="56"/>
        <v>52.900000000000091</v>
      </c>
    </row>
    <row r="3529" spans="1:10" ht="12.75" customHeight="1" x14ac:dyDescent="0.2">
      <c r="A3529" s="681" t="s">
        <v>2370</v>
      </c>
      <c r="B3529" s="693" t="s">
        <v>6088</v>
      </c>
      <c r="C3529" s="672" t="s">
        <v>785</v>
      </c>
      <c r="D3529" s="673">
        <v>39864</v>
      </c>
      <c r="E3529" s="674">
        <v>10</v>
      </c>
      <c r="F3529" s="675">
        <v>0.1</v>
      </c>
      <c r="G3529" s="676">
        <v>529</v>
      </c>
      <c r="H3529" s="929">
        <v>52.899999999999984</v>
      </c>
      <c r="I3529" s="929">
        <v>476.09999999999991</v>
      </c>
      <c r="J3529" s="689">
        <f t="shared" si="56"/>
        <v>52.900000000000091</v>
      </c>
    </row>
    <row r="3530" spans="1:10" ht="12.75" customHeight="1" x14ac:dyDescent="0.2">
      <c r="A3530" s="681" t="s">
        <v>2370</v>
      </c>
      <c r="B3530" s="693" t="s">
        <v>6089</v>
      </c>
      <c r="C3530" s="672" t="s">
        <v>785</v>
      </c>
      <c r="D3530" s="673">
        <v>39864</v>
      </c>
      <c r="E3530" s="674">
        <v>10</v>
      </c>
      <c r="F3530" s="675">
        <v>0.1</v>
      </c>
      <c r="G3530" s="676">
        <v>529</v>
      </c>
      <c r="H3530" s="929">
        <v>52.899999999999984</v>
      </c>
      <c r="I3530" s="929">
        <v>476.09999999999991</v>
      </c>
      <c r="J3530" s="689">
        <f t="shared" si="56"/>
        <v>52.900000000000091</v>
      </c>
    </row>
    <row r="3531" spans="1:10" ht="12.75" customHeight="1" x14ac:dyDescent="0.2">
      <c r="A3531" s="681" t="s">
        <v>2370</v>
      </c>
      <c r="B3531" s="693" t="s">
        <v>6090</v>
      </c>
      <c r="C3531" s="672" t="s">
        <v>785</v>
      </c>
      <c r="D3531" s="673">
        <v>39864</v>
      </c>
      <c r="E3531" s="674">
        <v>10</v>
      </c>
      <c r="F3531" s="675">
        <v>0.1</v>
      </c>
      <c r="G3531" s="676">
        <v>529</v>
      </c>
      <c r="H3531" s="929">
        <v>52.899999999999984</v>
      </c>
      <c r="I3531" s="929">
        <v>476.09999999999991</v>
      </c>
      <c r="J3531" s="689">
        <f t="shared" si="56"/>
        <v>52.900000000000091</v>
      </c>
    </row>
    <row r="3532" spans="1:10" ht="12.75" customHeight="1" x14ac:dyDescent="0.2">
      <c r="A3532" s="681" t="s">
        <v>2370</v>
      </c>
      <c r="B3532" s="693" t="s">
        <v>6091</v>
      </c>
      <c r="C3532" s="672" t="s">
        <v>785</v>
      </c>
      <c r="D3532" s="673">
        <v>39864</v>
      </c>
      <c r="E3532" s="674">
        <v>10</v>
      </c>
      <c r="F3532" s="675">
        <v>0.1</v>
      </c>
      <c r="G3532" s="676">
        <v>529</v>
      </c>
      <c r="H3532" s="929">
        <v>52.899999999999984</v>
      </c>
      <c r="I3532" s="929">
        <v>476.09999999999991</v>
      </c>
      <c r="J3532" s="689">
        <f t="shared" si="56"/>
        <v>52.900000000000091</v>
      </c>
    </row>
    <row r="3533" spans="1:10" ht="12.75" customHeight="1" x14ac:dyDescent="0.2">
      <c r="A3533" s="681" t="s">
        <v>2370</v>
      </c>
      <c r="B3533" s="693" t="s">
        <v>6092</v>
      </c>
      <c r="C3533" s="672" t="s">
        <v>785</v>
      </c>
      <c r="D3533" s="673">
        <v>39864</v>
      </c>
      <c r="E3533" s="674">
        <v>10</v>
      </c>
      <c r="F3533" s="675">
        <v>0.1</v>
      </c>
      <c r="G3533" s="676">
        <v>529</v>
      </c>
      <c r="H3533" s="929">
        <v>52.899999999999984</v>
      </c>
      <c r="I3533" s="929">
        <v>476.09999999999991</v>
      </c>
      <c r="J3533" s="689">
        <f t="shared" si="56"/>
        <v>52.900000000000091</v>
      </c>
    </row>
    <row r="3534" spans="1:10" ht="12.75" customHeight="1" x14ac:dyDescent="0.2">
      <c r="A3534" s="681" t="s">
        <v>2370</v>
      </c>
      <c r="B3534" s="693" t="s">
        <v>6093</v>
      </c>
      <c r="C3534" s="672" t="s">
        <v>834</v>
      </c>
      <c r="D3534" s="673">
        <v>39864</v>
      </c>
      <c r="E3534" s="674">
        <v>10</v>
      </c>
      <c r="F3534" s="675">
        <v>0.1</v>
      </c>
      <c r="G3534" s="676">
        <v>553</v>
      </c>
      <c r="H3534" s="929">
        <v>55.300000000000004</v>
      </c>
      <c r="I3534" s="929">
        <v>497.70000000000005</v>
      </c>
      <c r="J3534" s="689">
        <f t="shared" si="56"/>
        <v>55.299999999999955</v>
      </c>
    </row>
    <row r="3535" spans="1:10" ht="12.75" customHeight="1" x14ac:dyDescent="0.2">
      <c r="A3535" s="681" t="s">
        <v>2370</v>
      </c>
      <c r="B3535" s="693" t="s">
        <v>6094</v>
      </c>
      <c r="C3535" s="672" t="s">
        <v>834</v>
      </c>
      <c r="D3535" s="673">
        <v>39864</v>
      </c>
      <c r="E3535" s="674">
        <v>10</v>
      </c>
      <c r="F3535" s="675">
        <v>0.1</v>
      </c>
      <c r="G3535" s="676">
        <v>553</v>
      </c>
      <c r="H3535" s="929">
        <v>55.300000000000004</v>
      </c>
      <c r="I3535" s="929">
        <v>497.70000000000005</v>
      </c>
      <c r="J3535" s="689">
        <f t="shared" si="56"/>
        <v>55.299999999999955</v>
      </c>
    </row>
    <row r="3536" spans="1:10" ht="12.75" customHeight="1" x14ac:dyDescent="0.2">
      <c r="A3536" s="681" t="s">
        <v>2370</v>
      </c>
      <c r="B3536" s="693" t="s">
        <v>6095</v>
      </c>
      <c r="C3536" s="672" t="s">
        <v>794</v>
      </c>
      <c r="D3536" s="673">
        <v>39864</v>
      </c>
      <c r="E3536" s="674">
        <v>10</v>
      </c>
      <c r="F3536" s="675">
        <v>0.1</v>
      </c>
      <c r="G3536" s="676">
        <v>585</v>
      </c>
      <c r="H3536" s="929">
        <v>58.5</v>
      </c>
      <c r="I3536" s="929">
        <v>526.5</v>
      </c>
      <c r="J3536" s="689">
        <f t="shared" si="56"/>
        <v>58.5</v>
      </c>
    </row>
    <row r="3537" spans="1:10" ht="12.75" customHeight="1" x14ac:dyDescent="0.2">
      <c r="A3537" s="681" t="s">
        <v>2370</v>
      </c>
      <c r="B3537" s="693" t="s">
        <v>6096</v>
      </c>
      <c r="C3537" s="672" t="s">
        <v>785</v>
      </c>
      <c r="D3537" s="673">
        <v>39864</v>
      </c>
      <c r="E3537" s="674">
        <v>10</v>
      </c>
      <c r="F3537" s="675">
        <v>0.1</v>
      </c>
      <c r="G3537" s="676">
        <v>589</v>
      </c>
      <c r="H3537" s="929">
        <v>58.899999999999984</v>
      </c>
      <c r="I3537" s="929">
        <v>530.09999999999991</v>
      </c>
      <c r="J3537" s="689">
        <f t="shared" si="56"/>
        <v>58.900000000000091</v>
      </c>
    </row>
    <row r="3538" spans="1:10" ht="12.75" customHeight="1" x14ac:dyDescent="0.2">
      <c r="A3538" s="681" t="s">
        <v>2370</v>
      </c>
      <c r="B3538" s="693" t="s">
        <v>6097</v>
      </c>
      <c r="C3538" s="672" t="s">
        <v>785</v>
      </c>
      <c r="D3538" s="673">
        <v>39864</v>
      </c>
      <c r="E3538" s="674">
        <v>10</v>
      </c>
      <c r="F3538" s="675">
        <v>0.1</v>
      </c>
      <c r="G3538" s="676">
        <v>589</v>
      </c>
      <c r="H3538" s="929">
        <v>58.899999999999984</v>
      </c>
      <c r="I3538" s="929">
        <v>530.09999999999991</v>
      </c>
      <c r="J3538" s="689">
        <f t="shared" si="56"/>
        <v>58.900000000000091</v>
      </c>
    </row>
    <row r="3539" spans="1:10" ht="12.75" customHeight="1" x14ac:dyDescent="0.2">
      <c r="A3539" s="681" t="s">
        <v>2370</v>
      </c>
      <c r="B3539" s="693" t="s">
        <v>6098</v>
      </c>
      <c r="C3539" s="672" t="s">
        <v>785</v>
      </c>
      <c r="D3539" s="673">
        <v>39864</v>
      </c>
      <c r="E3539" s="674">
        <v>10</v>
      </c>
      <c r="F3539" s="675">
        <v>0.1</v>
      </c>
      <c r="G3539" s="676">
        <v>589</v>
      </c>
      <c r="H3539" s="929">
        <v>58.899999999999984</v>
      </c>
      <c r="I3539" s="929">
        <v>530.09999999999991</v>
      </c>
      <c r="J3539" s="689">
        <f t="shared" si="56"/>
        <v>58.900000000000091</v>
      </c>
    </row>
    <row r="3540" spans="1:10" ht="12.75" customHeight="1" x14ac:dyDescent="0.2">
      <c r="A3540" s="681" t="s">
        <v>2370</v>
      </c>
      <c r="B3540" s="693" t="s">
        <v>6099</v>
      </c>
      <c r="C3540" s="672" t="s">
        <v>785</v>
      </c>
      <c r="D3540" s="673">
        <v>39864</v>
      </c>
      <c r="E3540" s="674">
        <v>10</v>
      </c>
      <c r="F3540" s="675">
        <v>0.1</v>
      </c>
      <c r="G3540" s="676">
        <v>589</v>
      </c>
      <c r="H3540" s="929">
        <v>58.899999999999984</v>
      </c>
      <c r="I3540" s="929">
        <v>530.09999999999991</v>
      </c>
      <c r="J3540" s="689">
        <f t="shared" si="56"/>
        <v>58.900000000000091</v>
      </c>
    </row>
    <row r="3541" spans="1:10" ht="12.75" customHeight="1" x14ac:dyDescent="0.2">
      <c r="A3541" s="681" t="s">
        <v>2370</v>
      </c>
      <c r="B3541" s="693" t="s">
        <v>6100</v>
      </c>
      <c r="C3541" s="672" t="s">
        <v>785</v>
      </c>
      <c r="D3541" s="673">
        <v>39864</v>
      </c>
      <c r="E3541" s="674">
        <v>10</v>
      </c>
      <c r="F3541" s="675">
        <v>0.1</v>
      </c>
      <c r="G3541" s="676">
        <v>589</v>
      </c>
      <c r="H3541" s="929">
        <v>58.899999999999984</v>
      </c>
      <c r="I3541" s="929">
        <v>530.09999999999991</v>
      </c>
      <c r="J3541" s="689">
        <f t="shared" si="56"/>
        <v>58.900000000000091</v>
      </c>
    </row>
    <row r="3542" spans="1:10" ht="12.75" customHeight="1" x14ac:dyDescent="0.2">
      <c r="A3542" s="681" t="s">
        <v>2370</v>
      </c>
      <c r="B3542" s="693" t="s">
        <v>6101</v>
      </c>
      <c r="C3542" s="672" t="s">
        <v>785</v>
      </c>
      <c r="D3542" s="673">
        <v>39864</v>
      </c>
      <c r="E3542" s="674">
        <v>10</v>
      </c>
      <c r="F3542" s="675">
        <v>0.1</v>
      </c>
      <c r="G3542" s="676">
        <v>589</v>
      </c>
      <c r="H3542" s="929">
        <v>58.899999999999984</v>
      </c>
      <c r="I3542" s="929">
        <v>530.09999999999991</v>
      </c>
      <c r="J3542" s="689">
        <f t="shared" si="56"/>
        <v>58.900000000000091</v>
      </c>
    </row>
    <row r="3543" spans="1:10" ht="12.75" customHeight="1" x14ac:dyDescent="0.2">
      <c r="A3543" s="681" t="s">
        <v>2370</v>
      </c>
      <c r="B3543" s="693" t="s">
        <v>6102</v>
      </c>
      <c r="C3543" s="672" t="s">
        <v>785</v>
      </c>
      <c r="D3543" s="673">
        <v>39864</v>
      </c>
      <c r="E3543" s="674">
        <v>10</v>
      </c>
      <c r="F3543" s="675">
        <v>0.1</v>
      </c>
      <c r="G3543" s="676">
        <v>589</v>
      </c>
      <c r="H3543" s="929">
        <v>58.899999999999984</v>
      </c>
      <c r="I3543" s="929">
        <v>530.09999999999991</v>
      </c>
      <c r="J3543" s="689">
        <f t="shared" si="56"/>
        <v>58.900000000000091</v>
      </c>
    </row>
    <row r="3544" spans="1:10" ht="12.75" customHeight="1" x14ac:dyDescent="0.2">
      <c r="A3544" s="681" t="s">
        <v>2370</v>
      </c>
      <c r="B3544" s="693" t="s">
        <v>6103</v>
      </c>
      <c r="C3544" s="672" t="s">
        <v>785</v>
      </c>
      <c r="D3544" s="673">
        <v>39864</v>
      </c>
      <c r="E3544" s="674">
        <v>10</v>
      </c>
      <c r="F3544" s="675">
        <v>0.1</v>
      </c>
      <c r="G3544" s="676">
        <v>589</v>
      </c>
      <c r="H3544" s="929">
        <v>58.899999999999984</v>
      </c>
      <c r="I3544" s="929">
        <v>530.09999999999991</v>
      </c>
      <c r="J3544" s="689">
        <f t="shared" si="56"/>
        <v>58.900000000000091</v>
      </c>
    </row>
    <row r="3545" spans="1:10" ht="12.75" customHeight="1" x14ac:dyDescent="0.2">
      <c r="A3545" s="681" t="s">
        <v>2370</v>
      </c>
      <c r="B3545" s="693" t="s">
        <v>6104</v>
      </c>
      <c r="C3545" s="672" t="s">
        <v>785</v>
      </c>
      <c r="D3545" s="673">
        <v>39864</v>
      </c>
      <c r="E3545" s="674">
        <v>10</v>
      </c>
      <c r="F3545" s="675">
        <v>0.1</v>
      </c>
      <c r="G3545" s="676">
        <v>589</v>
      </c>
      <c r="H3545" s="929">
        <v>58.899999999999984</v>
      </c>
      <c r="I3545" s="929">
        <v>530.09999999999991</v>
      </c>
      <c r="J3545" s="689">
        <f t="shared" si="56"/>
        <v>58.900000000000091</v>
      </c>
    </row>
    <row r="3546" spans="1:10" ht="12.75" customHeight="1" x14ac:dyDescent="0.2">
      <c r="A3546" s="681" t="s">
        <v>2370</v>
      </c>
      <c r="B3546" s="693" t="s">
        <v>6105</v>
      </c>
      <c r="C3546" s="672" t="s">
        <v>785</v>
      </c>
      <c r="D3546" s="673">
        <v>39864</v>
      </c>
      <c r="E3546" s="674">
        <v>10</v>
      </c>
      <c r="F3546" s="675">
        <v>0.1</v>
      </c>
      <c r="G3546" s="676">
        <v>589</v>
      </c>
      <c r="H3546" s="929">
        <v>58.899999999999984</v>
      </c>
      <c r="I3546" s="929">
        <v>530.09999999999991</v>
      </c>
      <c r="J3546" s="689">
        <f t="shared" si="56"/>
        <v>58.900000000000091</v>
      </c>
    </row>
    <row r="3547" spans="1:10" ht="12.75" customHeight="1" x14ac:dyDescent="0.2">
      <c r="A3547" s="681" t="s">
        <v>2370</v>
      </c>
      <c r="B3547" s="693" t="s">
        <v>6106</v>
      </c>
      <c r="C3547" s="672" t="s">
        <v>785</v>
      </c>
      <c r="D3547" s="673">
        <v>39864</v>
      </c>
      <c r="E3547" s="674">
        <v>10</v>
      </c>
      <c r="F3547" s="675">
        <v>0.1</v>
      </c>
      <c r="G3547" s="676">
        <v>589</v>
      </c>
      <c r="H3547" s="929">
        <v>58.899999999999984</v>
      </c>
      <c r="I3547" s="929">
        <v>530.09999999999991</v>
      </c>
      <c r="J3547" s="689">
        <f t="shared" si="56"/>
        <v>58.900000000000091</v>
      </c>
    </row>
    <row r="3548" spans="1:10" ht="12.75" customHeight="1" x14ac:dyDescent="0.2">
      <c r="A3548" s="681" t="s">
        <v>2370</v>
      </c>
      <c r="B3548" s="693" t="s">
        <v>6107</v>
      </c>
      <c r="C3548" s="672" t="s">
        <v>785</v>
      </c>
      <c r="D3548" s="673">
        <v>39864</v>
      </c>
      <c r="E3548" s="674">
        <v>10</v>
      </c>
      <c r="F3548" s="675">
        <v>0.1</v>
      </c>
      <c r="G3548" s="676">
        <v>589</v>
      </c>
      <c r="H3548" s="929">
        <v>58.899999999999984</v>
      </c>
      <c r="I3548" s="929">
        <v>530.09999999999991</v>
      </c>
      <c r="J3548" s="689">
        <f t="shared" si="56"/>
        <v>58.900000000000091</v>
      </c>
    </row>
    <row r="3549" spans="1:10" ht="12.75" customHeight="1" x14ac:dyDescent="0.2">
      <c r="A3549" s="681" t="s">
        <v>2370</v>
      </c>
      <c r="B3549" s="693" t="s">
        <v>6108</v>
      </c>
      <c r="C3549" s="672" t="s">
        <v>785</v>
      </c>
      <c r="D3549" s="673">
        <v>39864</v>
      </c>
      <c r="E3549" s="674">
        <v>10</v>
      </c>
      <c r="F3549" s="675">
        <v>0.1</v>
      </c>
      <c r="G3549" s="676">
        <v>589</v>
      </c>
      <c r="H3549" s="929">
        <v>58.899999999999984</v>
      </c>
      <c r="I3549" s="929">
        <v>530.09999999999991</v>
      </c>
      <c r="J3549" s="689">
        <f t="shared" si="56"/>
        <v>58.900000000000091</v>
      </c>
    </row>
    <row r="3550" spans="1:10" ht="12.75" customHeight="1" x14ac:dyDescent="0.2">
      <c r="A3550" s="681" t="s">
        <v>2370</v>
      </c>
      <c r="B3550" s="693" t="s">
        <v>6109</v>
      </c>
      <c r="C3550" s="672" t="s">
        <v>785</v>
      </c>
      <c r="D3550" s="673">
        <v>39864</v>
      </c>
      <c r="E3550" s="674">
        <v>10</v>
      </c>
      <c r="F3550" s="675">
        <v>0.1</v>
      </c>
      <c r="G3550" s="676">
        <v>589</v>
      </c>
      <c r="H3550" s="929">
        <v>58.899999999999984</v>
      </c>
      <c r="I3550" s="929">
        <v>530.09999999999991</v>
      </c>
      <c r="J3550" s="689">
        <f t="shared" si="56"/>
        <v>58.900000000000091</v>
      </c>
    </row>
    <row r="3551" spans="1:10" ht="12.75" customHeight="1" x14ac:dyDescent="0.2">
      <c r="A3551" s="681" t="s">
        <v>2370</v>
      </c>
      <c r="B3551" s="693" t="s">
        <v>6110</v>
      </c>
      <c r="C3551" s="672" t="s">
        <v>785</v>
      </c>
      <c r="D3551" s="673">
        <v>39864</v>
      </c>
      <c r="E3551" s="674">
        <v>10</v>
      </c>
      <c r="F3551" s="675">
        <v>0.1</v>
      </c>
      <c r="G3551" s="676">
        <v>589</v>
      </c>
      <c r="H3551" s="929">
        <v>58.899999999999984</v>
      </c>
      <c r="I3551" s="929">
        <v>530.09999999999991</v>
      </c>
      <c r="J3551" s="689">
        <f t="shared" si="56"/>
        <v>58.900000000000091</v>
      </c>
    </row>
    <row r="3552" spans="1:10" ht="12.75" customHeight="1" x14ac:dyDescent="0.2">
      <c r="A3552" s="681" t="s">
        <v>2370</v>
      </c>
      <c r="B3552" s="693" t="s">
        <v>6111</v>
      </c>
      <c r="C3552" s="672" t="s">
        <v>785</v>
      </c>
      <c r="D3552" s="673">
        <v>39864</v>
      </c>
      <c r="E3552" s="674">
        <v>10</v>
      </c>
      <c r="F3552" s="675">
        <v>0.1</v>
      </c>
      <c r="G3552" s="676">
        <v>589</v>
      </c>
      <c r="H3552" s="929">
        <v>58.899999999999984</v>
      </c>
      <c r="I3552" s="929">
        <v>530.09999999999991</v>
      </c>
      <c r="J3552" s="689">
        <f t="shared" si="56"/>
        <v>58.900000000000091</v>
      </c>
    </row>
    <row r="3553" spans="1:10" ht="12.75" customHeight="1" x14ac:dyDescent="0.2">
      <c r="A3553" s="681" t="s">
        <v>2370</v>
      </c>
      <c r="B3553" s="693" t="s">
        <v>6112</v>
      </c>
      <c r="C3553" s="672" t="s">
        <v>785</v>
      </c>
      <c r="D3553" s="673">
        <v>39864</v>
      </c>
      <c r="E3553" s="674">
        <v>10</v>
      </c>
      <c r="F3553" s="675">
        <v>0.1</v>
      </c>
      <c r="G3553" s="676">
        <v>589</v>
      </c>
      <c r="H3553" s="929">
        <v>58.899999999999984</v>
      </c>
      <c r="I3553" s="929">
        <v>530.09999999999991</v>
      </c>
      <c r="J3553" s="689">
        <f t="shared" si="56"/>
        <v>58.900000000000091</v>
      </c>
    </row>
    <row r="3554" spans="1:10" ht="12.75" customHeight="1" x14ac:dyDescent="0.2">
      <c r="A3554" s="681" t="s">
        <v>2370</v>
      </c>
      <c r="B3554" s="693" t="s">
        <v>6113</v>
      </c>
      <c r="C3554" s="672" t="s">
        <v>785</v>
      </c>
      <c r="D3554" s="673">
        <v>39864</v>
      </c>
      <c r="E3554" s="674">
        <v>10</v>
      </c>
      <c r="F3554" s="675">
        <v>0.1</v>
      </c>
      <c r="G3554" s="676">
        <v>690</v>
      </c>
      <c r="H3554" s="929">
        <v>69</v>
      </c>
      <c r="I3554" s="929">
        <v>621</v>
      </c>
      <c r="J3554" s="689">
        <f t="shared" si="56"/>
        <v>69</v>
      </c>
    </row>
    <row r="3555" spans="1:10" ht="12.75" customHeight="1" x14ac:dyDescent="0.2">
      <c r="A3555" s="681" t="s">
        <v>2370</v>
      </c>
      <c r="B3555" s="693" t="s">
        <v>6114</v>
      </c>
      <c r="C3555" s="672" t="s">
        <v>785</v>
      </c>
      <c r="D3555" s="673">
        <v>39864</v>
      </c>
      <c r="E3555" s="674">
        <v>10</v>
      </c>
      <c r="F3555" s="675">
        <v>0.1</v>
      </c>
      <c r="G3555" s="676">
        <v>690</v>
      </c>
      <c r="H3555" s="929">
        <v>69</v>
      </c>
      <c r="I3555" s="929">
        <v>621</v>
      </c>
      <c r="J3555" s="689">
        <f t="shared" si="56"/>
        <v>69</v>
      </c>
    </row>
    <row r="3556" spans="1:10" ht="12.75" customHeight="1" x14ac:dyDescent="0.2">
      <c r="A3556" s="681" t="s">
        <v>2370</v>
      </c>
      <c r="B3556" s="693" t="s">
        <v>6115</v>
      </c>
      <c r="C3556" s="672" t="s">
        <v>785</v>
      </c>
      <c r="D3556" s="673">
        <v>39864</v>
      </c>
      <c r="E3556" s="674">
        <v>10</v>
      </c>
      <c r="F3556" s="675">
        <v>0.1</v>
      </c>
      <c r="G3556" s="676">
        <v>690</v>
      </c>
      <c r="H3556" s="929">
        <v>69</v>
      </c>
      <c r="I3556" s="929">
        <v>621</v>
      </c>
      <c r="J3556" s="689">
        <f t="shared" si="56"/>
        <v>69</v>
      </c>
    </row>
    <row r="3557" spans="1:10" ht="12.75" customHeight="1" x14ac:dyDescent="0.2">
      <c r="A3557" s="681" t="s">
        <v>2370</v>
      </c>
      <c r="B3557" s="693" t="s">
        <v>6116</v>
      </c>
      <c r="C3557" s="672" t="s">
        <v>786</v>
      </c>
      <c r="D3557" s="673">
        <v>39864</v>
      </c>
      <c r="E3557" s="674">
        <v>10</v>
      </c>
      <c r="F3557" s="675">
        <v>0.1</v>
      </c>
      <c r="G3557" s="676">
        <v>690</v>
      </c>
      <c r="H3557" s="929">
        <v>69</v>
      </c>
      <c r="I3557" s="929">
        <v>621</v>
      </c>
      <c r="J3557" s="689">
        <f t="shared" si="56"/>
        <v>69</v>
      </c>
    </row>
    <row r="3558" spans="1:10" ht="12.75" customHeight="1" x14ac:dyDescent="0.2">
      <c r="A3558" s="681" t="s">
        <v>2370</v>
      </c>
      <c r="B3558" s="693" t="s">
        <v>6117</v>
      </c>
      <c r="C3558" s="672" t="s">
        <v>814</v>
      </c>
      <c r="D3558" s="673">
        <v>39864</v>
      </c>
      <c r="E3558" s="674">
        <v>10</v>
      </c>
      <c r="F3558" s="675">
        <v>0.1</v>
      </c>
      <c r="G3558" s="676">
        <v>716</v>
      </c>
      <c r="H3558" s="929">
        <v>71.600000000000009</v>
      </c>
      <c r="I3558" s="929">
        <v>644.40000000000009</v>
      </c>
      <c r="J3558" s="689">
        <f t="shared" si="56"/>
        <v>71.599999999999909</v>
      </c>
    </row>
    <row r="3559" spans="1:10" ht="12.75" customHeight="1" x14ac:dyDescent="0.2">
      <c r="A3559" s="681" t="s">
        <v>2370</v>
      </c>
      <c r="B3559" s="693" t="s">
        <v>6118</v>
      </c>
      <c r="C3559" s="672" t="s">
        <v>785</v>
      </c>
      <c r="D3559" s="673">
        <v>39864</v>
      </c>
      <c r="E3559" s="674">
        <v>10</v>
      </c>
      <c r="F3559" s="675">
        <v>0.1</v>
      </c>
      <c r="G3559" s="676">
        <v>748</v>
      </c>
      <c r="H3559" s="929">
        <v>74.8</v>
      </c>
      <c r="I3559" s="929">
        <v>673.19999999999993</v>
      </c>
      <c r="J3559" s="689">
        <f t="shared" si="56"/>
        <v>74.800000000000068</v>
      </c>
    </row>
    <row r="3560" spans="1:10" ht="12.75" customHeight="1" x14ac:dyDescent="0.2">
      <c r="A3560" s="681" t="s">
        <v>2370</v>
      </c>
      <c r="B3560" s="693" t="s">
        <v>6119</v>
      </c>
      <c r="C3560" s="672" t="s">
        <v>785</v>
      </c>
      <c r="D3560" s="673">
        <v>39864</v>
      </c>
      <c r="E3560" s="674">
        <v>10</v>
      </c>
      <c r="F3560" s="675">
        <v>0.1</v>
      </c>
      <c r="G3560" s="676">
        <v>748</v>
      </c>
      <c r="H3560" s="929">
        <v>74.8</v>
      </c>
      <c r="I3560" s="929">
        <v>673.19999999999993</v>
      </c>
      <c r="J3560" s="689">
        <f t="shared" si="56"/>
        <v>74.800000000000068</v>
      </c>
    </row>
    <row r="3561" spans="1:10" ht="12.75" customHeight="1" x14ac:dyDescent="0.2">
      <c r="A3561" s="681" t="s">
        <v>2370</v>
      </c>
      <c r="B3561" s="693" t="s">
        <v>6120</v>
      </c>
      <c r="C3561" s="672" t="s">
        <v>785</v>
      </c>
      <c r="D3561" s="673">
        <v>39864</v>
      </c>
      <c r="E3561" s="674">
        <v>10</v>
      </c>
      <c r="F3561" s="675">
        <v>0.1</v>
      </c>
      <c r="G3561" s="676">
        <v>748</v>
      </c>
      <c r="H3561" s="929">
        <v>74.8</v>
      </c>
      <c r="I3561" s="929">
        <v>673.19999999999993</v>
      </c>
      <c r="J3561" s="689">
        <f t="shared" si="56"/>
        <v>74.800000000000068</v>
      </c>
    </row>
    <row r="3562" spans="1:10" ht="12.75" customHeight="1" x14ac:dyDescent="0.2">
      <c r="A3562" s="681" t="s">
        <v>2370</v>
      </c>
      <c r="B3562" s="693" t="s">
        <v>6121</v>
      </c>
      <c r="C3562" s="672" t="s">
        <v>785</v>
      </c>
      <c r="D3562" s="673">
        <v>39864</v>
      </c>
      <c r="E3562" s="674">
        <v>10</v>
      </c>
      <c r="F3562" s="675">
        <v>0.1</v>
      </c>
      <c r="G3562" s="676">
        <v>748</v>
      </c>
      <c r="H3562" s="929">
        <v>74.8</v>
      </c>
      <c r="I3562" s="929">
        <v>673.19999999999993</v>
      </c>
      <c r="J3562" s="689">
        <f t="shared" si="56"/>
        <v>74.800000000000068</v>
      </c>
    </row>
    <row r="3563" spans="1:10" ht="12.75" customHeight="1" x14ac:dyDescent="0.2">
      <c r="A3563" s="681" t="s">
        <v>2370</v>
      </c>
      <c r="B3563" s="693" t="s">
        <v>6122</v>
      </c>
      <c r="C3563" s="672" t="s">
        <v>785</v>
      </c>
      <c r="D3563" s="673">
        <v>39864</v>
      </c>
      <c r="E3563" s="674">
        <v>10</v>
      </c>
      <c r="F3563" s="675">
        <v>0.1</v>
      </c>
      <c r="G3563" s="676">
        <v>748</v>
      </c>
      <c r="H3563" s="929">
        <v>74.8</v>
      </c>
      <c r="I3563" s="929">
        <v>673.19999999999993</v>
      </c>
      <c r="J3563" s="689">
        <f t="shared" si="56"/>
        <v>74.800000000000068</v>
      </c>
    </row>
    <row r="3564" spans="1:10" ht="12.75" customHeight="1" x14ac:dyDescent="0.2">
      <c r="A3564" s="681" t="s">
        <v>2370</v>
      </c>
      <c r="B3564" s="693" t="s">
        <v>6123</v>
      </c>
      <c r="C3564" s="672" t="s">
        <v>785</v>
      </c>
      <c r="D3564" s="673">
        <v>39864</v>
      </c>
      <c r="E3564" s="674">
        <v>10</v>
      </c>
      <c r="F3564" s="675">
        <v>0.1</v>
      </c>
      <c r="G3564" s="676">
        <v>748</v>
      </c>
      <c r="H3564" s="929">
        <v>74.8</v>
      </c>
      <c r="I3564" s="929">
        <v>673.19999999999993</v>
      </c>
      <c r="J3564" s="689">
        <f t="shared" si="56"/>
        <v>74.800000000000068</v>
      </c>
    </row>
    <row r="3565" spans="1:10" ht="12.75" customHeight="1" x14ac:dyDescent="0.2">
      <c r="A3565" s="681" t="s">
        <v>2370</v>
      </c>
      <c r="B3565" s="693" t="s">
        <v>6124</v>
      </c>
      <c r="C3565" s="672" t="s">
        <v>785</v>
      </c>
      <c r="D3565" s="673">
        <v>39864</v>
      </c>
      <c r="E3565" s="674">
        <v>10</v>
      </c>
      <c r="F3565" s="675">
        <v>0.1</v>
      </c>
      <c r="G3565" s="676">
        <v>748</v>
      </c>
      <c r="H3565" s="929">
        <v>74.8</v>
      </c>
      <c r="I3565" s="929">
        <v>673.19999999999993</v>
      </c>
      <c r="J3565" s="689">
        <f t="shared" si="56"/>
        <v>74.800000000000068</v>
      </c>
    </row>
    <row r="3566" spans="1:10" ht="12.75" customHeight="1" x14ac:dyDescent="0.2">
      <c r="A3566" s="681" t="s">
        <v>2370</v>
      </c>
      <c r="B3566" s="693" t="s">
        <v>6125</v>
      </c>
      <c r="C3566" s="672" t="s">
        <v>785</v>
      </c>
      <c r="D3566" s="673">
        <v>39864</v>
      </c>
      <c r="E3566" s="674">
        <v>10</v>
      </c>
      <c r="F3566" s="675">
        <v>0.1</v>
      </c>
      <c r="G3566" s="676">
        <v>748</v>
      </c>
      <c r="H3566" s="929">
        <v>74.8</v>
      </c>
      <c r="I3566" s="929">
        <v>673.19999999999993</v>
      </c>
      <c r="J3566" s="689">
        <f t="shared" si="56"/>
        <v>74.800000000000068</v>
      </c>
    </row>
    <row r="3567" spans="1:10" ht="12.75" customHeight="1" x14ac:dyDescent="0.2">
      <c r="A3567" s="681" t="s">
        <v>2370</v>
      </c>
      <c r="B3567" s="693" t="s">
        <v>6126</v>
      </c>
      <c r="C3567" s="672" t="s">
        <v>785</v>
      </c>
      <c r="D3567" s="673">
        <v>39864</v>
      </c>
      <c r="E3567" s="674">
        <v>10</v>
      </c>
      <c r="F3567" s="675">
        <v>0.1</v>
      </c>
      <c r="G3567" s="676">
        <v>748</v>
      </c>
      <c r="H3567" s="929">
        <v>74.8</v>
      </c>
      <c r="I3567" s="929">
        <v>673.19999999999993</v>
      </c>
      <c r="J3567" s="689">
        <f t="shared" si="56"/>
        <v>74.800000000000068</v>
      </c>
    </row>
    <row r="3568" spans="1:10" ht="12.75" customHeight="1" x14ac:dyDescent="0.2">
      <c r="A3568" s="681" t="s">
        <v>2370</v>
      </c>
      <c r="B3568" s="693" t="s">
        <v>6127</v>
      </c>
      <c r="C3568" s="672" t="s">
        <v>785</v>
      </c>
      <c r="D3568" s="673">
        <v>39864</v>
      </c>
      <c r="E3568" s="674">
        <v>10</v>
      </c>
      <c r="F3568" s="675">
        <v>0.1</v>
      </c>
      <c r="G3568" s="676">
        <v>748</v>
      </c>
      <c r="H3568" s="929">
        <v>74.8</v>
      </c>
      <c r="I3568" s="929">
        <v>673.19999999999993</v>
      </c>
      <c r="J3568" s="689">
        <f t="shared" si="56"/>
        <v>74.800000000000068</v>
      </c>
    </row>
    <row r="3569" spans="1:10" ht="12.75" customHeight="1" x14ac:dyDescent="0.2">
      <c r="A3569" s="681" t="s">
        <v>2370</v>
      </c>
      <c r="B3569" s="693" t="s">
        <v>6128</v>
      </c>
      <c r="C3569" s="672" t="s">
        <v>785</v>
      </c>
      <c r="D3569" s="673">
        <v>39864</v>
      </c>
      <c r="E3569" s="674">
        <v>10</v>
      </c>
      <c r="F3569" s="675">
        <v>0.1</v>
      </c>
      <c r="G3569" s="676">
        <v>908</v>
      </c>
      <c r="H3569" s="929">
        <v>90.799999999999969</v>
      </c>
      <c r="I3569" s="929">
        <v>817.19999999999982</v>
      </c>
      <c r="J3569" s="689">
        <f t="shared" si="56"/>
        <v>90.800000000000182</v>
      </c>
    </row>
    <row r="3570" spans="1:10" ht="12.75" customHeight="1" x14ac:dyDescent="0.2">
      <c r="A3570" s="681" t="s">
        <v>2370</v>
      </c>
      <c r="B3570" s="693" t="s">
        <v>6129</v>
      </c>
      <c r="C3570" s="672" t="s">
        <v>785</v>
      </c>
      <c r="D3570" s="673">
        <v>39864</v>
      </c>
      <c r="E3570" s="674">
        <v>10</v>
      </c>
      <c r="F3570" s="675">
        <v>0.1</v>
      </c>
      <c r="G3570" s="676">
        <v>908</v>
      </c>
      <c r="H3570" s="929">
        <v>90.799999999999969</v>
      </c>
      <c r="I3570" s="929">
        <v>817.19999999999982</v>
      </c>
      <c r="J3570" s="689">
        <f t="shared" si="56"/>
        <v>90.800000000000182</v>
      </c>
    </row>
    <row r="3571" spans="1:10" ht="12.75" customHeight="1" x14ac:dyDescent="0.2">
      <c r="A3571" s="681" t="s">
        <v>2370</v>
      </c>
      <c r="B3571" s="693" t="s">
        <v>6130</v>
      </c>
      <c r="C3571" s="672" t="s">
        <v>830</v>
      </c>
      <c r="D3571" s="673">
        <v>39864</v>
      </c>
      <c r="E3571" s="674">
        <v>10</v>
      </c>
      <c r="F3571" s="675">
        <v>0.1</v>
      </c>
      <c r="G3571" s="676">
        <v>978</v>
      </c>
      <c r="H3571" s="929">
        <v>97.800000000000026</v>
      </c>
      <c r="I3571" s="929">
        <v>880.2</v>
      </c>
      <c r="J3571" s="689">
        <f t="shared" si="56"/>
        <v>97.799999999999955</v>
      </c>
    </row>
    <row r="3572" spans="1:10" ht="12.75" customHeight="1" x14ac:dyDescent="0.2">
      <c r="A3572" s="681" t="s">
        <v>2370</v>
      </c>
      <c r="B3572" s="693" t="s">
        <v>6131</v>
      </c>
      <c r="C3572" s="672" t="s">
        <v>830</v>
      </c>
      <c r="D3572" s="673">
        <v>39864</v>
      </c>
      <c r="E3572" s="674">
        <v>10</v>
      </c>
      <c r="F3572" s="675">
        <v>0.1</v>
      </c>
      <c r="G3572" s="676">
        <v>978</v>
      </c>
      <c r="H3572" s="929">
        <v>97.800000000000026</v>
      </c>
      <c r="I3572" s="929">
        <v>880.2</v>
      </c>
      <c r="J3572" s="689">
        <f t="shared" si="56"/>
        <v>97.799999999999955</v>
      </c>
    </row>
    <row r="3573" spans="1:10" ht="12.75" customHeight="1" x14ac:dyDescent="0.2">
      <c r="A3573" s="681" t="s">
        <v>2370</v>
      </c>
      <c r="B3573" s="693" t="s">
        <v>6132</v>
      </c>
      <c r="C3573" s="672" t="s">
        <v>828</v>
      </c>
      <c r="D3573" s="673">
        <v>39864</v>
      </c>
      <c r="E3573" s="674">
        <v>10</v>
      </c>
      <c r="F3573" s="675">
        <v>0.1</v>
      </c>
      <c r="G3573" s="676">
        <v>978</v>
      </c>
      <c r="H3573" s="929">
        <v>97.800000000000026</v>
      </c>
      <c r="I3573" s="929">
        <v>880.2</v>
      </c>
      <c r="J3573" s="689">
        <f t="shared" si="56"/>
        <v>97.799999999999955</v>
      </c>
    </row>
    <row r="3574" spans="1:10" ht="12.75" customHeight="1" x14ac:dyDescent="0.2">
      <c r="A3574" s="681" t="s">
        <v>2370</v>
      </c>
      <c r="B3574" s="693" t="s">
        <v>6133</v>
      </c>
      <c r="C3574" s="672" t="s">
        <v>785</v>
      </c>
      <c r="D3574" s="673">
        <v>39864</v>
      </c>
      <c r="E3574" s="674">
        <v>10</v>
      </c>
      <c r="F3574" s="675">
        <v>0.1</v>
      </c>
      <c r="G3574" s="676">
        <v>1018</v>
      </c>
      <c r="H3574" s="929">
        <v>101.8</v>
      </c>
      <c r="I3574" s="929">
        <v>916.19999999999982</v>
      </c>
      <c r="J3574" s="689">
        <f t="shared" si="56"/>
        <v>101.80000000000018</v>
      </c>
    </row>
    <row r="3575" spans="1:10" ht="12.75" customHeight="1" x14ac:dyDescent="0.2">
      <c r="A3575" s="681" t="s">
        <v>2370</v>
      </c>
      <c r="B3575" s="693" t="s">
        <v>6134</v>
      </c>
      <c r="C3575" s="672" t="s">
        <v>785</v>
      </c>
      <c r="D3575" s="673">
        <v>39864</v>
      </c>
      <c r="E3575" s="674">
        <v>10</v>
      </c>
      <c r="F3575" s="675">
        <v>0.1</v>
      </c>
      <c r="G3575" s="676">
        <v>1018</v>
      </c>
      <c r="H3575" s="929">
        <v>101.8</v>
      </c>
      <c r="I3575" s="929">
        <v>916.19999999999982</v>
      </c>
      <c r="J3575" s="689">
        <f t="shared" si="56"/>
        <v>101.80000000000018</v>
      </c>
    </row>
    <row r="3576" spans="1:10" ht="12.75" customHeight="1" x14ac:dyDescent="0.2">
      <c r="A3576" s="681" t="s">
        <v>2370</v>
      </c>
      <c r="B3576" s="693" t="s">
        <v>6135</v>
      </c>
      <c r="C3576" s="672" t="s">
        <v>785</v>
      </c>
      <c r="D3576" s="673">
        <v>39864</v>
      </c>
      <c r="E3576" s="674">
        <v>10</v>
      </c>
      <c r="F3576" s="675">
        <v>0.1</v>
      </c>
      <c r="G3576" s="676">
        <v>1018</v>
      </c>
      <c r="H3576" s="929">
        <v>101.8</v>
      </c>
      <c r="I3576" s="929">
        <v>916.19999999999982</v>
      </c>
      <c r="J3576" s="689">
        <f t="shared" si="56"/>
        <v>101.80000000000018</v>
      </c>
    </row>
    <row r="3577" spans="1:10" ht="12.75" customHeight="1" x14ac:dyDescent="0.2">
      <c r="A3577" s="681" t="s">
        <v>2370</v>
      </c>
      <c r="B3577" s="693" t="s">
        <v>6136</v>
      </c>
      <c r="C3577" s="672" t="s">
        <v>785</v>
      </c>
      <c r="D3577" s="673">
        <v>39864</v>
      </c>
      <c r="E3577" s="674">
        <v>10</v>
      </c>
      <c r="F3577" s="675">
        <v>0.1</v>
      </c>
      <c r="G3577" s="676">
        <v>1018</v>
      </c>
      <c r="H3577" s="929">
        <v>101.8</v>
      </c>
      <c r="I3577" s="929">
        <v>916.19999999999982</v>
      </c>
      <c r="J3577" s="689">
        <f t="shared" si="56"/>
        <v>101.80000000000018</v>
      </c>
    </row>
    <row r="3578" spans="1:10" ht="12.75" customHeight="1" x14ac:dyDescent="0.2">
      <c r="A3578" s="681" t="s">
        <v>2370</v>
      </c>
      <c r="B3578" s="693" t="s">
        <v>6137</v>
      </c>
      <c r="C3578" s="672" t="s">
        <v>785</v>
      </c>
      <c r="D3578" s="673">
        <v>39864</v>
      </c>
      <c r="E3578" s="674">
        <v>10</v>
      </c>
      <c r="F3578" s="675">
        <v>0.1</v>
      </c>
      <c r="G3578" s="676">
        <v>1018</v>
      </c>
      <c r="H3578" s="929">
        <v>101.8</v>
      </c>
      <c r="I3578" s="929">
        <v>916.19999999999982</v>
      </c>
      <c r="J3578" s="689">
        <f t="shared" si="56"/>
        <v>101.80000000000018</v>
      </c>
    </row>
    <row r="3579" spans="1:10" ht="12.75" customHeight="1" x14ac:dyDescent="0.2">
      <c r="A3579" s="681" t="s">
        <v>2370</v>
      </c>
      <c r="B3579" s="693" t="s">
        <v>6138</v>
      </c>
      <c r="C3579" s="672" t="s">
        <v>785</v>
      </c>
      <c r="D3579" s="673">
        <v>39864</v>
      </c>
      <c r="E3579" s="674">
        <v>10</v>
      </c>
      <c r="F3579" s="675">
        <v>0.1</v>
      </c>
      <c r="G3579" s="676">
        <v>1018</v>
      </c>
      <c r="H3579" s="929">
        <v>101.8</v>
      </c>
      <c r="I3579" s="929">
        <v>916.19999999999982</v>
      </c>
      <c r="J3579" s="689">
        <f t="shared" si="56"/>
        <v>101.80000000000018</v>
      </c>
    </row>
    <row r="3580" spans="1:10" ht="12.75" customHeight="1" x14ac:dyDescent="0.2">
      <c r="A3580" s="681" t="s">
        <v>2370</v>
      </c>
      <c r="B3580" s="693" t="s">
        <v>6139</v>
      </c>
      <c r="C3580" s="672" t="s">
        <v>785</v>
      </c>
      <c r="D3580" s="673">
        <v>39864</v>
      </c>
      <c r="E3580" s="674">
        <v>10</v>
      </c>
      <c r="F3580" s="675">
        <v>0.1</v>
      </c>
      <c r="G3580" s="676">
        <v>1018</v>
      </c>
      <c r="H3580" s="929">
        <v>101.8</v>
      </c>
      <c r="I3580" s="929">
        <v>916.19999999999982</v>
      </c>
      <c r="J3580" s="689">
        <f t="shared" si="56"/>
        <v>101.80000000000018</v>
      </c>
    </row>
    <row r="3581" spans="1:10" ht="12.75" customHeight="1" x14ac:dyDescent="0.2">
      <c r="A3581" s="681" t="s">
        <v>2370</v>
      </c>
      <c r="B3581" s="693" t="s">
        <v>6140</v>
      </c>
      <c r="C3581" s="672" t="s">
        <v>785</v>
      </c>
      <c r="D3581" s="673">
        <v>39864</v>
      </c>
      <c r="E3581" s="674">
        <v>10</v>
      </c>
      <c r="F3581" s="675">
        <v>0.1</v>
      </c>
      <c r="G3581" s="676">
        <v>1018</v>
      </c>
      <c r="H3581" s="929">
        <v>101.8</v>
      </c>
      <c r="I3581" s="929">
        <v>916.19999999999982</v>
      </c>
      <c r="J3581" s="689">
        <f t="shared" si="56"/>
        <v>101.80000000000018</v>
      </c>
    </row>
    <row r="3582" spans="1:10" ht="12.75" customHeight="1" x14ac:dyDescent="0.2">
      <c r="A3582" s="681" t="s">
        <v>2370</v>
      </c>
      <c r="B3582" s="693" t="s">
        <v>6141</v>
      </c>
      <c r="C3582" s="672" t="s">
        <v>785</v>
      </c>
      <c r="D3582" s="673">
        <v>39864</v>
      </c>
      <c r="E3582" s="674">
        <v>10</v>
      </c>
      <c r="F3582" s="675">
        <v>0.1</v>
      </c>
      <c r="G3582" s="676">
        <v>1018</v>
      </c>
      <c r="H3582" s="929">
        <v>101.8</v>
      </c>
      <c r="I3582" s="929">
        <v>916.19999999999982</v>
      </c>
      <c r="J3582" s="689">
        <f t="shared" si="56"/>
        <v>101.80000000000018</v>
      </c>
    </row>
    <row r="3583" spans="1:10" ht="12.75" customHeight="1" x14ac:dyDescent="0.2">
      <c r="A3583" s="681" t="s">
        <v>2370</v>
      </c>
      <c r="B3583" s="693" t="s">
        <v>6142</v>
      </c>
      <c r="C3583" s="672" t="s">
        <v>785</v>
      </c>
      <c r="D3583" s="673">
        <v>39864</v>
      </c>
      <c r="E3583" s="674">
        <v>10</v>
      </c>
      <c r="F3583" s="675">
        <v>0.1</v>
      </c>
      <c r="G3583" s="676">
        <v>1018</v>
      </c>
      <c r="H3583" s="929">
        <v>101.8</v>
      </c>
      <c r="I3583" s="929">
        <v>916.19999999999982</v>
      </c>
      <c r="J3583" s="689">
        <f t="shared" si="56"/>
        <v>101.80000000000018</v>
      </c>
    </row>
    <row r="3584" spans="1:10" ht="12.75" customHeight="1" x14ac:dyDescent="0.2">
      <c r="A3584" s="681" t="s">
        <v>2370</v>
      </c>
      <c r="B3584" s="693" t="s">
        <v>6143</v>
      </c>
      <c r="C3584" s="672" t="s">
        <v>785</v>
      </c>
      <c r="D3584" s="673">
        <v>39864</v>
      </c>
      <c r="E3584" s="674">
        <v>10</v>
      </c>
      <c r="F3584" s="675">
        <v>0.1</v>
      </c>
      <c r="G3584" s="676">
        <v>1018</v>
      </c>
      <c r="H3584" s="929">
        <v>101.8</v>
      </c>
      <c r="I3584" s="929">
        <v>916.19999999999982</v>
      </c>
      <c r="J3584" s="689">
        <f t="shared" si="56"/>
        <v>101.80000000000018</v>
      </c>
    </row>
    <row r="3585" spans="1:10" ht="12.75" customHeight="1" x14ac:dyDescent="0.2">
      <c r="A3585" s="681" t="s">
        <v>2370</v>
      </c>
      <c r="B3585" s="693" t="s">
        <v>6144</v>
      </c>
      <c r="C3585" s="672" t="s">
        <v>785</v>
      </c>
      <c r="D3585" s="673">
        <v>39864</v>
      </c>
      <c r="E3585" s="674">
        <v>10</v>
      </c>
      <c r="F3585" s="675">
        <v>0.1</v>
      </c>
      <c r="G3585" s="676">
        <v>1018</v>
      </c>
      <c r="H3585" s="929">
        <v>101.8</v>
      </c>
      <c r="I3585" s="929">
        <v>916.19999999999982</v>
      </c>
      <c r="J3585" s="689">
        <f t="shared" si="56"/>
        <v>101.80000000000018</v>
      </c>
    </row>
    <row r="3586" spans="1:10" ht="12.75" customHeight="1" x14ac:dyDescent="0.2">
      <c r="A3586" s="681" t="s">
        <v>2370</v>
      </c>
      <c r="B3586" s="693" t="s">
        <v>6145</v>
      </c>
      <c r="C3586" s="672" t="s">
        <v>785</v>
      </c>
      <c r="D3586" s="673">
        <v>39864</v>
      </c>
      <c r="E3586" s="674">
        <v>10</v>
      </c>
      <c r="F3586" s="675">
        <v>0.1</v>
      </c>
      <c r="G3586" s="676">
        <v>1018</v>
      </c>
      <c r="H3586" s="929">
        <v>101.8</v>
      </c>
      <c r="I3586" s="929">
        <v>916.19999999999982</v>
      </c>
      <c r="J3586" s="689">
        <f t="shared" si="56"/>
        <v>101.80000000000018</v>
      </c>
    </row>
    <row r="3587" spans="1:10" ht="12.75" customHeight="1" x14ac:dyDescent="0.2">
      <c r="A3587" s="681" t="s">
        <v>2370</v>
      </c>
      <c r="B3587" s="693" t="s">
        <v>6146</v>
      </c>
      <c r="C3587" s="672" t="s">
        <v>785</v>
      </c>
      <c r="D3587" s="673">
        <v>39864</v>
      </c>
      <c r="E3587" s="674">
        <v>10</v>
      </c>
      <c r="F3587" s="675">
        <v>0.1</v>
      </c>
      <c r="G3587" s="676">
        <v>1018</v>
      </c>
      <c r="H3587" s="929">
        <v>101.8</v>
      </c>
      <c r="I3587" s="929">
        <v>916.19999999999982</v>
      </c>
      <c r="J3587" s="689">
        <f t="shared" si="56"/>
        <v>101.80000000000018</v>
      </c>
    </row>
    <row r="3588" spans="1:10" ht="12.75" customHeight="1" x14ac:dyDescent="0.2">
      <c r="A3588" s="681" t="s">
        <v>2370</v>
      </c>
      <c r="B3588" s="693" t="s">
        <v>6147</v>
      </c>
      <c r="C3588" s="672" t="s">
        <v>785</v>
      </c>
      <c r="D3588" s="673">
        <v>39864</v>
      </c>
      <c r="E3588" s="674">
        <v>10</v>
      </c>
      <c r="F3588" s="675">
        <v>0.1</v>
      </c>
      <c r="G3588" s="676">
        <v>1018</v>
      </c>
      <c r="H3588" s="929">
        <v>101.8</v>
      </c>
      <c r="I3588" s="929">
        <v>916.19999999999982</v>
      </c>
      <c r="J3588" s="689">
        <f t="shared" si="56"/>
        <v>101.80000000000018</v>
      </c>
    </row>
    <row r="3589" spans="1:10" ht="12.75" customHeight="1" x14ac:dyDescent="0.2">
      <c r="A3589" s="681" t="s">
        <v>2370</v>
      </c>
      <c r="B3589" s="693" t="s">
        <v>6148</v>
      </c>
      <c r="C3589" s="672" t="s">
        <v>785</v>
      </c>
      <c r="D3589" s="673">
        <v>39864</v>
      </c>
      <c r="E3589" s="674">
        <v>10</v>
      </c>
      <c r="F3589" s="675">
        <v>0.1</v>
      </c>
      <c r="G3589" s="676">
        <v>1018</v>
      </c>
      <c r="H3589" s="929">
        <v>101.8</v>
      </c>
      <c r="I3589" s="929">
        <v>916.19999999999982</v>
      </c>
      <c r="J3589" s="689">
        <f t="shared" si="56"/>
        <v>101.80000000000018</v>
      </c>
    </row>
    <row r="3590" spans="1:10" ht="12.75" customHeight="1" x14ac:dyDescent="0.2">
      <c r="A3590" s="681" t="s">
        <v>2370</v>
      </c>
      <c r="B3590" s="693" t="s">
        <v>6149</v>
      </c>
      <c r="C3590" s="672" t="s">
        <v>785</v>
      </c>
      <c r="D3590" s="673">
        <v>39864</v>
      </c>
      <c r="E3590" s="674">
        <v>10</v>
      </c>
      <c r="F3590" s="675">
        <v>0.1</v>
      </c>
      <c r="G3590" s="676">
        <v>1018</v>
      </c>
      <c r="H3590" s="929">
        <v>101.8</v>
      </c>
      <c r="I3590" s="929">
        <v>916.19999999999982</v>
      </c>
      <c r="J3590" s="689">
        <f t="shared" si="56"/>
        <v>101.80000000000018</v>
      </c>
    </row>
    <row r="3591" spans="1:10" ht="12.75" customHeight="1" x14ac:dyDescent="0.2">
      <c r="A3591" s="681" t="s">
        <v>2370</v>
      </c>
      <c r="B3591" s="693" t="s">
        <v>6150</v>
      </c>
      <c r="C3591" s="672" t="s">
        <v>785</v>
      </c>
      <c r="D3591" s="673">
        <v>39864</v>
      </c>
      <c r="E3591" s="674">
        <v>10</v>
      </c>
      <c r="F3591" s="675">
        <v>0.1</v>
      </c>
      <c r="G3591" s="676">
        <v>1018</v>
      </c>
      <c r="H3591" s="929">
        <v>101.8</v>
      </c>
      <c r="I3591" s="929">
        <v>916.19999999999982</v>
      </c>
      <c r="J3591" s="689">
        <f t="shared" ref="J3591:J3654" si="57">G3591-I3591</f>
        <v>101.80000000000018</v>
      </c>
    </row>
    <row r="3592" spans="1:10" ht="12.75" customHeight="1" x14ac:dyDescent="0.2">
      <c r="A3592" s="681" t="s">
        <v>2370</v>
      </c>
      <c r="B3592" s="693" t="s">
        <v>6151</v>
      </c>
      <c r="C3592" s="672" t="s">
        <v>785</v>
      </c>
      <c r="D3592" s="673">
        <v>39864</v>
      </c>
      <c r="E3592" s="674">
        <v>10</v>
      </c>
      <c r="F3592" s="675">
        <v>0.1</v>
      </c>
      <c r="G3592" s="676">
        <v>1018</v>
      </c>
      <c r="H3592" s="929">
        <v>101.8</v>
      </c>
      <c r="I3592" s="929">
        <v>916.19999999999982</v>
      </c>
      <c r="J3592" s="689">
        <f t="shared" si="57"/>
        <v>101.80000000000018</v>
      </c>
    </row>
    <row r="3593" spans="1:10" ht="12.75" customHeight="1" x14ac:dyDescent="0.2">
      <c r="A3593" s="681" t="s">
        <v>2370</v>
      </c>
      <c r="B3593" s="693" t="s">
        <v>6152</v>
      </c>
      <c r="C3593" s="672" t="s">
        <v>828</v>
      </c>
      <c r="D3593" s="673">
        <v>39864</v>
      </c>
      <c r="E3593" s="674">
        <v>10</v>
      </c>
      <c r="F3593" s="675">
        <v>0.1</v>
      </c>
      <c r="G3593" s="676">
        <v>1101</v>
      </c>
      <c r="H3593" s="929">
        <v>110.09999999999998</v>
      </c>
      <c r="I3593" s="929">
        <v>990.90000000000009</v>
      </c>
      <c r="J3593" s="689">
        <f t="shared" si="57"/>
        <v>110.09999999999991</v>
      </c>
    </row>
    <row r="3594" spans="1:10" ht="12.75" customHeight="1" x14ac:dyDescent="0.2">
      <c r="A3594" s="681" t="s">
        <v>2370</v>
      </c>
      <c r="B3594" s="693" t="s">
        <v>6153</v>
      </c>
      <c r="C3594" s="672" t="s">
        <v>828</v>
      </c>
      <c r="D3594" s="673">
        <v>39864</v>
      </c>
      <c r="E3594" s="674">
        <v>10</v>
      </c>
      <c r="F3594" s="675">
        <v>0.1</v>
      </c>
      <c r="G3594" s="676">
        <v>1101</v>
      </c>
      <c r="H3594" s="929">
        <v>110.09999999999998</v>
      </c>
      <c r="I3594" s="929">
        <v>990.90000000000009</v>
      </c>
      <c r="J3594" s="689">
        <f t="shared" si="57"/>
        <v>110.09999999999991</v>
      </c>
    </row>
    <row r="3595" spans="1:10" ht="12.75" customHeight="1" x14ac:dyDescent="0.2">
      <c r="A3595" s="681" t="s">
        <v>2370</v>
      </c>
      <c r="B3595" s="693" t="s">
        <v>6154</v>
      </c>
      <c r="C3595" s="672" t="s">
        <v>828</v>
      </c>
      <c r="D3595" s="673">
        <v>39864</v>
      </c>
      <c r="E3595" s="674">
        <v>10</v>
      </c>
      <c r="F3595" s="675">
        <v>0.1</v>
      </c>
      <c r="G3595" s="676">
        <v>1101</v>
      </c>
      <c r="H3595" s="929">
        <v>110.09999999999998</v>
      </c>
      <c r="I3595" s="929">
        <v>990.90000000000009</v>
      </c>
      <c r="J3595" s="689">
        <f t="shared" si="57"/>
        <v>110.09999999999991</v>
      </c>
    </row>
    <row r="3596" spans="1:10" ht="12.75" customHeight="1" x14ac:dyDescent="0.2">
      <c r="A3596" s="681" t="s">
        <v>2370</v>
      </c>
      <c r="B3596" s="693" t="s">
        <v>6155</v>
      </c>
      <c r="C3596" s="672" t="s">
        <v>828</v>
      </c>
      <c r="D3596" s="673">
        <v>39864</v>
      </c>
      <c r="E3596" s="674">
        <v>10</v>
      </c>
      <c r="F3596" s="675">
        <v>0.1</v>
      </c>
      <c r="G3596" s="676">
        <v>1101</v>
      </c>
      <c r="H3596" s="929">
        <v>110.09999999999998</v>
      </c>
      <c r="I3596" s="929">
        <v>990.90000000000009</v>
      </c>
      <c r="J3596" s="689">
        <f t="shared" si="57"/>
        <v>110.09999999999991</v>
      </c>
    </row>
    <row r="3597" spans="1:10" ht="12.75" customHeight="1" x14ac:dyDescent="0.2">
      <c r="A3597" s="681" t="s">
        <v>2370</v>
      </c>
      <c r="B3597" s="693" t="s">
        <v>6156</v>
      </c>
      <c r="C3597" s="672" t="s">
        <v>828</v>
      </c>
      <c r="D3597" s="673">
        <v>39864</v>
      </c>
      <c r="E3597" s="674">
        <v>10</v>
      </c>
      <c r="F3597" s="675">
        <v>0.1</v>
      </c>
      <c r="G3597" s="676">
        <v>1101</v>
      </c>
      <c r="H3597" s="929">
        <v>110.09999999999998</v>
      </c>
      <c r="I3597" s="929">
        <v>990.90000000000009</v>
      </c>
      <c r="J3597" s="689">
        <f t="shared" si="57"/>
        <v>110.09999999999991</v>
      </c>
    </row>
    <row r="3598" spans="1:10" ht="12.75" customHeight="1" x14ac:dyDescent="0.2">
      <c r="A3598" s="681" t="s">
        <v>2370</v>
      </c>
      <c r="B3598" s="693" t="s">
        <v>6157</v>
      </c>
      <c r="C3598" s="672" t="s">
        <v>828</v>
      </c>
      <c r="D3598" s="673">
        <v>39864</v>
      </c>
      <c r="E3598" s="674">
        <v>10</v>
      </c>
      <c r="F3598" s="675">
        <v>0.1</v>
      </c>
      <c r="G3598" s="676">
        <v>1101</v>
      </c>
      <c r="H3598" s="929">
        <v>110.09999999999998</v>
      </c>
      <c r="I3598" s="929">
        <v>990.90000000000009</v>
      </c>
      <c r="J3598" s="689">
        <f t="shared" si="57"/>
        <v>110.09999999999991</v>
      </c>
    </row>
    <row r="3599" spans="1:10" ht="12.75" customHeight="1" x14ac:dyDescent="0.2">
      <c r="A3599" s="681" t="s">
        <v>2370</v>
      </c>
      <c r="B3599" s="693" t="s">
        <v>6158</v>
      </c>
      <c r="C3599" s="672" t="s">
        <v>828</v>
      </c>
      <c r="D3599" s="673">
        <v>39864</v>
      </c>
      <c r="E3599" s="674">
        <v>10</v>
      </c>
      <c r="F3599" s="675">
        <v>0.1</v>
      </c>
      <c r="G3599" s="676">
        <v>1101</v>
      </c>
      <c r="H3599" s="929">
        <v>110.09999999999998</v>
      </c>
      <c r="I3599" s="929">
        <v>990.90000000000009</v>
      </c>
      <c r="J3599" s="689">
        <f t="shared" si="57"/>
        <v>110.09999999999991</v>
      </c>
    </row>
    <row r="3600" spans="1:10" ht="12.75" customHeight="1" x14ac:dyDescent="0.2">
      <c r="A3600" s="681" t="s">
        <v>2370</v>
      </c>
      <c r="B3600" s="693" t="s">
        <v>6159</v>
      </c>
      <c r="C3600" s="672" t="s">
        <v>828</v>
      </c>
      <c r="D3600" s="673">
        <v>39864</v>
      </c>
      <c r="E3600" s="674">
        <v>10</v>
      </c>
      <c r="F3600" s="675">
        <v>0.1</v>
      </c>
      <c r="G3600" s="676">
        <v>1101</v>
      </c>
      <c r="H3600" s="929">
        <v>110.09999999999998</v>
      </c>
      <c r="I3600" s="929">
        <v>990.90000000000009</v>
      </c>
      <c r="J3600" s="689">
        <f t="shared" si="57"/>
        <v>110.09999999999991</v>
      </c>
    </row>
    <row r="3601" spans="1:10" ht="12.75" customHeight="1" x14ac:dyDescent="0.2">
      <c r="A3601" s="681" t="s">
        <v>2370</v>
      </c>
      <c r="B3601" s="693" t="s">
        <v>6160</v>
      </c>
      <c r="C3601" s="672" t="s">
        <v>785</v>
      </c>
      <c r="D3601" s="673">
        <v>39864</v>
      </c>
      <c r="E3601" s="674">
        <v>10</v>
      </c>
      <c r="F3601" s="675">
        <v>0.1</v>
      </c>
      <c r="G3601" s="676">
        <v>1104</v>
      </c>
      <c r="H3601" s="929">
        <v>110.40000000000002</v>
      </c>
      <c r="I3601" s="929">
        <v>993.59999999999991</v>
      </c>
      <c r="J3601" s="689">
        <f t="shared" si="57"/>
        <v>110.40000000000009</v>
      </c>
    </row>
    <row r="3602" spans="1:10" ht="12.75" customHeight="1" x14ac:dyDescent="0.2">
      <c r="A3602" s="681" t="s">
        <v>2370</v>
      </c>
      <c r="B3602" s="693" t="s">
        <v>6161</v>
      </c>
      <c r="C3602" s="672" t="s">
        <v>785</v>
      </c>
      <c r="D3602" s="673">
        <v>39864</v>
      </c>
      <c r="E3602" s="674">
        <v>10</v>
      </c>
      <c r="F3602" s="675">
        <v>0.1</v>
      </c>
      <c r="G3602" s="676">
        <v>1104</v>
      </c>
      <c r="H3602" s="929">
        <v>110.40000000000002</v>
      </c>
      <c r="I3602" s="929">
        <v>993.59999999999991</v>
      </c>
      <c r="J3602" s="689">
        <f t="shared" si="57"/>
        <v>110.40000000000009</v>
      </c>
    </row>
    <row r="3603" spans="1:10" ht="12.75" customHeight="1" x14ac:dyDescent="0.2">
      <c r="A3603" s="681" t="s">
        <v>2370</v>
      </c>
      <c r="B3603" s="693" t="s">
        <v>6162</v>
      </c>
      <c r="C3603" s="672" t="s">
        <v>785</v>
      </c>
      <c r="D3603" s="673">
        <v>39864</v>
      </c>
      <c r="E3603" s="674">
        <v>10</v>
      </c>
      <c r="F3603" s="675">
        <v>0.1</v>
      </c>
      <c r="G3603" s="676">
        <v>1104</v>
      </c>
      <c r="H3603" s="929">
        <v>110.40000000000002</v>
      </c>
      <c r="I3603" s="929">
        <v>993.59999999999991</v>
      </c>
      <c r="J3603" s="689">
        <f t="shared" si="57"/>
        <v>110.40000000000009</v>
      </c>
    </row>
    <row r="3604" spans="1:10" ht="12.75" customHeight="1" x14ac:dyDescent="0.2">
      <c r="A3604" s="681" t="s">
        <v>2370</v>
      </c>
      <c r="B3604" s="693" t="s">
        <v>6163</v>
      </c>
      <c r="C3604" s="672" t="s">
        <v>785</v>
      </c>
      <c r="D3604" s="673">
        <v>39864</v>
      </c>
      <c r="E3604" s="674">
        <v>10</v>
      </c>
      <c r="F3604" s="675">
        <v>0.1</v>
      </c>
      <c r="G3604" s="676">
        <v>1104</v>
      </c>
      <c r="H3604" s="929">
        <v>110.40000000000002</v>
      </c>
      <c r="I3604" s="929">
        <v>993.59999999999991</v>
      </c>
      <c r="J3604" s="689">
        <f t="shared" si="57"/>
        <v>110.40000000000009</v>
      </c>
    </row>
    <row r="3605" spans="1:10" ht="12.75" customHeight="1" x14ac:dyDescent="0.2">
      <c r="A3605" s="681" t="s">
        <v>2370</v>
      </c>
      <c r="B3605" s="693" t="s">
        <v>6164</v>
      </c>
      <c r="C3605" s="672" t="s">
        <v>785</v>
      </c>
      <c r="D3605" s="673">
        <v>39864</v>
      </c>
      <c r="E3605" s="674">
        <v>10</v>
      </c>
      <c r="F3605" s="675">
        <v>0.1</v>
      </c>
      <c r="G3605" s="676">
        <v>1104</v>
      </c>
      <c r="H3605" s="929">
        <v>110.40000000000002</v>
      </c>
      <c r="I3605" s="929">
        <v>993.59999999999991</v>
      </c>
      <c r="J3605" s="689">
        <f t="shared" si="57"/>
        <v>110.40000000000009</v>
      </c>
    </row>
    <row r="3606" spans="1:10" ht="12.75" customHeight="1" x14ac:dyDescent="0.2">
      <c r="A3606" s="681" t="s">
        <v>2370</v>
      </c>
      <c r="B3606" s="693" t="s">
        <v>6165</v>
      </c>
      <c r="C3606" s="672" t="s">
        <v>785</v>
      </c>
      <c r="D3606" s="673">
        <v>39864</v>
      </c>
      <c r="E3606" s="674">
        <v>10</v>
      </c>
      <c r="F3606" s="675">
        <v>0.1</v>
      </c>
      <c r="G3606" s="676">
        <v>1265</v>
      </c>
      <c r="H3606" s="929">
        <v>126.50000000000001</v>
      </c>
      <c r="I3606" s="929">
        <v>1138.5</v>
      </c>
      <c r="J3606" s="689">
        <f t="shared" si="57"/>
        <v>126.5</v>
      </c>
    </row>
    <row r="3607" spans="1:10" ht="12.75" customHeight="1" x14ac:dyDescent="0.2">
      <c r="A3607" s="681" t="s">
        <v>2370</v>
      </c>
      <c r="B3607" s="693" t="s">
        <v>6166</v>
      </c>
      <c r="C3607" s="672" t="s">
        <v>785</v>
      </c>
      <c r="D3607" s="673">
        <v>39864</v>
      </c>
      <c r="E3607" s="674">
        <v>10</v>
      </c>
      <c r="F3607" s="675">
        <v>0.1</v>
      </c>
      <c r="G3607" s="676">
        <v>1265</v>
      </c>
      <c r="H3607" s="929">
        <v>126.50000000000001</v>
      </c>
      <c r="I3607" s="929">
        <v>1138.5</v>
      </c>
      <c r="J3607" s="689">
        <f t="shared" si="57"/>
        <v>126.5</v>
      </c>
    </row>
    <row r="3608" spans="1:10" ht="12.75" customHeight="1" x14ac:dyDescent="0.2">
      <c r="A3608" s="681" t="s">
        <v>2370</v>
      </c>
      <c r="B3608" s="693" t="s">
        <v>6167</v>
      </c>
      <c r="C3608" s="672" t="s">
        <v>786</v>
      </c>
      <c r="D3608" s="673">
        <v>39864</v>
      </c>
      <c r="E3608" s="674">
        <v>10</v>
      </c>
      <c r="F3608" s="675">
        <v>0.1</v>
      </c>
      <c r="G3608" s="676">
        <v>1284</v>
      </c>
      <c r="H3608" s="929">
        <v>128.4</v>
      </c>
      <c r="I3608" s="929">
        <v>1155.6000000000001</v>
      </c>
      <c r="J3608" s="689">
        <f t="shared" si="57"/>
        <v>128.39999999999986</v>
      </c>
    </row>
    <row r="3609" spans="1:10" ht="12.75" customHeight="1" x14ac:dyDescent="0.2">
      <c r="A3609" s="681" t="s">
        <v>2370</v>
      </c>
      <c r="B3609" s="693" t="s">
        <v>6168</v>
      </c>
      <c r="C3609" s="672" t="s">
        <v>786</v>
      </c>
      <c r="D3609" s="673">
        <v>39864</v>
      </c>
      <c r="E3609" s="674">
        <v>10</v>
      </c>
      <c r="F3609" s="675">
        <v>0.1</v>
      </c>
      <c r="G3609" s="676">
        <v>1284</v>
      </c>
      <c r="H3609" s="929">
        <v>128.4</v>
      </c>
      <c r="I3609" s="929">
        <v>1155.6000000000001</v>
      </c>
      <c r="J3609" s="689">
        <f t="shared" si="57"/>
        <v>128.39999999999986</v>
      </c>
    </row>
    <row r="3610" spans="1:10" ht="12.75" customHeight="1" x14ac:dyDescent="0.2">
      <c r="A3610" s="681" t="s">
        <v>2370</v>
      </c>
      <c r="B3610" s="693" t="s">
        <v>6169</v>
      </c>
      <c r="C3610" s="672" t="s">
        <v>786</v>
      </c>
      <c r="D3610" s="673">
        <v>39864</v>
      </c>
      <c r="E3610" s="674">
        <v>10</v>
      </c>
      <c r="F3610" s="675">
        <v>0.1</v>
      </c>
      <c r="G3610" s="676">
        <v>1284</v>
      </c>
      <c r="H3610" s="929">
        <v>128.4</v>
      </c>
      <c r="I3610" s="929">
        <v>1155.6000000000001</v>
      </c>
      <c r="J3610" s="689">
        <f t="shared" si="57"/>
        <v>128.39999999999986</v>
      </c>
    </row>
    <row r="3611" spans="1:10" ht="12.75" customHeight="1" x14ac:dyDescent="0.2">
      <c r="A3611" s="681" t="s">
        <v>2370</v>
      </c>
      <c r="B3611" s="693" t="s">
        <v>6170</v>
      </c>
      <c r="C3611" s="672" t="s">
        <v>786</v>
      </c>
      <c r="D3611" s="673">
        <v>39864</v>
      </c>
      <c r="E3611" s="674">
        <v>10</v>
      </c>
      <c r="F3611" s="675">
        <v>0.1</v>
      </c>
      <c r="G3611" s="676">
        <v>1284</v>
      </c>
      <c r="H3611" s="929">
        <v>128.4</v>
      </c>
      <c r="I3611" s="929">
        <v>1155.6000000000001</v>
      </c>
      <c r="J3611" s="689">
        <f t="shared" si="57"/>
        <v>128.39999999999986</v>
      </c>
    </row>
    <row r="3612" spans="1:10" ht="12.75" customHeight="1" x14ac:dyDescent="0.2">
      <c r="A3612" s="681" t="s">
        <v>2370</v>
      </c>
      <c r="B3612" s="693" t="s">
        <v>6171</v>
      </c>
      <c r="C3612" s="672" t="s">
        <v>786</v>
      </c>
      <c r="D3612" s="673">
        <v>39864</v>
      </c>
      <c r="E3612" s="674">
        <v>10</v>
      </c>
      <c r="F3612" s="675">
        <v>0.1</v>
      </c>
      <c r="G3612" s="676">
        <v>1284</v>
      </c>
      <c r="H3612" s="929">
        <v>128.4</v>
      </c>
      <c r="I3612" s="929">
        <v>1155.6000000000001</v>
      </c>
      <c r="J3612" s="689">
        <f t="shared" si="57"/>
        <v>128.39999999999986</v>
      </c>
    </row>
    <row r="3613" spans="1:10" ht="12.75" customHeight="1" x14ac:dyDescent="0.2">
      <c r="A3613" s="681" t="s">
        <v>2370</v>
      </c>
      <c r="B3613" s="693" t="s">
        <v>6172</v>
      </c>
      <c r="C3613" s="672" t="s">
        <v>798</v>
      </c>
      <c r="D3613" s="673">
        <v>39864</v>
      </c>
      <c r="E3613" s="674">
        <v>10</v>
      </c>
      <c r="F3613" s="675">
        <v>0.1</v>
      </c>
      <c r="G3613" s="676">
        <v>1307</v>
      </c>
      <c r="H3613" s="929">
        <v>130.69999999999999</v>
      </c>
      <c r="I3613" s="929">
        <v>1176.3000000000002</v>
      </c>
      <c r="J3613" s="689">
        <f t="shared" si="57"/>
        <v>130.69999999999982</v>
      </c>
    </row>
    <row r="3614" spans="1:10" ht="12.75" customHeight="1" x14ac:dyDescent="0.2">
      <c r="A3614" s="681" t="s">
        <v>2370</v>
      </c>
      <c r="B3614" s="693" t="s">
        <v>6173</v>
      </c>
      <c r="C3614" s="672" t="s">
        <v>798</v>
      </c>
      <c r="D3614" s="673">
        <v>39864</v>
      </c>
      <c r="E3614" s="674">
        <v>10</v>
      </c>
      <c r="F3614" s="675">
        <v>0.1</v>
      </c>
      <c r="G3614" s="676">
        <v>1307</v>
      </c>
      <c r="H3614" s="929">
        <v>130.69999999999999</v>
      </c>
      <c r="I3614" s="929">
        <v>1176.3000000000002</v>
      </c>
      <c r="J3614" s="689">
        <f t="shared" si="57"/>
        <v>130.69999999999982</v>
      </c>
    </row>
    <row r="3615" spans="1:10" ht="12.75" customHeight="1" x14ac:dyDescent="0.2">
      <c r="A3615" s="681" t="s">
        <v>2370</v>
      </c>
      <c r="B3615" s="693" t="s">
        <v>6174</v>
      </c>
      <c r="C3615" s="672" t="s">
        <v>791</v>
      </c>
      <c r="D3615" s="673">
        <v>39864</v>
      </c>
      <c r="E3615" s="674">
        <v>10</v>
      </c>
      <c r="F3615" s="675">
        <v>0.1</v>
      </c>
      <c r="G3615" s="676">
        <v>1322</v>
      </c>
      <c r="H3615" s="929">
        <v>132.19999999999999</v>
      </c>
      <c r="I3615" s="929">
        <v>1189.8000000000002</v>
      </c>
      <c r="J3615" s="689">
        <f t="shared" si="57"/>
        <v>132.19999999999982</v>
      </c>
    </row>
    <row r="3616" spans="1:10" ht="12.75" customHeight="1" x14ac:dyDescent="0.2">
      <c r="A3616" s="681" t="s">
        <v>2370</v>
      </c>
      <c r="B3616" s="693" t="s">
        <v>6175</v>
      </c>
      <c r="C3616" s="672" t="s">
        <v>925</v>
      </c>
      <c r="D3616" s="673">
        <v>39864</v>
      </c>
      <c r="E3616" s="674">
        <v>10</v>
      </c>
      <c r="F3616" s="675">
        <v>0.1</v>
      </c>
      <c r="G3616" s="676">
        <v>1322</v>
      </c>
      <c r="H3616" s="929">
        <v>132.19999999999999</v>
      </c>
      <c r="I3616" s="929">
        <v>1189.8000000000002</v>
      </c>
      <c r="J3616" s="689">
        <f t="shared" si="57"/>
        <v>132.19999999999982</v>
      </c>
    </row>
    <row r="3617" spans="1:10" ht="12.75" customHeight="1" x14ac:dyDescent="0.2">
      <c r="A3617" s="681" t="s">
        <v>2370</v>
      </c>
      <c r="B3617" s="693" t="s">
        <v>6176</v>
      </c>
      <c r="C3617" s="672" t="s">
        <v>884</v>
      </c>
      <c r="D3617" s="673">
        <v>39864</v>
      </c>
      <c r="E3617" s="674">
        <v>10</v>
      </c>
      <c r="F3617" s="675">
        <v>0.1</v>
      </c>
      <c r="G3617" s="676">
        <v>1376</v>
      </c>
      <c r="H3617" s="929">
        <v>137.6</v>
      </c>
      <c r="I3617" s="929">
        <v>1238.3999999999999</v>
      </c>
      <c r="J3617" s="689">
        <f t="shared" si="57"/>
        <v>137.60000000000014</v>
      </c>
    </row>
    <row r="3618" spans="1:10" ht="12.75" customHeight="1" x14ac:dyDescent="0.2">
      <c r="A3618" s="681" t="s">
        <v>2370</v>
      </c>
      <c r="B3618" s="693" t="s">
        <v>6177</v>
      </c>
      <c r="C3618" s="672" t="s">
        <v>884</v>
      </c>
      <c r="D3618" s="673">
        <v>39864</v>
      </c>
      <c r="E3618" s="674">
        <v>10</v>
      </c>
      <c r="F3618" s="675">
        <v>0.1</v>
      </c>
      <c r="G3618" s="676">
        <v>1376</v>
      </c>
      <c r="H3618" s="929">
        <v>137.6</v>
      </c>
      <c r="I3618" s="929">
        <v>1238.3999999999999</v>
      </c>
      <c r="J3618" s="689">
        <f t="shared" si="57"/>
        <v>137.60000000000014</v>
      </c>
    </row>
    <row r="3619" spans="1:10" ht="12.75" customHeight="1" x14ac:dyDescent="0.2">
      <c r="A3619" s="681" t="s">
        <v>2370</v>
      </c>
      <c r="B3619" s="693" t="s">
        <v>6178</v>
      </c>
      <c r="C3619" s="672" t="s">
        <v>786</v>
      </c>
      <c r="D3619" s="673">
        <v>39864</v>
      </c>
      <c r="E3619" s="674">
        <v>10</v>
      </c>
      <c r="F3619" s="675">
        <v>0.1</v>
      </c>
      <c r="G3619" s="676">
        <v>1380</v>
      </c>
      <c r="H3619" s="929">
        <v>138</v>
      </c>
      <c r="I3619" s="929">
        <v>1242</v>
      </c>
      <c r="J3619" s="689">
        <f t="shared" si="57"/>
        <v>138</v>
      </c>
    </row>
    <row r="3620" spans="1:10" ht="12.75" customHeight="1" x14ac:dyDescent="0.2">
      <c r="A3620" s="681" t="s">
        <v>2370</v>
      </c>
      <c r="B3620" s="693" t="s">
        <v>6179</v>
      </c>
      <c r="C3620" s="672" t="s">
        <v>791</v>
      </c>
      <c r="D3620" s="673">
        <v>39864</v>
      </c>
      <c r="E3620" s="674">
        <v>10</v>
      </c>
      <c r="F3620" s="675">
        <v>0.1</v>
      </c>
      <c r="G3620" s="676">
        <v>1702</v>
      </c>
      <c r="H3620" s="929">
        <v>170.20000000000002</v>
      </c>
      <c r="I3620" s="929">
        <v>1531.8000000000002</v>
      </c>
      <c r="J3620" s="689">
        <f t="shared" si="57"/>
        <v>170.19999999999982</v>
      </c>
    </row>
    <row r="3621" spans="1:10" ht="12.75" customHeight="1" x14ac:dyDescent="0.2">
      <c r="A3621" s="681" t="s">
        <v>2370</v>
      </c>
      <c r="B3621" s="693" t="s">
        <v>6180</v>
      </c>
      <c r="C3621" s="672" t="s">
        <v>791</v>
      </c>
      <c r="D3621" s="673">
        <v>39864</v>
      </c>
      <c r="E3621" s="674">
        <v>10</v>
      </c>
      <c r="F3621" s="675">
        <v>0.1</v>
      </c>
      <c r="G3621" s="676">
        <v>1702</v>
      </c>
      <c r="H3621" s="929">
        <v>170.20000000000002</v>
      </c>
      <c r="I3621" s="929">
        <v>1531.8000000000002</v>
      </c>
      <c r="J3621" s="689">
        <f t="shared" si="57"/>
        <v>170.19999999999982</v>
      </c>
    </row>
    <row r="3622" spans="1:10" ht="12.75" customHeight="1" x14ac:dyDescent="0.2">
      <c r="A3622" s="681" t="s">
        <v>2370</v>
      </c>
      <c r="B3622" s="693" t="s">
        <v>6181</v>
      </c>
      <c r="C3622" s="672" t="s">
        <v>791</v>
      </c>
      <c r="D3622" s="673">
        <v>39864</v>
      </c>
      <c r="E3622" s="674">
        <v>10</v>
      </c>
      <c r="F3622" s="675">
        <v>0.1</v>
      </c>
      <c r="G3622" s="676">
        <v>1702</v>
      </c>
      <c r="H3622" s="929">
        <v>170.20000000000002</v>
      </c>
      <c r="I3622" s="929">
        <v>1531.8000000000002</v>
      </c>
      <c r="J3622" s="689">
        <f t="shared" si="57"/>
        <v>170.19999999999982</v>
      </c>
    </row>
    <row r="3623" spans="1:10" ht="12.75" customHeight="1" x14ac:dyDescent="0.2">
      <c r="A3623" s="681" t="s">
        <v>2370</v>
      </c>
      <c r="B3623" s="693" t="s">
        <v>6182</v>
      </c>
      <c r="C3623" s="672" t="s">
        <v>791</v>
      </c>
      <c r="D3623" s="673">
        <v>39864</v>
      </c>
      <c r="E3623" s="674">
        <v>10</v>
      </c>
      <c r="F3623" s="675">
        <v>0.1</v>
      </c>
      <c r="G3623" s="676">
        <v>1702</v>
      </c>
      <c r="H3623" s="929">
        <v>170.20000000000002</v>
      </c>
      <c r="I3623" s="929">
        <v>1531.8000000000002</v>
      </c>
      <c r="J3623" s="689">
        <f t="shared" si="57"/>
        <v>170.19999999999982</v>
      </c>
    </row>
    <row r="3624" spans="1:10" ht="12.75" customHeight="1" x14ac:dyDescent="0.2">
      <c r="A3624" s="681" t="s">
        <v>2370</v>
      </c>
      <c r="B3624" s="693" t="s">
        <v>6183</v>
      </c>
      <c r="C3624" s="672" t="s">
        <v>786</v>
      </c>
      <c r="D3624" s="673">
        <v>39864</v>
      </c>
      <c r="E3624" s="674">
        <v>10</v>
      </c>
      <c r="F3624" s="675">
        <v>0.1</v>
      </c>
      <c r="G3624" s="676">
        <v>1719</v>
      </c>
      <c r="H3624" s="929">
        <v>171.89999999999998</v>
      </c>
      <c r="I3624" s="929">
        <v>1547.1000000000004</v>
      </c>
      <c r="J3624" s="689">
        <f t="shared" si="57"/>
        <v>171.89999999999964</v>
      </c>
    </row>
    <row r="3625" spans="1:10" ht="12.75" customHeight="1" x14ac:dyDescent="0.2">
      <c r="A3625" s="681" t="s">
        <v>2370</v>
      </c>
      <c r="B3625" s="693" t="s">
        <v>6184</v>
      </c>
      <c r="C3625" s="672" t="s">
        <v>785</v>
      </c>
      <c r="D3625" s="673">
        <v>39864</v>
      </c>
      <c r="E3625" s="674">
        <v>10</v>
      </c>
      <c r="F3625" s="675">
        <v>0.1</v>
      </c>
      <c r="G3625" s="676">
        <v>1840</v>
      </c>
      <c r="H3625" s="929">
        <v>184.00000000000003</v>
      </c>
      <c r="I3625" s="929">
        <v>1656</v>
      </c>
      <c r="J3625" s="689">
        <f t="shared" si="57"/>
        <v>184</v>
      </c>
    </row>
    <row r="3626" spans="1:10" ht="12.75" customHeight="1" x14ac:dyDescent="0.2">
      <c r="A3626" s="681" t="s">
        <v>2370</v>
      </c>
      <c r="B3626" s="693" t="s">
        <v>6185</v>
      </c>
      <c r="C3626" s="672" t="s">
        <v>786</v>
      </c>
      <c r="D3626" s="673">
        <v>39864</v>
      </c>
      <c r="E3626" s="674">
        <v>10</v>
      </c>
      <c r="F3626" s="675">
        <v>0.1</v>
      </c>
      <c r="G3626" s="676">
        <v>1863</v>
      </c>
      <c r="H3626" s="929">
        <v>186.30000000000004</v>
      </c>
      <c r="I3626" s="929">
        <v>1676.6999999999998</v>
      </c>
      <c r="J3626" s="689">
        <f t="shared" si="57"/>
        <v>186.30000000000018</v>
      </c>
    </row>
    <row r="3627" spans="1:10" ht="12.75" customHeight="1" x14ac:dyDescent="0.2">
      <c r="A3627" s="681" t="s">
        <v>2370</v>
      </c>
      <c r="B3627" s="693" t="s">
        <v>6186</v>
      </c>
      <c r="C3627" s="672" t="s">
        <v>790</v>
      </c>
      <c r="D3627" s="673">
        <v>39864</v>
      </c>
      <c r="E3627" s="674">
        <v>10</v>
      </c>
      <c r="F3627" s="675">
        <v>0.1</v>
      </c>
      <c r="G3627" s="676">
        <v>1898</v>
      </c>
      <c r="H3627" s="929">
        <v>189.79999999999998</v>
      </c>
      <c r="I3627" s="929">
        <v>1708.1999999999998</v>
      </c>
      <c r="J3627" s="689">
        <f t="shared" si="57"/>
        <v>189.80000000000018</v>
      </c>
    </row>
    <row r="3628" spans="1:10" ht="12.75" customHeight="1" x14ac:dyDescent="0.2">
      <c r="A3628" s="681" t="s">
        <v>2370</v>
      </c>
      <c r="B3628" s="693" t="s">
        <v>6187</v>
      </c>
      <c r="C3628" s="672" t="s">
        <v>790</v>
      </c>
      <c r="D3628" s="673">
        <v>39864</v>
      </c>
      <c r="E3628" s="674">
        <v>10</v>
      </c>
      <c r="F3628" s="675">
        <v>0.1</v>
      </c>
      <c r="G3628" s="676">
        <v>1898</v>
      </c>
      <c r="H3628" s="929">
        <v>189.79999999999998</v>
      </c>
      <c r="I3628" s="929">
        <v>1708.1999999999998</v>
      </c>
      <c r="J3628" s="689">
        <f t="shared" si="57"/>
        <v>189.80000000000018</v>
      </c>
    </row>
    <row r="3629" spans="1:10" ht="12.75" customHeight="1" x14ac:dyDescent="0.2">
      <c r="A3629" s="681" t="s">
        <v>2370</v>
      </c>
      <c r="B3629" s="693" t="s">
        <v>6188</v>
      </c>
      <c r="C3629" s="672" t="s">
        <v>790</v>
      </c>
      <c r="D3629" s="673">
        <v>39864</v>
      </c>
      <c r="E3629" s="674">
        <v>10</v>
      </c>
      <c r="F3629" s="675">
        <v>0.1</v>
      </c>
      <c r="G3629" s="676">
        <v>1898</v>
      </c>
      <c r="H3629" s="929">
        <v>189.79999999999998</v>
      </c>
      <c r="I3629" s="929">
        <v>1708.1999999999998</v>
      </c>
      <c r="J3629" s="689">
        <f t="shared" si="57"/>
        <v>189.80000000000018</v>
      </c>
    </row>
    <row r="3630" spans="1:10" ht="12.75" customHeight="1" x14ac:dyDescent="0.2">
      <c r="A3630" s="681" t="s">
        <v>2370</v>
      </c>
      <c r="B3630" s="693" t="s">
        <v>6189</v>
      </c>
      <c r="C3630" s="672" t="s">
        <v>786</v>
      </c>
      <c r="D3630" s="673">
        <v>39864</v>
      </c>
      <c r="E3630" s="674">
        <v>10</v>
      </c>
      <c r="F3630" s="675">
        <v>0.1</v>
      </c>
      <c r="G3630" s="676">
        <v>1955</v>
      </c>
      <c r="H3630" s="929">
        <v>195.49999999999997</v>
      </c>
      <c r="I3630" s="929">
        <v>1759.5</v>
      </c>
      <c r="J3630" s="689">
        <f t="shared" si="57"/>
        <v>195.5</v>
      </c>
    </row>
    <row r="3631" spans="1:10" ht="12.75" customHeight="1" x14ac:dyDescent="0.2">
      <c r="A3631" s="681" t="s">
        <v>2370</v>
      </c>
      <c r="B3631" s="693" t="s">
        <v>6190</v>
      </c>
      <c r="C3631" s="672" t="s">
        <v>790</v>
      </c>
      <c r="D3631" s="673">
        <v>39864</v>
      </c>
      <c r="E3631" s="674">
        <v>10</v>
      </c>
      <c r="F3631" s="675">
        <v>0.1</v>
      </c>
      <c r="G3631" s="676">
        <v>2012</v>
      </c>
      <c r="H3631" s="929">
        <v>201.19999999999993</v>
      </c>
      <c r="I3631" s="929">
        <v>1810.7999999999997</v>
      </c>
      <c r="J3631" s="689">
        <f t="shared" si="57"/>
        <v>201.20000000000027</v>
      </c>
    </row>
    <row r="3632" spans="1:10" ht="12.75" customHeight="1" x14ac:dyDescent="0.2">
      <c r="A3632" s="681" t="s">
        <v>2370</v>
      </c>
      <c r="B3632" s="693" t="s">
        <v>6191</v>
      </c>
      <c r="C3632" s="672" t="s">
        <v>864</v>
      </c>
      <c r="D3632" s="673">
        <v>39864</v>
      </c>
      <c r="E3632" s="674">
        <v>10</v>
      </c>
      <c r="F3632" s="675">
        <v>0.1</v>
      </c>
      <c r="G3632" s="676">
        <v>2178</v>
      </c>
      <c r="H3632" s="929">
        <v>217.80000000000004</v>
      </c>
      <c r="I3632" s="929">
        <v>1960.1999999999998</v>
      </c>
      <c r="J3632" s="689">
        <f t="shared" si="57"/>
        <v>217.80000000000018</v>
      </c>
    </row>
    <row r="3633" spans="1:10" ht="12.75" customHeight="1" x14ac:dyDescent="0.2">
      <c r="A3633" s="681" t="s">
        <v>2370</v>
      </c>
      <c r="B3633" s="693" t="s">
        <v>6192</v>
      </c>
      <c r="C3633" s="672" t="s">
        <v>864</v>
      </c>
      <c r="D3633" s="673">
        <v>39864</v>
      </c>
      <c r="E3633" s="674">
        <v>10</v>
      </c>
      <c r="F3633" s="675">
        <v>0.1</v>
      </c>
      <c r="G3633" s="676">
        <v>2178</v>
      </c>
      <c r="H3633" s="929">
        <v>217.80000000000004</v>
      </c>
      <c r="I3633" s="929">
        <v>1960.1999999999998</v>
      </c>
      <c r="J3633" s="689">
        <f t="shared" si="57"/>
        <v>217.80000000000018</v>
      </c>
    </row>
    <row r="3634" spans="1:10" ht="12.75" customHeight="1" x14ac:dyDescent="0.2">
      <c r="A3634" s="681" t="s">
        <v>2370</v>
      </c>
      <c r="B3634" s="693" t="s">
        <v>6193</v>
      </c>
      <c r="C3634" s="672" t="s">
        <v>786</v>
      </c>
      <c r="D3634" s="673">
        <v>39864</v>
      </c>
      <c r="E3634" s="674">
        <v>10</v>
      </c>
      <c r="F3634" s="675">
        <v>0.1</v>
      </c>
      <c r="G3634" s="676">
        <v>2277</v>
      </c>
      <c r="H3634" s="929">
        <v>227.69999999999996</v>
      </c>
      <c r="I3634" s="929">
        <v>2049.3000000000002</v>
      </c>
      <c r="J3634" s="689">
        <f t="shared" si="57"/>
        <v>227.69999999999982</v>
      </c>
    </row>
    <row r="3635" spans="1:10" ht="12.75" customHeight="1" x14ac:dyDescent="0.2">
      <c r="A3635" s="681" t="s">
        <v>2370</v>
      </c>
      <c r="B3635" s="693" t="s">
        <v>6194</v>
      </c>
      <c r="C3635" s="672" t="s">
        <v>786</v>
      </c>
      <c r="D3635" s="673">
        <v>39864</v>
      </c>
      <c r="E3635" s="674">
        <v>10</v>
      </c>
      <c r="F3635" s="675">
        <v>0.1</v>
      </c>
      <c r="G3635" s="676">
        <v>2277</v>
      </c>
      <c r="H3635" s="929">
        <v>227.69999999999996</v>
      </c>
      <c r="I3635" s="929">
        <v>2049.3000000000002</v>
      </c>
      <c r="J3635" s="689">
        <f t="shared" si="57"/>
        <v>227.69999999999982</v>
      </c>
    </row>
    <row r="3636" spans="1:10" ht="12.75" customHeight="1" x14ac:dyDescent="0.2">
      <c r="A3636" s="681" t="s">
        <v>2370</v>
      </c>
      <c r="B3636" s="693" t="s">
        <v>6195</v>
      </c>
      <c r="C3636" s="672" t="s">
        <v>786</v>
      </c>
      <c r="D3636" s="673">
        <v>39864</v>
      </c>
      <c r="E3636" s="674">
        <v>10</v>
      </c>
      <c r="F3636" s="675">
        <v>0.1</v>
      </c>
      <c r="G3636" s="676">
        <v>2321</v>
      </c>
      <c r="H3636" s="929">
        <v>232.1</v>
      </c>
      <c r="I3636" s="929">
        <v>2088.8999999999996</v>
      </c>
      <c r="J3636" s="689">
        <f t="shared" si="57"/>
        <v>232.10000000000036</v>
      </c>
    </row>
    <row r="3637" spans="1:10" ht="12.75" customHeight="1" x14ac:dyDescent="0.2">
      <c r="A3637" s="681" t="s">
        <v>2370</v>
      </c>
      <c r="B3637" s="693" t="s">
        <v>6196</v>
      </c>
      <c r="C3637" s="672" t="s">
        <v>786</v>
      </c>
      <c r="D3637" s="673">
        <v>39864</v>
      </c>
      <c r="E3637" s="674">
        <v>10</v>
      </c>
      <c r="F3637" s="675">
        <v>0.1</v>
      </c>
      <c r="G3637" s="676">
        <v>2321</v>
      </c>
      <c r="H3637" s="929">
        <v>232.1</v>
      </c>
      <c r="I3637" s="929">
        <v>2088.8999999999996</v>
      </c>
      <c r="J3637" s="689">
        <f t="shared" si="57"/>
        <v>232.10000000000036</v>
      </c>
    </row>
    <row r="3638" spans="1:10" ht="12.75" customHeight="1" x14ac:dyDescent="0.2">
      <c r="A3638" s="681" t="s">
        <v>2370</v>
      </c>
      <c r="B3638" s="693" t="s">
        <v>6197</v>
      </c>
      <c r="C3638" s="672" t="s">
        <v>953</v>
      </c>
      <c r="D3638" s="673">
        <v>39864</v>
      </c>
      <c r="E3638" s="674">
        <v>10</v>
      </c>
      <c r="F3638" s="675">
        <v>0.1</v>
      </c>
      <c r="G3638" s="676">
        <v>2409</v>
      </c>
      <c r="H3638" s="929">
        <v>240.89999999999995</v>
      </c>
      <c r="I3638" s="929">
        <v>2168.1</v>
      </c>
      <c r="J3638" s="689">
        <f t="shared" si="57"/>
        <v>240.90000000000009</v>
      </c>
    </row>
    <row r="3639" spans="1:10" ht="12.75" customHeight="1" x14ac:dyDescent="0.2">
      <c r="A3639" s="681" t="s">
        <v>2370</v>
      </c>
      <c r="B3639" s="693" t="s">
        <v>6198</v>
      </c>
      <c r="C3639" s="672" t="s">
        <v>953</v>
      </c>
      <c r="D3639" s="673">
        <v>39864</v>
      </c>
      <c r="E3639" s="674">
        <v>10</v>
      </c>
      <c r="F3639" s="675">
        <v>0.1</v>
      </c>
      <c r="G3639" s="676">
        <v>2409</v>
      </c>
      <c r="H3639" s="929">
        <v>240.89999999999995</v>
      </c>
      <c r="I3639" s="929">
        <v>2168.1</v>
      </c>
      <c r="J3639" s="689">
        <f t="shared" si="57"/>
        <v>240.90000000000009</v>
      </c>
    </row>
    <row r="3640" spans="1:10" ht="12.75" customHeight="1" x14ac:dyDescent="0.2">
      <c r="A3640" s="681" t="s">
        <v>2370</v>
      </c>
      <c r="B3640" s="693" t="s">
        <v>6199</v>
      </c>
      <c r="C3640" s="672" t="s">
        <v>954</v>
      </c>
      <c r="D3640" s="673">
        <v>39864</v>
      </c>
      <c r="E3640" s="674">
        <v>10</v>
      </c>
      <c r="F3640" s="675">
        <v>0.1</v>
      </c>
      <c r="G3640" s="676">
        <v>2409</v>
      </c>
      <c r="H3640" s="929">
        <v>240.89999999999995</v>
      </c>
      <c r="I3640" s="929">
        <v>2168.1</v>
      </c>
      <c r="J3640" s="689">
        <f t="shared" si="57"/>
        <v>240.90000000000009</v>
      </c>
    </row>
    <row r="3641" spans="1:10" ht="12.75" customHeight="1" x14ac:dyDescent="0.2">
      <c r="A3641" s="681" t="s">
        <v>2370</v>
      </c>
      <c r="B3641" s="693" t="s">
        <v>6200</v>
      </c>
      <c r="C3641" s="672" t="s">
        <v>954</v>
      </c>
      <c r="D3641" s="673">
        <v>39864</v>
      </c>
      <c r="E3641" s="674">
        <v>10</v>
      </c>
      <c r="F3641" s="675">
        <v>0.1</v>
      </c>
      <c r="G3641" s="676">
        <v>2409</v>
      </c>
      <c r="H3641" s="929">
        <v>240.89999999999995</v>
      </c>
      <c r="I3641" s="929">
        <v>2168.1</v>
      </c>
      <c r="J3641" s="689">
        <f t="shared" si="57"/>
        <v>240.90000000000009</v>
      </c>
    </row>
    <row r="3642" spans="1:10" ht="12.75" customHeight="1" x14ac:dyDescent="0.2">
      <c r="A3642" s="681" t="s">
        <v>2370</v>
      </c>
      <c r="B3642" s="693" t="s">
        <v>6201</v>
      </c>
      <c r="C3642" s="672" t="s">
        <v>955</v>
      </c>
      <c r="D3642" s="673">
        <v>39864</v>
      </c>
      <c r="E3642" s="674">
        <v>10</v>
      </c>
      <c r="F3642" s="675">
        <v>0.1</v>
      </c>
      <c r="G3642" s="676">
        <v>2409</v>
      </c>
      <c r="H3642" s="929">
        <v>240.89999999999995</v>
      </c>
      <c r="I3642" s="929">
        <v>2168.1</v>
      </c>
      <c r="J3642" s="689">
        <f t="shared" si="57"/>
        <v>240.90000000000009</v>
      </c>
    </row>
    <row r="3643" spans="1:10" ht="12.75" customHeight="1" x14ac:dyDescent="0.2">
      <c r="A3643" s="681" t="s">
        <v>2370</v>
      </c>
      <c r="B3643" s="693" t="s">
        <v>6202</v>
      </c>
      <c r="C3643" s="672" t="s">
        <v>955</v>
      </c>
      <c r="D3643" s="673">
        <v>39864</v>
      </c>
      <c r="E3643" s="674">
        <v>10</v>
      </c>
      <c r="F3643" s="675">
        <v>0.1</v>
      </c>
      <c r="G3643" s="676">
        <v>2409</v>
      </c>
      <c r="H3643" s="929">
        <v>240.89999999999995</v>
      </c>
      <c r="I3643" s="929">
        <v>2168.1</v>
      </c>
      <c r="J3643" s="689">
        <f t="shared" si="57"/>
        <v>240.90000000000009</v>
      </c>
    </row>
    <row r="3644" spans="1:10" ht="12.75" customHeight="1" x14ac:dyDescent="0.2">
      <c r="A3644" s="681" t="s">
        <v>2370</v>
      </c>
      <c r="B3644" s="693" t="s">
        <v>6203</v>
      </c>
      <c r="C3644" s="672" t="s">
        <v>956</v>
      </c>
      <c r="D3644" s="673">
        <v>39864</v>
      </c>
      <c r="E3644" s="674">
        <v>10</v>
      </c>
      <c r="F3644" s="675">
        <v>0.1</v>
      </c>
      <c r="G3644" s="676">
        <v>2409</v>
      </c>
      <c r="H3644" s="929">
        <v>240.89999999999995</v>
      </c>
      <c r="I3644" s="929">
        <v>2168.1</v>
      </c>
      <c r="J3644" s="689">
        <f t="shared" si="57"/>
        <v>240.90000000000009</v>
      </c>
    </row>
    <row r="3645" spans="1:10" ht="12.75" customHeight="1" x14ac:dyDescent="0.2">
      <c r="A3645" s="681" t="s">
        <v>2370</v>
      </c>
      <c r="B3645" s="693" t="s">
        <v>6204</v>
      </c>
      <c r="C3645" s="672" t="s">
        <v>956</v>
      </c>
      <c r="D3645" s="673">
        <v>39864</v>
      </c>
      <c r="E3645" s="674">
        <v>10</v>
      </c>
      <c r="F3645" s="675">
        <v>0.1</v>
      </c>
      <c r="G3645" s="676">
        <v>2409</v>
      </c>
      <c r="H3645" s="929">
        <v>240.89999999999995</v>
      </c>
      <c r="I3645" s="929">
        <v>2168.1</v>
      </c>
      <c r="J3645" s="689">
        <f t="shared" si="57"/>
        <v>240.90000000000009</v>
      </c>
    </row>
    <row r="3646" spans="1:10" ht="12.75" customHeight="1" x14ac:dyDescent="0.2">
      <c r="A3646" s="681" t="s">
        <v>2370</v>
      </c>
      <c r="B3646" s="693" t="s">
        <v>6205</v>
      </c>
      <c r="C3646" s="672" t="s">
        <v>957</v>
      </c>
      <c r="D3646" s="673">
        <v>39864</v>
      </c>
      <c r="E3646" s="674">
        <v>10</v>
      </c>
      <c r="F3646" s="675">
        <v>0.1</v>
      </c>
      <c r="G3646" s="676">
        <v>2409</v>
      </c>
      <c r="H3646" s="929">
        <v>240.89999999999995</v>
      </c>
      <c r="I3646" s="929">
        <v>2168.1</v>
      </c>
      <c r="J3646" s="689">
        <f t="shared" si="57"/>
        <v>240.90000000000009</v>
      </c>
    </row>
    <row r="3647" spans="1:10" ht="12.75" customHeight="1" x14ac:dyDescent="0.2">
      <c r="A3647" s="681" t="s">
        <v>2370</v>
      </c>
      <c r="B3647" s="693" t="s">
        <v>6206</v>
      </c>
      <c r="C3647" s="672" t="s">
        <v>957</v>
      </c>
      <c r="D3647" s="673">
        <v>39864</v>
      </c>
      <c r="E3647" s="674">
        <v>10</v>
      </c>
      <c r="F3647" s="675">
        <v>0.1</v>
      </c>
      <c r="G3647" s="676">
        <v>2409</v>
      </c>
      <c r="H3647" s="929">
        <v>240.89999999999995</v>
      </c>
      <c r="I3647" s="929">
        <v>2168.1</v>
      </c>
      <c r="J3647" s="689">
        <f t="shared" si="57"/>
        <v>240.90000000000009</v>
      </c>
    </row>
    <row r="3648" spans="1:10" ht="12.75" customHeight="1" x14ac:dyDescent="0.2">
      <c r="A3648" s="681" t="s">
        <v>2370</v>
      </c>
      <c r="B3648" s="693" t="s">
        <v>6207</v>
      </c>
      <c r="C3648" s="672" t="s">
        <v>958</v>
      </c>
      <c r="D3648" s="673">
        <v>39864</v>
      </c>
      <c r="E3648" s="674">
        <v>10</v>
      </c>
      <c r="F3648" s="675">
        <v>0.1</v>
      </c>
      <c r="G3648" s="676">
        <v>2409</v>
      </c>
      <c r="H3648" s="929">
        <v>240.89999999999995</v>
      </c>
      <c r="I3648" s="929">
        <v>2168.1</v>
      </c>
      <c r="J3648" s="689">
        <f t="shared" si="57"/>
        <v>240.90000000000009</v>
      </c>
    </row>
    <row r="3649" spans="1:10" ht="12.75" customHeight="1" x14ac:dyDescent="0.2">
      <c r="A3649" s="681" t="s">
        <v>2370</v>
      </c>
      <c r="B3649" s="693" t="s">
        <v>6208</v>
      </c>
      <c r="C3649" s="672" t="s">
        <v>958</v>
      </c>
      <c r="D3649" s="673">
        <v>39864</v>
      </c>
      <c r="E3649" s="674">
        <v>10</v>
      </c>
      <c r="F3649" s="675">
        <v>0.1</v>
      </c>
      <c r="G3649" s="676">
        <v>2409</v>
      </c>
      <c r="H3649" s="929">
        <v>240.89999999999995</v>
      </c>
      <c r="I3649" s="929">
        <v>2168.1</v>
      </c>
      <c r="J3649" s="689">
        <f t="shared" si="57"/>
        <v>240.90000000000009</v>
      </c>
    </row>
    <row r="3650" spans="1:10" ht="12.75" customHeight="1" x14ac:dyDescent="0.2">
      <c r="A3650" s="681" t="s">
        <v>2370</v>
      </c>
      <c r="B3650" s="693" t="s">
        <v>6209</v>
      </c>
      <c r="C3650" s="672" t="s">
        <v>959</v>
      </c>
      <c r="D3650" s="673">
        <v>39864</v>
      </c>
      <c r="E3650" s="674">
        <v>10</v>
      </c>
      <c r="F3650" s="675">
        <v>0.1</v>
      </c>
      <c r="G3650" s="676">
        <v>2409</v>
      </c>
      <c r="H3650" s="929">
        <v>240.89999999999995</v>
      </c>
      <c r="I3650" s="929">
        <v>2168.1</v>
      </c>
      <c r="J3650" s="689">
        <f t="shared" si="57"/>
        <v>240.90000000000009</v>
      </c>
    </row>
    <row r="3651" spans="1:10" ht="12.75" customHeight="1" x14ac:dyDescent="0.2">
      <c r="A3651" s="681" t="s">
        <v>2370</v>
      </c>
      <c r="B3651" s="693" t="s">
        <v>6210</v>
      </c>
      <c r="C3651" s="672" t="s">
        <v>959</v>
      </c>
      <c r="D3651" s="673">
        <v>39864</v>
      </c>
      <c r="E3651" s="674">
        <v>10</v>
      </c>
      <c r="F3651" s="675">
        <v>0.1</v>
      </c>
      <c r="G3651" s="676">
        <v>2409</v>
      </c>
      <c r="H3651" s="929">
        <v>240.89999999999995</v>
      </c>
      <c r="I3651" s="929">
        <v>2168.1</v>
      </c>
      <c r="J3651" s="689">
        <f t="shared" si="57"/>
        <v>240.90000000000009</v>
      </c>
    </row>
    <row r="3652" spans="1:10" ht="12.75" customHeight="1" x14ac:dyDescent="0.2">
      <c r="A3652" s="681" t="s">
        <v>2370</v>
      </c>
      <c r="B3652" s="693" t="s">
        <v>6211</v>
      </c>
      <c r="C3652" s="672" t="s">
        <v>960</v>
      </c>
      <c r="D3652" s="673">
        <v>39864</v>
      </c>
      <c r="E3652" s="674">
        <v>10</v>
      </c>
      <c r="F3652" s="675">
        <v>0.1</v>
      </c>
      <c r="G3652" s="676">
        <v>2409</v>
      </c>
      <c r="H3652" s="929">
        <v>240.89999999999995</v>
      </c>
      <c r="I3652" s="929">
        <v>2168.1</v>
      </c>
      <c r="J3652" s="689">
        <f t="shared" si="57"/>
        <v>240.90000000000009</v>
      </c>
    </row>
    <row r="3653" spans="1:10" ht="12.75" customHeight="1" x14ac:dyDescent="0.2">
      <c r="A3653" s="681" t="s">
        <v>2370</v>
      </c>
      <c r="B3653" s="693" t="s">
        <v>6212</v>
      </c>
      <c r="C3653" s="672" t="s">
        <v>960</v>
      </c>
      <c r="D3653" s="673">
        <v>39864</v>
      </c>
      <c r="E3653" s="674">
        <v>10</v>
      </c>
      <c r="F3653" s="675">
        <v>0.1</v>
      </c>
      <c r="G3653" s="676">
        <v>2409</v>
      </c>
      <c r="H3653" s="929">
        <v>240.89999999999995</v>
      </c>
      <c r="I3653" s="929">
        <v>2168.1</v>
      </c>
      <c r="J3653" s="689">
        <f t="shared" si="57"/>
        <v>240.90000000000009</v>
      </c>
    </row>
    <row r="3654" spans="1:10" ht="12.75" customHeight="1" x14ac:dyDescent="0.2">
      <c r="A3654" s="681" t="s">
        <v>2370</v>
      </c>
      <c r="B3654" s="693" t="s">
        <v>6213</v>
      </c>
      <c r="C3654" s="672" t="s">
        <v>961</v>
      </c>
      <c r="D3654" s="673">
        <v>39864</v>
      </c>
      <c r="E3654" s="674">
        <v>10</v>
      </c>
      <c r="F3654" s="675">
        <v>0.1</v>
      </c>
      <c r="G3654" s="676">
        <v>2409</v>
      </c>
      <c r="H3654" s="929">
        <v>240.89999999999995</v>
      </c>
      <c r="I3654" s="929">
        <v>2168.1</v>
      </c>
      <c r="J3654" s="689">
        <f t="shared" si="57"/>
        <v>240.90000000000009</v>
      </c>
    </row>
    <row r="3655" spans="1:10" ht="12.75" customHeight="1" x14ac:dyDescent="0.2">
      <c r="A3655" s="681" t="s">
        <v>2370</v>
      </c>
      <c r="B3655" s="693" t="s">
        <v>6214</v>
      </c>
      <c r="C3655" s="672" t="s">
        <v>961</v>
      </c>
      <c r="D3655" s="673">
        <v>39864</v>
      </c>
      <c r="E3655" s="674">
        <v>10</v>
      </c>
      <c r="F3655" s="675">
        <v>0.1</v>
      </c>
      <c r="G3655" s="676">
        <v>2409</v>
      </c>
      <c r="H3655" s="929">
        <v>240.89999999999995</v>
      </c>
      <c r="I3655" s="929">
        <v>2168.1</v>
      </c>
      <c r="J3655" s="689">
        <f t="shared" ref="J3655:J3718" si="58">G3655-I3655</f>
        <v>240.90000000000009</v>
      </c>
    </row>
    <row r="3656" spans="1:10" ht="12.75" customHeight="1" x14ac:dyDescent="0.2">
      <c r="A3656" s="681" t="s">
        <v>2370</v>
      </c>
      <c r="B3656" s="693" t="s">
        <v>6215</v>
      </c>
      <c r="C3656" s="672" t="s">
        <v>962</v>
      </c>
      <c r="D3656" s="673">
        <v>39864</v>
      </c>
      <c r="E3656" s="674">
        <v>10</v>
      </c>
      <c r="F3656" s="675">
        <v>0.1</v>
      </c>
      <c r="G3656" s="676">
        <v>2409</v>
      </c>
      <c r="H3656" s="929">
        <v>240.89999999999995</v>
      </c>
      <c r="I3656" s="929">
        <v>2168.1</v>
      </c>
      <c r="J3656" s="689">
        <f t="shared" si="58"/>
        <v>240.90000000000009</v>
      </c>
    </row>
    <row r="3657" spans="1:10" ht="12.75" customHeight="1" x14ac:dyDescent="0.2">
      <c r="A3657" s="681" t="s">
        <v>2370</v>
      </c>
      <c r="B3657" s="693" t="s">
        <v>6216</v>
      </c>
      <c r="C3657" s="672" t="s">
        <v>962</v>
      </c>
      <c r="D3657" s="673">
        <v>39864</v>
      </c>
      <c r="E3657" s="674">
        <v>10</v>
      </c>
      <c r="F3657" s="675">
        <v>0.1</v>
      </c>
      <c r="G3657" s="676">
        <v>2409</v>
      </c>
      <c r="H3657" s="929">
        <v>240.89999999999995</v>
      </c>
      <c r="I3657" s="929">
        <v>2168.1</v>
      </c>
      <c r="J3657" s="689">
        <f t="shared" si="58"/>
        <v>240.90000000000009</v>
      </c>
    </row>
    <row r="3658" spans="1:10" ht="12.75" customHeight="1" x14ac:dyDescent="0.2">
      <c r="A3658" s="681" t="s">
        <v>2370</v>
      </c>
      <c r="B3658" s="693" t="s">
        <v>6217</v>
      </c>
      <c r="C3658" s="672" t="s">
        <v>786</v>
      </c>
      <c r="D3658" s="673">
        <v>39864</v>
      </c>
      <c r="E3658" s="674">
        <v>10</v>
      </c>
      <c r="F3658" s="675">
        <v>0.1</v>
      </c>
      <c r="G3658" s="676">
        <v>2415</v>
      </c>
      <c r="H3658" s="929">
        <v>241.5</v>
      </c>
      <c r="I3658" s="929">
        <v>2173.5</v>
      </c>
      <c r="J3658" s="689">
        <f t="shared" si="58"/>
        <v>241.5</v>
      </c>
    </row>
    <row r="3659" spans="1:10" ht="12.75" customHeight="1" x14ac:dyDescent="0.2">
      <c r="A3659" s="681" t="s">
        <v>2370</v>
      </c>
      <c r="B3659" s="693" t="s">
        <v>6218</v>
      </c>
      <c r="C3659" s="672" t="s">
        <v>787</v>
      </c>
      <c r="D3659" s="673">
        <v>39864</v>
      </c>
      <c r="E3659" s="674">
        <v>10</v>
      </c>
      <c r="F3659" s="675">
        <v>0.1</v>
      </c>
      <c r="G3659" s="676">
        <v>2588</v>
      </c>
      <c r="H3659" s="929">
        <v>258.8</v>
      </c>
      <c r="I3659" s="929">
        <v>2329.2000000000003</v>
      </c>
      <c r="J3659" s="689">
        <f t="shared" si="58"/>
        <v>258.79999999999973</v>
      </c>
    </row>
    <row r="3660" spans="1:10" ht="12.75" customHeight="1" x14ac:dyDescent="0.2">
      <c r="A3660" s="681" t="s">
        <v>2370</v>
      </c>
      <c r="B3660" s="693" t="s">
        <v>6219</v>
      </c>
      <c r="C3660" s="672" t="s">
        <v>791</v>
      </c>
      <c r="D3660" s="673">
        <v>39864</v>
      </c>
      <c r="E3660" s="674">
        <v>10</v>
      </c>
      <c r="F3660" s="675">
        <v>0.1</v>
      </c>
      <c r="G3660" s="676">
        <v>2864</v>
      </c>
      <c r="H3660" s="929">
        <v>286.40000000000003</v>
      </c>
      <c r="I3660" s="929">
        <v>2577.6000000000004</v>
      </c>
      <c r="J3660" s="689">
        <f t="shared" si="58"/>
        <v>286.39999999999964</v>
      </c>
    </row>
    <row r="3661" spans="1:10" ht="12.75" customHeight="1" x14ac:dyDescent="0.2">
      <c r="A3661" s="681" t="s">
        <v>2370</v>
      </c>
      <c r="B3661" s="693" t="s">
        <v>6220</v>
      </c>
      <c r="C3661" s="672" t="s">
        <v>791</v>
      </c>
      <c r="D3661" s="673">
        <v>39864</v>
      </c>
      <c r="E3661" s="674">
        <v>10</v>
      </c>
      <c r="F3661" s="675">
        <v>0.1</v>
      </c>
      <c r="G3661" s="676">
        <v>2864</v>
      </c>
      <c r="H3661" s="929">
        <v>286.40000000000003</v>
      </c>
      <c r="I3661" s="929">
        <v>2577.6000000000004</v>
      </c>
      <c r="J3661" s="689">
        <f t="shared" si="58"/>
        <v>286.39999999999964</v>
      </c>
    </row>
    <row r="3662" spans="1:10" ht="12.75" customHeight="1" x14ac:dyDescent="0.2">
      <c r="A3662" s="681" t="s">
        <v>2370</v>
      </c>
      <c r="B3662" s="693" t="s">
        <v>6221</v>
      </c>
      <c r="C3662" s="672" t="s">
        <v>791</v>
      </c>
      <c r="D3662" s="673">
        <v>39864</v>
      </c>
      <c r="E3662" s="674">
        <v>10</v>
      </c>
      <c r="F3662" s="675">
        <v>0.1</v>
      </c>
      <c r="G3662" s="676">
        <v>2864</v>
      </c>
      <c r="H3662" s="929">
        <v>286.40000000000003</v>
      </c>
      <c r="I3662" s="929">
        <v>2577.6000000000004</v>
      </c>
      <c r="J3662" s="689">
        <f t="shared" si="58"/>
        <v>286.39999999999964</v>
      </c>
    </row>
    <row r="3663" spans="1:10" ht="12.75" customHeight="1" x14ac:dyDescent="0.2">
      <c r="A3663" s="681" t="s">
        <v>2370</v>
      </c>
      <c r="B3663" s="693" t="s">
        <v>6222</v>
      </c>
      <c r="C3663" s="672" t="s">
        <v>791</v>
      </c>
      <c r="D3663" s="673">
        <v>39864</v>
      </c>
      <c r="E3663" s="674">
        <v>10</v>
      </c>
      <c r="F3663" s="675">
        <v>0.1</v>
      </c>
      <c r="G3663" s="676">
        <v>2864</v>
      </c>
      <c r="H3663" s="929">
        <v>286.40000000000003</v>
      </c>
      <c r="I3663" s="929">
        <v>2577.6000000000004</v>
      </c>
      <c r="J3663" s="689">
        <f t="shared" si="58"/>
        <v>286.39999999999964</v>
      </c>
    </row>
    <row r="3664" spans="1:10" ht="12.75" customHeight="1" x14ac:dyDescent="0.2">
      <c r="A3664" s="681" t="s">
        <v>2370</v>
      </c>
      <c r="B3664" s="693" t="s">
        <v>6223</v>
      </c>
      <c r="C3664" s="672" t="s">
        <v>791</v>
      </c>
      <c r="D3664" s="673">
        <v>39864</v>
      </c>
      <c r="E3664" s="674">
        <v>10</v>
      </c>
      <c r="F3664" s="675">
        <v>0.1</v>
      </c>
      <c r="G3664" s="676">
        <v>2864</v>
      </c>
      <c r="H3664" s="929">
        <v>286.40000000000003</v>
      </c>
      <c r="I3664" s="929">
        <v>2577.6000000000004</v>
      </c>
      <c r="J3664" s="689">
        <f t="shared" si="58"/>
        <v>286.39999999999964</v>
      </c>
    </row>
    <row r="3665" spans="1:10" ht="12.75" customHeight="1" x14ac:dyDescent="0.2">
      <c r="A3665" s="681" t="s">
        <v>2370</v>
      </c>
      <c r="B3665" s="693" t="s">
        <v>6224</v>
      </c>
      <c r="C3665" s="672" t="s">
        <v>791</v>
      </c>
      <c r="D3665" s="673">
        <v>39864</v>
      </c>
      <c r="E3665" s="674">
        <v>10</v>
      </c>
      <c r="F3665" s="675">
        <v>0.1</v>
      </c>
      <c r="G3665" s="676">
        <v>2864</v>
      </c>
      <c r="H3665" s="929">
        <v>286.40000000000003</v>
      </c>
      <c r="I3665" s="929">
        <v>2577.6000000000004</v>
      </c>
      <c r="J3665" s="689">
        <f t="shared" si="58"/>
        <v>286.39999999999964</v>
      </c>
    </row>
    <row r="3666" spans="1:10" ht="12.75" customHeight="1" x14ac:dyDescent="0.2">
      <c r="A3666" s="681" t="s">
        <v>2370</v>
      </c>
      <c r="B3666" s="693" t="s">
        <v>6225</v>
      </c>
      <c r="C3666" s="672" t="s">
        <v>790</v>
      </c>
      <c r="D3666" s="673">
        <v>39864</v>
      </c>
      <c r="E3666" s="674">
        <v>10</v>
      </c>
      <c r="F3666" s="675">
        <v>0.1</v>
      </c>
      <c r="G3666" s="676">
        <v>2874</v>
      </c>
      <c r="H3666" s="929">
        <v>287.39999999999992</v>
      </c>
      <c r="I3666" s="929">
        <v>2586.6000000000004</v>
      </c>
      <c r="J3666" s="689">
        <f t="shared" si="58"/>
        <v>287.39999999999964</v>
      </c>
    </row>
    <row r="3667" spans="1:10" ht="12.75" customHeight="1" x14ac:dyDescent="0.2">
      <c r="A3667" s="681" t="s">
        <v>2370</v>
      </c>
      <c r="B3667" s="693" t="s">
        <v>6226</v>
      </c>
      <c r="C3667" s="672" t="s">
        <v>790</v>
      </c>
      <c r="D3667" s="673">
        <v>39864</v>
      </c>
      <c r="E3667" s="674">
        <v>10</v>
      </c>
      <c r="F3667" s="675">
        <v>0.1</v>
      </c>
      <c r="G3667" s="676">
        <v>2874</v>
      </c>
      <c r="H3667" s="929">
        <v>287.39999999999992</v>
      </c>
      <c r="I3667" s="929">
        <v>2586.6000000000004</v>
      </c>
      <c r="J3667" s="689">
        <f t="shared" si="58"/>
        <v>287.39999999999964</v>
      </c>
    </row>
    <row r="3668" spans="1:10" ht="12.75" customHeight="1" x14ac:dyDescent="0.2">
      <c r="A3668" s="681" t="s">
        <v>2370</v>
      </c>
      <c r="B3668" s="693" t="s">
        <v>6227</v>
      </c>
      <c r="C3668" s="672" t="s">
        <v>787</v>
      </c>
      <c r="D3668" s="673">
        <v>39864</v>
      </c>
      <c r="E3668" s="674">
        <v>10</v>
      </c>
      <c r="F3668" s="675">
        <v>0.1</v>
      </c>
      <c r="G3668" s="676">
        <v>2875</v>
      </c>
      <c r="H3668" s="929">
        <v>287.5</v>
      </c>
      <c r="I3668" s="929">
        <v>2587.5</v>
      </c>
      <c r="J3668" s="689">
        <f t="shared" si="58"/>
        <v>287.5</v>
      </c>
    </row>
    <row r="3669" spans="1:10" ht="12.75" customHeight="1" x14ac:dyDescent="0.2">
      <c r="A3669" s="681" t="s">
        <v>2370</v>
      </c>
      <c r="B3669" s="693" t="s">
        <v>6228</v>
      </c>
      <c r="C3669" s="672" t="s">
        <v>787</v>
      </c>
      <c r="D3669" s="673">
        <v>39864</v>
      </c>
      <c r="E3669" s="674">
        <v>10</v>
      </c>
      <c r="F3669" s="675">
        <v>0.1</v>
      </c>
      <c r="G3669" s="676">
        <v>2875</v>
      </c>
      <c r="H3669" s="929">
        <v>287.5</v>
      </c>
      <c r="I3669" s="929">
        <v>2587.5</v>
      </c>
      <c r="J3669" s="689">
        <f t="shared" si="58"/>
        <v>287.5</v>
      </c>
    </row>
    <row r="3670" spans="1:10" ht="12.75" customHeight="1" x14ac:dyDescent="0.2">
      <c r="A3670" s="681" t="s">
        <v>2370</v>
      </c>
      <c r="B3670" s="693" t="s">
        <v>6229</v>
      </c>
      <c r="C3670" s="672" t="s">
        <v>787</v>
      </c>
      <c r="D3670" s="673">
        <v>39864</v>
      </c>
      <c r="E3670" s="674">
        <v>10</v>
      </c>
      <c r="F3670" s="675">
        <v>0.1</v>
      </c>
      <c r="G3670" s="676">
        <v>2875</v>
      </c>
      <c r="H3670" s="929">
        <v>287.5</v>
      </c>
      <c r="I3670" s="929">
        <v>2587.5</v>
      </c>
      <c r="J3670" s="689">
        <f t="shared" si="58"/>
        <v>287.5</v>
      </c>
    </row>
    <row r="3671" spans="1:10" ht="12.75" customHeight="1" x14ac:dyDescent="0.2">
      <c r="A3671" s="681" t="s">
        <v>2370</v>
      </c>
      <c r="B3671" s="693" t="s">
        <v>6230</v>
      </c>
      <c r="C3671" s="672" t="s">
        <v>787</v>
      </c>
      <c r="D3671" s="673">
        <v>39864</v>
      </c>
      <c r="E3671" s="674">
        <v>10</v>
      </c>
      <c r="F3671" s="675">
        <v>0.1</v>
      </c>
      <c r="G3671" s="676">
        <v>2875</v>
      </c>
      <c r="H3671" s="929">
        <v>287.5</v>
      </c>
      <c r="I3671" s="929">
        <v>2587.5</v>
      </c>
      <c r="J3671" s="689">
        <f t="shared" si="58"/>
        <v>287.5</v>
      </c>
    </row>
    <row r="3672" spans="1:10" ht="12.75" customHeight="1" x14ac:dyDescent="0.2">
      <c r="A3672" s="681" t="s">
        <v>2370</v>
      </c>
      <c r="B3672" s="693" t="s">
        <v>6231</v>
      </c>
      <c r="C3672" s="672" t="s">
        <v>787</v>
      </c>
      <c r="D3672" s="673">
        <v>39864</v>
      </c>
      <c r="E3672" s="674">
        <v>10</v>
      </c>
      <c r="F3672" s="675">
        <v>0.1</v>
      </c>
      <c r="G3672" s="676">
        <v>2875</v>
      </c>
      <c r="H3672" s="929">
        <v>287.5</v>
      </c>
      <c r="I3672" s="929">
        <v>2587.5</v>
      </c>
      <c r="J3672" s="689">
        <f t="shared" si="58"/>
        <v>287.5</v>
      </c>
    </row>
    <row r="3673" spans="1:10" ht="12.75" customHeight="1" x14ac:dyDescent="0.2">
      <c r="A3673" s="681" t="s">
        <v>2370</v>
      </c>
      <c r="B3673" s="693" t="s">
        <v>6232</v>
      </c>
      <c r="C3673" s="672" t="s">
        <v>787</v>
      </c>
      <c r="D3673" s="673">
        <v>39864</v>
      </c>
      <c r="E3673" s="674">
        <v>10</v>
      </c>
      <c r="F3673" s="675">
        <v>0.1</v>
      </c>
      <c r="G3673" s="676">
        <v>3006</v>
      </c>
      <c r="H3673" s="929">
        <v>300.60000000000008</v>
      </c>
      <c r="I3673" s="929">
        <v>2705.3999999999996</v>
      </c>
      <c r="J3673" s="689">
        <f t="shared" si="58"/>
        <v>300.60000000000036</v>
      </c>
    </row>
    <row r="3674" spans="1:10" ht="12.75" customHeight="1" x14ac:dyDescent="0.2">
      <c r="A3674" s="681" t="s">
        <v>2370</v>
      </c>
      <c r="B3674" s="693" t="s">
        <v>6233</v>
      </c>
      <c r="C3674" s="672" t="s">
        <v>787</v>
      </c>
      <c r="D3674" s="673">
        <v>39864</v>
      </c>
      <c r="E3674" s="674">
        <v>10</v>
      </c>
      <c r="F3674" s="675">
        <v>0.1</v>
      </c>
      <c r="G3674" s="676">
        <v>3006</v>
      </c>
      <c r="H3674" s="929">
        <v>300.60000000000008</v>
      </c>
      <c r="I3674" s="929">
        <v>2705.3999999999996</v>
      </c>
      <c r="J3674" s="689">
        <f t="shared" si="58"/>
        <v>300.60000000000036</v>
      </c>
    </row>
    <row r="3675" spans="1:10" ht="12.75" customHeight="1" x14ac:dyDescent="0.2">
      <c r="A3675" s="681" t="s">
        <v>2370</v>
      </c>
      <c r="B3675" s="693" t="s">
        <v>6234</v>
      </c>
      <c r="C3675" s="672" t="s">
        <v>787</v>
      </c>
      <c r="D3675" s="673">
        <v>39864</v>
      </c>
      <c r="E3675" s="674">
        <v>10</v>
      </c>
      <c r="F3675" s="675">
        <v>0.1</v>
      </c>
      <c r="G3675" s="676">
        <v>3006</v>
      </c>
      <c r="H3675" s="929">
        <v>300.60000000000008</v>
      </c>
      <c r="I3675" s="929">
        <v>2705.3999999999996</v>
      </c>
      <c r="J3675" s="689">
        <f t="shared" si="58"/>
        <v>300.60000000000036</v>
      </c>
    </row>
    <row r="3676" spans="1:10" ht="12.75" customHeight="1" x14ac:dyDescent="0.2">
      <c r="A3676" s="681" t="s">
        <v>2370</v>
      </c>
      <c r="B3676" s="693" t="s">
        <v>6235</v>
      </c>
      <c r="C3676" s="672" t="s">
        <v>787</v>
      </c>
      <c r="D3676" s="673">
        <v>39864</v>
      </c>
      <c r="E3676" s="674">
        <v>10</v>
      </c>
      <c r="F3676" s="675">
        <v>0.1</v>
      </c>
      <c r="G3676" s="676">
        <v>3006</v>
      </c>
      <c r="H3676" s="929">
        <v>300.60000000000008</v>
      </c>
      <c r="I3676" s="929">
        <v>2705.3999999999996</v>
      </c>
      <c r="J3676" s="689">
        <f t="shared" si="58"/>
        <v>300.60000000000036</v>
      </c>
    </row>
    <row r="3677" spans="1:10" ht="12.75" customHeight="1" x14ac:dyDescent="0.2">
      <c r="A3677" s="681" t="s">
        <v>2370</v>
      </c>
      <c r="B3677" s="693" t="s">
        <v>6236</v>
      </c>
      <c r="C3677" s="672" t="s">
        <v>787</v>
      </c>
      <c r="D3677" s="673">
        <v>39864</v>
      </c>
      <c r="E3677" s="674">
        <v>10</v>
      </c>
      <c r="F3677" s="675">
        <v>0.1</v>
      </c>
      <c r="G3677" s="676">
        <v>3006</v>
      </c>
      <c r="H3677" s="929">
        <v>300.60000000000008</v>
      </c>
      <c r="I3677" s="929">
        <v>2705.3999999999996</v>
      </c>
      <c r="J3677" s="689">
        <f t="shared" si="58"/>
        <v>300.60000000000036</v>
      </c>
    </row>
    <row r="3678" spans="1:10" ht="12.75" customHeight="1" x14ac:dyDescent="0.2">
      <c r="A3678" s="681" t="s">
        <v>2370</v>
      </c>
      <c r="B3678" s="693" t="s">
        <v>6237</v>
      </c>
      <c r="C3678" s="672" t="s">
        <v>787</v>
      </c>
      <c r="D3678" s="673">
        <v>39864</v>
      </c>
      <c r="E3678" s="674">
        <v>10</v>
      </c>
      <c r="F3678" s="675">
        <v>0.1</v>
      </c>
      <c r="G3678" s="676">
        <v>3006</v>
      </c>
      <c r="H3678" s="929">
        <v>300.60000000000008</v>
      </c>
      <c r="I3678" s="929">
        <v>2705.3999999999996</v>
      </c>
      <c r="J3678" s="689">
        <f t="shared" si="58"/>
        <v>300.60000000000036</v>
      </c>
    </row>
    <row r="3679" spans="1:10" ht="12.75" customHeight="1" x14ac:dyDescent="0.2">
      <c r="A3679" s="681" t="s">
        <v>2370</v>
      </c>
      <c r="B3679" s="693" t="s">
        <v>6238</v>
      </c>
      <c r="C3679" s="672" t="s">
        <v>787</v>
      </c>
      <c r="D3679" s="673">
        <v>39864</v>
      </c>
      <c r="E3679" s="674">
        <v>10</v>
      </c>
      <c r="F3679" s="675">
        <v>0.1</v>
      </c>
      <c r="G3679" s="676">
        <v>3006</v>
      </c>
      <c r="H3679" s="929">
        <v>300.60000000000008</v>
      </c>
      <c r="I3679" s="929">
        <v>2705.3999999999996</v>
      </c>
      <c r="J3679" s="689">
        <f t="shared" si="58"/>
        <v>300.60000000000036</v>
      </c>
    </row>
    <row r="3680" spans="1:10" ht="12.75" customHeight="1" x14ac:dyDescent="0.2">
      <c r="A3680" s="681" t="s">
        <v>2370</v>
      </c>
      <c r="B3680" s="693" t="s">
        <v>6239</v>
      </c>
      <c r="C3680" s="672" t="s">
        <v>787</v>
      </c>
      <c r="D3680" s="673">
        <v>39864</v>
      </c>
      <c r="E3680" s="674">
        <v>10</v>
      </c>
      <c r="F3680" s="675">
        <v>0.1</v>
      </c>
      <c r="G3680" s="676">
        <v>3006</v>
      </c>
      <c r="H3680" s="929">
        <v>300.60000000000008</v>
      </c>
      <c r="I3680" s="929">
        <v>2705.3999999999996</v>
      </c>
      <c r="J3680" s="689">
        <f t="shared" si="58"/>
        <v>300.60000000000036</v>
      </c>
    </row>
    <row r="3681" spans="1:10" ht="12.75" customHeight="1" x14ac:dyDescent="0.2">
      <c r="A3681" s="681" t="s">
        <v>2370</v>
      </c>
      <c r="B3681" s="693" t="s">
        <v>6240</v>
      </c>
      <c r="C3681" s="672" t="s">
        <v>787</v>
      </c>
      <c r="D3681" s="673">
        <v>39864</v>
      </c>
      <c r="E3681" s="674">
        <v>10</v>
      </c>
      <c r="F3681" s="675">
        <v>0.1</v>
      </c>
      <c r="G3681" s="676">
        <v>3006</v>
      </c>
      <c r="H3681" s="929">
        <v>300.60000000000008</v>
      </c>
      <c r="I3681" s="929">
        <v>2705.3999999999996</v>
      </c>
      <c r="J3681" s="689">
        <f t="shared" si="58"/>
        <v>300.60000000000036</v>
      </c>
    </row>
    <row r="3682" spans="1:10" ht="12.75" customHeight="1" x14ac:dyDescent="0.2">
      <c r="A3682" s="681" t="s">
        <v>2370</v>
      </c>
      <c r="B3682" s="693" t="s">
        <v>6241</v>
      </c>
      <c r="C3682" s="672" t="s">
        <v>787</v>
      </c>
      <c r="D3682" s="673">
        <v>39864</v>
      </c>
      <c r="E3682" s="674">
        <v>10</v>
      </c>
      <c r="F3682" s="675">
        <v>0.1</v>
      </c>
      <c r="G3682" s="676">
        <v>3006</v>
      </c>
      <c r="H3682" s="929">
        <v>300.60000000000008</v>
      </c>
      <c r="I3682" s="929">
        <v>2705.3999999999996</v>
      </c>
      <c r="J3682" s="689">
        <f t="shared" si="58"/>
        <v>300.60000000000036</v>
      </c>
    </row>
    <row r="3683" spans="1:10" ht="12.75" customHeight="1" x14ac:dyDescent="0.2">
      <c r="A3683" s="681" t="s">
        <v>2370</v>
      </c>
      <c r="B3683" s="693" t="s">
        <v>6242</v>
      </c>
      <c r="C3683" s="672" t="s">
        <v>787</v>
      </c>
      <c r="D3683" s="673">
        <v>39864</v>
      </c>
      <c r="E3683" s="674">
        <v>10</v>
      </c>
      <c r="F3683" s="675">
        <v>0.1</v>
      </c>
      <c r="G3683" s="676">
        <v>3006</v>
      </c>
      <c r="H3683" s="929">
        <v>300.60000000000008</v>
      </c>
      <c r="I3683" s="929">
        <v>2705.3999999999996</v>
      </c>
      <c r="J3683" s="689">
        <f t="shared" si="58"/>
        <v>300.60000000000036</v>
      </c>
    </row>
    <row r="3684" spans="1:10" ht="12.75" customHeight="1" x14ac:dyDescent="0.2">
      <c r="A3684" s="681" t="s">
        <v>2370</v>
      </c>
      <c r="B3684" s="693" t="s">
        <v>6243</v>
      </c>
      <c r="C3684" s="672" t="s">
        <v>787</v>
      </c>
      <c r="D3684" s="673">
        <v>39864</v>
      </c>
      <c r="E3684" s="674">
        <v>10</v>
      </c>
      <c r="F3684" s="675">
        <v>0.1</v>
      </c>
      <c r="G3684" s="676">
        <v>3006</v>
      </c>
      <c r="H3684" s="929">
        <v>300.60000000000008</v>
      </c>
      <c r="I3684" s="929">
        <v>2705.3999999999996</v>
      </c>
      <c r="J3684" s="689">
        <f t="shared" si="58"/>
        <v>300.60000000000036</v>
      </c>
    </row>
    <row r="3685" spans="1:10" ht="12.75" customHeight="1" x14ac:dyDescent="0.2">
      <c r="A3685" s="681" t="s">
        <v>2370</v>
      </c>
      <c r="B3685" s="693" t="s">
        <v>6244</v>
      </c>
      <c r="C3685" s="672" t="s">
        <v>787</v>
      </c>
      <c r="D3685" s="673">
        <v>39864</v>
      </c>
      <c r="E3685" s="674">
        <v>10</v>
      </c>
      <c r="F3685" s="675">
        <v>0.1</v>
      </c>
      <c r="G3685" s="676">
        <v>3006</v>
      </c>
      <c r="H3685" s="929">
        <v>300.60000000000008</v>
      </c>
      <c r="I3685" s="929">
        <v>2705.3999999999996</v>
      </c>
      <c r="J3685" s="689">
        <f t="shared" si="58"/>
        <v>300.60000000000036</v>
      </c>
    </row>
    <row r="3686" spans="1:10" ht="12.75" customHeight="1" x14ac:dyDescent="0.2">
      <c r="A3686" s="681" t="s">
        <v>2370</v>
      </c>
      <c r="B3686" s="693" t="s">
        <v>6245</v>
      </c>
      <c r="C3686" s="672" t="s">
        <v>787</v>
      </c>
      <c r="D3686" s="673">
        <v>39864</v>
      </c>
      <c r="E3686" s="674">
        <v>10</v>
      </c>
      <c r="F3686" s="675">
        <v>0.1</v>
      </c>
      <c r="G3686" s="676">
        <v>3006</v>
      </c>
      <c r="H3686" s="929">
        <v>300.60000000000008</v>
      </c>
      <c r="I3686" s="929">
        <v>2705.3999999999996</v>
      </c>
      <c r="J3686" s="689">
        <f t="shared" si="58"/>
        <v>300.60000000000036</v>
      </c>
    </row>
    <row r="3687" spans="1:10" ht="12.75" customHeight="1" x14ac:dyDescent="0.2">
      <c r="A3687" s="681" t="s">
        <v>2370</v>
      </c>
      <c r="B3687" s="693" t="s">
        <v>6246</v>
      </c>
      <c r="C3687" s="672" t="s">
        <v>787</v>
      </c>
      <c r="D3687" s="673">
        <v>39864</v>
      </c>
      <c r="E3687" s="674">
        <v>10</v>
      </c>
      <c r="F3687" s="675">
        <v>0.1</v>
      </c>
      <c r="G3687" s="676">
        <v>3006</v>
      </c>
      <c r="H3687" s="929">
        <v>300.60000000000008</v>
      </c>
      <c r="I3687" s="929">
        <v>2705.3999999999996</v>
      </c>
      <c r="J3687" s="689">
        <f t="shared" si="58"/>
        <v>300.60000000000036</v>
      </c>
    </row>
    <row r="3688" spans="1:10" ht="12.75" customHeight="1" x14ac:dyDescent="0.2">
      <c r="A3688" s="681" t="s">
        <v>2370</v>
      </c>
      <c r="B3688" s="693" t="s">
        <v>6247</v>
      </c>
      <c r="C3688" s="672" t="s">
        <v>787</v>
      </c>
      <c r="D3688" s="673">
        <v>39864</v>
      </c>
      <c r="E3688" s="674">
        <v>10</v>
      </c>
      <c r="F3688" s="675">
        <v>0.1</v>
      </c>
      <c r="G3688" s="676">
        <v>3006</v>
      </c>
      <c r="H3688" s="929">
        <v>300.60000000000008</v>
      </c>
      <c r="I3688" s="929">
        <v>2705.3999999999996</v>
      </c>
      <c r="J3688" s="689">
        <f t="shared" si="58"/>
        <v>300.60000000000036</v>
      </c>
    </row>
    <row r="3689" spans="1:10" ht="12.75" customHeight="1" x14ac:dyDescent="0.2">
      <c r="A3689" s="681" t="s">
        <v>2370</v>
      </c>
      <c r="B3689" s="693" t="s">
        <v>6248</v>
      </c>
      <c r="C3689" s="672" t="s">
        <v>926</v>
      </c>
      <c r="D3689" s="673">
        <v>39864</v>
      </c>
      <c r="E3689" s="674">
        <v>10</v>
      </c>
      <c r="F3689" s="675">
        <v>0.1</v>
      </c>
      <c r="G3689" s="676">
        <v>3141</v>
      </c>
      <c r="H3689" s="929">
        <v>314.10000000000008</v>
      </c>
      <c r="I3689" s="929">
        <v>2826.8999999999996</v>
      </c>
      <c r="J3689" s="689">
        <f t="shared" si="58"/>
        <v>314.10000000000036</v>
      </c>
    </row>
    <row r="3690" spans="1:10" ht="12.75" customHeight="1" x14ac:dyDescent="0.2">
      <c r="A3690" s="681" t="s">
        <v>2370</v>
      </c>
      <c r="B3690" s="693" t="s">
        <v>6249</v>
      </c>
      <c r="C3690" s="672" t="s">
        <v>787</v>
      </c>
      <c r="D3690" s="673">
        <v>39864</v>
      </c>
      <c r="E3690" s="674">
        <v>10</v>
      </c>
      <c r="F3690" s="675">
        <v>0.1</v>
      </c>
      <c r="G3690" s="676">
        <v>3162</v>
      </c>
      <c r="H3690" s="929">
        <v>316.20000000000005</v>
      </c>
      <c r="I3690" s="929">
        <v>2845.8</v>
      </c>
      <c r="J3690" s="689">
        <f t="shared" si="58"/>
        <v>316.19999999999982</v>
      </c>
    </row>
    <row r="3691" spans="1:10" ht="12.75" customHeight="1" x14ac:dyDescent="0.2">
      <c r="A3691" s="681" t="s">
        <v>2370</v>
      </c>
      <c r="B3691" s="693" t="s">
        <v>6250</v>
      </c>
      <c r="C3691" s="672" t="s">
        <v>787</v>
      </c>
      <c r="D3691" s="673">
        <v>39864</v>
      </c>
      <c r="E3691" s="674">
        <v>10</v>
      </c>
      <c r="F3691" s="675">
        <v>0.1</v>
      </c>
      <c r="G3691" s="676">
        <v>3162</v>
      </c>
      <c r="H3691" s="929">
        <v>316.20000000000005</v>
      </c>
      <c r="I3691" s="929">
        <v>2845.8</v>
      </c>
      <c r="J3691" s="689">
        <f t="shared" si="58"/>
        <v>316.19999999999982</v>
      </c>
    </row>
    <row r="3692" spans="1:10" ht="12.75" customHeight="1" x14ac:dyDescent="0.2">
      <c r="A3692" s="681" t="s">
        <v>2370</v>
      </c>
      <c r="B3692" s="693" t="s">
        <v>6251</v>
      </c>
      <c r="C3692" s="672" t="s">
        <v>787</v>
      </c>
      <c r="D3692" s="673">
        <v>39864</v>
      </c>
      <c r="E3692" s="674">
        <v>10</v>
      </c>
      <c r="F3692" s="675">
        <v>0.1</v>
      </c>
      <c r="G3692" s="676">
        <v>3162</v>
      </c>
      <c r="H3692" s="929">
        <v>316.20000000000005</v>
      </c>
      <c r="I3692" s="929">
        <v>2845.8</v>
      </c>
      <c r="J3692" s="689">
        <f t="shared" si="58"/>
        <v>316.19999999999982</v>
      </c>
    </row>
    <row r="3693" spans="1:10" ht="12.75" customHeight="1" x14ac:dyDescent="0.2">
      <c r="A3693" s="681" t="s">
        <v>2370</v>
      </c>
      <c r="B3693" s="693" t="s">
        <v>6252</v>
      </c>
      <c r="C3693" s="672" t="s">
        <v>787</v>
      </c>
      <c r="D3693" s="673">
        <v>39864</v>
      </c>
      <c r="E3693" s="674">
        <v>10</v>
      </c>
      <c r="F3693" s="675">
        <v>0.1</v>
      </c>
      <c r="G3693" s="676">
        <v>3162</v>
      </c>
      <c r="H3693" s="929">
        <v>316.20000000000005</v>
      </c>
      <c r="I3693" s="929">
        <v>2845.8</v>
      </c>
      <c r="J3693" s="689">
        <f t="shared" si="58"/>
        <v>316.19999999999982</v>
      </c>
    </row>
    <row r="3694" spans="1:10" ht="12.75" customHeight="1" x14ac:dyDescent="0.2">
      <c r="A3694" s="681" t="s">
        <v>2370</v>
      </c>
      <c r="B3694" s="693" t="s">
        <v>6253</v>
      </c>
      <c r="C3694" s="672" t="s">
        <v>787</v>
      </c>
      <c r="D3694" s="673">
        <v>39864</v>
      </c>
      <c r="E3694" s="674">
        <v>10</v>
      </c>
      <c r="F3694" s="675">
        <v>0.1</v>
      </c>
      <c r="G3694" s="676">
        <v>3162</v>
      </c>
      <c r="H3694" s="929">
        <v>316.20000000000005</v>
      </c>
      <c r="I3694" s="929">
        <v>2845.8</v>
      </c>
      <c r="J3694" s="689">
        <f t="shared" si="58"/>
        <v>316.19999999999982</v>
      </c>
    </row>
    <row r="3695" spans="1:10" ht="12.75" customHeight="1" x14ac:dyDescent="0.2">
      <c r="A3695" s="681" t="s">
        <v>2370</v>
      </c>
      <c r="B3695" s="693" t="s">
        <v>6254</v>
      </c>
      <c r="C3695" s="672" t="s">
        <v>791</v>
      </c>
      <c r="D3695" s="673">
        <v>39864</v>
      </c>
      <c r="E3695" s="674">
        <v>10</v>
      </c>
      <c r="F3695" s="675">
        <v>0.1</v>
      </c>
      <c r="G3695" s="676">
        <v>3278</v>
      </c>
      <c r="H3695" s="929">
        <v>327.8</v>
      </c>
      <c r="I3695" s="929">
        <v>2950.2000000000003</v>
      </c>
      <c r="J3695" s="689">
        <f t="shared" si="58"/>
        <v>327.79999999999973</v>
      </c>
    </row>
    <row r="3696" spans="1:10" ht="12.75" customHeight="1" x14ac:dyDescent="0.2">
      <c r="A3696" s="681" t="s">
        <v>2372</v>
      </c>
      <c r="B3696" s="693" t="s">
        <v>6255</v>
      </c>
      <c r="C3696" s="672" t="s">
        <v>1009</v>
      </c>
      <c r="D3696" s="673">
        <v>39864</v>
      </c>
      <c r="E3696" s="674">
        <v>10</v>
      </c>
      <c r="F3696" s="675">
        <v>0.1</v>
      </c>
      <c r="G3696" s="676">
        <v>3278</v>
      </c>
      <c r="H3696" s="929">
        <v>327.8</v>
      </c>
      <c r="I3696" s="929">
        <v>2950.2000000000003</v>
      </c>
      <c r="J3696" s="689">
        <f t="shared" si="58"/>
        <v>327.79999999999973</v>
      </c>
    </row>
    <row r="3697" spans="1:10" ht="12.75" customHeight="1" x14ac:dyDescent="0.2">
      <c r="A3697" s="681" t="s">
        <v>2370</v>
      </c>
      <c r="B3697" s="693" t="s">
        <v>6256</v>
      </c>
      <c r="C3697" s="672" t="s">
        <v>798</v>
      </c>
      <c r="D3697" s="673">
        <v>39864</v>
      </c>
      <c r="E3697" s="674">
        <v>10</v>
      </c>
      <c r="F3697" s="675">
        <v>0.1</v>
      </c>
      <c r="G3697" s="676">
        <v>3392</v>
      </c>
      <c r="H3697" s="929">
        <v>339.19999999999987</v>
      </c>
      <c r="I3697" s="929">
        <v>3052.7999999999997</v>
      </c>
      <c r="J3697" s="689">
        <f t="shared" si="58"/>
        <v>339.20000000000027</v>
      </c>
    </row>
    <row r="3698" spans="1:10" ht="12.75" customHeight="1" x14ac:dyDescent="0.2">
      <c r="A3698" s="681" t="s">
        <v>2370</v>
      </c>
      <c r="B3698" s="693" t="s">
        <v>6257</v>
      </c>
      <c r="C3698" s="672" t="s">
        <v>790</v>
      </c>
      <c r="D3698" s="673">
        <v>39864</v>
      </c>
      <c r="E3698" s="674">
        <v>10</v>
      </c>
      <c r="F3698" s="675">
        <v>0.1</v>
      </c>
      <c r="G3698" s="676">
        <v>3402</v>
      </c>
      <c r="H3698" s="929">
        <v>340.20000000000005</v>
      </c>
      <c r="I3698" s="929">
        <v>3061.8</v>
      </c>
      <c r="J3698" s="689">
        <f t="shared" si="58"/>
        <v>340.19999999999982</v>
      </c>
    </row>
    <row r="3699" spans="1:10" ht="12.75" customHeight="1" x14ac:dyDescent="0.2">
      <c r="A3699" s="681" t="s">
        <v>2370</v>
      </c>
      <c r="B3699" s="693" t="s">
        <v>6258</v>
      </c>
      <c r="C3699" s="672" t="s">
        <v>791</v>
      </c>
      <c r="D3699" s="673">
        <v>39864</v>
      </c>
      <c r="E3699" s="674">
        <v>10</v>
      </c>
      <c r="F3699" s="675">
        <v>0.1</v>
      </c>
      <c r="G3699" s="676">
        <v>3436</v>
      </c>
      <c r="H3699" s="929">
        <v>343.59999999999997</v>
      </c>
      <c r="I3699" s="929">
        <v>3092.3999999999996</v>
      </c>
      <c r="J3699" s="689">
        <f t="shared" si="58"/>
        <v>343.60000000000036</v>
      </c>
    </row>
    <row r="3700" spans="1:10" ht="12.75" customHeight="1" x14ac:dyDescent="0.2">
      <c r="A3700" s="681" t="s">
        <v>2370</v>
      </c>
      <c r="B3700" s="693" t="s">
        <v>6259</v>
      </c>
      <c r="C3700" s="672" t="s">
        <v>791</v>
      </c>
      <c r="D3700" s="673">
        <v>39864</v>
      </c>
      <c r="E3700" s="674">
        <v>10</v>
      </c>
      <c r="F3700" s="675">
        <v>0.1</v>
      </c>
      <c r="G3700" s="676">
        <v>3436</v>
      </c>
      <c r="H3700" s="929">
        <v>343.59999999999997</v>
      </c>
      <c r="I3700" s="929">
        <v>3092.3999999999996</v>
      </c>
      <c r="J3700" s="689">
        <f t="shared" si="58"/>
        <v>343.60000000000036</v>
      </c>
    </row>
    <row r="3701" spans="1:10" ht="12.75" customHeight="1" x14ac:dyDescent="0.2">
      <c r="A3701" s="681" t="s">
        <v>2370</v>
      </c>
      <c r="B3701" s="693" t="s">
        <v>6260</v>
      </c>
      <c r="C3701" s="672" t="s">
        <v>791</v>
      </c>
      <c r="D3701" s="673">
        <v>39864</v>
      </c>
      <c r="E3701" s="674">
        <v>10</v>
      </c>
      <c r="F3701" s="675">
        <v>0.1</v>
      </c>
      <c r="G3701" s="676">
        <v>3436</v>
      </c>
      <c r="H3701" s="929">
        <v>343.59999999999997</v>
      </c>
      <c r="I3701" s="929">
        <v>3092.3999999999996</v>
      </c>
      <c r="J3701" s="689">
        <f t="shared" si="58"/>
        <v>343.60000000000036</v>
      </c>
    </row>
    <row r="3702" spans="1:10" ht="12.75" customHeight="1" x14ac:dyDescent="0.2">
      <c r="A3702" s="681" t="s">
        <v>2370</v>
      </c>
      <c r="B3702" s="693" t="s">
        <v>6261</v>
      </c>
      <c r="C3702" s="672" t="s">
        <v>791</v>
      </c>
      <c r="D3702" s="673">
        <v>39864</v>
      </c>
      <c r="E3702" s="674">
        <v>10</v>
      </c>
      <c r="F3702" s="675">
        <v>0.1</v>
      </c>
      <c r="G3702" s="676">
        <v>3436</v>
      </c>
      <c r="H3702" s="929">
        <v>343.59999999999997</v>
      </c>
      <c r="I3702" s="929">
        <v>3092.3999999999996</v>
      </c>
      <c r="J3702" s="689">
        <f t="shared" si="58"/>
        <v>343.60000000000036</v>
      </c>
    </row>
    <row r="3703" spans="1:10" ht="12.75" customHeight="1" x14ac:dyDescent="0.2">
      <c r="A3703" s="681" t="s">
        <v>2370</v>
      </c>
      <c r="B3703" s="693" t="s">
        <v>6262</v>
      </c>
      <c r="C3703" s="672" t="s">
        <v>791</v>
      </c>
      <c r="D3703" s="673">
        <v>39864</v>
      </c>
      <c r="E3703" s="674">
        <v>10</v>
      </c>
      <c r="F3703" s="675">
        <v>0.1</v>
      </c>
      <c r="G3703" s="676">
        <v>3436</v>
      </c>
      <c r="H3703" s="929">
        <v>343.59999999999997</v>
      </c>
      <c r="I3703" s="929">
        <v>3092.3999999999996</v>
      </c>
      <c r="J3703" s="689">
        <f t="shared" si="58"/>
        <v>343.60000000000036</v>
      </c>
    </row>
    <row r="3704" spans="1:10" ht="12.75" customHeight="1" x14ac:dyDescent="0.2">
      <c r="A3704" s="681" t="s">
        <v>2370</v>
      </c>
      <c r="B3704" s="693" t="s">
        <v>6263</v>
      </c>
      <c r="C3704" s="672" t="s">
        <v>791</v>
      </c>
      <c r="D3704" s="673">
        <v>39864</v>
      </c>
      <c r="E3704" s="674">
        <v>10</v>
      </c>
      <c r="F3704" s="675">
        <v>0.1</v>
      </c>
      <c r="G3704" s="676">
        <v>3436</v>
      </c>
      <c r="H3704" s="929">
        <v>343.59999999999997</v>
      </c>
      <c r="I3704" s="929">
        <v>3092.3999999999996</v>
      </c>
      <c r="J3704" s="689">
        <f t="shared" si="58"/>
        <v>343.60000000000036</v>
      </c>
    </row>
    <row r="3705" spans="1:10" ht="12.75" customHeight="1" x14ac:dyDescent="0.2">
      <c r="A3705" s="681" t="s">
        <v>2370</v>
      </c>
      <c r="B3705" s="693" t="s">
        <v>6264</v>
      </c>
      <c r="C3705" s="672" t="s">
        <v>791</v>
      </c>
      <c r="D3705" s="673">
        <v>39864</v>
      </c>
      <c r="E3705" s="674">
        <v>10</v>
      </c>
      <c r="F3705" s="675">
        <v>0.1</v>
      </c>
      <c r="G3705" s="676">
        <v>3436</v>
      </c>
      <c r="H3705" s="929">
        <v>343.59999999999997</v>
      </c>
      <c r="I3705" s="929">
        <v>3092.3999999999996</v>
      </c>
      <c r="J3705" s="689">
        <f t="shared" si="58"/>
        <v>343.60000000000036</v>
      </c>
    </row>
    <row r="3706" spans="1:10" ht="12.75" customHeight="1" x14ac:dyDescent="0.2">
      <c r="A3706" s="681" t="s">
        <v>2370</v>
      </c>
      <c r="B3706" s="693" t="s">
        <v>6265</v>
      </c>
      <c r="C3706" s="672" t="s">
        <v>791</v>
      </c>
      <c r="D3706" s="673">
        <v>39864</v>
      </c>
      <c r="E3706" s="674">
        <v>10</v>
      </c>
      <c r="F3706" s="675">
        <v>0.1</v>
      </c>
      <c r="G3706" s="676">
        <v>3436</v>
      </c>
      <c r="H3706" s="929">
        <v>343.59999999999997</v>
      </c>
      <c r="I3706" s="929">
        <v>3092.3999999999996</v>
      </c>
      <c r="J3706" s="689">
        <f t="shared" si="58"/>
        <v>343.60000000000036</v>
      </c>
    </row>
    <row r="3707" spans="1:10" ht="12.75" customHeight="1" x14ac:dyDescent="0.2">
      <c r="A3707" s="681" t="s">
        <v>2370</v>
      </c>
      <c r="B3707" s="693" t="s">
        <v>6266</v>
      </c>
      <c r="C3707" s="672" t="s">
        <v>791</v>
      </c>
      <c r="D3707" s="673">
        <v>39864</v>
      </c>
      <c r="E3707" s="674">
        <v>10</v>
      </c>
      <c r="F3707" s="675">
        <v>0.1</v>
      </c>
      <c r="G3707" s="676">
        <v>3436</v>
      </c>
      <c r="H3707" s="929">
        <v>343.59999999999997</v>
      </c>
      <c r="I3707" s="929">
        <v>3092.3999999999996</v>
      </c>
      <c r="J3707" s="689">
        <f t="shared" si="58"/>
        <v>343.60000000000036</v>
      </c>
    </row>
    <row r="3708" spans="1:10" ht="12.75" customHeight="1" x14ac:dyDescent="0.2">
      <c r="A3708" s="681" t="s">
        <v>2370</v>
      </c>
      <c r="B3708" s="693" t="s">
        <v>6267</v>
      </c>
      <c r="C3708" s="672" t="s">
        <v>791</v>
      </c>
      <c r="D3708" s="673">
        <v>39864</v>
      </c>
      <c r="E3708" s="674">
        <v>10</v>
      </c>
      <c r="F3708" s="675">
        <v>0.1</v>
      </c>
      <c r="G3708" s="676">
        <v>3436</v>
      </c>
      <c r="H3708" s="929">
        <v>343.59999999999997</v>
      </c>
      <c r="I3708" s="929">
        <v>3092.3999999999996</v>
      </c>
      <c r="J3708" s="689">
        <f t="shared" si="58"/>
        <v>343.60000000000036</v>
      </c>
    </row>
    <row r="3709" spans="1:10" ht="12.75" customHeight="1" x14ac:dyDescent="0.2">
      <c r="A3709" s="681" t="s">
        <v>2370</v>
      </c>
      <c r="B3709" s="693" t="s">
        <v>6268</v>
      </c>
      <c r="C3709" s="672" t="s">
        <v>791</v>
      </c>
      <c r="D3709" s="673">
        <v>39864</v>
      </c>
      <c r="E3709" s="674">
        <v>10</v>
      </c>
      <c r="F3709" s="675">
        <v>0.1</v>
      </c>
      <c r="G3709" s="676">
        <v>3436</v>
      </c>
      <c r="H3709" s="929">
        <v>343.59999999999997</v>
      </c>
      <c r="I3709" s="929">
        <v>3092.3999999999996</v>
      </c>
      <c r="J3709" s="689">
        <f t="shared" si="58"/>
        <v>343.60000000000036</v>
      </c>
    </row>
    <row r="3710" spans="1:10" ht="12.75" customHeight="1" x14ac:dyDescent="0.2">
      <c r="A3710" s="681" t="s">
        <v>2370</v>
      </c>
      <c r="B3710" s="693" t="s">
        <v>6269</v>
      </c>
      <c r="C3710" s="672" t="s">
        <v>791</v>
      </c>
      <c r="D3710" s="673">
        <v>39864</v>
      </c>
      <c r="E3710" s="674">
        <v>10</v>
      </c>
      <c r="F3710" s="675">
        <v>0.1</v>
      </c>
      <c r="G3710" s="676">
        <v>3436</v>
      </c>
      <c r="H3710" s="929">
        <v>343.59999999999997</v>
      </c>
      <c r="I3710" s="929">
        <v>3092.3999999999996</v>
      </c>
      <c r="J3710" s="689">
        <f t="shared" si="58"/>
        <v>343.60000000000036</v>
      </c>
    </row>
    <row r="3711" spans="1:10" ht="12.75" customHeight="1" x14ac:dyDescent="0.2">
      <c r="A3711" s="681" t="s">
        <v>2370</v>
      </c>
      <c r="B3711" s="693" t="s">
        <v>6270</v>
      </c>
      <c r="C3711" s="672" t="s">
        <v>791</v>
      </c>
      <c r="D3711" s="673">
        <v>39864</v>
      </c>
      <c r="E3711" s="674">
        <v>10</v>
      </c>
      <c r="F3711" s="675">
        <v>0.1</v>
      </c>
      <c r="G3711" s="676">
        <v>3436</v>
      </c>
      <c r="H3711" s="929">
        <v>343.59999999999997</v>
      </c>
      <c r="I3711" s="929">
        <v>3092.3999999999996</v>
      </c>
      <c r="J3711" s="689">
        <f t="shared" si="58"/>
        <v>343.60000000000036</v>
      </c>
    </row>
    <row r="3712" spans="1:10" ht="12.75" customHeight="1" x14ac:dyDescent="0.2">
      <c r="A3712" s="681" t="s">
        <v>2370</v>
      </c>
      <c r="B3712" s="693" t="s">
        <v>6271</v>
      </c>
      <c r="C3712" s="672" t="s">
        <v>810</v>
      </c>
      <c r="D3712" s="673">
        <v>39864</v>
      </c>
      <c r="E3712" s="674">
        <v>10</v>
      </c>
      <c r="F3712" s="675">
        <v>0.1</v>
      </c>
      <c r="G3712" s="676">
        <v>3444</v>
      </c>
      <c r="H3712" s="929">
        <v>344.39999999999992</v>
      </c>
      <c r="I3712" s="929">
        <v>3099.6000000000004</v>
      </c>
      <c r="J3712" s="689">
        <f t="shared" si="58"/>
        <v>344.39999999999964</v>
      </c>
    </row>
    <row r="3713" spans="1:10" ht="12.75" customHeight="1" x14ac:dyDescent="0.2">
      <c r="A3713" s="681" t="s">
        <v>2372</v>
      </c>
      <c r="B3713" s="693" t="s">
        <v>6272</v>
      </c>
      <c r="C3713" s="672" t="s">
        <v>1010</v>
      </c>
      <c r="D3713" s="673">
        <v>39864</v>
      </c>
      <c r="E3713" s="674">
        <v>10</v>
      </c>
      <c r="F3713" s="675">
        <v>0.1</v>
      </c>
      <c r="G3713" s="676">
        <v>3445</v>
      </c>
      <c r="H3713" s="929">
        <v>344.49999999999994</v>
      </c>
      <c r="I3713" s="929">
        <v>3100.5</v>
      </c>
      <c r="J3713" s="689">
        <f t="shared" si="58"/>
        <v>344.5</v>
      </c>
    </row>
    <row r="3714" spans="1:10" ht="12.75" customHeight="1" x14ac:dyDescent="0.2">
      <c r="A3714" s="681" t="s">
        <v>2370</v>
      </c>
      <c r="B3714" s="693" t="s">
        <v>6273</v>
      </c>
      <c r="C3714" s="672" t="s">
        <v>786</v>
      </c>
      <c r="D3714" s="673">
        <v>39864</v>
      </c>
      <c r="E3714" s="674">
        <v>10</v>
      </c>
      <c r="F3714" s="675">
        <v>0.1</v>
      </c>
      <c r="G3714" s="676">
        <v>3910</v>
      </c>
      <c r="H3714" s="929">
        <v>390.99999999999994</v>
      </c>
      <c r="I3714" s="929">
        <v>3519</v>
      </c>
      <c r="J3714" s="689">
        <f t="shared" si="58"/>
        <v>391</v>
      </c>
    </row>
    <row r="3715" spans="1:10" ht="12.75" customHeight="1" x14ac:dyDescent="0.2">
      <c r="A3715" s="681" t="s">
        <v>2370</v>
      </c>
      <c r="B3715" s="693" t="s">
        <v>6274</v>
      </c>
      <c r="C3715" s="672" t="s">
        <v>787</v>
      </c>
      <c r="D3715" s="673">
        <v>39864</v>
      </c>
      <c r="E3715" s="674">
        <v>10</v>
      </c>
      <c r="F3715" s="675">
        <v>0.1</v>
      </c>
      <c r="G3715" s="676">
        <v>4082</v>
      </c>
      <c r="H3715" s="929">
        <v>408.19999999999987</v>
      </c>
      <c r="I3715" s="929">
        <v>3673.7999999999993</v>
      </c>
      <c r="J3715" s="689">
        <f t="shared" si="58"/>
        <v>408.20000000000073</v>
      </c>
    </row>
    <row r="3716" spans="1:10" ht="12.75" customHeight="1" x14ac:dyDescent="0.2">
      <c r="A3716" s="681" t="s">
        <v>2370</v>
      </c>
      <c r="B3716" s="693" t="s">
        <v>6275</v>
      </c>
      <c r="C3716" s="672" t="s">
        <v>787</v>
      </c>
      <c r="D3716" s="673">
        <v>39864</v>
      </c>
      <c r="E3716" s="674">
        <v>10</v>
      </c>
      <c r="F3716" s="675">
        <v>0.1</v>
      </c>
      <c r="G3716" s="676">
        <v>4201</v>
      </c>
      <c r="H3716" s="929">
        <v>420.09999999999997</v>
      </c>
      <c r="I3716" s="929">
        <v>3780.8999999999996</v>
      </c>
      <c r="J3716" s="689">
        <f t="shared" si="58"/>
        <v>420.10000000000036</v>
      </c>
    </row>
    <row r="3717" spans="1:10" ht="12.75" customHeight="1" x14ac:dyDescent="0.2">
      <c r="A3717" s="681" t="s">
        <v>2370</v>
      </c>
      <c r="B3717" s="693" t="s">
        <v>6276</v>
      </c>
      <c r="C3717" s="672" t="s">
        <v>787</v>
      </c>
      <c r="D3717" s="673">
        <v>39864</v>
      </c>
      <c r="E3717" s="674">
        <v>10</v>
      </c>
      <c r="F3717" s="675">
        <v>0.1</v>
      </c>
      <c r="G3717" s="676">
        <v>4201</v>
      </c>
      <c r="H3717" s="929">
        <v>420.09999999999997</v>
      </c>
      <c r="I3717" s="929">
        <v>3780.8999999999996</v>
      </c>
      <c r="J3717" s="689">
        <f t="shared" si="58"/>
        <v>420.10000000000036</v>
      </c>
    </row>
    <row r="3718" spans="1:10" ht="12.75" customHeight="1" x14ac:dyDescent="0.2">
      <c r="A3718" s="681" t="s">
        <v>2370</v>
      </c>
      <c r="B3718" s="693" t="s">
        <v>6277</v>
      </c>
      <c r="C3718" s="672" t="s">
        <v>787</v>
      </c>
      <c r="D3718" s="673">
        <v>39864</v>
      </c>
      <c r="E3718" s="674">
        <v>10</v>
      </c>
      <c r="F3718" s="675">
        <v>0.1</v>
      </c>
      <c r="G3718" s="676">
        <v>4201</v>
      </c>
      <c r="H3718" s="929">
        <v>420.09999999999997</v>
      </c>
      <c r="I3718" s="929">
        <v>3780.8999999999996</v>
      </c>
      <c r="J3718" s="689">
        <f t="shared" si="58"/>
        <v>420.10000000000036</v>
      </c>
    </row>
    <row r="3719" spans="1:10" ht="12.75" customHeight="1" x14ac:dyDescent="0.2">
      <c r="A3719" s="681" t="s">
        <v>2370</v>
      </c>
      <c r="B3719" s="693" t="s">
        <v>6278</v>
      </c>
      <c r="C3719" s="672" t="s">
        <v>787</v>
      </c>
      <c r="D3719" s="673">
        <v>39864</v>
      </c>
      <c r="E3719" s="674">
        <v>10</v>
      </c>
      <c r="F3719" s="675">
        <v>0.1</v>
      </c>
      <c r="G3719" s="676">
        <v>4201</v>
      </c>
      <c r="H3719" s="929">
        <v>420.09999999999997</v>
      </c>
      <c r="I3719" s="929">
        <v>3780.8999999999996</v>
      </c>
      <c r="J3719" s="689">
        <f t="shared" ref="J3719:J3782" si="59">G3719-I3719</f>
        <v>420.10000000000036</v>
      </c>
    </row>
    <row r="3720" spans="1:10" ht="12.75" customHeight="1" x14ac:dyDescent="0.2">
      <c r="A3720" s="681" t="s">
        <v>2372</v>
      </c>
      <c r="B3720" s="693" t="s">
        <v>6279</v>
      </c>
      <c r="C3720" s="672" t="s">
        <v>1010</v>
      </c>
      <c r="D3720" s="673">
        <v>39864</v>
      </c>
      <c r="E3720" s="674">
        <v>10</v>
      </c>
      <c r="F3720" s="675">
        <v>0.1</v>
      </c>
      <c r="G3720" s="676">
        <v>4475</v>
      </c>
      <c r="H3720" s="929">
        <v>447.50000000000006</v>
      </c>
      <c r="I3720" s="929">
        <v>4027.5</v>
      </c>
      <c r="J3720" s="689">
        <f t="shared" si="59"/>
        <v>447.5</v>
      </c>
    </row>
    <row r="3721" spans="1:10" ht="12.75" customHeight="1" x14ac:dyDescent="0.2">
      <c r="A3721" s="681" t="s">
        <v>2370</v>
      </c>
      <c r="B3721" s="693" t="s">
        <v>6280</v>
      </c>
      <c r="C3721" s="672" t="s">
        <v>791</v>
      </c>
      <c r="D3721" s="673">
        <v>39864</v>
      </c>
      <c r="E3721" s="674">
        <v>10</v>
      </c>
      <c r="F3721" s="675">
        <v>0.1</v>
      </c>
      <c r="G3721" s="676">
        <v>4949</v>
      </c>
      <c r="H3721" s="929">
        <v>494.90000000000003</v>
      </c>
      <c r="I3721" s="929">
        <v>4454.1000000000004</v>
      </c>
      <c r="J3721" s="689">
        <f t="shared" si="59"/>
        <v>494.89999999999964</v>
      </c>
    </row>
    <row r="3722" spans="1:10" ht="12.75" customHeight="1" x14ac:dyDescent="0.2">
      <c r="A3722" s="681" t="s">
        <v>2370</v>
      </c>
      <c r="B3722" s="693" t="s">
        <v>6281</v>
      </c>
      <c r="C3722" s="672" t="s">
        <v>791</v>
      </c>
      <c r="D3722" s="673">
        <v>39864</v>
      </c>
      <c r="E3722" s="674">
        <v>10</v>
      </c>
      <c r="F3722" s="675">
        <v>0.1</v>
      </c>
      <c r="G3722" s="676">
        <v>4949</v>
      </c>
      <c r="H3722" s="929">
        <v>494.90000000000003</v>
      </c>
      <c r="I3722" s="929">
        <v>4454.1000000000004</v>
      </c>
      <c r="J3722" s="689">
        <f t="shared" si="59"/>
        <v>494.89999999999964</v>
      </c>
    </row>
    <row r="3723" spans="1:10" ht="12.75" customHeight="1" x14ac:dyDescent="0.2">
      <c r="A3723" s="681" t="s">
        <v>2370</v>
      </c>
      <c r="B3723" s="693" t="s">
        <v>6282</v>
      </c>
      <c r="C3723" s="672" t="s">
        <v>795</v>
      </c>
      <c r="D3723" s="673">
        <v>39864</v>
      </c>
      <c r="E3723" s="674">
        <v>10</v>
      </c>
      <c r="F3723" s="675">
        <v>0.1</v>
      </c>
      <c r="G3723" s="676">
        <v>5489</v>
      </c>
      <c r="H3723" s="929">
        <v>548.9</v>
      </c>
      <c r="I3723" s="929">
        <v>4940.0999999999995</v>
      </c>
      <c r="J3723" s="689">
        <f t="shared" si="59"/>
        <v>548.90000000000055</v>
      </c>
    </row>
    <row r="3724" spans="1:10" ht="12.75" customHeight="1" x14ac:dyDescent="0.2">
      <c r="A3724" s="681" t="s">
        <v>2370</v>
      </c>
      <c r="B3724" s="693" t="s">
        <v>6283</v>
      </c>
      <c r="C3724" s="672" t="s">
        <v>833</v>
      </c>
      <c r="D3724" s="673">
        <v>39864</v>
      </c>
      <c r="E3724" s="674">
        <v>10</v>
      </c>
      <c r="F3724" s="675">
        <v>0.1</v>
      </c>
      <c r="G3724" s="676">
        <v>5578</v>
      </c>
      <c r="H3724" s="929">
        <v>557.80000000000007</v>
      </c>
      <c r="I3724" s="929">
        <v>5020.2000000000007</v>
      </c>
      <c r="J3724" s="689">
        <f t="shared" si="59"/>
        <v>557.79999999999927</v>
      </c>
    </row>
    <row r="3725" spans="1:10" ht="12.75" customHeight="1" x14ac:dyDescent="0.2">
      <c r="A3725" s="681" t="s">
        <v>2372</v>
      </c>
      <c r="B3725" s="693" t="s">
        <v>6284</v>
      </c>
      <c r="C3725" s="672" t="s">
        <v>1007</v>
      </c>
      <c r="D3725" s="673">
        <v>39864</v>
      </c>
      <c r="E3725" s="674">
        <v>10</v>
      </c>
      <c r="F3725" s="675">
        <v>0.1</v>
      </c>
      <c r="G3725" s="676">
        <v>6190</v>
      </c>
      <c r="H3725" s="929">
        <v>619</v>
      </c>
      <c r="I3725" s="929">
        <v>5571</v>
      </c>
      <c r="J3725" s="689">
        <f t="shared" si="59"/>
        <v>619</v>
      </c>
    </row>
    <row r="3726" spans="1:10" ht="12.75" customHeight="1" x14ac:dyDescent="0.2">
      <c r="A3726" s="681" t="s">
        <v>2370</v>
      </c>
      <c r="B3726" s="693" t="s">
        <v>6285</v>
      </c>
      <c r="C3726" s="672" t="s">
        <v>801</v>
      </c>
      <c r="D3726" s="673">
        <v>39864</v>
      </c>
      <c r="E3726" s="674">
        <v>10</v>
      </c>
      <c r="F3726" s="675">
        <v>0.1</v>
      </c>
      <c r="G3726" s="676">
        <v>6293</v>
      </c>
      <c r="H3726" s="929">
        <v>629.29999999999995</v>
      </c>
      <c r="I3726" s="929">
        <v>5663.7000000000007</v>
      </c>
      <c r="J3726" s="689">
        <f t="shared" si="59"/>
        <v>629.29999999999927</v>
      </c>
    </row>
    <row r="3727" spans="1:10" ht="12.75" customHeight="1" x14ac:dyDescent="0.2">
      <c r="A3727" s="681" t="s">
        <v>2370</v>
      </c>
      <c r="B3727" s="693" t="s">
        <v>6286</v>
      </c>
      <c r="C3727" s="672" t="s">
        <v>801</v>
      </c>
      <c r="D3727" s="673">
        <v>39864</v>
      </c>
      <c r="E3727" s="674">
        <v>10</v>
      </c>
      <c r="F3727" s="675">
        <v>0.1</v>
      </c>
      <c r="G3727" s="676">
        <v>6293</v>
      </c>
      <c r="H3727" s="929">
        <v>629.29999999999995</v>
      </c>
      <c r="I3727" s="929">
        <v>5663.7000000000007</v>
      </c>
      <c r="J3727" s="689">
        <f t="shared" si="59"/>
        <v>629.29999999999927</v>
      </c>
    </row>
    <row r="3728" spans="1:10" ht="12.75" customHeight="1" x14ac:dyDescent="0.2">
      <c r="A3728" s="681" t="s">
        <v>2370</v>
      </c>
      <c r="B3728" s="693" t="s">
        <v>6287</v>
      </c>
      <c r="C3728" s="672" t="s">
        <v>795</v>
      </c>
      <c r="D3728" s="673">
        <v>39864</v>
      </c>
      <c r="E3728" s="674">
        <v>10</v>
      </c>
      <c r="F3728" s="675">
        <v>0.1</v>
      </c>
      <c r="G3728" s="676">
        <v>6831</v>
      </c>
      <c r="H3728" s="929">
        <v>683.09999999999991</v>
      </c>
      <c r="I3728" s="929">
        <v>6147.9000000000015</v>
      </c>
      <c r="J3728" s="689">
        <f t="shared" si="59"/>
        <v>683.09999999999854</v>
      </c>
    </row>
    <row r="3729" spans="1:10" ht="12.75" customHeight="1" x14ac:dyDescent="0.2">
      <c r="A3729" s="681" t="s">
        <v>2370</v>
      </c>
      <c r="B3729" s="693" t="s">
        <v>6288</v>
      </c>
      <c r="C3729" s="672" t="s">
        <v>796</v>
      </c>
      <c r="D3729" s="673">
        <v>39864</v>
      </c>
      <c r="E3729" s="674">
        <v>10</v>
      </c>
      <c r="F3729" s="675">
        <v>0.1</v>
      </c>
      <c r="G3729" s="676">
        <v>7173</v>
      </c>
      <c r="H3729" s="929">
        <v>717.29999999999984</v>
      </c>
      <c r="I3729" s="929">
        <v>6455.7000000000007</v>
      </c>
      <c r="J3729" s="689">
        <f t="shared" si="59"/>
        <v>717.29999999999927</v>
      </c>
    </row>
    <row r="3730" spans="1:10" ht="12.75" customHeight="1" x14ac:dyDescent="0.2">
      <c r="A3730" s="681" t="s">
        <v>2370</v>
      </c>
      <c r="B3730" s="693" t="s">
        <v>6289</v>
      </c>
      <c r="C3730" s="672" t="s">
        <v>796</v>
      </c>
      <c r="D3730" s="673">
        <v>39864</v>
      </c>
      <c r="E3730" s="674">
        <v>10</v>
      </c>
      <c r="F3730" s="675">
        <v>0.1</v>
      </c>
      <c r="G3730" s="676">
        <v>7173</v>
      </c>
      <c r="H3730" s="929">
        <v>717.29999999999984</v>
      </c>
      <c r="I3730" s="929">
        <v>6455.7000000000007</v>
      </c>
      <c r="J3730" s="689">
        <f t="shared" si="59"/>
        <v>717.29999999999927</v>
      </c>
    </row>
    <row r="3731" spans="1:10" ht="12.75" customHeight="1" x14ac:dyDescent="0.2">
      <c r="A3731" s="681" t="s">
        <v>2370</v>
      </c>
      <c r="B3731" s="693" t="s">
        <v>6290</v>
      </c>
      <c r="C3731" s="672" t="s">
        <v>796</v>
      </c>
      <c r="D3731" s="673">
        <v>39864</v>
      </c>
      <c r="E3731" s="674">
        <v>10</v>
      </c>
      <c r="F3731" s="675">
        <v>0.1</v>
      </c>
      <c r="G3731" s="676">
        <v>7173</v>
      </c>
      <c r="H3731" s="929">
        <v>717.29999999999984</v>
      </c>
      <c r="I3731" s="929">
        <v>6455.7000000000007</v>
      </c>
      <c r="J3731" s="689">
        <f t="shared" si="59"/>
        <v>717.29999999999927</v>
      </c>
    </row>
    <row r="3732" spans="1:10" ht="12.75" customHeight="1" x14ac:dyDescent="0.2">
      <c r="A3732" s="681" t="s">
        <v>2370</v>
      </c>
      <c r="B3732" s="693" t="s">
        <v>6291</v>
      </c>
      <c r="C3732" s="672" t="s">
        <v>796</v>
      </c>
      <c r="D3732" s="673">
        <v>39864</v>
      </c>
      <c r="E3732" s="674">
        <v>10</v>
      </c>
      <c r="F3732" s="675">
        <v>0.1</v>
      </c>
      <c r="G3732" s="676">
        <v>7173</v>
      </c>
      <c r="H3732" s="929">
        <v>717.29999999999984</v>
      </c>
      <c r="I3732" s="929">
        <v>6455.7000000000007</v>
      </c>
      <c r="J3732" s="689">
        <f t="shared" si="59"/>
        <v>717.29999999999927</v>
      </c>
    </row>
    <row r="3733" spans="1:10" ht="12.75" customHeight="1" x14ac:dyDescent="0.2">
      <c r="A3733" s="681" t="s">
        <v>2370</v>
      </c>
      <c r="B3733" s="693" t="s">
        <v>6292</v>
      </c>
      <c r="C3733" s="672" t="s">
        <v>796</v>
      </c>
      <c r="D3733" s="673">
        <v>39864</v>
      </c>
      <c r="E3733" s="674">
        <v>10</v>
      </c>
      <c r="F3733" s="675">
        <v>0.1</v>
      </c>
      <c r="G3733" s="676">
        <v>7173</v>
      </c>
      <c r="H3733" s="929">
        <v>717.29999999999984</v>
      </c>
      <c r="I3733" s="929">
        <v>6455.7000000000007</v>
      </c>
      <c r="J3733" s="689">
        <f t="shared" si="59"/>
        <v>717.29999999999927</v>
      </c>
    </row>
    <row r="3734" spans="1:10" ht="12.75" customHeight="1" x14ac:dyDescent="0.2">
      <c r="A3734" s="681" t="s">
        <v>2370</v>
      </c>
      <c r="B3734" s="693" t="s">
        <v>6293</v>
      </c>
      <c r="C3734" s="672" t="s">
        <v>796</v>
      </c>
      <c r="D3734" s="673">
        <v>39864</v>
      </c>
      <c r="E3734" s="674">
        <v>10</v>
      </c>
      <c r="F3734" s="675">
        <v>0.1</v>
      </c>
      <c r="G3734" s="676">
        <v>7173</v>
      </c>
      <c r="H3734" s="929">
        <v>717.29999999999984</v>
      </c>
      <c r="I3734" s="929">
        <v>6455.7000000000007</v>
      </c>
      <c r="J3734" s="689">
        <f t="shared" si="59"/>
        <v>717.29999999999927</v>
      </c>
    </row>
    <row r="3735" spans="1:10" ht="12.75" customHeight="1" x14ac:dyDescent="0.2">
      <c r="A3735" s="681" t="s">
        <v>2370</v>
      </c>
      <c r="B3735" s="693" t="s">
        <v>6294</v>
      </c>
      <c r="C3735" s="672" t="s">
        <v>796</v>
      </c>
      <c r="D3735" s="673">
        <v>39864</v>
      </c>
      <c r="E3735" s="674">
        <v>10</v>
      </c>
      <c r="F3735" s="675">
        <v>0.1</v>
      </c>
      <c r="G3735" s="676">
        <v>7173</v>
      </c>
      <c r="H3735" s="929">
        <v>717.29999999999984</v>
      </c>
      <c r="I3735" s="929">
        <v>6455.7000000000007</v>
      </c>
      <c r="J3735" s="689">
        <f t="shared" si="59"/>
        <v>717.29999999999927</v>
      </c>
    </row>
    <row r="3736" spans="1:10" ht="12.75" customHeight="1" x14ac:dyDescent="0.2">
      <c r="A3736" s="681" t="s">
        <v>2370</v>
      </c>
      <c r="B3736" s="693" t="s">
        <v>6295</v>
      </c>
      <c r="C3736" s="672" t="s">
        <v>796</v>
      </c>
      <c r="D3736" s="673">
        <v>39864</v>
      </c>
      <c r="E3736" s="674">
        <v>10</v>
      </c>
      <c r="F3736" s="675">
        <v>0.1</v>
      </c>
      <c r="G3736" s="676">
        <v>7173</v>
      </c>
      <c r="H3736" s="929">
        <v>717.29999999999984</v>
      </c>
      <c r="I3736" s="929">
        <v>6455.7000000000007</v>
      </c>
      <c r="J3736" s="689">
        <f t="shared" si="59"/>
        <v>717.29999999999927</v>
      </c>
    </row>
    <row r="3737" spans="1:10" ht="12.75" customHeight="1" x14ac:dyDescent="0.2">
      <c r="A3737" s="681" t="s">
        <v>2370</v>
      </c>
      <c r="B3737" s="693" t="s">
        <v>6296</v>
      </c>
      <c r="C3737" s="672" t="s">
        <v>795</v>
      </c>
      <c r="D3737" s="673">
        <v>39864</v>
      </c>
      <c r="E3737" s="674">
        <v>10</v>
      </c>
      <c r="F3737" s="675">
        <v>0.1</v>
      </c>
      <c r="G3737" s="676">
        <v>7289</v>
      </c>
      <c r="H3737" s="929">
        <v>728.9</v>
      </c>
      <c r="I3737" s="929">
        <v>6560.0999999999985</v>
      </c>
      <c r="J3737" s="689">
        <f t="shared" si="59"/>
        <v>728.90000000000146</v>
      </c>
    </row>
    <row r="3738" spans="1:10" ht="12.75" customHeight="1" x14ac:dyDescent="0.2">
      <c r="A3738" s="681" t="s">
        <v>2370</v>
      </c>
      <c r="B3738" s="693" t="s">
        <v>6297</v>
      </c>
      <c r="C3738" s="672" t="s">
        <v>787</v>
      </c>
      <c r="D3738" s="673">
        <v>39864</v>
      </c>
      <c r="E3738" s="674">
        <v>10</v>
      </c>
      <c r="F3738" s="675">
        <v>0.1</v>
      </c>
      <c r="G3738" s="676">
        <v>7429</v>
      </c>
      <c r="H3738" s="929">
        <v>742.89999999999975</v>
      </c>
      <c r="I3738" s="929">
        <v>6686.0999999999985</v>
      </c>
      <c r="J3738" s="689">
        <f t="shared" si="59"/>
        <v>742.90000000000146</v>
      </c>
    </row>
    <row r="3739" spans="1:10" ht="12.75" customHeight="1" x14ac:dyDescent="0.2">
      <c r="A3739" s="681" t="s">
        <v>2370</v>
      </c>
      <c r="B3739" s="693" t="s">
        <v>6298</v>
      </c>
      <c r="C3739" s="672" t="s">
        <v>874</v>
      </c>
      <c r="D3739" s="673">
        <v>39864</v>
      </c>
      <c r="E3739" s="674">
        <v>10</v>
      </c>
      <c r="F3739" s="675">
        <v>0.1</v>
      </c>
      <c r="G3739" s="676">
        <v>7762</v>
      </c>
      <c r="H3739" s="929">
        <v>776.20000000000027</v>
      </c>
      <c r="I3739" s="929">
        <v>6985.8000000000011</v>
      </c>
      <c r="J3739" s="689">
        <f t="shared" si="59"/>
        <v>776.19999999999891</v>
      </c>
    </row>
    <row r="3740" spans="1:10" ht="12.75" customHeight="1" x14ac:dyDescent="0.2">
      <c r="A3740" s="681" t="s">
        <v>2370</v>
      </c>
      <c r="B3740" s="693" t="s">
        <v>6299</v>
      </c>
      <c r="C3740" s="672" t="s">
        <v>874</v>
      </c>
      <c r="D3740" s="673">
        <v>39864</v>
      </c>
      <c r="E3740" s="674">
        <v>10</v>
      </c>
      <c r="F3740" s="675">
        <v>0.1</v>
      </c>
      <c r="G3740" s="676">
        <v>7820</v>
      </c>
      <c r="H3740" s="929">
        <v>781.99999999999989</v>
      </c>
      <c r="I3740" s="929">
        <v>7038</v>
      </c>
      <c r="J3740" s="689">
        <f t="shared" si="59"/>
        <v>782</v>
      </c>
    </row>
    <row r="3741" spans="1:10" ht="12.75" customHeight="1" x14ac:dyDescent="0.2">
      <c r="A3741" s="681" t="s">
        <v>2370</v>
      </c>
      <c r="B3741" s="693" t="s">
        <v>6300</v>
      </c>
      <c r="C3741" s="672" t="s">
        <v>790</v>
      </c>
      <c r="D3741" s="673">
        <v>39864</v>
      </c>
      <c r="E3741" s="674">
        <v>10</v>
      </c>
      <c r="F3741" s="675">
        <v>0.1</v>
      </c>
      <c r="G3741" s="676">
        <v>9538</v>
      </c>
      <c r="H3741" s="929">
        <v>953.80000000000007</v>
      </c>
      <c r="I3741" s="929">
        <v>8584.2000000000007</v>
      </c>
      <c r="J3741" s="689">
        <f t="shared" si="59"/>
        <v>953.79999999999927</v>
      </c>
    </row>
    <row r="3742" spans="1:10" ht="12.75" customHeight="1" x14ac:dyDescent="0.2">
      <c r="A3742" s="681" t="s">
        <v>2372</v>
      </c>
      <c r="B3742" s="693" t="s">
        <v>6301</v>
      </c>
      <c r="C3742" s="672" t="s">
        <v>1007</v>
      </c>
      <c r="D3742" s="673">
        <v>39864</v>
      </c>
      <c r="E3742" s="674">
        <v>10</v>
      </c>
      <c r="F3742" s="675">
        <v>0.1</v>
      </c>
      <c r="G3742" s="676">
        <v>9850</v>
      </c>
      <c r="H3742" s="929">
        <v>985.00000000000011</v>
      </c>
      <c r="I3742" s="929">
        <v>8865</v>
      </c>
      <c r="J3742" s="689">
        <f t="shared" si="59"/>
        <v>985</v>
      </c>
    </row>
    <row r="3743" spans="1:10" ht="12.75" customHeight="1" x14ac:dyDescent="0.2">
      <c r="A3743" s="681" t="s">
        <v>2372</v>
      </c>
      <c r="B3743" s="693" t="s">
        <v>6302</v>
      </c>
      <c r="C3743" s="672" t="s">
        <v>1007</v>
      </c>
      <c r="D3743" s="673">
        <v>39864</v>
      </c>
      <c r="E3743" s="674">
        <v>10</v>
      </c>
      <c r="F3743" s="675">
        <v>0.1</v>
      </c>
      <c r="G3743" s="676">
        <v>10733</v>
      </c>
      <c r="H3743" s="929">
        <v>1073.2999999999997</v>
      </c>
      <c r="I3743" s="929">
        <v>9659.6999999999989</v>
      </c>
      <c r="J3743" s="689">
        <f t="shared" si="59"/>
        <v>1073.3000000000011</v>
      </c>
    </row>
    <row r="3744" spans="1:10" ht="12.75" customHeight="1" x14ac:dyDescent="0.2">
      <c r="A3744" s="681" t="s">
        <v>2372</v>
      </c>
      <c r="B3744" s="693" t="s">
        <v>6303</v>
      </c>
      <c r="C3744" s="672" t="s">
        <v>1007</v>
      </c>
      <c r="D3744" s="673">
        <v>39864</v>
      </c>
      <c r="E3744" s="674">
        <v>10</v>
      </c>
      <c r="F3744" s="675">
        <v>0.1</v>
      </c>
      <c r="G3744" s="676">
        <v>11385</v>
      </c>
      <c r="H3744" s="929">
        <v>1138.5</v>
      </c>
      <c r="I3744" s="929">
        <v>10246.5</v>
      </c>
      <c r="J3744" s="689">
        <f t="shared" si="59"/>
        <v>1138.5</v>
      </c>
    </row>
    <row r="3745" spans="1:10" ht="12.75" customHeight="1" x14ac:dyDescent="0.2">
      <c r="A3745" s="681" t="s">
        <v>2370</v>
      </c>
      <c r="B3745" s="693" t="s">
        <v>6304</v>
      </c>
      <c r="C3745" s="672" t="s">
        <v>790</v>
      </c>
      <c r="D3745" s="673">
        <v>39864</v>
      </c>
      <c r="E3745" s="674">
        <v>10</v>
      </c>
      <c r="F3745" s="675">
        <v>0.1</v>
      </c>
      <c r="G3745" s="676">
        <v>11494</v>
      </c>
      <c r="H3745" s="929">
        <v>1149.3999999999999</v>
      </c>
      <c r="I3745" s="929">
        <v>10344.599999999999</v>
      </c>
      <c r="J3745" s="689">
        <f t="shared" si="59"/>
        <v>1149.4000000000015</v>
      </c>
    </row>
    <row r="3746" spans="1:10" ht="12.75" customHeight="1" x14ac:dyDescent="0.2">
      <c r="A3746" s="681" t="s">
        <v>2370</v>
      </c>
      <c r="B3746" s="693" t="s">
        <v>6305</v>
      </c>
      <c r="C3746" s="672" t="s">
        <v>790</v>
      </c>
      <c r="D3746" s="673">
        <v>39864</v>
      </c>
      <c r="E3746" s="674">
        <v>10</v>
      </c>
      <c r="F3746" s="675">
        <v>0.1</v>
      </c>
      <c r="G3746" s="676">
        <v>11494</v>
      </c>
      <c r="H3746" s="929">
        <v>1149.3999999999999</v>
      </c>
      <c r="I3746" s="929">
        <v>10344.599999999999</v>
      </c>
      <c r="J3746" s="689">
        <f t="shared" si="59"/>
        <v>1149.4000000000015</v>
      </c>
    </row>
    <row r="3747" spans="1:10" ht="12.75" customHeight="1" x14ac:dyDescent="0.2">
      <c r="A3747" s="681" t="s">
        <v>2372</v>
      </c>
      <c r="B3747" s="693" t="s">
        <v>6306</v>
      </c>
      <c r="C3747" s="672" t="s">
        <v>1007</v>
      </c>
      <c r="D3747" s="673">
        <v>39864</v>
      </c>
      <c r="E3747" s="674">
        <v>10</v>
      </c>
      <c r="F3747" s="675">
        <v>0.1</v>
      </c>
      <c r="G3747" s="676">
        <v>12545</v>
      </c>
      <c r="H3747" s="929">
        <v>1254.5</v>
      </c>
      <c r="I3747" s="929">
        <v>11290.5</v>
      </c>
      <c r="J3747" s="689">
        <f t="shared" si="59"/>
        <v>1254.5</v>
      </c>
    </row>
    <row r="3748" spans="1:10" ht="12.75" customHeight="1" x14ac:dyDescent="0.2">
      <c r="A3748" s="681" t="s">
        <v>2372</v>
      </c>
      <c r="B3748" s="693" t="s">
        <v>6307</v>
      </c>
      <c r="C3748" s="672" t="s">
        <v>1007</v>
      </c>
      <c r="D3748" s="673">
        <v>39864</v>
      </c>
      <c r="E3748" s="674">
        <v>10</v>
      </c>
      <c r="F3748" s="675">
        <v>0.1</v>
      </c>
      <c r="G3748" s="676">
        <v>12545</v>
      </c>
      <c r="H3748" s="929">
        <v>1254.5</v>
      </c>
      <c r="I3748" s="929">
        <v>11290.5</v>
      </c>
      <c r="J3748" s="689">
        <f t="shared" si="59"/>
        <v>1254.5</v>
      </c>
    </row>
    <row r="3749" spans="1:10" ht="12.75" customHeight="1" x14ac:dyDescent="0.2">
      <c r="A3749" s="681" t="s">
        <v>2372</v>
      </c>
      <c r="B3749" s="693" t="s">
        <v>6308</v>
      </c>
      <c r="C3749" s="672" t="s">
        <v>737</v>
      </c>
      <c r="D3749" s="673">
        <v>39864</v>
      </c>
      <c r="E3749" s="674">
        <v>10</v>
      </c>
      <c r="F3749" s="675">
        <v>0.1</v>
      </c>
      <c r="G3749" s="676">
        <v>13055</v>
      </c>
      <c r="H3749" s="929">
        <v>1305.5</v>
      </c>
      <c r="I3749" s="929">
        <v>11749.5</v>
      </c>
      <c r="J3749" s="689">
        <f t="shared" si="59"/>
        <v>1305.5</v>
      </c>
    </row>
    <row r="3750" spans="1:10" ht="12.75" customHeight="1" x14ac:dyDescent="0.2">
      <c r="A3750" s="681" t="s">
        <v>2372</v>
      </c>
      <c r="B3750" s="693" t="s">
        <v>6309</v>
      </c>
      <c r="C3750" s="672" t="s">
        <v>737</v>
      </c>
      <c r="D3750" s="673">
        <v>39864</v>
      </c>
      <c r="E3750" s="674">
        <v>10</v>
      </c>
      <c r="F3750" s="675">
        <v>0.1</v>
      </c>
      <c r="G3750" s="676">
        <v>13055</v>
      </c>
      <c r="H3750" s="929">
        <v>1305.5</v>
      </c>
      <c r="I3750" s="929">
        <v>11749.5</v>
      </c>
      <c r="J3750" s="689">
        <f t="shared" si="59"/>
        <v>1305.5</v>
      </c>
    </row>
    <row r="3751" spans="1:10" ht="12.75" customHeight="1" x14ac:dyDescent="0.2">
      <c r="A3751" s="681" t="s">
        <v>2372</v>
      </c>
      <c r="B3751" s="693" t="s">
        <v>6310</v>
      </c>
      <c r="C3751" s="672" t="s">
        <v>737</v>
      </c>
      <c r="D3751" s="673">
        <v>39864</v>
      </c>
      <c r="E3751" s="674">
        <v>10</v>
      </c>
      <c r="F3751" s="675">
        <v>0.1</v>
      </c>
      <c r="G3751" s="676">
        <v>13055</v>
      </c>
      <c r="H3751" s="929">
        <v>1305.5</v>
      </c>
      <c r="I3751" s="929">
        <v>11749.5</v>
      </c>
      <c r="J3751" s="689">
        <f t="shared" si="59"/>
        <v>1305.5</v>
      </c>
    </row>
    <row r="3752" spans="1:10" ht="12.75" customHeight="1" x14ac:dyDescent="0.2">
      <c r="A3752" s="681" t="s">
        <v>2372</v>
      </c>
      <c r="B3752" s="693" t="s">
        <v>6311</v>
      </c>
      <c r="C3752" s="672" t="s">
        <v>737</v>
      </c>
      <c r="D3752" s="673">
        <v>39864</v>
      </c>
      <c r="E3752" s="674">
        <v>10</v>
      </c>
      <c r="F3752" s="675">
        <v>0.1</v>
      </c>
      <c r="G3752" s="676">
        <v>13055</v>
      </c>
      <c r="H3752" s="929">
        <v>1305.5</v>
      </c>
      <c r="I3752" s="929">
        <v>11749.5</v>
      </c>
      <c r="J3752" s="689">
        <f t="shared" si="59"/>
        <v>1305.5</v>
      </c>
    </row>
    <row r="3753" spans="1:10" ht="12.75" customHeight="1" x14ac:dyDescent="0.2">
      <c r="A3753" s="681" t="s">
        <v>2372</v>
      </c>
      <c r="B3753" s="693" t="s">
        <v>6312</v>
      </c>
      <c r="C3753" s="672" t="s">
        <v>737</v>
      </c>
      <c r="D3753" s="673">
        <v>39864</v>
      </c>
      <c r="E3753" s="674">
        <v>10</v>
      </c>
      <c r="F3753" s="675">
        <v>0.1</v>
      </c>
      <c r="G3753" s="676">
        <v>13055</v>
      </c>
      <c r="H3753" s="929">
        <v>1305.5</v>
      </c>
      <c r="I3753" s="929">
        <v>11749.5</v>
      </c>
      <c r="J3753" s="689">
        <f t="shared" si="59"/>
        <v>1305.5</v>
      </c>
    </row>
    <row r="3754" spans="1:10" ht="12.75" customHeight="1" x14ac:dyDescent="0.2">
      <c r="A3754" s="681" t="s">
        <v>2372</v>
      </c>
      <c r="B3754" s="693" t="s">
        <v>6313</v>
      </c>
      <c r="C3754" s="672" t="s">
        <v>737</v>
      </c>
      <c r="D3754" s="673">
        <v>39864</v>
      </c>
      <c r="E3754" s="674">
        <v>10</v>
      </c>
      <c r="F3754" s="675">
        <v>0.1</v>
      </c>
      <c r="G3754" s="676">
        <v>13055</v>
      </c>
      <c r="H3754" s="929">
        <v>1305.5</v>
      </c>
      <c r="I3754" s="929">
        <v>11749.5</v>
      </c>
      <c r="J3754" s="689">
        <f t="shared" si="59"/>
        <v>1305.5</v>
      </c>
    </row>
    <row r="3755" spans="1:10" ht="12.75" customHeight="1" x14ac:dyDescent="0.2">
      <c r="A3755" s="681" t="s">
        <v>2372</v>
      </c>
      <c r="B3755" s="693" t="s">
        <v>6314</v>
      </c>
      <c r="C3755" s="672" t="s">
        <v>737</v>
      </c>
      <c r="D3755" s="673">
        <v>39864</v>
      </c>
      <c r="E3755" s="674">
        <v>10</v>
      </c>
      <c r="F3755" s="675">
        <v>0.1</v>
      </c>
      <c r="G3755" s="676">
        <v>13055</v>
      </c>
      <c r="H3755" s="929">
        <v>1305.5</v>
      </c>
      <c r="I3755" s="929">
        <v>11749.5</v>
      </c>
      <c r="J3755" s="689">
        <f t="shared" si="59"/>
        <v>1305.5</v>
      </c>
    </row>
    <row r="3756" spans="1:10" ht="12.75" customHeight="1" x14ac:dyDescent="0.2">
      <c r="A3756" s="681" t="s">
        <v>2372</v>
      </c>
      <c r="B3756" s="693" t="s">
        <v>6315</v>
      </c>
      <c r="C3756" s="672" t="s">
        <v>737</v>
      </c>
      <c r="D3756" s="673">
        <v>39864</v>
      </c>
      <c r="E3756" s="674">
        <v>10</v>
      </c>
      <c r="F3756" s="675">
        <v>0.1</v>
      </c>
      <c r="G3756" s="676">
        <v>13055</v>
      </c>
      <c r="H3756" s="929">
        <v>1305.5</v>
      </c>
      <c r="I3756" s="929">
        <v>11749.5</v>
      </c>
      <c r="J3756" s="689">
        <f t="shared" si="59"/>
        <v>1305.5</v>
      </c>
    </row>
    <row r="3757" spans="1:10" ht="12.75" customHeight="1" x14ac:dyDescent="0.2">
      <c r="A3757" s="681" t="s">
        <v>2372</v>
      </c>
      <c r="B3757" s="693" t="s">
        <v>6316</v>
      </c>
      <c r="C3757" s="672" t="s">
        <v>737</v>
      </c>
      <c r="D3757" s="673">
        <v>39864</v>
      </c>
      <c r="E3757" s="674">
        <v>10</v>
      </c>
      <c r="F3757" s="675">
        <v>0.1</v>
      </c>
      <c r="G3757" s="676">
        <v>13055</v>
      </c>
      <c r="H3757" s="929">
        <v>1305.5</v>
      </c>
      <c r="I3757" s="929">
        <v>11749.5</v>
      </c>
      <c r="J3757" s="689">
        <f t="shared" si="59"/>
        <v>1305.5</v>
      </c>
    </row>
    <row r="3758" spans="1:10" ht="12.75" customHeight="1" x14ac:dyDescent="0.2">
      <c r="A3758" s="681" t="s">
        <v>2370</v>
      </c>
      <c r="B3758" s="693" t="s">
        <v>6317</v>
      </c>
      <c r="C3758" s="672" t="s">
        <v>963</v>
      </c>
      <c r="D3758" s="673">
        <v>39864</v>
      </c>
      <c r="E3758" s="674">
        <v>10</v>
      </c>
      <c r="F3758" s="675">
        <v>0.1</v>
      </c>
      <c r="G3758" s="676">
        <v>24732</v>
      </c>
      <c r="H3758" s="929">
        <v>2473.1999999999994</v>
      </c>
      <c r="I3758" s="929">
        <v>22258.800000000003</v>
      </c>
      <c r="J3758" s="689">
        <f t="shared" si="59"/>
        <v>2473.1999999999971</v>
      </c>
    </row>
    <row r="3759" spans="1:10" ht="12.75" customHeight="1" x14ac:dyDescent="0.2">
      <c r="A3759" s="681" t="s">
        <v>2370</v>
      </c>
      <c r="B3759" s="693" t="s">
        <v>6318</v>
      </c>
      <c r="C3759" s="672" t="s">
        <v>801</v>
      </c>
      <c r="D3759" s="673">
        <v>39864</v>
      </c>
      <c r="E3759" s="674">
        <v>10</v>
      </c>
      <c r="F3759" s="675">
        <v>0.1</v>
      </c>
      <c r="G3759" s="676">
        <v>27448</v>
      </c>
      <c r="H3759" s="929">
        <v>2744.7999999999993</v>
      </c>
      <c r="I3759" s="929">
        <v>24703.199999999997</v>
      </c>
      <c r="J3759" s="689">
        <f t="shared" si="59"/>
        <v>2744.8000000000029</v>
      </c>
    </row>
    <row r="3760" spans="1:10" ht="12.75" customHeight="1" x14ac:dyDescent="0.2">
      <c r="A3760" s="681" t="s">
        <v>2370</v>
      </c>
      <c r="B3760" s="693" t="s">
        <v>6319</v>
      </c>
      <c r="C3760" s="672" t="s">
        <v>883</v>
      </c>
      <c r="D3760" s="673">
        <v>39864</v>
      </c>
      <c r="E3760" s="674">
        <v>10</v>
      </c>
      <c r="F3760" s="675">
        <v>0.1</v>
      </c>
      <c r="G3760" s="676">
        <v>28053</v>
      </c>
      <c r="H3760" s="929">
        <v>2805.3000000000006</v>
      </c>
      <c r="I3760" s="929">
        <v>25247.699999999997</v>
      </c>
      <c r="J3760" s="689">
        <f t="shared" si="59"/>
        <v>2805.3000000000029</v>
      </c>
    </row>
    <row r="3761" spans="1:10" ht="12.75" customHeight="1" x14ac:dyDescent="0.2">
      <c r="A3761" s="681" t="s">
        <v>2370</v>
      </c>
      <c r="B3761" s="693" t="s">
        <v>6320</v>
      </c>
      <c r="C3761" s="672" t="s">
        <v>882</v>
      </c>
      <c r="D3761" s="673">
        <v>39864</v>
      </c>
      <c r="E3761" s="674">
        <v>10</v>
      </c>
      <c r="F3761" s="675">
        <v>0.1</v>
      </c>
      <c r="G3761" s="676">
        <v>75417</v>
      </c>
      <c r="H3761" s="929">
        <v>7541.7000000000016</v>
      </c>
      <c r="I3761" s="929">
        <v>67875.3</v>
      </c>
      <c r="J3761" s="689">
        <f t="shared" si="59"/>
        <v>7541.6999999999971</v>
      </c>
    </row>
    <row r="3762" spans="1:10" ht="12.75" customHeight="1" x14ac:dyDescent="0.2">
      <c r="A3762" s="681" t="s">
        <v>2370</v>
      </c>
      <c r="B3762" s="693" t="s">
        <v>6321</v>
      </c>
      <c r="C3762" s="672" t="s">
        <v>881</v>
      </c>
      <c r="D3762" s="673">
        <v>39864</v>
      </c>
      <c r="E3762" s="674">
        <v>10</v>
      </c>
      <c r="F3762" s="675">
        <v>0.1</v>
      </c>
      <c r="G3762" s="676">
        <v>80385</v>
      </c>
      <c r="H3762" s="929">
        <v>8038.5</v>
      </c>
      <c r="I3762" s="929">
        <v>72346.5</v>
      </c>
      <c r="J3762" s="689">
        <f t="shared" si="59"/>
        <v>8038.5</v>
      </c>
    </row>
    <row r="3763" spans="1:10" ht="12.75" customHeight="1" x14ac:dyDescent="0.2">
      <c r="A3763" s="681" t="s">
        <v>2370</v>
      </c>
      <c r="B3763" s="693" t="s">
        <v>6322</v>
      </c>
      <c r="C3763" s="672" t="s">
        <v>951</v>
      </c>
      <c r="D3763" s="673">
        <v>39864</v>
      </c>
      <c r="E3763" s="674">
        <v>10</v>
      </c>
      <c r="F3763" s="675">
        <v>0.1</v>
      </c>
      <c r="G3763" s="676">
        <v>166531</v>
      </c>
      <c r="H3763" s="929">
        <v>16653.099999999999</v>
      </c>
      <c r="I3763" s="929">
        <v>149877.90000000002</v>
      </c>
      <c r="J3763" s="689">
        <f t="shared" si="59"/>
        <v>16653.099999999977</v>
      </c>
    </row>
    <row r="3764" spans="1:10" ht="12.75" customHeight="1" x14ac:dyDescent="0.2">
      <c r="A3764" s="681" t="s">
        <v>2370</v>
      </c>
      <c r="B3764" s="693" t="s">
        <v>6323</v>
      </c>
      <c r="C3764" s="672" t="s">
        <v>952</v>
      </c>
      <c r="D3764" s="673">
        <v>39864</v>
      </c>
      <c r="E3764" s="674">
        <v>10</v>
      </c>
      <c r="F3764" s="675">
        <v>0.1</v>
      </c>
      <c r="G3764" s="676">
        <v>179997</v>
      </c>
      <c r="H3764" s="929">
        <v>17999.7</v>
      </c>
      <c r="I3764" s="929">
        <v>161997.30000000002</v>
      </c>
      <c r="J3764" s="689">
        <f t="shared" si="59"/>
        <v>17999.699999999983</v>
      </c>
    </row>
    <row r="3765" spans="1:10" ht="12.75" customHeight="1" x14ac:dyDescent="0.2">
      <c r="A3765" s="681" t="s">
        <v>2370</v>
      </c>
      <c r="B3765" s="693" t="s">
        <v>6324</v>
      </c>
      <c r="C3765" s="672" t="s">
        <v>952</v>
      </c>
      <c r="D3765" s="673">
        <v>39864</v>
      </c>
      <c r="E3765" s="674">
        <v>10</v>
      </c>
      <c r="F3765" s="675">
        <v>0.1</v>
      </c>
      <c r="G3765" s="676">
        <v>179997</v>
      </c>
      <c r="H3765" s="929">
        <v>17999.7</v>
      </c>
      <c r="I3765" s="929">
        <v>161997.30000000002</v>
      </c>
      <c r="J3765" s="689">
        <f t="shared" si="59"/>
        <v>17999.699999999983</v>
      </c>
    </row>
    <row r="3766" spans="1:10" ht="12.75" customHeight="1" x14ac:dyDescent="0.2">
      <c r="A3766" s="681" t="s">
        <v>2370</v>
      </c>
      <c r="B3766" s="693" t="s">
        <v>6325</v>
      </c>
      <c r="C3766" s="672" t="s">
        <v>880</v>
      </c>
      <c r="D3766" s="673">
        <v>39864</v>
      </c>
      <c r="E3766" s="674">
        <v>10</v>
      </c>
      <c r="F3766" s="675">
        <v>0.1</v>
      </c>
      <c r="G3766" s="676">
        <v>208079</v>
      </c>
      <c r="H3766" s="929">
        <v>20807.899999999994</v>
      </c>
      <c r="I3766" s="929">
        <v>187271.09999999998</v>
      </c>
      <c r="J3766" s="689">
        <f t="shared" si="59"/>
        <v>20807.900000000023</v>
      </c>
    </row>
    <row r="3767" spans="1:10" ht="12.75" customHeight="1" x14ac:dyDescent="0.2">
      <c r="A3767" s="681" t="s">
        <v>2370</v>
      </c>
      <c r="B3767" s="693" t="s">
        <v>6326</v>
      </c>
      <c r="C3767" s="672" t="s">
        <v>880</v>
      </c>
      <c r="D3767" s="673">
        <v>39864</v>
      </c>
      <c r="E3767" s="674">
        <v>10</v>
      </c>
      <c r="F3767" s="675">
        <v>0.1</v>
      </c>
      <c r="G3767" s="676">
        <v>208079</v>
      </c>
      <c r="H3767" s="929">
        <v>20807.899999999994</v>
      </c>
      <c r="I3767" s="929">
        <v>187271.09999999998</v>
      </c>
      <c r="J3767" s="689">
        <f t="shared" si="59"/>
        <v>20807.900000000023</v>
      </c>
    </row>
    <row r="3768" spans="1:10" ht="12.75" customHeight="1" x14ac:dyDescent="0.2">
      <c r="A3768" s="681" t="s">
        <v>2370</v>
      </c>
      <c r="B3768" s="693" t="s">
        <v>6327</v>
      </c>
      <c r="C3768" s="672" t="s">
        <v>785</v>
      </c>
      <c r="D3768" s="673">
        <v>40229</v>
      </c>
      <c r="E3768" s="674">
        <v>10</v>
      </c>
      <c r="F3768" s="675">
        <v>0.1</v>
      </c>
      <c r="G3768" s="676">
        <v>195</v>
      </c>
      <c r="H3768" s="929">
        <v>19.5</v>
      </c>
      <c r="I3768" s="929">
        <v>156</v>
      </c>
      <c r="J3768" s="689">
        <f t="shared" si="59"/>
        <v>39</v>
      </c>
    </row>
    <row r="3769" spans="1:10" ht="12.75" customHeight="1" x14ac:dyDescent="0.2">
      <c r="A3769" s="681" t="s">
        <v>2370</v>
      </c>
      <c r="B3769" s="693" t="s">
        <v>6328</v>
      </c>
      <c r="C3769" s="672" t="s">
        <v>818</v>
      </c>
      <c r="D3769" s="673">
        <v>40229</v>
      </c>
      <c r="E3769" s="674">
        <v>10</v>
      </c>
      <c r="F3769" s="675">
        <v>0.1</v>
      </c>
      <c r="G3769" s="676">
        <v>265</v>
      </c>
      <c r="H3769" s="929">
        <v>26.499999999999996</v>
      </c>
      <c r="I3769" s="929">
        <v>212</v>
      </c>
      <c r="J3769" s="689">
        <f t="shared" si="59"/>
        <v>53</v>
      </c>
    </row>
    <row r="3770" spans="1:10" ht="12.75" customHeight="1" x14ac:dyDescent="0.2">
      <c r="A3770" s="681" t="s">
        <v>2370</v>
      </c>
      <c r="B3770" s="693" t="s">
        <v>6329</v>
      </c>
      <c r="C3770" s="672" t="s">
        <v>818</v>
      </c>
      <c r="D3770" s="673">
        <v>40229</v>
      </c>
      <c r="E3770" s="674">
        <v>10</v>
      </c>
      <c r="F3770" s="675">
        <v>0.1</v>
      </c>
      <c r="G3770" s="676">
        <v>265</v>
      </c>
      <c r="H3770" s="929">
        <v>26.499999999999996</v>
      </c>
      <c r="I3770" s="929">
        <v>212</v>
      </c>
      <c r="J3770" s="689">
        <f t="shared" si="59"/>
        <v>53</v>
      </c>
    </row>
    <row r="3771" spans="1:10" ht="12.75" customHeight="1" x14ac:dyDescent="0.2">
      <c r="A3771" s="681" t="s">
        <v>2370</v>
      </c>
      <c r="B3771" s="693" t="s">
        <v>6330</v>
      </c>
      <c r="C3771" s="672" t="s">
        <v>818</v>
      </c>
      <c r="D3771" s="673">
        <v>40229</v>
      </c>
      <c r="E3771" s="674">
        <v>10</v>
      </c>
      <c r="F3771" s="675">
        <v>0.1</v>
      </c>
      <c r="G3771" s="676">
        <v>265</v>
      </c>
      <c r="H3771" s="929">
        <v>26.499999999999996</v>
      </c>
      <c r="I3771" s="929">
        <v>212</v>
      </c>
      <c r="J3771" s="689">
        <f t="shared" si="59"/>
        <v>53</v>
      </c>
    </row>
    <row r="3772" spans="1:10" ht="12.75" customHeight="1" x14ac:dyDescent="0.2">
      <c r="A3772" s="681" t="s">
        <v>2370</v>
      </c>
      <c r="B3772" s="693" t="s">
        <v>6331</v>
      </c>
      <c r="C3772" s="672" t="s">
        <v>818</v>
      </c>
      <c r="D3772" s="673">
        <v>40229</v>
      </c>
      <c r="E3772" s="674">
        <v>10</v>
      </c>
      <c r="F3772" s="675">
        <v>0.1</v>
      </c>
      <c r="G3772" s="676">
        <v>265</v>
      </c>
      <c r="H3772" s="929">
        <v>26.499999999999996</v>
      </c>
      <c r="I3772" s="929">
        <v>212</v>
      </c>
      <c r="J3772" s="689">
        <f t="shared" si="59"/>
        <v>53</v>
      </c>
    </row>
    <row r="3773" spans="1:10" ht="12.75" customHeight="1" x14ac:dyDescent="0.2">
      <c r="A3773" s="681" t="s">
        <v>2370</v>
      </c>
      <c r="B3773" s="693" t="s">
        <v>6332</v>
      </c>
      <c r="C3773" s="672" t="s">
        <v>818</v>
      </c>
      <c r="D3773" s="673">
        <v>40229</v>
      </c>
      <c r="E3773" s="674">
        <v>10</v>
      </c>
      <c r="F3773" s="675">
        <v>0.1</v>
      </c>
      <c r="G3773" s="676">
        <v>265</v>
      </c>
      <c r="H3773" s="929">
        <v>26.499999999999996</v>
      </c>
      <c r="I3773" s="929">
        <v>212</v>
      </c>
      <c r="J3773" s="689">
        <f t="shared" si="59"/>
        <v>53</v>
      </c>
    </row>
    <row r="3774" spans="1:10" ht="12.75" customHeight="1" x14ac:dyDescent="0.2">
      <c r="A3774" s="681" t="s">
        <v>2370</v>
      </c>
      <c r="B3774" s="693" t="s">
        <v>6333</v>
      </c>
      <c r="C3774" s="672" t="s">
        <v>818</v>
      </c>
      <c r="D3774" s="673">
        <v>40229</v>
      </c>
      <c r="E3774" s="674">
        <v>10</v>
      </c>
      <c r="F3774" s="675">
        <v>0.1</v>
      </c>
      <c r="G3774" s="676">
        <v>265</v>
      </c>
      <c r="H3774" s="929">
        <v>26.499999999999996</v>
      </c>
      <c r="I3774" s="929">
        <v>212</v>
      </c>
      <c r="J3774" s="689">
        <f t="shared" si="59"/>
        <v>53</v>
      </c>
    </row>
    <row r="3775" spans="1:10" ht="12.75" customHeight="1" x14ac:dyDescent="0.2">
      <c r="A3775" s="681" t="s">
        <v>2370</v>
      </c>
      <c r="B3775" s="693" t="s">
        <v>6334</v>
      </c>
      <c r="C3775" s="672" t="s">
        <v>818</v>
      </c>
      <c r="D3775" s="673">
        <v>40229</v>
      </c>
      <c r="E3775" s="674">
        <v>10</v>
      </c>
      <c r="F3775" s="675">
        <v>0.1</v>
      </c>
      <c r="G3775" s="676">
        <v>265</v>
      </c>
      <c r="H3775" s="929">
        <v>26.499999999999996</v>
      </c>
      <c r="I3775" s="929">
        <v>212</v>
      </c>
      <c r="J3775" s="689">
        <f t="shared" si="59"/>
        <v>53</v>
      </c>
    </row>
    <row r="3776" spans="1:10" ht="12.75" customHeight="1" x14ac:dyDescent="0.2">
      <c r="A3776" s="681" t="s">
        <v>2370</v>
      </c>
      <c r="B3776" s="693" t="s">
        <v>6335</v>
      </c>
      <c r="C3776" s="672" t="s">
        <v>818</v>
      </c>
      <c r="D3776" s="673">
        <v>40229</v>
      </c>
      <c r="E3776" s="674">
        <v>10</v>
      </c>
      <c r="F3776" s="675">
        <v>0.1</v>
      </c>
      <c r="G3776" s="676">
        <v>265</v>
      </c>
      <c r="H3776" s="929">
        <v>26.499999999999996</v>
      </c>
      <c r="I3776" s="929">
        <v>212</v>
      </c>
      <c r="J3776" s="689">
        <f t="shared" si="59"/>
        <v>53</v>
      </c>
    </row>
    <row r="3777" spans="1:10" ht="12.75" customHeight="1" x14ac:dyDescent="0.2">
      <c r="A3777" s="681" t="s">
        <v>2370</v>
      </c>
      <c r="B3777" s="693" t="s">
        <v>6336</v>
      </c>
      <c r="C3777" s="672" t="s">
        <v>818</v>
      </c>
      <c r="D3777" s="673">
        <v>40229</v>
      </c>
      <c r="E3777" s="674">
        <v>10</v>
      </c>
      <c r="F3777" s="675">
        <v>0.1</v>
      </c>
      <c r="G3777" s="676">
        <v>265</v>
      </c>
      <c r="H3777" s="929">
        <v>26.499999999999996</v>
      </c>
      <c r="I3777" s="929">
        <v>212</v>
      </c>
      <c r="J3777" s="689">
        <f t="shared" si="59"/>
        <v>53</v>
      </c>
    </row>
    <row r="3778" spans="1:10" ht="12.75" customHeight="1" x14ac:dyDescent="0.2">
      <c r="A3778" s="681" t="s">
        <v>2370</v>
      </c>
      <c r="B3778" s="693" t="s">
        <v>6337</v>
      </c>
      <c r="C3778" s="672" t="s">
        <v>818</v>
      </c>
      <c r="D3778" s="673">
        <v>40229</v>
      </c>
      <c r="E3778" s="674">
        <v>10</v>
      </c>
      <c r="F3778" s="675">
        <v>0.1</v>
      </c>
      <c r="G3778" s="676">
        <v>265</v>
      </c>
      <c r="H3778" s="929">
        <v>26.499999999999996</v>
      </c>
      <c r="I3778" s="929">
        <v>212</v>
      </c>
      <c r="J3778" s="689">
        <f t="shared" si="59"/>
        <v>53</v>
      </c>
    </row>
    <row r="3779" spans="1:10" ht="12.75" customHeight="1" x14ac:dyDescent="0.2">
      <c r="A3779" s="681" t="s">
        <v>2370</v>
      </c>
      <c r="B3779" s="693" t="s">
        <v>6338</v>
      </c>
      <c r="C3779" s="672" t="s">
        <v>818</v>
      </c>
      <c r="D3779" s="673">
        <v>40229</v>
      </c>
      <c r="E3779" s="674">
        <v>10</v>
      </c>
      <c r="F3779" s="675">
        <v>0.1</v>
      </c>
      <c r="G3779" s="676">
        <v>265</v>
      </c>
      <c r="H3779" s="929">
        <v>26.499999999999996</v>
      </c>
      <c r="I3779" s="929">
        <v>212</v>
      </c>
      <c r="J3779" s="689">
        <f t="shared" si="59"/>
        <v>53</v>
      </c>
    </row>
    <row r="3780" spans="1:10" ht="12.75" customHeight="1" x14ac:dyDescent="0.2">
      <c r="A3780" s="681" t="s">
        <v>2370</v>
      </c>
      <c r="B3780" s="693" t="s">
        <v>6339</v>
      </c>
      <c r="C3780" s="672" t="s">
        <v>818</v>
      </c>
      <c r="D3780" s="673">
        <v>40229</v>
      </c>
      <c r="E3780" s="674">
        <v>10</v>
      </c>
      <c r="F3780" s="675">
        <v>0.1</v>
      </c>
      <c r="G3780" s="676">
        <v>265</v>
      </c>
      <c r="H3780" s="929">
        <v>26.499999999999996</v>
      </c>
      <c r="I3780" s="929">
        <v>212</v>
      </c>
      <c r="J3780" s="689">
        <f t="shared" si="59"/>
        <v>53</v>
      </c>
    </row>
    <row r="3781" spans="1:10" ht="12.75" customHeight="1" x14ac:dyDescent="0.2">
      <c r="A3781" s="681" t="s">
        <v>2370</v>
      </c>
      <c r="B3781" s="693" t="s">
        <v>6340</v>
      </c>
      <c r="C3781" s="672" t="s">
        <v>818</v>
      </c>
      <c r="D3781" s="673">
        <v>40229</v>
      </c>
      <c r="E3781" s="674">
        <v>10</v>
      </c>
      <c r="F3781" s="675">
        <v>0.1</v>
      </c>
      <c r="G3781" s="676">
        <v>265</v>
      </c>
      <c r="H3781" s="929">
        <v>26.499999999999996</v>
      </c>
      <c r="I3781" s="929">
        <v>212</v>
      </c>
      <c r="J3781" s="689">
        <f t="shared" si="59"/>
        <v>53</v>
      </c>
    </row>
    <row r="3782" spans="1:10" ht="12.75" customHeight="1" x14ac:dyDescent="0.2">
      <c r="A3782" s="681" t="s">
        <v>2370</v>
      </c>
      <c r="B3782" s="693" t="s">
        <v>6341</v>
      </c>
      <c r="C3782" s="672" t="s">
        <v>818</v>
      </c>
      <c r="D3782" s="673">
        <v>40229</v>
      </c>
      <c r="E3782" s="674">
        <v>10</v>
      </c>
      <c r="F3782" s="675">
        <v>0.1</v>
      </c>
      <c r="G3782" s="676">
        <v>265</v>
      </c>
      <c r="H3782" s="929">
        <v>26.499999999999996</v>
      </c>
      <c r="I3782" s="929">
        <v>212</v>
      </c>
      <c r="J3782" s="689">
        <f t="shared" si="59"/>
        <v>53</v>
      </c>
    </row>
    <row r="3783" spans="1:10" ht="12.75" customHeight="1" x14ac:dyDescent="0.2">
      <c r="A3783" s="681" t="s">
        <v>2370</v>
      </c>
      <c r="B3783" s="693" t="s">
        <v>6342</v>
      </c>
      <c r="C3783" s="672" t="s">
        <v>818</v>
      </c>
      <c r="D3783" s="673">
        <v>40229</v>
      </c>
      <c r="E3783" s="674">
        <v>10</v>
      </c>
      <c r="F3783" s="675">
        <v>0.1</v>
      </c>
      <c r="G3783" s="676">
        <v>265</v>
      </c>
      <c r="H3783" s="929">
        <v>26.499999999999996</v>
      </c>
      <c r="I3783" s="929">
        <v>212</v>
      </c>
      <c r="J3783" s="689">
        <f t="shared" ref="J3783:J3846" si="60">G3783-I3783</f>
        <v>53</v>
      </c>
    </row>
    <row r="3784" spans="1:10" ht="12.75" customHeight="1" x14ac:dyDescent="0.2">
      <c r="A3784" s="681" t="s">
        <v>2370</v>
      </c>
      <c r="B3784" s="693" t="s">
        <v>6343</v>
      </c>
      <c r="C3784" s="672" t="s">
        <v>818</v>
      </c>
      <c r="D3784" s="673">
        <v>40229</v>
      </c>
      <c r="E3784" s="674">
        <v>10</v>
      </c>
      <c r="F3784" s="675">
        <v>0.1</v>
      </c>
      <c r="G3784" s="676">
        <v>265</v>
      </c>
      <c r="H3784" s="929">
        <v>26.499999999999996</v>
      </c>
      <c r="I3784" s="929">
        <v>212</v>
      </c>
      <c r="J3784" s="689">
        <f t="shared" si="60"/>
        <v>53</v>
      </c>
    </row>
    <row r="3785" spans="1:10" ht="12.75" customHeight="1" x14ac:dyDescent="0.2">
      <c r="A3785" s="681" t="s">
        <v>2370</v>
      </c>
      <c r="B3785" s="693" t="s">
        <v>6344</v>
      </c>
      <c r="C3785" s="672" t="s">
        <v>818</v>
      </c>
      <c r="D3785" s="673">
        <v>40229</v>
      </c>
      <c r="E3785" s="674">
        <v>10</v>
      </c>
      <c r="F3785" s="675">
        <v>0.1</v>
      </c>
      <c r="G3785" s="676">
        <v>265</v>
      </c>
      <c r="H3785" s="929">
        <v>26.499999999999996</v>
      </c>
      <c r="I3785" s="929">
        <v>212</v>
      </c>
      <c r="J3785" s="689">
        <f t="shared" si="60"/>
        <v>53</v>
      </c>
    </row>
    <row r="3786" spans="1:10" ht="12.75" customHeight="1" x14ac:dyDescent="0.2">
      <c r="A3786" s="681" t="s">
        <v>2370</v>
      </c>
      <c r="B3786" s="693" t="s">
        <v>6345</v>
      </c>
      <c r="C3786" s="672" t="s">
        <v>845</v>
      </c>
      <c r="D3786" s="673">
        <v>40229</v>
      </c>
      <c r="E3786" s="674">
        <v>10</v>
      </c>
      <c r="F3786" s="675">
        <v>0.1</v>
      </c>
      <c r="G3786" s="676">
        <v>265</v>
      </c>
      <c r="H3786" s="929">
        <v>26.499999999999996</v>
      </c>
      <c r="I3786" s="929">
        <v>212</v>
      </c>
      <c r="J3786" s="689">
        <f t="shared" si="60"/>
        <v>53</v>
      </c>
    </row>
    <row r="3787" spans="1:10" ht="12.75" customHeight="1" x14ac:dyDescent="0.2">
      <c r="A3787" s="681" t="s">
        <v>2370</v>
      </c>
      <c r="B3787" s="693" t="s">
        <v>6346</v>
      </c>
      <c r="C3787" s="672" t="s">
        <v>785</v>
      </c>
      <c r="D3787" s="673">
        <v>40229</v>
      </c>
      <c r="E3787" s="674">
        <v>10</v>
      </c>
      <c r="F3787" s="675">
        <v>0.1</v>
      </c>
      <c r="G3787" s="676">
        <v>988</v>
      </c>
      <c r="H3787" s="929">
        <v>98.8</v>
      </c>
      <c r="I3787" s="929">
        <v>790.39999999999986</v>
      </c>
      <c r="J3787" s="689">
        <f t="shared" si="60"/>
        <v>197.60000000000014</v>
      </c>
    </row>
    <row r="3788" spans="1:10" ht="12.75" customHeight="1" x14ac:dyDescent="0.2">
      <c r="A3788" s="681" t="s">
        <v>2370</v>
      </c>
      <c r="B3788" s="693" t="s">
        <v>6347</v>
      </c>
      <c r="C3788" s="672" t="s">
        <v>830</v>
      </c>
      <c r="D3788" s="673">
        <v>40229</v>
      </c>
      <c r="E3788" s="674">
        <v>10</v>
      </c>
      <c r="F3788" s="675">
        <v>0.1</v>
      </c>
      <c r="G3788" s="676">
        <v>1100</v>
      </c>
      <c r="H3788" s="929">
        <v>110.00000000000001</v>
      </c>
      <c r="I3788" s="929">
        <v>880</v>
      </c>
      <c r="J3788" s="689">
        <f t="shared" si="60"/>
        <v>220</v>
      </c>
    </row>
    <row r="3789" spans="1:10" ht="12.75" customHeight="1" x14ac:dyDescent="0.2">
      <c r="A3789" s="681" t="s">
        <v>2370</v>
      </c>
      <c r="B3789" s="693" t="s">
        <v>6348</v>
      </c>
      <c r="C3789" s="672" t="s">
        <v>790</v>
      </c>
      <c r="D3789" s="673">
        <v>40229</v>
      </c>
      <c r="E3789" s="674">
        <v>10</v>
      </c>
      <c r="F3789" s="675">
        <v>0.1</v>
      </c>
      <c r="G3789" s="676">
        <v>1288</v>
      </c>
      <c r="H3789" s="929">
        <v>128.79999999999998</v>
      </c>
      <c r="I3789" s="929">
        <v>1030.3999999999999</v>
      </c>
      <c r="J3789" s="689">
        <f t="shared" si="60"/>
        <v>257.60000000000014</v>
      </c>
    </row>
    <row r="3790" spans="1:10" ht="12.75" customHeight="1" x14ac:dyDescent="0.2">
      <c r="A3790" s="681" t="s">
        <v>2370</v>
      </c>
      <c r="B3790" s="693" t="s">
        <v>6349</v>
      </c>
      <c r="C3790" s="672" t="s">
        <v>790</v>
      </c>
      <c r="D3790" s="673">
        <v>40229</v>
      </c>
      <c r="E3790" s="674">
        <v>10</v>
      </c>
      <c r="F3790" s="675">
        <v>0.1</v>
      </c>
      <c r="G3790" s="676">
        <v>1326</v>
      </c>
      <c r="H3790" s="929">
        <v>132.6</v>
      </c>
      <c r="I3790" s="929">
        <v>1060.8</v>
      </c>
      <c r="J3790" s="689">
        <f t="shared" si="60"/>
        <v>265.20000000000005</v>
      </c>
    </row>
    <row r="3791" spans="1:10" ht="12.75" customHeight="1" x14ac:dyDescent="0.2">
      <c r="A3791" s="681" t="s">
        <v>2370</v>
      </c>
      <c r="B3791" s="693" t="s">
        <v>6350</v>
      </c>
      <c r="C3791" s="672" t="s">
        <v>795</v>
      </c>
      <c r="D3791" s="673">
        <v>40229</v>
      </c>
      <c r="E3791" s="674">
        <v>10</v>
      </c>
      <c r="F3791" s="675">
        <v>0.1</v>
      </c>
      <c r="G3791" s="676">
        <v>1761</v>
      </c>
      <c r="H3791" s="929">
        <v>176.10000000000002</v>
      </c>
      <c r="I3791" s="929">
        <v>1408.7999999999997</v>
      </c>
      <c r="J3791" s="689">
        <f t="shared" si="60"/>
        <v>352.20000000000027</v>
      </c>
    </row>
    <row r="3792" spans="1:10" ht="12.75" customHeight="1" x14ac:dyDescent="0.2">
      <c r="A3792" s="681" t="s">
        <v>2370</v>
      </c>
      <c r="B3792" s="693" t="s">
        <v>6351</v>
      </c>
      <c r="C3792" s="672" t="s">
        <v>795</v>
      </c>
      <c r="D3792" s="673">
        <v>40229</v>
      </c>
      <c r="E3792" s="674">
        <v>10</v>
      </c>
      <c r="F3792" s="675">
        <v>0.1</v>
      </c>
      <c r="G3792" s="676">
        <v>1761</v>
      </c>
      <c r="H3792" s="929">
        <v>176.10000000000002</v>
      </c>
      <c r="I3792" s="929">
        <v>1408.7999999999997</v>
      </c>
      <c r="J3792" s="689">
        <f t="shared" si="60"/>
        <v>352.20000000000027</v>
      </c>
    </row>
    <row r="3793" spans="1:10" ht="12.75" customHeight="1" x14ac:dyDescent="0.2">
      <c r="A3793" s="681" t="s">
        <v>2370</v>
      </c>
      <c r="B3793" s="693" t="s">
        <v>6352</v>
      </c>
      <c r="C3793" s="672" t="s">
        <v>785</v>
      </c>
      <c r="D3793" s="673">
        <v>40229</v>
      </c>
      <c r="E3793" s="674">
        <v>10</v>
      </c>
      <c r="F3793" s="675">
        <v>0.1</v>
      </c>
      <c r="G3793" s="676">
        <v>1840</v>
      </c>
      <c r="H3793" s="929">
        <v>184.00000000000003</v>
      </c>
      <c r="I3793" s="929">
        <v>1472</v>
      </c>
      <c r="J3793" s="689">
        <f t="shared" si="60"/>
        <v>368</v>
      </c>
    </row>
    <row r="3794" spans="1:10" ht="12.75" customHeight="1" x14ac:dyDescent="0.2">
      <c r="A3794" s="681" t="s">
        <v>2370</v>
      </c>
      <c r="B3794" s="693" t="s">
        <v>6353</v>
      </c>
      <c r="C3794" s="672" t="s">
        <v>832</v>
      </c>
      <c r="D3794" s="673">
        <v>40229</v>
      </c>
      <c r="E3794" s="674">
        <v>10</v>
      </c>
      <c r="F3794" s="675">
        <v>0.1</v>
      </c>
      <c r="G3794" s="676">
        <v>2178</v>
      </c>
      <c r="H3794" s="929">
        <v>217.80000000000004</v>
      </c>
      <c r="I3794" s="929">
        <v>1742.3999999999999</v>
      </c>
      <c r="J3794" s="689">
        <f t="shared" si="60"/>
        <v>435.60000000000014</v>
      </c>
    </row>
    <row r="3795" spans="1:10" ht="12.75" customHeight="1" x14ac:dyDescent="0.2">
      <c r="A3795" s="681" t="s">
        <v>2370</v>
      </c>
      <c r="B3795" s="693" t="s">
        <v>6354</v>
      </c>
      <c r="C3795" s="672" t="s">
        <v>835</v>
      </c>
      <c r="D3795" s="673">
        <v>40229</v>
      </c>
      <c r="E3795" s="674">
        <v>10</v>
      </c>
      <c r="F3795" s="675">
        <v>0.1</v>
      </c>
      <c r="G3795" s="676">
        <v>2200</v>
      </c>
      <c r="H3795" s="929">
        <v>220.00000000000003</v>
      </c>
      <c r="I3795" s="929">
        <v>1760</v>
      </c>
      <c r="J3795" s="689">
        <f t="shared" si="60"/>
        <v>440</v>
      </c>
    </row>
    <row r="3796" spans="1:10" ht="12.75" customHeight="1" x14ac:dyDescent="0.2">
      <c r="A3796" s="681" t="s">
        <v>2370</v>
      </c>
      <c r="B3796" s="693" t="s">
        <v>6355</v>
      </c>
      <c r="C3796" s="672" t="s">
        <v>786</v>
      </c>
      <c r="D3796" s="673">
        <v>40229</v>
      </c>
      <c r="E3796" s="674">
        <v>10</v>
      </c>
      <c r="F3796" s="675">
        <v>0.1</v>
      </c>
      <c r="G3796" s="676">
        <v>2321</v>
      </c>
      <c r="H3796" s="929">
        <v>232.1</v>
      </c>
      <c r="I3796" s="929">
        <v>1856.7999999999997</v>
      </c>
      <c r="J3796" s="689">
        <f t="shared" si="60"/>
        <v>464.20000000000027</v>
      </c>
    </row>
    <row r="3797" spans="1:10" ht="12.75" customHeight="1" x14ac:dyDescent="0.2">
      <c r="A3797" s="681" t="s">
        <v>2370</v>
      </c>
      <c r="B3797" s="693" t="s">
        <v>6356</v>
      </c>
      <c r="C3797" s="672" t="s">
        <v>787</v>
      </c>
      <c r="D3797" s="673">
        <v>40229</v>
      </c>
      <c r="E3797" s="674">
        <v>10</v>
      </c>
      <c r="F3797" s="675">
        <v>0.1</v>
      </c>
      <c r="G3797" s="676">
        <v>2588</v>
      </c>
      <c r="H3797" s="929">
        <v>258.8</v>
      </c>
      <c r="I3797" s="929">
        <v>2070.4</v>
      </c>
      <c r="J3797" s="689">
        <f t="shared" si="60"/>
        <v>517.59999999999991</v>
      </c>
    </row>
    <row r="3798" spans="1:10" ht="12.75" customHeight="1" x14ac:dyDescent="0.2">
      <c r="A3798" s="681" t="s">
        <v>2370</v>
      </c>
      <c r="B3798" s="693" t="s">
        <v>6357</v>
      </c>
      <c r="C3798" s="672" t="s">
        <v>940</v>
      </c>
      <c r="D3798" s="673">
        <v>40229</v>
      </c>
      <c r="E3798" s="674">
        <v>10</v>
      </c>
      <c r="F3798" s="675">
        <v>0.1</v>
      </c>
      <c r="G3798" s="676">
        <v>2608</v>
      </c>
      <c r="H3798" s="929">
        <v>260.80000000000007</v>
      </c>
      <c r="I3798" s="929">
        <v>2086.4</v>
      </c>
      <c r="J3798" s="689">
        <f t="shared" si="60"/>
        <v>521.59999999999991</v>
      </c>
    </row>
    <row r="3799" spans="1:10" ht="12.75" customHeight="1" x14ac:dyDescent="0.2">
      <c r="A3799" s="681" t="s">
        <v>2370</v>
      </c>
      <c r="B3799" s="693" t="s">
        <v>6358</v>
      </c>
      <c r="C3799" s="672" t="s">
        <v>940</v>
      </c>
      <c r="D3799" s="673">
        <v>40229</v>
      </c>
      <c r="E3799" s="674">
        <v>10</v>
      </c>
      <c r="F3799" s="675">
        <v>0.1</v>
      </c>
      <c r="G3799" s="676">
        <v>2608</v>
      </c>
      <c r="H3799" s="929">
        <v>260.80000000000007</v>
      </c>
      <c r="I3799" s="929">
        <v>2086.4</v>
      </c>
      <c r="J3799" s="689">
        <f t="shared" si="60"/>
        <v>521.59999999999991</v>
      </c>
    </row>
    <row r="3800" spans="1:10" ht="12.75" customHeight="1" x14ac:dyDescent="0.2">
      <c r="A3800" s="681" t="s">
        <v>2370</v>
      </c>
      <c r="B3800" s="693" t="s">
        <v>6359</v>
      </c>
      <c r="C3800" s="672" t="s">
        <v>791</v>
      </c>
      <c r="D3800" s="673">
        <v>40229</v>
      </c>
      <c r="E3800" s="674">
        <v>10</v>
      </c>
      <c r="F3800" s="675">
        <v>0.1</v>
      </c>
      <c r="G3800" s="676">
        <v>2645</v>
      </c>
      <c r="H3800" s="929">
        <v>264.49999999999994</v>
      </c>
      <c r="I3800" s="929">
        <v>2116</v>
      </c>
      <c r="J3800" s="689">
        <f t="shared" si="60"/>
        <v>529</v>
      </c>
    </row>
    <row r="3801" spans="1:10" ht="12.75" customHeight="1" x14ac:dyDescent="0.2">
      <c r="A3801" s="681" t="s">
        <v>2370</v>
      </c>
      <c r="B3801" s="693" t="s">
        <v>6360</v>
      </c>
      <c r="C3801" s="672" t="s">
        <v>787</v>
      </c>
      <c r="D3801" s="673">
        <v>40229</v>
      </c>
      <c r="E3801" s="674">
        <v>10</v>
      </c>
      <c r="F3801" s="675">
        <v>0.1</v>
      </c>
      <c r="G3801" s="676">
        <v>2852</v>
      </c>
      <c r="H3801" s="929">
        <v>285.19999999999993</v>
      </c>
      <c r="I3801" s="929">
        <v>2281.6</v>
      </c>
      <c r="J3801" s="689">
        <f t="shared" si="60"/>
        <v>570.40000000000009</v>
      </c>
    </row>
    <row r="3802" spans="1:10" ht="12.75" customHeight="1" x14ac:dyDescent="0.2">
      <c r="A3802" s="681" t="s">
        <v>2370</v>
      </c>
      <c r="B3802" s="693" t="s">
        <v>6361</v>
      </c>
      <c r="C3802" s="672" t="s">
        <v>807</v>
      </c>
      <c r="D3802" s="673">
        <v>40229</v>
      </c>
      <c r="E3802" s="674">
        <v>10</v>
      </c>
      <c r="F3802" s="675">
        <v>0.1</v>
      </c>
      <c r="G3802" s="676">
        <v>3016</v>
      </c>
      <c r="H3802" s="929">
        <v>301.59999999999997</v>
      </c>
      <c r="I3802" s="929">
        <v>2412.7999999999997</v>
      </c>
      <c r="J3802" s="689">
        <f t="shared" si="60"/>
        <v>603.20000000000027</v>
      </c>
    </row>
    <row r="3803" spans="1:10" ht="12.75" customHeight="1" x14ac:dyDescent="0.2">
      <c r="A3803" s="681" t="s">
        <v>2370</v>
      </c>
      <c r="B3803" s="693" t="s">
        <v>6362</v>
      </c>
      <c r="C3803" s="672" t="s">
        <v>791</v>
      </c>
      <c r="D3803" s="673">
        <v>40229</v>
      </c>
      <c r="E3803" s="674">
        <v>10</v>
      </c>
      <c r="F3803" s="675">
        <v>0.1</v>
      </c>
      <c r="G3803" s="676">
        <v>3436</v>
      </c>
      <c r="H3803" s="929">
        <v>343.59999999999997</v>
      </c>
      <c r="I3803" s="929">
        <v>2748.7999999999997</v>
      </c>
      <c r="J3803" s="689">
        <f t="shared" si="60"/>
        <v>687.20000000000027</v>
      </c>
    </row>
    <row r="3804" spans="1:10" ht="12.75" customHeight="1" x14ac:dyDescent="0.2">
      <c r="A3804" s="681" t="s">
        <v>2370</v>
      </c>
      <c r="B3804" s="693" t="s">
        <v>6363</v>
      </c>
      <c r="C3804" s="672" t="s">
        <v>791</v>
      </c>
      <c r="D3804" s="673">
        <v>40229</v>
      </c>
      <c r="E3804" s="674">
        <v>10</v>
      </c>
      <c r="F3804" s="675">
        <v>0.1</v>
      </c>
      <c r="G3804" s="676">
        <v>3436</v>
      </c>
      <c r="H3804" s="929">
        <v>343.59999999999997</v>
      </c>
      <c r="I3804" s="929">
        <v>2748.7999999999997</v>
      </c>
      <c r="J3804" s="689">
        <f t="shared" si="60"/>
        <v>687.20000000000027</v>
      </c>
    </row>
    <row r="3805" spans="1:10" ht="12.75" customHeight="1" x14ac:dyDescent="0.2">
      <c r="A3805" s="681" t="s">
        <v>2370</v>
      </c>
      <c r="B3805" s="693" t="s">
        <v>6364</v>
      </c>
      <c r="C3805" s="672" t="s">
        <v>791</v>
      </c>
      <c r="D3805" s="673">
        <v>40229</v>
      </c>
      <c r="E3805" s="674">
        <v>10</v>
      </c>
      <c r="F3805" s="675">
        <v>0.1</v>
      </c>
      <c r="G3805" s="676">
        <v>3436</v>
      </c>
      <c r="H3805" s="929">
        <v>343.59999999999997</v>
      </c>
      <c r="I3805" s="929">
        <v>2748.7999999999997</v>
      </c>
      <c r="J3805" s="689">
        <f t="shared" si="60"/>
        <v>687.20000000000027</v>
      </c>
    </row>
    <row r="3806" spans="1:10" ht="12.75" customHeight="1" x14ac:dyDescent="0.2">
      <c r="A3806" s="681" t="s">
        <v>2370</v>
      </c>
      <c r="B3806" s="693" t="s">
        <v>6365</v>
      </c>
      <c r="C3806" s="672" t="s">
        <v>827</v>
      </c>
      <c r="D3806" s="673">
        <v>40229</v>
      </c>
      <c r="E3806" s="674">
        <v>10</v>
      </c>
      <c r="F3806" s="675">
        <v>0.1</v>
      </c>
      <c r="G3806" s="676">
        <v>5262</v>
      </c>
      <c r="H3806" s="929">
        <v>526.20000000000016</v>
      </c>
      <c r="I3806" s="929">
        <v>4209.6000000000004</v>
      </c>
      <c r="J3806" s="689">
        <f t="shared" si="60"/>
        <v>1052.3999999999996</v>
      </c>
    </row>
    <row r="3807" spans="1:10" ht="12.75" customHeight="1" x14ac:dyDescent="0.2">
      <c r="A3807" s="681" t="s">
        <v>2370</v>
      </c>
      <c r="B3807" s="693" t="s">
        <v>6366</v>
      </c>
      <c r="C3807" s="672" t="s">
        <v>790</v>
      </c>
      <c r="D3807" s="673">
        <v>40229</v>
      </c>
      <c r="E3807" s="674">
        <v>10</v>
      </c>
      <c r="F3807" s="675">
        <v>0.1</v>
      </c>
      <c r="G3807" s="676">
        <v>9538</v>
      </c>
      <c r="H3807" s="929">
        <v>953.80000000000007</v>
      </c>
      <c r="I3807" s="929">
        <v>7630.4000000000005</v>
      </c>
      <c r="J3807" s="689">
        <f t="shared" si="60"/>
        <v>1907.5999999999995</v>
      </c>
    </row>
    <row r="3808" spans="1:10" ht="12.75" customHeight="1" x14ac:dyDescent="0.2">
      <c r="A3808" s="681" t="s">
        <v>2370</v>
      </c>
      <c r="B3808" s="693" t="s">
        <v>6367</v>
      </c>
      <c r="C3808" s="672" t="s">
        <v>790</v>
      </c>
      <c r="D3808" s="673">
        <v>40229</v>
      </c>
      <c r="E3808" s="674">
        <v>10</v>
      </c>
      <c r="F3808" s="675">
        <v>0.1</v>
      </c>
      <c r="G3808" s="676">
        <v>9538</v>
      </c>
      <c r="H3808" s="929">
        <v>953.80000000000007</v>
      </c>
      <c r="I3808" s="929">
        <v>7630.4000000000005</v>
      </c>
      <c r="J3808" s="689">
        <f t="shared" si="60"/>
        <v>1907.5999999999995</v>
      </c>
    </row>
    <row r="3809" spans="1:10" ht="12.75" customHeight="1" x14ac:dyDescent="0.2">
      <c r="A3809" s="681" t="s">
        <v>2372</v>
      </c>
      <c r="B3809" s="693" t="s">
        <v>6368</v>
      </c>
      <c r="C3809" s="672" t="s">
        <v>737</v>
      </c>
      <c r="D3809" s="673">
        <v>40229</v>
      </c>
      <c r="E3809" s="674">
        <v>10</v>
      </c>
      <c r="F3809" s="675">
        <v>0.1</v>
      </c>
      <c r="G3809" s="676">
        <v>12446</v>
      </c>
      <c r="H3809" s="929">
        <v>1244.6000000000001</v>
      </c>
      <c r="I3809" s="929">
        <v>9956.8000000000011</v>
      </c>
      <c r="J3809" s="689">
        <f t="shared" si="60"/>
        <v>2489.1999999999989</v>
      </c>
    </row>
    <row r="3810" spans="1:10" ht="12.75" customHeight="1" x14ac:dyDescent="0.2">
      <c r="A3810" s="681" t="s">
        <v>2372</v>
      </c>
      <c r="B3810" s="693" t="s">
        <v>6369</v>
      </c>
      <c r="C3810" s="672" t="s">
        <v>737</v>
      </c>
      <c r="D3810" s="673">
        <v>40229</v>
      </c>
      <c r="E3810" s="674">
        <v>10</v>
      </c>
      <c r="F3810" s="675">
        <v>0.1</v>
      </c>
      <c r="G3810" s="676">
        <v>12446</v>
      </c>
      <c r="H3810" s="929">
        <v>1244.6000000000001</v>
      </c>
      <c r="I3810" s="929">
        <v>9956.8000000000011</v>
      </c>
      <c r="J3810" s="689">
        <f t="shared" si="60"/>
        <v>2489.1999999999989</v>
      </c>
    </row>
    <row r="3811" spans="1:10" ht="12.75" customHeight="1" x14ac:dyDescent="0.2">
      <c r="A3811" s="681" t="s">
        <v>2372</v>
      </c>
      <c r="B3811" s="693" t="s">
        <v>6370</v>
      </c>
      <c r="C3811" s="672" t="s">
        <v>737</v>
      </c>
      <c r="D3811" s="673">
        <v>40229</v>
      </c>
      <c r="E3811" s="674">
        <v>10</v>
      </c>
      <c r="F3811" s="675">
        <v>0.1</v>
      </c>
      <c r="G3811" s="676">
        <v>12446</v>
      </c>
      <c r="H3811" s="929">
        <v>1244.6000000000001</v>
      </c>
      <c r="I3811" s="929">
        <v>9956.8000000000011</v>
      </c>
      <c r="J3811" s="689">
        <f t="shared" si="60"/>
        <v>2489.1999999999989</v>
      </c>
    </row>
    <row r="3812" spans="1:10" ht="12.75" customHeight="1" x14ac:dyDescent="0.2">
      <c r="A3812" s="681" t="s">
        <v>2372</v>
      </c>
      <c r="B3812" s="693" t="s">
        <v>6371</v>
      </c>
      <c r="C3812" s="672" t="s">
        <v>737</v>
      </c>
      <c r="D3812" s="673">
        <v>40229</v>
      </c>
      <c r="E3812" s="674">
        <v>10</v>
      </c>
      <c r="F3812" s="675">
        <v>0.1</v>
      </c>
      <c r="G3812" s="676">
        <v>12446</v>
      </c>
      <c r="H3812" s="929">
        <v>1244.6000000000001</v>
      </c>
      <c r="I3812" s="929">
        <v>9956.8000000000011</v>
      </c>
      <c r="J3812" s="689">
        <f t="shared" si="60"/>
        <v>2489.1999999999989</v>
      </c>
    </row>
    <row r="3813" spans="1:10" ht="12.75" customHeight="1" x14ac:dyDescent="0.2">
      <c r="A3813" s="681" t="s">
        <v>2372</v>
      </c>
      <c r="B3813" s="693" t="s">
        <v>6372</v>
      </c>
      <c r="C3813" s="672" t="s">
        <v>737</v>
      </c>
      <c r="D3813" s="673">
        <v>40229</v>
      </c>
      <c r="E3813" s="674">
        <v>10</v>
      </c>
      <c r="F3813" s="675">
        <v>0.1</v>
      </c>
      <c r="G3813" s="676">
        <v>12446</v>
      </c>
      <c r="H3813" s="929">
        <v>1244.6000000000001</v>
      </c>
      <c r="I3813" s="929">
        <v>9956.8000000000011</v>
      </c>
      <c r="J3813" s="689">
        <f t="shared" si="60"/>
        <v>2489.1999999999989</v>
      </c>
    </row>
    <row r="3814" spans="1:10" ht="12.75" customHeight="1" x14ac:dyDescent="0.2">
      <c r="A3814" s="681" t="s">
        <v>2372</v>
      </c>
      <c r="B3814" s="693" t="s">
        <v>6373</v>
      </c>
      <c r="C3814" s="672" t="s">
        <v>737</v>
      </c>
      <c r="D3814" s="673">
        <v>40229</v>
      </c>
      <c r="E3814" s="674">
        <v>10</v>
      </c>
      <c r="F3814" s="675">
        <v>0.1</v>
      </c>
      <c r="G3814" s="676">
        <v>12446</v>
      </c>
      <c r="H3814" s="929">
        <v>1244.6000000000001</v>
      </c>
      <c r="I3814" s="929">
        <v>9956.8000000000011</v>
      </c>
      <c r="J3814" s="689">
        <f t="shared" si="60"/>
        <v>2489.1999999999989</v>
      </c>
    </row>
    <row r="3815" spans="1:10" ht="12.75" customHeight="1" x14ac:dyDescent="0.2">
      <c r="A3815" s="681" t="s">
        <v>2372</v>
      </c>
      <c r="B3815" s="693" t="s">
        <v>6374</v>
      </c>
      <c r="C3815" s="672" t="s">
        <v>737</v>
      </c>
      <c r="D3815" s="673">
        <v>40229</v>
      </c>
      <c r="E3815" s="674">
        <v>10</v>
      </c>
      <c r="F3815" s="675">
        <v>0.1</v>
      </c>
      <c r="G3815" s="676">
        <v>12446</v>
      </c>
      <c r="H3815" s="929">
        <v>1244.6000000000001</v>
      </c>
      <c r="I3815" s="929">
        <v>9956.8000000000011</v>
      </c>
      <c r="J3815" s="689">
        <f t="shared" si="60"/>
        <v>2489.1999999999989</v>
      </c>
    </row>
    <row r="3816" spans="1:10" ht="12.75" customHeight="1" x14ac:dyDescent="0.2">
      <c r="A3816" s="681" t="s">
        <v>2372</v>
      </c>
      <c r="B3816" s="693" t="s">
        <v>6375</v>
      </c>
      <c r="C3816" s="672" t="s">
        <v>737</v>
      </c>
      <c r="D3816" s="673">
        <v>40229</v>
      </c>
      <c r="E3816" s="674">
        <v>10</v>
      </c>
      <c r="F3816" s="675">
        <v>0.1</v>
      </c>
      <c r="G3816" s="676">
        <v>12446</v>
      </c>
      <c r="H3816" s="929">
        <v>1244.6000000000001</v>
      </c>
      <c r="I3816" s="929">
        <v>9956.8000000000011</v>
      </c>
      <c r="J3816" s="689">
        <f t="shared" si="60"/>
        <v>2489.1999999999989</v>
      </c>
    </row>
    <row r="3817" spans="1:10" ht="12.75" customHeight="1" x14ac:dyDescent="0.2">
      <c r="A3817" s="681" t="s">
        <v>2372</v>
      </c>
      <c r="B3817" s="693" t="s">
        <v>6376</v>
      </c>
      <c r="C3817" s="672" t="s">
        <v>737</v>
      </c>
      <c r="D3817" s="673">
        <v>40229</v>
      </c>
      <c r="E3817" s="674">
        <v>10</v>
      </c>
      <c r="F3817" s="675">
        <v>0.1</v>
      </c>
      <c r="G3817" s="676">
        <v>12446</v>
      </c>
      <c r="H3817" s="929">
        <v>1244.6000000000001</v>
      </c>
      <c r="I3817" s="929">
        <v>9956.8000000000011</v>
      </c>
      <c r="J3817" s="689">
        <f t="shared" si="60"/>
        <v>2489.1999999999989</v>
      </c>
    </row>
    <row r="3818" spans="1:10" ht="12.75" customHeight="1" x14ac:dyDescent="0.2">
      <c r="A3818" s="681" t="s">
        <v>2372</v>
      </c>
      <c r="B3818" s="693" t="s">
        <v>6377</v>
      </c>
      <c r="C3818" s="672" t="s">
        <v>737</v>
      </c>
      <c r="D3818" s="673">
        <v>40229</v>
      </c>
      <c r="E3818" s="674">
        <v>10</v>
      </c>
      <c r="F3818" s="675">
        <v>0.1</v>
      </c>
      <c r="G3818" s="676">
        <v>12446</v>
      </c>
      <c r="H3818" s="929">
        <v>1244.6000000000001</v>
      </c>
      <c r="I3818" s="929">
        <v>9956.8000000000011</v>
      </c>
      <c r="J3818" s="689">
        <f t="shared" si="60"/>
        <v>2489.1999999999989</v>
      </c>
    </row>
    <row r="3819" spans="1:10" ht="12.75" customHeight="1" x14ac:dyDescent="0.2">
      <c r="A3819" s="681" t="s">
        <v>2372</v>
      </c>
      <c r="B3819" s="693" t="s">
        <v>6378</v>
      </c>
      <c r="C3819" s="672" t="s">
        <v>737</v>
      </c>
      <c r="D3819" s="673">
        <v>40229</v>
      </c>
      <c r="E3819" s="674">
        <v>10</v>
      </c>
      <c r="F3819" s="675">
        <v>0.1</v>
      </c>
      <c r="G3819" s="676">
        <v>15280.68</v>
      </c>
      <c r="H3819" s="929">
        <v>1528.0679999999995</v>
      </c>
      <c r="I3819" s="929">
        <v>12224.543999999998</v>
      </c>
      <c r="J3819" s="689">
        <f t="shared" si="60"/>
        <v>3056.1360000000022</v>
      </c>
    </row>
    <row r="3820" spans="1:10" ht="12.75" customHeight="1" x14ac:dyDescent="0.2">
      <c r="A3820" s="681" t="s">
        <v>2370</v>
      </c>
      <c r="B3820" s="693" t="s">
        <v>6379</v>
      </c>
      <c r="C3820" s="672" t="s">
        <v>801</v>
      </c>
      <c r="D3820" s="673">
        <v>40229</v>
      </c>
      <c r="E3820" s="674">
        <v>10</v>
      </c>
      <c r="F3820" s="675">
        <v>0.1</v>
      </c>
      <c r="G3820" s="676">
        <v>27448</v>
      </c>
      <c r="H3820" s="929">
        <v>2744.7999999999993</v>
      </c>
      <c r="I3820" s="929">
        <v>21958.399999999998</v>
      </c>
      <c r="J3820" s="689">
        <f t="shared" si="60"/>
        <v>5489.6000000000022</v>
      </c>
    </row>
    <row r="3821" spans="1:10" ht="12.75" customHeight="1" x14ac:dyDescent="0.2">
      <c r="A3821" s="681" t="s">
        <v>2370</v>
      </c>
      <c r="B3821" s="693" t="s">
        <v>6380</v>
      </c>
      <c r="C3821" s="672" t="s">
        <v>814</v>
      </c>
      <c r="D3821" s="673">
        <v>40594</v>
      </c>
      <c r="E3821" s="674">
        <v>10</v>
      </c>
      <c r="F3821" s="675">
        <v>0.1</v>
      </c>
      <c r="G3821" s="676">
        <v>97.21</v>
      </c>
      <c r="H3821" s="929">
        <v>9.7209999999999983</v>
      </c>
      <c r="I3821" s="929">
        <v>68.046999999999997</v>
      </c>
      <c r="J3821" s="689">
        <f t="shared" si="60"/>
        <v>29.162999999999997</v>
      </c>
    </row>
    <row r="3822" spans="1:10" ht="12.75" customHeight="1" x14ac:dyDescent="0.2">
      <c r="A3822" s="681" t="s">
        <v>2370</v>
      </c>
      <c r="B3822" s="693" t="s">
        <v>6381</v>
      </c>
      <c r="C3822" s="672" t="s">
        <v>814</v>
      </c>
      <c r="D3822" s="673">
        <v>40594</v>
      </c>
      <c r="E3822" s="674">
        <v>10</v>
      </c>
      <c r="F3822" s="675">
        <v>0.1</v>
      </c>
      <c r="G3822" s="676">
        <v>139.63</v>
      </c>
      <c r="H3822" s="929">
        <v>13.962999999999999</v>
      </c>
      <c r="I3822" s="929">
        <v>97.740999999999985</v>
      </c>
      <c r="J3822" s="689">
        <f t="shared" si="60"/>
        <v>41.88900000000001</v>
      </c>
    </row>
    <row r="3823" spans="1:10" ht="12.75" customHeight="1" x14ac:dyDescent="0.2">
      <c r="A3823" s="681" t="s">
        <v>2370</v>
      </c>
      <c r="B3823" s="693" t="s">
        <v>6382</v>
      </c>
      <c r="C3823" s="672" t="s">
        <v>798</v>
      </c>
      <c r="D3823" s="673">
        <v>40594</v>
      </c>
      <c r="E3823" s="674">
        <v>10</v>
      </c>
      <c r="F3823" s="675">
        <v>0.1</v>
      </c>
      <c r="G3823" s="676">
        <v>144.5</v>
      </c>
      <c r="H3823" s="929">
        <v>14.449999999999996</v>
      </c>
      <c r="I3823" s="929">
        <v>101.14999999999998</v>
      </c>
      <c r="J3823" s="689">
        <f t="shared" si="60"/>
        <v>43.350000000000023</v>
      </c>
    </row>
    <row r="3824" spans="1:10" ht="12.75" customHeight="1" x14ac:dyDescent="0.2">
      <c r="A3824" s="681" t="s">
        <v>2372</v>
      </c>
      <c r="B3824" s="693" t="s">
        <v>6383</v>
      </c>
      <c r="C3824" s="672" t="s">
        <v>1085</v>
      </c>
      <c r="D3824" s="673">
        <v>40594</v>
      </c>
      <c r="E3824" s="674">
        <v>10</v>
      </c>
      <c r="F3824" s="675">
        <v>0.1</v>
      </c>
      <c r="G3824" s="676">
        <v>148.94</v>
      </c>
      <c r="H3824" s="929">
        <v>14.893999999999998</v>
      </c>
      <c r="I3824" s="929">
        <v>104.25800000000001</v>
      </c>
      <c r="J3824" s="689">
        <f t="shared" si="60"/>
        <v>44.681999999999988</v>
      </c>
    </row>
    <row r="3825" spans="1:10" ht="12.75" customHeight="1" x14ac:dyDescent="0.2">
      <c r="A3825" s="681" t="s">
        <v>2370</v>
      </c>
      <c r="B3825" s="693" t="s">
        <v>6384</v>
      </c>
      <c r="C3825" s="672" t="s">
        <v>834</v>
      </c>
      <c r="D3825" s="673">
        <v>40594</v>
      </c>
      <c r="E3825" s="674">
        <v>10</v>
      </c>
      <c r="F3825" s="675">
        <v>0.1</v>
      </c>
      <c r="G3825" s="676">
        <v>155.13</v>
      </c>
      <c r="H3825" s="929">
        <v>15.512999999999998</v>
      </c>
      <c r="I3825" s="929">
        <v>108.59100000000001</v>
      </c>
      <c r="J3825" s="689">
        <f t="shared" si="60"/>
        <v>46.538999999999987</v>
      </c>
    </row>
    <row r="3826" spans="1:10" ht="12.75" customHeight="1" x14ac:dyDescent="0.2">
      <c r="A3826" s="681" t="s">
        <v>2370</v>
      </c>
      <c r="B3826" s="693" t="s">
        <v>6385</v>
      </c>
      <c r="C3826" s="672" t="s">
        <v>785</v>
      </c>
      <c r="D3826" s="673">
        <v>40594</v>
      </c>
      <c r="E3826" s="674">
        <v>10</v>
      </c>
      <c r="F3826" s="675">
        <v>0.1</v>
      </c>
      <c r="G3826" s="676">
        <v>156.4</v>
      </c>
      <c r="H3826" s="929">
        <v>15.639999999999999</v>
      </c>
      <c r="I3826" s="929">
        <v>109.48</v>
      </c>
      <c r="J3826" s="689">
        <f t="shared" si="60"/>
        <v>46.92</v>
      </c>
    </row>
    <row r="3827" spans="1:10" ht="12.75" customHeight="1" x14ac:dyDescent="0.2">
      <c r="A3827" s="681" t="s">
        <v>2370</v>
      </c>
      <c r="B3827" s="693" t="s">
        <v>6386</v>
      </c>
      <c r="C3827" s="672" t="s">
        <v>814</v>
      </c>
      <c r="D3827" s="673">
        <v>40594</v>
      </c>
      <c r="E3827" s="674">
        <v>10</v>
      </c>
      <c r="F3827" s="675">
        <v>0.1</v>
      </c>
      <c r="G3827" s="676">
        <v>162.16</v>
      </c>
      <c r="H3827" s="929">
        <v>16.215999999999998</v>
      </c>
      <c r="I3827" s="929">
        <v>113.512</v>
      </c>
      <c r="J3827" s="689">
        <f t="shared" si="60"/>
        <v>48.647999999999996</v>
      </c>
    </row>
    <row r="3828" spans="1:10" ht="12.75" customHeight="1" x14ac:dyDescent="0.2">
      <c r="A3828" s="681" t="s">
        <v>2370</v>
      </c>
      <c r="B3828" s="693" t="s">
        <v>6387</v>
      </c>
      <c r="C3828" s="672" t="s">
        <v>814</v>
      </c>
      <c r="D3828" s="673">
        <v>40594</v>
      </c>
      <c r="E3828" s="674">
        <v>10</v>
      </c>
      <c r="F3828" s="675">
        <v>0.1</v>
      </c>
      <c r="G3828" s="676">
        <v>162.28</v>
      </c>
      <c r="H3828" s="929">
        <v>16.228000000000005</v>
      </c>
      <c r="I3828" s="929">
        <v>113.59600000000003</v>
      </c>
      <c r="J3828" s="689">
        <f t="shared" si="60"/>
        <v>48.683999999999969</v>
      </c>
    </row>
    <row r="3829" spans="1:10" ht="12.75" customHeight="1" x14ac:dyDescent="0.2">
      <c r="A3829" s="681" t="s">
        <v>2370</v>
      </c>
      <c r="B3829" s="693" t="s">
        <v>6388</v>
      </c>
      <c r="C3829" s="672" t="s">
        <v>785</v>
      </c>
      <c r="D3829" s="673">
        <v>40594</v>
      </c>
      <c r="E3829" s="674">
        <v>10</v>
      </c>
      <c r="F3829" s="675">
        <v>0.1</v>
      </c>
      <c r="G3829" s="676">
        <v>272.55</v>
      </c>
      <c r="H3829" s="929">
        <v>27.25500000000001</v>
      </c>
      <c r="I3829" s="929">
        <v>190.78500000000003</v>
      </c>
      <c r="J3829" s="689">
        <f t="shared" si="60"/>
        <v>81.764999999999986</v>
      </c>
    </row>
    <row r="3830" spans="1:10" ht="12.75" customHeight="1" x14ac:dyDescent="0.2">
      <c r="A3830" s="681" t="s">
        <v>2370</v>
      </c>
      <c r="B3830" s="693" t="s">
        <v>6389</v>
      </c>
      <c r="C3830" s="672" t="s">
        <v>813</v>
      </c>
      <c r="D3830" s="673">
        <v>40594</v>
      </c>
      <c r="E3830" s="674">
        <v>10</v>
      </c>
      <c r="F3830" s="675">
        <v>0.1</v>
      </c>
      <c r="G3830" s="676">
        <v>289.26</v>
      </c>
      <c r="H3830" s="929">
        <v>28.925999999999991</v>
      </c>
      <c r="I3830" s="929">
        <v>202.48199999999997</v>
      </c>
      <c r="J3830" s="689">
        <f t="shared" si="60"/>
        <v>86.77800000000002</v>
      </c>
    </row>
    <row r="3831" spans="1:10" ht="12.75" customHeight="1" x14ac:dyDescent="0.2">
      <c r="A3831" s="681" t="s">
        <v>2372</v>
      </c>
      <c r="B3831" s="693" t="s">
        <v>6390</v>
      </c>
      <c r="C3831" s="672" t="s">
        <v>1069</v>
      </c>
      <c r="D3831" s="673">
        <v>40594</v>
      </c>
      <c r="E3831" s="674">
        <v>10</v>
      </c>
      <c r="F3831" s="675">
        <v>0.1</v>
      </c>
      <c r="G3831" s="676">
        <v>301.60000000000002</v>
      </c>
      <c r="H3831" s="929">
        <v>30.160000000000011</v>
      </c>
      <c r="I3831" s="929">
        <v>211.12000000000006</v>
      </c>
      <c r="J3831" s="689">
        <f t="shared" si="60"/>
        <v>90.479999999999961</v>
      </c>
    </row>
    <row r="3832" spans="1:10" ht="12.75" customHeight="1" x14ac:dyDescent="0.2">
      <c r="A3832" s="681" t="s">
        <v>2370</v>
      </c>
      <c r="B3832" s="693" t="s">
        <v>6391</v>
      </c>
      <c r="C3832" s="672" t="s">
        <v>789</v>
      </c>
      <c r="D3832" s="673">
        <v>40594</v>
      </c>
      <c r="E3832" s="674">
        <v>10</v>
      </c>
      <c r="F3832" s="675">
        <v>0.1</v>
      </c>
      <c r="G3832" s="676">
        <v>368.93</v>
      </c>
      <c r="H3832" s="929">
        <v>36.893000000000001</v>
      </c>
      <c r="I3832" s="929">
        <v>258.25099999999998</v>
      </c>
      <c r="J3832" s="689">
        <f t="shared" si="60"/>
        <v>110.67900000000003</v>
      </c>
    </row>
    <row r="3833" spans="1:10" ht="12.75" customHeight="1" x14ac:dyDescent="0.2">
      <c r="A3833" s="681" t="s">
        <v>2370</v>
      </c>
      <c r="B3833" s="693" t="s">
        <v>6392</v>
      </c>
      <c r="C3833" s="672" t="s">
        <v>924</v>
      </c>
      <c r="D3833" s="673">
        <v>40594</v>
      </c>
      <c r="E3833" s="674">
        <v>10</v>
      </c>
      <c r="F3833" s="675">
        <v>0.1</v>
      </c>
      <c r="G3833" s="676">
        <v>380</v>
      </c>
      <c r="H3833" s="929">
        <v>38</v>
      </c>
      <c r="I3833" s="929">
        <v>266</v>
      </c>
      <c r="J3833" s="689">
        <f t="shared" si="60"/>
        <v>114</v>
      </c>
    </row>
    <row r="3834" spans="1:10" ht="12.75" customHeight="1" x14ac:dyDescent="0.2">
      <c r="A3834" s="681" t="s">
        <v>2370</v>
      </c>
      <c r="B3834" s="693" t="s">
        <v>6393</v>
      </c>
      <c r="C3834" s="672" t="s">
        <v>924</v>
      </c>
      <c r="D3834" s="673">
        <v>40594</v>
      </c>
      <c r="E3834" s="674">
        <v>10</v>
      </c>
      <c r="F3834" s="675">
        <v>0.1</v>
      </c>
      <c r="G3834" s="676">
        <v>380</v>
      </c>
      <c r="H3834" s="929">
        <v>38</v>
      </c>
      <c r="I3834" s="929">
        <v>266</v>
      </c>
      <c r="J3834" s="689">
        <f t="shared" si="60"/>
        <v>114</v>
      </c>
    </row>
    <row r="3835" spans="1:10" ht="12.75" customHeight="1" x14ac:dyDescent="0.2">
      <c r="A3835" s="681" t="s">
        <v>2370</v>
      </c>
      <c r="B3835" s="693" t="s">
        <v>6394</v>
      </c>
      <c r="C3835" s="672" t="s">
        <v>924</v>
      </c>
      <c r="D3835" s="673">
        <v>40594</v>
      </c>
      <c r="E3835" s="674">
        <v>10</v>
      </c>
      <c r="F3835" s="675">
        <v>0.1</v>
      </c>
      <c r="G3835" s="676">
        <v>380</v>
      </c>
      <c r="H3835" s="929">
        <v>38</v>
      </c>
      <c r="I3835" s="929">
        <v>266</v>
      </c>
      <c r="J3835" s="689">
        <f t="shared" si="60"/>
        <v>114</v>
      </c>
    </row>
    <row r="3836" spans="1:10" ht="12.75" customHeight="1" x14ac:dyDescent="0.2">
      <c r="A3836" s="681" t="s">
        <v>2370</v>
      </c>
      <c r="B3836" s="693" t="s">
        <v>6395</v>
      </c>
      <c r="C3836" s="672" t="s">
        <v>924</v>
      </c>
      <c r="D3836" s="673">
        <v>40594</v>
      </c>
      <c r="E3836" s="674">
        <v>10</v>
      </c>
      <c r="F3836" s="675">
        <v>0.1</v>
      </c>
      <c r="G3836" s="676">
        <v>380</v>
      </c>
      <c r="H3836" s="929">
        <v>38</v>
      </c>
      <c r="I3836" s="929">
        <v>266</v>
      </c>
      <c r="J3836" s="689">
        <f t="shared" si="60"/>
        <v>114</v>
      </c>
    </row>
    <row r="3837" spans="1:10" ht="12.75" customHeight="1" x14ac:dyDescent="0.2">
      <c r="A3837" s="681" t="s">
        <v>2370</v>
      </c>
      <c r="B3837" s="693" t="s">
        <v>6396</v>
      </c>
      <c r="C3837" s="672" t="s">
        <v>924</v>
      </c>
      <c r="D3837" s="673">
        <v>40594</v>
      </c>
      <c r="E3837" s="674">
        <v>10</v>
      </c>
      <c r="F3837" s="675">
        <v>0.1</v>
      </c>
      <c r="G3837" s="676">
        <v>380</v>
      </c>
      <c r="H3837" s="929">
        <v>38</v>
      </c>
      <c r="I3837" s="929">
        <v>266</v>
      </c>
      <c r="J3837" s="689">
        <f t="shared" si="60"/>
        <v>114</v>
      </c>
    </row>
    <row r="3838" spans="1:10" ht="12.75" customHeight="1" x14ac:dyDescent="0.2">
      <c r="A3838" s="681" t="s">
        <v>2370</v>
      </c>
      <c r="B3838" s="693" t="s">
        <v>6397</v>
      </c>
      <c r="C3838" s="672" t="s">
        <v>785</v>
      </c>
      <c r="D3838" s="673">
        <v>40594</v>
      </c>
      <c r="E3838" s="674">
        <v>10</v>
      </c>
      <c r="F3838" s="675">
        <v>0.1</v>
      </c>
      <c r="G3838" s="676">
        <v>386</v>
      </c>
      <c r="H3838" s="929">
        <v>38.600000000000016</v>
      </c>
      <c r="I3838" s="929">
        <v>270.20000000000005</v>
      </c>
      <c r="J3838" s="689">
        <f t="shared" si="60"/>
        <v>115.79999999999995</v>
      </c>
    </row>
    <row r="3839" spans="1:10" ht="12.75" customHeight="1" x14ac:dyDescent="0.2">
      <c r="A3839" s="681" t="s">
        <v>2370</v>
      </c>
      <c r="B3839" s="693" t="s">
        <v>6398</v>
      </c>
      <c r="C3839" s="672" t="s">
        <v>814</v>
      </c>
      <c r="D3839" s="673">
        <v>40594</v>
      </c>
      <c r="E3839" s="674">
        <v>10</v>
      </c>
      <c r="F3839" s="675">
        <v>0.1</v>
      </c>
      <c r="G3839" s="676">
        <v>388.64</v>
      </c>
      <c r="H3839" s="929">
        <v>38.863999999999997</v>
      </c>
      <c r="I3839" s="929">
        <v>272.048</v>
      </c>
      <c r="J3839" s="689">
        <f t="shared" si="60"/>
        <v>116.59199999999998</v>
      </c>
    </row>
    <row r="3840" spans="1:10" ht="12.75" customHeight="1" x14ac:dyDescent="0.2">
      <c r="A3840" s="681" t="s">
        <v>2370</v>
      </c>
      <c r="B3840" s="693" t="s">
        <v>6399</v>
      </c>
      <c r="C3840" s="672" t="s">
        <v>814</v>
      </c>
      <c r="D3840" s="673">
        <v>40594</v>
      </c>
      <c r="E3840" s="674">
        <v>10</v>
      </c>
      <c r="F3840" s="675">
        <v>0.1</v>
      </c>
      <c r="G3840" s="676">
        <v>388.64</v>
      </c>
      <c r="H3840" s="929">
        <v>38.863999999999997</v>
      </c>
      <c r="I3840" s="929">
        <v>272.048</v>
      </c>
      <c r="J3840" s="689">
        <f t="shared" si="60"/>
        <v>116.59199999999998</v>
      </c>
    </row>
    <row r="3841" spans="1:10" ht="12.75" customHeight="1" x14ac:dyDescent="0.2">
      <c r="A3841" s="681" t="s">
        <v>2370</v>
      </c>
      <c r="B3841" s="693" t="s">
        <v>6400</v>
      </c>
      <c r="C3841" s="672" t="s">
        <v>937</v>
      </c>
      <c r="D3841" s="673">
        <v>40594</v>
      </c>
      <c r="E3841" s="674">
        <v>10</v>
      </c>
      <c r="F3841" s="675">
        <v>0.1</v>
      </c>
      <c r="G3841" s="676">
        <v>529.54</v>
      </c>
      <c r="H3841" s="929">
        <v>52.953999999999986</v>
      </c>
      <c r="I3841" s="929">
        <v>370.678</v>
      </c>
      <c r="J3841" s="689">
        <f t="shared" si="60"/>
        <v>158.86199999999997</v>
      </c>
    </row>
    <row r="3842" spans="1:10" ht="12.75" customHeight="1" x14ac:dyDescent="0.2">
      <c r="A3842" s="681" t="s">
        <v>2370</v>
      </c>
      <c r="B3842" s="693" t="s">
        <v>6401</v>
      </c>
      <c r="C3842" s="672" t="s">
        <v>937</v>
      </c>
      <c r="D3842" s="673">
        <v>40594</v>
      </c>
      <c r="E3842" s="674">
        <v>10</v>
      </c>
      <c r="F3842" s="675">
        <v>0.1</v>
      </c>
      <c r="G3842" s="676">
        <v>529.54</v>
      </c>
      <c r="H3842" s="929">
        <v>52.953999999999986</v>
      </c>
      <c r="I3842" s="929">
        <v>370.678</v>
      </c>
      <c r="J3842" s="689">
        <f t="shared" si="60"/>
        <v>158.86199999999997</v>
      </c>
    </row>
    <row r="3843" spans="1:10" ht="12.75" customHeight="1" x14ac:dyDescent="0.2">
      <c r="A3843" s="681" t="s">
        <v>2370</v>
      </c>
      <c r="B3843" s="693" t="s">
        <v>6402</v>
      </c>
      <c r="C3843" s="672" t="s">
        <v>937</v>
      </c>
      <c r="D3843" s="673">
        <v>40594</v>
      </c>
      <c r="E3843" s="674">
        <v>10</v>
      </c>
      <c r="F3843" s="675">
        <v>0.1</v>
      </c>
      <c r="G3843" s="676">
        <v>529.54</v>
      </c>
      <c r="H3843" s="929">
        <v>52.953999999999986</v>
      </c>
      <c r="I3843" s="929">
        <v>370.678</v>
      </c>
      <c r="J3843" s="689">
        <f t="shared" si="60"/>
        <v>158.86199999999997</v>
      </c>
    </row>
    <row r="3844" spans="1:10" ht="12.75" customHeight="1" x14ac:dyDescent="0.2">
      <c r="A3844" s="681" t="s">
        <v>2370</v>
      </c>
      <c r="B3844" s="693" t="s">
        <v>6403</v>
      </c>
      <c r="C3844" s="672" t="s">
        <v>937</v>
      </c>
      <c r="D3844" s="673">
        <v>40594</v>
      </c>
      <c r="E3844" s="674">
        <v>10</v>
      </c>
      <c r="F3844" s="675">
        <v>0.1</v>
      </c>
      <c r="G3844" s="676">
        <v>529.54</v>
      </c>
      <c r="H3844" s="929">
        <v>52.953999999999986</v>
      </c>
      <c r="I3844" s="929">
        <v>370.678</v>
      </c>
      <c r="J3844" s="689">
        <f t="shared" si="60"/>
        <v>158.86199999999997</v>
      </c>
    </row>
    <row r="3845" spans="1:10" ht="12.75" customHeight="1" x14ac:dyDescent="0.2">
      <c r="A3845" s="681" t="s">
        <v>2370</v>
      </c>
      <c r="B3845" s="693" t="s">
        <v>6404</v>
      </c>
      <c r="C3845" s="672" t="s">
        <v>937</v>
      </c>
      <c r="D3845" s="673">
        <v>40594</v>
      </c>
      <c r="E3845" s="674">
        <v>10</v>
      </c>
      <c r="F3845" s="675">
        <v>0.1</v>
      </c>
      <c r="G3845" s="676">
        <v>529.54</v>
      </c>
      <c r="H3845" s="929">
        <v>52.953999999999986</v>
      </c>
      <c r="I3845" s="929">
        <v>370.678</v>
      </c>
      <c r="J3845" s="689">
        <f t="shared" si="60"/>
        <v>158.86199999999997</v>
      </c>
    </row>
    <row r="3846" spans="1:10" ht="12.75" customHeight="1" x14ac:dyDescent="0.2">
      <c r="A3846" s="681" t="s">
        <v>2370</v>
      </c>
      <c r="B3846" s="693" t="s">
        <v>6405</v>
      </c>
      <c r="C3846" s="672" t="s">
        <v>937</v>
      </c>
      <c r="D3846" s="673">
        <v>40594</v>
      </c>
      <c r="E3846" s="674">
        <v>10</v>
      </c>
      <c r="F3846" s="675">
        <v>0.1</v>
      </c>
      <c r="G3846" s="676">
        <v>529.54</v>
      </c>
      <c r="H3846" s="929">
        <v>52.953999999999986</v>
      </c>
      <c r="I3846" s="929">
        <v>370.678</v>
      </c>
      <c r="J3846" s="689">
        <f t="shared" si="60"/>
        <v>158.86199999999997</v>
      </c>
    </row>
    <row r="3847" spans="1:10" ht="12.75" customHeight="1" x14ac:dyDescent="0.2">
      <c r="A3847" s="681" t="s">
        <v>2370</v>
      </c>
      <c r="B3847" s="693" t="s">
        <v>6406</v>
      </c>
      <c r="C3847" s="672" t="s">
        <v>937</v>
      </c>
      <c r="D3847" s="673">
        <v>40594</v>
      </c>
      <c r="E3847" s="674">
        <v>10</v>
      </c>
      <c r="F3847" s="675">
        <v>0.1</v>
      </c>
      <c r="G3847" s="676">
        <v>529.54</v>
      </c>
      <c r="H3847" s="929">
        <v>52.953999999999986</v>
      </c>
      <c r="I3847" s="929">
        <v>370.678</v>
      </c>
      <c r="J3847" s="689">
        <f t="shared" ref="J3847:J3910" si="61">G3847-I3847</f>
        <v>158.86199999999997</v>
      </c>
    </row>
    <row r="3848" spans="1:10" ht="12.75" customHeight="1" x14ac:dyDescent="0.2">
      <c r="A3848" s="681" t="s">
        <v>2370</v>
      </c>
      <c r="B3848" s="693" t="s">
        <v>6407</v>
      </c>
      <c r="C3848" s="672" t="s">
        <v>937</v>
      </c>
      <c r="D3848" s="673">
        <v>40594</v>
      </c>
      <c r="E3848" s="674">
        <v>10</v>
      </c>
      <c r="F3848" s="675">
        <v>0.1</v>
      </c>
      <c r="G3848" s="676">
        <v>529.54</v>
      </c>
      <c r="H3848" s="929">
        <v>52.953999999999986</v>
      </c>
      <c r="I3848" s="929">
        <v>370.678</v>
      </c>
      <c r="J3848" s="689">
        <f t="shared" si="61"/>
        <v>158.86199999999997</v>
      </c>
    </row>
    <row r="3849" spans="1:10" ht="12.75" customHeight="1" x14ac:dyDescent="0.2">
      <c r="A3849" s="681" t="s">
        <v>2370</v>
      </c>
      <c r="B3849" s="693" t="s">
        <v>6408</v>
      </c>
      <c r="C3849" s="672" t="s">
        <v>937</v>
      </c>
      <c r="D3849" s="673">
        <v>40594</v>
      </c>
      <c r="E3849" s="674">
        <v>10</v>
      </c>
      <c r="F3849" s="675">
        <v>0.1</v>
      </c>
      <c r="G3849" s="676">
        <v>529.54</v>
      </c>
      <c r="H3849" s="929">
        <v>52.953999999999986</v>
      </c>
      <c r="I3849" s="929">
        <v>370.678</v>
      </c>
      <c r="J3849" s="689">
        <f t="shared" si="61"/>
        <v>158.86199999999997</v>
      </c>
    </row>
    <row r="3850" spans="1:10" ht="12.75" customHeight="1" x14ac:dyDescent="0.2">
      <c r="A3850" s="681" t="s">
        <v>2370</v>
      </c>
      <c r="B3850" s="693" t="s">
        <v>6409</v>
      </c>
      <c r="C3850" s="672" t="s">
        <v>937</v>
      </c>
      <c r="D3850" s="673">
        <v>40594</v>
      </c>
      <c r="E3850" s="674">
        <v>10</v>
      </c>
      <c r="F3850" s="675">
        <v>0.1</v>
      </c>
      <c r="G3850" s="676">
        <v>529.54</v>
      </c>
      <c r="H3850" s="929">
        <v>52.953999999999986</v>
      </c>
      <c r="I3850" s="929">
        <v>370.678</v>
      </c>
      <c r="J3850" s="689">
        <f t="shared" si="61"/>
        <v>158.86199999999997</v>
      </c>
    </row>
    <row r="3851" spans="1:10" ht="12.75" customHeight="1" x14ac:dyDescent="0.2">
      <c r="A3851" s="681" t="s">
        <v>2370</v>
      </c>
      <c r="B3851" s="693" t="s">
        <v>6410</v>
      </c>
      <c r="C3851" s="672" t="s">
        <v>937</v>
      </c>
      <c r="D3851" s="673">
        <v>40594</v>
      </c>
      <c r="E3851" s="674">
        <v>10</v>
      </c>
      <c r="F3851" s="675">
        <v>0.1</v>
      </c>
      <c r="G3851" s="676">
        <v>529.54</v>
      </c>
      <c r="H3851" s="929">
        <v>52.953999999999986</v>
      </c>
      <c r="I3851" s="929">
        <v>370.678</v>
      </c>
      <c r="J3851" s="689">
        <f t="shared" si="61"/>
        <v>158.86199999999997</v>
      </c>
    </row>
    <row r="3852" spans="1:10" ht="12.75" customHeight="1" x14ac:dyDescent="0.2">
      <c r="A3852" s="681" t="s">
        <v>2370</v>
      </c>
      <c r="B3852" s="693" t="s">
        <v>6411</v>
      </c>
      <c r="C3852" s="672" t="s">
        <v>937</v>
      </c>
      <c r="D3852" s="673">
        <v>40594</v>
      </c>
      <c r="E3852" s="674">
        <v>10</v>
      </c>
      <c r="F3852" s="675">
        <v>0.1</v>
      </c>
      <c r="G3852" s="676">
        <v>530</v>
      </c>
      <c r="H3852" s="929">
        <v>52.999999999999993</v>
      </c>
      <c r="I3852" s="929">
        <v>371</v>
      </c>
      <c r="J3852" s="689">
        <f t="shared" si="61"/>
        <v>159</v>
      </c>
    </row>
    <row r="3853" spans="1:10" ht="12.75" customHeight="1" x14ac:dyDescent="0.2">
      <c r="A3853" s="681" t="s">
        <v>2370</v>
      </c>
      <c r="B3853" s="693" t="s">
        <v>6412</v>
      </c>
      <c r="C3853" s="672" t="s">
        <v>785</v>
      </c>
      <c r="D3853" s="673">
        <v>40594</v>
      </c>
      <c r="E3853" s="674">
        <v>10</v>
      </c>
      <c r="F3853" s="675">
        <v>0.1</v>
      </c>
      <c r="G3853" s="676">
        <v>575</v>
      </c>
      <c r="H3853" s="929">
        <v>57.499999999999993</v>
      </c>
      <c r="I3853" s="929">
        <v>402.5</v>
      </c>
      <c r="J3853" s="689">
        <f t="shared" si="61"/>
        <v>172.5</v>
      </c>
    </row>
    <row r="3854" spans="1:10" ht="12.75" customHeight="1" x14ac:dyDescent="0.2">
      <c r="A3854" s="681" t="s">
        <v>2370</v>
      </c>
      <c r="B3854" s="693" t="s">
        <v>6413</v>
      </c>
      <c r="C3854" s="672" t="s">
        <v>794</v>
      </c>
      <c r="D3854" s="673">
        <v>40594</v>
      </c>
      <c r="E3854" s="674">
        <v>10</v>
      </c>
      <c r="F3854" s="675">
        <v>0.1</v>
      </c>
      <c r="G3854" s="676">
        <v>627</v>
      </c>
      <c r="H3854" s="929">
        <v>62.70000000000001</v>
      </c>
      <c r="I3854" s="929">
        <v>438.9</v>
      </c>
      <c r="J3854" s="689">
        <f t="shared" si="61"/>
        <v>188.10000000000002</v>
      </c>
    </row>
    <row r="3855" spans="1:10" ht="12.75" customHeight="1" x14ac:dyDescent="0.2">
      <c r="A3855" s="681" t="s">
        <v>2372</v>
      </c>
      <c r="B3855" s="693" t="s">
        <v>6414</v>
      </c>
      <c r="C3855" s="672" t="s">
        <v>1059</v>
      </c>
      <c r="D3855" s="673">
        <v>40594</v>
      </c>
      <c r="E3855" s="674">
        <v>10</v>
      </c>
      <c r="F3855" s="675">
        <v>0.1</v>
      </c>
      <c r="G3855" s="676">
        <v>638</v>
      </c>
      <c r="H3855" s="929">
        <v>63.799999999999983</v>
      </c>
      <c r="I3855" s="929">
        <v>446.59999999999991</v>
      </c>
      <c r="J3855" s="689">
        <f t="shared" si="61"/>
        <v>191.40000000000009</v>
      </c>
    </row>
    <row r="3856" spans="1:10" ht="12.75" customHeight="1" x14ac:dyDescent="0.2">
      <c r="A3856" s="681" t="s">
        <v>2372</v>
      </c>
      <c r="B3856" s="693" t="s">
        <v>6415</v>
      </c>
      <c r="C3856" s="672" t="s">
        <v>1059</v>
      </c>
      <c r="D3856" s="673">
        <v>40594</v>
      </c>
      <c r="E3856" s="674">
        <v>10</v>
      </c>
      <c r="F3856" s="675">
        <v>0.1</v>
      </c>
      <c r="G3856" s="676">
        <v>638</v>
      </c>
      <c r="H3856" s="929">
        <v>63.799999999999983</v>
      </c>
      <c r="I3856" s="929">
        <v>446.59999999999991</v>
      </c>
      <c r="J3856" s="689">
        <f t="shared" si="61"/>
        <v>191.40000000000009</v>
      </c>
    </row>
    <row r="3857" spans="1:10" ht="12.75" customHeight="1" x14ac:dyDescent="0.2">
      <c r="A3857" s="681" t="s">
        <v>2372</v>
      </c>
      <c r="B3857" s="693" t="s">
        <v>6416</v>
      </c>
      <c r="C3857" s="672" t="s">
        <v>1059</v>
      </c>
      <c r="D3857" s="673">
        <v>40594</v>
      </c>
      <c r="E3857" s="674">
        <v>10</v>
      </c>
      <c r="F3857" s="675">
        <v>0.1</v>
      </c>
      <c r="G3857" s="676">
        <v>638</v>
      </c>
      <c r="H3857" s="929">
        <v>63.799999999999983</v>
      </c>
      <c r="I3857" s="929">
        <v>446.59999999999991</v>
      </c>
      <c r="J3857" s="689">
        <f t="shared" si="61"/>
        <v>191.40000000000009</v>
      </c>
    </row>
    <row r="3858" spans="1:10" ht="12.75" customHeight="1" x14ac:dyDescent="0.2">
      <c r="A3858" s="681" t="s">
        <v>2370</v>
      </c>
      <c r="B3858" s="693" t="s">
        <v>6417</v>
      </c>
      <c r="C3858" s="672" t="s">
        <v>785</v>
      </c>
      <c r="D3858" s="673">
        <v>40594</v>
      </c>
      <c r="E3858" s="674">
        <v>10</v>
      </c>
      <c r="F3858" s="675">
        <v>0.1</v>
      </c>
      <c r="G3858" s="676">
        <v>684</v>
      </c>
      <c r="H3858" s="929">
        <v>68.40000000000002</v>
      </c>
      <c r="I3858" s="929">
        <v>478.80000000000007</v>
      </c>
      <c r="J3858" s="689">
        <f t="shared" si="61"/>
        <v>205.19999999999993</v>
      </c>
    </row>
    <row r="3859" spans="1:10" ht="12.75" customHeight="1" x14ac:dyDescent="0.2">
      <c r="A3859" s="681" t="s">
        <v>2370</v>
      </c>
      <c r="B3859" s="693" t="s">
        <v>6418</v>
      </c>
      <c r="C3859" s="672" t="s">
        <v>785</v>
      </c>
      <c r="D3859" s="673">
        <v>40594</v>
      </c>
      <c r="E3859" s="674">
        <v>10</v>
      </c>
      <c r="F3859" s="675">
        <v>0.1</v>
      </c>
      <c r="G3859" s="676">
        <v>684</v>
      </c>
      <c r="H3859" s="929">
        <v>68.40000000000002</v>
      </c>
      <c r="I3859" s="929">
        <v>478.80000000000007</v>
      </c>
      <c r="J3859" s="689">
        <f t="shared" si="61"/>
        <v>205.19999999999993</v>
      </c>
    </row>
    <row r="3860" spans="1:10" ht="12.75" customHeight="1" x14ac:dyDescent="0.2">
      <c r="A3860" s="681" t="s">
        <v>2370</v>
      </c>
      <c r="B3860" s="693" t="s">
        <v>6419</v>
      </c>
      <c r="C3860" s="672" t="s">
        <v>785</v>
      </c>
      <c r="D3860" s="673">
        <v>40594</v>
      </c>
      <c r="E3860" s="674">
        <v>10</v>
      </c>
      <c r="F3860" s="675">
        <v>0.1</v>
      </c>
      <c r="G3860" s="676">
        <v>684</v>
      </c>
      <c r="H3860" s="929">
        <v>68.40000000000002</v>
      </c>
      <c r="I3860" s="929">
        <v>478.80000000000007</v>
      </c>
      <c r="J3860" s="689">
        <f t="shared" si="61"/>
        <v>205.19999999999993</v>
      </c>
    </row>
    <row r="3861" spans="1:10" ht="12.75" customHeight="1" x14ac:dyDescent="0.2">
      <c r="A3861" s="681" t="s">
        <v>2370</v>
      </c>
      <c r="B3861" s="693" t="s">
        <v>6420</v>
      </c>
      <c r="C3861" s="672" t="s">
        <v>785</v>
      </c>
      <c r="D3861" s="673">
        <v>40594</v>
      </c>
      <c r="E3861" s="674">
        <v>10</v>
      </c>
      <c r="F3861" s="675">
        <v>0.1</v>
      </c>
      <c r="G3861" s="676">
        <v>684</v>
      </c>
      <c r="H3861" s="929">
        <v>68.40000000000002</v>
      </c>
      <c r="I3861" s="929">
        <v>478.80000000000007</v>
      </c>
      <c r="J3861" s="689">
        <f t="shared" si="61"/>
        <v>205.19999999999993</v>
      </c>
    </row>
    <row r="3862" spans="1:10" ht="12.75" customHeight="1" x14ac:dyDescent="0.2">
      <c r="A3862" s="681" t="s">
        <v>2370</v>
      </c>
      <c r="B3862" s="693" t="s">
        <v>6421</v>
      </c>
      <c r="C3862" s="672" t="s">
        <v>785</v>
      </c>
      <c r="D3862" s="673">
        <v>40594</v>
      </c>
      <c r="E3862" s="674">
        <v>10</v>
      </c>
      <c r="F3862" s="675">
        <v>0.1</v>
      </c>
      <c r="G3862" s="676">
        <v>684.4</v>
      </c>
      <c r="H3862" s="929">
        <v>68.44</v>
      </c>
      <c r="I3862" s="929">
        <v>479.08</v>
      </c>
      <c r="J3862" s="689">
        <f t="shared" si="61"/>
        <v>205.32</v>
      </c>
    </row>
    <row r="3863" spans="1:10" ht="12.75" customHeight="1" x14ac:dyDescent="0.2">
      <c r="A3863" s="681" t="s">
        <v>2370</v>
      </c>
      <c r="B3863" s="693" t="s">
        <v>6422</v>
      </c>
      <c r="C3863" s="672" t="s">
        <v>785</v>
      </c>
      <c r="D3863" s="673">
        <v>40594</v>
      </c>
      <c r="E3863" s="674">
        <v>10</v>
      </c>
      <c r="F3863" s="675">
        <v>0.1</v>
      </c>
      <c r="G3863" s="676">
        <v>684.4</v>
      </c>
      <c r="H3863" s="929">
        <v>68.44</v>
      </c>
      <c r="I3863" s="929">
        <v>479.08</v>
      </c>
      <c r="J3863" s="689">
        <f t="shared" si="61"/>
        <v>205.32</v>
      </c>
    </row>
    <row r="3864" spans="1:10" ht="12.75" customHeight="1" x14ac:dyDescent="0.2">
      <c r="A3864" s="681" t="s">
        <v>2370</v>
      </c>
      <c r="B3864" s="693" t="s">
        <v>6423</v>
      </c>
      <c r="C3864" s="672" t="s">
        <v>785</v>
      </c>
      <c r="D3864" s="673">
        <v>40594</v>
      </c>
      <c r="E3864" s="674">
        <v>10</v>
      </c>
      <c r="F3864" s="675">
        <v>0.1</v>
      </c>
      <c r="G3864" s="676">
        <v>684.4</v>
      </c>
      <c r="H3864" s="929">
        <v>68.44</v>
      </c>
      <c r="I3864" s="929">
        <v>479.08</v>
      </c>
      <c r="J3864" s="689">
        <f t="shared" si="61"/>
        <v>205.32</v>
      </c>
    </row>
    <row r="3865" spans="1:10" ht="12.75" customHeight="1" x14ac:dyDescent="0.2">
      <c r="A3865" s="681" t="s">
        <v>2370</v>
      </c>
      <c r="B3865" s="693" t="s">
        <v>6424</v>
      </c>
      <c r="C3865" s="672" t="s">
        <v>785</v>
      </c>
      <c r="D3865" s="673">
        <v>40594</v>
      </c>
      <c r="E3865" s="674">
        <v>10</v>
      </c>
      <c r="F3865" s="675">
        <v>0.1</v>
      </c>
      <c r="G3865" s="676">
        <v>684.4</v>
      </c>
      <c r="H3865" s="929">
        <v>68.44</v>
      </c>
      <c r="I3865" s="929">
        <v>479.08</v>
      </c>
      <c r="J3865" s="689">
        <f t="shared" si="61"/>
        <v>205.32</v>
      </c>
    </row>
    <row r="3866" spans="1:10" ht="12.75" customHeight="1" x14ac:dyDescent="0.2">
      <c r="A3866" s="681" t="s">
        <v>2370</v>
      </c>
      <c r="B3866" s="693" t="s">
        <v>6425</v>
      </c>
      <c r="C3866" s="672" t="s">
        <v>785</v>
      </c>
      <c r="D3866" s="673">
        <v>40594</v>
      </c>
      <c r="E3866" s="674">
        <v>10</v>
      </c>
      <c r="F3866" s="675">
        <v>0.1</v>
      </c>
      <c r="G3866" s="676">
        <v>684.4</v>
      </c>
      <c r="H3866" s="929">
        <v>68.44</v>
      </c>
      <c r="I3866" s="929">
        <v>479.08</v>
      </c>
      <c r="J3866" s="689">
        <f t="shared" si="61"/>
        <v>205.32</v>
      </c>
    </row>
    <row r="3867" spans="1:10" ht="12.75" customHeight="1" x14ac:dyDescent="0.2">
      <c r="A3867" s="681" t="s">
        <v>2370</v>
      </c>
      <c r="B3867" s="693" t="s">
        <v>6426</v>
      </c>
      <c r="C3867" s="672" t="s">
        <v>785</v>
      </c>
      <c r="D3867" s="673">
        <v>40594</v>
      </c>
      <c r="E3867" s="674">
        <v>10</v>
      </c>
      <c r="F3867" s="675">
        <v>0.1</v>
      </c>
      <c r="G3867" s="676">
        <v>684.4</v>
      </c>
      <c r="H3867" s="929">
        <v>68.44</v>
      </c>
      <c r="I3867" s="929">
        <v>479.08</v>
      </c>
      <c r="J3867" s="689">
        <f t="shared" si="61"/>
        <v>205.32</v>
      </c>
    </row>
    <row r="3868" spans="1:10" ht="12.75" customHeight="1" x14ac:dyDescent="0.2">
      <c r="A3868" s="681" t="s">
        <v>2370</v>
      </c>
      <c r="B3868" s="693" t="s">
        <v>6427</v>
      </c>
      <c r="C3868" s="672" t="s">
        <v>785</v>
      </c>
      <c r="D3868" s="673">
        <v>40594</v>
      </c>
      <c r="E3868" s="674">
        <v>10</v>
      </c>
      <c r="F3868" s="675">
        <v>0.1</v>
      </c>
      <c r="G3868" s="676">
        <v>684.4</v>
      </c>
      <c r="H3868" s="929">
        <v>68.44</v>
      </c>
      <c r="I3868" s="929">
        <v>479.08</v>
      </c>
      <c r="J3868" s="689">
        <f t="shared" si="61"/>
        <v>205.32</v>
      </c>
    </row>
    <row r="3869" spans="1:10" ht="12.75" customHeight="1" x14ac:dyDescent="0.2">
      <c r="A3869" s="681" t="s">
        <v>2370</v>
      </c>
      <c r="B3869" s="693" t="s">
        <v>6428</v>
      </c>
      <c r="C3869" s="672" t="s">
        <v>785</v>
      </c>
      <c r="D3869" s="673">
        <v>40594</v>
      </c>
      <c r="E3869" s="674">
        <v>10</v>
      </c>
      <c r="F3869" s="675">
        <v>0.1</v>
      </c>
      <c r="G3869" s="676">
        <v>684.4</v>
      </c>
      <c r="H3869" s="929">
        <v>68.44</v>
      </c>
      <c r="I3869" s="929">
        <v>479.08</v>
      </c>
      <c r="J3869" s="689">
        <f t="shared" si="61"/>
        <v>205.32</v>
      </c>
    </row>
    <row r="3870" spans="1:10" ht="12.75" customHeight="1" x14ac:dyDescent="0.2">
      <c r="A3870" s="681" t="s">
        <v>2370</v>
      </c>
      <c r="B3870" s="693" t="s">
        <v>6429</v>
      </c>
      <c r="C3870" s="672" t="s">
        <v>785</v>
      </c>
      <c r="D3870" s="673">
        <v>40594</v>
      </c>
      <c r="E3870" s="674">
        <v>10</v>
      </c>
      <c r="F3870" s="675">
        <v>0.1</v>
      </c>
      <c r="G3870" s="676">
        <v>684.4</v>
      </c>
      <c r="H3870" s="929">
        <v>68.44</v>
      </c>
      <c r="I3870" s="929">
        <v>479.08</v>
      </c>
      <c r="J3870" s="689">
        <f t="shared" si="61"/>
        <v>205.32</v>
      </c>
    </row>
    <row r="3871" spans="1:10" ht="12.75" customHeight="1" x14ac:dyDescent="0.2">
      <c r="A3871" s="681" t="s">
        <v>2370</v>
      </c>
      <c r="B3871" s="693" t="s">
        <v>6430</v>
      </c>
      <c r="C3871" s="672" t="s">
        <v>785</v>
      </c>
      <c r="D3871" s="673">
        <v>40594</v>
      </c>
      <c r="E3871" s="674">
        <v>10</v>
      </c>
      <c r="F3871" s="675">
        <v>0.1</v>
      </c>
      <c r="G3871" s="676">
        <v>684.4</v>
      </c>
      <c r="H3871" s="929">
        <v>68.44</v>
      </c>
      <c r="I3871" s="929">
        <v>479.08</v>
      </c>
      <c r="J3871" s="689">
        <f t="shared" si="61"/>
        <v>205.32</v>
      </c>
    </row>
    <row r="3872" spans="1:10" ht="12.75" customHeight="1" x14ac:dyDescent="0.2">
      <c r="A3872" s="681" t="s">
        <v>2370</v>
      </c>
      <c r="B3872" s="693" t="s">
        <v>6431</v>
      </c>
      <c r="C3872" s="672" t="s">
        <v>785</v>
      </c>
      <c r="D3872" s="673">
        <v>40594</v>
      </c>
      <c r="E3872" s="674">
        <v>10</v>
      </c>
      <c r="F3872" s="675">
        <v>0.1</v>
      </c>
      <c r="G3872" s="676">
        <v>684.4</v>
      </c>
      <c r="H3872" s="929">
        <v>68.44</v>
      </c>
      <c r="I3872" s="929">
        <v>479.08</v>
      </c>
      <c r="J3872" s="689">
        <f t="shared" si="61"/>
        <v>205.32</v>
      </c>
    </row>
    <row r="3873" spans="1:10" ht="12.75" customHeight="1" x14ac:dyDescent="0.2">
      <c r="A3873" s="681" t="s">
        <v>2370</v>
      </c>
      <c r="B3873" s="693" t="s">
        <v>6432</v>
      </c>
      <c r="C3873" s="672" t="s">
        <v>785</v>
      </c>
      <c r="D3873" s="673">
        <v>40594</v>
      </c>
      <c r="E3873" s="674">
        <v>10</v>
      </c>
      <c r="F3873" s="675">
        <v>0.1</v>
      </c>
      <c r="G3873" s="676">
        <v>728</v>
      </c>
      <c r="H3873" s="929">
        <v>72.799999999999983</v>
      </c>
      <c r="I3873" s="929">
        <v>509.59999999999991</v>
      </c>
      <c r="J3873" s="689">
        <f t="shared" si="61"/>
        <v>218.40000000000009</v>
      </c>
    </row>
    <row r="3874" spans="1:10" ht="12.75" customHeight="1" x14ac:dyDescent="0.2">
      <c r="A3874" s="681" t="s">
        <v>2370</v>
      </c>
      <c r="B3874" s="693" t="s">
        <v>6433</v>
      </c>
      <c r="C3874" s="672" t="s">
        <v>794</v>
      </c>
      <c r="D3874" s="673">
        <v>40594</v>
      </c>
      <c r="E3874" s="674">
        <v>10</v>
      </c>
      <c r="F3874" s="675">
        <v>0.1</v>
      </c>
      <c r="G3874" s="676">
        <v>742.21</v>
      </c>
      <c r="H3874" s="929">
        <v>74.221000000000004</v>
      </c>
      <c r="I3874" s="929">
        <v>519.54700000000003</v>
      </c>
      <c r="J3874" s="689">
        <f t="shared" si="61"/>
        <v>222.66300000000001</v>
      </c>
    </row>
    <row r="3875" spans="1:10" ht="12.75" customHeight="1" x14ac:dyDescent="0.2">
      <c r="A3875" s="681" t="s">
        <v>2370</v>
      </c>
      <c r="B3875" s="693" t="s">
        <v>6434</v>
      </c>
      <c r="C3875" s="672" t="s">
        <v>794</v>
      </c>
      <c r="D3875" s="673">
        <v>40594</v>
      </c>
      <c r="E3875" s="674">
        <v>10</v>
      </c>
      <c r="F3875" s="675">
        <v>0.1</v>
      </c>
      <c r="G3875" s="676">
        <v>843.43</v>
      </c>
      <c r="H3875" s="929">
        <v>84.342999999999975</v>
      </c>
      <c r="I3875" s="929">
        <v>590.40099999999995</v>
      </c>
      <c r="J3875" s="689">
        <f t="shared" si="61"/>
        <v>253.029</v>
      </c>
    </row>
    <row r="3876" spans="1:10" ht="12.75" customHeight="1" x14ac:dyDescent="0.2">
      <c r="A3876" s="681" t="s">
        <v>2370</v>
      </c>
      <c r="B3876" s="693" t="s">
        <v>6435</v>
      </c>
      <c r="C3876" s="672" t="s">
        <v>794</v>
      </c>
      <c r="D3876" s="673">
        <v>40594</v>
      </c>
      <c r="E3876" s="674">
        <v>10</v>
      </c>
      <c r="F3876" s="675">
        <v>0.1</v>
      </c>
      <c r="G3876" s="676">
        <v>856.39</v>
      </c>
      <c r="H3876" s="929">
        <v>85.638999999999996</v>
      </c>
      <c r="I3876" s="929">
        <v>599.47299999999996</v>
      </c>
      <c r="J3876" s="689">
        <f t="shared" si="61"/>
        <v>256.91700000000003</v>
      </c>
    </row>
    <row r="3877" spans="1:10" ht="12.75" customHeight="1" x14ac:dyDescent="0.2">
      <c r="A3877" s="681" t="s">
        <v>2370</v>
      </c>
      <c r="B3877" s="693" t="s">
        <v>6436</v>
      </c>
      <c r="C3877" s="672" t="s">
        <v>819</v>
      </c>
      <c r="D3877" s="673">
        <v>40594</v>
      </c>
      <c r="E3877" s="674">
        <v>10</v>
      </c>
      <c r="F3877" s="675">
        <v>0.1</v>
      </c>
      <c r="G3877" s="676">
        <v>894.99</v>
      </c>
      <c r="H3877" s="929">
        <v>89.498999999999967</v>
      </c>
      <c r="I3877" s="929">
        <v>626.49299999999994</v>
      </c>
      <c r="J3877" s="689">
        <f t="shared" si="61"/>
        <v>268.49700000000007</v>
      </c>
    </row>
    <row r="3878" spans="1:10" ht="12.75" customHeight="1" x14ac:dyDescent="0.2">
      <c r="A3878" s="681" t="s">
        <v>2372</v>
      </c>
      <c r="B3878" s="693" t="s">
        <v>6437</v>
      </c>
      <c r="C3878" s="672" t="s">
        <v>1051</v>
      </c>
      <c r="D3878" s="673">
        <v>40594</v>
      </c>
      <c r="E3878" s="674">
        <v>10</v>
      </c>
      <c r="F3878" s="675">
        <v>0.1</v>
      </c>
      <c r="G3878" s="676">
        <v>928</v>
      </c>
      <c r="H3878" s="929">
        <v>92.8</v>
      </c>
      <c r="I3878" s="929">
        <v>649.59999999999991</v>
      </c>
      <c r="J3878" s="689">
        <f t="shared" si="61"/>
        <v>278.40000000000009</v>
      </c>
    </row>
    <row r="3879" spans="1:10" ht="12.75" customHeight="1" x14ac:dyDescent="0.2">
      <c r="A3879" s="681" t="s">
        <v>2372</v>
      </c>
      <c r="B3879" s="693" t="s">
        <v>6438</v>
      </c>
      <c r="C3879" s="672" t="s">
        <v>1084</v>
      </c>
      <c r="D3879" s="673">
        <v>40594</v>
      </c>
      <c r="E3879" s="674">
        <v>10</v>
      </c>
      <c r="F3879" s="675">
        <v>0.1</v>
      </c>
      <c r="G3879" s="676">
        <v>934.99</v>
      </c>
      <c r="H3879" s="929">
        <v>93.499000000000009</v>
      </c>
      <c r="I3879" s="929">
        <v>654.49300000000005</v>
      </c>
      <c r="J3879" s="689">
        <f t="shared" si="61"/>
        <v>280.49699999999996</v>
      </c>
    </row>
    <row r="3880" spans="1:10" ht="12.75" customHeight="1" x14ac:dyDescent="0.2">
      <c r="A3880" s="681" t="s">
        <v>2372</v>
      </c>
      <c r="B3880" s="693" t="s">
        <v>6439</v>
      </c>
      <c r="C3880" s="672" t="s">
        <v>1083</v>
      </c>
      <c r="D3880" s="673">
        <v>40594</v>
      </c>
      <c r="E3880" s="674">
        <v>10</v>
      </c>
      <c r="F3880" s="675">
        <v>0.1</v>
      </c>
      <c r="G3880" s="676">
        <v>935</v>
      </c>
      <c r="H3880" s="929">
        <v>93.500000000000014</v>
      </c>
      <c r="I3880" s="929">
        <v>654.5</v>
      </c>
      <c r="J3880" s="689">
        <f t="shared" si="61"/>
        <v>280.5</v>
      </c>
    </row>
    <row r="3881" spans="1:10" ht="12.75" customHeight="1" x14ac:dyDescent="0.2">
      <c r="A3881" s="681" t="s">
        <v>2372</v>
      </c>
      <c r="B3881" s="693" t="s">
        <v>6440</v>
      </c>
      <c r="C3881" s="672" t="s">
        <v>1083</v>
      </c>
      <c r="D3881" s="673">
        <v>40594</v>
      </c>
      <c r="E3881" s="674">
        <v>10</v>
      </c>
      <c r="F3881" s="675">
        <v>0.1</v>
      </c>
      <c r="G3881" s="676">
        <v>935</v>
      </c>
      <c r="H3881" s="929">
        <v>93.500000000000014</v>
      </c>
      <c r="I3881" s="929">
        <v>654.5</v>
      </c>
      <c r="J3881" s="689">
        <f t="shared" si="61"/>
        <v>280.5</v>
      </c>
    </row>
    <row r="3882" spans="1:10" ht="12.75" customHeight="1" x14ac:dyDescent="0.2">
      <c r="A3882" s="681" t="s">
        <v>2370</v>
      </c>
      <c r="B3882" s="693" t="s">
        <v>6441</v>
      </c>
      <c r="C3882" s="672" t="s">
        <v>794</v>
      </c>
      <c r="D3882" s="673">
        <v>40594</v>
      </c>
      <c r="E3882" s="674">
        <v>10</v>
      </c>
      <c r="F3882" s="675">
        <v>0.1</v>
      </c>
      <c r="G3882" s="676">
        <v>952.46</v>
      </c>
      <c r="H3882" s="929">
        <v>95.246000000000024</v>
      </c>
      <c r="I3882" s="929">
        <v>666.72199999999998</v>
      </c>
      <c r="J3882" s="689">
        <f t="shared" si="61"/>
        <v>285.73800000000006</v>
      </c>
    </row>
    <row r="3883" spans="1:10" ht="12.75" customHeight="1" x14ac:dyDescent="0.2">
      <c r="A3883" s="681" t="s">
        <v>2370</v>
      </c>
      <c r="B3883" s="693" t="s">
        <v>6442</v>
      </c>
      <c r="C3883" s="672" t="s">
        <v>794</v>
      </c>
      <c r="D3883" s="673">
        <v>40594</v>
      </c>
      <c r="E3883" s="674">
        <v>10</v>
      </c>
      <c r="F3883" s="675">
        <v>0.1</v>
      </c>
      <c r="G3883" s="676">
        <v>1070.48</v>
      </c>
      <c r="H3883" s="929">
        <v>107.04799999999999</v>
      </c>
      <c r="I3883" s="929">
        <v>749.33600000000001</v>
      </c>
      <c r="J3883" s="689">
        <f t="shared" si="61"/>
        <v>321.14400000000001</v>
      </c>
    </row>
    <row r="3884" spans="1:10" ht="12.75" customHeight="1" x14ac:dyDescent="0.2">
      <c r="A3884" s="681" t="s">
        <v>2370</v>
      </c>
      <c r="B3884" s="693" t="s">
        <v>6443</v>
      </c>
      <c r="C3884" s="672" t="s">
        <v>799</v>
      </c>
      <c r="D3884" s="673">
        <v>40594</v>
      </c>
      <c r="E3884" s="674">
        <v>10</v>
      </c>
      <c r="F3884" s="675">
        <v>0.1</v>
      </c>
      <c r="G3884" s="676">
        <v>1090.47</v>
      </c>
      <c r="H3884" s="929">
        <v>109.04699999999998</v>
      </c>
      <c r="I3884" s="929">
        <v>763.32900000000006</v>
      </c>
      <c r="J3884" s="689">
        <f t="shared" si="61"/>
        <v>327.14099999999996</v>
      </c>
    </row>
    <row r="3885" spans="1:10" ht="12.75" customHeight="1" x14ac:dyDescent="0.2">
      <c r="A3885" s="681" t="s">
        <v>2372</v>
      </c>
      <c r="B3885" s="693" t="s">
        <v>6444</v>
      </c>
      <c r="C3885" s="672" t="s">
        <v>1067</v>
      </c>
      <c r="D3885" s="673">
        <v>40594</v>
      </c>
      <c r="E3885" s="674">
        <v>10</v>
      </c>
      <c r="F3885" s="675">
        <v>0.1</v>
      </c>
      <c r="G3885" s="676">
        <v>1160</v>
      </c>
      <c r="H3885" s="929">
        <v>116.00000000000001</v>
      </c>
      <c r="I3885" s="929">
        <v>812</v>
      </c>
      <c r="J3885" s="689">
        <f t="shared" si="61"/>
        <v>348</v>
      </c>
    </row>
    <row r="3886" spans="1:10" ht="12.75" customHeight="1" x14ac:dyDescent="0.2">
      <c r="A3886" s="681" t="s">
        <v>2370</v>
      </c>
      <c r="B3886" s="693" t="s">
        <v>6445</v>
      </c>
      <c r="C3886" s="672" t="s">
        <v>921</v>
      </c>
      <c r="D3886" s="673">
        <v>40594</v>
      </c>
      <c r="E3886" s="674">
        <v>10</v>
      </c>
      <c r="F3886" s="675">
        <v>0.1</v>
      </c>
      <c r="G3886" s="676">
        <v>1267.5</v>
      </c>
      <c r="H3886" s="929">
        <v>126.75</v>
      </c>
      <c r="I3886" s="929">
        <v>887.25</v>
      </c>
      <c r="J3886" s="689">
        <f t="shared" si="61"/>
        <v>380.25</v>
      </c>
    </row>
    <row r="3887" spans="1:10" ht="12.75" customHeight="1" x14ac:dyDescent="0.2">
      <c r="A3887" s="681" t="s">
        <v>2370</v>
      </c>
      <c r="B3887" s="693" t="s">
        <v>6446</v>
      </c>
      <c r="C3887" s="672" t="s">
        <v>785</v>
      </c>
      <c r="D3887" s="673">
        <v>40594</v>
      </c>
      <c r="E3887" s="674">
        <v>10</v>
      </c>
      <c r="F3887" s="675">
        <v>0.1</v>
      </c>
      <c r="G3887" s="676">
        <v>1334</v>
      </c>
      <c r="H3887" s="929">
        <v>133.40000000000003</v>
      </c>
      <c r="I3887" s="929">
        <v>933.80000000000018</v>
      </c>
      <c r="J3887" s="689">
        <f t="shared" si="61"/>
        <v>400.19999999999982</v>
      </c>
    </row>
    <row r="3888" spans="1:10" ht="12.75" customHeight="1" x14ac:dyDescent="0.2">
      <c r="A3888" s="681" t="s">
        <v>2370</v>
      </c>
      <c r="B3888" s="693" t="s">
        <v>6447</v>
      </c>
      <c r="C3888" s="672" t="s">
        <v>785</v>
      </c>
      <c r="D3888" s="673">
        <v>40594</v>
      </c>
      <c r="E3888" s="674">
        <v>10</v>
      </c>
      <c r="F3888" s="675">
        <v>0.1</v>
      </c>
      <c r="G3888" s="676">
        <v>1334</v>
      </c>
      <c r="H3888" s="929">
        <v>133.40000000000003</v>
      </c>
      <c r="I3888" s="929">
        <v>933.80000000000018</v>
      </c>
      <c r="J3888" s="689">
        <f t="shared" si="61"/>
        <v>400.19999999999982</v>
      </c>
    </row>
    <row r="3889" spans="1:10" ht="12.75" customHeight="1" x14ac:dyDescent="0.2">
      <c r="A3889" s="681" t="s">
        <v>2370</v>
      </c>
      <c r="B3889" s="693" t="s">
        <v>6448</v>
      </c>
      <c r="C3889" s="672" t="s">
        <v>785</v>
      </c>
      <c r="D3889" s="673">
        <v>40594</v>
      </c>
      <c r="E3889" s="674">
        <v>10</v>
      </c>
      <c r="F3889" s="675">
        <v>0.1</v>
      </c>
      <c r="G3889" s="676">
        <v>1334</v>
      </c>
      <c r="H3889" s="929">
        <v>133.40000000000003</v>
      </c>
      <c r="I3889" s="929">
        <v>933.80000000000018</v>
      </c>
      <c r="J3889" s="689">
        <f t="shared" si="61"/>
        <v>400.19999999999982</v>
      </c>
    </row>
    <row r="3890" spans="1:10" ht="12.75" customHeight="1" x14ac:dyDescent="0.2">
      <c r="A3890" s="681" t="s">
        <v>2370</v>
      </c>
      <c r="B3890" s="693" t="s">
        <v>6449</v>
      </c>
      <c r="C3890" s="672" t="s">
        <v>785</v>
      </c>
      <c r="D3890" s="673">
        <v>40594</v>
      </c>
      <c r="E3890" s="674">
        <v>10</v>
      </c>
      <c r="F3890" s="675">
        <v>0.1</v>
      </c>
      <c r="G3890" s="676">
        <v>1334</v>
      </c>
      <c r="H3890" s="929">
        <v>133.40000000000003</v>
      </c>
      <c r="I3890" s="929">
        <v>933.80000000000018</v>
      </c>
      <c r="J3890" s="689">
        <f t="shared" si="61"/>
        <v>400.19999999999982</v>
      </c>
    </row>
    <row r="3891" spans="1:10" ht="12.75" customHeight="1" x14ac:dyDescent="0.2">
      <c r="A3891" s="681" t="s">
        <v>2370</v>
      </c>
      <c r="B3891" s="693" t="s">
        <v>6450</v>
      </c>
      <c r="C3891" s="672" t="s">
        <v>785</v>
      </c>
      <c r="D3891" s="673">
        <v>40594</v>
      </c>
      <c r="E3891" s="674">
        <v>10</v>
      </c>
      <c r="F3891" s="675">
        <v>0.1</v>
      </c>
      <c r="G3891" s="676">
        <v>1334</v>
      </c>
      <c r="H3891" s="929">
        <v>133.40000000000003</v>
      </c>
      <c r="I3891" s="929">
        <v>933.80000000000018</v>
      </c>
      <c r="J3891" s="689">
        <f t="shared" si="61"/>
        <v>400.19999999999982</v>
      </c>
    </row>
    <row r="3892" spans="1:10" ht="12.75" customHeight="1" x14ac:dyDescent="0.2">
      <c r="A3892" s="681" t="s">
        <v>2370</v>
      </c>
      <c r="B3892" s="693" t="s">
        <v>6451</v>
      </c>
      <c r="C3892" s="672" t="s">
        <v>785</v>
      </c>
      <c r="D3892" s="673">
        <v>40594</v>
      </c>
      <c r="E3892" s="674">
        <v>10</v>
      </c>
      <c r="F3892" s="675">
        <v>0.1</v>
      </c>
      <c r="G3892" s="676">
        <v>1334</v>
      </c>
      <c r="H3892" s="929">
        <v>133.40000000000003</v>
      </c>
      <c r="I3892" s="929">
        <v>933.80000000000018</v>
      </c>
      <c r="J3892" s="689">
        <f t="shared" si="61"/>
        <v>400.19999999999982</v>
      </c>
    </row>
    <row r="3893" spans="1:10" ht="12.75" customHeight="1" x14ac:dyDescent="0.2">
      <c r="A3893" s="681" t="s">
        <v>2370</v>
      </c>
      <c r="B3893" s="693" t="s">
        <v>6452</v>
      </c>
      <c r="C3893" s="672" t="s">
        <v>785</v>
      </c>
      <c r="D3893" s="673">
        <v>40594</v>
      </c>
      <c r="E3893" s="674">
        <v>10</v>
      </c>
      <c r="F3893" s="675">
        <v>0.1</v>
      </c>
      <c r="G3893" s="676">
        <v>1334</v>
      </c>
      <c r="H3893" s="929">
        <v>133.40000000000003</v>
      </c>
      <c r="I3893" s="929">
        <v>933.80000000000018</v>
      </c>
      <c r="J3893" s="689">
        <f t="shared" si="61"/>
        <v>400.19999999999982</v>
      </c>
    </row>
    <row r="3894" spans="1:10" ht="12.75" customHeight="1" x14ac:dyDescent="0.2">
      <c r="A3894" s="681" t="s">
        <v>2370</v>
      </c>
      <c r="B3894" s="693" t="s">
        <v>6453</v>
      </c>
      <c r="C3894" s="672" t="s">
        <v>785</v>
      </c>
      <c r="D3894" s="673">
        <v>40594</v>
      </c>
      <c r="E3894" s="674">
        <v>10</v>
      </c>
      <c r="F3894" s="675">
        <v>0.1</v>
      </c>
      <c r="G3894" s="676">
        <v>1334</v>
      </c>
      <c r="H3894" s="929">
        <v>133.40000000000003</v>
      </c>
      <c r="I3894" s="929">
        <v>933.80000000000018</v>
      </c>
      <c r="J3894" s="689">
        <f t="shared" si="61"/>
        <v>400.19999999999982</v>
      </c>
    </row>
    <row r="3895" spans="1:10" ht="12.75" customHeight="1" x14ac:dyDescent="0.2">
      <c r="A3895" s="681" t="s">
        <v>2370</v>
      </c>
      <c r="B3895" s="693" t="s">
        <v>6454</v>
      </c>
      <c r="C3895" s="672" t="s">
        <v>785</v>
      </c>
      <c r="D3895" s="673">
        <v>40594</v>
      </c>
      <c r="E3895" s="674">
        <v>10</v>
      </c>
      <c r="F3895" s="675">
        <v>0.1</v>
      </c>
      <c r="G3895" s="676">
        <v>1334</v>
      </c>
      <c r="H3895" s="929">
        <v>133.40000000000003</v>
      </c>
      <c r="I3895" s="929">
        <v>933.80000000000018</v>
      </c>
      <c r="J3895" s="689">
        <f t="shared" si="61"/>
        <v>400.19999999999982</v>
      </c>
    </row>
    <row r="3896" spans="1:10" ht="12.75" customHeight="1" x14ac:dyDescent="0.2">
      <c r="A3896" s="681" t="s">
        <v>2370</v>
      </c>
      <c r="B3896" s="693" t="s">
        <v>6455</v>
      </c>
      <c r="C3896" s="672" t="s">
        <v>785</v>
      </c>
      <c r="D3896" s="673">
        <v>40594</v>
      </c>
      <c r="E3896" s="674">
        <v>10</v>
      </c>
      <c r="F3896" s="675">
        <v>0.1</v>
      </c>
      <c r="G3896" s="676">
        <v>1334</v>
      </c>
      <c r="H3896" s="929">
        <v>133.40000000000003</v>
      </c>
      <c r="I3896" s="929">
        <v>933.80000000000018</v>
      </c>
      <c r="J3896" s="689">
        <f t="shared" si="61"/>
        <v>400.19999999999982</v>
      </c>
    </row>
    <row r="3897" spans="1:10" ht="12.75" customHeight="1" x14ac:dyDescent="0.2">
      <c r="A3897" s="681" t="s">
        <v>2370</v>
      </c>
      <c r="B3897" s="693" t="s">
        <v>6456</v>
      </c>
      <c r="C3897" s="672" t="s">
        <v>921</v>
      </c>
      <c r="D3897" s="673">
        <v>40594</v>
      </c>
      <c r="E3897" s="674">
        <v>10</v>
      </c>
      <c r="F3897" s="675">
        <v>0.1</v>
      </c>
      <c r="G3897" s="676">
        <v>1400.01</v>
      </c>
      <c r="H3897" s="929">
        <v>140.00100000000003</v>
      </c>
      <c r="I3897" s="929">
        <v>980.00700000000006</v>
      </c>
      <c r="J3897" s="689">
        <f t="shared" si="61"/>
        <v>420.00299999999993</v>
      </c>
    </row>
    <row r="3898" spans="1:10" ht="12.75" customHeight="1" x14ac:dyDescent="0.2">
      <c r="A3898" s="681" t="s">
        <v>2370</v>
      </c>
      <c r="B3898" s="693" t="s">
        <v>6457</v>
      </c>
      <c r="C3898" s="672" t="s">
        <v>921</v>
      </c>
      <c r="D3898" s="673">
        <v>40594</v>
      </c>
      <c r="E3898" s="674">
        <v>10</v>
      </c>
      <c r="F3898" s="675">
        <v>0.1</v>
      </c>
      <c r="G3898" s="676">
        <v>1599.99</v>
      </c>
      <c r="H3898" s="929">
        <v>159.99899999999994</v>
      </c>
      <c r="I3898" s="929">
        <v>1119.9929999999999</v>
      </c>
      <c r="J3898" s="689">
        <f t="shared" si="61"/>
        <v>479.99700000000007</v>
      </c>
    </row>
    <row r="3899" spans="1:10" ht="12.75" customHeight="1" x14ac:dyDescent="0.2">
      <c r="A3899" s="681" t="s">
        <v>2370</v>
      </c>
      <c r="B3899" s="693" t="s">
        <v>6458</v>
      </c>
      <c r="C3899" s="672" t="s">
        <v>921</v>
      </c>
      <c r="D3899" s="673">
        <v>40594</v>
      </c>
      <c r="E3899" s="674">
        <v>10</v>
      </c>
      <c r="F3899" s="675">
        <v>0.1</v>
      </c>
      <c r="G3899" s="676">
        <v>1600</v>
      </c>
      <c r="H3899" s="929">
        <v>160</v>
      </c>
      <c r="I3899" s="929">
        <v>1120</v>
      </c>
      <c r="J3899" s="689">
        <f t="shared" si="61"/>
        <v>480</v>
      </c>
    </row>
    <row r="3900" spans="1:10" ht="12.75" customHeight="1" x14ac:dyDescent="0.2">
      <c r="A3900" s="681" t="s">
        <v>2370</v>
      </c>
      <c r="B3900" s="693" t="s">
        <v>6459</v>
      </c>
      <c r="C3900" s="672" t="s">
        <v>921</v>
      </c>
      <c r="D3900" s="673">
        <v>40594</v>
      </c>
      <c r="E3900" s="674">
        <v>10</v>
      </c>
      <c r="F3900" s="675">
        <v>0.1</v>
      </c>
      <c r="G3900" s="676">
        <v>2025</v>
      </c>
      <c r="H3900" s="929">
        <v>202.5</v>
      </c>
      <c r="I3900" s="929">
        <v>1417.5</v>
      </c>
      <c r="J3900" s="689">
        <f t="shared" si="61"/>
        <v>607.5</v>
      </c>
    </row>
    <row r="3901" spans="1:10" ht="12.75" customHeight="1" x14ac:dyDescent="0.2">
      <c r="A3901" s="681" t="s">
        <v>2370</v>
      </c>
      <c r="B3901" s="693" t="s">
        <v>6460</v>
      </c>
      <c r="C3901" s="672" t="s">
        <v>799</v>
      </c>
      <c r="D3901" s="673">
        <v>40594</v>
      </c>
      <c r="E3901" s="674">
        <v>10</v>
      </c>
      <c r="F3901" s="675">
        <v>0.1</v>
      </c>
      <c r="G3901" s="676">
        <v>2037.4</v>
      </c>
      <c r="H3901" s="929">
        <v>203.73999999999998</v>
      </c>
      <c r="I3901" s="929">
        <v>1426.18</v>
      </c>
      <c r="J3901" s="689">
        <f t="shared" si="61"/>
        <v>611.22</v>
      </c>
    </row>
    <row r="3902" spans="1:10" ht="12.75" customHeight="1" x14ac:dyDescent="0.2">
      <c r="A3902" s="681" t="s">
        <v>2370</v>
      </c>
      <c r="B3902" s="693" t="s">
        <v>6461</v>
      </c>
      <c r="C3902" s="672" t="s">
        <v>785</v>
      </c>
      <c r="D3902" s="673">
        <v>40594</v>
      </c>
      <c r="E3902" s="674">
        <v>10</v>
      </c>
      <c r="F3902" s="675">
        <v>0.1</v>
      </c>
      <c r="G3902" s="676">
        <v>2151.8000000000002</v>
      </c>
      <c r="H3902" s="929">
        <v>215.18000000000004</v>
      </c>
      <c r="I3902" s="929">
        <v>1506.2600000000002</v>
      </c>
      <c r="J3902" s="689">
        <f t="shared" si="61"/>
        <v>645.54</v>
      </c>
    </row>
    <row r="3903" spans="1:10" ht="12.75" customHeight="1" x14ac:dyDescent="0.2">
      <c r="A3903" s="681" t="s">
        <v>2370</v>
      </c>
      <c r="B3903" s="693" t="s">
        <v>6462</v>
      </c>
      <c r="C3903" s="672" t="s">
        <v>785</v>
      </c>
      <c r="D3903" s="673">
        <v>40594</v>
      </c>
      <c r="E3903" s="674">
        <v>10</v>
      </c>
      <c r="F3903" s="675">
        <v>0.1</v>
      </c>
      <c r="G3903" s="676">
        <v>2151.8000000000002</v>
      </c>
      <c r="H3903" s="929">
        <v>215.18000000000004</v>
      </c>
      <c r="I3903" s="929">
        <v>1506.2600000000002</v>
      </c>
      <c r="J3903" s="689">
        <f t="shared" si="61"/>
        <v>645.54</v>
      </c>
    </row>
    <row r="3904" spans="1:10" ht="12.75" customHeight="1" x14ac:dyDescent="0.2">
      <c r="A3904" s="681" t="s">
        <v>2370</v>
      </c>
      <c r="B3904" s="693" t="s">
        <v>6463</v>
      </c>
      <c r="C3904" s="672" t="s">
        <v>788</v>
      </c>
      <c r="D3904" s="673">
        <v>40594</v>
      </c>
      <c r="E3904" s="674">
        <v>10</v>
      </c>
      <c r="F3904" s="675">
        <v>0.1</v>
      </c>
      <c r="G3904" s="676">
        <v>2185</v>
      </c>
      <c r="H3904" s="929">
        <v>218.50000000000003</v>
      </c>
      <c r="I3904" s="929">
        <v>1529.5</v>
      </c>
      <c r="J3904" s="689">
        <f t="shared" si="61"/>
        <v>655.5</v>
      </c>
    </row>
    <row r="3905" spans="1:10" ht="12.75" customHeight="1" x14ac:dyDescent="0.2">
      <c r="A3905" s="681" t="s">
        <v>2370</v>
      </c>
      <c r="B3905" s="693" t="s">
        <v>6464</v>
      </c>
      <c r="C3905" s="672" t="s">
        <v>800</v>
      </c>
      <c r="D3905" s="673">
        <v>40594</v>
      </c>
      <c r="E3905" s="674">
        <v>10</v>
      </c>
      <c r="F3905" s="675">
        <v>0.1</v>
      </c>
      <c r="G3905" s="676">
        <v>2278.56</v>
      </c>
      <c r="H3905" s="929">
        <v>227.85599999999999</v>
      </c>
      <c r="I3905" s="929">
        <v>1594.992</v>
      </c>
      <c r="J3905" s="689">
        <f t="shared" si="61"/>
        <v>683.56799999999998</v>
      </c>
    </row>
    <row r="3906" spans="1:10" ht="12.75" customHeight="1" x14ac:dyDescent="0.2">
      <c r="A3906" s="681" t="s">
        <v>2370</v>
      </c>
      <c r="B3906" s="693" t="s">
        <v>6465</v>
      </c>
      <c r="C3906" s="672" t="s">
        <v>788</v>
      </c>
      <c r="D3906" s="673">
        <v>40594</v>
      </c>
      <c r="E3906" s="674">
        <v>10</v>
      </c>
      <c r="F3906" s="675">
        <v>0.1</v>
      </c>
      <c r="G3906" s="676">
        <v>2380.3200000000002</v>
      </c>
      <c r="H3906" s="929">
        <v>238.03200000000007</v>
      </c>
      <c r="I3906" s="929">
        <v>1666.2240000000004</v>
      </c>
      <c r="J3906" s="689">
        <f t="shared" si="61"/>
        <v>714.09599999999978</v>
      </c>
    </row>
    <row r="3907" spans="1:10" ht="12.75" customHeight="1" x14ac:dyDescent="0.2">
      <c r="A3907" s="681" t="s">
        <v>2370</v>
      </c>
      <c r="B3907" s="693" t="s">
        <v>6466</v>
      </c>
      <c r="C3907" s="672" t="s">
        <v>929</v>
      </c>
      <c r="D3907" s="673">
        <v>40594</v>
      </c>
      <c r="E3907" s="674">
        <v>10</v>
      </c>
      <c r="F3907" s="675">
        <v>0.1</v>
      </c>
      <c r="G3907" s="676">
        <v>2430.13</v>
      </c>
      <c r="H3907" s="929">
        <v>243.01299999999995</v>
      </c>
      <c r="I3907" s="929">
        <v>1701.0909999999999</v>
      </c>
      <c r="J3907" s="689">
        <f t="shared" si="61"/>
        <v>729.03900000000021</v>
      </c>
    </row>
    <row r="3908" spans="1:10" ht="12.75" customHeight="1" x14ac:dyDescent="0.2">
      <c r="A3908" s="681" t="s">
        <v>2370</v>
      </c>
      <c r="B3908" s="693" t="s">
        <v>6467</v>
      </c>
      <c r="C3908" s="672" t="s">
        <v>929</v>
      </c>
      <c r="D3908" s="673">
        <v>40594</v>
      </c>
      <c r="E3908" s="674">
        <v>10</v>
      </c>
      <c r="F3908" s="675">
        <v>0.1</v>
      </c>
      <c r="G3908" s="676">
        <v>2475.98</v>
      </c>
      <c r="H3908" s="929">
        <v>247.59800000000007</v>
      </c>
      <c r="I3908" s="929">
        <v>1733.1860000000001</v>
      </c>
      <c r="J3908" s="689">
        <f t="shared" si="61"/>
        <v>742.79399999999987</v>
      </c>
    </row>
    <row r="3909" spans="1:10" ht="12.75" customHeight="1" x14ac:dyDescent="0.2">
      <c r="A3909" s="681" t="s">
        <v>2370</v>
      </c>
      <c r="B3909" s="693" t="s">
        <v>6468</v>
      </c>
      <c r="C3909" s="672" t="s">
        <v>921</v>
      </c>
      <c r="D3909" s="673">
        <v>40594</v>
      </c>
      <c r="E3909" s="674">
        <v>10</v>
      </c>
      <c r="F3909" s="675">
        <v>0.1</v>
      </c>
      <c r="G3909" s="676">
        <v>2610</v>
      </c>
      <c r="H3909" s="929">
        <v>261</v>
      </c>
      <c r="I3909" s="929">
        <v>1827</v>
      </c>
      <c r="J3909" s="689">
        <f t="shared" si="61"/>
        <v>783</v>
      </c>
    </row>
    <row r="3910" spans="1:10" ht="12.75" customHeight="1" x14ac:dyDescent="0.2">
      <c r="A3910" s="681" t="s">
        <v>2370</v>
      </c>
      <c r="B3910" s="693" t="s">
        <v>6469</v>
      </c>
      <c r="C3910" s="672" t="s">
        <v>798</v>
      </c>
      <c r="D3910" s="673">
        <v>40594</v>
      </c>
      <c r="E3910" s="674">
        <v>10</v>
      </c>
      <c r="F3910" s="675">
        <v>0.1</v>
      </c>
      <c r="G3910" s="676">
        <v>2638.14</v>
      </c>
      <c r="H3910" s="929">
        <v>263.81399999999996</v>
      </c>
      <c r="I3910" s="929">
        <v>1846.6979999999999</v>
      </c>
      <c r="J3910" s="689">
        <f t="shared" si="61"/>
        <v>791.44200000000001</v>
      </c>
    </row>
    <row r="3911" spans="1:10" ht="12.75" customHeight="1" x14ac:dyDescent="0.2">
      <c r="A3911" s="681" t="s">
        <v>2370</v>
      </c>
      <c r="B3911" s="693" t="s">
        <v>6470</v>
      </c>
      <c r="C3911" s="672" t="s">
        <v>798</v>
      </c>
      <c r="D3911" s="673">
        <v>40594</v>
      </c>
      <c r="E3911" s="674">
        <v>10</v>
      </c>
      <c r="F3911" s="675">
        <v>0.1</v>
      </c>
      <c r="G3911" s="676">
        <v>2658.14</v>
      </c>
      <c r="H3911" s="929">
        <v>265.81399999999991</v>
      </c>
      <c r="I3911" s="929">
        <v>1860.6979999999999</v>
      </c>
      <c r="J3911" s="689">
        <f t="shared" ref="J3911:J3974" si="62">G3911-I3911</f>
        <v>797.44200000000001</v>
      </c>
    </row>
    <row r="3912" spans="1:10" ht="12.75" customHeight="1" x14ac:dyDescent="0.2">
      <c r="A3912" s="681" t="s">
        <v>2370</v>
      </c>
      <c r="B3912" s="693" t="s">
        <v>6471</v>
      </c>
      <c r="C3912" s="672" t="s">
        <v>798</v>
      </c>
      <c r="D3912" s="673">
        <v>40594</v>
      </c>
      <c r="E3912" s="674">
        <v>10</v>
      </c>
      <c r="F3912" s="675">
        <v>0.1</v>
      </c>
      <c r="G3912" s="676">
        <v>2658.14</v>
      </c>
      <c r="H3912" s="929">
        <v>265.81399999999991</v>
      </c>
      <c r="I3912" s="929">
        <v>1860.6979999999999</v>
      </c>
      <c r="J3912" s="689">
        <f t="shared" si="62"/>
        <v>797.44200000000001</v>
      </c>
    </row>
    <row r="3913" spans="1:10" ht="12.75" customHeight="1" x14ac:dyDescent="0.2">
      <c r="A3913" s="681" t="s">
        <v>2370</v>
      </c>
      <c r="B3913" s="693" t="s">
        <v>6472</v>
      </c>
      <c r="C3913" s="672" t="s">
        <v>798</v>
      </c>
      <c r="D3913" s="673">
        <v>40594</v>
      </c>
      <c r="E3913" s="674">
        <v>10</v>
      </c>
      <c r="F3913" s="675">
        <v>0.1</v>
      </c>
      <c r="G3913" s="676">
        <v>2658.14</v>
      </c>
      <c r="H3913" s="929">
        <v>265.81399999999991</v>
      </c>
      <c r="I3913" s="929">
        <v>1860.6979999999999</v>
      </c>
      <c r="J3913" s="689">
        <f t="shared" si="62"/>
        <v>797.44200000000001</v>
      </c>
    </row>
    <row r="3914" spans="1:10" ht="12.75" customHeight="1" x14ac:dyDescent="0.2">
      <c r="A3914" s="681" t="s">
        <v>2370</v>
      </c>
      <c r="B3914" s="693" t="s">
        <v>6473</v>
      </c>
      <c r="C3914" s="672" t="s">
        <v>798</v>
      </c>
      <c r="D3914" s="673">
        <v>40594</v>
      </c>
      <c r="E3914" s="674">
        <v>10</v>
      </c>
      <c r="F3914" s="675">
        <v>0.1</v>
      </c>
      <c r="G3914" s="676">
        <v>2658.14</v>
      </c>
      <c r="H3914" s="929">
        <v>265.81399999999991</v>
      </c>
      <c r="I3914" s="929">
        <v>1860.6979999999999</v>
      </c>
      <c r="J3914" s="689">
        <f t="shared" si="62"/>
        <v>797.44200000000001</v>
      </c>
    </row>
    <row r="3915" spans="1:10" ht="12.75" customHeight="1" x14ac:dyDescent="0.2">
      <c r="A3915" s="681" t="s">
        <v>2370</v>
      </c>
      <c r="B3915" s="693" t="s">
        <v>6474</v>
      </c>
      <c r="C3915" s="672" t="s">
        <v>798</v>
      </c>
      <c r="D3915" s="673">
        <v>40594</v>
      </c>
      <c r="E3915" s="674">
        <v>10</v>
      </c>
      <c r="F3915" s="675">
        <v>0.1</v>
      </c>
      <c r="G3915" s="676">
        <v>2658.14</v>
      </c>
      <c r="H3915" s="929">
        <v>265.81399999999991</v>
      </c>
      <c r="I3915" s="929">
        <v>1860.6979999999999</v>
      </c>
      <c r="J3915" s="689">
        <f t="shared" si="62"/>
        <v>797.44200000000001</v>
      </c>
    </row>
    <row r="3916" spans="1:10" ht="12.75" customHeight="1" x14ac:dyDescent="0.2">
      <c r="A3916" s="681" t="s">
        <v>2370</v>
      </c>
      <c r="B3916" s="693" t="s">
        <v>6475</v>
      </c>
      <c r="C3916" s="672" t="s">
        <v>791</v>
      </c>
      <c r="D3916" s="673">
        <v>40594</v>
      </c>
      <c r="E3916" s="674">
        <v>10</v>
      </c>
      <c r="F3916" s="675">
        <v>0.1</v>
      </c>
      <c r="G3916" s="676">
        <v>2875</v>
      </c>
      <c r="H3916" s="929">
        <v>287.5</v>
      </c>
      <c r="I3916" s="929">
        <v>2012.5</v>
      </c>
      <c r="J3916" s="689">
        <f t="shared" si="62"/>
        <v>862.5</v>
      </c>
    </row>
    <row r="3917" spans="1:10" ht="12.75" customHeight="1" x14ac:dyDescent="0.2">
      <c r="A3917" s="681" t="s">
        <v>2370</v>
      </c>
      <c r="B3917" s="693" t="s">
        <v>6476</v>
      </c>
      <c r="C3917" s="672" t="s">
        <v>788</v>
      </c>
      <c r="D3917" s="673">
        <v>40594</v>
      </c>
      <c r="E3917" s="674">
        <v>10</v>
      </c>
      <c r="F3917" s="675">
        <v>0.1</v>
      </c>
      <c r="G3917" s="676">
        <v>2958</v>
      </c>
      <c r="H3917" s="929">
        <v>295.8</v>
      </c>
      <c r="I3917" s="929">
        <v>2070.6</v>
      </c>
      <c r="J3917" s="689">
        <f t="shared" si="62"/>
        <v>887.40000000000009</v>
      </c>
    </row>
    <row r="3918" spans="1:10" ht="12.75" customHeight="1" x14ac:dyDescent="0.2">
      <c r="A3918" s="681" t="s">
        <v>2370</v>
      </c>
      <c r="B3918" s="693" t="s">
        <v>6477</v>
      </c>
      <c r="C3918" s="672" t="s">
        <v>788</v>
      </c>
      <c r="D3918" s="673">
        <v>40594</v>
      </c>
      <c r="E3918" s="674">
        <v>10</v>
      </c>
      <c r="F3918" s="675">
        <v>0.1</v>
      </c>
      <c r="G3918" s="676">
        <v>2958</v>
      </c>
      <c r="H3918" s="929">
        <v>295.8</v>
      </c>
      <c r="I3918" s="929">
        <v>2070.6</v>
      </c>
      <c r="J3918" s="689">
        <f t="shared" si="62"/>
        <v>887.40000000000009</v>
      </c>
    </row>
    <row r="3919" spans="1:10" ht="12.75" customHeight="1" x14ac:dyDescent="0.2">
      <c r="A3919" s="681" t="s">
        <v>2370</v>
      </c>
      <c r="B3919" s="693" t="s">
        <v>6478</v>
      </c>
      <c r="C3919" s="672" t="s">
        <v>921</v>
      </c>
      <c r="D3919" s="673">
        <v>40594</v>
      </c>
      <c r="E3919" s="674">
        <v>10</v>
      </c>
      <c r="F3919" s="675">
        <v>0.1</v>
      </c>
      <c r="G3919" s="676">
        <v>2999.88</v>
      </c>
      <c r="H3919" s="929">
        <v>299.988</v>
      </c>
      <c r="I3919" s="929">
        <v>2099.9160000000002</v>
      </c>
      <c r="J3919" s="689">
        <f t="shared" si="62"/>
        <v>899.96399999999994</v>
      </c>
    </row>
    <row r="3920" spans="1:10" ht="12.75" customHeight="1" x14ac:dyDescent="0.2">
      <c r="A3920" s="681" t="s">
        <v>2370</v>
      </c>
      <c r="B3920" s="693" t="s">
        <v>6479</v>
      </c>
      <c r="C3920" s="672" t="s">
        <v>791</v>
      </c>
      <c r="D3920" s="673">
        <v>40594</v>
      </c>
      <c r="E3920" s="674">
        <v>10</v>
      </c>
      <c r="F3920" s="675">
        <v>0.1</v>
      </c>
      <c r="G3920" s="676">
        <v>3132</v>
      </c>
      <c r="H3920" s="929">
        <v>313.20000000000005</v>
      </c>
      <c r="I3920" s="929">
        <v>2192.4000000000005</v>
      </c>
      <c r="J3920" s="689">
        <f t="shared" si="62"/>
        <v>939.59999999999945</v>
      </c>
    </row>
    <row r="3921" spans="1:10" ht="12.75" customHeight="1" x14ac:dyDescent="0.2">
      <c r="A3921" s="681" t="s">
        <v>2370</v>
      </c>
      <c r="B3921" s="693" t="s">
        <v>6480</v>
      </c>
      <c r="C3921" s="672" t="s">
        <v>873</v>
      </c>
      <c r="D3921" s="673">
        <v>40594</v>
      </c>
      <c r="E3921" s="674">
        <v>10</v>
      </c>
      <c r="F3921" s="675">
        <v>0.1</v>
      </c>
      <c r="G3921" s="676">
        <v>3314.15</v>
      </c>
      <c r="H3921" s="929">
        <v>331.41499999999996</v>
      </c>
      <c r="I3921" s="929">
        <v>2319.9049999999997</v>
      </c>
      <c r="J3921" s="689">
        <f t="shared" si="62"/>
        <v>994.24500000000035</v>
      </c>
    </row>
    <row r="3922" spans="1:10" ht="12.75" customHeight="1" x14ac:dyDescent="0.2">
      <c r="A3922" s="681" t="s">
        <v>2370</v>
      </c>
      <c r="B3922" s="693" t="s">
        <v>6481</v>
      </c>
      <c r="C3922" s="672" t="s">
        <v>921</v>
      </c>
      <c r="D3922" s="673">
        <v>40594</v>
      </c>
      <c r="E3922" s="674">
        <v>10</v>
      </c>
      <c r="F3922" s="675">
        <v>0.1</v>
      </c>
      <c r="G3922" s="676">
        <v>3396.59</v>
      </c>
      <c r="H3922" s="929">
        <v>339.65899999999993</v>
      </c>
      <c r="I3922" s="929">
        <v>2377.6129999999998</v>
      </c>
      <c r="J3922" s="689">
        <f t="shared" si="62"/>
        <v>1018.9770000000003</v>
      </c>
    </row>
    <row r="3923" spans="1:10" ht="12.75" customHeight="1" x14ac:dyDescent="0.2">
      <c r="A3923" s="681" t="s">
        <v>2370</v>
      </c>
      <c r="B3923" s="693" t="s">
        <v>6482</v>
      </c>
      <c r="C3923" s="672" t="s">
        <v>787</v>
      </c>
      <c r="D3923" s="673">
        <v>40594</v>
      </c>
      <c r="E3923" s="674">
        <v>10</v>
      </c>
      <c r="F3923" s="675">
        <v>0.1</v>
      </c>
      <c r="G3923" s="676">
        <v>3422</v>
      </c>
      <c r="H3923" s="929">
        <v>342.19999999999987</v>
      </c>
      <c r="I3923" s="929">
        <v>2395.3999999999996</v>
      </c>
      <c r="J3923" s="689">
        <f t="shared" si="62"/>
        <v>1026.6000000000004</v>
      </c>
    </row>
    <row r="3924" spans="1:10" ht="12.75" customHeight="1" x14ac:dyDescent="0.2">
      <c r="A3924" s="681" t="s">
        <v>2370</v>
      </c>
      <c r="B3924" s="693" t="s">
        <v>6483</v>
      </c>
      <c r="C3924" s="672" t="s">
        <v>787</v>
      </c>
      <c r="D3924" s="673">
        <v>40594</v>
      </c>
      <c r="E3924" s="674">
        <v>10</v>
      </c>
      <c r="F3924" s="675">
        <v>0.1</v>
      </c>
      <c r="G3924" s="676">
        <v>3422</v>
      </c>
      <c r="H3924" s="929">
        <v>342.19999999999987</v>
      </c>
      <c r="I3924" s="929">
        <v>2395.3999999999996</v>
      </c>
      <c r="J3924" s="689">
        <f t="shared" si="62"/>
        <v>1026.6000000000004</v>
      </c>
    </row>
    <row r="3925" spans="1:10" ht="12.75" customHeight="1" x14ac:dyDescent="0.2">
      <c r="A3925" s="681" t="s">
        <v>2370</v>
      </c>
      <c r="B3925" s="693" t="s">
        <v>6484</v>
      </c>
      <c r="C3925" s="672" t="s">
        <v>787</v>
      </c>
      <c r="D3925" s="673">
        <v>40594</v>
      </c>
      <c r="E3925" s="674">
        <v>10</v>
      </c>
      <c r="F3925" s="675">
        <v>0.1</v>
      </c>
      <c r="G3925" s="676">
        <v>3422</v>
      </c>
      <c r="H3925" s="929">
        <v>342.19999999999987</v>
      </c>
      <c r="I3925" s="929">
        <v>2395.3999999999996</v>
      </c>
      <c r="J3925" s="689">
        <f t="shared" si="62"/>
        <v>1026.6000000000004</v>
      </c>
    </row>
    <row r="3926" spans="1:10" ht="12.75" customHeight="1" x14ac:dyDescent="0.2">
      <c r="A3926" s="681" t="s">
        <v>2370</v>
      </c>
      <c r="B3926" s="693" t="s">
        <v>6485</v>
      </c>
      <c r="C3926" s="672" t="s">
        <v>787</v>
      </c>
      <c r="D3926" s="673">
        <v>40594</v>
      </c>
      <c r="E3926" s="674">
        <v>10</v>
      </c>
      <c r="F3926" s="675">
        <v>0.1</v>
      </c>
      <c r="G3926" s="676">
        <v>3422</v>
      </c>
      <c r="H3926" s="929">
        <v>342.19999999999987</v>
      </c>
      <c r="I3926" s="929">
        <v>2395.3999999999996</v>
      </c>
      <c r="J3926" s="689">
        <f t="shared" si="62"/>
        <v>1026.6000000000004</v>
      </c>
    </row>
    <row r="3927" spans="1:10" ht="12.75" customHeight="1" x14ac:dyDescent="0.2">
      <c r="A3927" s="681" t="s">
        <v>2370</v>
      </c>
      <c r="B3927" s="693" t="s">
        <v>6486</v>
      </c>
      <c r="C3927" s="672" t="s">
        <v>787</v>
      </c>
      <c r="D3927" s="673">
        <v>40594</v>
      </c>
      <c r="E3927" s="674">
        <v>10</v>
      </c>
      <c r="F3927" s="675">
        <v>0.1</v>
      </c>
      <c r="G3927" s="676">
        <v>3422</v>
      </c>
      <c r="H3927" s="929">
        <v>342.19999999999987</v>
      </c>
      <c r="I3927" s="929">
        <v>2395.3999999999996</v>
      </c>
      <c r="J3927" s="689">
        <f t="shared" si="62"/>
        <v>1026.6000000000004</v>
      </c>
    </row>
    <row r="3928" spans="1:10" ht="12.75" customHeight="1" x14ac:dyDescent="0.2">
      <c r="A3928" s="681" t="s">
        <v>2370</v>
      </c>
      <c r="B3928" s="693" t="s">
        <v>6487</v>
      </c>
      <c r="C3928" s="672" t="s">
        <v>787</v>
      </c>
      <c r="D3928" s="673">
        <v>40594</v>
      </c>
      <c r="E3928" s="674">
        <v>10</v>
      </c>
      <c r="F3928" s="675">
        <v>0.1</v>
      </c>
      <c r="G3928" s="676">
        <v>3422</v>
      </c>
      <c r="H3928" s="929">
        <v>342.19999999999987</v>
      </c>
      <c r="I3928" s="929">
        <v>2395.3999999999996</v>
      </c>
      <c r="J3928" s="689">
        <f t="shared" si="62"/>
        <v>1026.6000000000004</v>
      </c>
    </row>
    <row r="3929" spans="1:10" ht="12.75" customHeight="1" x14ac:dyDescent="0.2">
      <c r="A3929" s="681" t="s">
        <v>2370</v>
      </c>
      <c r="B3929" s="693" t="s">
        <v>6488</v>
      </c>
      <c r="C3929" s="672" t="s">
        <v>787</v>
      </c>
      <c r="D3929" s="673">
        <v>40594</v>
      </c>
      <c r="E3929" s="674">
        <v>10</v>
      </c>
      <c r="F3929" s="675">
        <v>0.1</v>
      </c>
      <c r="G3929" s="676">
        <v>3422</v>
      </c>
      <c r="H3929" s="929">
        <v>342.19999999999987</v>
      </c>
      <c r="I3929" s="929">
        <v>2395.3999999999996</v>
      </c>
      <c r="J3929" s="689">
        <f t="shared" si="62"/>
        <v>1026.6000000000004</v>
      </c>
    </row>
    <row r="3930" spans="1:10" ht="12.75" customHeight="1" x14ac:dyDescent="0.2">
      <c r="A3930" s="681" t="s">
        <v>2370</v>
      </c>
      <c r="B3930" s="693" t="s">
        <v>6489</v>
      </c>
      <c r="C3930" s="672" t="s">
        <v>787</v>
      </c>
      <c r="D3930" s="673">
        <v>40594</v>
      </c>
      <c r="E3930" s="674">
        <v>10</v>
      </c>
      <c r="F3930" s="675">
        <v>0.1</v>
      </c>
      <c r="G3930" s="676">
        <v>3422</v>
      </c>
      <c r="H3930" s="929">
        <v>342.19999999999987</v>
      </c>
      <c r="I3930" s="929">
        <v>2395.3999999999996</v>
      </c>
      <c r="J3930" s="689">
        <f t="shared" si="62"/>
        <v>1026.6000000000004</v>
      </c>
    </row>
    <row r="3931" spans="1:10" ht="12.75" customHeight="1" x14ac:dyDescent="0.2">
      <c r="A3931" s="681" t="s">
        <v>2370</v>
      </c>
      <c r="B3931" s="693" t="s">
        <v>6490</v>
      </c>
      <c r="C3931" s="672" t="s">
        <v>787</v>
      </c>
      <c r="D3931" s="673">
        <v>40594</v>
      </c>
      <c r="E3931" s="674">
        <v>10</v>
      </c>
      <c r="F3931" s="675">
        <v>0.1</v>
      </c>
      <c r="G3931" s="676">
        <v>3422</v>
      </c>
      <c r="H3931" s="929">
        <v>342.19999999999987</v>
      </c>
      <c r="I3931" s="929">
        <v>2395.3999999999996</v>
      </c>
      <c r="J3931" s="689">
        <f t="shared" si="62"/>
        <v>1026.6000000000004</v>
      </c>
    </row>
    <row r="3932" spans="1:10" ht="12.75" customHeight="1" x14ac:dyDescent="0.2">
      <c r="A3932" s="681" t="s">
        <v>2370</v>
      </c>
      <c r="B3932" s="693" t="s">
        <v>6491</v>
      </c>
      <c r="C3932" s="672" t="s">
        <v>787</v>
      </c>
      <c r="D3932" s="673">
        <v>40594</v>
      </c>
      <c r="E3932" s="674">
        <v>10</v>
      </c>
      <c r="F3932" s="675">
        <v>0.1</v>
      </c>
      <c r="G3932" s="676">
        <v>3495.76</v>
      </c>
      <c r="H3932" s="929">
        <v>349.57599999999996</v>
      </c>
      <c r="I3932" s="929">
        <v>2447.0320000000002</v>
      </c>
      <c r="J3932" s="689">
        <f t="shared" si="62"/>
        <v>1048.7280000000001</v>
      </c>
    </row>
    <row r="3933" spans="1:10" ht="12.75" customHeight="1" x14ac:dyDescent="0.2">
      <c r="A3933" s="681" t="s">
        <v>2370</v>
      </c>
      <c r="B3933" s="693" t="s">
        <v>6492</v>
      </c>
      <c r="C3933" s="672" t="s">
        <v>791</v>
      </c>
      <c r="D3933" s="673">
        <v>40594</v>
      </c>
      <c r="E3933" s="674">
        <v>10</v>
      </c>
      <c r="F3933" s="675">
        <v>0.1</v>
      </c>
      <c r="G3933" s="676">
        <v>3700.4</v>
      </c>
      <c r="H3933" s="929">
        <v>370.03999999999996</v>
      </c>
      <c r="I3933" s="929">
        <v>2590.2799999999997</v>
      </c>
      <c r="J3933" s="689">
        <f t="shared" si="62"/>
        <v>1110.1200000000003</v>
      </c>
    </row>
    <row r="3934" spans="1:10" ht="12.75" customHeight="1" x14ac:dyDescent="0.2">
      <c r="A3934" s="681" t="s">
        <v>2370</v>
      </c>
      <c r="B3934" s="693" t="s">
        <v>6493</v>
      </c>
      <c r="C3934" s="672" t="s">
        <v>921</v>
      </c>
      <c r="D3934" s="673">
        <v>40594</v>
      </c>
      <c r="E3934" s="674">
        <v>10</v>
      </c>
      <c r="F3934" s="675">
        <v>0.1</v>
      </c>
      <c r="G3934" s="676">
        <v>3773.8</v>
      </c>
      <c r="H3934" s="929">
        <v>377.37999999999994</v>
      </c>
      <c r="I3934" s="929">
        <v>2641.6600000000003</v>
      </c>
      <c r="J3934" s="689">
        <f t="shared" si="62"/>
        <v>1132.1399999999999</v>
      </c>
    </row>
    <row r="3935" spans="1:10" ht="12.75" customHeight="1" x14ac:dyDescent="0.2">
      <c r="A3935" s="681" t="s">
        <v>2370</v>
      </c>
      <c r="B3935" s="693" t="s">
        <v>6494</v>
      </c>
      <c r="C3935" s="672" t="s">
        <v>869</v>
      </c>
      <c r="D3935" s="673">
        <v>40594</v>
      </c>
      <c r="E3935" s="674">
        <v>10</v>
      </c>
      <c r="F3935" s="675">
        <v>0.1</v>
      </c>
      <c r="G3935" s="676">
        <v>4184.99</v>
      </c>
      <c r="H3935" s="929">
        <v>418.49899999999985</v>
      </c>
      <c r="I3935" s="929">
        <v>2929.4929999999995</v>
      </c>
      <c r="J3935" s="689">
        <f t="shared" si="62"/>
        <v>1255.4970000000003</v>
      </c>
    </row>
    <row r="3936" spans="1:10" ht="12.75" customHeight="1" x14ac:dyDescent="0.2">
      <c r="A3936" s="681" t="s">
        <v>2370</v>
      </c>
      <c r="B3936" s="693" t="s">
        <v>6495</v>
      </c>
      <c r="C3936" s="672" t="s">
        <v>869</v>
      </c>
      <c r="D3936" s="673">
        <v>40594</v>
      </c>
      <c r="E3936" s="674">
        <v>10</v>
      </c>
      <c r="F3936" s="675">
        <v>0.1</v>
      </c>
      <c r="G3936" s="676">
        <v>4184.99</v>
      </c>
      <c r="H3936" s="929">
        <v>418.49899999999985</v>
      </c>
      <c r="I3936" s="929">
        <v>2929.4929999999995</v>
      </c>
      <c r="J3936" s="689">
        <f t="shared" si="62"/>
        <v>1255.4970000000003</v>
      </c>
    </row>
    <row r="3937" spans="1:10" ht="12.75" customHeight="1" x14ac:dyDescent="0.2">
      <c r="A3937" s="681" t="s">
        <v>2370</v>
      </c>
      <c r="B3937" s="693" t="s">
        <v>6496</v>
      </c>
      <c r="C3937" s="672" t="s">
        <v>869</v>
      </c>
      <c r="D3937" s="673">
        <v>40594</v>
      </c>
      <c r="E3937" s="674">
        <v>10</v>
      </c>
      <c r="F3937" s="675">
        <v>0.1</v>
      </c>
      <c r="G3937" s="676">
        <v>4184.99</v>
      </c>
      <c r="H3937" s="929">
        <v>418.49899999999985</v>
      </c>
      <c r="I3937" s="929">
        <v>2929.4929999999995</v>
      </c>
      <c r="J3937" s="689">
        <f t="shared" si="62"/>
        <v>1255.4970000000003</v>
      </c>
    </row>
    <row r="3938" spans="1:10" ht="12.75" customHeight="1" x14ac:dyDescent="0.2">
      <c r="A3938" s="681" t="s">
        <v>2370</v>
      </c>
      <c r="B3938" s="693" t="s">
        <v>6497</v>
      </c>
      <c r="C3938" s="672" t="s">
        <v>869</v>
      </c>
      <c r="D3938" s="673">
        <v>40594</v>
      </c>
      <c r="E3938" s="674">
        <v>10</v>
      </c>
      <c r="F3938" s="675">
        <v>0.1</v>
      </c>
      <c r="G3938" s="676">
        <v>4184.99</v>
      </c>
      <c r="H3938" s="929">
        <v>418.49899999999985</v>
      </c>
      <c r="I3938" s="929">
        <v>2929.4929999999995</v>
      </c>
      <c r="J3938" s="689">
        <f t="shared" si="62"/>
        <v>1255.4970000000003</v>
      </c>
    </row>
    <row r="3939" spans="1:10" ht="12.75" customHeight="1" x14ac:dyDescent="0.2">
      <c r="A3939" s="681" t="s">
        <v>2370</v>
      </c>
      <c r="B3939" s="693" t="s">
        <v>6498</v>
      </c>
      <c r="C3939" s="672" t="s">
        <v>944</v>
      </c>
      <c r="D3939" s="673">
        <v>40594</v>
      </c>
      <c r="E3939" s="674">
        <v>10</v>
      </c>
      <c r="F3939" s="675">
        <v>0.1</v>
      </c>
      <c r="G3939" s="676">
        <v>4228.57</v>
      </c>
      <c r="H3939" s="929">
        <v>422.85700000000003</v>
      </c>
      <c r="I3939" s="929">
        <v>2959.9989999999998</v>
      </c>
      <c r="J3939" s="689">
        <f t="shared" si="62"/>
        <v>1268.5709999999999</v>
      </c>
    </row>
    <row r="3940" spans="1:10" ht="12.75" customHeight="1" x14ac:dyDescent="0.2">
      <c r="A3940" s="681" t="s">
        <v>2370</v>
      </c>
      <c r="B3940" s="693" t="s">
        <v>6499</v>
      </c>
      <c r="C3940" s="672" t="s">
        <v>944</v>
      </c>
      <c r="D3940" s="673">
        <v>40594</v>
      </c>
      <c r="E3940" s="674">
        <v>10</v>
      </c>
      <c r="F3940" s="675">
        <v>0.1</v>
      </c>
      <c r="G3940" s="676">
        <v>4228.57</v>
      </c>
      <c r="H3940" s="929">
        <v>422.85700000000003</v>
      </c>
      <c r="I3940" s="929">
        <v>2959.9989999999998</v>
      </c>
      <c r="J3940" s="689">
        <f t="shared" si="62"/>
        <v>1268.5709999999999</v>
      </c>
    </row>
    <row r="3941" spans="1:10" ht="12.75" customHeight="1" x14ac:dyDescent="0.2">
      <c r="A3941" s="681" t="s">
        <v>2370</v>
      </c>
      <c r="B3941" s="693" t="s">
        <v>6500</v>
      </c>
      <c r="C3941" s="672" t="s">
        <v>944</v>
      </c>
      <c r="D3941" s="673">
        <v>40594</v>
      </c>
      <c r="E3941" s="674">
        <v>10</v>
      </c>
      <c r="F3941" s="675">
        <v>0.1</v>
      </c>
      <c r="G3941" s="676">
        <v>4228.57</v>
      </c>
      <c r="H3941" s="929">
        <v>422.85700000000003</v>
      </c>
      <c r="I3941" s="929">
        <v>2959.9989999999998</v>
      </c>
      <c r="J3941" s="689">
        <f t="shared" si="62"/>
        <v>1268.5709999999999</v>
      </c>
    </row>
    <row r="3942" spans="1:10" ht="12.75" customHeight="1" x14ac:dyDescent="0.2">
      <c r="A3942" s="681" t="s">
        <v>2370</v>
      </c>
      <c r="B3942" s="693" t="s">
        <v>6501</v>
      </c>
      <c r="C3942" s="672" t="s">
        <v>944</v>
      </c>
      <c r="D3942" s="673">
        <v>40594</v>
      </c>
      <c r="E3942" s="674">
        <v>10</v>
      </c>
      <c r="F3942" s="675">
        <v>0.1</v>
      </c>
      <c r="G3942" s="676">
        <v>4228.57</v>
      </c>
      <c r="H3942" s="929">
        <v>422.85700000000003</v>
      </c>
      <c r="I3942" s="929">
        <v>2959.9989999999998</v>
      </c>
      <c r="J3942" s="689">
        <f t="shared" si="62"/>
        <v>1268.5709999999999</v>
      </c>
    </row>
    <row r="3943" spans="1:10" ht="12.75" customHeight="1" x14ac:dyDescent="0.2">
      <c r="A3943" s="681" t="s">
        <v>2370</v>
      </c>
      <c r="B3943" s="693" t="s">
        <v>6502</v>
      </c>
      <c r="C3943" s="672" t="s">
        <v>944</v>
      </c>
      <c r="D3943" s="673">
        <v>40594</v>
      </c>
      <c r="E3943" s="674">
        <v>10</v>
      </c>
      <c r="F3943" s="675">
        <v>0.1</v>
      </c>
      <c r="G3943" s="676">
        <v>4228.57</v>
      </c>
      <c r="H3943" s="929">
        <v>422.85700000000003</v>
      </c>
      <c r="I3943" s="929">
        <v>2959.9989999999998</v>
      </c>
      <c r="J3943" s="689">
        <f t="shared" si="62"/>
        <v>1268.5709999999999</v>
      </c>
    </row>
    <row r="3944" spans="1:10" ht="12.75" customHeight="1" x14ac:dyDescent="0.2">
      <c r="A3944" s="681" t="s">
        <v>2370</v>
      </c>
      <c r="B3944" s="693" t="s">
        <v>6503</v>
      </c>
      <c r="C3944" s="672" t="s">
        <v>944</v>
      </c>
      <c r="D3944" s="673">
        <v>40594</v>
      </c>
      <c r="E3944" s="674">
        <v>10</v>
      </c>
      <c r="F3944" s="675">
        <v>0.1</v>
      </c>
      <c r="G3944" s="676">
        <v>4228.57</v>
      </c>
      <c r="H3944" s="929">
        <v>422.85700000000003</v>
      </c>
      <c r="I3944" s="929">
        <v>2959.9989999999998</v>
      </c>
      <c r="J3944" s="689">
        <f t="shared" si="62"/>
        <v>1268.5709999999999</v>
      </c>
    </row>
    <row r="3945" spans="1:10" ht="12.75" customHeight="1" x14ac:dyDescent="0.2">
      <c r="A3945" s="681" t="s">
        <v>2370</v>
      </c>
      <c r="B3945" s="693" t="s">
        <v>6504</v>
      </c>
      <c r="C3945" s="672" t="s">
        <v>944</v>
      </c>
      <c r="D3945" s="673">
        <v>40594</v>
      </c>
      <c r="E3945" s="674">
        <v>10</v>
      </c>
      <c r="F3945" s="675">
        <v>0.1</v>
      </c>
      <c r="G3945" s="676">
        <v>4228.57</v>
      </c>
      <c r="H3945" s="929">
        <v>422.85700000000003</v>
      </c>
      <c r="I3945" s="929">
        <v>2959.9989999999998</v>
      </c>
      <c r="J3945" s="689">
        <f t="shared" si="62"/>
        <v>1268.5709999999999</v>
      </c>
    </row>
    <row r="3946" spans="1:10" ht="12.75" customHeight="1" x14ac:dyDescent="0.2">
      <c r="A3946" s="681" t="s">
        <v>2370</v>
      </c>
      <c r="B3946" s="693" t="s">
        <v>6505</v>
      </c>
      <c r="C3946" s="672" t="s">
        <v>944</v>
      </c>
      <c r="D3946" s="673">
        <v>40594</v>
      </c>
      <c r="E3946" s="674">
        <v>10</v>
      </c>
      <c r="F3946" s="675">
        <v>0.1</v>
      </c>
      <c r="G3946" s="676">
        <v>4228.57</v>
      </c>
      <c r="H3946" s="929">
        <v>422.85700000000003</v>
      </c>
      <c r="I3946" s="929">
        <v>2959.9989999999998</v>
      </c>
      <c r="J3946" s="689">
        <f t="shared" si="62"/>
        <v>1268.5709999999999</v>
      </c>
    </row>
    <row r="3947" spans="1:10" ht="12.75" customHeight="1" x14ac:dyDescent="0.2">
      <c r="A3947" s="681" t="s">
        <v>2370</v>
      </c>
      <c r="B3947" s="693" t="s">
        <v>6506</v>
      </c>
      <c r="C3947" s="672" t="s">
        <v>944</v>
      </c>
      <c r="D3947" s="673">
        <v>40594</v>
      </c>
      <c r="E3947" s="674">
        <v>10</v>
      </c>
      <c r="F3947" s="675">
        <v>0.1</v>
      </c>
      <c r="G3947" s="676">
        <v>4228.57</v>
      </c>
      <c r="H3947" s="929">
        <v>422.85700000000003</v>
      </c>
      <c r="I3947" s="929">
        <v>2959.9989999999998</v>
      </c>
      <c r="J3947" s="689">
        <f t="shared" si="62"/>
        <v>1268.5709999999999</v>
      </c>
    </row>
    <row r="3948" spans="1:10" ht="12.75" customHeight="1" x14ac:dyDescent="0.2">
      <c r="A3948" s="681" t="s">
        <v>2370</v>
      </c>
      <c r="B3948" s="693" t="s">
        <v>6507</v>
      </c>
      <c r="C3948" s="672" t="s">
        <v>944</v>
      </c>
      <c r="D3948" s="673">
        <v>40594</v>
      </c>
      <c r="E3948" s="674">
        <v>10</v>
      </c>
      <c r="F3948" s="675">
        <v>0.1</v>
      </c>
      <c r="G3948" s="676">
        <v>4228.57</v>
      </c>
      <c r="H3948" s="929">
        <v>422.85700000000003</v>
      </c>
      <c r="I3948" s="929">
        <v>2959.9989999999998</v>
      </c>
      <c r="J3948" s="689">
        <f t="shared" si="62"/>
        <v>1268.5709999999999</v>
      </c>
    </row>
    <row r="3949" spans="1:10" ht="12.75" customHeight="1" x14ac:dyDescent="0.2">
      <c r="A3949" s="681" t="s">
        <v>2370</v>
      </c>
      <c r="B3949" s="693" t="s">
        <v>6508</v>
      </c>
      <c r="C3949" s="672" t="s">
        <v>944</v>
      </c>
      <c r="D3949" s="673">
        <v>40594</v>
      </c>
      <c r="E3949" s="674">
        <v>10</v>
      </c>
      <c r="F3949" s="675">
        <v>0.1</v>
      </c>
      <c r="G3949" s="676">
        <v>4228.57</v>
      </c>
      <c r="H3949" s="929">
        <v>422.85700000000003</v>
      </c>
      <c r="I3949" s="929">
        <v>2959.9989999999998</v>
      </c>
      <c r="J3949" s="689">
        <f t="shared" si="62"/>
        <v>1268.5709999999999</v>
      </c>
    </row>
    <row r="3950" spans="1:10" ht="12.75" customHeight="1" x14ac:dyDescent="0.2">
      <c r="A3950" s="681" t="s">
        <v>2370</v>
      </c>
      <c r="B3950" s="693" t="s">
        <v>6509</v>
      </c>
      <c r="C3950" s="672" t="s">
        <v>944</v>
      </c>
      <c r="D3950" s="673">
        <v>40594</v>
      </c>
      <c r="E3950" s="674">
        <v>10</v>
      </c>
      <c r="F3950" s="675">
        <v>0.1</v>
      </c>
      <c r="G3950" s="676">
        <v>4228.57</v>
      </c>
      <c r="H3950" s="929">
        <v>422.85700000000003</v>
      </c>
      <c r="I3950" s="929">
        <v>2959.9989999999998</v>
      </c>
      <c r="J3950" s="689">
        <f t="shared" si="62"/>
        <v>1268.5709999999999</v>
      </c>
    </row>
    <row r="3951" spans="1:10" ht="12.75" customHeight="1" x14ac:dyDescent="0.2">
      <c r="A3951" s="681" t="s">
        <v>2370</v>
      </c>
      <c r="B3951" s="693" t="s">
        <v>6510</v>
      </c>
      <c r="C3951" s="672" t="s">
        <v>944</v>
      </c>
      <c r="D3951" s="673">
        <v>40594</v>
      </c>
      <c r="E3951" s="674">
        <v>10</v>
      </c>
      <c r="F3951" s="675">
        <v>0.1</v>
      </c>
      <c r="G3951" s="676">
        <v>4228.57</v>
      </c>
      <c r="H3951" s="929">
        <v>422.85700000000003</v>
      </c>
      <c r="I3951" s="929">
        <v>2959.9989999999998</v>
      </c>
      <c r="J3951" s="689">
        <f t="shared" si="62"/>
        <v>1268.5709999999999</v>
      </c>
    </row>
    <row r="3952" spans="1:10" ht="12.75" customHeight="1" x14ac:dyDescent="0.2">
      <c r="A3952" s="681" t="s">
        <v>2370</v>
      </c>
      <c r="B3952" s="693" t="s">
        <v>6511</v>
      </c>
      <c r="C3952" s="672" t="s">
        <v>944</v>
      </c>
      <c r="D3952" s="673">
        <v>40594</v>
      </c>
      <c r="E3952" s="674">
        <v>10</v>
      </c>
      <c r="F3952" s="675">
        <v>0.1</v>
      </c>
      <c r="G3952" s="676">
        <v>4228.57</v>
      </c>
      <c r="H3952" s="929">
        <v>422.85700000000003</v>
      </c>
      <c r="I3952" s="929">
        <v>2959.9989999999998</v>
      </c>
      <c r="J3952" s="689">
        <f t="shared" si="62"/>
        <v>1268.5709999999999</v>
      </c>
    </row>
    <row r="3953" spans="1:10" ht="12.75" customHeight="1" x14ac:dyDescent="0.2">
      <c r="A3953" s="681" t="s">
        <v>2370</v>
      </c>
      <c r="B3953" s="693" t="s">
        <v>6512</v>
      </c>
      <c r="C3953" s="672" t="s">
        <v>944</v>
      </c>
      <c r="D3953" s="673">
        <v>40594</v>
      </c>
      <c r="E3953" s="674">
        <v>10</v>
      </c>
      <c r="F3953" s="675">
        <v>0.1</v>
      </c>
      <c r="G3953" s="676">
        <v>4228.57</v>
      </c>
      <c r="H3953" s="929">
        <v>422.85700000000003</v>
      </c>
      <c r="I3953" s="929">
        <v>2959.9989999999998</v>
      </c>
      <c r="J3953" s="689">
        <f t="shared" si="62"/>
        <v>1268.5709999999999</v>
      </c>
    </row>
    <row r="3954" spans="1:10" ht="12.75" customHeight="1" x14ac:dyDescent="0.2">
      <c r="A3954" s="681" t="s">
        <v>2370</v>
      </c>
      <c r="B3954" s="693" t="s">
        <v>6513</v>
      </c>
      <c r="C3954" s="672" t="s">
        <v>944</v>
      </c>
      <c r="D3954" s="673">
        <v>40594</v>
      </c>
      <c r="E3954" s="674">
        <v>10</v>
      </c>
      <c r="F3954" s="675">
        <v>0.1</v>
      </c>
      <c r="G3954" s="676">
        <v>4228.57</v>
      </c>
      <c r="H3954" s="929">
        <v>422.85700000000003</v>
      </c>
      <c r="I3954" s="929">
        <v>2959.9989999999998</v>
      </c>
      <c r="J3954" s="689">
        <f t="shared" si="62"/>
        <v>1268.5709999999999</v>
      </c>
    </row>
    <row r="3955" spans="1:10" ht="12.75" customHeight="1" x14ac:dyDescent="0.2">
      <c r="A3955" s="681" t="s">
        <v>2370</v>
      </c>
      <c r="B3955" s="693" t="s">
        <v>6514</v>
      </c>
      <c r="C3955" s="672" t="s">
        <v>944</v>
      </c>
      <c r="D3955" s="673">
        <v>40594</v>
      </c>
      <c r="E3955" s="674">
        <v>10</v>
      </c>
      <c r="F3955" s="675">
        <v>0.1</v>
      </c>
      <c r="G3955" s="676">
        <v>4228.57</v>
      </c>
      <c r="H3955" s="929">
        <v>422.85700000000003</v>
      </c>
      <c r="I3955" s="929">
        <v>2959.9989999999998</v>
      </c>
      <c r="J3955" s="689">
        <f t="shared" si="62"/>
        <v>1268.5709999999999</v>
      </c>
    </row>
    <row r="3956" spans="1:10" ht="12.75" customHeight="1" x14ac:dyDescent="0.2">
      <c r="A3956" s="681" t="s">
        <v>2370</v>
      </c>
      <c r="B3956" s="693" t="s">
        <v>6515</v>
      </c>
      <c r="C3956" s="672" t="s">
        <v>944</v>
      </c>
      <c r="D3956" s="673">
        <v>40594</v>
      </c>
      <c r="E3956" s="674">
        <v>10</v>
      </c>
      <c r="F3956" s="675">
        <v>0.1</v>
      </c>
      <c r="G3956" s="676">
        <v>4228.57</v>
      </c>
      <c r="H3956" s="929">
        <v>422.85700000000003</v>
      </c>
      <c r="I3956" s="929">
        <v>2959.9989999999998</v>
      </c>
      <c r="J3956" s="689">
        <f t="shared" si="62"/>
        <v>1268.5709999999999</v>
      </c>
    </row>
    <row r="3957" spans="1:10" ht="12.75" customHeight="1" x14ac:dyDescent="0.2">
      <c r="A3957" s="681" t="s">
        <v>2370</v>
      </c>
      <c r="B3957" s="693" t="s">
        <v>6516</v>
      </c>
      <c r="C3957" s="672" t="s">
        <v>944</v>
      </c>
      <c r="D3957" s="673">
        <v>40594</v>
      </c>
      <c r="E3957" s="674">
        <v>10</v>
      </c>
      <c r="F3957" s="675">
        <v>0.1</v>
      </c>
      <c r="G3957" s="676">
        <v>4228.57</v>
      </c>
      <c r="H3957" s="929">
        <v>422.85700000000003</v>
      </c>
      <c r="I3957" s="929">
        <v>2959.9989999999998</v>
      </c>
      <c r="J3957" s="689">
        <f t="shared" si="62"/>
        <v>1268.5709999999999</v>
      </c>
    </row>
    <row r="3958" spans="1:10" ht="12.75" customHeight="1" x14ac:dyDescent="0.2">
      <c r="A3958" s="681" t="s">
        <v>2370</v>
      </c>
      <c r="B3958" s="693" t="s">
        <v>6517</v>
      </c>
      <c r="C3958" s="672" t="s">
        <v>944</v>
      </c>
      <c r="D3958" s="673">
        <v>40594</v>
      </c>
      <c r="E3958" s="674">
        <v>10</v>
      </c>
      <c r="F3958" s="675">
        <v>0.1</v>
      </c>
      <c r="G3958" s="676">
        <v>4228.57</v>
      </c>
      <c r="H3958" s="929">
        <v>422.85700000000003</v>
      </c>
      <c r="I3958" s="929">
        <v>2959.9989999999998</v>
      </c>
      <c r="J3958" s="689">
        <f t="shared" si="62"/>
        <v>1268.5709999999999</v>
      </c>
    </row>
    <row r="3959" spans="1:10" ht="12.75" customHeight="1" x14ac:dyDescent="0.2">
      <c r="A3959" s="681" t="s">
        <v>2370</v>
      </c>
      <c r="B3959" s="693" t="s">
        <v>6518</v>
      </c>
      <c r="C3959" s="672" t="s">
        <v>944</v>
      </c>
      <c r="D3959" s="673">
        <v>40594</v>
      </c>
      <c r="E3959" s="674">
        <v>10</v>
      </c>
      <c r="F3959" s="675">
        <v>0.1</v>
      </c>
      <c r="G3959" s="676">
        <v>4228.57</v>
      </c>
      <c r="H3959" s="929">
        <v>422.85700000000003</v>
      </c>
      <c r="I3959" s="929">
        <v>2959.9989999999998</v>
      </c>
      <c r="J3959" s="689">
        <f t="shared" si="62"/>
        <v>1268.5709999999999</v>
      </c>
    </row>
    <row r="3960" spans="1:10" ht="12.75" customHeight="1" x14ac:dyDescent="0.2">
      <c r="A3960" s="681" t="s">
        <v>2370</v>
      </c>
      <c r="B3960" s="693" t="s">
        <v>6519</v>
      </c>
      <c r="C3960" s="672" t="s">
        <v>944</v>
      </c>
      <c r="D3960" s="673">
        <v>40594</v>
      </c>
      <c r="E3960" s="674">
        <v>10</v>
      </c>
      <c r="F3960" s="675">
        <v>0.1</v>
      </c>
      <c r="G3960" s="676">
        <v>4228.57</v>
      </c>
      <c r="H3960" s="929">
        <v>422.85700000000003</v>
      </c>
      <c r="I3960" s="929">
        <v>2959.9989999999998</v>
      </c>
      <c r="J3960" s="689">
        <f t="shared" si="62"/>
        <v>1268.5709999999999</v>
      </c>
    </row>
    <row r="3961" spans="1:10" ht="12.75" customHeight="1" x14ac:dyDescent="0.2">
      <c r="A3961" s="681" t="s">
        <v>2370</v>
      </c>
      <c r="B3961" s="693" t="s">
        <v>6520</v>
      </c>
      <c r="C3961" s="672" t="s">
        <v>944</v>
      </c>
      <c r="D3961" s="673">
        <v>40594</v>
      </c>
      <c r="E3961" s="674">
        <v>10</v>
      </c>
      <c r="F3961" s="675">
        <v>0.1</v>
      </c>
      <c r="G3961" s="676">
        <v>4228.57</v>
      </c>
      <c r="H3961" s="929">
        <v>422.85700000000003</v>
      </c>
      <c r="I3961" s="929">
        <v>2959.9989999999998</v>
      </c>
      <c r="J3961" s="689">
        <f t="shared" si="62"/>
        <v>1268.5709999999999</v>
      </c>
    </row>
    <row r="3962" spans="1:10" ht="12.75" customHeight="1" x14ac:dyDescent="0.2">
      <c r="A3962" s="681" t="s">
        <v>2370</v>
      </c>
      <c r="B3962" s="693" t="s">
        <v>6521</v>
      </c>
      <c r="C3962" s="672" t="s">
        <v>944</v>
      </c>
      <c r="D3962" s="673">
        <v>40594</v>
      </c>
      <c r="E3962" s="674">
        <v>10</v>
      </c>
      <c r="F3962" s="675">
        <v>0.1</v>
      </c>
      <c r="G3962" s="676">
        <v>4228.57</v>
      </c>
      <c r="H3962" s="929">
        <v>422.85700000000003</v>
      </c>
      <c r="I3962" s="929">
        <v>2959.9989999999998</v>
      </c>
      <c r="J3962" s="689">
        <f t="shared" si="62"/>
        <v>1268.5709999999999</v>
      </c>
    </row>
    <row r="3963" spans="1:10" ht="12.75" customHeight="1" x14ac:dyDescent="0.2">
      <c r="A3963" s="681" t="s">
        <v>2370</v>
      </c>
      <c r="B3963" s="693" t="s">
        <v>6522</v>
      </c>
      <c r="C3963" s="672" t="s">
        <v>944</v>
      </c>
      <c r="D3963" s="673">
        <v>40594</v>
      </c>
      <c r="E3963" s="674">
        <v>10</v>
      </c>
      <c r="F3963" s="675">
        <v>0.1</v>
      </c>
      <c r="G3963" s="676">
        <v>4228.57</v>
      </c>
      <c r="H3963" s="929">
        <v>422.85700000000003</v>
      </c>
      <c r="I3963" s="929">
        <v>2959.9989999999998</v>
      </c>
      <c r="J3963" s="689">
        <f t="shared" si="62"/>
        <v>1268.5709999999999</v>
      </c>
    </row>
    <row r="3964" spans="1:10" ht="12.75" customHeight="1" x14ac:dyDescent="0.2">
      <c r="A3964" s="681" t="s">
        <v>2370</v>
      </c>
      <c r="B3964" s="693" t="s">
        <v>6523</v>
      </c>
      <c r="C3964" s="672" t="s">
        <v>786</v>
      </c>
      <c r="D3964" s="673">
        <v>40594</v>
      </c>
      <c r="E3964" s="674">
        <v>10</v>
      </c>
      <c r="F3964" s="675">
        <v>0.1</v>
      </c>
      <c r="G3964" s="676">
        <v>4305.92</v>
      </c>
      <c r="H3964" s="929">
        <v>430.59199999999987</v>
      </c>
      <c r="I3964" s="929">
        <v>3014.1439999999993</v>
      </c>
      <c r="J3964" s="689">
        <f t="shared" si="62"/>
        <v>1291.7760000000007</v>
      </c>
    </row>
    <row r="3965" spans="1:10" ht="12.75" customHeight="1" x14ac:dyDescent="0.2">
      <c r="A3965" s="681" t="s">
        <v>2372</v>
      </c>
      <c r="B3965" s="693" t="s">
        <v>6524</v>
      </c>
      <c r="C3965" s="672" t="s">
        <v>1007</v>
      </c>
      <c r="D3965" s="673">
        <v>40594</v>
      </c>
      <c r="E3965" s="674">
        <v>10</v>
      </c>
      <c r="F3965" s="675">
        <v>0.1</v>
      </c>
      <c r="G3965" s="676">
        <v>4999</v>
      </c>
      <c r="H3965" s="929">
        <v>499.89999999999986</v>
      </c>
      <c r="I3965" s="929">
        <v>3499.2999999999993</v>
      </c>
      <c r="J3965" s="689">
        <f t="shared" si="62"/>
        <v>1499.7000000000007</v>
      </c>
    </row>
    <row r="3966" spans="1:10" ht="12.75" customHeight="1" x14ac:dyDescent="0.2">
      <c r="A3966" s="681" t="s">
        <v>2370</v>
      </c>
      <c r="B3966" s="693" t="s">
        <v>6525</v>
      </c>
      <c r="C3966" s="672" t="s">
        <v>921</v>
      </c>
      <c r="D3966" s="673">
        <v>40594</v>
      </c>
      <c r="E3966" s="674">
        <v>10</v>
      </c>
      <c r="F3966" s="675">
        <v>0.1</v>
      </c>
      <c r="G3966" s="676">
        <v>5222</v>
      </c>
      <c r="H3966" s="929">
        <v>522.19999999999993</v>
      </c>
      <c r="I3966" s="929">
        <v>3655.3999999999996</v>
      </c>
      <c r="J3966" s="689">
        <f t="shared" si="62"/>
        <v>1566.6000000000004</v>
      </c>
    </row>
    <row r="3967" spans="1:10" ht="12.75" customHeight="1" x14ac:dyDescent="0.2">
      <c r="A3967" s="681" t="s">
        <v>2370</v>
      </c>
      <c r="B3967" s="693" t="s">
        <v>6526</v>
      </c>
      <c r="C3967" s="672" t="s">
        <v>787</v>
      </c>
      <c r="D3967" s="673">
        <v>40594</v>
      </c>
      <c r="E3967" s="674">
        <v>10</v>
      </c>
      <c r="F3967" s="675">
        <v>0.1</v>
      </c>
      <c r="G3967" s="676">
        <v>5574.96</v>
      </c>
      <c r="H3967" s="929">
        <v>557.49599999999987</v>
      </c>
      <c r="I3967" s="929">
        <v>3902.4719999999998</v>
      </c>
      <c r="J3967" s="689">
        <f t="shared" si="62"/>
        <v>1672.4880000000003</v>
      </c>
    </row>
    <row r="3968" spans="1:10" ht="12.75" customHeight="1" x14ac:dyDescent="0.2">
      <c r="A3968" s="681" t="s">
        <v>2370</v>
      </c>
      <c r="B3968" s="693" t="s">
        <v>6527</v>
      </c>
      <c r="C3968" s="672" t="s">
        <v>926</v>
      </c>
      <c r="D3968" s="673">
        <v>40594</v>
      </c>
      <c r="E3968" s="674">
        <v>10</v>
      </c>
      <c r="F3968" s="675">
        <v>0.1</v>
      </c>
      <c r="G3968" s="676">
        <v>5627.16</v>
      </c>
      <c r="H3968" s="929">
        <v>562.71600000000012</v>
      </c>
      <c r="I3968" s="929">
        <v>3939.0120000000006</v>
      </c>
      <c r="J3968" s="689">
        <f t="shared" si="62"/>
        <v>1688.1479999999992</v>
      </c>
    </row>
    <row r="3969" spans="1:10" ht="12.75" customHeight="1" x14ac:dyDescent="0.2">
      <c r="A3969" s="681" t="s">
        <v>2370</v>
      </c>
      <c r="B3969" s="693" t="s">
        <v>6528</v>
      </c>
      <c r="C3969" s="672" t="s">
        <v>926</v>
      </c>
      <c r="D3969" s="673">
        <v>40594</v>
      </c>
      <c r="E3969" s="674">
        <v>10</v>
      </c>
      <c r="F3969" s="675">
        <v>0.1</v>
      </c>
      <c r="G3969" s="676">
        <v>5627.16</v>
      </c>
      <c r="H3969" s="929">
        <v>562.71600000000012</v>
      </c>
      <c r="I3969" s="929">
        <v>3939.0120000000006</v>
      </c>
      <c r="J3969" s="689">
        <f t="shared" si="62"/>
        <v>1688.1479999999992</v>
      </c>
    </row>
    <row r="3970" spans="1:10" ht="12.75" customHeight="1" x14ac:dyDescent="0.2">
      <c r="A3970" s="681" t="s">
        <v>2370</v>
      </c>
      <c r="B3970" s="693" t="s">
        <v>6529</v>
      </c>
      <c r="C3970" s="672" t="s">
        <v>926</v>
      </c>
      <c r="D3970" s="673">
        <v>40594</v>
      </c>
      <c r="E3970" s="674">
        <v>10</v>
      </c>
      <c r="F3970" s="675">
        <v>0.1</v>
      </c>
      <c r="G3970" s="676">
        <v>5627.16</v>
      </c>
      <c r="H3970" s="929">
        <v>562.71600000000012</v>
      </c>
      <c r="I3970" s="929">
        <v>3939.0120000000006</v>
      </c>
      <c r="J3970" s="689">
        <f t="shared" si="62"/>
        <v>1688.1479999999992</v>
      </c>
    </row>
    <row r="3971" spans="1:10" ht="12.75" customHeight="1" x14ac:dyDescent="0.2">
      <c r="A3971" s="681" t="s">
        <v>2370</v>
      </c>
      <c r="B3971" s="693" t="s">
        <v>6530</v>
      </c>
      <c r="C3971" s="672" t="s">
        <v>937</v>
      </c>
      <c r="D3971" s="673">
        <v>40594</v>
      </c>
      <c r="E3971" s="674">
        <v>10</v>
      </c>
      <c r="F3971" s="675">
        <v>0.1</v>
      </c>
      <c r="G3971" s="676">
        <v>5983.28</v>
      </c>
      <c r="H3971" s="929">
        <v>598.32799999999997</v>
      </c>
      <c r="I3971" s="929">
        <v>4188.2960000000003</v>
      </c>
      <c r="J3971" s="689">
        <f t="shared" si="62"/>
        <v>1794.9839999999995</v>
      </c>
    </row>
    <row r="3972" spans="1:10" ht="12.75" customHeight="1" x14ac:dyDescent="0.2">
      <c r="A3972" s="681" t="s">
        <v>2372</v>
      </c>
      <c r="B3972" s="693" t="s">
        <v>6531</v>
      </c>
      <c r="C3972" s="672" t="s">
        <v>1064</v>
      </c>
      <c r="D3972" s="673">
        <v>40594</v>
      </c>
      <c r="E3972" s="674">
        <v>10</v>
      </c>
      <c r="F3972" s="675">
        <v>0.1</v>
      </c>
      <c r="G3972" s="676">
        <v>5992</v>
      </c>
      <c r="H3972" s="929">
        <v>599.19999999999993</v>
      </c>
      <c r="I3972" s="929">
        <v>4194.3999999999996</v>
      </c>
      <c r="J3972" s="689">
        <f t="shared" si="62"/>
        <v>1797.6000000000004</v>
      </c>
    </row>
    <row r="3973" spans="1:10" ht="12.75" customHeight="1" x14ac:dyDescent="0.2">
      <c r="A3973" s="681" t="s">
        <v>2372</v>
      </c>
      <c r="B3973" s="693" t="s">
        <v>6532</v>
      </c>
      <c r="C3973" s="672" t="s">
        <v>1063</v>
      </c>
      <c r="D3973" s="673">
        <v>40594</v>
      </c>
      <c r="E3973" s="674">
        <v>10</v>
      </c>
      <c r="F3973" s="675">
        <v>0.1</v>
      </c>
      <c r="G3973" s="676">
        <v>6305.01</v>
      </c>
      <c r="H3973" s="929">
        <v>630.50099999999986</v>
      </c>
      <c r="I3973" s="929">
        <v>4413.5069999999996</v>
      </c>
      <c r="J3973" s="689">
        <f t="shared" si="62"/>
        <v>1891.5030000000006</v>
      </c>
    </row>
    <row r="3974" spans="1:10" ht="12.75" customHeight="1" x14ac:dyDescent="0.2">
      <c r="A3974" s="681" t="s">
        <v>2370</v>
      </c>
      <c r="B3974" s="693" t="s">
        <v>6533</v>
      </c>
      <c r="C3974" s="672" t="s">
        <v>791</v>
      </c>
      <c r="D3974" s="673">
        <v>40594</v>
      </c>
      <c r="E3974" s="674">
        <v>10</v>
      </c>
      <c r="F3974" s="675">
        <v>0.1</v>
      </c>
      <c r="G3974" s="676">
        <v>6325</v>
      </c>
      <c r="H3974" s="929">
        <v>632.5</v>
      </c>
      <c r="I3974" s="929">
        <v>4427.5</v>
      </c>
      <c r="J3974" s="689">
        <f t="shared" si="62"/>
        <v>1897.5</v>
      </c>
    </row>
    <row r="3975" spans="1:10" ht="12.75" customHeight="1" x14ac:dyDescent="0.2">
      <c r="A3975" s="681" t="s">
        <v>2370</v>
      </c>
      <c r="B3975" s="693" t="s">
        <v>6534</v>
      </c>
      <c r="C3975" s="672" t="s">
        <v>921</v>
      </c>
      <c r="D3975" s="673">
        <v>40594</v>
      </c>
      <c r="E3975" s="674">
        <v>10</v>
      </c>
      <c r="F3975" s="675">
        <v>0.1</v>
      </c>
      <c r="G3975" s="676">
        <v>6472.8</v>
      </c>
      <c r="H3975" s="929">
        <v>647.28</v>
      </c>
      <c r="I3975" s="929">
        <v>4530.96</v>
      </c>
      <c r="J3975" s="689">
        <f t="shared" ref="J3975:J4038" si="63">G3975-I3975</f>
        <v>1941.8400000000001</v>
      </c>
    </row>
    <row r="3976" spans="1:10" ht="12.75" customHeight="1" x14ac:dyDescent="0.2">
      <c r="A3976" s="681" t="s">
        <v>2372</v>
      </c>
      <c r="B3976" s="693" t="s">
        <v>6535</v>
      </c>
      <c r="C3976" s="672" t="s">
        <v>1007</v>
      </c>
      <c r="D3976" s="673">
        <v>40594</v>
      </c>
      <c r="E3976" s="674">
        <v>10</v>
      </c>
      <c r="F3976" s="675">
        <v>0.1</v>
      </c>
      <c r="G3976" s="676">
        <v>6899</v>
      </c>
      <c r="H3976" s="929">
        <v>689.9</v>
      </c>
      <c r="I3976" s="929">
        <v>4829.2999999999993</v>
      </c>
      <c r="J3976" s="689">
        <f t="shared" si="63"/>
        <v>2069.7000000000007</v>
      </c>
    </row>
    <row r="3977" spans="1:10" ht="12.75" customHeight="1" x14ac:dyDescent="0.2">
      <c r="A3977" s="681" t="s">
        <v>2372</v>
      </c>
      <c r="B3977" s="693" t="s">
        <v>6536</v>
      </c>
      <c r="C3977" s="672" t="s">
        <v>1067</v>
      </c>
      <c r="D3977" s="673">
        <v>40594</v>
      </c>
      <c r="E3977" s="674">
        <v>10</v>
      </c>
      <c r="F3977" s="675">
        <v>0.1</v>
      </c>
      <c r="G3977" s="676">
        <v>6902</v>
      </c>
      <c r="H3977" s="929">
        <v>690.19999999999993</v>
      </c>
      <c r="I3977" s="929">
        <v>4831.3999999999996</v>
      </c>
      <c r="J3977" s="689">
        <f t="shared" si="63"/>
        <v>2070.6000000000004</v>
      </c>
    </row>
    <row r="3978" spans="1:10" ht="12.75" customHeight="1" x14ac:dyDescent="0.2">
      <c r="A3978" s="681" t="s">
        <v>2372</v>
      </c>
      <c r="B3978" s="693" t="s">
        <v>6537</v>
      </c>
      <c r="C3978" s="672" t="s">
        <v>1007</v>
      </c>
      <c r="D3978" s="673">
        <v>40594</v>
      </c>
      <c r="E3978" s="674">
        <v>10</v>
      </c>
      <c r="F3978" s="675">
        <v>0.1</v>
      </c>
      <c r="G3978" s="676">
        <v>7049.32</v>
      </c>
      <c r="H3978" s="929">
        <v>704.9319999999999</v>
      </c>
      <c r="I3978" s="929">
        <v>4934.5239999999994</v>
      </c>
      <c r="J3978" s="689">
        <f t="shared" si="63"/>
        <v>2114.7960000000003</v>
      </c>
    </row>
    <row r="3979" spans="1:10" ht="12.75" customHeight="1" x14ac:dyDescent="0.2">
      <c r="A3979" s="681" t="s">
        <v>2370</v>
      </c>
      <c r="B3979" s="693" t="s">
        <v>6538</v>
      </c>
      <c r="C3979" s="672" t="s">
        <v>921</v>
      </c>
      <c r="D3979" s="673">
        <v>40594</v>
      </c>
      <c r="E3979" s="674">
        <v>10</v>
      </c>
      <c r="F3979" s="675">
        <v>0.1</v>
      </c>
      <c r="G3979" s="676">
        <v>7157.2</v>
      </c>
      <c r="H3979" s="929">
        <v>715.71999999999991</v>
      </c>
      <c r="I3979" s="929">
        <v>5010.0400000000009</v>
      </c>
      <c r="J3979" s="689">
        <f t="shared" si="63"/>
        <v>2147.1599999999989</v>
      </c>
    </row>
    <row r="3980" spans="1:10" ht="12.75" customHeight="1" x14ac:dyDescent="0.2">
      <c r="A3980" s="681" t="s">
        <v>2372</v>
      </c>
      <c r="B3980" s="693" t="s">
        <v>6539</v>
      </c>
      <c r="C3980" s="672" t="s">
        <v>1056</v>
      </c>
      <c r="D3980" s="673">
        <v>40594</v>
      </c>
      <c r="E3980" s="674">
        <v>10</v>
      </c>
      <c r="F3980" s="675">
        <v>0.1</v>
      </c>
      <c r="G3980" s="676">
        <v>7700</v>
      </c>
      <c r="H3980" s="929">
        <v>769.99999999999989</v>
      </c>
      <c r="I3980" s="929">
        <v>5390</v>
      </c>
      <c r="J3980" s="689">
        <f t="shared" si="63"/>
        <v>2310</v>
      </c>
    </row>
    <row r="3981" spans="1:10" ht="12.75" customHeight="1" x14ac:dyDescent="0.2">
      <c r="A3981" s="681" t="s">
        <v>2372</v>
      </c>
      <c r="B3981" s="693" t="s">
        <v>6540</v>
      </c>
      <c r="C3981" s="672" t="s">
        <v>1056</v>
      </c>
      <c r="D3981" s="673">
        <v>40594</v>
      </c>
      <c r="E3981" s="674">
        <v>10</v>
      </c>
      <c r="F3981" s="675">
        <v>0.1</v>
      </c>
      <c r="G3981" s="676">
        <v>8000</v>
      </c>
      <c r="H3981" s="929">
        <v>799.99999999999989</v>
      </c>
      <c r="I3981" s="929">
        <v>5600</v>
      </c>
      <c r="J3981" s="689">
        <f t="shared" si="63"/>
        <v>2400</v>
      </c>
    </row>
    <row r="3982" spans="1:10" ht="12.75" customHeight="1" x14ac:dyDescent="0.2">
      <c r="A3982" s="681" t="s">
        <v>2372</v>
      </c>
      <c r="B3982" s="693" t="s">
        <v>6541</v>
      </c>
      <c r="C3982" s="672" t="s">
        <v>1056</v>
      </c>
      <c r="D3982" s="673">
        <v>40594</v>
      </c>
      <c r="E3982" s="674">
        <v>10</v>
      </c>
      <c r="F3982" s="675">
        <v>0.1</v>
      </c>
      <c r="G3982" s="676">
        <v>11000</v>
      </c>
      <c r="H3982" s="929">
        <v>1099.9999999999998</v>
      </c>
      <c r="I3982" s="929">
        <v>7700</v>
      </c>
      <c r="J3982" s="689">
        <f t="shared" si="63"/>
        <v>3300</v>
      </c>
    </row>
    <row r="3983" spans="1:10" ht="12.75" customHeight="1" x14ac:dyDescent="0.2">
      <c r="A3983" s="681" t="s">
        <v>2370</v>
      </c>
      <c r="B3983" s="693" t="s">
        <v>6542</v>
      </c>
      <c r="C3983" s="672" t="s">
        <v>926</v>
      </c>
      <c r="D3983" s="673">
        <v>40594</v>
      </c>
      <c r="E3983" s="674">
        <v>10</v>
      </c>
      <c r="F3983" s="675">
        <v>0.1</v>
      </c>
      <c r="G3983" s="676">
        <v>19546</v>
      </c>
      <c r="H3983" s="929">
        <v>1954.5999999999995</v>
      </c>
      <c r="I3983" s="929">
        <v>13682.199999999997</v>
      </c>
      <c r="J3983" s="689">
        <f t="shared" si="63"/>
        <v>5863.8000000000029</v>
      </c>
    </row>
    <row r="3984" spans="1:10" ht="12.75" customHeight="1" x14ac:dyDescent="0.2">
      <c r="A3984" s="681" t="s">
        <v>2370</v>
      </c>
      <c r="B3984" s="693" t="s">
        <v>6543</v>
      </c>
      <c r="C3984" s="672" t="s">
        <v>842</v>
      </c>
      <c r="D3984" s="673">
        <v>40594</v>
      </c>
      <c r="E3984" s="674">
        <v>10</v>
      </c>
      <c r="F3984" s="675">
        <v>0.1</v>
      </c>
      <c r="G3984" s="676">
        <v>27840</v>
      </c>
      <c r="H3984" s="929">
        <v>2784</v>
      </c>
      <c r="I3984" s="929">
        <v>19488</v>
      </c>
      <c r="J3984" s="689">
        <f t="shared" si="63"/>
        <v>8352</v>
      </c>
    </row>
    <row r="3985" spans="1:10" ht="12.75" customHeight="1" x14ac:dyDescent="0.2">
      <c r="A3985" s="681" t="s">
        <v>2372</v>
      </c>
      <c r="B3985" s="693" t="s">
        <v>6544</v>
      </c>
      <c r="C3985" s="672" t="s">
        <v>1059</v>
      </c>
      <c r="D3985" s="673">
        <v>40594</v>
      </c>
      <c r="E3985" s="674">
        <v>10</v>
      </c>
      <c r="F3985" s="675">
        <v>0.1</v>
      </c>
      <c r="G3985" s="676">
        <v>29000</v>
      </c>
      <c r="H3985" s="929">
        <v>2899.9999999999995</v>
      </c>
      <c r="I3985" s="929">
        <v>20300</v>
      </c>
      <c r="J3985" s="689">
        <f t="shared" si="63"/>
        <v>8700</v>
      </c>
    </row>
    <row r="3986" spans="1:10" ht="12.75" customHeight="1" x14ac:dyDescent="0.2">
      <c r="A3986" s="681" t="s">
        <v>2370</v>
      </c>
      <c r="B3986" s="693" t="s">
        <v>6545</v>
      </c>
      <c r="C3986" s="672" t="s">
        <v>863</v>
      </c>
      <c r="D3986" s="673">
        <v>40959</v>
      </c>
      <c r="E3986" s="674">
        <v>10</v>
      </c>
      <c r="F3986" s="675">
        <v>0.1</v>
      </c>
      <c r="G3986" s="676">
        <v>155.44</v>
      </c>
      <c r="H3986" s="929">
        <v>15.544000000000002</v>
      </c>
      <c r="I3986" s="929">
        <v>93.263999999999996</v>
      </c>
      <c r="J3986" s="689">
        <f t="shared" si="63"/>
        <v>62.176000000000002</v>
      </c>
    </row>
    <row r="3987" spans="1:10" ht="12.75" customHeight="1" x14ac:dyDescent="0.2">
      <c r="A3987" s="681" t="s">
        <v>2370</v>
      </c>
      <c r="B3987" s="693" t="s">
        <v>6546</v>
      </c>
      <c r="C3987" s="672" t="s">
        <v>863</v>
      </c>
      <c r="D3987" s="673">
        <v>40959</v>
      </c>
      <c r="E3987" s="674">
        <v>10</v>
      </c>
      <c r="F3987" s="675">
        <v>0.1</v>
      </c>
      <c r="G3987" s="676">
        <v>156.44</v>
      </c>
      <c r="H3987" s="929">
        <v>15.643999999999998</v>
      </c>
      <c r="I3987" s="929">
        <v>93.864000000000004</v>
      </c>
      <c r="J3987" s="689">
        <f t="shared" si="63"/>
        <v>62.575999999999993</v>
      </c>
    </row>
    <row r="3988" spans="1:10" ht="12.75" customHeight="1" x14ac:dyDescent="0.2">
      <c r="A3988" s="681" t="s">
        <v>2370</v>
      </c>
      <c r="B3988" s="693" t="s">
        <v>6547</v>
      </c>
      <c r="C3988" s="672" t="s">
        <v>863</v>
      </c>
      <c r="D3988" s="673">
        <v>40959</v>
      </c>
      <c r="E3988" s="674">
        <v>10</v>
      </c>
      <c r="F3988" s="675">
        <v>0.1</v>
      </c>
      <c r="G3988" s="676">
        <v>157.44</v>
      </c>
      <c r="H3988" s="929">
        <v>15.743999999999998</v>
      </c>
      <c r="I3988" s="929">
        <v>94.463999999999999</v>
      </c>
      <c r="J3988" s="689">
        <f t="shared" si="63"/>
        <v>62.975999999999999</v>
      </c>
    </row>
    <row r="3989" spans="1:10" ht="12.75" customHeight="1" x14ac:dyDescent="0.2">
      <c r="A3989" s="681" t="s">
        <v>2370</v>
      </c>
      <c r="B3989" s="693" t="s">
        <v>6548</v>
      </c>
      <c r="C3989" s="672" t="s">
        <v>863</v>
      </c>
      <c r="D3989" s="673">
        <v>40959</v>
      </c>
      <c r="E3989" s="674">
        <v>10</v>
      </c>
      <c r="F3989" s="675">
        <v>0.1</v>
      </c>
      <c r="G3989" s="676">
        <v>158.44</v>
      </c>
      <c r="H3989" s="929">
        <v>15.844000000000003</v>
      </c>
      <c r="I3989" s="929">
        <v>95.064000000000007</v>
      </c>
      <c r="J3989" s="689">
        <f t="shared" si="63"/>
        <v>63.375999999999991</v>
      </c>
    </row>
    <row r="3990" spans="1:10" ht="12.75" customHeight="1" x14ac:dyDescent="0.2">
      <c r="A3990" s="681" t="s">
        <v>2370</v>
      </c>
      <c r="B3990" s="693" t="s">
        <v>6549</v>
      </c>
      <c r="C3990" s="672" t="s">
        <v>863</v>
      </c>
      <c r="D3990" s="673">
        <v>40959</v>
      </c>
      <c r="E3990" s="674">
        <v>10</v>
      </c>
      <c r="F3990" s="675">
        <v>0.1</v>
      </c>
      <c r="G3990" s="676">
        <v>159.44</v>
      </c>
      <c r="H3990" s="929">
        <v>15.944000000000001</v>
      </c>
      <c r="I3990" s="929">
        <v>95.664000000000001</v>
      </c>
      <c r="J3990" s="689">
        <f t="shared" si="63"/>
        <v>63.775999999999996</v>
      </c>
    </row>
    <row r="3991" spans="1:10" ht="12.75" customHeight="1" x14ac:dyDescent="0.2">
      <c r="A3991" s="681" t="s">
        <v>2370</v>
      </c>
      <c r="B3991" s="693" t="s">
        <v>6550</v>
      </c>
      <c r="C3991" s="672" t="s">
        <v>863</v>
      </c>
      <c r="D3991" s="673">
        <v>40959</v>
      </c>
      <c r="E3991" s="674">
        <v>10</v>
      </c>
      <c r="F3991" s="675">
        <v>0.1</v>
      </c>
      <c r="G3991" s="676">
        <v>160.44</v>
      </c>
      <c r="H3991" s="929">
        <v>16.044</v>
      </c>
      <c r="I3991" s="929">
        <v>96.263999999999996</v>
      </c>
      <c r="J3991" s="689">
        <f t="shared" si="63"/>
        <v>64.176000000000002</v>
      </c>
    </row>
    <row r="3992" spans="1:10" ht="12.75" customHeight="1" x14ac:dyDescent="0.2">
      <c r="A3992" s="681" t="s">
        <v>2370</v>
      </c>
      <c r="B3992" s="693" t="s">
        <v>6551</v>
      </c>
      <c r="C3992" s="672" t="s">
        <v>863</v>
      </c>
      <c r="D3992" s="673">
        <v>40959</v>
      </c>
      <c r="E3992" s="674">
        <v>10</v>
      </c>
      <c r="F3992" s="675">
        <v>0.1</v>
      </c>
      <c r="G3992" s="676">
        <v>161.44</v>
      </c>
      <c r="H3992" s="929">
        <v>16.143999999999995</v>
      </c>
      <c r="I3992" s="929">
        <v>96.86399999999999</v>
      </c>
      <c r="J3992" s="689">
        <f t="shared" si="63"/>
        <v>64.576000000000008</v>
      </c>
    </row>
    <row r="3993" spans="1:10" ht="12.75" customHeight="1" x14ac:dyDescent="0.2">
      <c r="A3993" s="681" t="s">
        <v>2370</v>
      </c>
      <c r="B3993" s="693" t="s">
        <v>6552</v>
      </c>
      <c r="C3993" s="672" t="s">
        <v>863</v>
      </c>
      <c r="D3993" s="673">
        <v>40959</v>
      </c>
      <c r="E3993" s="674">
        <v>10</v>
      </c>
      <c r="F3993" s="675">
        <v>0.1</v>
      </c>
      <c r="G3993" s="676">
        <v>162.44</v>
      </c>
      <c r="H3993" s="929">
        <v>16.244000000000003</v>
      </c>
      <c r="I3993" s="929">
        <v>97.463999999999999</v>
      </c>
      <c r="J3993" s="689">
        <f t="shared" si="63"/>
        <v>64.975999999999999</v>
      </c>
    </row>
    <row r="3994" spans="1:10" ht="12.75" customHeight="1" x14ac:dyDescent="0.2">
      <c r="A3994" s="681" t="s">
        <v>2370</v>
      </c>
      <c r="B3994" s="693" t="s">
        <v>6553</v>
      </c>
      <c r="C3994" s="672" t="s">
        <v>863</v>
      </c>
      <c r="D3994" s="673">
        <v>40959</v>
      </c>
      <c r="E3994" s="674">
        <v>10</v>
      </c>
      <c r="F3994" s="675">
        <v>0.1</v>
      </c>
      <c r="G3994" s="676">
        <v>163.44</v>
      </c>
      <c r="H3994" s="929">
        <v>16.343999999999998</v>
      </c>
      <c r="I3994" s="929">
        <v>98.063999999999993</v>
      </c>
      <c r="J3994" s="689">
        <f t="shared" si="63"/>
        <v>65.376000000000005</v>
      </c>
    </row>
    <row r="3995" spans="1:10" ht="12.75" customHeight="1" x14ac:dyDescent="0.2">
      <c r="A3995" s="681" t="s">
        <v>2370</v>
      </c>
      <c r="B3995" s="693" t="s">
        <v>6554</v>
      </c>
      <c r="C3995" s="672" t="s">
        <v>863</v>
      </c>
      <c r="D3995" s="673">
        <v>40959</v>
      </c>
      <c r="E3995" s="674">
        <v>10</v>
      </c>
      <c r="F3995" s="675">
        <v>0.1</v>
      </c>
      <c r="G3995" s="676">
        <v>164.44</v>
      </c>
      <c r="H3995" s="929">
        <v>16.443999999999999</v>
      </c>
      <c r="I3995" s="929">
        <v>98.664000000000001</v>
      </c>
      <c r="J3995" s="689">
        <f t="shared" si="63"/>
        <v>65.775999999999996</v>
      </c>
    </row>
    <row r="3996" spans="1:10" ht="12.75" customHeight="1" x14ac:dyDescent="0.2">
      <c r="A3996" s="681" t="s">
        <v>2370</v>
      </c>
      <c r="B3996" s="693" t="s">
        <v>6555</v>
      </c>
      <c r="C3996" s="672" t="s">
        <v>878</v>
      </c>
      <c r="D3996" s="673">
        <v>40959</v>
      </c>
      <c r="E3996" s="674">
        <v>10</v>
      </c>
      <c r="F3996" s="675">
        <v>0.1</v>
      </c>
      <c r="G3996" s="676">
        <v>165.44</v>
      </c>
      <c r="H3996" s="929">
        <v>16.544000000000004</v>
      </c>
      <c r="I3996" s="929">
        <v>99.26400000000001</v>
      </c>
      <c r="J3996" s="689">
        <f t="shared" si="63"/>
        <v>66.175999999999988</v>
      </c>
    </row>
    <row r="3997" spans="1:10" ht="12.75" customHeight="1" x14ac:dyDescent="0.2">
      <c r="A3997" s="681" t="s">
        <v>2370</v>
      </c>
      <c r="B3997" s="693" t="s">
        <v>6556</v>
      </c>
      <c r="C3997" s="672" t="s">
        <v>863</v>
      </c>
      <c r="D3997" s="673">
        <v>40959</v>
      </c>
      <c r="E3997" s="674">
        <v>10</v>
      </c>
      <c r="F3997" s="675">
        <v>0.1</v>
      </c>
      <c r="G3997" s="676">
        <v>166.44</v>
      </c>
      <c r="H3997" s="929">
        <v>16.644000000000002</v>
      </c>
      <c r="I3997" s="929">
        <v>99.864000000000019</v>
      </c>
      <c r="J3997" s="689">
        <f t="shared" si="63"/>
        <v>66.575999999999979</v>
      </c>
    </row>
    <row r="3998" spans="1:10" ht="12.75" customHeight="1" x14ac:dyDescent="0.2">
      <c r="A3998" s="681" t="s">
        <v>2370</v>
      </c>
      <c r="B3998" s="693" t="s">
        <v>6557</v>
      </c>
      <c r="C3998" s="672" t="s">
        <v>863</v>
      </c>
      <c r="D3998" s="673">
        <v>40959</v>
      </c>
      <c r="E3998" s="674">
        <v>10</v>
      </c>
      <c r="F3998" s="675">
        <v>0.1</v>
      </c>
      <c r="G3998" s="676">
        <v>167.44</v>
      </c>
      <c r="H3998" s="929">
        <v>16.744</v>
      </c>
      <c r="I3998" s="929">
        <v>100.464</v>
      </c>
      <c r="J3998" s="689">
        <f t="shared" si="63"/>
        <v>66.975999999999999</v>
      </c>
    </row>
    <row r="3999" spans="1:10" ht="12.75" customHeight="1" x14ac:dyDescent="0.2">
      <c r="A3999" s="681" t="s">
        <v>2370</v>
      </c>
      <c r="B3999" s="693" t="s">
        <v>6558</v>
      </c>
      <c r="C3999" s="672" t="s">
        <v>863</v>
      </c>
      <c r="D3999" s="673">
        <v>40959</v>
      </c>
      <c r="E3999" s="674">
        <v>10</v>
      </c>
      <c r="F3999" s="675">
        <v>0.1</v>
      </c>
      <c r="G3999" s="676">
        <v>168.44</v>
      </c>
      <c r="H3999" s="929">
        <v>16.843999999999998</v>
      </c>
      <c r="I3999" s="929">
        <v>101.06399999999999</v>
      </c>
      <c r="J3999" s="689">
        <f t="shared" si="63"/>
        <v>67.376000000000005</v>
      </c>
    </row>
    <row r="4000" spans="1:10" ht="12.75" customHeight="1" x14ac:dyDescent="0.2">
      <c r="A4000" s="681" t="s">
        <v>2370</v>
      </c>
      <c r="B4000" s="693" t="s">
        <v>6559</v>
      </c>
      <c r="C4000" s="672" t="s">
        <v>863</v>
      </c>
      <c r="D4000" s="673">
        <v>40959</v>
      </c>
      <c r="E4000" s="674">
        <v>10</v>
      </c>
      <c r="F4000" s="675">
        <v>0.1</v>
      </c>
      <c r="G4000" s="676">
        <v>169.44</v>
      </c>
      <c r="H4000" s="929">
        <v>16.943999999999996</v>
      </c>
      <c r="I4000" s="929">
        <v>101.66399999999999</v>
      </c>
      <c r="J4000" s="689">
        <f t="shared" si="63"/>
        <v>67.77600000000001</v>
      </c>
    </row>
    <row r="4001" spans="1:10" ht="12.75" customHeight="1" x14ac:dyDescent="0.2">
      <c r="A4001" s="681" t="s">
        <v>2370</v>
      </c>
      <c r="B4001" s="693" t="s">
        <v>6560</v>
      </c>
      <c r="C4001" s="672" t="s">
        <v>863</v>
      </c>
      <c r="D4001" s="673">
        <v>40959</v>
      </c>
      <c r="E4001" s="674">
        <v>10</v>
      </c>
      <c r="F4001" s="675">
        <v>0.1</v>
      </c>
      <c r="G4001" s="676">
        <v>170.44</v>
      </c>
      <c r="H4001" s="929">
        <v>17.044</v>
      </c>
      <c r="I4001" s="929">
        <v>102.264</v>
      </c>
      <c r="J4001" s="689">
        <f t="shared" si="63"/>
        <v>68.176000000000002</v>
      </c>
    </row>
    <row r="4002" spans="1:10" ht="12.75" customHeight="1" x14ac:dyDescent="0.2">
      <c r="A4002" s="681" t="s">
        <v>2370</v>
      </c>
      <c r="B4002" s="693" t="s">
        <v>6561</v>
      </c>
      <c r="C4002" s="672" t="s">
        <v>863</v>
      </c>
      <c r="D4002" s="673">
        <v>40959</v>
      </c>
      <c r="E4002" s="674">
        <v>10</v>
      </c>
      <c r="F4002" s="675">
        <v>0.1</v>
      </c>
      <c r="G4002" s="676">
        <v>171.44</v>
      </c>
      <c r="H4002" s="929">
        <v>17.143999999999998</v>
      </c>
      <c r="I4002" s="929">
        <v>102.864</v>
      </c>
      <c r="J4002" s="689">
        <f t="shared" si="63"/>
        <v>68.575999999999993</v>
      </c>
    </row>
    <row r="4003" spans="1:10" ht="12.75" customHeight="1" x14ac:dyDescent="0.2">
      <c r="A4003" s="681" t="s">
        <v>2370</v>
      </c>
      <c r="B4003" s="693" t="s">
        <v>6562</v>
      </c>
      <c r="C4003" s="672" t="s">
        <v>863</v>
      </c>
      <c r="D4003" s="673">
        <v>40959</v>
      </c>
      <c r="E4003" s="674">
        <v>10</v>
      </c>
      <c r="F4003" s="675">
        <v>0.1</v>
      </c>
      <c r="G4003" s="676">
        <v>172.44</v>
      </c>
      <c r="H4003" s="929">
        <v>17.243999999999996</v>
      </c>
      <c r="I4003" s="929">
        <v>103.464</v>
      </c>
      <c r="J4003" s="689">
        <f t="shared" si="63"/>
        <v>68.975999999999999</v>
      </c>
    </row>
    <row r="4004" spans="1:10" ht="12.75" customHeight="1" x14ac:dyDescent="0.2">
      <c r="A4004" s="681" t="s">
        <v>2370</v>
      </c>
      <c r="B4004" s="693" t="s">
        <v>6563</v>
      </c>
      <c r="C4004" s="672" t="s">
        <v>863</v>
      </c>
      <c r="D4004" s="673">
        <v>40959</v>
      </c>
      <c r="E4004" s="674">
        <v>10</v>
      </c>
      <c r="F4004" s="675">
        <v>0.1</v>
      </c>
      <c r="G4004" s="676">
        <v>173.44</v>
      </c>
      <c r="H4004" s="929">
        <v>17.344000000000005</v>
      </c>
      <c r="I4004" s="929">
        <v>104.06400000000002</v>
      </c>
      <c r="J4004" s="689">
        <f t="shared" si="63"/>
        <v>69.375999999999976</v>
      </c>
    </row>
    <row r="4005" spans="1:10" ht="12.75" customHeight="1" x14ac:dyDescent="0.2">
      <c r="A4005" s="681" t="s">
        <v>2370</v>
      </c>
      <c r="B4005" s="693" t="s">
        <v>6564</v>
      </c>
      <c r="C4005" s="672" t="s">
        <v>863</v>
      </c>
      <c r="D4005" s="673">
        <v>40959</v>
      </c>
      <c r="E4005" s="674">
        <v>10</v>
      </c>
      <c r="F4005" s="675">
        <v>0.1</v>
      </c>
      <c r="G4005" s="676">
        <v>174.44</v>
      </c>
      <c r="H4005" s="929">
        <v>17.443999999999999</v>
      </c>
      <c r="I4005" s="929">
        <v>104.664</v>
      </c>
      <c r="J4005" s="689">
        <f t="shared" si="63"/>
        <v>69.775999999999996</v>
      </c>
    </row>
    <row r="4006" spans="1:10" ht="12.75" customHeight="1" x14ac:dyDescent="0.2">
      <c r="A4006" s="681" t="s">
        <v>2372</v>
      </c>
      <c r="B4006" s="693" t="s">
        <v>6565</v>
      </c>
      <c r="C4006" s="672" t="s">
        <v>1100</v>
      </c>
      <c r="D4006" s="673">
        <v>40959</v>
      </c>
      <c r="E4006" s="674">
        <v>10</v>
      </c>
      <c r="F4006" s="675">
        <v>0.1</v>
      </c>
      <c r="G4006" s="676">
        <v>430.01</v>
      </c>
      <c r="H4006" s="929">
        <v>43.000999999999983</v>
      </c>
      <c r="I4006" s="929">
        <v>258.00599999999997</v>
      </c>
      <c r="J4006" s="689">
        <f t="shared" si="63"/>
        <v>172.00400000000002</v>
      </c>
    </row>
    <row r="4007" spans="1:10" ht="12.75" customHeight="1" x14ac:dyDescent="0.2">
      <c r="A4007" s="681" t="s">
        <v>2370</v>
      </c>
      <c r="B4007" s="693" t="s">
        <v>6566</v>
      </c>
      <c r="C4007" s="672" t="s">
        <v>785</v>
      </c>
      <c r="D4007" s="673">
        <v>40959</v>
      </c>
      <c r="E4007" s="674">
        <v>10</v>
      </c>
      <c r="F4007" s="675">
        <v>0.1</v>
      </c>
      <c r="G4007" s="676">
        <v>487.2</v>
      </c>
      <c r="H4007" s="929">
        <v>48.720000000000006</v>
      </c>
      <c r="I4007" s="929">
        <v>292.32</v>
      </c>
      <c r="J4007" s="689">
        <f t="shared" si="63"/>
        <v>194.88</v>
      </c>
    </row>
    <row r="4008" spans="1:10" ht="12.75" customHeight="1" x14ac:dyDescent="0.2">
      <c r="A4008" s="681" t="s">
        <v>2370</v>
      </c>
      <c r="B4008" s="693" t="s">
        <v>6567</v>
      </c>
      <c r="C4008" s="672" t="s">
        <v>785</v>
      </c>
      <c r="D4008" s="673">
        <v>40959</v>
      </c>
      <c r="E4008" s="674">
        <v>10</v>
      </c>
      <c r="F4008" s="675">
        <v>0.1</v>
      </c>
      <c r="G4008" s="676">
        <v>487.2</v>
      </c>
      <c r="H4008" s="929">
        <v>48.720000000000006</v>
      </c>
      <c r="I4008" s="929">
        <v>292.32</v>
      </c>
      <c r="J4008" s="689">
        <f t="shared" si="63"/>
        <v>194.88</v>
      </c>
    </row>
    <row r="4009" spans="1:10" ht="12.75" customHeight="1" x14ac:dyDescent="0.2">
      <c r="A4009" s="681" t="s">
        <v>2370</v>
      </c>
      <c r="B4009" s="693" t="s">
        <v>6568</v>
      </c>
      <c r="C4009" s="672" t="s">
        <v>785</v>
      </c>
      <c r="D4009" s="673">
        <v>40959</v>
      </c>
      <c r="E4009" s="674">
        <v>10</v>
      </c>
      <c r="F4009" s="675">
        <v>0.1</v>
      </c>
      <c r="G4009" s="676">
        <v>487.2</v>
      </c>
      <c r="H4009" s="929">
        <v>48.720000000000006</v>
      </c>
      <c r="I4009" s="929">
        <v>292.32</v>
      </c>
      <c r="J4009" s="689">
        <f t="shared" si="63"/>
        <v>194.88</v>
      </c>
    </row>
    <row r="4010" spans="1:10" ht="12.75" customHeight="1" x14ac:dyDescent="0.2">
      <c r="A4010" s="681" t="s">
        <v>2370</v>
      </c>
      <c r="B4010" s="693" t="s">
        <v>6569</v>
      </c>
      <c r="C4010" s="672" t="s">
        <v>785</v>
      </c>
      <c r="D4010" s="673">
        <v>40959</v>
      </c>
      <c r="E4010" s="674">
        <v>10</v>
      </c>
      <c r="F4010" s="675">
        <v>0.1</v>
      </c>
      <c r="G4010" s="676">
        <v>487.2</v>
      </c>
      <c r="H4010" s="929">
        <v>48.720000000000006</v>
      </c>
      <c r="I4010" s="929">
        <v>292.32</v>
      </c>
      <c r="J4010" s="689">
        <f t="shared" si="63"/>
        <v>194.88</v>
      </c>
    </row>
    <row r="4011" spans="1:10" ht="12.75" customHeight="1" x14ac:dyDescent="0.2">
      <c r="A4011" s="681" t="s">
        <v>2370</v>
      </c>
      <c r="B4011" s="693" t="s">
        <v>6570</v>
      </c>
      <c r="C4011" s="672" t="s">
        <v>785</v>
      </c>
      <c r="D4011" s="673">
        <v>40959</v>
      </c>
      <c r="E4011" s="674">
        <v>10</v>
      </c>
      <c r="F4011" s="675">
        <v>0.1</v>
      </c>
      <c r="G4011" s="676">
        <v>487.2</v>
      </c>
      <c r="H4011" s="929">
        <v>48.720000000000006</v>
      </c>
      <c r="I4011" s="929">
        <v>292.32</v>
      </c>
      <c r="J4011" s="689">
        <f t="shared" si="63"/>
        <v>194.88</v>
      </c>
    </row>
    <row r="4012" spans="1:10" ht="12.75" customHeight="1" x14ac:dyDescent="0.2">
      <c r="A4012" s="681" t="s">
        <v>2370</v>
      </c>
      <c r="B4012" s="693" t="s">
        <v>6571</v>
      </c>
      <c r="C4012" s="672" t="s">
        <v>785</v>
      </c>
      <c r="D4012" s="673">
        <v>40959</v>
      </c>
      <c r="E4012" s="674">
        <v>10</v>
      </c>
      <c r="F4012" s="675">
        <v>0.1</v>
      </c>
      <c r="G4012" s="676">
        <v>487.2</v>
      </c>
      <c r="H4012" s="929">
        <v>48.720000000000006</v>
      </c>
      <c r="I4012" s="929">
        <v>292.32</v>
      </c>
      <c r="J4012" s="689">
        <f t="shared" si="63"/>
        <v>194.88</v>
      </c>
    </row>
    <row r="4013" spans="1:10" ht="12.75" customHeight="1" x14ac:dyDescent="0.2">
      <c r="A4013" s="681" t="s">
        <v>2370</v>
      </c>
      <c r="B4013" s="693" t="s">
        <v>6572</v>
      </c>
      <c r="C4013" s="672" t="s">
        <v>785</v>
      </c>
      <c r="D4013" s="673">
        <v>40959</v>
      </c>
      <c r="E4013" s="674">
        <v>10</v>
      </c>
      <c r="F4013" s="675">
        <v>0.1</v>
      </c>
      <c r="G4013" s="676">
        <v>487.2</v>
      </c>
      <c r="H4013" s="929">
        <v>48.720000000000006</v>
      </c>
      <c r="I4013" s="929">
        <v>292.32</v>
      </c>
      <c r="J4013" s="689">
        <f t="shared" si="63"/>
        <v>194.88</v>
      </c>
    </row>
    <row r="4014" spans="1:10" ht="12.75" customHeight="1" x14ac:dyDescent="0.2">
      <c r="A4014" s="681" t="s">
        <v>2370</v>
      </c>
      <c r="B4014" s="693" t="s">
        <v>6573</v>
      </c>
      <c r="C4014" s="672" t="s">
        <v>785</v>
      </c>
      <c r="D4014" s="673">
        <v>40959</v>
      </c>
      <c r="E4014" s="674">
        <v>10</v>
      </c>
      <c r="F4014" s="675">
        <v>0.1</v>
      </c>
      <c r="G4014" s="676">
        <v>487.2</v>
      </c>
      <c r="H4014" s="929">
        <v>48.720000000000006</v>
      </c>
      <c r="I4014" s="929">
        <v>292.32</v>
      </c>
      <c r="J4014" s="689">
        <f t="shared" si="63"/>
        <v>194.88</v>
      </c>
    </row>
    <row r="4015" spans="1:10" ht="12.75" customHeight="1" x14ac:dyDescent="0.2">
      <c r="A4015" s="681" t="s">
        <v>2370</v>
      </c>
      <c r="B4015" s="693" t="s">
        <v>6574</v>
      </c>
      <c r="C4015" s="672" t="s">
        <v>785</v>
      </c>
      <c r="D4015" s="673">
        <v>40959</v>
      </c>
      <c r="E4015" s="674">
        <v>10</v>
      </c>
      <c r="F4015" s="675">
        <v>0.1</v>
      </c>
      <c r="G4015" s="676">
        <v>487.2</v>
      </c>
      <c r="H4015" s="929">
        <v>48.720000000000006</v>
      </c>
      <c r="I4015" s="929">
        <v>292.32</v>
      </c>
      <c r="J4015" s="689">
        <f t="shared" si="63"/>
        <v>194.88</v>
      </c>
    </row>
    <row r="4016" spans="1:10" ht="12.75" customHeight="1" x14ac:dyDescent="0.2">
      <c r="A4016" s="681" t="s">
        <v>2370</v>
      </c>
      <c r="B4016" s="693" t="s">
        <v>6575</v>
      </c>
      <c r="C4016" s="672" t="s">
        <v>785</v>
      </c>
      <c r="D4016" s="673">
        <v>40959</v>
      </c>
      <c r="E4016" s="674">
        <v>10</v>
      </c>
      <c r="F4016" s="675">
        <v>0.1</v>
      </c>
      <c r="G4016" s="676">
        <v>487.2</v>
      </c>
      <c r="H4016" s="929">
        <v>48.720000000000006</v>
      </c>
      <c r="I4016" s="929">
        <v>292.32</v>
      </c>
      <c r="J4016" s="689">
        <f t="shared" si="63"/>
        <v>194.88</v>
      </c>
    </row>
    <row r="4017" spans="1:10" ht="12.75" customHeight="1" x14ac:dyDescent="0.2">
      <c r="A4017" s="681" t="s">
        <v>2370</v>
      </c>
      <c r="B4017" s="693" t="s">
        <v>6576</v>
      </c>
      <c r="C4017" s="672" t="s">
        <v>785</v>
      </c>
      <c r="D4017" s="673">
        <v>40959</v>
      </c>
      <c r="E4017" s="674">
        <v>10</v>
      </c>
      <c r="F4017" s="675">
        <v>0.1</v>
      </c>
      <c r="G4017" s="676">
        <v>487.2</v>
      </c>
      <c r="H4017" s="929">
        <v>48.720000000000006</v>
      </c>
      <c r="I4017" s="929">
        <v>292.32</v>
      </c>
      <c r="J4017" s="689">
        <f t="shared" si="63"/>
        <v>194.88</v>
      </c>
    </row>
    <row r="4018" spans="1:10" ht="12.75" customHeight="1" x14ac:dyDescent="0.2">
      <c r="A4018" s="681" t="s">
        <v>2370</v>
      </c>
      <c r="B4018" s="693" t="s">
        <v>6577</v>
      </c>
      <c r="C4018" s="672" t="s">
        <v>785</v>
      </c>
      <c r="D4018" s="673">
        <v>40959</v>
      </c>
      <c r="E4018" s="674">
        <v>10</v>
      </c>
      <c r="F4018" s="675">
        <v>0.1</v>
      </c>
      <c r="G4018" s="676">
        <v>487.2</v>
      </c>
      <c r="H4018" s="929">
        <v>48.720000000000006</v>
      </c>
      <c r="I4018" s="929">
        <v>292.32</v>
      </c>
      <c r="J4018" s="689">
        <f t="shared" si="63"/>
        <v>194.88</v>
      </c>
    </row>
    <row r="4019" spans="1:10" ht="12.75" customHeight="1" x14ac:dyDescent="0.2">
      <c r="A4019" s="681" t="s">
        <v>2370</v>
      </c>
      <c r="B4019" s="693" t="s">
        <v>6578</v>
      </c>
      <c r="C4019" s="672" t="s">
        <v>813</v>
      </c>
      <c r="D4019" s="673">
        <v>40959</v>
      </c>
      <c r="E4019" s="674">
        <v>10</v>
      </c>
      <c r="F4019" s="675">
        <v>0.1</v>
      </c>
      <c r="G4019" s="676">
        <v>522.05999999999995</v>
      </c>
      <c r="H4019" s="929">
        <v>52.205999999999982</v>
      </c>
      <c r="I4019" s="929">
        <v>313.23599999999993</v>
      </c>
      <c r="J4019" s="689">
        <f t="shared" si="63"/>
        <v>208.82400000000001</v>
      </c>
    </row>
    <row r="4020" spans="1:10" ht="12.75" customHeight="1" x14ac:dyDescent="0.2">
      <c r="A4020" s="681" t="s">
        <v>2370</v>
      </c>
      <c r="B4020" s="693" t="s">
        <v>6579</v>
      </c>
      <c r="C4020" s="672" t="s">
        <v>813</v>
      </c>
      <c r="D4020" s="673">
        <v>40959</v>
      </c>
      <c r="E4020" s="674">
        <v>10</v>
      </c>
      <c r="F4020" s="675">
        <v>0.1</v>
      </c>
      <c r="G4020" s="676">
        <v>564.45000000000005</v>
      </c>
      <c r="H4020" s="929">
        <v>56.445</v>
      </c>
      <c r="I4020" s="929">
        <v>338.67</v>
      </c>
      <c r="J4020" s="689">
        <f t="shared" si="63"/>
        <v>225.78000000000003</v>
      </c>
    </row>
    <row r="4021" spans="1:10" ht="12.75" customHeight="1" x14ac:dyDescent="0.2">
      <c r="A4021" s="681" t="s">
        <v>2370</v>
      </c>
      <c r="B4021" s="693" t="s">
        <v>6580</v>
      </c>
      <c r="C4021" s="672" t="s">
        <v>813</v>
      </c>
      <c r="D4021" s="673">
        <v>40959</v>
      </c>
      <c r="E4021" s="674">
        <v>10</v>
      </c>
      <c r="F4021" s="675">
        <v>0.1</v>
      </c>
      <c r="G4021" s="676">
        <v>564.46</v>
      </c>
      <c r="H4021" s="929">
        <v>56.446000000000019</v>
      </c>
      <c r="I4021" s="929">
        <v>338.67600000000004</v>
      </c>
      <c r="J4021" s="689">
        <f t="shared" si="63"/>
        <v>225.78399999999999</v>
      </c>
    </row>
    <row r="4022" spans="1:10" ht="12.75" customHeight="1" x14ac:dyDescent="0.2">
      <c r="A4022" s="681" t="s">
        <v>2370</v>
      </c>
      <c r="B4022" s="693" t="s">
        <v>6581</v>
      </c>
      <c r="C4022" s="672" t="s">
        <v>813</v>
      </c>
      <c r="D4022" s="673">
        <v>40959</v>
      </c>
      <c r="E4022" s="674">
        <v>10</v>
      </c>
      <c r="F4022" s="675">
        <v>0.1</v>
      </c>
      <c r="G4022" s="676">
        <v>564.46</v>
      </c>
      <c r="H4022" s="929">
        <v>56.446000000000019</v>
      </c>
      <c r="I4022" s="929">
        <v>338.67600000000004</v>
      </c>
      <c r="J4022" s="689">
        <f t="shared" si="63"/>
        <v>225.78399999999999</v>
      </c>
    </row>
    <row r="4023" spans="1:10" ht="12.75" customHeight="1" x14ac:dyDescent="0.2">
      <c r="A4023" s="681" t="s">
        <v>2370</v>
      </c>
      <c r="B4023" s="693" t="s">
        <v>6582</v>
      </c>
      <c r="C4023" s="672" t="s">
        <v>946</v>
      </c>
      <c r="D4023" s="673">
        <v>40959</v>
      </c>
      <c r="E4023" s="674">
        <v>10</v>
      </c>
      <c r="F4023" s="675">
        <v>0.1</v>
      </c>
      <c r="G4023" s="676">
        <v>567.24</v>
      </c>
      <c r="H4023" s="929">
        <v>56.724000000000018</v>
      </c>
      <c r="I4023" s="929">
        <v>340.34400000000005</v>
      </c>
      <c r="J4023" s="689">
        <f t="shared" si="63"/>
        <v>226.89599999999996</v>
      </c>
    </row>
    <row r="4024" spans="1:10" ht="12.75" customHeight="1" x14ac:dyDescent="0.2">
      <c r="A4024" s="681" t="s">
        <v>2370</v>
      </c>
      <c r="B4024" s="693" t="s">
        <v>6583</v>
      </c>
      <c r="C4024" s="672" t="s">
        <v>939</v>
      </c>
      <c r="D4024" s="673">
        <v>40959</v>
      </c>
      <c r="E4024" s="674">
        <v>10</v>
      </c>
      <c r="F4024" s="675">
        <v>0.1</v>
      </c>
      <c r="G4024" s="676">
        <v>567.24</v>
      </c>
      <c r="H4024" s="929">
        <v>56.724000000000018</v>
      </c>
      <c r="I4024" s="929">
        <v>340.34400000000005</v>
      </c>
      <c r="J4024" s="689">
        <f t="shared" si="63"/>
        <v>226.89599999999996</v>
      </c>
    </row>
    <row r="4025" spans="1:10" ht="12.75" customHeight="1" x14ac:dyDescent="0.2">
      <c r="A4025" s="681" t="s">
        <v>2370</v>
      </c>
      <c r="B4025" s="693" t="s">
        <v>6584</v>
      </c>
      <c r="C4025" s="672" t="s">
        <v>939</v>
      </c>
      <c r="D4025" s="673">
        <v>40959</v>
      </c>
      <c r="E4025" s="674">
        <v>10</v>
      </c>
      <c r="F4025" s="675">
        <v>0.1</v>
      </c>
      <c r="G4025" s="676">
        <v>567.24</v>
      </c>
      <c r="H4025" s="929">
        <v>56.724000000000018</v>
      </c>
      <c r="I4025" s="929">
        <v>340.34400000000005</v>
      </c>
      <c r="J4025" s="689">
        <f t="shared" si="63"/>
        <v>226.89599999999996</v>
      </c>
    </row>
    <row r="4026" spans="1:10" ht="12.75" customHeight="1" x14ac:dyDescent="0.2">
      <c r="A4026" s="681" t="s">
        <v>2370</v>
      </c>
      <c r="B4026" s="693" t="s">
        <v>6585</v>
      </c>
      <c r="C4026" s="672" t="s">
        <v>939</v>
      </c>
      <c r="D4026" s="673">
        <v>40959</v>
      </c>
      <c r="E4026" s="674">
        <v>10</v>
      </c>
      <c r="F4026" s="675">
        <v>0.1</v>
      </c>
      <c r="G4026" s="676">
        <v>567.24</v>
      </c>
      <c r="H4026" s="929">
        <v>56.724000000000018</v>
      </c>
      <c r="I4026" s="929">
        <v>340.34400000000005</v>
      </c>
      <c r="J4026" s="689">
        <f t="shared" si="63"/>
        <v>226.89599999999996</v>
      </c>
    </row>
    <row r="4027" spans="1:10" ht="12.75" customHeight="1" x14ac:dyDescent="0.2">
      <c r="A4027" s="681" t="s">
        <v>2370</v>
      </c>
      <c r="B4027" s="693" t="s">
        <v>6586</v>
      </c>
      <c r="C4027" s="672" t="s">
        <v>792</v>
      </c>
      <c r="D4027" s="673">
        <v>40959</v>
      </c>
      <c r="E4027" s="674">
        <v>10</v>
      </c>
      <c r="F4027" s="675">
        <v>0.1</v>
      </c>
      <c r="G4027" s="676">
        <v>629.88</v>
      </c>
      <c r="H4027" s="929">
        <v>62.988000000000007</v>
      </c>
      <c r="I4027" s="929">
        <v>377.928</v>
      </c>
      <c r="J4027" s="689">
        <f t="shared" si="63"/>
        <v>251.952</v>
      </c>
    </row>
    <row r="4028" spans="1:10" ht="12.75" customHeight="1" x14ac:dyDescent="0.2">
      <c r="A4028" s="681" t="s">
        <v>2370</v>
      </c>
      <c r="B4028" s="693" t="s">
        <v>6587</v>
      </c>
      <c r="C4028" s="672" t="s">
        <v>792</v>
      </c>
      <c r="D4028" s="673">
        <v>40959</v>
      </c>
      <c r="E4028" s="674">
        <v>10</v>
      </c>
      <c r="F4028" s="675">
        <v>0.1</v>
      </c>
      <c r="G4028" s="676">
        <v>629.88</v>
      </c>
      <c r="H4028" s="929">
        <v>62.988000000000007</v>
      </c>
      <c r="I4028" s="929">
        <v>377.928</v>
      </c>
      <c r="J4028" s="689">
        <f t="shared" si="63"/>
        <v>251.952</v>
      </c>
    </row>
    <row r="4029" spans="1:10" ht="12.75" customHeight="1" x14ac:dyDescent="0.2">
      <c r="A4029" s="681" t="s">
        <v>2370</v>
      </c>
      <c r="B4029" s="693" t="s">
        <v>6588</v>
      </c>
      <c r="C4029" s="672" t="s">
        <v>789</v>
      </c>
      <c r="D4029" s="673">
        <v>40959</v>
      </c>
      <c r="E4029" s="674">
        <v>10</v>
      </c>
      <c r="F4029" s="675">
        <v>0.1</v>
      </c>
      <c r="G4029" s="676">
        <v>629.88</v>
      </c>
      <c r="H4029" s="929">
        <v>62.988000000000007</v>
      </c>
      <c r="I4029" s="929">
        <v>377.928</v>
      </c>
      <c r="J4029" s="689">
        <f t="shared" si="63"/>
        <v>251.952</v>
      </c>
    </row>
    <row r="4030" spans="1:10" ht="12.75" customHeight="1" x14ac:dyDescent="0.2">
      <c r="A4030" s="681" t="s">
        <v>2370</v>
      </c>
      <c r="B4030" s="693" t="s">
        <v>6589</v>
      </c>
      <c r="C4030" s="672" t="s">
        <v>789</v>
      </c>
      <c r="D4030" s="673">
        <v>40959</v>
      </c>
      <c r="E4030" s="674">
        <v>10</v>
      </c>
      <c r="F4030" s="675">
        <v>0.1</v>
      </c>
      <c r="G4030" s="676">
        <v>629.88</v>
      </c>
      <c r="H4030" s="929">
        <v>62.988000000000007</v>
      </c>
      <c r="I4030" s="929">
        <v>377.928</v>
      </c>
      <c r="J4030" s="689">
        <f t="shared" si="63"/>
        <v>251.952</v>
      </c>
    </row>
    <row r="4031" spans="1:10" ht="12.75" customHeight="1" x14ac:dyDescent="0.2">
      <c r="A4031" s="681" t="s">
        <v>2370</v>
      </c>
      <c r="B4031" s="693" t="s">
        <v>6590</v>
      </c>
      <c r="C4031" s="672" t="s">
        <v>789</v>
      </c>
      <c r="D4031" s="673">
        <v>40959</v>
      </c>
      <c r="E4031" s="674">
        <v>10</v>
      </c>
      <c r="F4031" s="675">
        <v>0.1</v>
      </c>
      <c r="G4031" s="676">
        <v>629.88</v>
      </c>
      <c r="H4031" s="929">
        <v>62.988000000000007</v>
      </c>
      <c r="I4031" s="929">
        <v>377.928</v>
      </c>
      <c r="J4031" s="689">
        <f t="shared" si="63"/>
        <v>251.952</v>
      </c>
    </row>
    <row r="4032" spans="1:10" ht="12.75" customHeight="1" x14ac:dyDescent="0.2">
      <c r="A4032" s="681" t="s">
        <v>2370</v>
      </c>
      <c r="B4032" s="693" t="s">
        <v>6591</v>
      </c>
      <c r="C4032" s="672" t="s">
        <v>792</v>
      </c>
      <c r="D4032" s="673">
        <v>40959</v>
      </c>
      <c r="E4032" s="674">
        <v>10</v>
      </c>
      <c r="F4032" s="675">
        <v>0.1</v>
      </c>
      <c r="G4032" s="676">
        <v>630</v>
      </c>
      <c r="H4032" s="929">
        <v>63</v>
      </c>
      <c r="I4032" s="929">
        <v>378</v>
      </c>
      <c r="J4032" s="689">
        <f t="shared" si="63"/>
        <v>252</v>
      </c>
    </row>
    <row r="4033" spans="1:10" ht="12.75" customHeight="1" x14ac:dyDescent="0.2">
      <c r="A4033" s="681" t="s">
        <v>2370</v>
      </c>
      <c r="B4033" s="693" t="s">
        <v>6592</v>
      </c>
      <c r="C4033" s="672" t="s">
        <v>948</v>
      </c>
      <c r="D4033" s="673">
        <v>40959</v>
      </c>
      <c r="E4033" s="674">
        <v>10</v>
      </c>
      <c r="F4033" s="675">
        <v>0.1</v>
      </c>
      <c r="G4033" s="676">
        <v>670.03</v>
      </c>
      <c r="H4033" s="929">
        <v>67.003000000000014</v>
      </c>
      <c r="I4033" s="929">
        <v>402.01800000000003</v>
      </c>
      <c r="J4033" s="689">
        <f t="shared" si="63"/>
        <v>268.01199999999994</v>
      </c>
    </row>
    <row r="4034" spans="1:10" ht="12.75" customHeight="1" x14ac:dyDescent="0.2">
      <c r="A4034" s="681" t="s">
        <v>2370</v>
      </c>
      <c r="B4034" s="693" t="s">
        <v>6593</v>
      </c>
      <c r="C4034" s="672" t="s">
        <v>948</v>
      </c>
      <c r="D4034" s="673">
        <v>40959</v>
      </c>
      <c r="E4034" s="674">
        <v>10</v>
      </c>
      <c r="F4034" s="675">
        <v>0.1</v>
      </c>
      <c r="G4034" s="676">
        <v>670.03</v>
      </c>
      <c r="H4034" s="929">
        <v>67.003000000000014</v>
      </c>
      <c r="I4034" s="929">
        <v>402.01800000000003</v>
      </c>
      <c r="J4034" s="689">
        <f t="shared" si="63"/>
        <v>268.01199999999994</v>
      </c>
    </row>
    <row r="4035" spans="1:10" ht="12.75" customHeight="1" x14ac:dyDescent="0.2">
      <c r="A4035" s="681" t="s">
        <v>2370</v>
      </c>
      <c r="B4035" s="693" t="s">
        <v>6594</v>
      </c>
      <c r="C4035" s="672" t="s">
        <v>948</v>
      </c>
      <c r="D4035" s="673">
        <v>40959</v>
      </c>
      <c r="E4035" s="674">
        <v>10</v>
      </c>
      <c r="F4035" s="675">
        <v>0.1</v>
      </c>
      <c r="G4035" s="676">
        <v>670.03</v>
      </c>
      <c r="H4035" s="929">
        <v>67.003000000000014</v>
      </c>
      <c r="I4035" s="929">
        <v>402.01800000000003</v>
      </c>
      <c r="J4035" s="689">
        <f t="shared" si="63"/>
        <v>268.01199999999994</v>
      </c>
    </row>
    <row r="4036" spans="1:10" ht="12.75" customHeight="1" x14ac:dyDescent="0.2">
      <c r="A4036" s="681" t="s">
        <v>2370</v>
      </c>
      <c r="B4036" s="693" t="s">
        <v>6595</v>
      </c>
      <c r="C4036" s="672" t="s">
        <v>948</v>
      </c>
      <c r="D4036" s="673">
        <v>40959</v>
      </c>
      <c r="E4036" s="674">
        <v>10</v>
      </c>
      <c r="F4036" s="675">
        <v>0.1</v>
      </c>
      <c r="G4036" s="676">
        <v>673.03</v>
      </c>
      <c r="H4036" s="929">
        <v>67.303000000000011</v>
      </c>
      <c r="I4036" s="929">
        <v>403.81799999999998</v>
      </c>
      <c r="J4036" s="689">
        <f t="shared" si="63"/>
        <v>269.21199999999999</v>
      </c>
    </row>
    <row r="4037" spans="1:10" ht="12.75" customHeight="1" x14ac:dyDescent="0.2">
      <c r="A4037" s="681" t="s">
        <v>2370</v>
      </c>
      <c r="B4037" s="693" t="s">
        <v>6596</v>
      </c>
      <c r="C4037" s="672" t="s">
        <v>948</v>
      </c>
      <c r="D4037" s="673">
        <v>40959</v>
      </c>
      <c r="E4037" s="674">
        <v>10</v>
      </c>
      <c r="F4037" s="675">
        <v>0.1</v>
      </c>
      <c r="G4037" s="676">
        <v>674.03</v>
      </c>
      <c r="H4037" s="929">
        <v>67.403000000000006</v>
      </c>
      <c r="I4037" s="929">
        <v>404.41800000000006</v>
      </c>
      <c r="J4037" s="689">
        <f t="shared" si="63"/>
        <v>269.61199999999991</v>
      </c>
    </row>
    <row r="4038" spans="1:10" ht="12.75" customHeight="1" x14ac:dyDescent="0.2">
      <c r="A4038" s="681" t="s">
        <v>2370</v>
      </c>
      <c r="B4038" s="693" t="s">
        <v>6597</v>
      </c>
      <c r="C4038" s="672" t="s">
        <v>948</v>
      </c>
      <c r="D4038" s="673">
        <v>40959</v>
      </c>
      <c r="E4038" s="674">
        <v>10</v>
      </c>
      <c r="F4038" s="675">
        <v>0.1</v>
      </c>
      <c r="G4038" s="676">
        <v>675.03</v>
      </c>
      <c r="H4038" s="929">
        <v>67.503</v>
      </c>
      <c r="I4038" s="929">
        <v>405.01799999999997</v>
      </c>
      <c r="J4038" s="689">
        <f t="shared" si="63"/>
        <v>270.012</v>
      </c>
    </row>
    <row r="4039" spans="1:10" ht="12.75" customHeight="1" x14ac:dyDescent="0.2">
      <c r="A4039" s="681" t="s">
        <v>2370</v>
      </c>
      <c r="B4039" s="693" t="s">
        <v>6598</v>
      </c>
      <c r="C4039" s="672" t="s">
        <v>948</v>
      </c>
      <c r="D4039" s="673">
        <v>40959</v>
      </c>
      <c r="E4039" s="674">
        <v>10</v>
      </c>
      <c r="F4039" s="675">
        <v>0.1</v>
      </c>
      <c r="G4039" s="676">
        <v>676.03</v>
      </c>
      <c r="H4039" s="929">
        <v>67.602999999999994</v>
      </c>
      <c r="I4039" s="929">
        <v>405.61799999999999</v>
      </c>
      <c r="J4039" s="689">
        <f t="shared" ref="J4039:J4102" si="64">G4039-I4039</f>
        <v>270.41199999999998</v>
      </c>
    </row>
    <row r="4040" spans="1:10" ht="12.75" customHeight="1" x14ac:dyDescent="0.2">
      <c r="A4040" s="681" t="s">
        <v>2370</v>
      </c>
      <c r="B4040" s="693" t="s">
        <v>6599</v>
      </c>
      <c r="C4040" s="672" t="s">
        <v>948</v>
      </c>
      <c r="D4040" s="673">
        <v>40959</v>
      </c>
      <c r="E4040" s="674">
        <v>10</v>
      </c>
      <c r="F4040" s="675">
        <v>0.1</v>
      </c>
      <c r="G4040" s="676">
        <v>677.03</v>
      </c>
      <c r="H4040" s="929">
        <v>67.702999999999989</v>
      </c>
      <c r="I4040" s="929">
        <v>406.21799999999996</v>
      </c>
      <c r="J4040" s="689">
        <f t="shared" si="64"/>
        <v>270.81200000000001</v>
      </c>
    </row>
    <row r="4041" spans="1:10" ht="12.75" customHeight="1" x14ac:dyDescent="0.2">
      <c r="A4041" s="681" t="s">
        <v>2370</v>
      </c>
      <c r="B4041" s="693" t="s">
        <v>6600</v>
      </c>
      <c r="C4041" s="672" t="s">
        <v>948</v>
      </c>
      <c r="D4041" s="673">
        <v>40959</v>
      </c>
      <c r="E4041" s="674">
        <v>10</v>
      </c>
      <c r="F4041" s="675">
        <v>0.1</v>
      </c>
      <c r="G4041" s="676">
        <v>679.03</v>
      </c>
      <c r="H4041" s="929">
        <v>67.902999999999992</v>
      </c>
      <c r="I4041" s="929">
        <v>407.41800000000001</v>
      </c>
      <c r="J4041" s="689">
        <f t="shared" si="64"/>
        <v>271.61199999999997</v>
      </c>
    </row>
    <row r="4042" spans="1:10" ht="12.75" customHeight="1" x14ac:dyDescent="0.2">
      <c r="A4042" s="681" t="s">
        <v>2370</v>
      </c>
      <c r="B4042" s="693" t="s">
        <v>6601</v>
      </c>
      <c r="C4042" s="672" t="s">
        <v>948</v>
      </c>
      <c r="D4042" s="673">
        <v>40959</v>
      </c>
      <c r="E4042" s="674">
        <v>10</v>
      </c>
      <c r="F4042" s="675">
        <v>0.1</v>
      </c>
      <c r="G4042" s="676">
        <v>680.03</v>
      </c>
      <c r="H4042" s="929">
        <v>68.003</v>
      </c>
      <c r="I4042" s="929">
        <v>408.01799999999997</v>
      </c>
      <c r="J4042" s="689">
        <f t="shared" si="64"/>
        <v>272.012</v>
      </c>
    </row>
    <row r="4043" spans="1:10" ht="12.75" customHeight="1" x14ac:dyDescent="0.2">
      <c r="A4043" s="681" t="s">
        <v>2370</v>
      </c>
      <c r="B4043" s="693" t="s">
        <v>6602</v>
      </c>
      <c r="C4043" s="672" t="s">
        <v>794</v>
      </c>
      <c r="D4043" s="673">
        <v>40959</v>
      </c>
      <c r="E4043" s="674">
        <v>10</v>
      </c>
      <c r="F4043" s="675">
        <v>0.1</v>
      </c>
      <c r="G4043" s="676">
        <v>742.21</v>
      </c>
      <c r="H4043" s="929">
        <v>74.221000000000004</v>
      </c>
      <c r="I4043" s="929">
        <v>445.32600000000002</v>
      </c>
      <c r="J4043" s="689">
        <f t="shared" si="64"/>
        <v>296.88400000000001</v>
      </c>
    </row>
    <row r="4044" spans="1:10" ht="12.75" customHeight="1" x14ac:dyDescent="0.2">
      <c r="A4044" s="681" t="s">
        <v>2370</v>
      </c>
      <c r="B4044" s="693" t="s">
        <v>6603</v>
      </c>
      <c r="C4044" s="672" t="s">
        <v>794</v>
      </c>
      <c r="D4044" s="673">
        <v>40959</v>
      </c>
      <c r="E4044" s="674">
        <v>10</v>
      </c>
      <c r="F4044" s="675">
        <v>0.1</v>
      </c>
      <c r="G4044" s="676">
        <v>742.41</v>
      </c>
      <c r="H4044" s="929">
        <v>74.241000000000014</v>
      </c>
      <c r="I4044" s="929">
        <v>445.44600000000003</v>
      </c>
      <c r="J4044" s="689">
        <f t="shared" si="64"/>
        <v>296.96399999999994</v>
      </c>
    </row>
    <row r="4045" spans="1:10" ht="12.75" customHeight="1" x14ac:dyDescent="0.2">
      <c r="A4045" s="681" t="s">
        <v>2370</v>
      </c>
      <c r="B4045" s="693" t="s">
        <v>6604</v>
      </c>
      <c r="C4045" s="672" t="s">
        <v>785</v>
      </c>
      <c r="D4045" s="673">
        <v>40959</v>
      </c>
      <c r="E4045" s="674">
        <v>10</v>
      </c>
      <c r="F4045" s="675">
        <v>0.1</v>
      </c>
      <c r="G4045" s="676">
        <v>763.29</v>
      </c>
      <c r="H4045" s="929">
        <v>76.328999999999979</v>
      </c>
      <c r="I4045" s="929">
        <v>457.97399999999993</v>
      </c>
      <c r="J4045" s="689">
        <f t="shared" si="64"/>
        <v>305.31600000000003</v>
      </c>
    </row>
    <row r="4046" spans="1:10" ht="12.75" customHeight="1" x14ac:dyDescent="0.2">
      <c r="A4046" s="681" t="s">
        <v>2370</v>
      </c>
      <c r="B4046" s="693" t="s">
        <v>6605</v>
      </c>
      <c r="C4046" s="672" t="s">
        <v>819</v>
      </c>
      <c r="D4046" s="673">
        <v>40959</v>
      </c>
      <c r="E4046" s="674">
        <v>10</v>
      </c>
      <c r="F4046" s="675">
        <v>0.1</v>
      </c>
      <c r="G4046" s="676">
        <v>849.99</v>
      </c>
      <c r="H4046" s="929">
        <v>84.998999999999995</v>
      </c>
      <c r="I4046" s="929">
        <v>509.99400000000003</v>
      </c>
      <c r="J4046" s="689">
        <f t="shared" si="64"/>
        <v>339.99599999999998</v>
      </c>
    </row>
    <row r="4047" spans="1:10" ht="12.75" customHeight="1" x14ac:dyDescent="0.2">
      <c r="A4047" s="681" t="s">
        <v>2370</v>
      </c>
      <c r="B4047" s="693" t="s">
        <v>6606</v>
      </c>
      <c r="C4047" s="672" t="s">
        <v>819</v>
      </c>
      <c r="D4047" s="673">
        <v>40959</v>
      </c>
      <c r="E4047" s="674">
        <v>10</v>
      </c>
      <c r="F4047" s="675">
        <v>0.1</v>
      </c>
      <c r="G4047" s="676">
        <v>849.99</v>
      </c>
      <c r="H4047" s="929">
        <v>84.998999999999995</v>
      </c>
      <c r="I4047" s="929">
        <v>509.99400000000003</v>
      </c>
      <c r="J4047" s="689">
        <f t="shared" si="64"/>
        <v>339.99599999999998</v>
      </c>
    </row>
    <row r="4048" spans="1:10" ht="12.75" customHeight="1" x14ac:dyDescent="0.2">
      <c r="A4048" s="681" t="s">
        <v>2370</v>
      </c>
      <c r="B4048" s="693" t="s">
        <v>6607</v>
      </c>
      <c r="C4048" s="672" t="s">
        <v>785</v>
      </c>
      <c r="D4048" s="673">
        <v>40959</v>
      </c>
      <c r="E4048" s="674">
        <v>10</v>
      </c>
      <c r="F4048" s="675">
        <v>0.1</v>
      </c>
      <c r="G4048" s="676">
        <v>870</v>
      </c>
      <c r="H4048" s="929">
        <v>87</v>
      </c>
      <c r="I4048" s="929">
        <v>522</v>
      </c>
      <c r="J4048" s="689">
        <f t="shared" si="64"/>
        <v>348</v>
      </c>
    </row>
    <row r="4049" spans="1:10" ht="12.75" customHeight="1" x14ac:dyDescent="0.2">
      <c r="A4049" s="681" t="s">
        <v>2370</v>
      </c>
      <c r="B4049" s="693" t="s">
        <v>6608</v>
      </c>
      <c r="C4049" s="672" t="s">
        <v>785</v>
      </c>
      <c r="D4049" s="673">
        <v>40959</v>
      </c>
      <c r="E4049" s="674">
        <v>10</v>
      </c>
      <c r="F4049" s="675">
        <v>0.1</v>
      </c>
      <c r="G4049" s="676">
        <v>870</v>
      </c>
      <c r="H4049" s="929">
        <v>87</v>
      </c>
      <c r="I4049" s="929">
        <v>522</v>
      </c>
      <c r="J4049" s="689">
        <f t="shared" si="64"/>
        <v>348</v>
      </c>
    </row>
    <row r="4050" spans="1:10" ht="12.75" customHeight="1" x14ac:dyDescent="0.2">
      <c r="A4050" s="681" t="s">
        <v>2370</v>
      </c>
      <c r="B4050" s="693" t="s">
        <v>6609</v>
      </c>
      <c r="C4050" s="672" t="s">
        <v>785</v>
      </c>
      <c r="D4050" s="673">
        <v>40959</v>
      </c>
      <c r="E4050" s="674">
        <v>10</v>
      </c>
      <c r="F4050" s="675">
        <v>0.1</v>
      </c>
      <c r="G4050" s="676">
        <v>870</v>
      </c>
      <c r="H4050" s="929">
        <v>87</v>
      </c>
      <c r="I4050" s="929">
        <v>522</v>
      </c>
      <c r="J4050" s="689">
        <f t="shared" si="64"/>
        <v>348</v>
      </c>
    </row>
    <row r="4051" spans="1:10" ht="12.75" customHeight="1" x14ac:dyDescent="0.2">
      <c r="A4051" s="681" t="s">
        <v>2370</v>
      </c>
      <c r="B4051" s="693" t="s">
        <v>6610</v>
      </c>
      <c r="C4051" s="672" t="s">
        <v>785</v>
      </c>
      <c r="D4051" s="673">
        <v>40959</v>
      </c>
      <c r="E4051" s="674">
        <v>10</v>
      </c>
      <c r="F4051" s="675">
        <v>0.1</v>
      </c>
      <c r="G4051" s="676">
        <v>870</v>
      </c>
      <c r="H4051" s="929">
        <v>87</v>
      </c>
      <c r="I4051" s="929">
        <v>522</v>
      </c>
      <c r="J4051" s="689">
        <f t="shared" si="64"/>
        <v>348</v>
      </c>
    </row>
    <row r="4052" spans="1:10" ht="12.75" customHeight="1" x14ac:dyDescent="0.2">
      <c r="A4052" s="681" t="s">
        <v>2370</v>
      </c>
      <c r="B4052" s="693" t="s">
        <v>6611</v>
      </c>
      <c r="C4052" s="672" t="s">
        <v>785</v>
      </c>
      <c r="D4052" s="673">
        <v>40959</v>
      </c>
      <c r="E4052" s="674">
        <v>10</v>
      </c>
      <c r="F4052" s="675">
        <v>0.1</v>
      </c>
      <c r="G4052" s="676">
        <v>899</v>
      </c>
      <c r="H4052" s="929">
        <v>89.899999999999977</v>
      </c>
      <c r="I4052" s="929">
        <v>539.4</v>
      </c>
      <c r="J4052" s="689">
        <f t="shared" si="64"/>
        <v>359.6</v>
      </c>
    </row>
    <row r="4053" spans="1:10" ht="12.75" customHeight="1" x14ac:dyDescent="0.2">
      <c r="A4053" s="681" t="s">
        <v>2370</v>
      </c>
      <c r="B4053" s="693" t="s">
        <v>6612</v>
      </c>
      <c r="C4053" s="672" t="s">
        <v>814</v>
      </c>
      <c r="D4053" s="673">
        <v>40959</v>
      </c>
      <c r="E4053" s="674">
        <v>10</v>
      </c>
      <c r="F4053" s="675">
        <v>0.1</v>
      </c>
      <c r="G4053" s="676">
        <v>900.32</v>
      </c>
      <c r="H4053" s="929">
        <v>90.032000000000025</v>
      </c>
      <c r="I4053" s="929">
        <v>540.19200000000012</v>
      </c>
      <c r="J4053" s="689">
        <f t="shared" si="64"/>
        <v>360.12799999999993</v>
      </c>
    </row>
    <row r="4054" spans="1:10" ht="12.75" customHeight="1" x14ac:dyDescent="0.2">
      <c r="A4054" s="681" t="s">
        <v>2370</v>
      </c>
      <c r="B4054" s="693" t="s">
        <v>6613</v>
      </c>
      <c r="C4054" s="672" t="s">
        <v>792</v>
      </c>
      <c r="D4054" s="673">
        <v>40959</v>
      </c>
      <c r="E4054" s="674">
        <v>10</v>
      </c>
      <c r="F4054" s="675">
        <v>0.1</v>
      </c>
      <c r="G4054" s="676">
        <v>918</v>
      </c>
      <c r="H4054" s="929">
        <v>91.800000000000011</v>
      </c>
      <c r="I4054" s="929">
        <v>550.79999999999995</v>
      </c>
      <c r="J4054" s="689">
        <f t="shared" si="64"/>
        <v>367.20000000000005</v>
      </c>
    </row>
    <row r="4055" spans="1:10" ht="12.75" customHeight="1" x14ac:dyDescent="0.2">
      <c r="A4055" s="681" t="s">
        <v>2370</v>
      </c>
      <c r="B4055" s="693" t="s">
        <v>6614</v>
      </c>
      <c r="C4055" s="672" t="s">
        <v>785</v>
      </c>
      <c r="D4055" s="673">
        <v>40959</v>
      </c>
      <c r="E4055" s="674">
        <v>10</v>
      </c>
      <c r="F4055" s="675">
        <v>0.1</v>
      </c>
      <c r="G4055" s="676">
        <v>929.62</v>
      </c>
      <c r="H4055" s="929">
        <v>92.961999999999989</v>
      </c>
      <c r="I4055" s="929">
        <v>557.77199999999993</v>
      </c>
      <c r="J4055" s="689">
        <f t="shared" si="64"/>
        <v>371.84800000000007</v>
      </c>
    </row>
    <row r="4056" spans="1:10" ht="12.75" customHeight="1" x14ac:dyDescent="0.2">
      <c r="A4056" s="681" t="s">
        <v>2370</v>
      </c>
      <c r="B4056" s="693" t="s">
        <v>6615</v>
      </c>
      <c r="C4056" s="672" t="s">
        <v>785</v>
      </c>
      <c r="D4056" s="673">
        <v>40959</v>
      </c>
      <c r="E4056" s="674">
        <v>10</v>
      </c>
      <c r="F4056" s="675">
        <v>0.1</v>
      </c>
      <c r="G4056" s="676">
        <v>929.62</v>
      </c>
      <c r="H4056" s="929">
        <v>92.961999999999989</v>
      </c>
      <c r="I4056" s="929">
        <v>557.77199999999993</v>
      </c>
      <c r="J4056" s="689">
        <f t="shared" si="64"/>
        <v>371.84800000000007</v>
      </c>
    </row>
    <row r="4057" spans="1:10" ht="12.75" customHeight="1" x14ac:dyDescent="0.2">
      <c r="A4057" s="681" t="s">
        <v>2370</v>
      </c>
      <c r="B4057" s="693" t="s">
        <v>6616</v>
      </c>
      <c r="C4057" s="672" t="s">
        <v>814</v>
      </c>
      <c r="D4057" s="673">
        <v>40959</v>
      </c>
      <c r="E4057" s="674">
        <v>10</v>
      </c>
      <c r="F4057" s="675">
        <v>0.1</v>
      </c>
      <c r="G4057" s="676">
        <v>957.22</v>
      </c>
      <c r="H4057" s="929">
        <v>95.721999999999994</v>
      </c>
      <c r="I4057" s="929">
        <v>574.33199999999999</v>
      </c>
      <c r="J4057" s="689">
        <f t="shared" si="64"/>
        <v>382.88800000000003</v>
      </c>
    </row>
    <row r="4058" spans="1:10" ht="12.75" customHeight="1" x14ac:dyDescent="0.2">
      <c r="A4058" s="681" t="s">
        <v>2370</v>
      </c>
      <c r="B4058" s="693" t="s">
        <v>6617</v>
      </c>
      <c r="C4058" s="672" t="s">
        <v>785</v>
      </c>
      <c r="D4058" s="673">
        <v>40959</v>
      </c>
      <c r="E4058" s="674">
        <v>10</v>
      </c>
      <c r="F4058" s="675">
        <v>0.1</v>
      </c>
      <c r="G4058" s="676">
        <v>1090.4000000000001</v>
      </c>
      <c r="H4058" s="929">
        <v>109.04000000000003</v>
      </c>
      <c r="I4058" s="929">
        <v>654.24000000000012</v>
      </c>
      <c r="J4058" s="689">
        <f t="shared" si="64"/>
        <v>436.15999999999997</v>
      </c>
    </row>
    <row r="4059" spans="1:10" ht="12.75" customHeight="1" x14ac:dyDescent="0.2">
      <c r="A4059" s="681" t="s">
        <v>2370</v>
      </c>
      <c r="B4059" s="693" t="s">
        <v>6618</v>
      </c>
      <c r="C4059" s="672" t="s">
        <v>785</v>
      </c>
      <c r="D4059" s="673">
        <v>40959</v>
      </c>
      <c r="E4059" s="674">
        <v>10</v>
      </c>
      <c r="F4059" s="675">
        <v>0.1</v>
      </c>
      <c r="G4059" s="676">
        <v>1115.92</v>
      </c>
      <c r="H4059" s="929">
        <v>111.59200000000003</v>
      </c>
      <c r="I4059" s="929">
        <v>669.55200000000002</v>
      </c>
      <c r="J4059" s="689">
        <f t="shared" si="64"/>
        <v>446.36800000000005</v>
      </c>
    </row>
    <row r="4060" spans="1:10" ht="12.75" customHeight="1" x14ac:dyDescent="0.2">
      <c r="A4060" s="681" t="s">
        <v>2370</v>
      </c>
      <c r="B4060" s="693" t="s">
        <v>6619</v>
      </c>
      <c r="C4060" s="672" t="s">
        <v>819</v>
      </c>
      <c r="D4060" s="673">
        <v>40959</v>
      </c>
      <c r="E4060" s="674">
        <v>10</v>
      </c>
      <c r="F4060" s="675">
        <v>0.1</v>
      </c>
      <c r="G4060" s="676">
        <v>1270.2</v>
      </c>
      <c r="H4060" s="929">
        <v>127.02000000000004</v>
      </c>
      <c r="I4060" s="929">
        <v>762.12000000000012</v>
      </c>
      <c r="J4060" s="689">
        <f t="shared" si="64"/>
        <v>508.07999999999993</v>
      </c>
    </row>
    <row r="4061" spans="1:10" ht="12.75" customHeight="1" x14ac:dyDescent="0.2">
      <c r="A4061" s="681" t="s">
        <v>2370</v>
      </c>
      <c r="B4061" s="693" t="s">
        <v>6620</v>
      </c>
      <c r="C4061" s="672" t="s">
        <v>819</v>
      </c>
      <c r="D4061" s="673">
        <v>40959</v>
      </c>
      <c r="E4061" s="674">
        <v>10</v>
      </c>
      <c r="F4061" s="675">
        <v>0.1</v>
      </c>
      <c r="G4061" s="676">
        <v>1270.2</v>
      </c>
      <c r="H4061" s="929">
        <v>127.02000000000004</v>
      </c>
      <c r="I4061" s="929">
        <v>762.12000000000012</v>
      </c>
      <c r="J4061" s="689">
        <f t="shared" si="64"/>
        <v>508.07999999999993</v>
      </c>
    </row>
    <row r="4062" spans="1:10" ht="12.75" customHeight="1" x14ac:dyDescent="0.2">
      <c r="A4062" s="681" t="s">
        <v>2370</v>
      </c>
      <c r="B4062" s="693" t="s">
        <v>6621</v>
      </c>
      <c r="C4062" s="672" t="s">
        <v>819</v>
      </c>
      <c r="D4062" s="673">
        <v>40959</v>
      </c>
      <c r="E4062" s="674">
        <v>10</v>
      </c>
      <c r="F4062" s="675">
        <v>0.1</v>
      </c>
      <c r="G4062" s="676">
        <v>1328.2</v>
      </c>
      <c r="H4062" s="929">
        <v>132.81999999999996</v>
      </c>
      <c r="I4062" s="929">
        <v>796.92</v>
      </c>
      <c r="J4062" s="689">
        <f t="shared" si="64"/>
        <v>531.28000000000009</v>
      </c>
    </row>
    <row r="4063" spans="1:10" ht="12.75" customHeight="1" x14ac:dyDescent="0.2">
      <c r="A4063" s="681" t="s">
        <v>2370</v>
      </c>
      <c r="B4063" s="693" t="s">
        <v>6622</v>
      </c>
      <c r="C4063" s="672" t="s">
        <v>819</v>
      </c>
      <c r="D4063" s="673">
        <v>40959</v>
      </c>
      <c r="E4063" s="674">
        <v>10</v>
      </c>
      <c r="F4063" s="675">
        <v>0.1</v>
      </c>
      <c r="G4063" s="676">
        <v>1328.2</v>
      </c>
      <c r="H4063" s="929">
        <v>132.81999999999996</v>
      </c>
      <c r="I4063" s="929">
        <v>796.92</v>
      </c>
      <c r="J4063" s="689">
        <f t="shared" si="64"/>
        <v>531.28000000000009</v>
      </c>
    </row>
    <row r="4064" spans="1:10" ht="12.75" customHeight="1" x14ac:dyDescent="0.2">
      <c r="A4064" s="681" t="s">
        <v>2370</v>
      </c>
      <c r="B4064" s="693" t="s">
        <v>6623</v>
      </c>
      <c r="C4064" s="672" t="s">
        <v>928</v>
      </c>
      <c r="D4064" s="673">
        <v>40959</v>
      </c>
      <c r="E4064" s="674">
        <v>10</v>
      </c>
      <c r="F4064" s="675">
        <v>0.1</v>
      </c>
      <c r="G4064" s="676">
        <v>1449.17</v>
      </c>
      <c r="H4064" s="929">
        <v>144.91699999999997</v>
      </c>
      <c r="I4064" s="929">
        <v>869.50199999999995</v>
      </c>
      <c r="J4064" s="689">
        <f t="shared" si="64"/>
        <v>579.66800000000012</v>
      </c>
    </row>
    <row r="4065" spans="1:10" ht="12.75" customHeight="1" x14ac:dyDescent="0.2">
      <c r="A4065" s="681" t="s">
        <v>2370</v>
      </c>
      <c r="B4065" s="693" t="s">
        <v>6624</v>
      </c>
      <c r="C4065" s="672" t="s">
        <v>928</v>
      </c>
      <c r="D4065" s="673">
        <v>40959</v>
      </c>
      <c r="E4065" s="674">
        <v>10</v>
      </c>
      <c r="F4065" s="675">
        <v>0.1</v>
      </c>
      <c r="G4065" s="676">
        <v>1449.17</v>
      </c>
      <c r="H4065" s="929">
        <v>144.91699999999997</v>
      </c>
      <c r="I4065" s="929">
        <v>869.50199999999995</v>
      </c>
      <c r="J4065" s="689">
        <f t="shared" si="64"/>
        <v>579.66800000000012</v>
      </c>
    </row>
    <row r="4066" spans="1:10" ht="12.75" customHeight="1" x14ac:dyDescent="0.2">
      <c r="A4066" s="681" t="s">
        <v>2370</v>
      </c>
      <c r="B4066" s="693" t="s">
        <v>6625</v>
      </c>
      <c r="C4066" s="672" t="s">
        <v>928</v>
      </c>
      <c r="D4066" s="673">
        <v>40959</v>
      </c>
      <c r="E4066" s="674">
        <v>10</v>
      </c>
      <c r="F4066" s="675">
        <v>0.1</v>
      </c>
      <c r="G4066" s="676">
        <v>1449.17</v>
      </c>
      <c r="H4066" s="929">
        <v>144.91699999999997</v>
      </c>
      <c r="I4066" s="929">
        <v>869.50199999999995</v>
      </c>
      <c r="J4066" s="689">
        <f t="shared" si="64"/>
        <v>579.66800000000012</v>
      </c>
    </row>
    <row r="4067" spans="1:10" ht="12.75" customHeight="1" x14ac:dyDescent="0.2">
      <c r="A4067" s="681" t="s">
        <v>2370</v>
      </c>
      <c r="B4067" s="693" t="s">
        <v>6626</v>
      </c>
      <c r="C4067" s="672" t="s">
        <v>928</v>
      </c>
      <c r="D4067" s="673">
        <v>40959</v>
      </c>
      <c r="E4067" s="674">
        <v>10</v>
      </c>
      <c r="F4067" s="675">
        <v>0.1</v>
      </c>
      <c r="G4067" s="676">
        <v>1449.17</v>
      </c>
      <c r="H4067" s="929">
        <v>144.91699999999997</v>
      </c>
      <c r="I4067" s="929">
        <v>869.50199999999995</v>
      </c>
      <c r="J4067" s="689">
        <f t="shared" si="64"/>
        <v>579.66800000000012</v>
      </c>
    </row>
    <row r="4068" spans="1:10" ht="12.75" customHeight="1" x14ac:dyDescent="0.2">
      <c r="A4068" s="681" t="s">
        <v>2370</v>
      </c>
      <c r="B4068" s="693" t="s">
        <v>6627</v>
      </c>
      <c r="C4068" s="672" t="s">
        <v>817</v>
      </c>
      <c r="D4068" s="673">
        <v>40959</v>
      </c>
      <c r="E4068" s="674">
        <v>10</v>
      </c>
      <c r="F4068" s="675">
        <v>0.1</v>
      </c>
      <c r="G4068" s="676">
        <v>1772.67</v>
      </c>
      <c r="H4068" s="929">
        <v>177.26699999999994</v>
      </c>
      <c r="I4068" s="929">
        <v>1063.6019999999999</v>
      </c>
      <c r="J4068" s="689">
        <f t="shared" si="64"/>
        <v>709.06800000000021</v>
      </c>
    </row>
    <row r="4069" spans="1:10" ht="12.75" customHeight="1" x14ac:dyDescent="0.2">
      <c r="A4069" s="681" t="s">
        <v>2370</v>
      </c>
      <c r="B4069" s="693" t="s">
        <v>6628</v>
      </c>
      <c r="C4069" s="672" t="s">
        <v>787</v>
      </c>
      <c r="D4069" s="673">
        <v>40959</v>
      </c>
      <c r="E4069" s="674">
        <v>10</v>
      </c>
      <c r="F4069" s="675">
        <v>0.1</v>
      </c>
      <c r="G4069" s="676">
        <v>1914</v>
      </c>
      <c r="H4069" s="929">
        <v>191.39999999999998</v>
      </c>
      <c r="I4069" s="929">
        <v>1148.4000000000001</v>
      </c>
      <c r="J4069" s="689">
        <f t="shared" si="64"/>
        <v>765.59999999999991</v>
      </c>
    </row>
    <row r="4070" spans="1:10" ht="12.75" customHeight="1" x14ac:dyDescent="0.2">
      <c r="A4070" s="681" t="s">
        <v>2370</v>
      </c>
      <c r="B4070" s="693" t="s">
        <v>6629</v>
      </c>
      <c r="C4070" s="672" t="s">
        <v>799</v>
      </c>
      <c r="D4070" s="673">
        <v>40959</v>
      </c>
      <c r="E4070" s="674">
        <v>10</v>
      </c>
      <c r="F4070" s="675">
        <v>0.1</v>
      </c>
      <c r="G4070" s="676">
        <v>2037.4</v>
      </c>
      <c r="H4070" s="929">
        <v>203.73999999999998</v>
      </c>
      <c r="I4070" s="929">
        <v>1222.44</v>
      </c>
      <c r="J4070" s="689">
        <f t="shared" si="64"/>
        <v>814.96</v>
      </c>
    </row>
    <row r="4071" spans="1:10" ht="12.75" customHeight="1" x14ac:dyDescent="0.2">
      <c r="A4071" s="681" t="s">
        <v>2370</v>
      </c>
      <c r="B4071" s="693" t="s">
        <v>6630</v>
      </c>
      <c r="C4071" s="672" t="s">
        <v>798</v>
      </c>
      <c r="D4071" s="673">
        <v>40959</v>
      </c>
      <c r="E4071" s="674">
        <v>10</v>
      </c>
      <c r="F4071" s="675">
        <v>0.1</v>
      </c>
      <c r="G4071" s="676">
        <v>2658.14</v>
      </c>
      <c r="H4071" s="929">
        <v>265.81399999999991</v>
      </c>
      <c r="I4071" s="929">
        <v>1594.8839999999998</v>
      </c>
      <c r="J4071" s="689">
        <f t="shared" si="64"/>
        <v>1063.2560000000001</v>
      </c>
    </row>
    <row r="4072" spans="1:10" ht="12.75" customHeight="1" x14ac:dyDescent="0.2">
      <c r="A4072" s="681" t="s">
        <v>2370</v>
      </c>
      <c r="B4072" s="693" t="s">
        <v>6631</v>
      </c>
      <c r="C4072" s="672" t="s">
        <v>798</v>
      </c>
      <c r="D4072" s="673">
        <v>40959</v>
      </c>
      <c r="E4072" s="674">
        <v>10</v>
      </c>
      <c r="F4072" s="675">
        <v>0.1</v>
      </c>
      <c r="G4072" s="676">
        <v>2658.14</v>
      </c>
      <c r="H4072" s="929">
        <v>265.81399999999991</v>
      </c>
      <c r="I4072" s="929">
        <v>1594.8839999999998</v>
      </c>
      <c r="J4072" s="689">
        <f t="shared" si="64"/>
        <v>1063.2560000000001</v>
      </c>
    </row>
    <row r="4073" spans="1:10" ht="12.75" customHeight="1" x14ac:dyDescent="0.2">
      <c r="A4073" s="681" t="s">
        <v>2370</v>
      </c>
      <c r="B4073" s="693" t="s">
        <v>6632</v>
      </c>
      <c r="C4073" s="672" t="s">
        <v>798</v>
      </c>
      <c r="D4073" s="673">
        <v>40959</v>
      </c>
      <c r="E4073" s="674">
        <v>10</v>
      </c>
      <c r="F4073" s="675">
        <v>0.1</v>
      </c>
      <c r="G4073" s="676">
        <v>2658.14</v>
      </c>
      <c r="H4073" s="929">
        <v>265.81399999999991</v>
      </c>
      <c r="I4073" s="929">
        <v>1594.8839999999998</v>
      </c>
      <c r="J4073" s="689">
        <f t="shared" si="64"/>
        <v>1063.2560000000001</v>
      </c>
    </row>
    <row r="4074" spans="1:10" ht="12.75" customHeight="1" x14ac:dyDescent="0.2">
      <c r="A4074" s="681" t="s">
        <v>2370</v>
      </c>
      <c r="B4074" s="693" t="s">
        <v>6633</v>
      </c>
      <c r="C4074" s="672" t="s">
        <v>798</v>
      </c>
      <c r="D4074" s="673">
        <v>40959</v>
      </c>
      <c r="E4074" s="674">
        <v>10</v>
      </c>
      <c r="F4074" s="675">
        <v>0.1</v>
      </c>
      <c r="G4074" s="676">
        <v>2658.14</v>
      </c>
      <c r="H4074" s="929">
        <v>265.81399999999991</v>
      </c>
      <c r="I4074" s="929">
        <v>1594.8839999999998</v>
      </c>
      <c r="J4074" s="689">
        <f t="shared" si="64"/>
        <v>1063.2560000000001</v>
      </c>
    </row>
    <row r="4075" spans="1:10" ht="12.75" customHeight="1" x14ac:dyDescent="0.2">
      <c r="A4075" s="681" t="s">
        <v>2370</v>
      </c>
      <c r="B4075" s="693" t="s">
        <v>6634</v>
      </c>
      <c r="C4075" s="672" t="s">
        <v>798</v>
      </c>
      <c r="D4075" s="673">
        <v>40959</v>
      </c>
      <c r="E4075" s="674">
        <v>10</v>
      </c>
      <c r="F4075" s="675">
        <v>0.1</v>
      </c>
      <c r="G4075" s="676">
        <v>2658.14</v>
      </c>
      <c r="H4075" s="929">
        <v>265.81399999999991</v>
      </c>
      <c r="I4075" s="929">
        <v>1594.8839999999998</v>
      </c>
      <c r="J4075" s="689">
        <f t="shared" si="64"/>
        <v>1063.2560000000001</v>
      </c>
    </row>
    <row r="4076" spans="1:10" ht="12.75" customHeight="1" x14ac:dyDescent="0.2">
      <c r="A4076" s="681" t="s">
        <v>2370</v>
      </c>
      <c r="B4076" s="693" t="s">
        <v>6635</v>
      </c>
      <c r="C4076" s="672" t="s">
        <v>786</v>
      </c>
      <c r="D4076" s="673">
        <v>40959</v>
      </c>
      <c r="E4076" s="674">
        <v>10</v>
      </c>
      <c r="F4076" s="675">
        <v>0.1</v>
      </c>
      <c r="G4076" s="676">
        <v>2700</v>
      </c>
      <c r="H4076" s="929">
        <v>270</v>
      </c>
      <c r="I4076" s="929">
        <v>1620</v>
      </c>
      <c r="J4076" s="689">
        <f t="shared" si="64"/>
        <v>1080</v>
      </c>
    </row>
    <row r="4077" spans="1:10" ht="12.75" customHeight="1" x14ac:dyDescent="0.2">
      <c r="A4077" s="681" t="s">
        <v>2370</v>
      </c>
      <c r="B4077" s="693" t="s">
        <v>6636</v>
      </c>
      <c r="C4077" s="672" t="s">
        <v>786</v>
      </c>
      <c r="D4077" s="673">
        <v>40959</v>
      </c>
      <c r="E4077" s="674">
        <v>10</v>
      </c>
      <c r="F4077" s="675">
        <v>0.1</v>
      </c>
      <c r="G4077" s="676">
        <v>2700</v>
      </c>
      <c r="H4077" s="929">
        <v>270</v>
      </c>
      <c r="I4077" s="929">
        <v>1620</v>
      </c>
      <c r="J4077" s="689">
        <f t="shared" si="64"/>
        <v>1080</v>
      </c>
    </row>
    <row r="4078" spans="1:10" ht="12.75" customHeight="1" x14ac:dyDescent="0.2">
      <c r="A4078" s="681" t="s">
        <v>2370</v>
      </c>
      <c r="B4078" s="693" t="s">
        <v>6637</v>
      </c>
      <c r="C4078" s="672" t="s">
        <v>786</v>
      </c>
      <c r="D4078" s="673">
        <v>40959</v>
      </c>
      <c r="E4078" s="674">
        <v>10</v>
      </c>
      <c r="F4078" s="675">
        <v>0.1</v>
      </c>
      <c r="G4078" s="676">
        <v>2700</v>
      </c>
      <c r="H4078" s="929">
        <v>270</v>
      </c>
      <c r="I4078" s="929">
        <v>1620</v>
      </c>
      <c r="J4078" s="689">
        <f t="shared" si="64"/>
        <v>1080</v>
      </c>
    </row>
    <row r="4079" spans="1:10" ht="12.75" customHeight="1" x14ac:dyDescent="0.2">
      <c r="A4079" s="681" t="s">
        <v>2370</v>
      </c>
      <c r="B4079" s="693" t="s">
        <v>6638</v>
      </c>
      <c r="C4079" s="672" t="s">
        <v>921</v>
      </c>
      <c r="D4079" s="673">
        <v>40959</v>
      </c>
      <c r="E4079" s="674">
        <v>10</v>
      </c>
      <c r="F4079" s="675">
        <v>0.1</v>
      </c>
      <c r="G4079" s="676">
        <v>2716.72</v>
      </c>
      <c r="H4079" s="929">
        <v>271.67199999999997</v>
      </c>
      <c r="I4079" s="929">
        <v>1630.0320000000002</v>
      </c>
      <c r="J4079" s="689">
        <f t="shared" si="64"/>
        <v>1086.6879999999996</v>
      </c>
    </row>
    <row r="4080" spans="1:10" ht="12.75" customHeight="1" x14ac:dyDescent="0.2">
      <c r="A4080" s="681" t="s">
        <v>2370</v>
      </c>
      <c r="B4080" s="693" t="s">
        <v>6639</v>
      </c>
      <c r="C4080" s="672" t="s">
        <v>887</v>
      </c>
      <c r="D4080" s="673">
        <v>40959</v>
      </c>
      <c r="E4080" s="674">
        <v>10</v>
      </c>
      <c r="F4080" s="675">
        <v>0.1</v>
      </c>
      <c r="G4080" s="676">
        <v>2881</v>
      </c>
      <c r="H4080" s="929">
        <v>288.09999999999997</v>
      </c>
      <c r="I4080" s="929">
        <v>1728.6</v>
      </c>
      <c r="J4080" s="689">
        <f t="shared" si="64"/>
        <v>1152.4000000000001</v>
      </c>
    </row>
    <row r="4081" spans="1:10" ht="12.75" customHeight="1" x14ac:dyDescent="0.2">
      <c r="A4081" s="681" t="s">
        <v>2370</v>
      </c>
      <c r="B4081" s="693" t="s">
        <v>6640</v>
      </c>
      <c r="C4081" s="672" t="s">
        <v>887</v>
      </c>
      <c r="D4081" s="673">
        <v>40959</v>
      </c>
      <c r="E4081" s="674">
        <v>10</v>
      </c>
      <c r="F4081" s="675">
        <v>0.1</v>
      </c>
      <c r="G4081" s="676">
        <v>2881</v>
      </c>
      <c r="H4081" s="929">
        <v>288.09999999999997</v>
      </c>
      <c r="I4081" s="929">
        <v>1728.6</v>
      </c>
      <c r="J4081" s="689">
        <f t="shared" si="64"/>
        <v>1152.4000000000001</v>
      </c>
    </row>
    <row r="4082" spans="1:10" ht="12.75" customHeight="1" x14ac:dyDescent="0.2">
      <c r="A4082" s="681" t="s">
        <v>2370</v>
      </c>
      <c r="B4082" s="693" t="s">
        <v>6641</v>
      </c>
      <c r="C4082" s="672" t="s">
        <v>887</v>
      </c>
      <c r="D4082" s="673">
        <v>40959</v>
      </c>
      <c r="E4082" s="674">
        <v>10</v>
      </c>
      <c r="F4082" s="675">
        <v>0.1</v>
      </c>
      <c r="G4082" s="676">
        <v>2881</v>
      </c>
      <c r="H4082" s="929">
        <v>288.09999999999997</v>
      </c>
      <c r="I4082" s="929">
        <v>1728.6</v>
      </c>
      <c r="J4082" s="689">
        <f t="shared" si="64"/>
        <v>1152.4000000000001</v>
      </c>
    </row>
    <row r="4083" spans="1:10" ht="12.75" customHeight="1" x14ac:dyDescent="0.2">
      <c r="A4083" s="681" t="s">
        <v>2370</v>
      </c>
      <c r="B4083" s="693" t="s">
        <v>6642</v>
      </c>
      <c r="C4083" s="672" t="s">
        <v>787</v>
      </c>
      <c r="D4083" s="673">
        <v>40959</v>
      </c>
      <c r="E4083" s="674">
        <v>10</v>
      </c>
      <c r="F4083" s="675">
        <v>0.1</v>
      </c>
      <c r="G4083" s="676">
        <v>3248</v>
      </c>
      <c r="H4083" s="929">
        <v>324.8</v>
      </c>
      <c r="I4083" s="929">
        <v>1948.8</v>
      </c>
      <c r="J4083" s="689">
        <f t="shared" si="64"/>
        <v>1299.2</v>
      </c>
    </row>
    <row r="4084" spans="1:10" ht="12.75" customHeight="1" x14ac:dyDescent="0.2">
      <c r="A4084" s="681" t="s">
        <v>2370</v>
      </c>
      <c r="B4084" s="693" t="s">
        <v>6643</v>
      </c>
      <c r="C4084" s="672" t="s">
        <v>787</v>
      </c>
      <c r="D4084" s="673">
        <v>40959</v>
      </c>
      <c r="E4084" s="674">
        <v>10</v>
      </c>
      <c r="F4084" s="675">
        <v>0.1</v>
      </c>
      <c r="G4084" s="676">
        <v>3248</v>
      </c>
      <c r="H4084" s="929">
        <v>324.8</v>
      </c>
      <c r="I4084" s="929">
        <v>1948.8</v>
      </c>
      <c r="J4084" s="689">
        <f t="shared" si="64"/>
        <v>1299.2</v>
      </c>
    </row>
    <row r="4085" spans="1:10" ht="12.75" customHeight="1" x14ac:dyDescent="0.2">
      <c r="A4085" s="681" t="s">
        <v>2370</v>
      </c>
      <c r="B4085" s="693" t="s">
        <v>6644</v>
      </c>
      <c r="C4085" s="672" t="s">
        <v>787</v>
      </c>
      <c r="D4085" s="673">
        <v>40959</v>
      </c>
      <c r="E4085" s="674">
        <v>10</v>
      </c>
      <c r="F4085" s="675">
        <v>0.1</v>
      </c>
      <c r="G4085" s="676">
        <v>3248</v>
      </c>
      <c r="H4085" s="929">
        <v>324.8</v>
      </c>
      <c r="I4085" s="929">
        <v>1948.8</v>
      </c>
      <c r="J4085" s="689">
        <f t="shared" si="64"/>
        <v>1299.2</v>
      </c>
    </row>
    <row r="4086" spans="1:10" ht="12.75" customHeight="1" x14ac:dyDescent="0.2">
      <c r="A4086" s="681" t="s">
        <v>2370</v>
      </c>
      <c r="B4086" s="693" t="s">
        <v>6645</v>
      </c>
      <c r="C4086" s="672" t="s">
        <v>787</v>
      </c>
      <c r="D4086" s="673">
        <v>40959</v>
      </c>
      <c r="E4086" s="674">
        <v>10</v>
      </c>
      <c r="F4086" s="675">
        <v>0.1</v>
      </c>
      <c r="G4086" s="676">
        <v>3248</v>
      </c>
      <c r="H4086" s="929">
        <v>324.8</v>
      </c>
      <c r="I4086" s="929">
        <v>1948.8</v>
      </c>
      <c r="J4086" s="689">
        <f t="shared" si="64"/>
        <v>1299.2</v>
      </c>
    </row>
    <row r="4087" spans="1:10" ht="12.75" customHeight="1" x14ac:dyDescent="0.2">
      <c r="A4087" s="681" t="s">
        <v>2370</v>
      </c>
      <c r="B4087" s="693" t="s">
        <v>6646</v>
      </c>
      <c r="C4087" s="672" t="s">
        <v>787</v>
      </c>
      <c r="D4087" s="673">
        <v>40959</v>
      </c>
      <c r="E4087" s="674">
        <v>10</v>
      </c>
      <c r="F4087" s="675">
        <v>0.1</v>
      </c>
      <c r="G4087" s="676">
        <v>3248</v>
      </c>
      <c r="H4087" s="929">
        <v>324.8</v>
      </c>
      <c r="I4087" s="929">
        <v>1948.8</v>
      </c>
      <c r="J4087" s="689">
        <f t="shared" si="64"/>
        <v>1299.2</v>
      </c>
    </row>
    <row r="4088" spans="1:10" ht="12.75" customHeight="1" x14ac:dyDescent="0.2">
      <c r="A4088" s="681" t="s">
        <v>2370</v>
      </c>
      <c r="B4088" s="693" t="s">
        <v>6647</v>
      </c>
      <c r="C4088" s="672" t="s">
        <v>787</v>
      </c>
      <c r="D4088" s="673">
        <v>40959</v>
      </c>
      <c r="E4088" s="674">
        <v>10</v>
      </c>
      <c r="F4088" s="675">
        <v>0.1</v>
      </c>
      <c r="G4088" s="676">
        <v>3248</v>
      </c>
      <c r="H4088" s="929">
        <v>324.8</v>
      </c>
      <c r="I4088" s="929">
        <v>1948.8</v>
      </c>
      <c r="J4088" s="689">
        <f t="shared" si="64"/>
        <v>1299.2</v>
      </c>
    </row>
    <row r="4089" spans="1:10" ht="12.75" customHeight="1" x14ac:dyDescent="0.2">
      <c r="A4089" s="681" t="s">
        <v>2370</v>
      </c>
      <c r="B4089" s="693" t="s">
        <v>6648</v>
      </c>
      <c r="C4089" s="672" t="s">
        <v>787</v>
      </c>
      <c r="D4089" s="673">
        <v>40959</v>
      </c>
      <c r="E4089" s="674">
        <v>10</v>
      </c>
      <c r="F4089" s="675">
        <v>0.1</v>
      </c>
      <c r="G4089" s="676">
        <v>3248</v>
      </c>
      <c r="H4089" s="929">
        <v>324.8</v>
      </c>
      <c r="I4089" s="929">
        <v>1948.8</v>
      </c>
      <c r="J4089" s="689">
        <f t="shared" si="64"/>
        <v>1299.2</v>
      </c>
    </row>
    <row r="4090" spans="1:10" ht="12.75" customHeight="1" x14ac:dyDescent="0.2">
      <c r="A4090" s="681" t="s">
        <v>2370</v>
      </c>
      <c r="B4090" s="693" t="s">
        <v>6649</v>
      </c>
      <c r="C4090" s="672" t="s">
        <v>791</v>
      </c>
      <c r="D4090" s="673">
        <v>40959</v>
      </c>
      <c r="E4090" s="674">
        <v>10</v>
      </c>
      <c r="F4090" s="675">
        <v>0.1</v>
      </c>
      <c r="G4090" s="676">
        <v>3292</v>
      </c>
      <c r="H4090" s="929">
        <v>329.2</v>
      </c>
      <c r="I4090" s="929">
        <v>1975.2000000000003</v>
      </c>
      <c r="J4090" s="689">
        <f t="shared" si="64"/>
        <v>1316.7999999999997</v>
      </c>
    </row>
    <row r="4091" spans="1:10" ht="12.75" customHeight="1" x14ac:dyDescent="0.2">
      <c r="A4091" s="681" t="s">
        <v>2372</v>
      </c>
      <c r="B4091" s="693" t="s">
        <v>6650</v>
      </c>
      <c r="C4091" s="672" t="s">
        <v>1070</v>
      </c>
      <c r="D4091" s="673">
        <v>40959</v>
      </c>
      <c r="E4091" s="674">
        <v>10</v>
      </c>
      <c r="F4091" s="675">
        <v>0.1</v>
      </c>
      <c r="G4091" s="676">
        <v>3356.46</v>
      </c>
      <c r="H4091" s="929">
        <v>335.64600000000013</v>
      </c>
      <c r="I4091" s="929">
        <v>2013.8760000000004</v>
      </c>
      <c r="J4091" s="689">
        <f t="shared" si="64"/>
        <v>1342.5839999999996</v>
      </c>
    </row>
    <row r="4092" spans="1:10" ht="12.75" customHeight="1" x14ac:dyDescent="0.2">
      <c r="A4092" s="681" t="s">
        <v>2370</v>
      </c>
      <c r="B4092" s="693" t="s">
        <v>6651</v>
      </c>
      <c r="C4092" s="672" t="s">
        <v>791</v>
      </c>
      <c r="D4092" s="673">
        <v>40959</v>
      </c>
      <c r="E4092" s="674">
        <v>10</v>
      </c>
      <c r="F4092" s="675">
        <v>0.1</v>
      </c>
      <c r="G4092" s="676">
        <v>3436</v>
      </c>
      <c r="H4092" s="929">
        <v>343.59999999999997</v>
      </c>
      <c r="I4092" s="929">
        <v>2061.6</v>
      </c>
      <c r="J4092" s="689">
        <f t="shared" si="64"/>
        <v>1374.4</v>
      </c>
    </row>
    <row r="4093" spans="1:10" ht="12.75" customHeight="1" x14ac:dyDescent="0.2">
      <c r="A4093" s="681" t="s">
        <v>2370</v>
      </c>
      <c r="B4093" s="693" t="s">
        <v>6652</v>
      </c>
      <c r="C4093" s="672" t="s">
        <v>861</v>
      </c>
      <c r="D4093" s="673">
        <v>40959</v>
      </c>
      <c r="E4093" s="674">
        <v>10</v>
      </c>
      <c r="F4093" s="675">
        <v>0.1</v>
      </c>
      <c r="G4093" s="676">
        <v>3457</v>
      </c>
      <c r="H4093" s="929">
        <v>345.7</v>
      </c>
      <c r="I4093" s="929">
        <v>2074.1999999999998</v>
      </c>
      <c r="J4093" s="689">
        <f t="shared" si="64"/>
        <v>1382.8000000000002</v>
      </c>
    </row>
    <row r="4094" spans="1:10" ht="12.75" customHeight="1" x14ac:dyDescent="0.2">
      <c r="A4094" s="681" t="s">
        <v>2370</v>
      </c>
      <c r="B4094" s="693" t="s">
        <v>6653</v>
      </c>
      <c r="C4094" s="672" t="s">
        <v>791</v>
      </c>
      <c r="D4094" s="673">
        <v>40959</v>
      </c>
      <c r="E4094" s="674">
        <v>10</v>
      </c>
      <c r="F4094" s="675">
        <v>0.1</v>
      </c>
      <c r="G4094" s="676">
        <v>3538</v>
      </c>
      <c r="H4094" s="929">
        <v>353.80000000000013</v>
      </c>
      <c r="I4094" s="929">
        <v>2122.8000000000002</v>
      </c>
      <c r="J4094" s="689">
        <f t="shared" si="64"/>
        <v>1415.1999999999998</v>
      </c>
    </row>
    <row r="4095" spans="1:10" ht="12.75" customHeight="1" x14ac:dyDescent="0.2">
      <c r="A4095" s="681" t="s">
        <v>2370</v>
      </c>
      <c r="B4095" s="693" t="s">
        <v>6654</v>
      </c>
      <c r="C4095" s="672" t="s">
        <v>791</v>
      </c>
      <c r="D4095" s="673">
        <v>40959</v>
      </c>
      <c r="E4095" s="674">
        <v>10</v>
      </c>
      <c r="F4095" s="675">
        <v>0.1</v>
      </c>
      <c r="G4095" s="676">
        <v>3538</v>
      </c>
      <c r="H4095" s="929">
        <v>353.80000000000013</v>
      </c>
      <c r="I4095" s="929">
        <v>2122.8000000000002</v>
      </c>
      <c r="J4095" s="689">
        <f t="shared" si="64"/>
        <v>1415.1999999999998</v>
      </c>
    </row>
    <row r="4096" spans="1:10" ht="12.75" customHeight="1" x14ac:dyDescent="0.2">
      <c r="A4096" s="681" t="s">
        <v>2370</v>
      </c>
      <c r="B4096" s="693" t="s">
        <v>6655</v>
      </c>
      <c r="C4096" s="672" t="s">
        <v>819</v>
      </c>
      <c r="D4096" s="673">
        <v>40959</v>
      </c>
      <c r="E4096" s="674">
        <v>10</v>
      </c>
      <c r="F4096" s="675">
        <v>0.1</v>
      </c>
      <c r="G4096" s="676">
        <v>3849.99</v>
      </c>
      <c r="H4096" s="929">
        <v>384.99900000000008</v>
      </c>
      <c r="I4096" s="929">
        <v>2309.9940000000001</v>
      </c>
      <c r="J4096" s="689">
        <f t="shared" si="64"/>
        <v>1539.9959999999996</v>
      </c>
    </row>
    <row r="4097" spans="1:10" ht="12.75" customHeight="1" x14ac:dyDescent="0.2">
      <c r="A4097" s="681" t="s">
        <v>2370</v>
      </c>
      <c r="B4097" s="693" t="s">
        <v>6656</v>
      </c>
      <c r="C4097" s="672" t="s">
        <v>819</v>
      </c>
      <c r="D4097" s="673">
        <v>40959</v>
      </c>
      <c r="E4097" s="674">
        <v>10</v>
      </c>
      <c r="F4097" s="675">
        <v>0.1</v>
      </c>
      <c r="G4097" s="676">
        <v>3849.99</v>
      </c>
      <c r="H4097" s="929">
        <v>384.99900000000008</v>
      </c>
      <c r="I4097" s="929">
        <v>2309.9940000000001</v>
      </c>
      <c r="J4097" s="689">
        <f t="shared" si="64"/>
        <v>1539.9959999999996</v>
      </c>
    </row>
    <row r="4098" spans="1:10" ht="12.75" customHeight="1" x14ac:dyDescent="0.2">
      <c r="A4098" s="681" t="s">
        <v>2372</v>
      </c>
      <c r="B4098" s="693" t="s">
        <v>6657</v>
      </c>
      <c r="C4098" s="672" t="s">
        <v>737</v>
      </c>
      <c r="D4098" s="673">
        <v>40959</v>
      </c>
      <c r="E4098" s="674">
        <v>10</v>
      </c>
      <c r="F4098" s="675">
        <v>0.1</v>
      </c>
      <c r="G4098" s="676">
        <v>3850</v>
      </c>
      <c r="H4098" s="929">
        <v>384.99999999999994</v>
      </c>
      <c r="I4098" s="929">
        <v>2310</v>
      </c>
      <c r="J4098" s="689">
        <f t="shared" si="64"/>
        <v>1540</v>
      </c>
    </row>
    <row r="4099" spans="1:10" ht="12.75" customHeight="1" x14ac:dyDescent="0.2">
      <c r="A4099" s="681" t="s">
        <v>2372</v>
      </c>
      <c r="B4099" s="693" t="s">
        <v>6658</v>
      </c>
      <c r="C4099" s="672" t="s">
        <v>737</v>
      </c>
      <c r="D4099" s="673">
        <v>40959</v>
      </c>
      <c r="E4099" s="674">
        <v>10</v>
      </c>
      <c r="F4099" s="675">
        <v>0.1</v>
      </c>
      <c r="G4099" s="676">
        <v>3850</v>
      </c>
      <c r="H4099" s="929">
        <v>384.99999999999994</v>
      </c>
      <c r="I4099" s="929">
        <v>2310</v>
      </c>
      <c r="J4099" s="689">
        <f t="shared" si="64"/>
        <v>1540</v>
      </c>
    </row>
    <row r="4100" spans="1:10" ht="12.75" customHeight="1" x14ac:dyDescent="0.2">
      <c r="A4100" s="681" t="s">
        <v>2372</v>
      </c>
      <c r="B4100" s="693" t="s">
        <v>6659</v>
      </c>
      <c r="C4100" s="672" t="s">
        <v>1007</v>
      </c>
      <c r="D4100" s="673">
        <v>40959</v>
      </c>
      <c r="E4100" s="674">
        <v>10</v>
      </c>
      <c r="F4100" s="675">
        <v>0.1</v>
      </c>
      <c r="G4100" s="676">
        <v>5792.46</v>
      </c>
      <c r="H4100" s="929">
        <v>579.24599999999987</v>
      </c>
      <c r="I4100" s="929">
        <v>3475.4759999999997</v>
      </c>
      <c r="J4100" s="689">
        <f t="shared" si="64"/>
        <v>2316.9840000000004</v>
      </c>
    </row>
    <row r="4101" spans="1:10" ht="12.75" customHeight="1" x14ac:dyDescent="0.2">
      <c r="A4101" s="681" t="s">
        <v>2370</v>
      </c>
      <c r="B4101" s="693" t="s">
        <v>6660</v>
      </c>
      <c r="C4101" s="672" t="s">
        <v>926</v>
      </c>
      <c r="D4101" s="673">
        <v>40959</v>
      </c>
      <c r="E4101" s="674">
        <v>10</v>
      </c>
      <c r="F4101" s="675">
        <v>0.1</v>
      </c>
      <c r="G4101" s="676">
        <v>6101.6</v>
      </c>
      <c r="H4101" s="929">
        <v>610.1600000000002</v>
      </c>
      <c r="I4101" s="929">
        <v>3660.9600000000009</v>
      </c>
      <c r="J4101" s="689">
        <f t="shared" si="64"/>
        <v>2440.6399999999994</v>
      </c>
    </row>
    <row r="4102" spans="1:10" ht="12.75" customHeight="1" x14ac:dyDescent="0.2">
      <c r="A4102" s="681" t="s">
        <v>2370</v>
      </c>
      <c r="B4102" s="693" t="s">
        <v>6661</v>
      </c>
      <c r="C4102" s="672" t="s">
        <v>945</v>
      </c>
      <c r="D4102" s="673">
        <v>40959</v>
      </c>
      <c r="E4102" s="674">
        <v>10</v>
      </c>
      <c r="F4102" s="675">
        <v>0.1</v>
      </c>
      <c r="G4102" s="676">
        <v>6554</v>
      </c>
      <c r="H4102" s="929">
        <v>655.4</v>
      </c>
      <c r="I4102" s="929">
        <v>3932.4000000000005</v>
      </c>
      <c r="J4102" s="689">
        <f t="shared" si="64"/>
        <v>2621.5999999999995</v>
      </c>
    </row>
    <row r="4103" spans="1:10" ht="12.75" customHeight="1" x14ac:dyDescent="0.2">
      <c r="A4103" s="681" t="s">
        <v>2372</v>
      </c>
      <c r="B4103" s="693" t="s">
        <v>6662</v>
      </c>
      <c r="C4103" s="672" t="s">
        <v>1088</v>
      </c>
      <c r="D4103" s="673">
        <v>40959</v>
      </c>
      <c r="E4103" s="674">
        <v>10</v>
      </c>
      <c r="F4103" s="675">
        <v>0.1</v>
      </c>
      <c r="G4103" s="676">
        <v>6950.72</v>
      </c>
      <c r="H4103" s="929">
        <v>695.07200000000012</v>
      </c>
      <c r="I4103" s="929">
        <v>4170.4320000000007</v>
      </c>
      <c r="J4103" s="689">
        <f t="shared" ref="J4103:J4166" si="65">G4103-I4103</f>
        <v>2780.2879999999996</v>
      </c>
    </row>
    <row r="4104" spans="1:10" ht="12.75" customHeight="1" x14ac:dyDescent="0.2">
      <c r="A4104" s="681" t="s">
        <v>2372</v>
      </c>
      <c r="B4104" s="693" t="s">
        <v>6663</v>
      </c>
      <c r="C4104" s="672" t="s">
        <v>737</v>
      </c>
      <c r="D4104" s="673">
        <v>40959</v>
      </c>
      <c r="E4104" s="674">
        <v>10</v>
      </c>
      <c r="F4104" s="675">
        <v>0.1</v>
      </c>
      <c r="G4104" s="676">
        <v>7594.98</v>
      </c>
      <c r="H4104" s="929">
        <v>759.49800000000005</v>
      </c>
      <c r="I4104" s="929">
        <v>4556.9880000000003</v>
      </c>
      <c r="J4104" s="689">
        <f t="shared" si="65"/>
        <v>3037.9919999999993</v>
      </c>
    </row>
    <row r="4105" spans="1:10" ht="12.75" customHeight="1" x14ac:dyDescent="0.2">
      <c r="A4105" s="681" t="s">
        <v>2372</v>
      </c>
      <c r="B4105" s="693" t="s">
        <v>6664</v>
      </c>
      <c r="C4105" s="672" t="s">
        <v>1086</v>
      </c>
      <c r="D4105" s="673">
        <v>40959</v>
      </c>
      <c r="E4105" s="674">
        <v>10</v>
      </c>
      <c r="F4105" s="675">
        <v>0.1</v>
      </c>
      <c r="G4105" s="676">
        <v>7700.01</v>
      </c>
      <c r="H4105" s="929">
        <v>770.00099999999986</v>
      </c>
      <c r="I4105" s="929">
        <v>4620.0060000000003</v>
      </c>
      <c r="J4105" s="689">
        <f t="shared" si="65"/>
        <v>3080.0039999999999</v>
      </c>
    </row>
    <row r="4106" spans="1:10" ht="12.75" customHeight="1" x14ac:dyDescent="0.2">
      <c r="A4106" s="681" t="s">
        <v>2372</v>
      </c>
      <c r="B4106" s="693" t="s">
        <v>6665</v>
      </c>
      <c r="C4106" s="672" t="s">
        <v>1086</v>
      </c>
      <c r="D4106" s="673">
        <v>40959</v>
      </c>
      <c r="E4106" s="674">
        <v>10</v>
      </c>
      <c r="F4106" s="675">
        <v>0.1</v>
      </c>
      <c r="G4106" s="676">
        <v>7700.01</v>
      </c>
      <c r="H4106" s="929">
        <v>770.00099999999986</v>
      </c>
      <c r="I4106" s="929">
        <v>4620.0060000000003</v>
      </c>
      <c r="J4106" s="689">
        <f t="shared" si="65"/>
        <v>3080.0039999999999</v>
      </c>
    </row>
    <row r="4107" spans="1:10" ht="12.75" customHeight="1" x14ac:dyDescent="0.2">
      <c r="A4107" s="681" t="s">
        <v>2372</v>
      </c>
      <c r="B4107" s="693" t="s">
        <v>6666</v>
      </c>
      <c r="C4107" s="672" t="s">
        <v>1086</v>
      </c>
      <c r="D4107" s="673">
        <v>40959</v>
      </c>
      <c r="E4107" s="674">
        <v>10</v>
      </c>
      <c r="F4107" s="675">
        <v>0.1</v>
      </c>
      <c r="G4107" s="676">
        <v>7700.01</v>
      </c>
      <c r="H4107" s="929">
        <v>770.00099999999986</v>
      </c>
      <c r="I4107" s="929">
        <v>4620.0060000000003</v>
      </c>
      <c r="J4107" s="689">
        <f t="shared" si="65"/>
        <v>3080.0039999999999</v>
      </c>
    </row>
    <row r="4108" spans="1:10" ht="12.75" customHeight="1" x14ac:dyDescent="0.2">
      <c r="A4108" s="681" t="s">
        <v>2370</v>
      </c>
      <c r="B4108" s="693" t="s">
        <v>6667</v>
      </c>
      <c r="C4108" s="672" t="s">
        <v>967</v>
      </c>
      <c r="D4108" s="673">
        <v>40959</v>
      </c>
      <c r="E4108" s="674">
        <v>10</v>
      </c>
      <c r="F4108" s="675">
        <v>0.1</v>
      </c>
      <c r="G4108" s="676">
        <v>12099</v>
      </c>
      <c r="H4108" s="929">
        <v>1209.9000000000003</v>
      </c>
      <c r="I4108" s="929">
        <v>7259.4000000000015</v>
      </c>
      <c r="J4108" s="689">
        <f t="shared" si="65"/>
        <v>4839.5999999999985</v>
      </c>
    </row>
    <row r="4109" spans="1:10" ht="12.75" customHeight="1" x14ac:dyDescent="0.2">
      <c r="A4109" s="681" t="s">
        <v>2372</v>
      </c>
      <c r="B4109" s="693" t="s">
        <v>6668</v>
      </c>
      <c r="C4109" s="672" t="s">
        <v>1063</v>
      </c>
      <c r="D4109" s="673">
        <v>40959</v>
      </c>
      <c r="E4109" s="674">
        <v>10</v>
      </c>
      <c r="F4109" s="675">
        <v>0.1</v>
      </c>
      <c r="G4109" s="676">
        <v>13827.2</v>
      </c>
      <c r="H4109" s="929">
        <v>1382.72</v>
      </c>
      <c r="I4109" s="929">
        <v>8296.32</v>
      </c>
      <c r="J4109" s="689">
        <f t="shared" si="65"/>
        <v>5530.880000000001</v>
      </c>
    </row>
    <row r="4110" spans="1:10" ht="12.75" customHeight="1" x14ac:dyDescent="0.2">
      <c r="A4110" s="681" t="s">
        <v>2372</v>
      </c>
      <c r="B4110" s="693" t="s">
        <v>6669</v>
      </c>
      <c r="C4110" s="672" t="s">
        <v>737</v>
      </c>
      <c r="D4110" s="673">
        <v>40959</v>
      </c>
      <c r="E4110" s="674">
        <v>10</v>
      </c>
      <c r="F4110" s="675">
        <v>0.1</v>
      </c>
      <c r="G4110" s="676">
        <v>15280.68</v>
      </c>
      <c r="H4110" s="929">
        <v>1528.0679999999995</v>
      </c>
      <c r="I4110" s="929">
        <v>9168.4079999999994</v>
      </c>
      <c r="J4110" s="689">
        <f t="shared" si="65"/>
        <v>6112.2720000000008</v>
      </c>
    </row>
    <row r="4111" spans="1:10" ht="12.75" customHeight="1" x14ac:dyDescent="0.2">
      <c r="A4111" s="681" t="s">
        <v>2372</v>
      </c>
      <c r="B4111" s="693" t="s">
        <v>6670</v>
      </c>
      <c r="C4111" s="672" t="s">
        <v>737</v>
      </c>
      <c r="D4111" s="673">
        <v>40959</v>
      </c>
      <c r="E4111" s="674">
        <v>10</v>
      </c>
      <c r="F4111" s="675">
        <v>0.1</v>
      </c>
      <c r="G4111" s="676">
        <v>15280.68</v>
      </c>
      <c r="H4111" s="929">
        <v>1528.0679999999995</v>
      </c>
      <c r="I4111" s="929">
        <v>9168.4079999999994</v>
      </c>
      <c r="J4111" s="689">
        <f t="shared" si="65"/>
        <v>6112.2720000000008</v>
      </c>
    </row>
    <row r="4112" spans="1:10" ht="12.75" customHeight="1" x14ac:dyDescent="0.2">
      <c r="A4112" s="681" t="s">
        <v>2372</v>
      </c>
      <c r="B4112" s="693" t="s">
        <v>6671</v>
      </c>
      <c r="C4112" s="672" t="s">
        <v>737</v>
      </c>
      <c r="D4112" s="673">
        <v>40959</v>
      </c>
      <c r="E4112" s="674">
        <v>10</v>
      </c>
      <c r="F4112" s="675">
        <v>0.1</v>
      </c>
      <c r="G4112" s="676">
        <v>15280.68</v>
      </c>
      <c r="H4112" s="929">
        <v>1528.0679999999995</v>
      </c>
      <c r="I4112" s="929">
        <v>9168.4079999999994</v>
      </c>
      <c r="J4112" s="689">
        <f t="shared" si="65"/>
        <v>6112.2720000000008</v>
      </c>
    </row>
    <row r="4113" spans="1:10" ht="12.75" customHeight="1" x14ac:dyDescent="0.2">
      <c r="A4113" s="681" t="s">
        <v>2372</v>
      </c>
      <c r="B4113" s="693" t="s">
        <v>6672</v>
      </c>
      <c r="C4113" s="672" t="s">
        <v>737</v>
      </c>
      <c r="D4113" s="673">
        <v>40959</v>
      </c>
      <c r="E4113" s="674">
        <v>10</v>
      </c>
      <c r="F4113" s="675">
        <v>0.1</v>
      </c>
      <c r="G4113" s="676">
        <v>15280.68</v>
      </c>
      <c r="H4113" s="929">
        <v>1528.0679999999995</v>
      </c>
      <c r="I4113" s="929">
        <v>9168.4079999999994</v>
      </c>
      <c r="J4113" s="689">
        <f t="shared" si="65"/>
        <v>6112.2720000000008</v>
      </c>
    </row>
    <row r="4114" spans="1:10" ht="12.75" customHeight="1" x14ac:dyDescent="0.2">
      <c r="A4114" s="681" t="s">
        <v>2372</v>
      </c>
      <c r="B4114" s="693" t="s">
        <v>6673</v>
      </c>
      <c r="C4114" s="672" t="s">
        <v>737</v>
      </c>
      <c r="D4114" s="673">
        <v>40959</v>
      </c>
      <c r="E4114" s="674">
        <v>10</v>
      </c>
      <c r="F4114" s="675">
        <v>0.1</v>
      </c>
      <c r="G4114" s="676">
        <v>15280.68</v>
      </c>
      <c r="H4114" s="929">
        <v>1528.0679999999995</v>
      </c>
      <c r="I4114" s="929">
        <v>9168.4079999999994</v>
      </c>
      <c r="J4114" s="689">
        <f t="shared" si="65"/>
        <v>6112.2720000000008</v>
      </c>
    </row>
    <row r="4115" spans="1:10" ht="12.75" customHeight="1" x14ac:dyDescent="0.2">
      <c r="A4115" s="681" t="s">
        <v>2372</v>
      </c>
      <c r="B4115" s="693" t="s">
        <v>6674</v>
      </c>
      <c r="C4115" s="672" t="s">
        <v>737</v>
      </c>
      <c r="D4115" s="673">
        <v>40959</v>
      </c>
      <c r="E4115" s="674">
        <v>10</v>
      </c>
      <c r="F4115" s="675">
        <v>0.1</v>
      </c>
      <c r="G4115" s="676">
        <v>15280.68</v>
      </c>
      <c r="H4115" s="929">
        <v>1528.0679999999995</v>
      </c>
      <c r="I4115" s="929">
        <v>9168.4079999999994</v>
      </c>
      <c r="J4115" s="689">
        <f t="shared" si="65"/>
        <v>6112.2720000000008</v>
      </c>
    </row>
    <row r="4116" spans="1:10" ht="12.75" customHeight="1" x14ac:dyDescent="0.2">
      <c r="A4116" s="681" t="s">
        <v>2372</v>
      </c>
      <c r="B4116" s="693" t="s">
        <v>6675</v>
      </c>
      <c r="C4116" s="672" t="s">
        <v>737</v>
      </c>
      <c r="D4116" s="673">
        <v>40959</v>
      </c>
      <c r="E4116" s="674">
        <v>10</v>
      </c>
      <c r="F4116" s="675">
        <v>0.1</v>
      </c>
      <c r="G4116" s="676">
        <v>15280.68</v>
      </c>
      <c r="H4116" s="929">
        <v>1528.0679999999995</v>
      </c>
      <c r="I4116" s="929">
        <v>9168.4079999999994</v>
      </c>
      <c r="J4116" s="689">
        <f t="shared" si="65"/>
        <v>6112.2720000000008</v>
      </c>
    </row>
    <row r="4117" spans="1:10" ht="12.75" customHeight="1" x14ac:dyDescent="0.2">
      <c r="A4117" s="681" t="s">
        <v>2372</v>
      </c>
      <c r="B4117" s="693" t="s">
        <v>6676</v>
      </c>
      <c r="C4117" s="672" t="s">
        <v>737</v>
      </c>
      <c r="D4117" s="673">
        <v>40959</v>
      </c>
      <c r="E4117" s="674">
        <v>10</v>
      </c>
      <c r="F4117" s="675">
        <v>0.1</v>
      </c>
      <c r="G4117" s="676">
        <v>15280.68</v>
      </c>
      <c r="H4117" s="929">
        <v>1528.0679999999995</v>
      </c>
      <c r="I4117" s="929">
        <v>9168.4079999999994</v>
      </c>
      <c r="J4117" s="689">
        <f t="shared" si="65"/>
        <v>6112.2720000000008</v>
      </c>
    </row>
    <row r="4118" spans="1:10" ht="12.75" customHeight="1" x14ac:dyDescent="0.2">
      <c r="A4118" s="681" t="s">
        <v>2372</v>
      </c>
      <c r="B4118" s="693" t="s">
        <v>6677</v>
      </c>
      <c r="C4118" s="672" t="s">
        <v>737</v>
      </c>
      <c r="D4118" s="673">
        <v>40959</v>
      </c>
      <c r="E4118" s="674">
        <v>10</v>
      </c>
      <c r="F4118" s="675">
        <v>0.1</v>
      </c>
      <c r="G4118" s="676">
        <v>15400</v>
      </c>
      <c r="H4118" s="929">
        <v>1539.9999999999998</v>
      </c>
      <c r="I4118" s="929">
        <v>9240</v>
      </c>
      <c r="J4118" s="689">
        <f t="shared" si="65"/>
        <v>6160</v>
      </c>
    </row>
    <row r="4119" spans="1:10" ht="12.75" customHeight="1" x14ac:dyDescent="0.2">
      <c r="A4119" s="681" t="s">
        <v>2372</v>
      </c>
      <c r="B4119" s="693" t="s">
        <v>6678</v>
      </c>
      <c r="C4119" s="672" t="s">
        <v>737</v>
      </c>
      <c r="D4119" s="673">
        <v>40959</v>
      </c>
      <c r="E4119" s="674">
        <v>10</v>
      </c>
      <c r="F4119" s="675">
        <v>0.1</v>
      </c>
      <c r="G4119" s="676">
        <v>15400</v>
      </c>
      <c r="H4119" s="929">
        <v>1539.9999999999998</v>
      </c>
      <c r="I4119" s="929">
        <v>9240</v>
      </c>
      <c r="J4119" s="689">
        <f t="shared" si="65"/>
        <v>6160</v>
      </c>
    </row>
    <row r="4120" spans="1:10" ht="12.75" customHeight="1" x14ac:dyDescent="0.2">
      <c r="A4120" s="681" t="s">
        <v>2372</v>
      </c>
      <c r="B4120" s="693" t="s">
        <v>6679</v>
      </c>
      <c r="C4120" s="672" t="s">
        <v>737</v>
      </c>
      <c r="D4120" s="673">
        <v>40959</v>
      </c>
      <c r="E4120" s="674">
        <v>10</v>
      </c>
      <c r="F4120" s="675">
        <v>0.1</v>
      </c>
      <c r="G4120" s="676">
        <v>15400</v>
      </c>
      <c r="H4120" s="929">
        <v>1539.9999999999998</v>
      </c>
      <c r="I4120" s="929">
        <v>9240</v>
      </c>
      <c r="J4120" s="689">
        <f t="shared" si="65"/>
        <v>6160</v>
      </c>
    </row>
    <row r="4121" spans="1:10" ht="12.75" customHeight="1" x14ac:dyDescent="0.2">
      <c r="A4121" s="681" t="s">
        <v>2372</v>
      </c>
      <c r="B4121" s="693" t="s">
        <v>6680</v>
      </c>
      <c r="C4121" s="672" t="s">
        <v>737</v>
      </c>
      <c r="D4121" s="673">
        <v>40959</v>
      </c>
      <c r="E4121" s="674">
        <v>10</v>
      </c>
      <c r="F4121" s="675">
        <v>0.1</v>
      </c>
      <c r="G4121" s="676">
        <v>15400</v>
      </c>
      <c r="H4121" s="929">
        <v>1539.9999999999998</v>
      </c>
      <c r="I4121" s="929">
        <v>9240</v>
      </c>
      <c r="J4121" s="689">
        <f t="shared" si="65"/>
        <v>6160</v>
      </c>
    </row>
    <row r="4122" spans="1:10" ht="12.75" customHeight="1" x14ac:dyDescent="0.2">
      <c r="A4122" s="681" t="s">
        <v>2372</v>
      </c>
      <c r="B4122" s="693" t="s">
        <v>6681</v>
      </c>
      <c r="C4122" s="672" t="s">
        <v>737</v>
      </c>
      <c r="D4122" s="673">
        <v>40959</v>
      </c>
      <c r="E4122" s="674">
        <v>10</v>
      </c>
      <c r="F4122" s="675">
        <v>0.1</v>
      </c>
      <c r="G4122" s="676">
        <v>15400</v>
      </c>
      <c r="H4122" s="929">
        <v>1539.9999999999998</v>
      </c>
      <c r="I4122" s="929">
        <v>9240</v>
      </c>
      <c r="J4122" s="689">
        <f t="shared" si="65"/>
        <v>6160</v>
      </c>
    </row>
    <row r="4123" spans="1:10" ht="12.75" customHeight="1" x14ac:dyDescent="0.2">
      <c r="A4123" s="681" t="s">
        <v>2372</v>
      </c>
      <c r="B4123" s="693" t="s">
        <v>6682</v>
      </c>
      <c r="C4123" s="672" t="s">
        <v>737</v>
      </c>
      <c r="D4123" s="673">
        <v>40959</v>
      </c>
      <c r="E4123" s="674">
        <v>10</v>
      </c>
      <c r="F4123" s="675">
        <v>0.1</v>
      </c>
      <c r="G4123" s="676">
        <v>15400</v>
      </c>
      <c r="H4123" s="929">
        <v>1539.9999999999998</v>
      </c>
      <c r="I4123" s="929">
        <v>9240</v>
      </c>
      <c r="J4123" s="689">
        <f t="shared" si="65"/>
        <v>6160</v>
      </c>
    </row>
    <row r="4124" spans="1:10" ht="12.75" customHeight="1" x14ac:dyDescent="0.2">
      <c r="A4124" s="681" t="s">
        <v>2372</v>
      </c>
      <c r="B4124" s="693" t="s">
        <v>6683</v>
      </c>
      <c r="C4124" s="672" t="s">
        <v>737</v>
      </c>
      <c r="D4124" s="673">
        <v>40959</v>
      </c>
      <c r="E4124" s="674">
        <v>10</v>
      </c>
      <c r="F4124" s="675">
        <v>0.1</v>
      </c>
      <c r="G4124" s="676">
        <v>15400</v>
      </c>
      <c r="H4124" s="929">
        <v>1539.9999999999998</v>
      </c>
      <c r="I4124" s="929">
        <v>9240</v>
      </c>
      <c r="J4124" s="689">
        <f t="shared" si="65"/>
        <v>6160</v>
      </c>
    </row>
    <row r="4125" spans="1:10" ht="12.75" customHeight="1" x14ac:dyDescent="0.2">
      <c r="A4125" s="681" t="s">
        <v>2372</v>
      </c>
      <c r="B4125" s="693" t="s">
        <v>6684</v>
      </c>
      <c r="C4125" s="672" t="s">
        <v>737</v>
      </c>
      <c r="D4125" s="673">
        <v>40959</v>
      </c>
      <c r="E4125" s="674">
        <v>10</v>
      </c>
      <c r="F4125" s="675">
        <v>0.1</v>
      </c>
      <c r="G4125" s="676">
        <v>15400</v>
      </c>
      <c r="H4125" s="929">
        <v>1539.9999999999998</v>
      </c>
      <c r="I4125" s="929">
        <v>9240</v>
      </c>
      <c r="J4125" s="689">
        <f t="shared" si="65"/>
        <v>6160</v>
      </c>
    </row>
    <row r="4126" spans="1:10" ht="12.75" customHeight="1" x14ac:dyDescent="0.2">
      <c r="A4126" s="681" t="s">
        <v>2372</v>
      </c>
      <c r="B4126" s="693" t="s">
        <v>6685</v>
      </c>
      <c r="C4126" s="672" t="s">
        <v>737</v>
      </c>
      <c r="D4126" s="673">
        <v>40959</v>
      </c>
      <c r="E4126" s="674">
        <v>10</v>
      </c>
      <c r="F4126" s="675">
        <v>0.1</v>
      </c>
      <c r="G4126" s="676">
        <v>15400</v>
      </c>
      <c r="H4126" s="929">
        <v>1539.9999999999998</v>
      </c>
      <c r="I4126" s="929">
        <v>9240</v>
      </c>
      <c r="J4126" s="689">
        <f t="shared" si="65"/>
        <v>6160</v>
      </c>
    </row>
    <row r="4127" spans="1:10" ht="12.75" customHeight="1" x14ac:dyDescent="0.2">
      <c r="A4127" s="681" t="s">
        <v>2372</v>
      </c>
      <c r="B4127" s="693" t="s">
        <v>6686</v>
      </c>
      <c r="C4127" s="672" t="s">
        <v>737</v>
      </c>
      <c r="D4127" s="673">
        <v>40959</v>
      </c>
      <c r="E4127" s="674">
        <v>10</v>
      </c>
      <c r="F4127" s="675">
        <v>0.1</v>
      </c>
      <c r="G4127" s="676">
        <v>15400</v>
      </c>
      <c r="H4127" s="929">
        <v>1539.9999999999998</v>
      </c>
      <c r="I4127" s="929">
        <v>9240</v>
      </c>
      <c r="J4127" s="689">
        <f t="shared" si="65"/>
        <v>6160</v>
      </c>
    </row>
    <row r="4128" spans="1:10" ht="12.75" customHeight="1" x14ac:dyDescent="0.2">
      <c r="A4128" s="681" t="s">
        <v>2372</v>
      </c>
      <c r="B4128" s="693" t="s">
        <v>6687</v>
      </c>
      <c r="C4128" s="672" t="s">
        <v>1102</v>
      </c>
      <c r="D4128" s="673">
        <v>41325</v>
      </c>
      <c r="E4128" s="674">
        <v>10</v>
      </c>
      <c r="F4128" s="675">
        <v>0.1</v>
      </c>
      <c r="G4128" s="676">
        <v>230</v>
      </c>
      <c r="H4128" s="929">
        <v>23.000000000000004</v>
      </c>
      <c r="I4128" s="929">
        <v>115</v>
      </c>
      <c r="J4128" s="689">
        <f t="shared" si="65"/>
        <v>115</v>
      </c>
    </row>
    <row r="4129" spans="1:10" ht="12.75" customHeight="1" x14ac:dyDescent="0.2">
      <c r="A4129" s="681" t="s">
        <v>2372</v>
      </c>
      <c r="B4129" s="693" t="s">
        <v>6688</v>
      </c>
      <c r="C4129" s="672" t="s">
        <v>1102</v>
      </c>
      <c r="D4129" s="673">
        <v>41325</v>
      </c>
      <c r="E4129" s="674">
        <v>10</v>
      </c>
      <c r="F4129" s="675">
        <v>0.1</v>
      </c>
      <c r="G4129" s="676">
        <v>230</v>
      </c>
      <c r="H4129" s="929">
        <v>23.000000000000004</v>
      </c>
      <c r="I4129" s="929">
        <v>115</v>
      </c>
      <c r="J4129" s="689">
        <f t="shared" si="65"/>
        <v>115</v>
      </c>
    </row>
    <row r="4130" spans="1:10" ht="12.75" customHeight="1" x14ac:dyDescent="0.2">
      <c r="A4130" s="681" t="s">
        <v>2372</v>
      </c>
      <c r="B4130" s="693" t="s">
        <v>6689</v>
      </c>
      <c r="C4130" s="672" t="s">
        <v>1102</v>
      </c>
      <c r="D4130" s="673">
        <v>41325</v>
      </c>
      <c r="E4130" s="674">
        <v>10</v>
      </c>
      <c r="F4130" s="675">
        <v>0.1</v>
      </c>
      <c r="G4130" s="676">
        <v>230</v>
      </c>
      <c r="H4130" s="929">
        <v>23.000000000000004</v>
      </c>
      <c r="I4130" s="929">
        <v>115</v>
      </c>
      <c r="J4130" s="689">
        <f t="shared" si="65"/>
        <v>115</v>
      </c>
    </row>
    <row r="4131" spans="1:10" ht="12.75" customHeight="1" x14ac:dyDescent="0.2">
      <c r="A4131" s="681" t="s">
        <v>2370</v>
      </c>
      <c r="B4131" s="693" t="s">
        <v>6690</v>
      </c>
      <c r="C4131" s="672" t="s">
        <v>785</v>
      </c>
      <c r="D4131" s="673">
        <v>41325</v>
      </c>
      <c r="E4131" s="674">
        <v>10</v>
      </c>
      <c r="F4131" s="675">
        <v>0.1</v>
      </c>
      <c r="G4131" s="676">
        <v>276</v>
      </c>
      <c r="H4131" s="929">
        <v>27.600000000000005</v>
      </c>
      <c r="I4131" s="929">
        <v>138.00000000000003</v>
      </c>
      <c r="J4131" s="689">
        <f t="shared" si="65"/>
        <v>137.99999999999997</v>
      </c>
    </row>
    <row r="4132" spans="1:10" ht="12.75" customHeight="1" x14ac:dyDescent="0.2">
      <c r="A4132" s="681" t="s">
        <v>2370</v>
      </c>
      <c r="B4132" s="693" t="s">
        <v>6691</v>
      </c>
      <c r="C4132" s="672" t="s">
        <v>813</v>
      </c>
      <c r="D4132" s="673">
        <v>41325</v>
      </c>
      <c r="E4132" s="674">
        <v>10</v>
      </c>
      <c r="F4132" s="675">
        <v>0.1</v>
      </c>
      <c r="G4132" s="676">
        <v>317.86</v>
      </c>
      <c r="H4132" s="929">
        <v>31.785999999999998</v>
      </c>
      <c r="I4132" s="929">
        <v>158.93</v>
      </c>
      <c r="J4132" s="689">
        <f t="shared" si="65"/>
        <v>158.93</v>
      </c>
    </row>
    <row r="4133" spans="1:10" ht="12.75" customHeight="1" x14ac:dyDescent="0.2">
      <c r="A4133" s="681" t="s">
        <v>2370</v>
      </c>
      <c r="B4133" s="693" t="s">
        <v>6692</v>
      </c>
      <c r="C4133" s="672" t="s">
        <v>920</v>
      </c>
      <c r="D4133" s="673">
        <v>41325</v>
      </c>
      <c r="E4133" s="674">
        <v>10</v>
      </c>
      <c r="F4133" s="675">
        <v>0.1</v>
      </c>
      <c r="G4133" s="676">
        <v>400</v>
      </c>
      <c r="H4133" s="929">
        <v>40</v>
      </c>
      <c r="I4133" s="929">
        <v>200</v>
      </c>
      <c r="J4133" s="689">
        <f t="shared" si="65"/>
        <v>200</v>
      </c>
    </row>
    <row r="4134" spans="1:10" ht="12.75" customHeight="1" x14ac:dyDescent="0.2">
      <c r="A4134" s="681" t="s">
        <v>2370</v>
      </c>
      <c r="B4134" s="693" t="s">
        <v>6693</v>
      </c>
      <c r="C4134" s="672" t="s">
        <v>920</v>
      </c>
      <c r="D4134" s="673">
        <v>41325</v>
      </c>
      <c r="E4134" s="674">
        <v>10</v>
      </c>
      <c r="F4134" s="675">
        <v>0.1</v>
      </c>
      <c r="G4134" s="676">
        <v>400</v>
      </c>
      <c r="H4134" s="929">
        <v>40</v>
      </c>
      <c r="I4134" s="929">
        <v>200</v>
      </c>
      <c r="J4134" s="689">
        <f t="shared" si="65"/>
        <v>200</v>
      </c>
    </row>
    <row r="4135" spans="1:10" ht="12.75" customHeight="1" x14ac:dyDescent="0.2">
      <c r="A4135" s="681" t="s">
        <v>2370</v>
      </c>
      <c r="B4135" s="693" t="s">
        <v>6694</v>
      </c>
      <c r="C4135" s="672" t="s">
        <v>920</v>
      </c>
      <c r="D4135" s="673">
        <v>41325</v>
      </c>
      <c r="E4135" s="674">
        <v>10</v>
      </c>
      <c r="F4135" s="675">
        <v>0.1</v>
      </c>
      <c r="G4135" s="676">
        <v>400</v>
      </c>
      <c r="H4135" s="929">
        <v>40</v>
      </c>
      <c r="I4135" s="929">
        <v>200</v>
      </c>
      <c r="J4135" s="689">
        <f t="shared" si="65"/>
        <v>200</v>
      </c>
    </row>
    <row r="4136" spans="1:10" ht="12.75" customHeight="1" x14ac:dyDescent="0.2">
      <c r="A4136" s="681" t="s">
        <v>2370</v>
      </c>
      <c r="B4136" s="693" t="s">
        <v>6695</v>
      </c>
      <c r="C4136" s="672" t="s">
        <v>920</v>
      </c>
      <c r="D4136" s="673">
        <v>41325</v>
      </c>
      <c r="E4136" s="674">
        <v>10</v>
      </c>
      <c r="F4136" s="675">
        <v>0.1</v>
      </c>
      <c r="G4136" s="676">
        <v>400</v>
      </c>
      <c r="H4136" s="929">
        <v>40</v>
      </c>
      <c r="I4136" s="929">
        <v>200</v>
      </c>
      <c r="J4136" s="689">
        <f t="shared" si="65"/>
        <v>200</v>
      </c>
    </row>
    <row r="4137" spans="1:10" ht="12.75" customHeight="1" x14ac:dyDescent="0.2">
      <c r="A4137" s="681" t="s">
        <v>2370</v>
      </c>
      <c r="B4137" s="693" t="s">
        <v>6696</v>
      </c>
      <c r="C4137" s="672" t="s">
        <v>920</v>
      </c>
      <c r="D4137" s="673">
        <v>41325</v>
      </c>
      <c r="E4137" s="674">
        <v>10</v>
      </c>
      <c r="F4137" s="675">
        <v>0.1</v>
      </c>
      <c r="G4137" s="676">
        <v>400</v>
      </c>
      <c r="H4137" s="929">
        <v>40</v>
      </c>
      <c r="I4137" s="929">
        <v>200</v>
      </c>
      <c r="J4137" s="689">
        <f t="shared" si="65"/>
        <v>200</v>
      </c>
    </row>
    <row r="4138" spans="1:10" ht="12.75" customHeight="1" x14ac:dyDescent="0.2">
      <c r="A4138" s="681" t="s">
        <v>2370</v>
      </c>
      <c r="B4138" s="693" t="s">
        <v>6697</v>
      </c>
      <c r="C4138" s="672" t="s">
        <v>920</v>
      </c>
      <c r="D4138" s="673">
        <v>41325</v>
      </c>
      <c r="E4138" s="674">
        <v>10</v>
      </c>
      <c r="F4138" s="675">
        <v>0.1</v>
      </c>
      <c r="G4138" s="676">
        <v>400</v>
      </c>
      <c r="H4138" s="929">
        <v>40</v>
      </c>
      <c r="I4138" s="929">
        <v>200</v>
      </c>
      <c r="J4138" s="689">
        <f t="shared" si="65"/>
        <v>200</v>
      </c>
    </row>
    <row r="4139" spans="1:10" ht="12.75" customHeight="1" x14ac:dyDescent="0.2">
      <c r="A4139" s="681" t="s">
        <v>2370</v>
      </c>
      <c r="B4139" s="693" t="s">
        <v>6698</v>
      </c>
      <c r="C4139" s="672" t="s">
        <v>920</v>
      </c>
      <c r="D4139" s="673">
        <v>41325</v>
      </c>
      <c r="E4139" s="674">
        <v>10</v>
      </c>
      <c r="F4139" s="675">
        <v>0.1</v>
      </c>
      <c r="G4139" s="676">
        <v>400</v>
      </c>
      <c r="H4139" s="929">
        <v>40</v>
      </c>
      <c r="I4139" s="929">
        <v>200</v>
      </c>
      <c r="J4139" s="689">
        <f t="shared" si="65"/>
        <v>200</v>
      </c>
    </row>
    <row r="4140" spans="1:10" ht="12.75" customHeight="1" x14ac:dyDescent="0.2">
      <c r="A4140" s="681" t="s">
        <v>2370</v>
      </c>
      <c r="B4140" s="693" t="s">
        <v>6699</v>
      </c>
      <c r="C4140" s="672" t="s">
        <v>920</v>
      </c>
      <c r="D4140" s="673">
        <v>41325</v>
      </c>
      <c r="E4140" s="674">
        <v>10</v>
      </c>
      <c r="F4140" s="675">
        <v>0.1</v>
      </c>
      <c r="G4140" s="676">
        <v>400</v>
      </c>
      <c r="H4140" s="929">
        <v>40</v>
      </c>
      <c r="I4140" s="929">
        <v>200</v>
      </c>
      <c r="J4140" s="689">
        <f t="shared" si="65"/>
        <v>200</v>
      </c>
    </row>
    <row r="4141" spans="1:10" ht="12.75" customHeight="1" x14ac:dyDescent="0.2">
      <c r="A4141" s="681" t="s">
        <v>2370</v>
      </c>
      <c r="B4141" s="693" t="s">
        <v>6700</v>
      </c>
      <c r="C4141" s="672" t="s">
        <v>920</v>
      </c>
      <c r="D4141" s="673">
        <v>41325</v>
      </c>
      <c r="E4141" s="674">
        <v>10</v>
      </c>
      <c r="F4141" s="675">
        <v>0.1</v>
      </c>
      <c r="G4141" s="676">
        <v>400</v>
      </c>
      <c r="H4141" s="929">
        <v>40</v>
      </c>
      <c r="I4141" s="929">
        <v>200</v>
      </c>
      <c r="J4141" s="689">
        <f t="shared" si="65"/>
        <v>200</v>
      </c>
    </row>
    <row r="4142" spans="1:10" ht="12.75" customHeight="1" x14ac:dyDescent="0.2">
      <c r="A4142" s="681" t="s">
        <v>2370</v>
      </c>
      <c r="B4142" s="693" t="s">
        <v>6701</v>
      </c>
      <c r="C4142" s="672" t="s">
        <v>920</v>
      </c>
      <c r="D4142" s="673">
        <v>41325</v>
      </c>
      <c r="E4142" s="674">
        <v>10</v>
      </c>
      <c r="F4142" s="675">
        <v>0.1</v>
      </c>
      <c r="G4142" s="676">
        <v>400</v>
      </c>
      <c r="H4142" s="929">
        <v>40</v>
      </c>
      <c r="I4142" s="929">
        <v>200</v>
      </c>
      <c r="J4142" s="689">
        <f t="shared" si="65"/>
        <v>200</v>
      </c>
    </row>
    <row r="4143" spans="1:10" ht="12.75" customHeight="1" x14ac:dyDescent="0.2">
      <c r="A4143" s="681" t="s">
        <v>2370</v>
      </c>
      <c r="B4143" s="693" t="s">
        <v>6702</v>
      </c>
      <c r="C4143" s="672" t="s">
        <v>920</v>
      </c>
      <c r="D4143" s="673">
        <v>41325</v>
      </c>
      <c r="E4143" s="674">
        <v>10</v>
      </c>
      <c r="F4143" s="675">
        <v>0.1</v>
      </c>
      <c r="G4143" s="676">
        <v>400</v>
      </c>
      <c r="H4143" s="929">
        <v>40</v>
      </c>
      <c r="I4143" s="929">
        <v>200</v>
      </c>
      <c r="J4143" s="689">
        <f t="shared" si="65"/>
        <v>200</v>
      </c>
    </row>
    <row r="4144" spans="1:10" ht="12.75" customHeight="1" x14ac:dyDescent="0.2">
      <c r="A4144" s="681" t="s">
        <v>2370</v>
      </c>
      <c r="B4144" s="693" t="s">
        <v>6703</v>
      </c>
      <c r="C4144" s="672" t="s">
        <v>920</v>
      </c>
      <c r="D4144" s="673">
        <v>41325</v>
      </c>
      <c r="E4144" s="674">
        <v>10</v>
      </c>
      <c r="F4144" s="675">
        <v>0.1</v>
      </c>
      <c r="G4144" s="676">
        <v>400</v>
      </c>
      <c r="H4144" s="929">
        <v>40</v>
      </c>
      <c r="I4144" s="929">
        <v>200</v>
      </c>
      <c r="J4144" s="689">
        <f t="shared" si="65"/>
        <v>200</v>
      </c>
    </row>
    <row r="4145" spans="1:10" ht="12.75" customHeight="1" x14ac:dyDescent="0.2">
      <c r="A4145" s="681" t="s">
        <v>2370</v>
      </c>
      <c r="B4145" s="693" t="s">
        <v>6704</v>
      </c>
      <c r="C4145" s="672" t="s">
        <v>920</v>
      </c>
      <c r="D4145" s="673">
        <v>41325</v>
      </c>
      <c r="E4145" s="674">
        <v>10</v>
      </c>
      <c r="F4145" s="675">
        <v>0.1</v>
      </c>
      <c r="G4145" s="676">
        <v>400</v>
      </c>
      <c r="H4145" s="929">
        <v>40</v>
      </c>
      <c r="I4145" s="929">
        <v>200</v>
      </c>
      <c r="J4145" s="689">
        <f t="shared" si="65"/>
        <v>200</v>
      </c>
    </row>
    <row r="4146" spans="1:10" ht="12.75" customHeight="1" x14ac:dyDescent="0.2">
      <c r="A4146" s="681" t="s">
        <v>2370</v>
      </c>
      <c r="B4146" s="693" t="s">
        <v>6705</v>
      </c>
      <c r="C4146" s="672" t="s">
        <v>920</v>
      </c>
      <c r="D4146" s="673">
        <v>41325</v>
      </c>
      <c r="E4146" s="674">
        <v>10</v>
      </c>
      <c r="F4146" s="675">
        <v>0.1</v>
      </c>
      <c r="G4146" s="676">
        <v>400</v>
      </c>
      <c r="H4146" s="929">
        <v>40</v>
      </c>
      <c r="I4146" s="929">
        <v>200</v>
      </c>
      <c r="J4146" s="689">
        <f t="shared" si="65"/>
        <v>200</v>
      </c>
    </row>
    <row r="4147" spans="1:10" ht="12.75" customHeight="1" x14ac:dyDescent="0.2">
      <c r="A4147" s="681" t="s">
        <v>2370</v>
      </c>
      <c r="B4147" s="693" t="s">
        <v>6706</v>
      </c>
      <c r="C4147" s="672" t="s">
        <v>920</v>
      </c>
      <c r="D4147" s="673">
        <v>41325</v>
      </c>
      <c r="E4147" s="674">
        <v>10</v>
      </c>
      <c r="F4147" s="675">
        <v>0.1</v>
      </c>
      <c r="G4147" s="676">
        <v>400</v>
      </c>
      <c r="H4147" s="929">
        <v>40</v>
      </c>
      <c r="I4147" s="929">
        <v>200</v>
      </c>
      <c r="J4147" s="689">
        <f t="shared" si="65"/>
        <v>200</v>
      </c>
    </row>
    <row r="4148" spans="1:10" ht="12.75" customHeight="1" x14ac:dyDescent="0.2">
      <c r="A4148" s="681" t="s">
        <v>2370</v>
      </c>
      <c r="B4148" s="693" t="s">
        <v>6707</v>
      </c>
      <c r="C4148" s="672" t="s">
        <v>789</v>
      </c>
      <c r="D4148" s="673">
        <v>41325</v>
      </c>
      <c r="E4148" s="674">
        <v>10</v>
      </c>
      <c r="F4148" s="675">
        <v>0.1</v>
      </c>
      <c r="G4148" s="676">
        <v>409.36</v>
      </c>
      <c r="H4148" s="929">
        <v>40.935999999999986</v>
      </c>
      <c r="I4148" s="929">
        <v>204.67999999999998</v>
      </c>
      <c r="J4148" s="689">
        <f t="shared" si="65"/>
        <v>204.68000000000004</v>
      </c>
    </row>
    <row r="4149" spans="1:10" ht="12.75" customHeight="1" x14ac:dyDescent="0.2">
      <c r="A4149" s="681" t="s">
        <v>2372</v>
      </c>
      <c r="B4149" s="693" t="s">
        <v>6708</v>
      </c>
      <c r="C4149" s="672" t="s">
        <v>1070</v>
      </c>
      <c r="D4149" s="673">
        <v>41325</v>
      </c>
      <c r="E4149" s="674">
        <v>10</v>
      </c>
      <c r="F4149" s="675">
        <v>0.1</v>
      </c>
      <c r="G4149" s="676">
        <v>553.9</v>
      </c>
      <c r="H4149" s="929">
        <v>55.390000000000008</v>
      </c>
      <c r="I4149" s="929">
        <v>276.95000000000005</v>
      </c>
      <c r="J4149" s="689">
        <f t="shared" si="65"/>
        <v>276.94999999999993</v>
      </c>
    </row>
    <row r="4150" spans="1:10" ht="12.75" customHeight="1" x14ac:dyDescent="0.2">
      <c r="A4150" s="681" t="s">
        <v>2370</v>
      </c>
      <c r="B4150" s="693" t="s">
        <v>6709</v>
      </c>
      <c r="C4150" s="672" t="s">
        <v>867</v>
      </c>
      <c r="D4150" s="673">
        <v>41325</v>
      </c>
      <c r="E4150" s="674">
        <v>10</v>
      </c>
      <c r="F4150" s="675">
        <v>0.1</v>
      </c>
      <c r="G4150" s="676">
        <v>573.04</v>
      </c>
      <c r="H4150" s="929">
        <v>57.304000000000009</v>
      </c>
      <c r="I4150" s="929">
        <v>286.52000000000004</v>
      </c>
      <c r="J4150" s="689">
        <f t="shared" si="65"/>
        <v>286.51999999999992</v>
      </c>
    </row>
    <row r="4151" spans="1:10" ht="12.75" customHeight="1" x14ac:dyDescent="0.2">
      <c r="A4151" s="681" t="s">
        <v>2370</v>
      </c>
      <c r="B4151" s="693" t="s">
        <v>6710</v>
      </c>
      <c r="C4151" s="672" t="s">
        <v>789</v>
      </c>
      <c r="D4151" s="673">
        <v>41325</v>
      </c>
      <c r="E4151" s="674">
        <v>10</v>
      </c>
      <c r="F4151" s="675">
        <v>0.1</v>
      </c>
      <c r="G4151" s="676">
        <v>580</v>
      </c>
      <c r="H4151" s="929">
        <v>58.000000000000007</v>
      </c>
      <c r="I4151" s="929">
        <v>290</v>
      </c>
      <c r="J4151" s="689">
        <f t="shared" si="65"/>
        <v>290</v>
      </c>
    </row>
    <row r="4152" spans="1:10" ht="12.75" customHeight="1" x14ac:dyDescent="0.2">
      <c r="A4152" s="681" t="s">
        <v>2370</v>
      </c>
      <c r="B4152" s="693" t="s">
        <v>6711</v>
      </c>
      <c r="C4152" s="672" t="s">
        <v>945</v>
      </c>
      <c r="D4152" s="673">
        <v>41325</v>
      </c>
      <c r="E4152" s="674">
        <v>10</v>
      </c>
      <c r="F4152" s="675">
        <v>0.1</v>
      </c>
      <c r="G4152" s="676">
        <v>595.08000000000004</v>
      </c>
      <c r="H4152" s="929">
        <v>59.508000000000017</v>
      </c>
      <c r="I4152" s="929">
        <v>297.54000000000008</v>
      </c>
      <c r="J4152" s="689">
        <f t="shared" si="65"/>
        <v>297.53999999999996</v>
      </c>
    </row>
    <row r="4153" spans="1:10" ht="12.75" customHeight="1" x14ac:dyDescent="0.2">
      <c r="A4153" s="681" t="s">
        <v>2370</v>
      </c>
      <c r="B4153" s="693" t="s">
        <v>6712</v>
      </c>
      <c r="C4153" s="672" t="s">
        <v>792</v>
      </c>
      <c r="D4153" s="673">
        <v>41325</v>
      </c>
      <c r="E4153" s="674">
        <v>10</v>
      </c>
      <c r="F4153" s="675">
        <v>0.1</v>
      </c>
      <c r="G4153" s="676">
        <v>696</v>
      </c>
      <c r="H4153" s="929">
        <v>69.59999999999998</v>
      </c>
      <c r="I4153" s="929">
        <v>347.99999999999994</v>
      </c>
      <c r="J4153" s="689">
        <f t="shared" si="65"/>
        <v>348.00000000000006</v>
      </c>
    </row>
    <row r="4154" spans="1:10" ht="12.75" customHeight="1" x14ac:dyDescent="0.2">
      <c r="A4154" s="681" t="s">
        <v>2370</v>
      </c>
      <c r="B4154" s="693" t="s">
        <v>6713</v>
      </c>
      <c r="C4154" s="672" t="s">
        <v>789</v>
      </c>
      <c r="D4154" s="673">
        <v>41325</v>
      </c>
      <c r="E4154" s="674">
        <v>10</v>
      </c>
      <c r="F4154" s="675">
        <v>0.1</v>
      </c>
      <c r="G4154" s="676">
        <v>700</v>
      </c>
      <c r="H4154" s="929">
        <v>70</v>
      </c>
      <c r="I4154" s="929">
        <v>350</v>
      </c>
      <c r="J4154" s="689">
        <f t="shared" si="65"/>
        <v>350</v>
      </c>
    </row>
    <row r="4155" spans="1:10" ht="12.75" customHeight="1" x14ac:dyDescent="0.2">
      <c r="A4155" s="681" t="s">
        <v>2370</v>
      </c>
      <c r="B4155" s="693" t="s">
        <v>6714</v>
      </c>
      <c r="C4155" s="672" t="s">
        <v>867</v>
      </c>
      <c r="D4155" s="673">
        <v>41325</v>
      </c>
      <c r="E4155" s="674">
        <v>10</v>
      </c>
      <c r="F4155" s="675">
        <v>0.1</v>
      </c>
      <c r="G4155" s="676">
        <v>794.6</v>
      </c>
      <c r="H4155" s="929">
        <v>79.460000000000022</v>
      </c>
      <c r="I4155" s="929">
        <v>397.30000000000007</v>
      </c>
      <c r="J4155" s="689">
        <f t="shared" si="65"/>
        <v>397.29999999999995</v>
      </c>
    </row>
    <row r="4156" spans="1:10" ht="12.75" customHeight="1" x14ac:dyDescent="0.2">
      <c r="A4156" s="681" t="s">
        <v>2370</v>
      </c>
      <c r="B4156" s="693" t="s">
        <v>6715</v>
      </c>
      <c r="C4156" s="672" t="s">
        <v>867</v>
      </c>
      <c r="D4156" s="673">
        <v>41325</v>
      </c>
      <c r="E4156" s="674">
        <v>10</v>
      </c>
      <c r="F4156" s="675">
        <v>0.1</v>
      </c>
      <c r="G4156" s="676">
        <v>794.6</v>
      </c>
      <c r="H4156" s="929">
        <v>79.460000000000022</v>
      </c>
      <c r="I4156" s="929">
        <v>397.30000000000007</v>
      </c>
      <c r="J4156" s="689">
        <f t="shared" si="65"/>
        <v>397.29999999999995</v>
      </c>
    </row>
    <row r="4157" spans="1:10" ht="12.75" customHeight="1" x14ac:dyDescent="0.2">
      <c r="A4157" s="681" t="s">
        <v>2370</v>
      </c>
      <c r="B4157" s="693" t="s">
        <v>6716</v>
      </c>
      <c r="C4157" s="672" t="s">
        <v>814</v>
      </c>
      <c r="D4157" s="673">
        <v>41325</v>
      </c>
      <c r="E4157" s="674">
        <v>10</v>
      </c>
      <c r="F4157" s="675">
        <v>0.1</v>
      </c>
      <c r="G4157" s="676">
        <v>811.35</v>
      </c>
      <c r="H4157" s="929">
        <v>81.135000000000034</v>
      </c>
      <c r="I4157" s="929">
        <v>405.67500000000013</v>
      </c>
      <c r="J4157" s="689">
        <f t="shared" si="65"/>
        <v>405.6749999999999</v>
      </c>
    </row>
    <row r="4158" spans="1:10" ht="12.75" customHeight="1" x14ac:dyDescent="0.2">
      <c r="A4158" s="681" t="s">
        <v>2370</v>
      </c>
      <c r="B4158" s="693" t="s">
        <v>6717</v>
      </c>
      <c r="C4158" s="672" t="s">
        <v>785</v>
      </c>
      <c r="D4158" s="673">
        <v>41325</v>
      </c>
      <c r="E4158" s="674">
        <v>10</v>
      </c>
      <c r="F4158" s="675">
        <v>0.1</v>
      </c>
      <c r="G4158" s="676">
        <v>831</v>
      </c>
      <c r="H4158" s="929">
        <v>83.09999999999998</v>
      </c>
      <c r="I4158" s="929">
        <v>415.49999999999994</v>
      </c>
      <c r="J4158" s="689">
        <f t="shared" si="65"/>
        <v>415.50000000000006</v>
      </c>
    </row>
    <row r="4159" spans="1:10" ht="12.75" customHeight="1" x14ac:dyDescent="0.2">
      <c r="A4159" s="681" t="s">
        <v>2370</v>
      </c>
      <c r="B4159" s="693" t="s">
        <v>6718</v>
      </c>
      <c r="C4159" s="672" t="s">
        <v>849</v>
      </c>
      <c r="D4159" s="673">
        <v>41325</v>
      </c>
      <c r="E4159" s="674">
        <v>10</v>
      </c>
      <c r="F4159" s="675">
        <v>0.1</v>
      </c>
      <c r="G4159" s="676">
        <v>846.14</v>
      </c>
      <c r="H4159" s="929">
        <v>84.613999999999976</v>
      </c>
      <c r="I4159" s="929">
        <v>423.07</v>
      </c>
      <c r="J4159" s="689">
        <f t="shared" si="65"/>
        <v>423.07</v>
      </c>
    </row>
    <row r="4160" spans="1:10" ht="12.75" customHeight="1" x14ac:dyDescent="0.2">
      <c r="A4160" s="681" t="s">
        <v>2370</v>
      </c>
      <c r="B4160" s="693" t="s">
        <v>6719</v>
      </c>
      <c r="C4160" s="672" t="s">
        <v>794</v>
      </c>
      <c r="D4160" s="673">
        <v>41325</v>
      </c>
      <c r="E4160" s="674">
        <v>10</v>
      </c>
      <c r="F4160" s="675">
        <v>0.1</v>
      </c>
      <c r="G4160" s="676">
        <v>916.34</v>
      </c>
      <c r="H4160" s="929">
        <v>91.634</v>
      </c>
      <c r="I4160" s="929">
        <v>458.17000000000007</v>
      </c>
      <c r="J4160" s="689">
        <f t="shared" si="65"/>
        <v>458.16999999999996</v>
      </c>
    </row>
    <row r="4161" spans="1:10" ht="12.75" customHeight="1" x14ac:dyDescent="0.2">
      <c r="A4161" s="681" t="s">
        <v>2370</v>
      </c>
      <c r="B4161" s="693" t="s">
        <v>6720</v>
      </c>
      <c r="C4161" s="672" t="s">
        <v>785</v>
      </c>
      <c r="D4161" s="673">
        <v>41325</v>
      </c>
      <c r="E4161" s="674">
        <v>10</v>
      </c>
      <c r="F4161" s="675">
        <v>0.1</v>
      </c>
      <c r="G4161" s="676">
        <v>929.62</v>
      </c>
      <c r="H4161" s="929">
        <v>92.961999999999989</v>
      </c>
      <c r="I4161" s="929">
        <v>464.81</v>
      </c>
      <c r="J4161" s="689">
        <f t="shared" si="65"/>
        <v>464.81</v>
      </c>
    </row>
    <row r="4162" spans="1:10" ht="12.75" customHeight="1" x14ac:dyDescent="0.2">
      <c r="A4162" s="681" t="s">
        <v>2370</v>
      </c>
      <c r="B4162" s="693" t="s">
        <v>6721</v>
      </c>
      <c r="C4162" s="672" t="s">
        <v>785</v>
      </c>
      <c r="D4162" s="673">
        <v>41325</v>
      </c>
      <c r="E4162" s="674">
        <v>10</v>
      </c>
      <c r="F4162" s="675">
        <v>0.1</v>
      </c>
      <c r="G4162" s="676">
        <v>929.62</v>
      </c>
      <c r="H4162" s="929">
        <v>92.961999999999989</v>
      </c>
      <c r="I4162" s="929">
        <v>464.81</v>
      </c>
      <c r="J4162" s="689">
        <f t="shared" si="65"/>
        <v>464.81</v>
      </c>
    </row>
    <row r="4163" spans="1:10" ht="12.75" customHeight="1" x14ac:dyDescent="0.2">
      <c r="A4163" s="681" t="s">
        <v>2370</v>
      </c>
      <c r="B4163" s="693" t="s">
        <v>6722</v>
      </c>
      <c r="C4163" s="672" t="s">
        <v>785</v>
      </c>
      <c r="D4163" s="673">
        <v>41325</v>
      </c>
      <c r="E4163" s="674">
        <v>10</v>
      </c>
      <c r="F4163" s="675">
        <v>0.1</v>
      </c>
      <c r="G4163" s="676">
        <v>929.62</v>
      </c>
      <c r="H4163" s="929">
        <v>92.961999999999989</v>
      </c>
      <c r="I4163" s="929">
        <v>464.81</v>
      </c>
      <c r="J4163" s="689">
        <f t="shared" si="65"/>
        <v>464.81</v>
      </c>
    </row>
    <row r="4164" spans="1:10" ht="12.75" customHeight="1" x14ac:dyDescent="0.2">
      <c r="A4164" s="681" t="s">
        <v>2370</v>
      </c>
      <c r="B4164" s="693" t="s">
        <v>6723</v>
      </c>
      <c r="C4164" s="672" t="s">
        <v>785</v>
      </c>
      <c r="D4164" s="673">
        <v>41325</v>
      </c>
      <c r="E4164" s="674">
        <v>10</v>
      </c>
      <c r="F4164" s="675">
        <v>0.1</v>
      </c>
      <c r="G4164" s="676">
        <v>929.62</v>
      </c>
      <c r="H4164" s="929">
        <v>92.961999999999989</v>
      </c>
      <c r="I4164" s="929">
        <v>464.81</v>
      </c>
      <c r="J4164" s="689">
        <f t="shared" si="65"/>
        <v>464.81</v>
      </c>
    </row>
    <row r="4165" spans="1:10" ht="12.75" customHeight="1" x14ac:dyDescent="0.2">
      <c r="A4165" s="681" t="s">
        <v>2370</v>
      </c>
      <c r="B4165" s="693" t="s">
        <v>6724</v>
      </c>
      <c r="C4165" s="672" t="s">
        <v>785</v>
      </c>
      <c r="D4165" s="673">
        <v>41325</v>
      </c>
      <c r="E4165" s="674">
        <v>10</v>
      </c>
      <c r="F4165" s="675">
        <v>0.1</v>
      </c>
      <c r="G4165" s="676">
        <v>929.62</v>
      </c>
      <c r="H4165" s="929">
        <v>92.961999999999989</v>
      </c>
      <c r="I4165" s="929">
        <v>464.81</v>
      </c>
      <c r="J4165" s="689">
        <f t="shared" si="65"/>
        <v>464.81</v>
      </c>
    </row>
    <row r="4166" spans="1:10" ht="12.75" customHeight="1" x14ac:dyDescent="0.2">
      <c r="A4166" s="681" t="s">
        <v>2370</v>
      </c>
      <c r="B4166" s="693" t="s">
        <v>6725</v>
      </c>
      <c r="C4166" s="672" t="s">
        <v>785</v>
      </c>
      <c r="D4166" s="673">
        <v>41325</v>
      </c>
      <c r="E4166" s="674">
        <v>10</v>
      </c>
      <c r="F4166" s="675">
        <v>0.1</v>
      </c>
      <c r="G4166" s="676">
        <v>929.62</v>
      </c>
      <c r="H4166" s="929">
        <v>92.961999999999989</v>
      </c>
      <c r="I4166" s="929">
        <v>464.81</v>
      </c>
      <c r="J4166" s="689">
        <f t="shared" si="65"/>
        <v>464.81</v>
      </c>
    </row>
    <row r="4167" spans="1:10" ht="12.75" customHeight="1" x14ac:dyDescent="0.2">
      <c r="A4167" s="681" t="s">
        <v>2370</v>
      </c>
      <c r="B4167" s="693" t="s">
        <v>6726</v>
      </c>
      <c r="C4167" s="672" t="s">
        <v>785</v>
      </c>
      <c r="D4167" s="673">
        <v>41325</v>
      </c>
      <c r="E4167" s="674">
        <v>10</v>
      </c>
      <c r="F4167" s="675">
        <v>0.1</v>
      </c>
      <c r="G4167" s="676">
        <v>929.62</v>
      </c>
      <c r="H4167" s="929">
        <v>92.961999999999989</v>
      </c>
      <c r="I4167" s="929">
        <v>464.81</v>
      </c>
      <c r="J4167" s="689">
        <f t="shared" ref="J4167:J4230" si="66">G4167-I4167</f>
        <v>464.81</v>
      </c>
    </row>
    <row r="4168" spans="1:10" ht="12.75" customHeight="1" x14ac:dyDescent="0.2">
      <c r="A4168" s="681" t="s">
        <v>2370</v>
      </c>
      <c r="B4168" s="693" t="s">
        <v>6727</v>
      </c>
      <c r="C4168" s="672" t="s">
        <v>789</v>
      </c>
      <c r="D4168" s="673">
        <v>41325</v>
      </c>
      <c r="E4168" s="674">
        <v>10</v>
      </c>
      <c r="F4168" s="675">
        <v>0.1</v>
      </c>
      <c r="G4168" s="676">
        <v>934.77</v>
      </c>
      <c r="H4168" s="929">
        <v>93.47699999999999</v>
      </c>
      <c r="I4168" s="929">
        <v>467.38499999999999</v>
      </c>
      <c r="J4168" s="689">
        <f t="shared" si="66"/>
        <v>467.38499999999999</v>
      </c>
    </row>
    <row r="4169" spans="1:10" ht="12.75" customHeight="1" x14ac:dyDescent="0.2">
      <c r="A4169" s="681" t="s">
        <v>2370</v>
      </c>
      <c r="B4169" s="693" t="s">
        <v>6728</v>
      </c>
      <c r="C4169" s="672" t="s">
        <v>814</v>
      </c>
      <c r="D4169" s="673">
        <v>41325</v>
      </c>
      <c r="E4169" s="674">
        <v>10</v>
      </c>
      <c r="F4169" s="675">
        <v>0.1</v>
      </c>
      <c r="G4169" s="676">
        <v>948</v>
      </c>
      <c r="H4169" s="929">
        <v>94.800000000000011</v>
      </c>
      <c r="I4169" s="929">
        <v>474.00000000000006</v>
      </c>
      <c r="J4169" s="689">
        <f t="shared" si="66"/>
        <v>473.99999999999994</v>
      </c>
    </row>
    <row r="4170" spans="1:10" ht="12.75" customHeight="1" x14ac:dyDescent="0.2">
      <c r="A4170" s="681" t="s">
        <v>2370</v>
      </c>
      <c r="B4170" s="693" t="s">
        <v>6729</v>
      </c>
      <c r="C4170" s="672" t="s">
        <v>790</v>
      </c>
      <c r="D4170" s="673">
        <v>41325</v>
      </c>
      <c r="E4170" s="674">
        <v>10</v>
      </c>
      <c r="F4170" s="675">
        <v>0.1</v>
      </c>
      <c r="G4170" s="676">
        <v>954.5</v>
      </c>
      <c r="H4170" s="929">
        <v>95.45</v>
      </c>
      <c r="I4170" s="929">
        <v>477.25</v>
      </c>
      <c r="J4170" s="689">
        <f t="shared" si="66"/>
        <v>477.25</v>
      </c>
    </row>
    <row r="4171" spans="1:10" ht="12.75" customHeight="1" x14ac:dyDescent="0.2">
      <c r="A4171" s="681" t="s">
        <v>2370</v>
      </c>
      <c r="B4171" s="693" t="s">
        <v>6730</v>
      </c>
      <c r="C4171" s="672" t="s">
        <v>919</v>
      </c>
      <c r="D4171" s="673">
        <v>41325</v>
      </c>
      <c r="E4171" s="674">
        <v>10</v>
      </c>
      <c r="F4171" s="675">
        <v>0.1</v>
      </c>
      <c r="G4171" s="676">
        <v>1000</v>
      </c>
      <c r="H4171" s="929">
        <v>99.999999999999986</v>
      </c>
      <c r="I4171" s="929">
        <v>500</v>
      </c>
      <c r="J4171" s="689">
        <f t="shared" si="66"/>
        <v>500</v>
      </c>
    </row>
    <row r="4172" spans="1:10" ht="12.75" customHeight="1" x14ac:dyDescent="0.2">
      <c r="A4172" s="681" t="s">
        <v>2370</v>
      </c>
      <c r="B4172" s="693" t="s">
        <v>6731</v>
      </c>
      <c r="C4172" s="672" t="s">
        <v>919</v>
      </c>
      <c r="D4172" s="673">
        <v>41325</v>
      </c>
      <c r="E4172" s="674">
        <v>10</v>
      </c>
      <c r="F4172" s="675">
        <v>0.1</v>
      </c>
      <c r="G4172" s="676">
        <v>1000</v>
      </c>
      <c r="H4172" s="929">
        <v>99.999999999999986</v>
      </c>
      <c r="I4172" s="929">
        <v>500</v>
      </c>
      <c r="J4172" s="689">
        <f t="shared" si="66"/>
        <v>500</v>
      </c>
    </row>
    <row r="4173" spans="1:10" ht="12.75" customHeight="1" x14ac:dyDescent="0.2">
      <c r="A4173" s="681" t="s">
        <v>2370</v>
      </c>
      <c r="B4173" s="693" t="s">
        <v>6732</v>
      </c>
      <c r="C4173" s="672" t="s">
        <v>788</v>
      </c>
      <c r="D4173" s="673">
        <v>41325</v>
      </c>
      <c r="E4173" s="674">
        <v>10</v>
      </c>
      <c r="F4173" s="675">
        <v>0.1</v>
      </c>
      <c r="G4173" s="676">
        <v>1100</v>
      </c>
      <c r="H4173" s="929">
        <v>110.00000000000001</v>
      </c>
      <c r="I4173" s="929">
        <v>550</v>
      </c>
      <c r="J4173" s="689">
        <f t="shared" si="66"/>
        <v>550</v>
      </c>
    </row>
    <row r="4174" spans="1:10" ht="12.75" customHeight="1" x14ac:dyDescent="0.2">
      <c r="A4174" s="681" t="s">
        <v>2370</v>
      </c>
      <c r="B4174" s="693" t="s">
        <v>6733</v>
      </c>
      <c r="C4174" s="672" t="s">
        <v>788</v>
      </c>
      <c r="D4174" s="673">
        <v>41325</v>
      </c>
      <c r="E4174" s="674">
        <v>10</v>
      </c>
      <c r="F4174" s="675">
        <v>0.1</v>
      </c>
      <c r="G4174" s="676">
        <v>1100</v>
      </c>
      <c r="H4174" s="929">
        <v>110.00000000000001</v>
      </c>
      <c r="I4174" s="929">
        <v>550</v>
      </c>
      <c r="J4174" s="689">
        <f t="shared" si="66"/>
        <v>550</v>
      </c>
    </row>
    <row r="4175" spans="1:10" ht="12.75" customHeight="1" x14ac:dyDescent="0.2">
      <c r="A4175" s="681" t="s">
        <v>2370</v>
      </c>
      <c r="B4175" s="693" t="s">
        <v>6734</v>
      </c>
      <c r="C4175" s="672" t="s">
        <v>788</v>
      </c>
      <c r="D4175" s="673">
        <v>41325</v>
      </c>
      <c r="E4175" s="674">
        <v>10</v>
      </c>
      <c r="F4175" s="675">
        <v>0.1</v>
      </c>
      <c r="G4175" s="676">
        <v>1100</v>
      </c>
      <c r="H4175" s="929">
        <v>110.00000000000001</v>
      </c>
      <c r="I4175" s="929">
        <v>550</v>
      </c>
      <c r="J4175" s="689">
        <f t="shared" si="66"/>
        <v>550</v>
      </c>
    </row>
    <row r="4176" spans="1:10" ht="12.75" customHeight="1" x14ac:dyDescent="0.2">
      <c r="A4176" s="681" t="s">
        <v>2370</v>
      </c>
      <c r="B4176" s="693" t="s">
        <v>6735</v>
      </c>
      <c r="C4176" s="672" t="s">
        <v>788</v>
      </c>
      <c r="D4176" s="673">
        <v>41325</v>
      </c>
      <c r="E4176" s="674">
        <v>10</v>
      </c>
      <c r="F4176" s="675">
        <v>0.1</v>
      </c>
      <c r="G4176" s="676">
        <v>1100</v>
      </c>
      <c r="H4176" s="929">
        <v>110.00000000000001</v>
      </c>
      <c r="I4176" s="929">
        <v>550</v>
      </c>
      <c r="J4176" s="689">
        <f t="shared" si="66"/>
        <v>550</v>
      </c>
    </row>
    <row r="4177" spans="1:10" ht="12.75" customHeight="1" x14ac:dyDescent="0.2">
      <c r="A4177" s="681" t="s">
        <v>2372</v>
      </c>
      <c r="B4177" s="693" t="s">
        <v>6736</v>
      </c>
      <c r="C4177" s="672" t="s">
        <v>1090</v>
      </c>
      <c r="D4177" s="673">
        <v>41325</v>
      </c>
      <c r="E4177" s="674">
        <v>10</v>
      </c>
      <c r="F4177" s="675">
        <v>0.1</v>
      </c>
      <c r="G4177" s="676">
        <v>1102</v>
      </c>
      <c r="H4177" s="929">
        <v>110.20000000000003</v>
      </c>
      <c r="I4177" s="929">
        <v>551.00000000000011</v>
      </c>
      <c r="J4177" s="689">
        <f t="shared" si="66"/>
        <v>550.99999999999989</v>
      </c>
    </row>
    <row r="4178" spans="1:10" ht="12.75" customHeight="1" x14ac:dyDescent="0.2">
      <c r="A4178" s="681" t="s">
        <v>2372</v>
      </c>
      <c r="B4178" s="693" t="s">
        <v>6737</v>
      </c>
      <c r="C4178" s="672" t="s">
        <v>1090</v>
      </c>
      <c r="D4178" s="673">
        <v>41325</v>
      </c>
      <c r="E4178" s="674">
        <v>10</v>
      </c>
      <c r="F4178" s="675">
        <v>0.1</v>
      </c>
      <c r="G4178" s="676">
        <v>1102</v>
      </c>
      <c r="H4178" s="929">
        <v>110.20000000000003</v>
      </c>
      <c r="I4178" s="929">
        <v>551.00000000000011</v>
      </c>
      <c r="J4178" s="689">
        <f t="shared" si="66"/>
        <v>550.99999999999989</v>
      </c>
    </row>
    <row r="4179" spans="1:10" ht="12.75" customHeight="1" x14ac:dyDescent="0.2">
      <c r="A4179" s="681" t="s">
        <v>2370</v>
      </c>
      <c r="B4179" s="693" t="s">
        <v>6738</v>
      </c>
      <c r="C4179" s="672" t="s">
        <v>826</v>
      </c>
      <c r="D4179" s="673">
        <v>41325</v>
      </c>
      <c r="E4179" s="674">
        <v>10</v>
      </c>
      <c r="F4179" s="675">
        <v>0.1</v>
      </c>
      <c r="G4179" s="676">
        <v>1140.95</v>
      </c>
      <c r="H4179" s="929">
        <v>114.09499999999997</v>
      </c>
      <c r="I4179" s="929">
        <v>570.47499999999991</v>
      </c>
      <c r="J4179" s="689">
        <f t="shared" si="66"/>
        <v>570.47500000000014</v>
      </c>
    </row>
    <row r="4180" spans="1:10" ht="12.75" customHeight="1" x14ac:dyDescent="0.2">
      <c r="A4180" s="681" t="s">
        <v>2370</v>
      </c>
      <c r="B4180" s="693" t="s">
        <v>6739</v>
      </c>
      <c r="C4180" s="672" t="s">
        <v>819</v>
      </c>
      <c r="D4180" s="673">
        <v>41325</v>
      </c>
      <c r="E4180" s="674">
        <v>10</v>
      </c>
      <c r="F4180" s="675">
        <v>0.1</v>
      </c>
      <c r="G4180" s="676">
        <v>1145</v>
      </c>
      <c r="H4180" s="929">
        <v>114.50000000000001</v>
      </c>
      <c r="I4180" s="929">
        <v>572.5</v>
      </c>
      <c r="J4180" s="689">
        <f t="shared" si="66"/>
        <v>572.5</v>
      </c>
    </row>
    <row r="4181" spans="1:10" ht="12.75" customHeight="1" x14ac:dyDescent="0.2">
      <c r="A4181" s="681" t="s">
        <v>2370</v>
      </c>
      <c r="B4181" s="693" t="s">
        <v>6740</v>
      </c>
      <c r="C4181" s="672" t="s">
        <v>841</v>
      </c>
      <c r="D4181" s="673">
        <v>41325</v>
      </c>
      <c r="E4181" s="674">
        <v>10</v>
      </c>
      <c r="F4181" s="675">
        <v>0.1</v>
      </c>
      <c r="G4181" s="676">
        <v>1148.98</v>
      </c>
      <c r="H4181" s="929">
        <v>114.89799999999998</v>
      </c>
      <c r="I4181" s="929">
        <v>574.49</v>
      </c>
      <c r="J4181" s="689">
        <f t="shared" si="66"/>
        <v>574.49</v>
      </c>
    </row>
    <row r="4182" spans="1:10" ht="12.75" customHeight="1" x14ac:dyDescent="0.2">
      <c r="A4182" s="681" t="s">
        <v>2370</v>
      </c>
      <c r="B4182" s="693" t="s">
        <v>6741</v>
      </c>
      <c r="C4182" s="672" t="s">
        <v>855</v>
      </c>
      <c r="D4182" s="673">
        <v>41325</v>
      </c>
      <c r="E4182" s="674">
        <v>10</v>
      </c>
      <c r="F4182" s="675">
        <v>0.1</v>
      </c>
      <c r="G4182" s="676">
        <v>1160</v>
      </c>
      <c r="H4182" s="929">
        <v>116.00000000000001</v>
      </c>
      <c r="I4182" s="929">
        <v>580</v>
      </c>
      <c r="J4182" s="689">
        <f t="shared" si="66"/>
        <v>580</v>
      </c>
    </row>
    <row r="4183" spans="1:10" ht="12.75" customHeight="1" x14ac:dyDescent="0.2">
      <c r="A4183" s="681" t="s">
        <v>2370</v>
      </c>
      <c r="B4183" s="693" t="s">
        <v>6742</v>
      </c>
      <c r="C4183" s="672" t="s">
        <v>855</v>
      </c>
      <c r="D4183" s="673">
        <v>41325</v>
      </c>
      <c r="E4183" s="674">
        <v>10</v>
      </c>
      <c r="F4183" s="675">
        <v>0.1</v>
      </c>
      <c r="G4183" s="676">
        <v>1160</v>
      </c>
      <c r="H4183" s="929">
        <v>116.00000000000001</v>
      </c>
      <c r="I4183" s="929">
        <v>580</v>
      </c>
      <c r="J4183" s="689">
        <f t="shared" si="66"/>
        <v>580</v>
      </c>
    </row>
    <row r="4184" spans="1:10" ht="12.75" customHeight="1" x14ac:dyDescent="0.2">
      <c r="A4184" s="681" t="s">
        <v>2370</v>
      </c>
      <c r="B4184" s="693" t="s">
        <v>6743</v>
      </c>
      <c r="C4184" s="672" t="s">
        <v>785</v>
      </c>
      <c r="D4184" s="673">
        <v>41325</v>
      </c>
      <c r="E4184" s="674">
        <v>10</v>
      </c>
      <c r="F4184" s="675">
        <v>0.1</v>
      </c>
      <c r="G4184" s="676">
        <v>1350</v>
      </c>
      <c r="H4184" s="929">
        <v>135</v>
      </c>
      <c r="I4184" s="929">
        <v>675</v>
      </c>
      <c r="J4184" s="689">
        <f t="shared" si="66"/>
        <v>675</v>
      </c>
    </row>
    <row r="4185" spans="1:10" ht="12.75" customHeight="1" x14ac:dyDescent="0.2">
      <c r="A4185" s="681" t="s">
        <v>2370</v>
      </c>
      <c r="B4185" s="693" t="s">
        <v>6744</v>
      </c>
      <c r="C4185" s="672" t="s">
        <v>785</v>
      </c>
      <c r="D4185" s="673">
        <v>41325</v>
      </c>
      <c r="E4185" s="674">
        <v>10</v>
      </c>
      <c r="F4185" s="675">
        <v>0.1</v>
      </c>
      <c r="G4185" s="676">
        <v>1350</v>
      </c>
      <c r="H4185" s="929">
        <v>135</v>
      </c>
      <c r="I4185" s="929">
        <v>675</v>
      </c>
      <c r="J4185" s="689">
        <f t="shared" si="66"/>
        <v>675</v>
      </c>
    </row>
    <row r="4186" spans="1:10" ht="12.75" customHeight="1" x14ac:dyDescent="0.2">
      <c r="A4186" s="681" t="s">
        <v>2370</v>
      </c>
      <c r="B4186" s="693" t="s">
        <v>6745</v>
      </c>
      <c r="C4186" s="672" t="s">
        <v>785</v>
      </c>
      <c r="D4186" s="673">
        <v>41325</v>
      </c>
      <c r="E4186" s="674">
        <v>10</v>
      </c>
      <c r="F4186" s="675">
        <v>0.1</v>
      </c>
      <c r="G4186" s="676">
        <v>1350</v>
      </c>
      <c r="H4186" s="929">
        <v>135</v>
      </c>
      <c r="I4186" s="929">
        <v>675</v>
      </c>
      <c r="J4186" s="689">
        <f t="shared" si="66"/>
        <v>675</v>
      </c>
    </row>
    <row r="4187" spans="1:10" ht="12.75" customHeight="1" x14ac:dyDescent="0.2">
      <c r="A4187" s="681" t="s">
        <v>2370</v>
      </c>
      <c r="B4187" s="693" t="s">
        <v>6746</v>
      </c>
      <c r="C4187" s="672" t="s">
        <v>785</v>
      </c>
      <c r="D4187" s="673">
        <v>41325</v>
      </c>
      <c r="E4187" s="674">
        <v>10</v>
      </c>
      <c r="F4187" s="675">
        <v>0.1</v>
      </c>
      <c r="G4187" s="676">
        <v>1350</v>
      </c>
      <c r="H4187" s="929">
        <v>135</v>
      </c>
      <c r="I4187" s="929">
        <v>675</v>
      </c>
      <c r="J4187" s="689">
        <f t="shared" si="66"/>
        <v>675</v>
      </c>
    </row>
    <row r="4188" spans="1:10" ht="12.75" customHeight="1" x14ac:dyDescent="0.2">
      <c r="A4188" s="681" t="s">
        <v>2370</v>
      </c>
      <c r="B4188" s="693" t="s">
        <v>6747</v>
      </c>
      <c r="C4188" s="672" t="s">
        <v>785</v>
      </c>
      <c r="D4188" s="673">
        <v>41325</v>
      </c>
      <c r="E4188" s="674">
        <v>10</v>
      </c>
      <c r="F4188" s="675">
        <v>0.1</v>
      </c>
      <c r="G4188" s="676">
        <v>1350</v>
      </c>
      <c r="H4188" s="929">
        <v>135</v>
      </c>
      <c r="I4188" s="929">
        <v>675</v>
      </c>
      <c r="J4188" s="689">
        <f t="shared" si="66"/>
        <v>675</v>
      </c>
    </row>
    <row r="4189" spans="1:10" ht="12.75" customHeight="1" x14ac:dyDescent="0.2">
      <c r="A4189" s="681" t="s">
        <v>2370</v>
      </c>
      <c r="B4189" s="693" t="s">
        <v>6748</v>
      </c>
      <c r="C4189" s="672" t="s">
        <v>785</v>
      </c>
      <c r="D4189" s="673">
        <v>41325</v>
      </c>
      <c r="E4189" s="674">
        <v>10</v>
      </c>
      <c r="F4189" s="675">
        <v>0.1</v>
      </c>
      <c r="G4189" s="676">
        <v>1350</v>
      </c>
      <c r="H4189" s="929">
        <v>135</v>
      </c>
      <c r="I4189" s="929">
        <v>675</v>
      </c>
      <c r="J4189" s="689">
        <f t="shared" si="66"/>
        <v>675</v>
      </c>
    </row>
    <row r="4190" spans="1:10" ht="12.75" customHeight="1" x14ac:dyDescent="0.2">
      <c r="A4190" s="681" t="s">
        <v>2370</v>
      </c>
      <c r="B4190" s="693" t="s">
        <v>6749</v>
      </c>
      <c r="C4190" s="672" t="s">
        <v>785</v>
      </c>
      <c r="D4190" s="673">
        <v>41325</v>
      </c>
      <c r="E4190" s="674">
        <v>10</v>
      </c>
      <c r="F4190" s="675">
        <v>0.1</v>
      </c>
      <c r="G4190" s="676">
        <v>1350</v>
      </c>
      <c r="H4190" s="929">
        <v>135</v>
      </c>
      <c r="I4190" s="929">
        <v>675</v>
      </c>
      <c r="J4190" s="689">
        <f t="shared" si="66"/>
        <v>675</v>
      </c>
    </row>
    <row r="4191" spans="1:10" ht="12.75" customHeight="1" x14ac:dyDescent="0.2">
      <c r="A4191" s="681" t="s">
        <v>2370</v>
      </c>
      <c r="B4191" s="693" t="s">
        <v>6750</v>
      </c>
      <c r="C4191" s="672" t="s">
        <v>785</v>
      </c>
      <c r="D4191" s="673">
        <v>41325</v>
      </c>
      <c r="E4191" s="674">
        <v>10</v>
      </c>
      <c r="F4191" s="675">
        <v>0.1</v>
      </c>
      <c r="G4191" s="676">
        <v>1350</v>
      </c>
      <c r="H4191" s="929">
        <v>135</v>
      </c>
      <c r="I4191" s="929">
        <v>675</v>
      </c>
      <c r="J4191" s="689">
        <f t="shared" si="66"/>
        <v>675</v>
      </c>
    </row>
    <row r="4192" spans="1:10" ht="12.75" customHeight="1" x14ac:dyDescent="0.2">
      <c r="A4192" s="681" t="s">
        <v>2370</v>
      </c>
      <c r="B4192" s="693" t="s">
        <v>6751</v>
      </c>
      <c r="C4192" s="672" t="s">
        <v>785</v>
      </c>
      <c r="D4192" s="673">
        <v>41325</v>
      </c>
      <c r="E4192" s="674">
        <v>10</v>
      </c>
      <c r="F4192" s="675">
        <v>0.1</v>
      </c>
      <c r="G4192" s="676">
        <v>1350</v>
      </c>
      <c r="H4192" s="929">
        <v>135</v>
      </c>
      <c r="I4192" s="929">
        <v>675</v>
      </c>
      <c r="J4192" s="689">
        <f t="shared" si="66"/>
        <v>675</v>
      </c>
    </row>
    <row r="4193" spans="1:10" ht="12.75" customHeight="1" x14ac:dyDescent="0.2">
      <c r="A4193" s="681" t="s">
        <v>2370</v>
      </c>
      <c r="B4193" s="693" t="s">
        <v>6752</v>
      </c>
      <c r="C4193" s="672" t="s">
        <v>785</v>
      </c>
      <c r="D4193" s="673">
        <v>41325</v>
      </c>
      <c r="E4193" s="674">
        <v>10</v>
      </c>
      <c r="F4193" s="675">
        <v>0.1</v>
      </c>
      <c r="G4193" s="676">
        <v>1350</v>
      </c>
      <c r="H4193" s="929">
        <v>135</v>
      </c>
      <c r="I4193" s="929">
        <v>675</v>
      </c>
      <c r="J4193" s="689">
        <f t="shared" si="66"/>
        <v>675</v>
      </c>
    </row>
    <row r="4194" spans="1:10" ht="12.75" customHeight="1" x14ac:dyDescent="0.2">
      <c r="A4194" s="681" t="s">
        <v>2370</v>
      </c>
      <c r="B4194" s="693" t="s">
        <v>6753</v>
      </c>
      <c r="C4194" s="672" t="s">
        <v>785</v>
      </c>
      <c r="D4194" s="673">
        <v>41325</v>
      </c>
      <c r="E4194" s="674">
        <v>10</v>
      </c>
      <c r="F4194" s="675">
        <v>0.1</v>
      </c>
      <c r="G4194" s="676">
        <v>1350</v>
      </c>
      <c r="H4194" s="929">
        <v>135</v>
      </c>
      <c r="I4194" s="929">
        <v>675</v>
      </c>
      <c r="J4194" s="689">
        <f t="shared" si="66"/>
        <v>675</v>
      </c>
    </row>
    <row r="4195" spans="1:10" ht="12.75" customHeight="1" x14ac:dyDescent="0.2">
      <c r="A4195" s="681" t="s">
        <v>2370</v>
      </c>
      <c r="B4195" s="693" t="s">
        <v>6754</v>
      </c>
      <c r="C4195" s="672" t="s">
        <v>785</v>
      </c>
      <c r="D4195" s="673">
        <v>41325</v>
      </c>
      <c r="E4195" s="674">
        <v>10</v>
      </c>
      <c r="F4195" s="675">
        <v>0.1</v>
      </c>
      <c r="G4195" s="676">
        <v>1350</v>
      </c>
      <c r="H4195" s="929">
        <v>135</v>
      </c>
      <c r="I4195" s="929">
        <v>675</v>
      </c>
      <c r="J4195" s="689">
        <f t="shared" si="66"/>
        <v>675</v>
      </c>
    </row>
    <row r="4196" spans="1:10" ht="12.75" customHeight="1" x14ac:dyDescent="0.2">
      <c r="A4196" s="681" t="s">
        <v>2370</v>
      </c>
      <c r="B4196" s="693" t="s">
        <v>6755</v>
      </c>
      <c r="C4196" s="672" t="s">
        <v>785</v>
      </c>
      <c r="D4196" s="673">
        <v>41325</v>
      </c>
      <c r="E4196" s="674">
        <v>10</v>
      </c>
      <c r="F4196" s="675">
        <v>0.1</v>
      </c>
      <c r="G4196" s="676">
        <v>1350</v>
      </c>
      <c r="H4196" s="929">
        <v>135</v>
      </c>
      <c r="I4196" s="929">
        <v>675</v>
      </c>
      <c r="J4196" s="689">
        <f t="shared" si="66"/>
        <v>675</v>
      </c>
    </row>
    <row r="4197" spans="1:10" ht="12.75" customHeight="1" x14ac:dyDescent="0.2">
      <c r="A4197" s="681" t="s">
        <v>2370</v>
      </c>
      <c r="B4197" s="693" t="s">
        <v>6756</v>
      </c>
      <c r="C4197" s="672" t="s">
        <v>785</v>
      </c>
      <c r="D4197" s="673">
        <v>41325</v>
      </c>
      <c r="E4197" s="674">
        <v>10</v>
      </c>
      <c r="F4197" s="675">
        <v>0.1</v>
      </c>
      <c r="G4197" s="676">
        <v>1350</v>
      </c>
      <c r="H4197" s="929">
        <v>135</v>
      </c>
      <c r="I4197" s="929">
        <v>675</v>
      </c>
      <c r="J4197" s="689">
        <f t="shared" si="66"/>
        <v>675</v>
      </c>
    </row>
    <row r="4198" spans="1:10" ht="12.75" customHeight="1" x14ac:dyDescent="0.2">
      <c r="A4198" s="681" t="s">
        <v>2370</v>
      </c>
      <c r="B4198" s="693" t="s">
        <v>6757</v>
      </c>
      <c r="C4198" s="672" t="s">
        <v>785</v>
      </c>
      <c r="D4198" s="673">
        <v>41325</v>
      </c>
      <c r="E4198" s="674">
        <v>10</v>
      </c>
      <c r="F4198" s="675">
        <v>0.1</v>
      </c>
      <c r="G4198" s="676">
        <v>1350</v>
      </c>
      <c r="H4198" s="929">
        <v>135</v>
      </c>
      <c r="I4198" s="929">
        <v>675</v>
      </c>
      <c r="J4198" s="689">
        <f t="shared" si="66"/>
        <v>675</v>
      </c>
    </row>
    <row r="4199" spans="1:10" ht="12.75" customHeight="1" x14ac:dyDescent="0.2">
      <c r="A4199" s="681" t="s">
        <v>2370</v>
      </c>
      <c r="B4199" s="693" t="s">
        <v>6758</v>
      </c>
      <c r="C4199" s="672" t="s">
        <v>785</v>
      </c>
      <c r="D4199" s="673">
        <v>41325</v>
      </c>
      <c r="E4199" s="674">
        <v>10</v>
      </c>
      <c r="F4199" s="675">
        <v>0.1</v>
      </c>
      <c r="G4199" s="676">
        <v>1350</v>
      </c>
      <c r="H4199" s="929">
        <v>135</v>
      </c>
      <c r="I4199" s="929">
        <v>675</v>
      </c>
      <c r="J4199" s="689">
        <f t="shared" si="66"/>
        <v>675</v>
      </c>
    </row>
    <row r="4200" spans="1:10" ht="12.75" customHeight="1" x14ac:dyDescent="0.2">
      <c r="A4200" s="681" t="s">
        <v>2370</v>
      </c>
      <c r="B4200" s="693" t="s">
        <v>6759</v>
      </c>
      <c r="C4200" s="672" t="s">
        <v>785</v>
      </c>
      <c r="D4200" s="673">
        <v>41325</v>
      </c>
      <c r="E4200" s="674">
        <v>10</v>
      </c>
      <c r="F4200" s="675">
        <v>0.1</v>
      </c>
      <c r="G4200" s="676">
        <v>1350</v>
      </c>
      <c r="H4200" s="929">
        <v>135</v>
      </c>
      <c r="I4200" s="929">
        <v>675</v>
      </c>
      <c r="J4200" s="689">
        <f t="shared" si="66"/>
        <v>675</v>
      </c>
    </row>
    <row r="4201" spans="1:10" ht="12.75" customHeight="1" x14ac:dyDescent="0.2">
      <c r="A4201" s="681" t="s">
        <v>2370</v>
      </c>
      <c r="B4201" s="693" t="s">
        <v>6760</v>
      </c>
      <c r="C4201" s="672" t="s">
        <v>785</v>
      </c>
      <c r="D4201" s="673">
        <v>41325</v>
      </c>
      <c r="E4201" s="674">
        <v>10</v>
      </c>
      <c r="F4201" s="675">
        <v>0.1</v>
      </c>
      <c r="G4201" s="676">
        <v>1350</v>
      </c>
      <c r="H4201" s="929">
        <v>135</v>
      </c>
      <c r="I4201" s="929">
        <v>675</v>
      </c>
      <c r="J4201" s="689">
        <f t="shared" si="66"/>
        <v>675</v>
      </c>
    </row>
    <row r="4202" spans="1:10" ht="12.75" customHeight="1" x14ac:dyDescent="0.2">
      <c r="A4202" s="681" t="s">
        <v>2370</v>
      </c>
      <c r="B4202" s="693" t="s">
        <v>6761</v>
      </c>
      <c r="C4202" s="672" t="s">
        <v>785</v>
      </c>
      <c r="D4202" s="673">
        <v>41325</v>
      </c>
      <c r="E4202" s="674">
        <v>10</v>
      </c>
      <c r="F4202" s="675">
        <v>0.1</v>
      </c>
      <c r="G4202" s="676">
        <v>1350</v>
      </c>
      <c r="H4202" s="929">
        <v>135</v>
      </c>
      <c r="I4202" s="929">
        <v>675</v>
      </c>
      <c r="J4202" s="689">
        <f t="shared" si="66"/>
        <v>675</v>
      </c>
    </row>
    <row r="4203" spans="1:10" ht="12.75" customHeight="1" x14ac:dyDescent="0.2">
      <c r="A4203" s="681" t="s">
        <v>2370</v>
      </c>
      <c r="B4203" s="693" t="s">
        <v>6762</v>
      </c>
      <c r="C4203" s="672" t="s">
        <v>785</v>
      </c>
      <c r="D4203" s="673">
        <v>41325</v>
      </c>
      <c r="E4203" s="674">
        <v>10</v>
      </c>
      <c r="F4203" s="675">
        <v>0.1</v>
      </c>
      <c r="G4203" s="676">
        <v>1350</v>
      </c>
      <c r="H4203" s="929">
        <v>135</v>
      </c>
      <c r="I4203" s="929">
        <v>675</v>
      </c>
      <c r="J4203" s="689">
        <f t="shared" si="66"/>
        <v>675</v>
      </c>
    </row>
    <row r="4204" spans="1:10" ht="12.75" customHeight="1" x14ac:dyDescent="0.2">
      <c r="A4204" s="681" t="s">
        <v>2370</v>
      </c>
      <c r="B4204" s="693" t="s">
        <v>6763</v>
      </c>
      <c r="C4204" s="672" t="s">
        <v>785</v>
      </c>
      <c r="D4204" s="673">
        <v>41325</v>
      </c>
      <c r="E4204" s="674">
        <v>10</v>
      </c>
      <c r="F4204" s="675">
        <v>0.1</v>
      </c>
      <c r="G4204" s="676">
        <v>1350</v>
      </c>
      <c r="H4204" s="929">
        <v>135</v>
      </c>
      <c r="I4204" s="929">
        <v>675</v>
      </c>
      <c r="J4204" s="689">
        <f t="shared" si="66"/>
        <v>675</v>
      </c>
    </row>
    <row r="4205" spans="1:10" ht="12.75" customHeight="1" x14ac:dyDescent="0.2">
      <c r="A4205" s="681" t="s">
        <v>2370</v>
      </c>
      <c r="B4205" s="693" t="s">
        <v>6764</v>
      </c>
      <c r="C4205" s="672" t="s">
        <v>785</v>
      </c>
      <c r="D4205" s="673">
        <v>41325</v>
      </c>
      <c r="E4205" s="674">
        <v>10</v>
      </c>
      <c r="F4205" s="675">
        <v>0.1</v>
      </c>
      <c r="G4205" s="676">
        <v>1350</v>
      </c>
      <c r="H4205" s="929">
        <v>135</v>
      </c>
      <c r="I4205" s="929">
        <v>675</v>
      </c>
      <c r="J4205" s="689">
        <f t="shared" si="66"/>
        <v>675</v>
      </c>
    </row>
    <row r="4206" spans="1:10" ht="12.75" customHeight="1" x14ac:dyDescent="0.2">
      <c r="A4206" s="681" t="s">
        <v>2370</v>
      </c>
      <c r="B4206" s="693" t="s">
        <v>6765</v>
      </c>
      <c r="C4206" s="672" t="s">
        <v>785</v>
      </c>
      <c r="D4206" s="673">
        <v>41325</v>
      </c>
      <c r="E4206" s="674">
        <v>10</v>
      </c>
      <c r="F4206" s="675">
        <v>0.1</v>
      </c>
      <c r="G4206" s="676">
        <v>1350</v>
      </c>
      <c r="H4206" s="929">
        <v>135</v>
      </c>
      <c r="I4206" s="929">
        <v>675</v>
      </c>
      <c r="J4206" s="689">
        <f t="shared" si="66"/>
        <v>675</v>
      </c>
    </row>
    <row r="4207" spans="1:10" ht="12.75" customHeight="1" x14ac:dyDescent="0.2">
      <c r="A4207" s="681" t="s">
        <v>2370</v>
      </c>
      <c r="B4207" s="693" t="s">
        <v>6766</v>
      </c>
      <c r="C4207" s="672" t="s">
        <v>785</v>
      </c>
      <c r="D4207" s="673">
        <v>41325</v>
      </c>
      <c r="E4207" s="674">
        <v>10</v>
      </c>
      <c r="F4207" s="675">
        <v>0.1</v>
      </c>
      <c r="G4207" s="676">
        <v>1350</v>
      </c>
      <c r="H4207" s="929">
        <v>135</v>
      </c>
      <c r="I4207" s="929">
        <v>675</v>
      </c>
      <c r="J4207" s="689">
        <f t="shared" si="66"/>
        <v>675</v>
      </c>
    </row>
    <row r="4208" spans="1:10" ht="12.75" customHeight="1" x14ac:dyDescent="0.2">
      <c r="A4208" s="681" t="s">
        <v>2370</v>
      </c>
      <c r="B4208" s="693" t="s">
        <v>6767</v>
      </c>
      <c r="C4208" s="672" t="s">
        <v>785</v>
      </c>
      <c r="D4208" s="673">
        <v>41325</v>
      </c>
      <c r="E4208" s="674">
        <v>10</v>
      </c>
      <c r="F4208" s="675">
        <v>0.1</v>
      </c>
      <c r="G4208" s="676">
        <v>1350</v>
      </c>
      <c r="H4208" s="929">
        <v>135</v>
      </c>
      <c r="I4208" s="929">
        <v>675</v>
      </c>
      <c r="J4208" s="689">
        <f t="shared" si="66"/>
        <v>675</v>
      </c>
    </row>
    <row r="4209" spans="1:10" ht="12.75" customHeight="1" x14ac:dyDescent="0.2">
      <c r="A4209" s="681" t="s">
        <v>2370</v>
      </c>
      <c r="B4209" s="693" t="s">
        <v>6768</v>
      </c>
      <c r="C4209" s="672" t="s">
        <v>785</v>
      </c>
      <c r="D4209" s="673">
        <v>41325</v>
      </c>
      <c r="E4209" s="674">
        <v>10</v>
      </c>
      <c r="F4209" s="675">
        <v>0.1</v>
      </c>
      <c r="G4209" s="676">
        <v>1350</v>
      </c>
      <c r="H4209" s="929">
        <v>135</v>
      </c>
      <c r="I4209" s="929">
        <v>675</v>
      </c>
      <c r="J4209" s="689">
        <f t="shared" si="66"/>
        <v>675</v>
      </c>
    </row>
    <row r="4210" spans="1:10" ht="12.75" customHeight="1" x14ac:dyDescent="0.2">
      <c r="A4210" s="681" t="s">
        <v>2370</v>
      </c>
      <c r="B4210" s="693" t="s">
        <v>6769</v>
      </c>
      <c r="C4210" s="672" t="s">
        <v>785</v>
      </c>
      <c r="D4210" s="673">
        <v>41325</v>
      </c>
      <c r="E4210" s="674">
        <v>10</v>
      </c>
      <c r="F4210" s="675">
        <v>0.1</v>
      </c>
      <c r="G4210" s="676">
        <v>1350</v>
      </c>
      <c r="H4210" s="929">
        <v>135</v>
      </c>
      <c r="I4210" s="929">
        <v>675</v>
      </c>
      <c r="J4210" s="689">
        <f t="shared" si="66"/>
        <v>675</v>
      </c>
    </row>
    <row r="4211" spans="1:10" ht="12.75" customHeight="1" x14ac:dyDescent="0.2">
      <c r="A4211" s="681" t="s">
        <v>2370</v>
      </c>
      <c r="B4211" s="693" t="s">
        <v>6770</v>
      </c>
      <c r="C4211" s="672" t="s">
        <v>785</v>
      </c>
      <c r="D4211" s="673">
        <v>41325</v>
      </c>
      <c r="E4211" s="674">
        <v>10</v>
      </c>
      <c r="F4211" s="675">
        <v>0.1</v>
      </c>
      <c r="G4211" s="676">
        <v>1350</v>
      </c>
      <c r="H4211" s="929">
        <v>135</v>
      </c>
      <c r="I4211" s="929">
        <v>675</v>
      </c>
      <c r="J4211" s="689">
        <f t="shared" si="66"/>
        <v>675</v>
      </c>
    </row>
    <row r="4212" spans="1:10" ht="12.75" customHeight="1" x14ac:dyDescent="0.2">
      <c r="A4212" s="681" t="s">
        <v>2370</v>
      </c>
      <c r="B4212" s="693" t="s">
        <v>6771</v>
      </c>
      <c r="C4212" s="672" t="s">
        <v>785</v>
      </c>
      <c r="D4212" s="673">
        <v>41325</v>
      </c>
      <c r="E4212" s="674">
        <v>10</v>
      </c>
      <c r="F4212" s="675">
        <v>0.1</v>
      </c>
      <c r="G4212" s="676">
        <v>1350</v>
      </c>
      <c r="H4212" s="929">
        <v>135</v>
      </c>
      <c r="I4212" s="929">
        <v>675</v>
      </c>
      <c r="J4212" s="689">
        <f t="shared" si="66"/>
        <v>675</v>
      </c>
    </row>
    <row r="4213" spans="1:10" ht="12.75" customHeight="1" x14ac:dyDescent="0.2">
      <c r="A4213" s="681" t="s">
        <v>2370</v>
      </c>
      <c r="B4213" s="693" t="s">
        <v>6772</v>
      </c>
      <c r="C4213" s="672" t="s">
        <v>785</v>
      </c>
      <c r="D4213" s="673">
        <v>41325</v>
      </c>
      <c r="E4213" s="674">
        <v>10</v>
      </c>
      <c r="F4213" s="675">
        <v>0.1</v>
      </c>
      <c r="G4213" s="676">
        <v>1350</v>
      </c>
      <c r="H4213" s="929">
        <v>135</v>
      </c>
      <c r="I4213" s="929">
        <v>675</v>
      </c>
      <c r="J4213" s="689">
        <f t="shared" si="66"/>
        <v>675</v>
      </c>
    </row>
    <row r="4214" spans="1:10" ht="12.75" customHeight="1" x14ac:dyDescent="0.2">
      <c r="A4214" s="681" t="s">
        <v>2370</v>
      </c>
      <c r="B4214" s="693" t="s">
        <v>6773</v>
      </c>
      <c r="C4214" s="672" t="s">
        <v>785</v>
      </c>
      <c r="D4214" s="673">
        <v>41325</v>
      </c>
      <c r="E4214" s="674">
        <v>10</v>
      </c>
      <c r="F4214" s="675">
        <v>0.1</v>
      </c>
      <c r="G4214" s="676">
        <v>1350</v>
      </c>
      <c r="H4214" s="929">
        <v>135</v>
      </c>
      <c r="I4214" s="929">
        <v>675</v>
      </c>
      <c r="J4214" s="689">
        <f t="shared" si="66"/>
        <v>675</v>
      </c>
    </row>
    <row r="4215" spans="1:10" ht="12.75" customHeight="1" x14ac:dyDescent="0.2">
      <c r="A4215" s="681" t="s">
        <v>2370</v>
      </c>
      <c r="B4215" s="693" t="s">
        <v>6774</v>
      </c>
      <c r="C4215" s="672" t="s">
        <v>785</v>
      </c>
      <c r="D4215" s="673">
        <v>41325</v>
      </c>
      <c r="E4215" s="674">
        <v>10</v>
      </c>
      <c r="F4215" s="675">
        <v>0.1</v>
      </c>
      <c r="G4215" s="676">
        <v>1350</v>
      </c>
      <c r="H4215" s="929">
        <v>135</v>
      </c>
      <c r="I4215" s="929">
        <v>675</v>
      </c>
      <c r="J4215" s="689">
        <f t="shared" si="66"/>
        <v>675</v>
      </c>
    </row>
    <row r="4216" spans="1:10" ht="12.75" customHeight="1" x14ac:dyDescent="0.2">
      <c r="A4216" s="681" t="s">
        <v>2370</v>
      </c>
      <c r="B4216" s="693" t="s">
        <v>6775</v>
      </c>
      <c r="C4216" s="672" t="s">
        <v>785</v>
      </c>
      <c r="D4216" s="673">
        <v>41325</v>
      </c>
      <c r="E4216" s="674">
        <v>10</v>
      </c>
      <c r="F4216" s="675">
        <v>0.1</v>
      </c>
      <c r="G4216" s="676">
        <v>1350</v>
      </c>
      <c r="H4216" s="929">
        <v>135</v>
      </c>
      <c r="I4216" s="929">
        <v>675</v>
      </c>
      <c r="J4216" s="689">
        <f t="shared" si="66"/>
        <v>675</v>
      </c>
    </row>
    <row r="4217" spans="1:10" ht="12.75" customHeight="1" x14ac:dyDescent="0.2">
      <c r="A4217" s="681" t="s">
        <v>2370</v>
      </c>
      <c r="B4217" s="693" t="s">
        <v>6776</v>
      </c>
      <c r="C4217" s="672" t="s">
        <v>785</v>
      </c>
      <c r="D4217" s="673">
        <v>41325</v>
      </c>
      <c r="E4217" s="674">
        <v>10</v>
      </c>
      <c r="F4217" s="675">
        <v>0.1</v>
      </c>
      <c r="G4217" s="676">
        <v>1350</v>
      </c>
      <c r="H4217" s="929">
        <v>135</v>
      </c>
      <c r="I4217" s="929">
        <v>675</v>
      </c>
      <c r="J4217" s="689">
        <f t="shared" si="66"/>
        <v>675</v>
      </c>
    </row>
    <row r="4218" spans="1:10" ht="12.75" customHeight="1" x14ac:dyDescent="0.2">
      <c r="A4218" s="681" t="s">
        <v>2370</v>
      </c>
      <c r="B4218" s="693" t="s">
        <v>6777</v>
      </c>
      <c r="C4218" s="672" t="s">
        <v>785</v>
      </c>
      <c r="D4218" s="673">
        <v>41325</v>
      </c>
      <c r="E4218" s="674">
        <v>10</v>
      </c>
      <c r="F4218" s="675">
        <v>0.1</v>
      </c>
      <c r="G4218" s="676">
        <v>1350</v>
      </c>
      <c r="H4218" s="929">
        <v>135</v>
      </c>
      <c r="I4218" s="929">
        <v>675</v>
      </c>
      <c r="J4218" s="689">
        <f t="shared" si="66"/>
        <v>675</v>
      </c>
    </row>
    <row r="4219" spans="1:10" ht="12.75" customHeight="1" x14ac:dyDescent="0.2">
      <c r="A4219" s="681" t="s">
        <v>2372</v>
      </c>
      <c r="B4219" s="693" t="s">
        <v>6778</v>
      </c>
      <c r="C4219" s="672" t="s">
        <v>1082</v>
      </c>
      <c r="D4219" s="673">
        <v>41325</v>
      </c>
      <c r="E4219" s="674">
        <v>10</v>
      </c>
      <c r="F4219" s="675">
        <v>0.1</v>
      </c>
      <c r="G4219" s="676">
        <v>1414.55</v>
      </c>
      <c r="H4219" s="929">
        <v>141.45499999999996</v>
      </c>
      <c r="I4219" s="929">
        <v>707.27499999999986</v>
      </c>
      <c r="J4219" s="689">
        <f t="shared" si="66"/>
        <v>707.27500000000009</v>
      </c>
    </row>
    <row r="4220" spans="1:10" ht="12.75" customHeight="1" x14ac:dyDescent="0.2">
      <c r="A4220" s="681" t="s">
        <v>2370</v>
      </c>
      <c r="B4220" s="693" t="s">
        <v>6779</v>
      </c>
      <c r="C4220" s="672" t="s">
        <v>819</v>
      </c>
      <c r="D4220" s="673">
        <v>41325</v>
      </c>
      <c r="E4220" s="674">
        <v>10</v>
      </c>
      <c r="F4220" s="675">
        <v>0.1</v>
      </c>
      <c r="G4220" s="676">
        <v>1445</v>
      </c>
      <c r="H4220" s="929">
        <v>144.5</v>
      </c>
      <c r="I4220" s="929">
        <v>722.5</v>
      </c>
      <c r="J4220" s="689">
        <f t="shared" si="66"/>
        <v>722.5</v>
      </c>
    </row>
    <row r="4221" spans="1:10" ht="12.75" customHeight="1" x14ac:dyDescent="0.2">
      <c r="A4221" s="681" t="s">
        <v>2370</v>
      </c>
      <c r="B4221" s="693" t="s">
        <v>6780</v>
      </c>
      <c r="C4221" s="672" t="s">
        <v>879</v>
      </c>
      <c r="D4221" s="673">
        <v>41325</v>
      </c>
      <c r="E4221" s="674">
        <v>10</v>
      </c>
      <c r="F4221" s="675">
        <v>0.1</v>
      </c>
      <c r="G4221" s="676">
        <v>1450</v>
      </c>
      <c r="H4221" s="929">
        <v>145</v>
      </c>
      <c r="I4221" s="929">
        <v>725</v>
      </c>
      <c r="J4221" s="689">
        <f t="shared" si="66"/>
        <v>725</v>
      </c>
    </row>
    <row r="4222" spans="1:10" ht="12.75" customHeight="1" x14ac:dyDescent="0.2">
      <c r="A4222" s="681" t="s">
        <v>2370</v>
      </c>
      <c r="B4222" s="693" t="s">
        <v>6781</v>
      </c>
      <c r="C4222" s="672" t="s">
        <v>879</v>
      </c>
      <c r="D4222" s="673">
        <v>41325</v>
      </c>
      <c r="E4222" s="674">
        <v>10</v>
      </c>
      <c r="F4222" s="675">
        <v>0.1</v>
      </c>
      <c r="G4222" s="676">
        <v>1450</v>
      </c>
      <c r="H4222" s="929">
        <v>145</v>
      </c>
      <c r="I4222" s="929">
        <v>725</v>
      </c>
      <c r="J4222" s="689">
        <f t="shared" si="66"/>
        <v>725</v>
      </c>
    </row>
    <row r="4223" spans="1:10" ht="12.75" customHeight="1" x14ac:dyDescent="0.2">
      <c r="A4223" s="681" t="s">
        <v>2370</v>
      </c>
      <c r="B4223" s="693" t="s">
        <v>6782</v>
      </c>
      <c r="C4223" s="672" t="s">
        <v>785</v>
      </c>
      <c r="D4223" s="673">
        <v>41325</v>
      </c>
      <c r="E4223" s="674">
        <v>10</v>
      </c>
      <c r="F4223" s="675">
        <v>0.1</v>
      </c>
      <c r="G4223" s="676">
        <v>1497</v>
      </c>
      <c r="H4223" s="929">
        <v>149.69999999999996</v>
      </c>
      <c r="I4223" s="929">
        <v>748.49999999999989</v>
      </c>
      <c r="J4223" s="689">
        <f t="shared" si="66"/>
        <v>748.50000000000011</v>
      </c>
    </row>
    <row r="4224" spans="1:10" ht="12.75" customHeight="1" x14ac:dyDescent="0.2">
      <c r="A4224" s="681" t="s">
        <v>2370</v>
      </c>
      <c r="B4224" s="693" t="s">
        <v>6783</v>
      </c>
      <c r="C4224" s="672" t="s">
        <v>785</v>
      </c>
      <c r="D4224" s="673">
        <v>41325</v>
      </c>
      <c r="E4224" s="674">
        <v>10</v>
      </c>
      <c r="F4224" s="675">
        <v>0.1</v>
      </c>
      <c r="G4224" s="676">
        <v>1661.12</v>
      </c>
      <c r="H4224" s="929">
        <v>166.11200000000005</v>
      </c>
      <c r="I4224" s="929">
        <v>830.56000000000017</v>
      </c>
      <c r="J4224" s="689">
        <f t="shared" si="66"/>
        <v>830.55999999999972</v>
      </c>
    </row>
    <row r="4225" spans="1:10" ht="12.75" customHeight="1" x14ac:dyDescent="0.2">
      <c r="A4225" s="681" t="s">
        <v>2370</v>
      </c>
      <c r="B4225" s="693" t="s">
        <v>6784</v>
      </c>
      <c r="C4225" s="672" t="s">
        <v>929</v>
      </c>
      <c r="D4225" s="673">
        <v>41325</v>
      </c>
      <c r="E4225" s="674">
        <v>10</v>
      </c>
      <c r="F4225" s="675">
        <v>0.1</v>
      </c>
      <c r="G4225" s="676">
        <v>1827.99</v>
      </c>
      <c r="H4225" s="929">
        <v>182.79900000000001</v>
      </c>
      <c r="I4225" s="929">
        <v>913.995</v>
      </c>
      <c r="J4225" s="689">
        <f t="shared" si="66"/>
        <v>913.995</v>
      </c>
    </row>
    <row r="4226" spans="1:10" ht="12.75" customHeight="1" x14ac:dyDescent="0.2">
      <c r="A4226" s="681" t="s">
        <v>2372</v>
      </c>
      <c r="B4226" s="693" t="s">
        <v>6785</v>
      </c>
      <c r="C4226" s="672" t="s">
        <v>1070</v>
      </c>
      <c r="D4226" s="673">
        <v>41325</v>
      </c>
      <c r="E4226" s="674">
        <v>10</v>
      </c>
      <c r="F4226" s="675">
        <v>0.1</v>
      </c>
      <c r="G4226" s="676">
        <v>2197.89</v>
      </c>
      <c r="H4226" s="929">
        <v>219.78900000000002</v>
      </c>
      <c r="I4226" s="929">
        <v>1098.9449999999999</v>
      </c>
      <c r="J4226" s="689">
        <f t="shared" si="66"/>
        <v>1098.9449999999999</v>
      </c>
    </row>
    <row r="4227" spans="1:10" ht="12.75" customHeight="1" x14ac:dyDescent="0.2">
      <c r="A4227" s="681" t="s">
        <v>2372</v>
      </c>
      <c r="B4227" s="693" t="s">
        <v>6786</v>
      </c>
      <c r="C4227" s="672" t="s">
        <v>1078</v>
      </c>
      <c r="D4227" s="673">
        <v>41325</v>
      </c>
      <c r="E4227" s="674">
        <v>10</v>
      </c>
      <c r="F4227" s="675">
        <v>0.1</v>
      </c>
      <c r="G4227" s="676">
        <v>2309</v>
      </c>
      <c r="H4227" s="929">
        <v>230.90000000000006</v>
      </c>
      <c r="I4227" s="929">
        <v>1154.5000000000002</v>
      </c>
      <c r="J4227" s="689">
        <f t="shared" si="66"/>
        <v>1154.4999999999998</v>
      </c>
    </row>
    <row r="4228" spans="1:10" ht="12.75" customHeight="1" x14ac:dyDescent="0.2">
      <c r="A4228" s="681" t="s">
        <v>2370</v>
      </c>
      <c r="B4228" s="693" t="s">
        <v>6787</v>
      </c>
      <c r="C4228" s="672" t="s">
        <v>786</v>
      </c>
      <c r="D4228" s="673">
        <v>41325</v>
      </c>
      <c r="E4228" s="674">
        <v>10</v>
      </c>
      <c r="F4228" s="675">
        <v>0.1</v>
      </c>
      <c r="G4228" s="676">
        <v>2415</v>
      </c>
      <c r="H4228" s="929">
        <v>241.5</v>
      </c>
      <c r="I4228" s="929">
        <v>1207.5</v>
      </c>
      <c r="J4228" s="689">
        <f t="shared" si="66"/>
        <v>1207.5</v>
      </c>
    </row>
    <row r="4229" spans="1:10" ht="12.75" customHeight="1" x14ac:dyDescent="0.2">
      <c r="A4229" s="681" t="s">
        <v>2370</v>
      </c>
      <c r="B4229" s="693" t="s">
        <v>6788</v>
      </c>
      <c r="C4229" s="672" t="s">
        <v>786</v>
      </c>
      <c r="D4229" s="673">
        <v>41325</v>
      </c>
      <c r="E4229" s="674">
        <v>10</v>
      </c>
      <c r="F4229" s="675">
        <v>0.1</v>
      </c>
      <c r="G4229" s="676">
        <v>2700</v>
      </c>
      <c r="H4229" s="929">
        <v>270</v>
      </c>
      <c r="I4229" s="929">
        <v>1350</v>
      </c>
      <c r="J4229" s="689">
        <f t="shared" si="66"/>
        <v>1350</v>
      </c>
    </row>
    <row r="4230" spans="1:10" ht="12.75" customHeight="1" x14ac:dyDescent="0.2">
      <c r="A4230" s="681" t="s">
        <v>2370</v>
      </c>
      <c r="B4230" s="693" t="s">
        <v>6789</v>
      </c>
      <c r="C4230" s="672" t="s">
        <v>924</v>
      </c>
      <c r="D4230" s="673">
        <v>41325</v>
      </c>
      <c r="E4230" s="674">
        <v>10</v>
      </c>
      <c r="F4230" s="675">
        <v>0.1</v>
      </c>
      <c r="G4230" s="676">
        <v>2939.97</v>
      </c>
      <c r="H4230" s="929">
        <v>293.99700000000001</v>
      </c>
      <c r="I4230" s="929">
        <v>1469.9850000000001</v>
      </c>
      <c r="J4230" s="689">
        <f t="shared" si="66"/>
        <v>1469.9849999999997</v>
      </c>
    </row>
    <row r="4231" spans="1:10" ht="12.75" customHeight="1" x14ac:dyDescent="0.2">
      <c r="A4231" s="681" t="s">
        <v>2370</v>
      </c>
      <c r="B4231" s="693" t="s">
        <v>6790</v>
      </c>
      <c r="C4231" s="672" t="s">
        <v>921</v>
      </c>
      <c r="D4231" s="673">
        <v>41325</v>
      </c>
      <c r="E4231" s="674">
        <v>10</v>
      </c>
      <c r="F4231" s="675">
        <v>0.1</v>
      </c>
      <c r="G4231" s="676">
        <v>3114.7</v>
      </c>
      <c r="H4231" s="929">
        <v>311.46999999999986</v>
      </c>
      <c r="I4231" s="929">
        <v>1557.3499999999997</v>
      </c>
      <c r="J4231" s="689">
        <f t="shared" ref="J4231:J4294" si="67">G4231-I4231</f>
        <v>1557.3500000000001</v>
      </c>
    </row>
    <row r="4232" spans="1:10" ht="12.75" customHeight="1" x14ac:dyDescent="0.2">
      <c r="A4232" s="681" t="s">
        <v>2370</v>
      </c>
      <c r="B4232" s="693" t="s">
        <v>6791</v>
      </c>
      <c r="C4232" s="672" t="s">
        <v>798</v>
      </c>
      <c r="D4232" s="673">
        <v>41325</v>
      </c>
      <c r="E4232" s="674">
        <v>10</v>
      </c>
      <c r="F4232" s="675">
        <v>0.1</v>
      </c>
      <c r="G4232" s="676">
        <v>3223.59</v>
      </c>
      <c r="H4232" s="929">
        <v>322.35899999999998</v>
      </c>
      <c r="I4232" s="929">
        <v>1611.7950000000001</v>
      </c>
      <c r="J4232" s="689">
        <f t="shared" si="67"/>
        <v>1611.7950000000001</v>
      </c>
    </row>
    <row r="4233" spans="1:10" ht="12.75" customHeight="1" x14ac:dyDescent="0.2">
      <c r="A4233" s="681" t="s">
        <v>2372</v>
      </c>
      <c r="B4233" s="693" t="s">
        <v>6792</v>
      </c>
      <c r="C4233" s="672" t="s">
        <v>1063</v>
      </c>
      <c r="D4233" s="673">
        <v>41325</v>
      </c>
      <c r="E4233" s="674">
        <v>10</v>
      </c>
      <c r="F4233" s="675">
        <v>0.1</v>
      </c>
      <c r="G4233" s="676">
        <v>3362.84</v>
      </c>
      <c r="H4233" s="929">
        <v>336.28399999999993</v>
      </c>
      <c r="I4233" s="929">
        <v>1681.4199999999998</v>
      </c>
      <c r="J4233" s="689">
        <f t="shared" si="67"/>
        <v>1681.4200000000003</v>
      </c>
    </row>
    <row r="4234" spans="1:10" ht="12.75" customHeight="1" x14ac:dyDescent="0.2">
      <c r="A4234" s="681" t="s">
        <v>2370</v>
      </c>
      <c r="B4234" s="693" t="s">
        <v>6793</v>
      </c>
      <c r="C4234" s="672" t="s">
        <v>865</v>
      </c>
      <c r="D4234" s="673">
        <v>41325</v>
      </c>
      <c r="E4234" s="674">
        <v>10</v>
      </c>
      <c r="F4234" s="675">
        <v>0.1</v>
      </c>
      <c r="G4234" s="676">
        <v>3480</v>
      </c>
      <c r="H4234" s="929">
        <v>348</v>
      </c>
      <c r="I4234" s="929">
        <v>1740</v>
      </c>
      <c r="J4234" s="689">
        <f t="shared" si="67"/>
        <v>1740</v>
      </c>
    </row>
    <row r="4235" spans="1:10" ht="12.75" customHeight="1" x14ac:dyDescent="0.2">
      <c r="A4235" s="681" t="s">
        <v>2370</v>
      </c>
      <c r="B4235" s="693" t="s">
        <v>6794</v>
      </c>
      <c r="C4235" s="672" t="s">
        <v>787</v>
      </c>
      <c r="D4235" s="673">
        <v>41325</v>
      </c>
      <c r="E4235" s="674">
        <v>10</v>
      </c>
      <c r="F4235" s="675">
        <v>0.1</v>
      </c>
      <c r="G4235" s="676">
        <v>3500</v>
      </c>
      <c r="H4235" s="929">
        <v>350.00000000000006</v>
      </c>
      <c r="I4235" s="929">
        <v>1750</v>
      </c>
      <c r="J4235" s="689">
        <f t="shared" si="67"/>
        <v>1750</v>
      </c>
    </row>
    <row r="4236" spans="1:10" ht="12.75" customHeight="1" x14ac:dyDescent="0.2">
      <c r="A4236" s="681" t="s">
        <v>2372</v>
      </c>
      <c r="B4236" s="693" t="s">
        <v>6795</v>
      </c>
      <c r="C4236" s="672" t="s">
        <v>1008</v>
      </c>
      <c r="D4236" s="673">
        <v>41325</v>
      </c>
      <c r="E4236" s="674">
        <v>10</v>
      </c>
      <c r="F4236" s="675">
        <v>0.1</v>
      </c>
      <c r="G4236" s="676">
        <v>3500</v>
      </c>
      <c r="H4236" s="929">
        <v>350.00000000000006</v>
      </c>
      <c r="I4236" s="929">
        <v>1750</v>
      </c>
      <c r="J4236" s="689">
        <f t="shared" si="67"/>
        <v>1750</v>
      </c>
    </row>
    <row r="4237" spans="1:10" ht="12.75" customHeight="1" x14ac:dyDescent="0.2">
      <c r="A4237" s="681" t="s">
        <v>2372</v>
      </c>
      <c r="B4237" s="693" t="s">
        <v>6796</v>
      </c>
      <c r="C4237" s="672" t="s">
        <v>1008</v>
      </c>
      <c r="D4237" s="673">
        <v>41325</v>
      </c>
      <c r="E4237" s="674">
        <v>10</v>
      </c>
      <c r="F4237" s="675">
        <v>0.1</v>
      </c>
      <c r="G4237" s="676">
        <v>3500</v>
      </c>
      <c r="H4237" s="929">
        <v>350.00000000000006</v>
      </c>
      <c r="I4237" s="929">
        <v>1750</v>
      </c>
      <c r="J4237" s="689">
        <f t="shared" si="67"/>
        <v>1750</v>
      </c>
    </row>
    <row r="4238" spans="1:10" ht="12.75" customHeight="1" x14ac:dyDescent="0.2">
      <c r="A4238" s="681" t="s">
        <v>2372</v>
      </c>
      <c r="B4238" s="693" t="s">
        <v>6797</v>
      </c>
      <c r="C4238" s="672" t="s">
        <v>1008</v>
      </c>
      <c r="D4238" s="673">
        <v>41325</v>
      </c>
      <c r="E4238" s="674">
        <v>10</v>
      </c>
      <c r="F4238" s="675">
        <v>0.1</v>
      </c>
      <c r="G4238" s="676">
        <v>3500</v>
      </c>
      <c r="H4238" s="929">
        <v>350.00000000000006</v>
      </c>
      <c r="I4238" s="929">
        <v>1750</v>
      </c>
      <c r="J4238" s="689">
        <f t="shared" si="67"/>
        <v>1750</v>
      </c>
    </row>
    <row r="4239" spans="1:10" ht="12.75" customHeight="1" x14ac:dyDescent="0.2">
      <c r="A4239" s="681" t="s">
        <v>2372</v>
      </c>
      <c r="B4239" s="693" t="s">
        <v>6798</v>
      </c>
      <c r="C4239" s="672" t="s">
        <v>1049</v>
      </c>
      <c r="D4239" s="673">
        <v>41325</v>
      </c>
      <c r="E4239" s="674">
        <v>10</v>
      </c>
      <c r="F4239" s="675">
        <v>0.1</v>
      </c>
      <c r="G4239" s="676">
        <v>3683.04</v>
      </c>
      <c r="H4239" s="929">
        <v>368.30400000000003</v>
      </c>
      <c r="I4239" s="929">
        <v>1841.5200000000002</v>
      </c>
      <c r="J4239" s="689">
        <f t="shared" si="67"/>
        <v>1841.5199999999998</v>
      </c>
    </row>
    <row r="4240" spans="1:10" ht="12.75" customHeight="1" x14ac:dyDescent="0.2">
      <c r="A4240" s="681" t="s">
        <v>2372</v>
      </c>
      <c r="B4240" s="693" t="s">
        <v>6799</v>
      </c>
      <c r="C4240" s="672" t="s">
        <v>737</v>
      </c>
      <c r="D4240" s="673">
        <v>41325</v>
      </c>
      <c r="E4240" s="674">
        <v>10</v>
      </c>
      <c r="F4240" s="675">
        <v>0.1</v>
      </c>
      <c r="G4240" s="676">
        <v>3797.49</v>
      </c>
      <c r="H4240" s="929">
        <v>379.74900000000002</v>
      </c>
      <c r="I4240" s="929">
        <v>1898.7450000000001</v>
      </c>
      <c r="J4240" s="689">
        <f t="shared" si="67"/>
        <v>1898.7449999999997</v>
      </c>
    </row>
    <row r="4241" spans="1:10" ht="12.75" customHeight="1" x14ac:dyDescent="0.2">
      <c r="A4241" s="681" t="s">
        <v>2372</v>
      </c>
      <c r="B4241" s="693" t="s">
        <v>6800</v>
      </c>
      <c r="C4241" s="672" t="s">
        <v>737</v>
      </c>
      <c r="D4241" s="673">
        <v>41325</v>
      </c>
      <c r="E4241" s="674">
        <v>10</v>
      </c>
      <c r="F4241" s="675">
        <v>0.1</v>
      </c>
      <c r="G4241" s="676">
        <v>3797.49</v>
      </c>
      <c r="H4241" s="929">
        <v>379.74900000000002</v>
      </c>
      <c r="I4241" s="929">
        <v>1898.7450000000001</v>
      </c>
      <c r="J4241" s="689">
        <f t="shared" si="67"/>
        <v>1898.7449999999997</v>
      </c>
    </row>
    <row r="4242" spans="1:10" ht="12.75" customHeight="1" x14ac:dyDescent="0.2">
      <c r="A4242" s="681" t="s">
        <v>2372</v>
      </c>
      <c r="B4242" s="693" t="s">
        <v>6801</v>
      </c>
      <c r="C4242" s="672" t="s">
        <v>1005</v>
      </c>
      <c r="D4242" s="673">
        <v>41325</v>
      </c>
      <c r="E4242" s="674">
        <v>10</v>
      </c>
      <c r="F4242" s="675">
        <v>0.1</v>
      </c>
      <c r="G4242" s="676">
        <v>4243.58</v>
      </c>
      <c r="H4242" s="929">
        <v>424.35799999999989</v>
      </c>
      <c r="I4242" s="929">
        <v>2121.79</v>
      </c>
      <c r="J4242" s="689">
        <f t="shared" si="67"/>
        <v>2121.79</v>
      </c>
    </row>
    <row r="4243" spans="1:10" ht="12.75" customHeight="1" x14ac:dyDescent="0.2">
      <c r="A4243" s="681" t="s">
        <v>2372</v>
      </c>
      <c r="B4243" s="693" t="s">
        <v>6802</v>
      </c>
      <c r="C4243" s="672" t="s">
        <v>1087</v>
      </c>
      <c r="D4243" s="673">
        <v>41325</v>
      </c>
      <c r="E4243" s="674">
        <v>10</v>
      </c>
      <c r="F4243" s="675">
        <v>0.1</v>
      </c>
      <c r="G4243" s="676">
        <v>4698</v>
      </c>
      <c r="H4243" s="929">
        <v>469.7999999999999</v>
      </c>
      <c r="I4243" s="929">
        <v>2349</v>
      </c>
      <c r="J4243" s="689">
        <f t="shared" si="67"/>
        <v>2349</v>
      </c>
    </row>
    <row r="4244" spans="1:10" ht="12.75" customHeight="1" x14ac:dyDescent="0.2">
      <c r="A4244" s="681" t="s">
        <v>2372</v>
      </c>
      <c r="B4244" s="693" t="s">
        <v>6803</v>
      </c>
      <c r="C4244" s="672" t="s">
        <v>1087</v>
      </c>
      <c r="D4244" s="673">
        <v>41325</v>
      </c>
      <c r="E4244" s="674">
        <v>10</v>
      </c>
      <c r="F4244" s="675">
        <v>0.1</v>
      </c>
      <c r="G4244" s="676">
        <v>4698</v>
      </c>
      <c r="H4244" s="929">
        <v>469.7999999999999</v>
      </c>
      <c r="I4244" s="929">
        <v>2349</v>
      </c>
      <c r="J4244" s="689">
        <f t="shared" si="67"/>
        <v>2349</v>
      </c>
    </row>
    <row r="4245" spans="1:10" ht="12.75" customHeight="1" x14ac:dyDescent="0.2">
      <c r="A4245" s="681" t="s">
        <v>2370</v>
      </c>
      <c r="B4245" s="693" t="s">
        <v>6804</v>
      </c>
      <c r="C4245" s="672" t="s">
        <v>865</v>
      </c>
      <c r="D4245" s="673">
        <v>41325</v>
      </c>
      <c r="E4245" s="674">
        <v>10</v>
      </c>
      <c r="F4245" s="675">
        <v>0.1</v>
      </c>
      <c r="G4245" s="676">
        <v>5220</v>
      </c>
      <c r="H4245" s="929">
        <v>522</v>
      </c>
      <c r="I4245" s="929">
        <v>2610</v>
      </c>
      <c r="J4245" s="689">
        <f t="shared" si="67"/>
        <v>2610</v>
      </c>
    </row>
    <row r="4246" spans="1:10" ht="12.75" customHeight="1" x14ac:dyDescent="0.2">
      <c r="A4246" s="681" t="s">
        <v>2370</v>
      </c>
      <c r="B4246" s="693" t="s">
        <v>6805</v>
      </c>
      <c r="C4246" s="672" t="s">
        <v>918</v>
      </c>
      <c r="D4246" s="673">
        <v>41325</v>
      </c>
      <c r="E4246" s="674">
        <v>10</v>
      </c>
      <c r="F4246" s="675">
        <v>0.1</v>
      </c>
      <c r="G4246" s="676">
        <v>5500</v>
      </c>
      <c r="H4246" s="929">
        <v>549.99999999999989</v>
      </c>
      <c r="I4246" s="929">
        <v>2750</v>
      </c>
      <c r="J4246" s="689">
        <f t="shared" si="67"/>
        <v>2750</v>
      </c>
    </row>
    <row r="4247" spans="1:10" ht="12.75" customHeight="1" x14ac:dyDescent="0.2">
      <c r="A4247" s="681" t="s">
        <v>2370</v>
      </c>
      <c r="B4247" s="693" t="s">
        <v>6806</v>
      </c>
      <c r="C4247" s="672" t="s">
        <v>918</v>
      </c>
      <c r="D4247" s="673">
        <v>41325</v>
      </c>
      <c r="E4247" s="674">
        <v>10</v>
      </c>
      <c r="F4247" s="675">
        <v>0.1</v>
      </c>
      <c r="G4247" s="676">
        <v>5500</v>
      </c>
      <c r="H4247" s="929">
        <v>549.99999999999989</v>
      </c>
      <c r="I4247" s="929">
        <v>2750</v>
      </c>
      <c r="J4247" s="689">
        <f t="shared" si="67"/>
        <v>2750</v>
      </c>
    </row>
    <row r="4248" spans="1:10" ht="12.75" customHeight="1" x14ac:dyDescent="0.2">
      <c r="A4248" s="681" t="s">
        <v>2370</v>
      </c>
      <c r="B4248" s="693" t="s">
        <v>6807</v>
      </c>
      <c r="C4248" s="672" t="s">
        <v>918</v>
      </c>
      <c r="D4248" s="673">
        <v>41325</v>
      </c>
      <c r="E4248" s="674">
        <v>10</v>
      </c>
      <c r="F4248" s="675">
        <v>0.1</v>
      </c>
      <c r="G4248" s="676">
        <v>5500</v>
      </c>
      <c r="H4248" s="929">
        <v>549.99999999999989</v>
      </c>
      <c r="I4248" s="929">
        <v>2750</v>
      </c>
      <c r="J4248" s="689">
        <f t="shared" si="67"/>
        <v>2750</v>
      </c>
    </row>
    <row r="4249" spans="1:10" ht="12.75" customHeight="1" x14ac:dyDescent="0.2">
      <c r="A4249" s="681" t="s">
        <v>2372</v>
      </c>
      <c r="B4249" s="693" t="s">
        <v>6808</v>
      </c>
      <c r="C4249" s="672" t="s">
        <v>1060</v>
      </c>
      <c r="D4249" s="673">
        <v>41325</v>
      </c>
      <c r="E4249" s="674">
        <v>10</v>
      </c>
      <c r="F4249" s="675">
        <v>0.1</v>
      </c>
      <c r="G4249" s="676">
        <v>6333.6</v>
      </c>
      <c r="H4249" s="929">
        <v>633.35999999999979</v>
      </c>
      <c r="I4249" s="929">
        <v>3166.7999999999997</v>
      </c>
      <c r="J4249" s="689">
        <f t="shared" si="67"/>
        <v>3166.8000000000006</v>
      </c>
    </row>
    <row r="4250" spans="1:10" ht="12.75" customHeight="1" x14ac:dyDescent="0.2">
      <c r="A4250" s="681" t="s">
        <v>2370</v>
      </c>
      <c r="B4250" s="693" t="s">
        <v>6809</v>
      </c>
      <c r="C4250" s="672" t="s">
        <v>926</v>
      </c>
      <c r="D4250" s="673">
        <v>41325</v>
      </c>
      <c r="E4250" s="674">
        <v>10</v>
      </c>
      <c r="F4250" s="675">
        <v>0.1</v>
      </c>
      <c r="G4250" s="676">
        <v>7054.23</v>
      </c>
      <c r="H4250" s="929">
        <v>705.42300000000012</v>
      </c>
      <c r="I4250" s="929">
        <v>3527.1150000000007</v>
      </c>
      <c r="J4250" s="689">
        <f t="shared" si="67"/>
        <v>3527.1149999999989</v>
      </c>
    </row>
    <row r="4251" spans="1:10" ht="12.75" customHeight="1" x14ac:dyDescent="0.2">
      <c r="A4251" s="681" t="s">
        <v>2372</v>
      </c>
      <c r="B4251" s="693" t="s">
        <v>6810</v>
      </c>
      <c r="C4251" s="672" t="s">
        <v>737</v>
      </c>
      <c r="D4251" s="673">
        <v>41325</v>
      </c>
      <c r="E4251" s="674">
        <v>10</v>
      </c>
      <c r="F4251" s="675">
        <v>0.1</v>
      </c>
      <c r="G4251" s="676">
        <v>7594.98</v>
      </c>
      <c r="H4251" s="929">
        <v>759.49800000000005</v>
      </c>
      <c r="I4251" s="929">
        <v>3797.4900000000002</v>
      </c>
      <c r="J4251" s="689">
        <f t="shared" si="67"/>
        <v>3797.4899999999993</v>
      </c>
    </row>
    <row r="4252" spans="1:10" ht="12.75" customHeight="1" x14ac:dyDescent="0.2">
      <c r="A4252" s="681" t="s">
        <v>2372</v>
      </c>
      <c r="B4252" s="693" t="s">
        <v>6811</v>
      </c>
      <c r="C4252" s="672" t="s">
        <v>737</v>
      </c>
      <c r="D4252" s="673">
        <v>41325</v>
      </c>
      <c r="E4252" s="674">
        <v>10</v>
      </c>
      <c r="F4252" s="675">
        <v>0.1</v>
      </c>
      <c r="G4252" s="676">
        <v>7594.98</v>
      </c>
      <c r="H4252" s="929">
        <v>759.49800000000005</v>
      </c>
      <c r="I4252" s="929">
        <v>3797.4900000000002</v>
      </c>
      <c r="J4252" s="689">
        <f t="shared" si="67"/>
        <v>3797.4899999999993</v>
      </c>
    </row>
    <row r="4253" spans="1:10" ht="12.75" customHeight="1" x14ac:dyDescent="0.2">
      <c r="A4253" s="681" t="s">
        <v>2372</v>
      </c>
      <c r="B4253" s="693" t="s">
        <v>6812</v>
      </c>
      <c r="C4253" s="672" t="s">
        <v>737</v>
      </c>
      <c r="D4253" s="673">
        <v>41325</v>
      </c>
      <c r="E4253" s="674">
        <v>10</v>
      </c>
      <c r="F4253" s="675">
        <v>0.1</v>
      </c>
      <c r="G4253" s="676">
        <v>7594.98</v>
      </c>
      <c r="H4253" s="929">
        <v>759.49800000000005</v>
      </c>
      <c r="I4253" s="929">
        <v>3797.4900000000002</v>
      </c>
      <c r="J4253" s="689">
        <f t="shared" si="67"/>
        <v>3797.4899999999993</v>
      </c>
    </row>
    <row r="4254" spans="1:10" ht="12.75" customHeight="1" x14ac:dyDescent="0.2">
      <c r="A4254" s="681" t="s">
        <v>2372</v>
      </c>
      <c r="B4254" s="693" t="s">
        <v>6813</v>
      </c>
      <c r="C4254" s="672" t="s">
        <v>737</v>
      </c>
      <c r="D4254" s="673">
        <v>41325</v>
      </c>
      <c r="E4254" s="674">
        <v>10</v>
      </c>
      <c r="F4254" s="675">
        <v>0.1</v>
      </c>
      <c r="G4254" s="676">
        <v>7594.98</v>
      </c>
      <c r="H4254" s="929">
        <v>759.49800000000005</v>
      </c>
      <c r="I4254" s="929">
        <v>3797.4900000000002</v>
      </c>
      <c r="J4254" s="689">
        <f t="shared" si="67"/>
        <v>3797.4899999999993</v>
      </c>
    </row>
    <row r="4255" spans="1:10" ht="12.75" customHeight="1" x14ac:dyDescent="0.2">
      <c r="A4255" s="681" t="s">
        <v>2372</v>
      </c>
      <c r="B4255" s="693" t="s">
        <v>6814</v>
      </c>
      <c r="C4255" s="672" t="s">
        <v>737</v>
      </c>
      <c r="D4255" s="673">
        <v>41325</v>
      </c>
      <c r="E4255" s="674">
        <v>10</v>
      </c>
      <c r="F4255" s="675">
        <v>0.1</v>
      </c>
      <c r="G4255" s="676">
        <v>7594.98</v>
      </c>
      <c r="H4255" s="929">
        <v>759.49800000000005</v>
      </c>
      <c r="I4255" s="929">
        <v>3797.4900000000002</v>
      </c>
      <c r="J4255" s="689">
        <f t="shared" si="67"/>
        <v>3797.4899999999993</v>
      </c>
    </row>
    <row r="4256" spans="1:10" ht="12.75" customHeight="1" x14ac:dyDescent="0.2">
      <c r="A4256" s="681" t="s">
        <v>2372</v>
      </c>
      <c r="B4256" s="693" t="s">
        <v>6815</v>
      </c>
      <c r="C4256" s="672" t="s">
        <v>737</v>
      </c>
      <c r="D4256" s="673">
        <v>41325</v>
      </c>
      <c r="E4256" s="674">
        <v>10</v>
      </c>
      <c r="F4256" s="675">
        <v>0.1</v>
      </c>
      <c r="G4256" s="676">
        <v>7594.98</v>
      </c>
      <c r="H4256" s="929">
        <v>759.49800000000005</v>
      </c>
      <c r="I4256" s="929">
        <v>3797.4900000000002</v>
      </c>
      <c r="J4256" s="689">
        <f t="shared" si="67"/>
        <v>3797.4899999999993</v>
      </c>
    </row>
    <row r="4257" spans="1:10" ht="12.75" customHeight="1" x14ac:dyDescent="0.2">
      <c r="A4257" s="681" t="s">
        <v>2372</v>
      </c>
      <c r="B4257" s="693" t="s">
        <v>6816</v>
      </c>
      <c r="C4257" s="672" t="s">
        <v>737</v>
      </c>
      <c r="D4257" s="673">
        <v>41325</v>
      </c>
      <c r="E4257" s="674">
        <v>10</v>
      </c>
      <c r="F4257" s="675">
        <v>0.1</v>
      </c>
      <c r="G4257" s="676">
        <v>7594.98</v>
      </c>
      <c r="H4257" s="929">
        <v>759.49800000000005</v>
      </c>
      <c r="I4257" s="929">
        <v>3797.4900000000002</v>
      </c>
      <c r="J4257" s="689">
        <f t="shared" si="67"/>
        <v>3797.4899999999993</v>
      </c>
    </row>
    <row r="4258" spans="1:10" ht="12.75" customHeight="1" x14ac:dyDescent="0.2">
      <c r="A4258" s="681" t="s">
        <v>2372</v>
      </c>
      <c r="B4258" s="693" t="s">
        <v>6817</v>
      </c>
      <c r="C4258" s="672" t="s">
        <v>737</v>
      </c>
      <c r="D4258" s="673">
        <v>41325</v>
      </c>
      <c r="E4258" s="674">
        <v>10</v>
      </c>
      <c r="F4258" s="675">
        <v>0.1</v>
      </c>
      <c r="G4258" s="676">
        <v>7594.98</v>
      </c>
      <c r="H4258" s="929">
        <v>759.49800000000005</v>
      </c>
      <c r="I4258" s="929">
        <v>3797.4900000000002</v>
      </c>
      <c r="J4258" s="689">
        <f t="shared" si="67"/>
        <v>3797.4899999999993</v>
      </c>
    </row>
    <row r="4259" spans="1:10" ht="12.75" customHeight="1" x14ac:dyDescent="0.2">
      <c r="A4259" s="681" t="s">
        <v>2372</v>
      </c>
      <c r="B4259" s="693" t="s">
        <v>6818</v>
      </c>
      <c r="C4259" s="672" t="s">
        <v>737</v>
      </c>
      <c r="D4259" s="673">
        <v>41325</v>
      </c>
      <c r="E4259" s="674">
        <v>10</v>
      </c>
      <c r="F4259" s="675">
        <v>0.1</v>
      </c>
      <c r="G4259" s="676">
        <v>7594.98</v>
      </c>
      <c r="H4259" s="929">
        <v>759.49800000000005</v>
      </c>
      <c r="I4259" s="929">
        <v>3797.4900000000002</v>
      </c>
      <c r="J4259" s="689">
        <f t="shared" si="67"/>
        <v>3797.4899999999993</v>
      </c>
    </row>
    <row r="4260" spans="1:10" ht="12.75" customHeight="1" x14ac:dyDescent="0.2">
      <c r="A4260" s="681" t="s">
        <v>2372</v>
      </c>
      <c r="B4260" s="693" t="s">
        <v>6819</v>
      </c>
      <c r="C4260" s="672" t="s">
        <v>737</v>
      </c>
      <c r="D4260" s="673">
        <v>41325</v>
      </c>
      <c r="E4260" s="674">
        <v>10</v>
      </c>
      <c r="F4260" s="675">
        <v>0.1</v>
      </c>
      <c r="G4260" s="676">
        <v>7594.98</v>
      </c>
      <c r="H4260" s="929">
        <v>759.49800000000005</v>
      </c>
      <c r="I4260" s="929">
        <v>3797.4900000000002</v>
      </c>
      <c r="J4260" s="689">
        <f t="shared" si="67"/>
        <v>3797.4899999999993</v>
      </c>
    </row>
    <row r="4261" spans="1:10" ht="12.75" customHeight="1" x14ac:dyDescent="0.2">
      <c r="A4261" s="681" t="s">
        <v>2372</v>
      </c>
      <c r="B4261" s="693" t="s">
        <v>6820</v>
      </c>
      <c r="C4261" s="672" t="s">
        <v>737</v>
      </c>
      <c r="D4261" s="673">
        <v>41325</v>
      </c>
      <c r="E4261" s="674">
        <v>10</v>
      </c>
      <c r="F4261" s="675">
        <v>0.1</v>
      </c>
      <c r="G4261" s="676">
        <v>7594.98</v>
      </c>
      <c r="H4261" s="929">
        <v>759.49800000000005</v>
      </c>
      <c r="I4261" s="929">
        <v>3797.4900000000002</v>
      </c>
      <c r="J4261" s="689">
        <f t="shared" si="67"/>
        <v>3797.4899999999993</v>
      </c>
    </row>
    <row r="4262" spans="1:10" ht="12.75" customHeight="1" x14ac:dyDescent="0.2">
      <c r="A4262" s="681" t="s">
        <v>2372</v>
      </c>
      <c r="B4262" s="693" t="s">
        <v>6821</v>
      </c>
      <c r="C4262" s="672" t="s">
        <v>737</v>
      </c>
      <c r="D4262" s="673">
        <v>41325</v>
      </c>
      <c r="E4262" s="674">
        <v>10</v>
      </c>
      <c r="F4262" s="675">
        <v>0.1</v>
      </c>
      <c r="G4262" s="676">
        <v>7594.98</v>
      </c>
      <c r="H4262" s="929">
        <v>759.49800000000005</v>
      </c>
      <c r="I4262" s="929">
        <v>3797.4900000000002</v>
      </c>
      <c r="J4262" s="689">
        <f t="shared" si="67"/>
        <v>3797.4899999999993</v>
      </c>
    </row>
    <row r="4263" spans="1:10" ht="12.75" customHeight="1" x14ac:dyDescent="0.2">
      <c r="A4263" s="681" t="s">
        <v>2372</v>
      </c>
      <c r="B4263" s="693" t="s">
        <v>6822</v>
      </c>
      <c r="C4263" s="672" t="s">
        <v>737</v>
      </c>
      <c r="D4263" s="673">
        <v>41325</v>
      </c>
      <c r="E4263" s="674">
        <v>10</v>
      </c>
      <c r="F4263" s="675">
        <v>0.1</v>
      </c>
      <c r="G4263" s="676">
        <v>7594.98</v>
      </c>
      <c r="H4263" s="929">
        <v>759.49800000000005</v>
      </c>
      <c r="I4263" s="929">
        <v>3797.4900000000002</v>
      </c>
      <c r="J4263" s="689">
        <f t="shared" si="67"/>
        <v>3797.4899999999993</v>
      </c>
    </row>
    <row r="4264" spans="1:10" ht="12.75" customHeight="1" x14ac:dyDescent="0.2">
      <c r="A4264" s="681" t="s">
        <v>2372</v>
      </c>
      <c r="B4264" s="693" t="s">
        <v>6823</v>
      </c>
      <c r="C4264" s="672" t="s">
        <v>737</v>
      </c>
      <c r="D4264" s="673">
        <v>41325</v>
      </c>
      <c r="E4264" s="674">
        <v>10</v>
      </c>
      <c r="F4264" s="675">
        <v>0.1</v>
      </c>
      <c r="G4264" s="676">
        <v>7594.98</v>
      </c>
      <c r="H4264" s="929">
        <v>759.49800000000005</v>
      </c>
      <c r="I4264" s="929">
        <v>3797.4900000000002</v>
      </c>
      <c r="J4264" s="689">
        <f t="shared" si="67"/>
        <v>3797.4899999999993</v>
      </c>
    </row>
    <row r="4265" spans="1:10" ht="12.75" customHeight="1" x14ac:dyDescent="0.2">
      <c r="A4265" s="681" t="s">
        <v>2372</v>
      </c>
      <c r="B4265" s="693" t="s">
        <v>6824</v>
      </c>
      <c r="C4265" s="672" t="s">
        <v>737</v>
      </c>
      <c r="D4265" s="673">
        <v>41325</v>
      </c>
      <c r="E4265" s="674">
        <v>10</v>
      </c>
      <c r="F4265" s="675">
        <v>0.1</v>
      </c>
      <c r="G4265" s="676">
        <v>7594.98</v>
      </c>
      <c r="H4265" s="929">
        <v>759.49800000000005</v>
      </c>
      <c r="I4265" s="929">
        <v>3797.4900000000002</v>
      </c>
      <c r="J4265" s="689">
        <f t="shared" si="67"/>
        <v>3797.4899999999993</v>
      </c>
    </row>
    <row r="4266" spans="1:10" ht="12.75" customHeight="1" x14ac:dyDescent="0.2">
      <c r="A4266" s="681" t="s">
        <v>2372</v>
      </c>
      <c r="B4266" s="693" t="s">
        <v>6825</v>
      </c>
      <c r="C4266" s="672" t="s">
        <v>737</v>
      </c>
      <c r="D4266" s="673">
        <v>41325</v>
      </c>
      <c r="E4266" s="674">
        <v>10</v>
      </c>
      <c r="F4266" s="675">
        <v>0.1</v>
      </c>
      <c r="G4266" s="676">
        <v>7594.98</v>
      </c>
      <c r="H4266" s="929">
        <v>759.49800000000005</v>
      </c>
      <c r="I4266" s="929">
        <v>3797.4900000000002</v>
      </c>
      <c r="J4266" s="689">
        <f t="shared" si="67"/>
        <v>3797.4899999999993</v>
      </c>
    </row>
    <row r="4267" spans="1:10" ht="12.75" customHeight="1" x14ac:dyDescent="0.2">
      <c r="A4267" s="681" t="s">
        <v>2372</v>
      </c>
      <c r="B4267" s="693" t="s">
        <v>6826</v>
      </c>
      <c r="C4267" s="672" t="s">
        <v>737</v>
      </c>
      <c r="D4267" s="673">
        <v>41325</v>
      </c>
      <c r="E4267" s="674">
        <v>10</v>
      </c>
      <c r="F4267" s="675">
        <v>0.1</v>
      </c>
      <c r="G4267" s="676">
        <v>7594.98</v>
      </c>
      <c r="H4267" s="929">
        <v>759.49800000000005</v>
      </c>
      <c r="I4267" s="929">
        <v>3797.4900000000002</v>
      </c>
      <c r="J4267" s="689">
        <f t="shared" si="67"/>
        <v>3797.4899999999993</v>
      </c>
    </row>
    <row r="4268" spans="1:10" ht="12.75" customHeight="1" x14ac:dyDescent="0.2">
      <c r="A4268" s="681" t="s">
        <v>2372</v>
      </c>
      <c r="B4268" s="693" t="s">
        <v>6827</v>
      </c>
      <c r="C4268" s="672" t="s">
        <v>1007</v>
      </c>
      <c r="D4268" s="673">
        <v>41325</v>
      </c>
      <c r="E4268" s="674">
        <v>10</v>
      </c>
      <c r="F4268" s="675">
        <v>0.1</v>
      </c>
      <c r="G4268" s="676">
        <v>7800</v>
      </c>
      <c r="H4268" s="929">
        <v>780</v>
      </c>
      <c r="I4268" s="929">
        <v>3900</v>
      </c>
      <c r="J4268" s="689">
        <f t="shared" si="67"/>
        <v>3900</v>
      </c>
    </row>
    <row r="4269" spans="1:10" ht="12.75" customHeight="1" x14ac:dyDescent="0.2">
      <c r="A4269" s="681" t="s">
        <v>2372</v>
      </c>
      <c r="B4269" s="693" t="s">
        <v>6828</v>
      </c>
      <c r="C4269" s="672" t="s">
        <v>1089</v>
      </c>
      <c r="D4269" s="673">
        <v>41325</v>
      </c>
      <c r="E4269" s="674">
        <v>10</v>
      </c>
      <c r="F4269" s="675">
        <v>0.1</v>
      </c>
      <c r="G4269" s="676">
        <v>8120</v>
      </c>
      <c r="H4269" s="929">
        <v>811.99999999999989</v>
      </c>
      <c r="I4269" s="929">
        <v>4060</v>
      </c>
      <c r="J4269" s="689">
        <f t="shared" si="67"/>
        <v>4060</v>
      </c>
    </row>
    <row r="4270" spans="1:10" ht="12.75" customHeight="1" x14ac:dyDescent="0.2">
      <c r="A4270" s="681" t="s">
        <v>2372</v>
      </c>
      <c r="B4270" s="693" t="s">
        <v>6829</v>
      </c>
      <c r="C4270" s="672" t="s">
        <v>1089</v>
      </c>
      <c r="D4270" s="673">
        <v>41325</v>
      </c>
      <c r="E4270" s="674">
        <v>10</v>
      </c>
      <c r="F4270" s="675">
        <v>0.1</v>
      </c>
      <c r="G4270" s="676">
        <v>8120</v>
      </c>
      <c r="H4270" s="929">
        <v>811.99999999999989</v>
      </c>
      <c r="I4270" s="929">
        <v>4060</v>
      </c>
      <c r="J4270" s="689">
        <f t="shared" si="67"/>
        <v>4060</v>
      </c>
    </row>
    <row r="4271" spans="1:10" ht="12.75" customHeight="1" x14ac:dyDescent="0.2">
      <c r="A4271" s="681" t="s">
        <v>2372</v>
      </c>
      <c r="B4271" s="693" t="s">
        <v>6830</v>
      </c>
      <c r="C4271" s="672" t="s">
        <v>1006</v>
      </c>
      <c r="D4271" s="673">
        <v>41325</v>
      </c>
      <c r="E4271" s="674">
        <v>10</v>
      </c>
      <c r="F4271" s="675">
        <v>0.1</v>
      </c>
      <c r="G4271" s="676">
        <v>9275.7199999999993</v>
      </c>
      <c r="H4271" s="929">
        <v>927.57199999999966</v>
      </c>
      <c r="I4271" s="929">
        <v>4637.8599999999988</v>
      </c>
      <c r="J4271" s="689">
        <f t="shared" si="67"/>
        <v>4637.8600000000006</v>
      </c>
    </row>
    <row r="4272" spans="1:10" ht="12.75" customHeight="1" x14ac:dyDescent="0.2">
      <c r="A4272" s="681" t="s">
        <v>2372</v>
      </c>
      <c r="B4272" s="693" t="s">
        <v>6831</v>
      </c>
      <c r="C4272" s="672" t="s">
        <v>1060</v>
      </c>
      <c r="D4272" s="673">
        <v>41325</v>
      </c>
      <c r="E4272" s="674">
        <v>10</v>
      </c>
      <c r="F4272" s="675">
        <v>0.1</v>
      </c>
      <c r="G4272" s="676">
        <v>12359.99</v>
      </c>
      <c r="H4272" s="929">
        <v>1235.999</v>
      </c>
      <c r="I4272" s="929">
        <v>6179.9949999999999</v>
      </c>
      <c r="J4272" s="689">
        <f t="shared" si="67"/>
        <v>6179.9949999999999</v>
      </c>
    </row>
    <row r="4273" spans="1:10" ht="12.75" customHeight="1" x14ac:dyDescent="0.2">
      <c r="A4273" s="681" t="s">
        <v>2372</v>
      </c>
      <c r="B4273" s="693" t="s">
        <v>6832</v>
      </c>
      <c r="C4273" s="672" t="s">
        <v>1077</v>
      </c>
      <c r="D4273" s="673">
        <v>41325</v>
      </c>
      <c r="E4273" s="674">
        <v>10</v>
      </c>
      <c r="F4273" s="675">
        <v>0.1</v>
      </c>
      <c r="G4273" s="676">
        <v>13563.08</v>
      </c>
      <c r="H4273" s="929">
        <v>1356.308</v>
      </c>
      <c r="I4273" s="929">
        <v>6781.54</v>
      </c>
      <c r="J4273" s="689">
        <f t="shared" si="67"/>
        <v>6781.54</v>
      </c>
    </row>
    <row r="4274" spans="1:10" ht="12.75" customHeight="1" x14ac:dyDescent="0.2">
      <c r="A4274" s="681" t="s">
        <v>2372</v>
      </c>
      <c r="B4274" s="693" t="s">
        <v>6833</v>
      </c>
      <c r="C4274" s="672" t="s">
        <v>1053</v>
      </c>
      <c r="D4274" s="673">
        <v>41325</v>
      </c>
      <c r="E4274" s="674">
        <v>10</v>
      </c>
      <c r="F4274" s="675">
        <v>0.1</v>
      </c>
      <c r="G4274" s="676">
        <v>30823.52</v>
      </c>
      <c r="H4274" s="929">
        <v>3082.3520000000008</v>
      </c>
      <c r="I4274" s="929">
        <v>15411.760000000002</v>
      </c>
      <c r="J4274" s="689">
        <f t="shared" si="67"/>
        <v>15411.759999999998</v>
      </c>
    </row>
    <row r="4275" spans="1:10" ht="12.75" customHeight="1" x14ac:dyDescent="0.2">
      <c r="A4275" s="681" t="s">
        <v>2372</v>
      </c>
      <c r="B4275" s="693" t="s">
        <v>6834</v>
      </c>
      <c r="C4275" s="672" t="s">
        <v>1073</v>
      </c>
      <c r="D4275" s="673">
        <v>41325</v>
      </c>
      <c r="E4275" s="674">
        <v>10</v>
      </c>
      <c r="F4275" s="675">
        <v>0.1</v>
      </c>
      <c r="G4275" s="676">
        <v>95236</v>
      </c>
      <c r="H4275" s="929">
        <v>9523.6</v>
      </c>
      <c r="I4275" s="929">
        <v>47618</v>
      </c>
      <c r="J4275" s="689">
        <f t="shared" si="67"/>
        <v>47618</v>
      </c>
    </row>
    <row r="4276" spans="1:10" ht="12.75" customHeight="1" x14ac:dyDescent="0.2">
      <c r="A4276" s="681" t="s">
        <v>2370</v>
      </c>
      <c r="B4276" s="693" t="s">
        <v>6835</v>
      </c>
      <c r="C4276" s="672" t="s">
        <v>821</v>
      </c>
      <c r="D4276" s="673">
        <v>41684</v>
      </c>
      <c r="E4276" s="674">
        <v>10</v>
      </c>
      <c r="F4276" s="675">
        <v>0.1</v>
      </c>
      <c r="G4276" s="676">
        <v>362.14</v>
      </c>
      <c r="H4276" s="929">
        <v>36.213999999999999</v>
      </c>
      <c r="I4276" s="929">
        <v>175.0343</v>
      </c>
      <c r="J4276" s="689">
        <f t="shared" si="67"/>
        <v>187.10569999999998</v>
      </c>
    </row>
    <row r="4277" spans="1:10" ht="12.75" customHeight="1" x14ac:dyDescent="0.2">
      <c r="A4277" s="681" t="s">
        <v>2370</v>
      </c>
      <c r="B4277" s="693" t="s">
        <v>6836</v>
      </c>
      <c r="C4277" s="672" t="s">
        <v>821</v>
      </c>
      <c r="D4277" s="673">
        <v>41684</v>
      </c>
      <c r="E4277" s="674">
        <v>10</v>
      </c>
      <c r="F4277" s="675">
        <v>0.1</v>
      </c>
      <c r="G4277" s="676">
        <v>362.14</v>
      </c>
      <c r="H4277" s="929">
        <v>36.213999999999999</v>
      </c>
      <c r="I4277" s="929">
        <v>175.0343</v>
      </c>
      <c r="J4277" s="689">
        <f t="shared" si="67"/>
        <v>187.10569999999998</v>
      </c>
    </row>
    <row r="4278" spans="1:10" ht="12.75" customHeight="1" x14ac:dyDescent="0.2">
      <c r="A4278" s="681" t="s">
        <v>2370</v>
      </c>
      <c r="B4278" s="693" t="s">
        <v>6837</v>
      </c>
      <c r="C4278" s="672" t="s">
        <v>821</v>
      </c>
      <c r="D4278" s="673">
        <v>41684</v>
      </c>
      <c r="E4278" s="674">
        <v>10</v>
      </c>
      <c r="F4278" s="675">
        <v>0.1</v>
      </c>
      <c r="G4278" s="676">
        <v>362.14</v>
      </c>
      <c r="H4278" s="929">
        <v>36.213999999999999</v>
      </c>
      <c r="I4278" s="929">
        <v>175.0343</v>
      </c>
      <c r="J4278" s="689">
        <f t="shared" si="67"/>
        <v>187.10569999999998</v>
      </c>
    </row>
    <row r="4279" spans="1:10" ht="12.75" customHeight="1" x14ac:dyDescent="0.2">
      <c r="A4279" s="681" t="s">
        <v>2370</v>
      </c>
      <c r="B4279" s="693" t="s">
        <v>6838</v>
      </c>
      <c r="C4279" s="672" t="s">
        <v>821</v>
      </c>
      <c r="D4279" s="673">
        <v>41684</v>
      </c>
      <c r="E4279" s="674">
        <v>10</v>
      </c>
      <c r="F4279" s="675">
        <v>0.1</v>
      </c>
      <c r="G4279" s="676">
        <v>362.14</v>
      </c>
      <c r="H4279" s="929">
        <v>36.213999999999999</v>
      </c>
      <c r="I4279" s="929">
        <v>175.0343</v>
      </c>
      <c r="J4279" s="689">
        <f t="shared" si="67"/>
        <v>187.10569999999998</v>
      </c>
    </row>
    <row r="4280" spans="1:10" ht="12.75" customHeight="1" x14ac:dyDescent="0.2">
      <c r="A4280" s="681" t="s">
        <v>2370</v>
      </c>
      <c r="B4280" s="693" t="s">
        <v>6839</v>
      </c>
      <c r="C4280" s="672" t="s">
        <v>821</v>
      </c>
      <c r="D4280" s="673">
        <v>41684</v>
      </c>
      <c r="E4280" s="674">
        <v>10</v>
      </c>
      <c r="F4280" s="675">
        <v>0.1</v>
      </c>
      <c r="G4280" s="676">
        <v>362.14</v>
      </c>
      <c r="H4280" s="929">
        <v>36.213999999999999</v>
      </c>
      <c r="I4280" s="929">
        <v>175.0343</v>
      </c>
      <c r="J4280" s="689">
        <f t="shared" si="67"/>
        <v>187.10569999999998</v>
      </c>
    </row>
    <row r="4281" spans="1:10" ht="12.75" customHeight="1" x14ac:dyDescent="0.2">
      <c r="A4281" s="681" t="s">
        <v>2370</v>
      </c>
      <c r="B4281" s="693" t="s">
        <v>6840</v>
      </c>
      <c r="C4281" s="672" t="s">
        <v>821</v>
      </c>
      <c r="D4281" s="673">
        <v>41684</v>
      </c>
      <c r="E4281" s="674">
        <v>10</v>
      </c>
      <c r="F4281" s="675">
        <v>0.1</v>
      </c>
      <c r="G4281" s="676">
        <v>362.14</v>
      </c>
      <c r="H4281" s="929">
        <v>36.213999999999999</v>
      </c>
      <c r="I4281" s="929">
        <v>175.0343</v>
      </c>
      <c r="J4281" s="689">
        <f t="shared" si="67"/>
        <v>187.10569999999998</v>
      </c>
    </row>
    <row r="4282" spans="1:10" ht="12.75" customHeight="1" x14ac:dyDescent="0.2">
      <c r="A4282" s="681" t="s">
        <v>2370</v>
      </c>
      <c r="B4282" s="693" t="s">
        <v>6841</v>
      </c>
      <c r="C4282" s="672" t="s">
        <v>821</v>
      </c>
      <c r="D4282" s="673">
        <v>41684</v>
      </c>
      <c r="E4282" s="674">
        <v>10</v>
      </c>
      <c r="F4282" s="675">
        <v>0.1</v>
      </c>
      <c r="G4282" s="676">
        <v>362.14</v>
      </c>
      <c r="H4282" s="929">
        <v>36.213999999999999</v>
      </c>
      <c r="I4282" s="929">
        <v>175.0343</v>
      </c>
      <c r="J4282" s="689">
        <f t="shared" si="67"/>
        <v>187.10569999999998</v>
      </c>
    </row>
    <row r="4283" spans="1:10" ht="12.75" customHeight="1" x14ac:dyDescent="0.2">
      <c r="A4283" s="681" t="s">
        <v>2370</v>
      </c>
      <c r="B4283" s="693" t="s">
        <v>6842</v>
      </c>
      <c r="C4283" s="672" t="s">
        <v>821</v>
      </c>
      <c r="D4283" s="673">
        <v>41684</v>
      </c>
      <c r="E4283" s="674">
        <v>10</v>
      </c>
      <c r="F4283" s="675">
        <v>0.1</v>
      </c>
      <c r="G4283" s="676">
        <v>362.14</v>
      </c>
      <c r="H4283" s="929">
        <v>36.213999999999999</v>
      </c>
      <c r="I4283" s="929">
        <v>175.0343</v>
      </c>
      <c r="J4283" s="689">
        <f t="shared" si="67"/>
        <v>187.10569999999998</v>
      </c>
    </row>
    <row r="4284" spans="1:10" ht="12.75" customHeight="1" x14ac:dyDescent="0.2">
      <c r="A4284" s="681" t="s">
        <v>2370</v>
      </c>
      <c r="B4284" s="693" t="s">
        <v>6843</v>
      </c>
      <c r="C4284" s="672" t="s">
        <v>821</v>
      </c>
      <c r="D4284" s="673">
        <v>41684</v>
      </c>
      <c r="E4284" s="674">
        <v>10</v>
      </c>
      <c r="F4284" s="675">
        <v>0.1</v>
      </c>
      <c r="G4284" s="676">
        <v>362.14</v>
      </c>
      <c r="H4284" s="929">
        <v>36.213999999999999</v>
      </c>
      <c r="I4284" s="929">
        <v>175.0343</v>
      </c>
      <c r="J4284" s="689">
        <f t="shared" si="67"/>
        <v>187.10569999999998</v>
      </c>
    </row>
    <row r="4285" spans="1:10" ht="12.75" customHeight="1" x14ac:dyDescent="0.2">
      <c r="A4285" s="681" t="s">
        <v>2370</v>
      </c>
      <c r="B4285" s="693" t="s">
        <v>6844</v>
      </c>
      <c r="C4285" s="672" t="s">
        <v>821</v>
      </c>
      <c r="D4285" s="673">
        <v>41684</v>
      </c>
      <c r="E4285" s="674">
        <v>10</v>
      </c>
      <c r="F4285" s="675">
        <v>0.1</v>
      </c>
      <c r="G4285" s="676">
        <v>362.14</v>
      </c>
      <c r="H4285" s="929">
        <v>36.213999999999999</v>
      </c>
      <c r="I4285" s="929">
        <v>175.0343</v>
      </c>
      <c r="J4285" s="689">
        <f t="shared" si="67"/>
        <v>187.10569999999998</v>
      </c>
    </row>
    <row r="4286" spans="1:10" ht="12.75" customHeight="1" x14ac:dyDescent="0.2">
      <c r="A4286" s="681" t="s">
        <v>2370</v>
      </c>
      <c r="B4286" s="693" t="s">
        <v>6845</v>
      </c>
      <c r="C4286" s="672" t="s">
        <v>821</v>
      </c>
      <c r="D4286" s="673">
        <v>41684</v>
      </c>
      <c r="E4286" s="674">
        <v>10</v>
      </c>
      <c r="F4286" s="675">
        <v>0.1</v>
      </c>
      <c r="G4286" s="676">
        <v>362.14</v>
      </c>
      <c r="H4286" s="929">
        <v>36.213999999999999</v>
      </c>
      <c r="I4286" s="929">
        <v>175.0343</v>
      </c>
      <c r="J4286" s="689">
        <f t="shared" si="67"/>
        <v>187.10569999999998</v>
      </c>
    </row>
    <row r="4287" spans="1:10" ht="12.75" customHeight="1" x14ac:dyDescent="0.2">
      <c r="A4287" s="681" t="s">
        <v>2370</v>
      </c>
      <c r="B4287" s="693" t="s">
        <v>6846</v>
      </c>
      <c r="C4287" s="672" t="s">
        <v>821</v>
      </c>
      <c r="D4287" s="673">
        <v>41684</v>
      </c>
      <c r="E4287" s="674">
        <v>10</v>
      </c>
      <c r="F4287" s="675">
        <v>0.1</v>
      </c>
      <c r="G4287" s="676">
        <v>362.14</v>
      </c>
      <c r="H4287" s="929">
        <v>36.213999999999999</v>
      </c>
      <c r="I4287" s="929">
        <v>175.0343</v>
      </c>
      <c r="J4287" s="689">
        <f t="shared" si="67"/>
        <v>187.10569999999998</v>
      </c>
    </row>
    <row r="4288" spans="1:10" ht="12.75" customHeight="1" x14ac:dyDescent="0.2">
      <c r="A4288" s="681" t="s">
        <v>2370</v>
      </c>
      <c r="B4288" s="693" t="s">
        <v>6847</v>
      </c>
      <c r="C4288" s="672" t="s">
        <v>821</v>
      </c>
      <c r="D4288" s="673">
        <v>41684</v>
      </c>
      <c r="E4288" s="674">
        <v>10</v>
      </c>
      <c r="F4288" s="675">
        <v>0.1</v>
      </c>
      <c r="G4288" s="676">
        <v>362.14</v>
      </c>
      <c r="H4288" s="929">
        <v>36.213999999999999</v>
      </c>
      <c r="I4288" s="929">
        <v>175.0343</v>
      </c>
      <c r="J4288" s="689">
        <f t="shared" si="67"/>
        <v>187.10569999999998</v>
      </c>
    </row>
    <row r="4289" spans="1:10" ht="12.75" customHeight="1" x14ac:dyDescent="0.2">
      <c r="A4289" s="681" t="s">
        <v>2370</v>
      </c>
      <c r="B4289" s="693" t="s">
        <v>6848</v>
      </c>
      <c r="C4289" s="672" t="s">
        <v>821</v>
      </c>
      <c r="D4289" s="673">
        <v>41684</v>
      </c>
      <c r="E4289" s="674">
        <v>10</v>
      </c>
      <c r="F4289" s="675">
        <v>0.1</v>
      </c>
      <c r="G4289" s="676">
        <v>362.14</v>
      </c>
      <c r="H4289" s="929">
        <v>36.213999999999999</v>
      </c>
      <c r="I4289" s="929">
        <v>175.0343</v>
      </c>
      <c r="J4289" s="689">
        <f t="shared" si="67"/>
        <v>187.10569999999998</v>
      </c>
    </row>
    <row r="4290" spans="1:10" ht="12.75" customHeight="1" x14ac:dyDescent="0.2">
      <c r="A4290" s="681" t="s">
        <v>2370</v>
      </c>
      <c r="B4290" s="693" t="s">
        <v>6849</v>
      </c>
      <c r="C4290" s="672" t="s">
        <v>821</v>
      </c>
      <c r="D4290" s="673">
        <v>41684</v>
      </c>
      <c r="E4290" s="674">
        <v>10</v>
      </c>
      <c r="F4290" s="675">
        <v>0.1</v>
      </c>
      <c r="G4290" s="676">
        <v>362.14</v>
      </c>
      <c r="H4290" s="929">
        <v>36.213999999999999</v>
      </c>
      <c r="I4290" s="929">
        <v>175.0343</v>
      </c>
      <c r="J4290" s="689">
        <f t="shared" si="67"/>
        <v>187.10569999999998</v>
      </c>
    </row>
    <row r="4291" spans="1:10" ht="12.75" customHeight="1" x14ac:dyDescent="0.2">
      <c r="A4291" s="681" t="s">
        <v>2370</v>
      </c>
      <c r="B4291" s="693" t="s">
        <v>6850</v>
      </c>
      <c r="C4291" s="672" t="s">
        <v>821</v>
      </c>
      <c r="D4291" s="673">
        <v>41684</v>
      </c>
      <c r="E4291" s="674">
        <v>10</v>
      </c>
      <c r="F4291" s="675">
        <v>0.1</v>
      </c>
      <c r="G4291" s="676">
        <v>362.14</v>
      </c>
      <c r="H4291" s="929">
        <v>36.213999999999999</v>
      </c>
      <c r="I4291" s="929">
        <v>175.0343</v>
      </c>
      <c r="J4291" s="689">
        <f t="shared" si="67"/>
        <v>187.10569999999998</v>
      </c>
    </row>
    <row r="4292" spans="1:10" ht="12.75" customHeight="1" x14ac:dyDescent="0.2">
      <c r="A4292" s="681" t="s">
        <v>2370</v>
      </c>
      <c r="B4292" s="693" t="s">
        <v>6851</v>
      </c>
      <c r="C4292" s="672" t="s">
        <v>821</v>
      </c>
      <c r="D4292" s="673">
        <v>41684</v>
      </c>
      <c r="E4292" s="674">
        <v>10</v>
      </c>
      <c r="F4292" s="675">
        <v>0.1</v>
      </c>
      <c r="G4292" s="676">
        <v>362.14</v>
      </c>
      <c r="H4292" s="929">
        <v>36.213999999999999</v>
      </c>
      <c r="I4292" s="929">
        <v>175.0343</v>
      </c>
      <c r="J4292" s="689">
        <f t="shared" si="67"/>
        <v>187.10569999999998</v>
      </c>
    </row>
    <row r="4293" spans="1:10" ht="12.75" customHeight="1" x14ac:dyDescent="0.2">
      <c r="A4293" s="681" t="s">
        <v>2370</v>
      </c>
      <c r="B4293" s="693" t="s">
        <v>6852</v>
      </c>
      <c r="C4293" s="672" t="s">
        <v>821</v>
      </c>
      <c r="D4293" s="673">
        <v>41684</v>
      </c>
      <c r="E4293" s="674">
        <v>10</v>
      </c>
      <c r="F4293" s="675">
        <v>0.1</v>
      </c>
      <c r="G4293" s="676">
        <v>362.14</v>
      </c>
      <c r="H4293" s="929">
        <v>36.213999999999999</v>
      </c>
      <c r="I4293" s="929">
        <v>175.0343</v>
      </c>
      <c r="J4293" s="689">
        <f t="shared" si="67"/>
        <v>187.10569999999998</v>
      </c>
    </row>
    <row r="4294" spans="1:10" ht="12.75" customHeight="1" x14ac:dyDescent="0.2">
      <c r="A4294" s="681" t="s">
        <v>2370</v>
      </c>
      <c r="B4294" s="693" t="s">
        <v>6853</v>
      </c>
      <c r="C4294" s="672" t="s">
        <v>821</v>
      </c>
      <c r="D4294" s="673">
        <v>41684</v>
      </c>
      <c r="E4294" s="674">
        <v>10</v>
      </c>
      <c r="F4294" s="675">
        <v>0.1</v>
      </c>
      <c r="G4294" s="676">
        <v>362.14</v>
      </c>
      <c r="H4294" s="929">
        <v>36.213999999999999</v>
      </c>
      <c r="I4294" s="929">
        <v>175.0343</v>
      </c>
      <c r="J4294" s="689">
        <f t="shared" si="67"/>
        <v>187.10569999999998</v>
      </c>
    </row>
    <row r="4295" spans="1:10" ht="12.75" customHeight="1" x14ac:dyDescent="0.2">
      <c r="A4295" s="681" t="s">
        <v>2370</v>
      </c>
      <c r="B4295" s="693" t="s">
        <v>6854</v>
      </c>
      <c r="C4295" s="672" t="s">
        <v>821</v>
      </c>
      <c r="D4295" s="673">
        <v>41684</v>
      </c>
      <c r="E4295" s="674">
        <v>10</v>
      </c>
      <c r="F4295" s="675">
        <v>0.1</v>
      </c>
      <c r="G4295" s="676">
        <v>362.14</v>
      </c>
      <c r="H4295" s="929">
        <v>36.213999999999999</v>
      </c>
      <c r="I4295" s="929">
        <v>175.0343</v>
      </c>
      <c r="J4295" s="689">
        <f t="shared" ref="J4295:J4358" si="68">G4295-I4295</f>
        <v>187.10569999999998</v>
      </c>
    </row>
    <row r="4296" spans="1:10" ht="12.75" customHeight="1" x14ac:dyDescent="0.2">
      <c r="A4296" s="681" t="s">
        <v>2370</v>
      </c>
      <c r="B4296" s="693" t="s">
        <v>6855</v>
      </c>
      <c r="C4296" s="672" t="s">
        <v>821</v>
      </c>
      <c r="D4296" s="673">
        <v>41684</v>
      </c>
      <c r="E4296" s="674">
        <v>10</v>
      </c>
      <c r="F4296" s="675">
        <v>0.1</v>
      </c>
      <c r="G4296" s="676">
        <v>362.14</v>
      </c>
      <c r="H4296" s="929">
        <v>36.213999999999999</v>
      </c>
      <c r="I4296" s="929">
        <v>175.0343</v>
      </c>
      <c r="J4296" s="689">
        <f t="shared" si="68"/>
        <v>187.10569999999998</v>
      </c>
    </row>
    <row r="4297" spans="1:10" ht="12.75" customHeight="1" x14ac:dyDescent="0.2">
      <c r="A4297" s="681" t="s">
        <v>2370</v>
      </c>
      <c r="B4297" s="693" t="s">
        <v>6856</v>
      </c>
      <c r="C4297" s="672" t="s">
        <v>821</v>
      </c>
      <c r="D4297" s="673">
        <v>41684</v>
      </c>
      <c r="E4297" s="674">
        <v>10</v>
      </c>
      <c r="F4297" s="675">
        <v>0.1</v>
      </c>
      <c r="G4297" s="676">
        <v>362.14</v>
      </c>
      <c r="H4297" s="929">
        <v>36.213999999999999</v>
      </c>
      <c r="I4297" s="929">
        <v>175.0343</v>
      </c>
      <c r="J4297" s="689">
        <f t="shared" si="68"/>
        <v>187.10569999999998</v>
      </c>
    </row>
    <row r="4298" spans="1:10" ht="12.75" customHeight="1" x14ac:dyDescent="0.2">
      <c r="A4298" s="681" t="s">
        <v>2370</v>
      </c>
      <c r="B4298" s="693" t="s">
        <v>6857</v>
      </c>
      <c r="C4298" s="672" t="s">
        <v>821</v>
      </c>
      <c r="D4298" s="673">
        <v>41684</v>
      </c>
      <c r="E4298" s="674">
        <v>10</v>
      </c>
      <c r="F4298" s="675">
        <v>0.1</v>
      </c>
      <c r="G4298" s="676">
        <v>362.14</v>
      </c>
      <c r="H4298" s="929">
        <v>36.213999999999999</v>
      </c>
      <c r="I4298" s="929">
        <v>175.0343</v>
      </c>
      <c r="J4298" s="689">
        <f t="shared" si="68"/>
        <v>187.10569999999998</v>
      </c>
    </row>
    <row r="4299" spans="1:10" ht="12.75" customHeight="1" x14ac:dyDescent="0.2">
      <c r="A4299" s="681" t="s">
        <v>2370</v>
      </c>
      <c r="B4299" s="693" t="s">
        <v>6858</v>
      </c>
      <c r="C4299" s="672" t="s">
        <v>821</v>
      </c>
      <c r="D4299" s="673">
        <v>41684</v>
      </c>
      <c r="E4299" s="674">
        <v>10</v>
      </c>
      <c r="F4299" s="675">
        <v>0.1</v>
      </c>
      <c r="G4299" s="676">
        <v>362.14</v>
      </c>
      <c r="H4299" s="929">
        <v>36.213999999999999</v>
      </c>
      <c r="I4299" s="929">
        <v>175.0343</v>
      </c>
      <c r="J4299" s="689">
        <f t="shared" si="68"/>
        <v>187.10569999999998</v>
      </c>
    </row>
    <row r="4300" spans="1:10" ht="12.75" customHeight="1" x14ac:dyDescent="0.2">
      <c r="A4300" s="681" t="s">
        <v>2370</v>
      </c>
      <c r="B4300" s="693" t="s">
        <v>6859</v>
      </c>
      <c r="C4300" s="672" t="s">
        <v>821</v>
      </c>
      <c r="D4300" s="673">
        <v>41684</v>
      </c>
      <c r="E4300" s="674">
        <v>10</v>
      </c>
      <c r="F4300" s="675">
        <v>0.1</v>
      </c>
      <c r="G4300" s="676">
        <v>362.14</v>
      </c>
      <c r="H4300" s="929">
        <v>36.213999999999999</v>
      </c>
      <c r="I4300" s="929">
        <v>175.0343</v>
      </c>
      <c r="J4300" s="689">
        <f t="shared" si="68"/>
        <v>187.10569999999998</v>
      </c>
    </row>
    <row r="4301" spans="1:10" ht="12.75" customHeight="1" x14ac:dyDescent="0.2">
      <c r="A4301" s="681" t="s">
        <v>2370</v>
      </c>
      <c r="B4301" s="693" t="s">
        <v>6860</v>
      </c>
      <c r="C4301" s="672" t="s">
        <v>821</v>
      </c>
      <c r="D4301" s="673">
        <v>41684</v>
      </c>
      <c r="E4301" s="674">
        <v>10</v>
      </c>
      <c r="F4301" s="675">
        <v>0.1</v>
      </c>
      <c r="G4301" s="676">
        <v>362.14</v>
      </c>
      <c r="H4301" s="929">
        <v>36.213999999999999</v>
      </c>
      <c r="I4301" s="929">
        <v>175.0343</v>
      </c>
      <c r="J4301" s="689">
        <f t="shared" si="68"/>
        <v>187.10569999999998</v>
      </c>
    </row>
    <row r="4302" spans="1:10" ht="12.75" customHeight="1" x14ac:dyDescent="0.2">
      <c r="A4302" s="681" t="s">
        <v>2370</v>
      </c>
      <c r="B4302" s="693" t="s">
        <v>6861</v>
      </c>
      <c r="C4302" s="672" t="s">
        <v>821</v>
      </c>
      <c r="D4302" s="673">
        <v>41684</v>
      </c>
      <c r="E4302" s="674">
        <v>10</v>
      </c>
      <c r="F4302" s="675">
        <v>0.1</v>
      </c>
      <c r="G4302" s="676">
        <v>362.14</v>
      </c>
      <c r="H4302" s="929">
        <v>36.213999999999999</v>
      </c>
      <c r="I4302" s="929">
        <v>175.0343</v>
      </c>
      <c r="J4302" s="689">
        <f t="shared" si="68"/>
        <v>187.10569999999998</v>
      </c>
    </row>
    <row r="4303" spans="1:10" ht="12.75" customHeight="1" x14ac:dyDescent="0.2">
      <c r="A4303" s="681" t="s">
        <v>2370</v>
      </c>
      <c r="B4303" s="693" t="s">
        <v>6862</v>
      </c>
      <c r="C4303" s="672" t="s">
        <v>821</v>
      </c>
      <c r="D4303" s="673">
        <v>41684</v>
      </c>
      <c r="E4303" s="674">
        <v>10</v>
      </c>
      <c r="F4303" s="675">
        <v>0.1</v>
      </c>
      <c r="G4303" s="676">
        <v>362.14</v>
      </c>
      <c r="H4303" s="929">
        <v>36.213999999999999</v>
      </c>
      <c r="I4303" s="929">
        <v>175.0343</v>
      </c>
      <c r="J4303" s="689">
        <f t="shared" si="68"/>
        <v>187.10569999999998</v>
      </c>
    </row>
    <row r="4304" spans="1:10" ht="12.75" customHeight="1" x14ac:dyDescent="0.2">
      <c r="A4304" s="681" t="s">
        <v>2370</v>
      </c>
      <c r="B4304" s="693" t="s">
        <v>6863</v>
      </c>
      <c r="C4304" s="672" t="s">
        <v>821</v>
      </c>
      <c r="D4304" s="673">
        <v>41684</v>
      </c>
      <c r="E4304" s="674">
        <v>10</v>
      </c>
      <c r="F4304" s="675">
        <v>0.1</v>
      </c>
      <c r="G4304" s="676">
        <v>362.14</v>
      </c>
      <c r="H4304" s="929">
        <v>36.213999999999999</v>
      </c>
      <c r="I4304" s="929">
        <v>175.0343</v>
      </c>
      <c r="J4304" s="689">
        <f t="shared" si="68"/>
        <v>187.10569999999998</v>
      </c>
    </row>
    <row r="4305" spans="1:10" ht="12.75" customHeight="1" x14ac:dyDescent="0.2">
      <c r="A4305" s="681" t="s">
        <v>2370</v>
      </c>
      <c r="B4305" s="693" t="s">
        <v>6864</v>
      </c>
      <c r="C4305" s="672" t="s">
        <v>821</v>
      </c>
      <c r="D4305" s="673">
        <v>41684</v>
      </c>
      <c r="E4305" s="674">
        <v>10</v>
      </c>
      <c r="F4305" s="675">
        <v>0.1</v>
      </c>
      <c r="G4305" s="676">
        <v>362.14</v>
      </c>
      <c r="H4305" s="929">
        <v>36.213999999999999</v>
      </c>
      <c r="I4305" s="929">
        <v>175.0343</v>
      </c>
      <c r="J4305" s="689">
        <f t="shared" si="68"/>
        <v>187.10569999999998</v>
      </c>
    </row>
    <row r="4306" spans="1:10" ht="12.75" customHeight="1" x14ac:dyDescent="0.2">
      <c r="A4306" s="681" t="s">
        <v>2370</v>
      </c>
      <c r="B4306" s="693" t="s">
        <v>6865</v>
      </c>
      <c r="C4306" s="672" t="s">
        <v>821</v>
      </c>
      <c r="D4306" s="673">
        <v>41684</v>
      </c>
      <c r="E4306" s="674">
        <v>10</v>
      </c>
      <c r="F4306" s="675">
        <v>0.1</v>
      </c>
      <c r="G4306" s="676">
        <v>362.14</v>
      </c>
      <c r="H4306" s="929">
        <v>36.213999999999999</v>
      </c>
      <c r="I4306" s="929">
        <v>175.0343</v>
      </c>
      <c r="J4306" s="689">
        <f t="shared" si="68"/>
        <v>187.10569999999998</v>
      </c>
    </row>
    <row r="4307" spans="1:10" ht="12.75" customHeight="1" x14ac:dyDescent="0.2">
      <c r="A4307" s="681" t="s">
        <v>2370</v>
      </c>
      <c r="B4307" s="693" t="s">
        <v>6866</v>
      </c>
      <c r="C4307" s="672" t="s">
        <v>821</v>
      </c>
      <c r="D4307" s="673">
        <v>41684</v>
      </c>
      <c r="E4307" s="674">
        <v>10</v>
      </c>
      <c r="F4307" s="675">
        <v>0.1</v>
      </c>
      <c r="G4307" s="676">
        <v>362.14</v>
      </c>
      <c r="H4307" s="929">
        <v>36.213999999999999</v>
      </c>
      <c r="I4307" s="929">
        <v>175.0343</v>
      </c>
      <c r="J4307" s="689">
        <f t="shared" si="68"/>
        <v>187.10569999999998</v>
      </c>
    </row>
    <row r="4308" spans="1:10" ht="12.75" customHeight="1" x14ac:dyDescent="0.2">
      <c r="A4308" s="681" t="s">
        <v>2370</v>
      </c>
      <c r="B4308" s="693" t="s">
        <v>6867</v>
      </c>
      <c r="C4308" s="672" t="s">
        <v>821</v>
      </c>
      <c r="D4308" s="673">
        <v>41684</v>
      </c>
      <c r="E4308" s="674">
        <v>10</v>
      </c>
      <c r="F4308" s="675">
        <v>0.1</v>
      </c>
      <c r="G4308" s="676">
        <v>362.14</v>
      </c>
      <c r="H4308" s="929">
        <v>36.213999999999999</v>
      </c>
      <c r="I4308" s="929">
        <v>175.0343</v>
      </c>
      <c r="J4308" s="689">
        <f t="shared" si="68"/>
        <v>187.10569999999998</v>
      </c>
    </row>
    <row r="4309" spans="1:10" ht="12.75" customHeight="1" x14ac:dyDescent="0.2">
      <c r="A4309" s="681" t="s">
        <v>2370</v>
      </c>
      <c r="B4309" s="693" t="s">
        <v>6868</v>
      </c>
      <c r="C4309" s="672" t="s">
        <v>821</v>
      </c>
      <c r="D4309" s="673">
        <v>41684</v>
      </c>
      <c r="E4309" s="674">
        <v>10</v>
      </c>
      <c r="F4309" s="675">
        <v>0.1</v>
      </c>
      <c r="G4309" s="676">
        <v>362.14</v>
      </c>
      <c r="H4309" s="929">
        <v>36.213999999999999</v>
      </c>
      <c r="I4309" s="929">
        <v>175.0343</v>
      </c>
      <c r="J4309" s="689">
        <f t="shared" si="68"/>
        <v>187.10569999999998</v>
      </c>
    </row>
    <row r="4310" spans="1:10" ht="12.75" customHeight="1" x14ac:dyDescent="0.2">
      <c r="A4310" s="681" t="s">
        <v>2370</v>
      </c>
      <c r="B4310" s="693" t="s">
        <v>6869</v>
      </c>
      <c r="C4310" s="672" t="s">
        <v>821</v>
      </c>
      <c r="D4310" s="673">
        <v>41684</v>
      </c>
      <c r="E4310" s="674">
        <v>10</v>
      </c>
      <c r="F4310" s="675">
        <v>0.1</v>
      </c>
      <c r="G4310" s="676">
        <v>362.14</v>
      </c>
      <c r="H4310" s="929">
        <v>36.213999999999999</v>
      </c>
      <c r="I4310" s="929">
        <v>175.0343</v>
      </c>
      <c r="J4310" s="689">
        <f t="shared" si="68"/>
        <v>187.10569999999998</v>
      </c>
    </row>
    <row r="4311" spans="1:10" ht="12.75" customHeight="1" x14ac:dyDescent="0.2">
      <c r="A4311" s="681" t="s">
        <v>2370</v>
      </c>
      <c r="B4311" s="693" t="s">
        <v>6870</v>
      </c>
      <c r="C4311" s="672" t="s">
        <v>821</v>
      </c>
      <c r="D4311" s="673">
        <v>41684</v>
      </c>
      <c r="E4311" s="674">
        <v>10</v>
      </c>
      <c r="F4311" s="675">
        <v>0.1</v>
      </c>
      <c r="G4311" s="676">
        <v>362.14</v>
      </c>
      <c r="H4311" s="929">
        <v>36.213999999999999</v>
      </c>
      <c r="I4311" s="929">
        <v>175.0343</v>
      </c>
      <c r="J4311" s="689">
        <f t="shared" si="68"/>
        <v>187.10569999999998</v>
      </c>
    </row>
    <row r="4312" spans="1:10" ht="12.75" customHeight="1" x14ac:dyDescent="0.2">
      <c r="A4312" s="681" t="s">
        <v>2370</v>
      </c>
      <c r="B4312" s="693" t="s">
        <v>6871</v>
      </c>
      <c r="C4312" s="672" t="s">
        <v>821</v>
      </c>
      <c r="D4312" s="673">
        <v>41684</v>
      </c>
      <c r="E4312" s="674">
        <v>10</v>
      </c>
      <c r="F4312" s="675">
        <v>0.1</v>
      </c>
      <c r="G4312" s="676">
        <v>362.14</v>
      </c>
      <c r="H4312" s="929">
        <v>36.213999999999999</v>
      </c>
      <c r="I4312" s="929">
        <v>175.0343</v>
      </c>
      <c r="J4312" s="689">
        <f t="shared" si="68"/>
        <v>187.10569999999998</v>
      </c>
    </row>
    <row r="4313" spans="1:10" ht="12.75" customHeight="1" x14ac:dyDescent="0.2">
      <c r="A4313" s="681" t="s">
        <v>2370</v>
      </c>
      <c r="B4313" s="693" t="s">
        <v>6872</v>
      </c>
      <c r="C4313" s="672" t="s">
        <v>821</v>
      </c>
      <c r="D4313" s="673">
        <v>41684</v>
      </c>
      <c r="E4313" s="674">
        <v>10</v>
      </c>
      <c r="F4313" s="675">
        <v>0.1</v>
      </c>
      <c r="G4313" s="676">
        <v>362.14</v>
      </c>
      <c r="H4313" s="929">
        <v>36.213999999999999</v>
      </c>
      <c r="I4313" s="929">
        <v>175.0343</v>
      </c>
      <c r="J4313" s="689">
        <f t="shared" si="68"/>
        <v>187.10569999999998</v>
      </c>
    </row>
    <row r="4314" spans="1:10" ht="12.75" customHeight="1" x14ac:dyDescent="0.2">
      <c r="A4314" s="681" t="s">
        <v>2370</v>
      </c>
      <c r="B4314" s="693" t="s">
        <v>6873</v>
      </c>
      <c r="C4314" s="672" t="s">
        <v>821</v>
      </c>
      <c r="D4314" s="673">
        <v>41684</v>
      </c>
      <c r="E4314" s="674">
        <v>10</v>
      </c>
      <c r="F4314" s="675">
        <v>0.1</v>
      </c>
      <c r="G4314" s="676">
        <v>362.14</v>
      </c>
      <c r="H4314" s="929">
        <v>36.213999999999999</v>
      </c>
      <c r="I4314" s="929">
        <v>175.0343</v>
      </c>
      <c r="J4314" s="689">
        <f t="shared" si="68"/>
        <v>187.10569999999998</v>
      </c>
    </row>
    <row r="4315" spans="1:10" ht="12.75" customHeight="1" x14ac:dyDescent="0.2">
      <c r="A4315" s="681" t="s">
        <v>2370</v>
      </c>
      <c r="B4315" s="693" t="s">
        <v>6874</v>
      </c>
      <c r="C4315" s="672" t="s">
        <v>821</v>
      </c>
      <c r="D4315" s="673">
        <v>41684</v>
      </c>
      <c r="E4315" s="674">
        <v>10</v>
      </c>
      <c r="F4315" s="675">
        <v>0.1</v>
      </c>
      <c r="G4315" s="676">
        <v>367.25</v>
      </c>
      <c r="H4315" s="929">
        <v>36.725000000000009</v>
      </c>
      <c r="I4315" s="929">
        <v>177.50420000000003</v>
      </c>
      <c r="J4315" s="689">
        <f t="shared" si="68"/>
        <v>189.74579999999997</v>
      </c>
    </row>
    <row r="4316" spans="1:10" ht="12.75" customHeight="1" x14ac:dyDescent="0.2">
      <c r="A4316" s="681" t="s">
        <v>2370</v>
      </c>
      <c r="B4316" s="693" t="s">
        <v>6875</v>
      </c>
      <c r="C4316" s="672" t="s">
        <v>821</v>
      </c>
      <c r="D4316" s="673">
        <v>41684</v>
      </c>
      <c r="E4316" s="674">
        <v>10</v>
      </c>
      <c r="F4316" s="675">
        <v>0.1</v>
      </c>
      <c r="G4316" s="676">
        <v>367.25</v>
      </c>
      <c r="H4316" s="929">
        <v>36.725000000000009</v>
      </c>
      <c r="I4316" s="929">
        <v>177.50420000000003</v>
      </c>
      <c r="J4316" s="689">
        <f t="shared" si="68"/>
        <v>189.74579999999997</v>
      </c>
    </row>
    <row r="4317" spans="1:10" ht="12.75" customHeight="1" x14ac:dyDescent="0.2">
      <c r="A4317" s="681" t="s">
        <v>2370</v>
      </c>
      <c r="B4317" s="693" t="s">
        <v>6876</v>
      </c>
      <c r="C4317" s="672" t="s">
        <v>821</v>
      </c>
      <c r="D4317" s="673">
        <v>41684</v>
      </c>
      <c r="E4317" s="674">
        <v>10</v>
      </c>
      <c r="F4317" s="675">
        <v>0.1</v>
      </c>
      <c r="G4317" s="676">
        <v>367.25</v>
      </c>
      <c r="H4317" s="929">
        <v>36.725000000000009</v>
      </c>
      <c r="I4317" s="929">
        <v>177.50420000000003</v>
      </c>
      <c r="J4317" s="689">
        <f t="shared" si="68"/>
        <v>189.74579999999997</v>
      </c>
    </row>
    <row r="4318" spans="1:10" ht="12.75" customHeight="1" x14ac:dyDescent="0.2">
      <c r="A4318" s="681" t="s">
        <v>2370</v>
      </c>
      <c r="B4318" s="693" t="s">
        <v>6877</v>
      </c>
      <c r="C4318" s="672" t="s">
        <v>821</v>
      </c>
      <c r="D4318" s="673">
        <v>41684</v>
      </c>
      <c r="E4318" s="674">
        <v>10</v>
      </c>
      <c r="F4318" s="675">
        <v>0.1</v>
      </c>
      <c r="G4318" s="676">
        <v>367.25</v>
      </c>
      <c r="H4318" s="929">
        <v>36.725000000000009</v>
      </c>
      <c r="I4318" s="929">
        <v>177.50420000000003</v>
      </c>
      <c r="J4318" s="689">
        <f t="shared" si="68"/>
        <v>189.74579999999997</v>
      </c>
    </row>
    <row r="4319" spans="1:10" ht="12.75" customHeight="1" x14ac:dyDescent="0.2">
      <c r="A4319" s="681" t="s">
        <v>2370</v>
      </c>
      <c r="B4319" s="693" t="s">
        <v>6878</v>
      </c>
      <c r="C4319" s="672" t="s">
        <v>821</v>
      </c>
      <c r="D4319" s="673">
        <v>41684</v>
      </c>
      <c r="E4319" s="674">
        <v>10</v>
      </c>
      <c r="F4319" s="675">
        <v>0.1</v>
      </c>
      <c r="G4319" s="676">
        <v>367.25</v>
      </c>
      <c r="H4319" s="929">
        <v>36.725000000000009</v>
      </c>
      <c r="I4319" s="929">
        <v>177.50420000000003</v>
      </c>
      <c r="J4319" s="689">
        <f t="shared" si="68"/>
        <v>189.74579999999997</v>
      </c>
    </row>
    <row r="4320" spans="1:10" ht="12.75" customHeight="1" x14ac:dyDescent="0.2">
      <c r="A4320" s="681" t="s">
        <v>2370</v>
      </c>
      <c r="B4320" s="693" t="s">
        <v>6879</v>
      </c>
      <c r="C4320" s="672" t="s">
        <v>821</v>
      </c>
      <c r="D4320" s="673">
        <v>41684</v>
      </c>
      <c r="E4320" s="674">
        <v>10</v>
      </c>
      <c r="F4320" s="675">
        <v>0.1</v>
      </c>
      <c r="G4320" s="676">
        <v>367.25</v>
      </c>
      <c r="H4320" s="929">
        <v>36.725000000000009</v>
      </c>
      <c r="I4320" s="929">
        <v>177.50420000000003</v>
      </c>
      <c r="J4320" s="689">
        <f t="shared" si="68"/>
        <v>189.74579999999997</v>
      </c>
    </row>
    <row r="4321" spans="1:10" ht="12.75" customHeight="1" x14ac:dyDescent="0.2">
      <c r="A4321" s="681" t="s">
        <v>2370</v>
      </c>
      <c r="B4321" s="693" t="s">
        <v>6880</v>
      </c>
      <c r="C4321" s="672" t="s">
        <v>821</v>
      </c>
      <c r="D4321" s="673">
        <v>41684</v>
      </c>
      <c r="E4321" s="674">
        <v>10</v>
      </c>
      <c r="F4321" s="675">
        <v>0.1</v>
      </c>
      <c r="G4321" s="676">
        <v>367.25</v>
      </c>
      <c r="H4321" s="929">
        <v>36.725000000000009</v>
      </c>
      <c r="I4321" s="929">
        <v>177.50420000000003</v>
      </c>
      <c r="J4321" s="689">
        <f t="shared" si="68"/>
        <v>189.74579999999997</v>
      </c>
    </row>
    <row r="4322" spans="1:10" ht="12.75" customHeight="1" x14ac:dyDescent="0.2">
      <c r="A4322" s="681" t="s">
        <v>2370</v>
      </c>
      <c r="B4322" s="693" t="s">
        <v>6881</v>
      </c>
      <c r="C4322" s="672" t="s">
        <v>821</v>
      </c>
      <c r="D4322" s="673">
        <v>41684</v>
      </c>
      <c r="E4322" s="674">
        <v>10</v>
      </c>
      <c r="F4322" s="675">
        <v>0.1</v>
      </c>
      <c r="G4322" s="676">
        <v>367.25</v>
      </c>
      <c r="H4322" s="929">
        <v>36.725000000000009</v>
      </c>
      <c r="I4322" s="929">
        <v>177.50420000000003</v>
      </c>
      <c r="J4322" s="689">
        <f t="shared" si="68"/>
        <v>189.74579999999997</v>
      </c>
    </row>
    <row r="4323" spans="1:10" ht="12.75" customHeight="1" x14ac:dyDescent="0.2">
      <c r="A4323" s="681" t="s">
        <v>2370</v>
      </c>
      <c r="B4323" s="693" t="s">
        <v>6882</v>
      </c>
      <c r="C4323" s="672" t="s">
        <v>821</v>
      </c>
      <c r="D4323" s="673">
        <v>41684</v>
      </c>
      <c r="E4323" s="674">
        <v>10</v>
      </c>
      <c r="F4323" s="675">
        <v>0.1</v>
      </c>
      <c r="G4323" s="676">
        <v>367.25</v>
      </c>
      <c r="H4323" s="929">
        <v>36.725000000000009</v>
      </c>
      <c r="I4323" s="929">
        <v>177.50420000000003</v>
      </c>
      <c r="J4323" s="689">
        <f t="shared" si="68"/>
        <v>189.74579999999997</v>
      </c>
    </row>
    <row r="4324" spans="1:10" ht="12.75" customHeight="1" x14ac:dyDescent="0.2">
      <c r="A4324" s="681" t="s">
        <v>2370</v>
      </c>
      <c r="B4324" s="693" t="s">
        <v>6883</v>
      </c>
      <c r="C4324" s="672" t="s">
        <v>821</v>
      </c>
      <c r="D4324" s="673">
        <v>41684</v>
      </c>
      <c r="E4324" s="674">
        <v>10</v>
      </c>
      <c r="F4324" s="675">
        <v>0.1</v>
      </c>
      <c r="G4324" s="676">
        <v>367.25</v>
      </c>
      <c r="H4324" s="929">
        <v>36.725000000000009</v>
      </c>
      <c r="I4324" s="929">
        <v>177.50420000000003</v>
      </c>
      <c r="J4324" s="689">
        <f t="shared" si="68"/>
        <v>189.74579999999997</v>
      </c>
    </row>
    <row r="4325" spans="1:10" ht="12.75" customHeight="1" x14ac:dyDescent="0.2">
      <c r="A4325" s="681" t="s">
        <v>2370</v>
      </c>
      <c r="B4325" s="693" t="s">
        <v>6884</v>
      </c>
      <c r="C4325" s="672" t="s">
        <v>822</v>
      </c>
      <c r="D4325" s="673">
        <v>41684</v>
      </c>
      <c r="E4325" s="674">
        <v>10</v>
      </c>
      <c r="F4325" s="675">
        <v>0.1</v>
      </c>
      <c r="G4325" s="676">
        <v>919.68</v>
      </c>
      <c r="H4325" s="929">
        <v>91.968000000000004</v>
      </c>
      <c r="I4325" s="929">
        <v>444.51200000000006</v>
      </c>
      <c r="J4325" s="689">
        <f t="shared" si="68"/>
        <v>475.16799999999989</v>
      </c>
    </row>
    <row r="4326" spans="1:10" ht="12.75" customHeight="1" x14ac:dyDescent="0.2">
      <c r="A4326" s="681" t="s">
        <v>2370</v>
      </c>
      <c r="B4326" s="693" t="s">
        <v>6885</v>
      </c>
      <c r="C4326" s="672" t="s">
        <v>822</v>
      </c>
      <c r="D4326" s="673">
        <v>41684</v>
      </c>
      <c r="E4326" s="674">
        <v>10</v>
      </c>
      <c r="F4326" s="675">
        <v>0.1</v>
      </c>
      <c r="G4326" s="676">
        <v>919.68</v>
      </c>
      <c r="H4326" s="929">
        <v>91.968000000000004</v>
      </c>
      <c r="I4326" s="929">
        <v>444.51200000000006</v>
      </c>
      <c r="J4326" s="689">
        <f t="shared" si="68"/>
        <v>475.16799999999989</v>
      </c>
    </row>
    <row r="4327" spans="1:10" ht="12.75" customHeight="1" x14ac:dyDescent="0.2">
      <c r="A4327" s="681" t="s">
        <v>2370</v>
      </c>
      <c r="B4327" s="693" t="s">
        <v>6886</v>
      </c>
      <c r="C4327" s="672" t="s">
        <v>822</v>
      </c>
      <c r="D4327" s="673">
        <v>41684</v>
      </c>
      <c r="E4327" s="674">
        <v>10</v>
      </c>
      <c r="F4327" s="675">
        <v>0.1</v>
      </c>
      <c r="G4327" s="676">
        <v>919.68</v>
      </c>
      <c r="H4327" s="929">
        <v>91.968000000000004</v>
      </c>
      <c r="I4327" s="929">
        <v>444.51200000000006</v>
      </c>
      <c r="J4327" s="689">
        <f t="shared" si="68"/>
        <v>475.16799999999989</v>
      </c>
    </row>
    <row r="4328" spans="1:10" ht="12.75" customHeight="1" x14ac:dyDescent="0.2">
      <c r="A4328" s="681" t="s">
        <v>2370</v>
      </c>
      <c r="B4328" s="693" t="s">
        <v>6887</v>
      </c>
      <c r="C4328" s="672" t="s">
        <v>822</v>
      </c>
      <c r="D4328" s="673">
        <v>41684</v>
      </c>
      <c r="E4328" s="674">
        <v>10</v>
      </c>
      <c r="F4328" s="675">
        <v>0.1</v>
      </c>
      <c r="G4328" s="676">
        <v>919.68</v>
      </c>
      <c r="H4328" s="929">
        <v>91.968000000000004</v>
      </c>
      <c r="I4328" s="929">
        <v>444.51200000000006</v>
      </c>
      <c r="J4328" s="689">
        <f t="shared" si="68"/>
        <v>475.16799999999989</v>
      </c>
    </row>
    <row r="4329" spans="1:10" ht="12.75" customHeight="1" x14ac:dyDescent="0.2">
      <c r="A4329" s="681" t="s">
        <v>2370</v>
      </c>
      <c r="B4329" s="693" t="s">
        <v>6888</v>
      </c>
      <c r="C4329" s="672" t="s">
        <v>822</v>
      </c>
      <c r="D4329" s="673">
        <v>41684</v>
      </c>
      <c r="E4329" s="674">
        <v>10</v>
      </c>
      <c r="F4329" s="675">
        <v>0.1</v>
      </c>
      <c r="G4329" s="676">
        <v>919.68</v>
      </c>
      <c r="H4329" s="929">
        <v>91.968000000000004</v>
      </c>
      <c r="I4329" s="929">
        <v>444.51200000000006</v>
      </c>
      <c r="J4329" s="689">
        <f t="shared" si="68"/>
        <v>475.16799999999989</v>
      </c>
    </row>
    <row r="4330" spans="1:10" ht="12.75" customHeight="1" x14ac:dyDescent="0.2">
      <c r="A4330" s="681" t="s">
        <v>2370</v>
      </c>
      <c r="B4330" s="693" t="s">
        <v>6889</v>
      </c>
      <c r="C4330" s="672" t="s">
        <v>822</v>
      </c>
      <c r="D4330" s="673">
        <v>41684</v>
      </c>
      <c r="E4330" s="674">
        <v>10</v>
      </c>
      <c r="F4330" s="675">
        <v>0.1</v>
      </c>
      <c r="G4330" s="676">
        <v>919.68</v>
      </c>
      <c r="H4330" s="929">
        <v>91.968000000000004</v>
      </c>
      <c r="I4330" s="929">
        <v>444.51200000000006</v>
      </c>
      <c r="J4330" s="689">
        <f t="shared" si="68"/>
        <v>475.16799999999989</v>
      </c>
    </row>
    <row r="4331" spans="1:10" ht="12.75" customHeight="1" x14ac:dyDescent="0.2">
      <c r="A4331" s="681" t="s">
        <v>2370</v>
      </c>
      <c r="B4331" s="693" t="s">
        <v>6890</v>
      </c>
      <c r="C4331" s="672" t="s">
        <v>822</v>
      </c>
      <c r="D4331" s="673">
        <v>41684</v>
      </c>
      <c r="E4331" s="674">
        <v>10</v>
      </c>
      <c r="F4331" s="675">
        <v>0.1</v>
      </c>
      <c r="G4331" s="676">
        <v>1359.56</v>
      </c>
      <c r="H4331" s="929">
        <v>135.95599999999999</v>
      </c>
      <c r="I4331" s="929">
        <v>657.12070000000006</v>
      </c>
      <c r="J4331" s="689">
        <f t="shared" si="68"/>
        <v>702.43929999999989</v>
      </c>
    </row>
    <row r="4332" spans="1:10" ht="12.75" customHeight="1" x14ac:dyDescent="0.2">
      <c r="A4332" s="681" t="s">
        <v>2370</v>
      </c>
      <c r="B4332" s="693" t="s">
        <v>6891</v>
      </c>
      <c r="C4332" s="672" t="s">
        <v>822</v>
      </c>
      <c r="D4332" s="673">
        <v>41684</v>
      </c>
      <c r="E4332" s="674">
        <v>10</v>
      </c>
      <c r="F4332" s="675">
        <v>0.1</v>
      </c>
      <c r="G4332" s="676">
        <v>1359.56</v>
      </c>
      <c r="H4332" s="929">
        <v>135.95599999999999</v>
      </c>
      <c r="I4332" s="929">
        <v>657.12070000000006</v>
      </c>
      <c r="J4332" s="689">
        <f t="shared" si="68"/>
        <v>702.43929999999989</v>
      </c>
    </row>
    <row r="4333" spans="1:10" ht="12.75" customHeight="1" x14ac:dyDescent="0.2">
      <c r="A4333" s="681" t="s">
        <v>2370</v>
      </c>
      <c r="B4333" s="693" t="s">
        <v>6892</v>
      </c>
      <c r="C4333" s="672" t="s">
        <v>822</v>
      </c>
      <c r="D4333" s="673">
        <v>41684</v>
      </c>
      <c r="E4333" s="674">
        <v>10</v>
      </c>
      <c r="F4333" s="675">
        <v>0.1</v>
      </c>
      <c r="G4333" s="676">
        <v>1359.56</v>
      </c>
      <c r="H4333" s="929">
        <v>135.95599999999999</v>
      </c>
      <c r="I4333" s="929">
        <v>657.12070000000006</v>
      </c>
      <c r="J4333" s="689">
        <f t="shared" si="68"/>
        <v>702.43929999999989</v>
      </c>
    </row>
    <row r="4334" spans="1:10" ht="12.75" customHeight="1" x14ac:dyDescent="0.2">
      <c r="A4334" s="681" t="s">
        <v>2370</v>
      </c>
      <c r="B4334" s="693" t="s">
        <v>6893</v>
      </c>
      <c r="C4334" s="672" t="s">
        <v>822</v>
      </c>
      <c r="D4334" s="673">
        <v>41684</v>
      </c>
      <c r="E4334" s="674">
        <v>10</v>
      </c>
      <c r="F4334" s="675">
        <v>0.1</v>
      </c>
      <c r="G4334" s="676">
        <v>1359.56</v>
      </c>
      <c r="H4334" s="929">
        <v>135.95599999999999</v>
      </c>
      <c r="I4334" s="929">
        <v>657.12070000000006</v>
      </c>
      <c r="J4334" s="689">
        <f t="shared" si="68"/>
        <v>702.43929999999989</v>
      </c>
    </row>
    <row r="4335" spans="1:10" ht="12.75" customHeight="1" x14ac:dyDescent="0.2">
      <c r="A4335" s="681" t="s">
        <v>2370</v>
      </c>
      <c r="B4335" s="693" t="s">
        <v>6894</v>
      </c>
      <c r="C4335" s="672" t="s">
        <v>792</v>
      </c>
      <c r="D4335" s="673">
        <v>41703</v>
      </c>
      <c r="E4335" s="674">
        <v>10</v>
      </c>
      <c r="F4335" s="675">
        <v>0.1</v>
      </c>
      <c r="G4335" s="676">
        <v>450</v>
      </c>
      <c r="H4335" s="929">
        <v>45</v>
      </c>
      <c r="I4335" s="929">
        <v>213.75</v>
      </c>
      <c r="J4335" s="689">
        <f t="shared" si="68"/>
        <v>236.25</v>
      </c>
    </row>
    <row r="4336" spans="1:10" ht="12.75" customHeight="1" x14ac:dyDescent="0.2">
      <c r="A4336" s="681" t="s">
        <v>2370</v>
      </c>
      <c r="B4336" s="693" t="s">
        <v>6895</v>
      </c>
      <c r="C4336" s="672" t="s">
        <v>789</v>
      </c>
      <c r="D4336" s="673">
        <v>41703</v>
      </c>
      <c r="E4336" s="674">
        <v>10</v>
      </c>
      <c r="F4336" s="675">
        <v>0.1</v>
      </c>
      <c r="G4336" s="676">
        <v>796</v>
      </c>
      <c r="H4336" s="929">
        <v>79.599999999999994</v>
      </c>
      <c r="I4336" s="929">
        <v>378.1</v>
      </c>
      <c r="J4336" s="689">
        <f t="shared" si="68"/>
        <v>417.9</v>
      </c>
    </row>
    <row r="4337" spans="1:10" ht="12.75" customHeight="1" x14ac:dyDescent="0.2">
      <c r="A4337" s="681" t="s">
        <v>2372</v>
      </c>
      <c r="B4337" s="693" t="s">
        <v>6896</v>
      </c>
      <c r="C4337" s="672" t="s">
        <v>1006</v>
      </c>
      <c r="D4337" s="673">
        <v>41719</v>
      </c>
      <c r="E4337" s="674">
        <v>10</v>
      </c>
      <c r="F4337" s="675">
        <v>0.1</v>
      </c>
      <c r="G4337" s="676">
        <v>11606</v>
      </c>
      <c r="H4337" s="929">
        <v>1160.6000000000001</v>
      </c>
      <c r="I4337" s="929">
        <v>5512.8500000000013</v>
      </c>
      <c r="J4337" s="689">
        <f t="shared" si="68"/>
        <v>6093.1499999999987</v>
      </c>
    </row>
    <row r="4338" spans="1:10" ht="12.75" customHeight="1" x14ac:dyDescent="0.2">
      <c r="A4338" s="681" t="s">
        <v>2372</v>
      </c>
      <c r="B4338" s="693" t="s">
        <v>6897</v>
      </c>
      <c r="C4338" s="672" t="s">
        <v>1006</v>
      </c>
      <c r="D4338" s="673">
        <v>41719</v>
      </c>
      <c r="E4338" s="674">
        <v>10</v>
      </c>
      <c r="F4338" s="675">
        <v>0.1</v>
      </c>
      <c r="G4338" s="676">
        <v>11606</v>
      </c>
      <c r="H4338" s="929">
        <v>1160.6000000000001</v>
      </c>
      <c r="I4338" s="929">
        <v>5512.8500000000013</v>
      </c>
      <c r="J4338" s="689">
        <f t="shared" si="68"/>
        <v>6093.1499999999987</v>
      </c>
    </row>
    <row r="4339" spans="1:10" ht="12.75" customHeight="1" x14ac:dyDescent="0.2">
      <c r="A4339" s="681" t="s">
        <v>2372</v>
      </c>
      <c r="B4339" s="693" t="s">
        <v>6898</v>
      </c>
      <c r="C4339" s="672" t="s">
        <v>1006</v>
      </c>
      <c r="D4339" s="673">
        <v>41719</v>
      </c>
      <c r="E4339" s="674">
        <v>10</v>
      </c>
      <c r="F4339" s="675">
        <v>0.1</v>
      </c>
      <c r="G4339" s="676">
        <v>11606</v>
      </c>
      <c r="H4339" s="929">
        <v>1160.6000000000001</v>
      </c>
      <c r="I4339" s="929">
        <v>5512.8500000000013</v>
      </c>
      <c r="J4339" s="689">
        <f t="shared" si="68"/>
        <v>6093.1499999999987</v>
      </c>
    </row>
    <row r="4340" spans="1:10" ht="12.75" customHeight="1" x14ac:dyDescent="0.2">
      <c r="A4340" s="681" t="s">
        <v>2372</v>
      </c>
      <c r="B4340" s="693" t="s">
        <v>6899</v>
      </c>
      <c r="C4340" s="672" t="s">
        <v>1006</v>
      </c>
      <c r="D4340" s="673">
        <v>41719</v>
      </c>
      <c r="E4340" s="674">
        <v>10</v>
      </c>
      <c r="F4340" s="675">
        <v>0.1</v>
      </c>
      <c r="G4340" s="676">
        <v>11606</v>
      </c>
      <c r="H4340" s="929">
        <v>1160.6000000000001</v>
      </c>
      <c r="I4340" s="929">
        <v>5512.8500000000013</v>
      </c>
      <c r="J4340" s="689">
        <f t="shared" si="68"/>
        <v>6093.1499999999987</v>
      </c>
    </row>
    <row r="4341" spans="1:10" ht="12.75" customHeight="1" x14ac:dyDescent="0.2">
      <c r="A4341" s="681" t="s">
        <v>2372</v>
      </c>
      <c r="B4341" s="693" t="s">
        <v>6900</v>
      </c>
      <c r="C4341" s="672" t="s">
        <v>1006</v>
      </c>
      <c r="D4341" s="673">
        <v>41719</v>
      </c>
      <c r="E4341" s="674">
        <v>10</v>
      </c>
      <c r="F4341" s="675">
        <v>0.1</v>
      </c>
      <c r="G4341" s="676">
        <v>11606</v>
      </c>
      <c r="H4341" s="929">
        <v>1160.6000000000001</v>
      </c>
      <c r="I4341" s="929">
        <v>5512.8500000000013</v>
      </c>
      <c r="J4341" s="689">
        <f t="shared" si="68"/>
        <v>6093.1499999999987</v>
      </c>
    </row>
    <row r="4342" spans="1:10" ht="12.75" customHeight="1" x14ac:dyDescent="0.2">
      <c r="A4342" s="681" t="s">
        <v>2372</v>
      </c>
      <c r="B4342" s="693" t="s">
        <v>6901</v>
      </c>
      <c r="C4342" s="672" t="s">
        <v>1007</v>
      </c>
      <c r="D4342" s="673">
        <v>41739</v>
      </c>
      <c r="E4342" s="674">
        <v>10</v>
      </c>
      <c r="F4342" s="675">
        <v>0.1</v>
      </c>
      <c r="G4342" s="676">
        <v>6399.99</v>
      </c>
      <c r="H4342" s="929">
        <v>639.99900000000014</v>
      </c>
      <c r="I4342" s="929">
        <v>2986.6620000000003</v>
      </c>
      <c r="J4342" s="689">
        <f t="shared" si="68"/>
        <v>3413.3279999999995</v>
      </c>
    </row>
    <row r="4343" spans="1:10" ht="12.75" customHeight="1" x14ac:dyDescent="0.2">
      <c r="A4343" s="681" t="s">
        <v>2372</v>
      </c>
      <c r="B4343" s="693" t="s">
        <v>6902</v>
      </c>
      <c r="C4343" s="672" t="s">
        <v>1007</v>
      </c>
      <c r="D4343" s="673">
        <v>41739</v>
      </c>
      <c r="E4343" s="674">
        <v>10</v>
      </c>
      <c r="F4343" s="675">
        <v>0.1</v>
      </c>
      <c r="G4343" s="676">
        <v>6399.99</v>
      </c>
      <c r="H4343" s="929">
        <v>639.99900000000014</v>
      </c>
      <c r="I4343" s="929">
        <v>2986.6620000000003</v>
      </c>
      <c r="J4343" s="689">
        <f t="shared" si="68"/>
        <v>3413.3279999999995</v>
      </c>
    </row>
    <row r="4344" spans="1:10" ht="12.75" customHeight="1" x14ac:dyDescent="0.2">
      <c r="A4344" s="681" t="s">
        <v>2372</v>
      </c>
      <c r="B4344" s="693" t="s">
        <v>6903</v>
      </c>
      <c r="C4344" s="672" t="s">
        <v>1007</v>
      </c>
      <c r="D4344" s="673">
        <v>41739</v>
      </c>
      <c r="E4344" s="674">
        <v>10</v>
      </c>
      <c r="F4344" s="675">
        <v>0.1</v>
      </c>
      <c r="G4344" s="676">
        <v>6399.99</v>
      </c>
      <c r="H4344" s="929">
        <v>639.99900000000014</v>
      </c>
      <c r="I4344" s="929">
        <v>2986.6620000000003</v>
      </c>
      <c r="J4344" s="689">
        <f t="shared" si="68"/>
        <v>3413.3279999999995</v>
      </c>
    </row>
    <row r="4345" spans="1:10" ht="12.75" customHeight="1" x14ac:dyDescent="0.2">
      <c r="A4345" s="681" t="s">
        <v>2372</v>
      </c>
      <c r="B4345" s="693" t="s">
        <v>6904</v>
      </c>
      <c r="C4345" s="672" t="s">
        <v>1007</v>
      </c>
      <c r="D4345" s="673">
        <v>41739</v>
      </c>
      <c r="E4345" s="674">
        <v>10</v>
      </c>
      <c r="F4345" s="675">
        <v>0.1</v>
      </c>
      <c r="G4345" s="676">
        <v>6399.99</v>
      </c>
      <c r="H4345" s="929">
        <v>639.99900000000014</v>
      </c>
      <c r="I4345" s="929">
        <v>2986.6620000000003</v>
      </c>
      <c r="J4345" s="689">
        <f t="shared" si="68"/>
        <v>3413.3279999999995</v>
      </c>
    </row>
    <row r="4346" spans="1:10" ht="12.75" customHeight="1" x14ac:dyDescent="0.2">
      <c r="A4346" s="681" t="s">
        <v>2372</v>
      </c>
      <c r="B4346" s="693" t="s">
        <v>6905</v>
      </c>
      <c r="C4346" s="672" t="s">
        <v>1007</v>
      </c>
      <c r="D4346" s="673">
        <v>41739</v>
      </c>
      <c r="E4346" s="674">
        <v>10</v>
      </c>
      <c r="F4346" s="675">
        <v>0.1</v>
      </c>
      <c r="G4346" s="676">
        <v>9125.1299999999992</v>
      </c>
      <c r="H4346" s="929">
        <v>912.51299999999981</v>
      </c>
      <c r="I4346" s="929">
        <v>4258.3939999999993</v>
      </c>
      <c r="J4346" s="689">
        <f t="shared" si="68"/>
        <v>4866.7359999999999</v>
      </c>
    </row>
    <row r="4347" spans="1:10" ht="12.75" customHeight="1" x14ac:dyDescent="0.2">
      <c r="A4347" s="681" t="s">
        <v>2372</v>
      </c>
      <c r="B4347" s="693" t="s">
        <v>6906</v>
      </c>
      <c r="C4347" s="672" t="s">
        <v>1007</v>
      </c>
      <c r="D4347" s="673">
        <v>41739</v>
      </c>
      <c r="E4347" s="674">
        <v>10</v>
      </c>
      <c r="F4347" s="675">
        <v>0.1</v>
      </c>
      <c r="G4347" s="676">
        <v>15799.99</v>
      </c>
      <c r="H4347" s="929">
        <v>1579.9990000000005</v>
      </c>
      <c r="I4347" s="929">
        <v>7373.3287000000009</v>
      </c>
      <c r="J4347" s="689">
        <f t="shared" si="68"/>
        <v>8426.6612999999998</v>
      </c>
    </row>
    <row r="4348" spans="1:10" ht="12.75" customHeight="1" x14ac:dyDescent="0.2">
      <c r="A4348" s="681" t="s">
        <v>2372</v>
      </c>
      <c r="B4348" s="693" t="s">
        <v>6907</v>
      </c>
      <c r="C4348" s="672" t="s">
        <v>1007</v>
      </c>
      <c r="D4348" s="673">
        <v>41739</v>
      </c>
      <c r="E4348" s="674">
        <v>10</v>
      </c>
      <c r="F4348" s="675">
        <v>0.1</v>
      </c>
      <c r="G4348" s="676">
        <v>15799.99</v>
      </c>
      <c r="H4348" s="929">
        <v>1579.9990000000005</v>
      </c>
      <c r="I4348" s="929">
        <v>7373.3287000000009</v>
      </c>
      <c r="J4348" s="689">
        <f t="shared" si="68"/>
        <v>8426.6612999999998</v>
      </c>
    </row>
    <row r="4349" spans="1:10" ht="12.75" customHeight="1" x14ac:dyDescent="0.2">
      <c r="A4349" s="681" t="s">
        <v>2372</v>
      </c>
      <c r="B4349" s="693" t="s">
        <v>6908</v>
      </c>
      <c r="C4349" s="672" t="s">
        <v>1007</v>
      </c>
      <c r="D4349" s="673">
        <v>41739</v>
      </c>
      <c r="E4349" s="674">
        <v>10</v>
      </c>
      <c r="F4349" s="675">
        <v>0.1</v>
      </c>
      <c r="G4349" s="676">
        <v>15799.99</v>
      </c>
      <c r="H4349" s="929">
        <v>1579.9990000000005</v>
      </c>
      <c r="I4349" s="929">
        <v>7373.3287000000009</v>
      </c>
      <c r="J4349" s="689">
        <f t="shared" si="68"/>
        <v>8426.6612999999998</v>
      </c>
    </row>
    <row r="4350" spans="1:10" ht="12.75" customHeight="1" x14ac:dyDescent="0.2">
      <c r="A4350" s="681" t="s">
        <v>2372</v>
      </c>
      <c r="B4350" s="693" t="s">
        <v>6909</v>
      </c>
      <c r="C4350" s="672" t="s">
        <v>1007</v>
      </c>
      <c r="D4350" s="673">
        <v>41739</v>
      </c>
      <c r="E4350" s="674">
        <v>10</v>
      </c>
      <c r="F4350" s="675">
        <v>0.1</v>
      </c>
      <c r="G4350" s="676">
        <v>15799.99</v>
      </c>
      <c r="H4350" s="929">
        <v>1579.9990000000005</v>
      </c>
      <c r="I4350" s="929">
        <v>7373.3287000000009</v>
      </c>
      <c r="J4350" s="689">
        <f t="shared" si="68"/>
        <v>8426.6612999999998</v>
      </c>
    </row>
    <row r="4351" spans="1:10" ht="12.75" customHeight="1" x14ac:dyDescent="0.2">
      <c r="A4351" s="681" t="s">
        <v>2372</v>
      </c>
      <c r="B4351" s="693" t="s">
        <v>6910</v>
      </c>
      <c r="C4351" s="672" t="s">
        <v>1007</v>
      </c>
      <c r="D4351" s="673">
        <v>41739</v>
      </c>
      <c r="E4351" s="674">
        <v>10</v>
      </c>
      <c r="F4351" s="675">
        <v>0.1</v>
      </c>
      <c r="G4351" s="676">
        <v>15799.99</v>
      </c>
      <c r="H4351" s="929">
        <v>1579.9990000000005</v>
      </c>
      <c r="I4351" s="929">
        <v>7373.3287000000009</v>
      </c>
      <c r="J4351" s="689">
        <f t="shared" si="68"/>
        <v>8426.6612999999998</v>
      </c>
    </row>
    <row r="4352" spans="1:10" ht="12.75" customHeight="1" x14ac:dyDescent="0.2">
      <c r="A4352" s="681" t="s">
        <v>2370</v>
      </c>
      <c r="B4352" s="693" t="s">
        <v>6911</v>
      </c>
      <c r="C4352" s="672" t="s">
        <v>939</v>
      </c>
      <c r="D4352" s="673">
        <v>41740</v>
      </c>
      <c r="E4352" s="674">
        <v>10</v>
      </c>
      <c r="F4352" s="675">
        <v>0.1</v>
      </c>
      <c r="G4352" s="676">
        <v>490</v>
      </c>
      <c r="H4352" s="929">
        <v>49.000000000000007</v>
      </c>
      <c r="I4352" s="929">
        <v>228.66669999999999</v>
      </c>
      <c r="J4352" s="689">
        <f t="shared" si="68"/>
        <v>261.33330000000001</v>
      </c>
    </row>
    <row r="4353" spans="1:10" ht="12.75" customHeight="1" x14ac:dyDescent="0.2">
      <c r="A4353" s="681" t="s">
        <v>2370</v>
      </c>
      <c r="B4353" s="693" t="s">
        <v>6912</v>
      </c>
      <c r="C4353" s="672" t="s">
        <v>939</v>
      </c>
      <c r="D4353" s="673">
        <v>41740</v>
      </c>
      <c r="E4353" s="674">
        <v>10</v>
      </c>
      <c r="F4353" s="675">
        <v>0.1</v>
      </c>
      <c r="G4353" s="676">
        <v>490</v>
      </c>
      <c r="H4353" s="929">
        <v>49.000000000000007</v>
      </c>
      <c r="I4353" s="929">
        <v>228.66669999999999</v>
      </c>
      <c r="J4353" s="689">
        <f t="shared" si="68"/>
        <v>261.33330000000001</v>
      </c>
    </row>
    <row r="4354" spans="1:10" ht="12.75" customHeight="1" x14ac:dyDescent="0.2">
      <c r="A4354" s="681" t="s">
        <v>2370</v>
      </c>
      <c r="B4354" s="693" t="s">
        <v>6913</v>
      </c>
      <c r="C4354" s="672" t="s">
        <v>939</v>
      </c>
      <c r="D4354" s="673">
        <v>41740</v>
      </c>
      <c r="E4354" s="674">
        <v>10</v>
      </c>
      <c r="F4354" s="675">
        <v>0.1</v>
      </c>
      <c r="G4354" s="676">
        <v>490</v>
      </c>
      <c r="H4354" s="929">
        <v>49.000000000000007</v>
      </c>
      <c r="I4354" s="929">
        <v>228.66669999999999</v>
      </c>
      <c r="J4354" s="689">
        <f t="shared" si="68"/>
        <v>261.33330000000001</v>
      </c>
    </row>
    <row r="4355" spans="1:10" ht="12.75" customHeight="1" x14ac:dyDescent="0.2">
      <c r="A4355" s="681" t="s">
        <v>2370</v>
      </c>
      <c r="B4355" s="693" t="s">
        <v>6914</v>
      </c>
      <c r="C4355" s="672" t="s">
        <v>939</v>
      </c>
      <c r="D4355" s="673">
        <v>41740</v>
      </c>
      <c r="E4355" s="674">
        <v>10</v>
      </c>
      <c r="F4355" s="675">
        <v>0.1</v>
      </c>
      <c r="G4355" s="676">
        <v>490</v>
      </c>
      <c r="H4355" s="929">
        <v>49.000000000000007</v>
      </c>
      <c r="I4355" s="929">
        <v>228.66669999999999</v>
      </c>
      <c r="J4355" s="689">
        <f t="shared" si="68"/>
        <v>261.33330000000001</v>
      </c>
    </row>
    <row r="4356" spans="1:10" ht="12.75" customHeight="1" x14ac:dyDescent="0.2">
      <c r="A4356" s="681" t="s">
        <v>2370</v>
      </c>
      <c r="B4356" s="693" t="s">
        <v>6915</v>
      </c>
      <c r="C4356" s="672" t="s">
        <v>939</v>
      </c>
      <c r="D4356" s="673">
        <v>41740</v>
      </c>
      <c r="E4356" s="674">
        <v>10</v>
      </c>
      <c r="F4356" s="675">
        <v>0.1</v>
      </c>
      <c r="G4356" s="676">
        <v>490</v>
      </c>
      <c r="H4356" s="929">
        <v>49.000000000000007</v>
      </c>
      <c r="I4356" s="929">
        <v>228.66669999999999</v>
      </c>
      <c r="J4356" s="689">
        <f t="shared" si="68"/>
        <v>261.33330000000001</v>
      </c>
    </row>
    <row r="4357" spans="1:10" ht="12.75" customHeight="1" x14ac:dyDescent="0.2">
      <c r="A4357" s="681" t="s">
        <v>2370</v>
      </c>
      <c r="B4357" s="693" t="s">
        <v>6916</v>
      </c>
      <c r="C4357" s="672" t="s">
        <v>939</v>
      </c>
      <c r="D4357" s="673">
        <v>41740</v>
      </c>
      <c r="E4357" s="674">
        <v>10</v>
      </c>
      <c r="F4357" s="675">
        <v>0.1</v>
      </c>
      <c r="G4357" s="676">
        <v>490</v>
      </c>
      <c r="H4357" s="929">
        <v>49.000000000000007</v>
      </c>
      <c r="I4357" s="929">
        <v>228.66669999999999</v>
      </c>
      <c r="J4357" s="689">
        <f t="shared" si="68"/>
        <v>261.33330000000001</v>
      </c>
    </row>
    <row r="4358" spans="1:10" ht="12.75" customHeight="1" x14ac:dyDescent="0.2">
      <c r="A4358" s="681" t="s">
        <v>2370</v>
      </c>
      <c r="B4358" s="693" t="s">
        <v>6917</v>
      </c>
      <c r="C4358" s="672" t="s">
        <v>789</v>
      </c>
      <c r="D4358" s="673">
        <v>41751</v>
      </c>
      <c r="E4358" s="674">
        <v>10</v>
      </c>
      <c r="F4358" s="675">
        <v>0.1</v>
      </c>
      <c r="G4358" s="676">
        <v>121</v>
      </c>
      <c r="H4358" s="929">
        <v>12.099999999999996</v>
      </c>
      <c r="I4358" s="929">
        <v>56.466699999999989</v>
      </c>
      <c r="J4358" s="689">
        <f t="shared" si="68"/>
        <v>64.533300000000011</v>
      </c>
    </row>
    <row r="4359" spans="1:10" ht="12.75" customHeight="1" x14ac:dyDescent="0.2">
      <c r="A4359" s="681" t="s">
        <v>2370</v>
      </c>
      <c r="B4359" s="693" t="s">
        <v>6918</v>
      </c>
      <c r="C4359" s="672" t="s">
        <v>789</v>
      </c>
      <c r="D4359" s="673">
        <v>41751</v>
      </c>
      <c r="E4359" s="674">
        <v>10</v>
      </c>
      <c r="F4359" s="675">
        <v>0.1</v>
      </c>
      <c r="G4359" s="676">
        <v>121</v>
      </c>
      <c r="H4359" s="929">
        <v>12.099999999999996</v>
      </c>
      <c r="I4359" s="929">
        <v>56.466699999999989</v>
      </c>
      <c r="J4359" s="689">
        <f t="shared" ref="J4359:J4422" si="69">G4359-I4359</f>
        <v>64.533300000000011</v>
      </c>
    </row>
    <row r="4360" spans="1:10" ht="12.75" customHeight="1" x14ac:dyDescent="0.2">
      <c r="A4360" s="681" t="s">
        <v>2370</v>
      </c>
      <c r="B4360" s="693" t="s">
        <v>6919</v>
      </c>
      <c r="C4360" s="672" t="s">
        <v>789</v>
      </c>
      <c r="D4360" s="673">
        <v>41751</v>
      </c>
      <c r="E4360" s="674">
        <v>10</v>
      </c>
      <c r="F4360" s="675">
        <v>0.1</v>
      </c>
      <c r="G4360" s="676">
        <v>121</v>
      </c>
      <c r="H4360" s="929">
        <v>12.099999999999996</v>
      </c>
      <c r="I4360" s="929">
        <v>56.466699999999989</v>
      </c>
      <c r="J4360" s="689">
        <f t="shared" si="69"/>
        <v>64.533300000000011</v>
      </c>
    </row>
    <row r="4361" spans="1:10" ht="12.75" customHeight="1" x14ac:dyDescent="0.2">
      <c r="A4361" s="681" t="s">
        <v>2370</v>
      </c>
      <c r="B4361" s="693" t="s">
        <v>6920</v>
      </c>
      <c r="C4361" s="672" t="s">
        <v>789</v>
      </c>
      <c r="D4361" s="673">
        <v>41751</v>
      </c>
      <c r="E4361" s="674">
        <v>10</v>
      </c>
      <c r="F4361" s="675">
        <v>0.1</v>
      </c>
      <c r="G4361" s="676">
        <v>121</v>
      </c>
      <c r="H4361" s="929">
        <v>12.099999999999996</v>
      </c>
      <c r="I4361" s="929">
        <v>56.466699999999989</v>
      </c>
      <c r="J4361" s="689">
        <f t="shared" si="69"/>
        <v>64.533300000000011</v>
      </c>
    </row>
    <row r="4362" spans="1:10" ht="12.75" customHeight="1" x14ac:dyDescent="0.2">
      <c r="A4362" s="681" t="s">
        <v>2370</v>
      </c>
      <c r="B4362" s="693" t="s">
        <v>6921</v>
      </c>
      <c r="C4362" s="672" t="s">
        <v>785</v>
      </c>
      <c r="D4362" s="673">
        <v>41758</v>
      </c>
      <c r="E4362" s="674">
        <v>10</v>
      </c>
      <c r="F4362" s="675">
        <v>0.1</v>
      </c>
      <c r="G4362" s="676">
        <v>382</v>
      </c>
      <c r="H4362" s="929">
        <v>38.199999999999996</v>
      </c>
      <c r="I4362" s="929">
        <v>178.26669999999999</v>
      </c>
      <c r="J4362" s="689">
        <f t="shared" si="69"/>
        <v>203.73330000000001</v>
      </c>
    </row>
    <row r="4363" spans="1:10" ht="12.75" customHeight="1" x14ac:dyDescent="0.2">
      <c r="A4363" s="681" t="s">
        <v>2370</v>
      </c>
      <c r="B4363" s="693" t="s">
        <v>6922</v>
      </c>
      <c r="C4363" s="672" t="s">
        <v>823</v>
      </c>
      <c r="D4363" s="673">
        <v>41758</v>
      </c>
      <c r="E4363" s="674">
        <v>10</v>
      </c>
      <c r="F4363" s="675">
        <v>0.1</v>
      </c>
      <c r="G4363" s="676">
        <v>382</v>
      </c>
      <c r="H4363" s="929">
        <v>38.199999999999996</v>
      </c>
      <c r="I4363" s="929">
        <v>178.26669999999999</v>
      </c>
      <c r="J4363" s="689">
        <f t="shared" si="69"/>
        <v>203.73330000000001</v>
      </c>
    </row>
    <row r="4364" spans="1:10" ht="12.75" customHeight="1" x14ac:dyDescent="0.2">
      <c r="A4364" s="681" t="s">
        <v>2370</v>
      </c>
      <c r="B4364" s="693" t="s">
        <v>6923</v>
      </c>
      <c r="C4364" s="672" t="s">
        <v>789</v>
      </c>
      <c r="D4364" s="673">
        <v>41758</v>
      </c>
      <c r="E4364" s="674">
        <v>10</v>
      </c>
      <c r="F4364" s="675">
        <v>0.1</v>
      </c>
      <c r="G4364" s="676">
        <v>700.94</v>
      </c>
      <c r="H4364" s="929">
        <v>70.094000000000008</v>
      </c>
      <c r="I4364" s="929">
        <v>327.1053</v>
      </c>
      <c r="J4364" s="689">
        <f t="shared" si="69"/>
        <v>373.83470000000005</v>
      </c>
    </row>
    <row r="4365" spans="1:10" ht="12.75" customHeight="1" x14ac:dyDescent="0.2">
      <c r="A4365" s="681" t="s">
        <v>2370</v>
      </c>
      <c r="B4365" s="693" t="s">
        <v>6924</v>
      </c>
      <c r="C4365" s="672" t="s">
        <v>785</v>
      </c>
      <c r="D4365" s="673">
        <v>41758</v>
      </c>
      <c r="E4365" s="674">
        <v>10</v>
      </c>
      <c r="F4365" s="675">
        <v>0.1</v>
      </c>
      <c r="G4365" s="676">
        <v>997</v>
      </c>
      <c r="H4365" s="929">
        <v>99.700000000000031</v>
      </c>
      <c r="I4365" s="929">
        <v>465.26670000000007</v>
      </c>
      <c r="J4365" s="689">
        <f t="shared" si="69"/>
        <v>531.73329999999987</v>
      </c>
    </row>
    <row r="4366" spans="1:10" ht="12.75" customHeight="1" x14ac:dyDescent="0.2">
      <c r="A4366" s="681" t="s">
        <v>2370</v>
      </c>
      <c r="B4366" s="693" t="s">
        <v>6925</v>
      </c>
      <c r="C4366" s="672" t="s">
        <v>785</v>
      </c>
      <c r="D4366" s="673">
        <v>41758</v>
      </c>
      <c r="E4366" s="674">
        <v>10</v>
      </c>
      <c r="F4366" s="675">
        <v>0.1</v>
      </c>
      <c r="G4366" s="676">
        <v>997</v>
      </c>
      <c r="H4366" s="929">
        <v>99.700000000000031</v>
      </c>
      <c r="I4366" s="929">
        <v>465.26670000000007</v>
      </c>
      <c r="J4366" s="689">
        <f t="shared" si="69"/>
        <v>531.73329999999987</v>
      </c>
    </row>
    <row r="4367" spans="1:10" ht="12.75" customHeight="1" x14ac:dyDescent="0.2">
      <c r="A4367" s="681" t="s">
        <v>2370</v>
      </c>
      <c r="B4367" s="693" t="s">
        <v>6926</v>
      </c>
      <c r="C4367" s="672" t="s">
        <v>785</v>
      </c>
      <c r="D4367" s="673">
        <v>41758</v>
      </c>
      <c r="E4367" s="674">
        <v>10</v>
      </c>
      <c r="F4367" s="675">
        <v>0.1</v>
      </c>
      <c r="G4367" s="676">
        <v>1209</v>
      </c>
      <c r="H4367" s="929">
        <v>120.90000000000002</v>
      </c>
      <c r="I4367" s="929">
        <v>564.20000000000005</v>
      </c>
      <c r="J4367" s="689">
        <f t="shared" si="69"/>
        <v>644.79999999999995</v>
      </c>
    </row>
    <row r="4368" spans="1:10" ht="12.75" customHeight="1" x14ac:dyDescent="0.2">
      <c r="A4368" s="681" t="s">
        <v>2370</v>
      </c>
      <c r="B4368" s="693" t="s">
        <v>6927</v>
      </c>
      <c r="C4368" s="672" t="s">
        <v>819</v>
      </c>
      <c r="D4368" s="673">
        <v>41761</v>
      </c>
      <c r="E4368" s="674">
        <v>10</v>
      </c>
      <c r="F4368" s="675">
        <v>0.1</v>
      </c>
      <c r="G4368" s="676">
        <v>428.64</v>
      </c>
      <c r="H4368" s="929">
        <v>42.864000000000004</v>
      </c>
      <c r="I4368" s="929">
        <v>196.46</v>
      </c>
      <c r="J4368" s="689">
        <f t="shared" si="69"/>
        <v>232.17999999999998</v>
      </c>
    </row>
    <row r="4369" spans="1:10" ht="12.75" customHeight="1" x14ac:dyDescent="0.2">
      <c r="A4369" s="681" t="s">
        <v>2370</v>
      </c>
      <c r="B4369" s="693" t="s">
        <v>6928</v>
      </c>
      <c r="C4369" s="672" t="s">
        <v>819</v>
      </c>
      <c r="D4369" s="673">
        <v>41761</v>
      </c>
      <c r="E4369" s="674">
        <v>10</v>
      </c>
      <c r="F4369" s="675">
        <v>0.1</v>
      </c>
      <c r="G4369" s="676">
        <v>428.64</v>
      </c>
      <c r="H4369" s="929">
        <v>42.864000000000004</v>
      </c>
      <c r="I4369" s="929">
        <v>196.46</v>
      </c>
      <c r="J4369" s="689">
        <f t="shared" si="69"/>
        <v>232.17999999999998</v>
      </c>
    </row>
    <row r="4370" spans="1:10" ht="12.75" customHeight="1" x14ac:dyDescent="0.2">
      <c r="A4370" s="681" t="s">
        <v>2370</v>
      </c>
      <c r="B4370" s="693" t="s">
        <v>6929</v>
      </c>
      <c r="C4370" s="672" t="s">
        <v>819</v>
      </c>
      <c r="D4370" s="673">
        <v>41761</v>
      </c>
      <c r="E4370" s="674">
        <v>10</v>
      </c>
      <c r="F4370" s="675">
        <v>0.1</v>
      </c>
      <c r="G4370" s="676">
        <v>428.64</v>
      </c>
      <c r="H4370" s="929">
        <v>42.864000000000004</v>
      </c>
      <c r="I4370" s="929">
        <v>196.46</v>
      </c>
      <c r="J4370" s="689">
        <f t="shared" si="69"/>
        <v>232.17999999999998</v>
      </c>
    </row>
    <row r="4371" spans="1:10" ht="12.75" customHeight="1" x14ac:dyDescent="0.2">
      <c r="A4371" s="681" t="s">
        <v>2370</v>
      </c>
      <c r="B4371" s="693" t="s">
        <v>6930</v>
      </c>
      <c r="C4371" s="672" t="s">
        <v>856</v>
      </c>
      <c r="D4371" s="673">
        <v>41761</v>
      </c>
      <c r="E4371" s="674">
        <v>10</v>
      </c>
      <c r="F4371" s="675">
        <v>0.1</v>
      </c>
      <c r="G4371" s="676">
        <v>428.64</v>
      </c>
      <c r="H4371" s="929">
        <v>42.864000000000004</v>
      </c>
      <c r="I4371" s="929">
        <v>196.46</v>
      </c>
      <c r="J4371" s="689">
        <f t="shared" si="69"/>
        <v>232.17999999999998</v>
      </c>
    </row>
    <row r="4372" spans="1:10" ht="12.75" customHeight="1" x14ac:dyDescent="0.2">
      <c r="A4372" s="681" t="s">
        <v>2370</v>
      </c>
      <c r="B4372" s="693" t="s">
        <v>6931</v>
      </c>
      <c r="C4372" s="672" t="s">
        <v>935</v>
      </c>
      <c r="D4372" s="673">
        <v>41771</v>
      </c>
      <c r="E4372" s="674">
        <v>10</v>
      </c>
      <c r="F4372" s="675">
        <v>0.1</v>
      </c>
      <c r="G4372" s="676">
        <v>14674</v>
      </c>
      <c r="H4372" s="929">
        <v>1467.3999999999999</v>
      </c>
      <c r="I4372" s="929">
        <v>6725.5832999999993</v>
      </c>
      <c r="J4372" s="689">
        <f t="shared" si="69"/>
        <v>7948.4167000000007</v>
      </c>
    </row>
    <row r="4373" spans="1:10" ht="12.75" customHeight="1" x14ac:dyDescent="0.2">
      <c r="A4373" s="681" t="s">
        <v>2370</v>
      </c>
      <c r="B4373" s="693" t="s">
        <v>6932</v>
      </c>
      <c r="C4373" s="672" t="s">
        <v>789</v>
      </c>
      <c r="D4373" s="673">
        <v>41774</v>
      </c>
      <c r="E4373" s="674">
        <v>10</v>
      </c>
      <c r="F4373" s="675">
        <v>0.1</v>
      </c>
      <c r="G4373" s="676">
        <v>450.61</v>
      </c>
      <c r="H4373" s="929">
        <v>45.060999999999986</v>
      </c>
      <c r="I4373" s="929">
        <v>206.52959999999999</v>
      </c>
      <c r="J4373" s="689">
        <f t="shared" si="69"/>
        <v>244.08040000000003</v>
      </c>
    </row>
    <row r="4374" spans="1:10" ht="12.75" customHeight="1" x14ac:dyDescent="0.2">
      <c r="A4374" s="681" t="s">
        <v>2370</v>
      </c>
      <c r="B4374" s="693" t="s">
        <v>6933</v>
      </c>
      <c r="C4374" s="672" t="s">
        <v>785</v>
      </c>
      <c r="D4374" s="673">
        <v>41774</v>
      </c>
      <c r="E4374" s="674">
        <v>10</v>
      </c>
      <c r="F4374" s="675">
        <v>0.1</v>
      </c>
      <c r="G4374" s="676">
        <v>664</v>
      </c>
      <c r="H4374" s="929">
        <v>66.399999999999991</v>
      </c>
      <c r="I4374" s="929">
        <v>304.33329999999995</v>
      </c>
      <c r="J4374" s="689">
        <f t="shared" si="69"/>
        <v>359.66670000000005</v>
      </c>
    </row>
    <row r="4375" spans="1:10" ht="12.75" customHeight="1" x14ac:dyDescent="0.2">
      <c r="A4375" s="681" t="s">
        <v>2370</v>
      </c>
      <c r="B4375" s="693" t="s">
        <v>6934</v>
      </c>
      <c r="C4375" s="672" t="s">
        <v>785</v>
      </c>
      <c r="D4375" s="673">
        <v>41774</v>
      </c>
      <c r="E4375" s="674">
        <v>10</v>
      </c>
      <c r="F4375" s="675">
        <v>0.1</v>
      </c>
      <c r="G4375" s="676">
        <v>664</v>
      </c>
      <c r="H4375" s="929">
        <v>66.399999999999991</v>
      </c>
      <c r="I4375" s="929">
        <v>304.33329999999995</v>
      </c>
      <c r="J4375" s="689">
        <f t="shared" si="69"/>
        <v>359.66670000000005</v>
      </c>
    </row>
    <row r="4376" spans="1:10" ht="12.75" customHeight="1" x14ac:dyDescent="0.2">
      <c r="A4376" s="681" t="s">
        <v>2370</v>
      </c>
      <c r="B4376" s="693" t="s">
        <v>6935</v>
      </c>
      <c r="C4376" s="672" t="s">
        <v>785</v>
      </c>
      <c r="D4376" s="673">
        <v>41774</v>
      </c>
      <c r="E4376" s="674">
        <v>10</v>
      </c>
      <c r="F4376" s="675">
        <v>0.1</v>
      </c>
      <c r="G4376" s="676">
        <v>665</v>
      </c>
      <c r="H4376" s="929">
        <v>66.499999999999986</v>
      </c>
      <c r="I4376" s="929">
        <v>304.79169999999999</v>
      </c>
      <c r="J4376" s="689">
        <f t="shared" si="69"/>
        <v>360.20830000000001</v>
      </c>
    </row>
    <row r="4377" spans="1:10" ht="12.75" customHeight="1" x14ac:dyDescent="0.2">
      <c r="A4377" s="681" t="s">
        <v>2370</v>
      </c>
      <c r="B4377" s="693" t="s">
        <v>6936</v>
      </c>
      <c r="C4377" s="672" t="s">
        <v>785</v>
      </c>
      <c r="D4377" s="673">
        <v>41774</v>
      </c>
      <c r="E4377" s="674">
        <v>10</v>
      </c>
      <c r="F4377" s="675">
        <v>0.1</v>
      </c>
      <c r="G4377" s="676">
        <v>665</v>
      </c>
      <c r="H4377" s="929">
        <v>66.499999999999986</v>
      </c>
      <c r="I4377" s="929">
        <v>304.79169999999999</v>
      </c>
      <c r="J4377" s="689">
        <f t="shared" si="69"/>
        <v>360.20830000000001</v>
      </c>
    </row>
    <row r="4378" spans="1:10" ht="12.75" customHeight="1" x14ac:dyDescent="0.2">
      <c r="A4378" s="681" t="s">
        <v>2370</v>
      </c>
      <c r="B4378" s="693" t="s">
        <v>6937</v>
      </c>
      <c r="C4378" s="672" t="s">
        <v>786</v>
      </c>
      <c r="D4378" s="673">
        <v>41774</v>
      </c>
      <c r="E4378" s="674">
        <v>10</v>
      </c>
      <c r="F4378" s="675">
        <v>0.1</v>
      </c>
      <c r="G4378" s="676">
        <v>6003</v>
      </c>
      <c r="H4378" s="929">
        <v>600.29999999999984</v>
      </c>
      <c r="I4378" s="929">
        <v>2751.3749999999995</v>
      </c>
      <c r="J4378" s="689">
        <f t="shared" si="69"/>
        <v>3251.6250000000005</v>
      </c>
    </row>
    <row r="4379" spans="1:10" ht="12.75" customHeight="1" x14ac:dyDescent="0.2">
      <c r="A4379" s="681" t="s">
        <v>2370</v>
      </c>
      <c r="B4379" s="693" t="s">
        <v>6938</v>
      </c>
      <c r="C4379" s="672" t="s">
        <v>943</v>
      </c>
      <c r="D4379" s="673">
        <v>41775</v>
      </c>
      <c r="E4379" s="674">
        <v>10</v>
      </c>
      <c r="F4379" s="675">
        <v>0.1</v>
      </c>
      <c r="G4379" s="676">
        <v>1690</v>
      </c>
      <c r="H4379" s="929">
        <v>169</v>
      </c>
      <c r="I4379" s="929">
        <v>774.58330000000001</v>
      </c>
      <c r="J4379" s="689">
        <f t="shared" si="69"/>
        <v>915.41669999999999</v>
      </c>
    </row>
    <row r="4380" spans="1:10" ht="12.75" customHeight="1" x14ac:dyDescent="0.2">
      <c r="A4380" s="681" t="s">
        <v>2370</v>
      </c>
      <c r="B4380" s="693" t="s">
        <v>6939</v>
      </c>
      <c r="C4380" s="672" t="s">
        <v>942</v>
      </c>
      <c r="D4380" s="673">
        <v>41775</v>
      </c>
      <c r="E4380" s="674">
        <v>10</v>
      </c>
      <c r="F4380" s="675">
        <v>0.1</v>
      </c>
      <c r="G4380" s="676">
        <v>5190</v>
      </c>
      <c r="H4380" s="929">
        <v>519</v>
      </c>
      <c r="I4380" s="929">
        <v>2378.75</v>
      </c>
      <c r="J4380" s="689">
        <f t="shared" si="69"/>
        <v>2811.25</v>
      </c>
    </row>
    <row r="4381" spans="1:10" ht="12.75" customHeight="1" x14ac:dyDescent="0.2">
      <c r="A4381" s="681" t="s">
        <v>2372</v>
      </c>
      <c r="B4381" s="693" t="s">
        <v>6940</v>
      </c>
      <c r="C4381" s="672" t="s">
        <v>1074</v>
      </c>
      <c r="D4381" s="673">
        <v>41778</v>
      </c>
      <c r="E4381" s="674">
        <v>10</v>
      </c>
      <c r="F4381" s="675">
        <v>0.1</v>
      </c>
      <c r="G4381" s="676">
        <v>1017</v>
      </c>
      <c r="H4381" s="929">
        <v>101.69999999999997</v>
      </c>
      <c r="I4381" s="929">
        <v>466.125</v>
      </c>
      <c r="J4381" s="689">
        <f t="shared" si="69"/>
        <v>550.875</v>
      </c>
    </row>
    <row r="4382" spans="1:10" ht="12.75" customHeight="1" x14ac:dyDescent="0.2">
      <c r="A4382" s="681" t="s">
        <v>2370</v>
      </c>
      <c r="B4382" s="693" t="s">
        <v>6941</v>
      </c>
      <c r="C4382" s="672" t="s">
        <v>785</v>
      </c>
      <c r="D4382" s="673">
        <v>41778</v>
      </c>
      <c r="E4382" s="674">
        <v>10</v>
      </c>
      <c r="F4382" s="675">
        <v>0.1</v>
      </c>
      <c r="G4382" s="676">
        <v>1497</v>
      </c>
      <c r="H4382" s="929">
        <v>149.69999999999996</v>
      </c>
      <c r="I4382" s="929">
        <v>686.12499999999989</v>
      </c>
      <c r="J4382" s="689">
        <f t="shared" si="69"/>
        <v>810.87500000000011</v>
      </c>
    </row>
    <row r="4383" spans="1:10" ht="12.75" customHeight="1" x14ac:dyDescent="0.2">
      <c r="A4383" s="681" t="s">
        <v>2370</v>
      </c>
      <c r="B4383" s="693" t="s">
        <v>6942</v>
      </c>
      <c r="C4383" s="672" t="s">
        <v>786</v>
      </c>
      <c r="D4383" s="673">
        <v>41778</v>
      </c>
      <c r="E4383" s="674">
        <v>10</v>
      </c>
      <c r="F4383" s="675">
        <v>0.1</v>
      </c>
      <c r="G4383" s="676">
        <v>2204</v>
      </c>
      <c r="H4383" s="929">
        <v>220.40000000000006</v>
      </c>
      <c r="I4383" s="929">
        <v>1010.1667000000002</v>
      </c>
      <c r="J4383" s="689">
        <f t="shared" si="69"/>
        <v>1193.8332999999998</v>
      </c>
    </row>
    <row r="4384" spans="1:10" ht="12.75" customHeight="1" x14ac:dyDescent="0.2">
      <c r="A4384" s="681" t="s">
        <v>2370</v>
      </c>
      <c r="B4384" s="693" t="s">
        <v>6943</v>
      </c>
      <c r="C4384" s="672" t="s">
        <v>820</v>
      </c>
      <c r="D4384" s="673">
        <v>41778</v>
      </c>
      <c r="E4384" s="674">
        <v>10</v>
      </c>
      <c r="F4384" s="675">
        <v>0.1</v>
      </c>
      <c r="G4384" s="676">
        <v>2400</v>
      </c>
      <c r="H4384" s="929">
        <v>240</v>
      </c>
      <c r="I4384" s="929">
        <v>1100</v>
      </c>
      <c r="J4384" s="689">
        <f t="shared" si="69"/>
        <v>1300</v>
      </c>
    </row>
    <row r="4385" spans="1:10" ht="12.75" customHeight="1" x14ac:dyDescent="0.2">
      <c r="A4385" s="681" t="s">
        <v>2370</v>
      </c>
      <c r="B4385" s="693" t="s">
        <v>6944</v>
      </c>
      <c r="C4385" s="672" t="s">
        <v>820</v>
      </c>
      <c r="D4385" s="673">
        <v>41778</v>
      </c>
      <c r="E4385" s="674">
        <v>10</v>
      </c>
      <c r="F4385" s="675">
        <v>0.1</v>
      </c>
      <c r="G4385" s="676">
        <v>2400</v>
      </c>
      <c r="H4385" s="929">
        <v>240</v>
      </c>
      <c r="I4385" s="929">
        <v>1100</v>
      </c>
      <c r="J4385" s="689">
        <f t="shared" si="69"/>
        <v>1300</v>
      </c>
    </row>
    <row r="4386" spans="1:10" ht="12.75" customHeight="1" x14ac:dyDescent="0.2">
      <c r="A4386" s="681" t="s">
        <v>2370</v>
      </c>
      <c r="B4386" s="693" t="s">
        <v>6945</v>
      </c>
      <c r="C4386" s="672" t="s">
        <v>820</v>
      </c>
      <c r="D4386" s="673">
        <v>41778</v>
      </c>
      <c r="E4386" s="674">
        <v>10</v>
      </c>
      <c r="F4386" s="675">
        <v>0.1</v>
      </c>
      <c r="G4386" s="676">
        <v>2400</v>
      </c>
      <c r="H4386" s="929">
        <v>240</v>
      </c>
      <c r="I4386" s="929">
        <v>1100</v>
      </c>
      <c r="J4386" s="689">
        <f t="shared" si="69"/>
        <v>1300</v>
      </c>
    </row>
    <row r="4387" spans="1:10" ht="12.75" customHeight="1" x14ac:dyDescent="0.2">
      <c r="A4387" s="681" t="s">
        <v>2370</v>
      </c>
      <c r="B4387" s="693" t="s">
        <v>6946</v>
      </c>
      <c r="C4387" s="672" t="s">
        <v>820</v>
      </c>
      <c r="D4387" s="673">
        <v>41778</v>
      </c>
      <c r="E4387" s="674">
        <v>10</v>
      </c>
      <c r="F4387" s="675">
        <v>0.1</v>
      </c>
      <c r="G4387" s="676">
        <v>2400</v>
      </c>
      <c r="H4387" s="929">
        <v>240</v>
      </c>
      <c r="I4387" s="929">
        <v>1100</v>
      </c>
      <c r="J4387" s="689">
        <f t="shared" si="69"/>
        <v>1300</v>
      </c>
    </row>
    <row r="4388" spans="1:10" ht="12.75" customHeight="1" x14ac:dyDescent="0.2">
      <c r="A4388" s="681" t="s">
        <v>2370</v>
      </c>
      <c r="B4388" s="693" t="s">
        <v>6947</v>
      </c>
      <c r="C4388" s="672" t="s">
        <v>820</v>
      </c>
      <c r="D4388" s="673">
        <v>41778</v>
      </c>
      <c r="E4388" s="674">
        <v>10</v>
      </c>
      <c r="F4388" s="675">
        <v>0.1</v>
      </c>
      <c r="G4388" s="676">
        <v>2400</v>
      </c>
      <c r="H4388" s="929">
        <v>240</v>
      </c>
      <c r="I4388" s="929">
        <v>1100</v>
      </c>
      <c r="J4388" s="689">
        <f t="shared" si="69"/>
        <v>1300</v>
      </c>
    </row>
    <row r="4389" spans="1:10" ht="12.75" customHeight="1" x14ac:dyDescent="0.2">
      <c r="A4389" s="681" t="s">
        <v>2370</v>
      </c>
      <c r="B4389" s="693" t="s">
        <v>6948</v>
      </c>
      <c r="C4389" s="672" t="s">
        <v>820</v>
      </c>
      <c r="D4389" s="673">
        <v>41778</v>
      </c>
      <c r="E4389" s="674">
        <v>10</v>
      </c>
      <c r="F4389" s="675">
        <v>0.1</v>
      </c>
      <c r="G4389" s="676">
        <v>2400</v>
      </c>
      <c r="H4389" s="929">
        <v>240</v>
      </c>
      <c r="I4389" s="929">
        <v>1100</v>
      </c>
      <c r="J4389" s="689">
        <f t="shared" si="69"/>
        <v>1300</v>
      </c>
    </row>
    <row r="4390" spans="1:10" ht="12.75" customHeight="1" x14ac:dyDescent="0.2">
      <c r="A4390" s="681" t="s">
        <v>2370</v>
      </c>
      <c r="B4390" s="693" t="s">
        <v>6949</v>
      </c>
      <c r="C4390" s="672" t="s">
        <v>820</v>
      </c>
      <c r="D4390" s="673">
        <v>41778</v>
      </c>
      <c r="E4390" s="674">
        <v>10</v>
      </c>
      <c r="F4390" s="675">
        <v>0.1</v>
      </c>
      <c r="G4390" s="676">
        <v>2400</v>
      </c>
      <c r="H4390" s="929">
        <v>240</v>
      </c>
      <c r="I4390" s="929">
        <v>1100</v>
      </c>
      <c r="J4390" s="689">
        <f t="shared" si="69"/>
        <v>1300</v>
      </c>
    </row>
    <row r="4391" spans="1:10" ht="12.75" customHeight="1" x14ac:dyDescent="0.2">
      <c r="A4391" s="681" t="s">
        <v>2370</v>
      </c>
      <c r="B4391" s="693" t="s">
        <v>6950</v>
      </c>
      <c r="C4391" s="672" t="s">
        <v>820</v>
      </c>
      <c r="D4391" s="673">
        <v>41778</v>
      </c>
      <c r="E4391" s="674">
        <v>10</v>
      </c>
      <c r="F4391" s="675">
        <v>0.1</v>
      </c>
      <c r="G4391" s="676">
        <v>2400</v>
      </c>
      <c r="H4391" s="929">
        <v>240</v>
      </c>
      <c r="I4391" s="929">
        <v>1100</v>
      </c>
      <c r="J4391" s="689">
        <f t="shared" si="69"/>
        <v>1300</v>
      </c>
    </row>
    <row r="4392" spans="1:10" ht="12.75" customHeight="1" x14ac:dyDescent="0.2">
      <c r="A4392" s="681" t="s">
        <v>2370</v>
      </c>
      <c r="B4392" s="693" t="s">
        <v>6951</v>
      </c>
      <c r="C4392" s="672" t="s">
        <v>820</v>
      </c>
      <c r="D4392" s="673">
        <v>41778</v>
      </c>
      <c r="E4392" s="674">
        <v>10</v>
      </c>
      <c r="F4392" s="675">
        <v>0.1</v>
      </c>
      <c r="G4392" s="676">
        <v>2400</v>
      </c>
      <c r="H4392" s="929">
        <v>240</v>
      </c>
      <c r="I4392" s="929">
        <v>1100</v>
      </c>
      <c r="J4392" s="689">
        <f t="shared" si="69"/>
        <v>1300</v>
      </c>
    </row>
    <row r="4393" spans="1:10" ht="12.75" customHeight="1" x14ac:dyDescent="0.2">
      <c r="A4393" s="681" t="s">
        <v>2370</v>
      </c>
      <c r="B4393" s="693" t="s">
        <v>6952</v>
      </c>
      <c r="C4393" s="672" t="s">
        <v>820</v>
      </c>
      <c r="D4393" s="673">
        <v>41778</v>
      </c>
      <c r="E4393" s="674">
        <v>10</v>
      </c>
      <c r="F4393" s="675">
        <v>0.1</v>
      </c>
      <c r="G4393" s="676">
        <v>2400</v>
      </c>
      <c r="H4393" s="929">
        <v>240</v>
      </c>
      <c r="I4393" s="929">
        <v>1100</v>
      </c>
      <c r="J4393" s="689">
        <f t="shared" si="69"/>
        <v>1300</v>
      </c>
    </row>
    <row r="4394" spans="1:10" ht="12.75" customHeight="1" x14ac:dyDescent="0.2">
      <c r="A4394" s="681" t="s">
        <v>2370</v>
      </c>
      <c r="B4394" s="693" t="s">
        <v>6953</v>
      </c>
      <c r="C4394" s="672" t="s">
        <v>820</v>
      </c>
      <c r="D4394" s="673">
        <v>41778</v>
      </c>
      <c r="E4394" s="674">
        <v>10</v>
      </c>
      <c r="F4394" s="675">
        <v>0.1</v>
      </c>
      <c r="G4394" s="676">
        <v>2400</v>
      </c>
      <c r="H4394" s="929">
        <v>240</v>
      </c>
      <c r="I4394" s="929">
        <v>1100</v>
      </c>
      <c r="J4394" s="689">
        <f t="shared" si="69"/>
        <v>1300</v>
      </c>
    </row>
    <row r="4395" spans="1:10" ht="12.75" customHeight="1" x14ac:dyDescent="0.2">
      <c r="A4395" s="681" t="s">
        <v>2370</v>
      </c>
      <c r="B4395" s="693" t="s">
        <v>6954</v>
      </c>
      <c r="C4395" s="672" t="s">
        <v>820</v>
      </c>
      <c r="D4395" s="673">
        <v>41778</v>
      </c>
      <c r="E4395" s="674">
        <v>10</v>
      </c>
      <c r="F4395" s="675">
        <v>0.1</v>
      </c>
      <c r="G4395" s="676">
        <v>2400</v>
      </c>
      <c r="H4395" s="929">
        <v>240</v>
      </c>
      <c r="I4395" s="929">
        <v>1100</v>
      </c>
      <c r="J4395" s="689">
        <f t="shared" si="69"/>
        <v>1300</v>
      </c>
    </row>
    <row r="4396" spans="1:10" ht="12.75" customHeight="1" x14ac:dyDescent="0.2">
      <c r="A4396" s="681" t="s">
        <v>2370</v>
      </c>
      <c r="B4396" s="693" t="s">
        <v>6955</v>
      </c>
      <c r="C4396" s="672" t="s">
        <v>820</v>
      </c>
      <c r="D4396" s="673">
        <v>41778</v>
      </c>
      <c r="E4396" s="674">
        <v>10</v>
      </c>
      <c r="F4396" s="675">
        <v>0.1</v>
      </c>
      <c r="G4396" s="676">
        <v>2400</v>
      </c>
      <c r="H4396" s="929">
        <v>240</v>
      </c>
      <c r="I4396" s="929">
        <v>1100</v>
      </c>
      <c r="J4396" s="689">
        <f t="shared" si="69"/>
        <v>1300</v>
      </c>
    </row>
    <row r="4397" spans="1:10" ht="12.75" customHeight="1" x14ac:dyDescent="0.2">
      <c r="A4397" s="681" t="s">
        <v>2370</v>
      </c>
      <c r="B4397" s="693" t="s">
        <v>6956</v>
      </c>
      <c r="C4397" s="672" t="s">
        <v>820</v>
      </c>
      <c r="D4397" s="673">
        <v>41778</v>
      </c>
      <c r="E4397" s="674">
        <v>10</v>
      </c>
      <c r="F4397" s="675">
        <v>0.1</v>
      </c>
      <c r="G4397" s="676">
        <v>2400</v>
      </c>
      <c r="H4397" s="929">
        <v>240</v>
      </c>
      <c r="I4397" s="929">
        <v>1100</v>
      </c>
      <c r="J4397" s="689">
        <f t="shared" si="69"/>
        <v>1300</v>
      </c>
    </row>
    <row r="4398" spans="1:10" ht="12.75" customHeight="1" x14ac:dyDescent="0.2">
      <c r="A4398" s="681" t="s">
        <v>2370</v>
      </c>
      <c r="B4398" s="693" t="s">
        <v>6957</v>
      </c>
      <c r="C4398" s="672" t="s">
        <v>820</v>
      </c>
      <c r="D4398" s="673">
        <v>41778</v>
      </c>
      <c r="E4398" s="674">
        <v>10</v>
      </c>
      <c r="F4398" s="675">
        <v>0.1</v>
      </c>
      <c r="G4398" s="676">
        <v>2400</v>
      </c>
      <c r="H4398" s="929">
        <v>240</v>
      </c>
      <c r="I4398" s="929">
        <v>1100</v>
      </c>
      <c r="J4398" s="689">
        <f t="shared" si="69"/>
        <v>1300</v>
      </c>
    </row>
    <row r="4399" spans="1:10" ht="12.75" customHeight="1" x14ac:dyDescent="0.2">
      <c r="A4399" s="681" t="s">
        <v>2370</v>
      </c>
      <c r="B4399" s="693" t="s">
        <v>6958</v>
      </c>
      <c r="C4399" s="672" t="s">
        <v>869</v>
      </c>
      <c r="D4399" s="673">
        <v>41778</v>
      </c>
      <c r="E4399" s="674">
        <v>10</v>
      </c>
      <c r="F4399" s="675">
        <v>0.1</v>
      </c>
      <c r="G4399" s="676">
        <v>2960</v>
      </c>
      <c r="H4399" s="929">
        <v>296</v>
      </c>
      <c r="I4399" s="929">
        <v>1356.6667</v>
      </c>
      <c r="J4399" s="689">
        <f t="shared" si="69"/>
        <v>1603.3333</v>
      </c>
    </row>
    <row r="4400" spans="1:10" ht="12.75" customHeight="1" x14ac:dyDescent="0.2">
      <c r="A4400" s="681" t="s">
        <v>2370</v>
      </c>
      <c r="B4400" s="693" t="s">
        <v>6959</v>
      </c>
      <c r="C4400" s="672" t="s">
        <v>869</v>
      </c>
      <c r="D4400" s="673">
        <v>41778</v>
      </c>
      <c r="E4400" s="674">
        <v>10</v>
      </c>
      <c r="F4400" s="675">
        <v>0.1</v>
      </c>
      <c r="G4400" s="676">
        <v>2960</v>
      </c>
      <c r="H4400" s="929">
        <v>296</v>
      </c>
      <c r="I4400" s="929">
        <v>1356.6667</v>
      </c>
      <c r="J4400" s="689">
        <f t="shared" si="69"/>
        <v>1603.3333</v>
      </c>
    </row>
    <row r="4401" spans="1:10" ht="12.75" customHeight="1" x14ac:dyDescent="0.2">
      <c r="A4401" s="681" t="s">
        <v>2370</v>
      </c>
      <c r="B4401" s="693" t="s">
        <v>6960</v>
      </c>
      <c r="C4401" s="672" t="s">
        <v>869</v>
      </c>
      <c r="D4401" s="673">
        <v>41778</v>
      </c>
      <c r="E4401" s="674">
        <v>10</v>
      </c>
      <c r="F4401" s="675">
        <v>0.1</v>
      </c>
      <c r="G4401" s="676">
        <v>2960</v>
      </c>
      <c r="H4401" s="929">
        <v>296</v>
      </c>
      <c r="I4401" s="929">
        <v>1356.6667</v>
      </c>
      <c r="J4401" s="689">
        <f t="shared" si="69"/>
        <v>1603.3333</v>
      </c>
    </row>
    <row r="4402" spans="1:10" ht="12.75" customHeight="1" x14ac:dyDescent="0.2">
      <c r="A4402" s="681" t="s">
        <v>2370</v>
      </c>
      <c r="B4402" s="693" t="s">
        <v>6961</v>
      </c>
      <c r="C4402" s="672" t="s">
        <v>869</v>
      </c>
      <c r="D4402" s="673">
        <v>41778</v>
      </c>
      <c r="E4402" s="674">
        <v>10</v>
      </c>
      <c r="F4402" s="675">
        <v>0.1</v>
      </c>
      <c r="G4402" s="676">
        <v>2960</v>
      </c>
      <c r="H4402" s="929">
        <v>296</v>
      </c>
      <c r="I4402" s="929">
        <v>1356.6667</v>
      </c>
      <c r="J4402" s="689">
        <f t="shared" si="69"/>
        <v>1603.3333</v>
      </c>
    </row>
    <row r="4403" spans="1:10" ht="12.75" customHeight="1" x14ac:dyDescent="0.2">
      <c r="A4403" s="681" t="s">
        <v>2370</v>
      </c>
      <c r="B4403" s="693" t="s">
        <v>6962</v>
      </c>
      <c r="C4403" s="672" t="s">
        <v>869</v>
      </c>
      <c r="D4403" s="673">
        <v>41778</v>
      </c>
      <c r="E4403" s="674">
        <v>10</v>
      </c>
      <c r="F4403" s="675">
        <v>0.1</v>
      </c>
      <c r="G4403" s="676">
        <v>2960</v>
      </c>
      <c r="H4403" s="929">
        <v>296</v>
      </c>
      <c r="I4403" s="929">
        <v>1356.6667</v>
      </c>
      <c r="J4403" s="689">
        <f t="shared" si="69"/>
        <v>1603.3333</v>
      </c>
    </row>
    <row r="4404" spans="1:10" ht="12.75" customHeight="1" x14ac:dyDescent="0.2">
      <c r="A4404" s="681" t="s">
        <v>2370</v>
      </c>
      <c r="B4404" s="693" t="s">
        <v>6963</v>
      </c>
      <c r="C4404" s="672" t="s">
        <v>869</v>
      </c>
      <c r="D4404" s="673">
        <v>41778</v>
      </c>
      <c r="E4404" s="674">
        <v>10</v>
      </c>
      <c r="F4404" s="675">
        <v>0.1</v>
      </c>
      <c r="G4404" s="676">
        <v>2960</v>
      </c>
      <c r="H4404" s="929">
        <v>296</v>
      </c>
      <c r="I4404" s="929">
        <v>1356.6667</v>
      </c>
      <c r="J4404" s="689">
        <f t="shared" si="69"/>
        <v>1603.3333</v>
      </c>
    </row>
    <row r="4405" spans="1:10" ht="12.75" customHeight="1" x14ac:dyDescent="0.2">
      <c r="A4405" s="681" t="s">
        <v>2370</v>
      </c>
      <c r="B4405" s="693" t="s">
        <v>6964</v>
      </c>
      <c r="C4405" s="672" t="s">
        <v>869</v>
      </c>
      <c r="D4405" s="673">
        <v>41778</v>
      </c>
      <c r="E4405" s="674">
        <v>10</v>
      </c>
      <c r="F4405" s="675">
        <v>0.1</v>
      </c>
      <c r="G4405" s="676">
        <v>2960</v>
      </c>
      <c r="H4405" s="929">
        <v>296</v>
      </c>
      <c r="I4405" s="929">
        <v>1356.6667</v>
      </c>
      <c r="J4405" s="689">
        <f t="shared" si="69"/>
        <v>1603.3333</v>
      </c>
    </row>
    <row r="4406" spans="1:10" ht="12.75" customHeight="1" x14ac:dyDescent="0.2">
      <c r="A4406" s="681" t="s">
        <v>2370</v>
      </c>
      <c r="B4406" s="693" t="s">
        <v>6965</v>
      </c>
      <c r="C4406" s="672" t="s">
        <v>869</v>
      </c>
      <c r="D4406" s="673">
        <v>41778</v>
      </c>
      <c r="E4406" s="674">
        <v>10</v>
      </c>
      <c r="F4406" s="675">
        <v>0.1</v>
      </c>
      <c r="G4406" s="676">
        <v>2960</v>
      </c>
      <c r="H4406" s="929">
        <v>296</v>
      </c>
      <c r="I4406" s="929">
        <v>1356.6667</v>
      </c>
      <c r="J4406" s="689">
        <f t="shared" si="69"/>
        <v>1603.3333</v>
      </c>
    </row>
    <row r="4407" spans="1:10" ht="12.75" customHeight="1" x14ac:dyDescent="0.2">
      <c r="A4407" s="681" t="s">
        <v>2370</v>
      </c>
      <c r="B4407" s="693" t="s">
        <v>6966</v>
      </c>
      <c r="C4407" s="672" t="s">
        <v>869</v>
      </c>
      <c r="D4407" s="673">
        <v>41778</v>
      </c>
      <c r="E4407" s="674">
        <v>10</v>
      </c>
      <c r="F4407" s="675">
        <v>0.1</v>
      </c>
      <c r="G4407" s="676">
        <v>2960</v>
      </c>
      <c r="H4407" s="929">
        <v>296</v>
      </c>
      <c r="I4407" s="929">
        <v>1356.6667</v>
      </c>
      <c r="J4407" s="689">
        <f t="shared" si="69"/>
        <v>1603.3333</v>
      </c>
    </row>
    <row r="4408" spans="1:10" ht="12.75" customHeight="1" x14ac:dyDescent="0.2">
      <c r="A4408" s="681" t="s">
        <v>2370</v>
      </c>
      <c r="B4408" s="693" t="s">
        <v>6967</v>
      </c>
      <c r="C4408" s="672" t="s">
        <v>869</v>
      </c>
      <c r="D4408" s="673">
        <v>41778</v>
      </c>
      <c r="E4408" s="674">
        <v>10</v>
      </c>
      <c r="F4408" s="675">
        <v>0.1</v>
      </c>
      <c r="G4408" s="676">
        <v>2960</v>
      </c>
      <c r="H4408" s="929">
        <v>296</v>
      </c>
      <c r="I4408" s="929">
        <v>1356.6667</v>
      </c>
      <c r="J4408" s="689">
        <f t="shared" si="69"/>
        <v>1603.3333</v>
      </c>
    </row>
    <row r="4409" spans="1:10" ht="12.75" customHeight="1" x14ac:dyDescent="0.2">
      <c r="A4409" s="681" t="s">
        <v>2370</v>
      </c>
      <c r="B4409" s="693" t="s">
        <v>6968</v>
      </c>
      <c r="C4409" s="672" t="s">
        <v>869</v>
      </c>
      <c r="D4409" s="673">
        <v>41778</v>
      </c>
      <c r="E4409" s="674">
        <v>10</v>
      </c>
      <c r="F4409" s="675">
        <v>0.1</v>
      </c>
      <c r="G4409" s="676">
        <v>2960</v>
      </c>
      <c r="H4409" s="929">
        <v>296</v>
      </c>
      <c r="I4409" s="929">
        <v>1356.6667</v>
      </c>
      <c r="J4409" s="689">
        <f t="shared" si="69"/>
        <v>1603.3333</v>
      </c>
    </row>
    <row r="4410" spans="1:10" ht="12.75" customHeight="1" x14ac:dyDescent="0.2">
      <c r="A4410" s="681" t="s">
        <v>2370</v>
      </c>
      <c r="B4410" s="693" t="s">
        <v>6969</v>
      </c>
      <c r="C4410" s="672" t="s">
        <v>869</v>
      </c>
      <c r="D4410" s="673">
        <v>41778</v>
      </c>
      <c r="E4410" s="674">
        <v>10</v>
      </c>
      <c r="F4410" s="675">
        <v>0.1</v>
      </c>
      <c r="G4410" s="676">
        <v>2960</v>
      </c>
      <c r="H4410" s="929">
        <v>296</v>
      </c>
      <c r="I4410" s="929">
        <v>1356.6667</v>
      </c>
      <c r="J4410" s="689">
        <f t="shared" si="69"/>
        <v>1603.3333</v>
      </c>
    </row>
    <row r="4411" spans="1:10" ht="12.75" customHeight="1" x14ac:dyDescent="0.2">
      <c r="A4411" s="681" t="s">
        <v>2370</v>
      </c>
      <c r="B4411" s="693" t="s">
        <v>6970</v>
      </c>
      <c r="C4411" s="672" t="s">
        <v>869</v>
      </c>
      <c r="D4411" s="673">
        <v>41778</v>
      </c>
      <c r="E4411" s="674">
        <v>10</v>
      </c>
      <c r="F4411" s="675">
        <v>0.1</v>
      </c>
      <c r="G4411" s="676">
        <v>2960</v>
      </c>
      <c r="H4411" s="929">
        <v>296</v>
      </c>
      <c r="I4411" s="929">
        <v>1356.6667</v>
      </c>
      <c r="J4411" s="689">
        <f t="shared" si="69"/>
        <v>1603.3333</v>
      </c>
    </row>
    <row r="4412" spans="1:10" ht="12.75" customHeight="1" x14ac:dyDescent="0.2">
      <c r="A4412" s="681" t="s">
        <v>2370</v>
      </c>
      <c r="B4412" s="693" t="s">
        <v>6971</v>
      </c>
      <c r="C4412" s="672" t="s">
        <v>869</v>
      </c>
      <c r="D4412" s="673">
        <v>41778</v>
      </c>
      <c r="E4412" s="674">
        <v>10</v>
      </c>
      <c r="F4412" s="675">
        <v>0.1</v>
      </c>
      <c r="G4412" s="676">
        <v>2960</v>
      </c>
      <c r="H4412" s="929">
        <v>296</v>
      </c>
      <c r="I4412" s="929">
        <v>1356.6667</v>
      </c>
      <c r="J4412" s="689">
        <f t="shared" si="69"/>
        <v>1603.3333</v>
      </c>
    </row>
    <row r="4413" spans="1:10" ht="12.75" customHeight="1" x14ac:dyDescent="0.2">
      <c r="A4413" s="681" t="s">
        <v>2370</v>
      </c>
      <c r="B4413" s="693" t="s">
        <v>6972</v>
      </c>
      <c r="C4413" s="672" t="s">
        <v>869</v>
      </c>
      <c r="D4413" s="673">
        <v>41778</v>
      </c>
      <c r="E4413" s="674">
        <v>10</v>
      </c>
      <c r="F4413" s="675">
        <v>0.1</v>
      </c>
      <c r="G4413" s="676">
        <v>2960</v>
      </c>
      <c r="H4413" s="929">
        <v>296</v>
      </c>
      <c r="I4413" s="929">
        <v>1356.6667</v>
      </c>
      <c r="J4413" s="689">
        <f t="shared" si="69"/>
        <v>1603.3333</v>
      </c>
    </row>
    <row r="4414" spans="1:10" ht="12.75" customHeight="1" x14ac:dyDescent="0.2">
      <c r="A4414" s="681" t="s">
        <v>2370</v>
      </c>
      <c r="B4414" s="693" t="s">
        <v>6973</v>
      </c>
      <c r="C4414" s="672" t="s">
        <v>950</v>
      </c>
      <c r="D4414" s="673">
        <v>41780</v>
      </c>
      <c r="E4414" s="674">
        <v>10</v>
      </c>
      <c r="F4414" s="675">
        <v>0.1</v>
      </c>
      <c r="G4414" s="676">
        <v>601</v>
      </c>
      <c r="H4414" s="929">
        <v>60.099999999999994</v>
      </c>
      <c r="I4414" s="929">
        <v>275.45830000000001</v>
      </c>
      <c r="J4414" s="689">
        <f t="shared" si="69"/>
        <v>325.54169999999999</v>
      </c>
    </row>
    <row r="4415" spans="1:10" ht="12.75" customHeight="1" x14ac:dyDescent="0.2">
      <c r="A4415" s="681" t="s">
        <v>2370</v>
      </c>
      <c r="B4415" s="693" t="s">
        <v>6974</v>
      </c>
      <c r="C4415" s="672" t="s">
        <v>950</v>
      </c>
      <c r="D4415" s="673">
        <v>41780</v>
      </c>
      <c r="E4415" s="674">
        <v>10</v>
      </c>
      <c r="F4415" s="675">
        <v>0.1</v>
      </c>
      <c r="G4415" s="676">
        <v>601</v>
      </c>
      <c r="H4415" s="929">
        <v>60.099999999999994</v>
      </c>
      <c r="I4415" s="929">
        <v>275.45830000000001</v>
      </c>
      <c r="J4415" s="689">
        <f t="shared" si="69"/>
        <v>325.54169999999999</v>
      </c>
    </row>
    <row r="4416" spans="1:10" ht="12.75" customHeight="1" x14ac:dyDescent="0.2">
      <c r="A4416" s="681" t="s">
        <v>2372</v>
      </c>
      <c r="B4416" s="693" t="s">
        <v>6975</v>
      </c>
      <c r="C4416" s="672" t="s">
        <v>1074</v>
      </c>
      <c r="D4416" s="673">
        <v>41780</v>
      </c>
      <c r="E4416" s="674">
        <v>10</v>
      </c>
      <c r="F4416" s="675">
        <v>0.1</v>
      </c>
      <c r="G4416" s="676">
        <v>722</v>
      </c>
      <c r="H4416" s="929">
        <v>72.2</v>
      </c>
      <c r="I4416" s="929">
        <v>330.91669999999999</v>
      </c>
      <c r="J4416" s="689">
        <f t="shared" si="69"/>
        <v>391.08330000000001</v>
      </c>
    </row>
    <row r="4417" spans="1:10" ht="12.75" customHeight="1" x14ac:dyDescent="0.2">
      <c r="A4417" s="681" t="s">
        <v>2372</v>
      </c>
      <c r="B4417" s="693" t="s">
        <v>6976</v>
      </c>
      <c r="C4417" s="672" t="s">
        <v>1074</v>
      </c>
      <c r="D4417" s="673">
        <v>41780</v>
      </c>
      <c r="E4417" s="674">
        <v>10</v>
      </c>
      <c r="F4417" s="675">
        <v>0.1</v>
      </c>
      <c r="G4417" s="676">
        <v>722</v>
      </c>
      <c r="H4417" s="929">
        <v>72.2</v>
      </c>
      <c r="I4417" s="929">
        <v>330.91669999999999</v>
      </c>
      <c r="J4417" s="689">
        <f t="shared" si="69"/>
        <v>391.08330000000001</v>
      </c>
    </row>
    <row r="4418" spans="1:10" ht="12.75" customHeight="1" x14ac:dyDescent="0.2">
      <c r="A4418" s="681" t="s">
        <v>2372</v>
      </c>
      <c r="B4418" s="693" t="s">
        <v>6977</v>
      </c>
      <c r="C4418" s="672" t="s">
        <v>1074</v>
      </c>
      <c r="D4418" s="673">
        <v>41780</v>
      </c>
      <c r="E4418" s="674">
        <v>10</v>
      </c>
      <c r="F4418" s="675">
        <v>0.1</v>
      </c>
      <c r="G4418" s="676">
        <v>722</v>
      </c>
      <c r="H4418" s="929">
        <v>72.2</v>
      </c>
      <c r="I4418" s="929">
        <v>330.91669999999999</v>
      </c>
      <c r="J4418" s="689">
        <f t="shared" si="69"/>
        <v>391.08330000000001</v>
      </c>
    </row>
    <row r="4419" spans="1:10" ht="12.75" customHeight="1" x14ac:dyDescent="0.2">
      <c r="A4419" s="681" t="s">
        <v>2372</v>
      </c>
      <c r="B4419" s="693" t="s">
        <v>6978</v>
      </c>
      <c r="C4419" s="672" t="s">
        <v>1098</v>
      </c>
      <c r="D4419" s="673">
        <v>41780</v>
      </c>
      <c r="E4419" s="674">
        <v>10</v>
      </c>
      <c r="F4419" s="675">
        <v>0.1</v>
      </c>
      <c r="G4419" s="676">
        <v>1035</v>
      </c>
      <c r="H4419" s="929">
        <v>103.5</v>
      </c>
      <c r="I4419" s="929">
        <v>474.375</v>
      </c>
      <c r="J4419" s="689">
        <f t="shared" si="69"/>
        <v>560.625</v>
      </c>
    </row>
    <row r="4420" spans="1:10" ht="12.75" customHeight="1" x14ac:dyDescent="0.2">
      <c r="A4420" s="681" t="s">
        <v>2372</v>
      </c>
      <c r="B4420" s="693" t="s">
        <v>6979</v>
      </c>
      <c r="C4420" s="672" t="s">
        <v>1098</v>
      </c>
      <c r="D4420" s="673">
        <v>41780</v>
      </c>
      <c r="E4420" s="674">
        <v>10</v>
      </c>
      <c r="F4420" s="675">
        <v>0.1</v>
      </c>
      <c r="G4420" s="676">
        <v>1035</v>
      </c>
      <c r="H4420" s="929">
        <v>103.5</v>
      </c>
      <c r="I4420" s="929">
        <v>474.375</v>
      </c>
      <c r="J4420" s="689">
        <f t="shared" si="69"/>
        <v>560.625</v>
      </c>
    </row>
    <row r="4421" spans="1:10" ht="12.75" customHeight="1" x14ac:dyDescent="0.2">
      <c r="A4421" s="681" t="s">
        <v>2372</v>
      </c>
      <c r="B4421" s="693" t="s">
        <v>6980</v>
      </c>
      <c r="C4421" s="672" t="s">
        <v>1098</v>
      </c>
      <c r="D4421" s="673">
        <v>41780</v>
      </c>
      <c r="E4421" s="674">
        <v>10</v>
      </c>
      <c r="F4421" s="675">
        <v>0.1</v>
      </c>
      <c r="G4421" s="676">
        <v>1035</v>
      </c>
      <c r="H4421" s="929">
        <v>103.5</v>
      </c>
      <c r="I4421" s="929">
        <v>474.375</v>
      </c>
      <c r="J4421" s="689">
        <f t="shared" si="69"/>
        <v>560.625</v>
      </c>
    </row>
    <row r="4422" spans="1:10" ht="12.75" customHeight="1" x14ac:dyDescent="0.2">
      <c r="A4422" s="681" t="s">
        <v>2372</v>
      </c>
      <c r="B4422" s="693" t="s">
        <v>6981</v>
      </c>
      <c r="C4422" s="672" t="s">
        <v>1098</v>
      </c>
      <c r="D4422" s="673">
        <v>41780</v>
      </c>
      <c r="E4422" s="674">
        <v>10</v>
      </c>
      <c r="F4422" s="675">
        <v>0.1</v>
      </c>
      <c r="G4422" s="676">
        <v>1035</v>
      </c>
      <c r="H4422" s="929">
        <v>103.5</v>
      </c>
      <c r="I4422" s="929">
        <v>474.375</v>
      </c>
      <c r="J4422" s="689">
        <f t="shared" si="69"/>
        <v>560.625</v>
      </c>
    </row>
    <row r="4423" spans="1:10" ht="12.75" customHeight="1" x14ac:dyDescent="0.2">
      <c r="A4423" s="681" t="s">
        <v>2372</v>
      </c>
      <c r="B4423" s="693" t="s">
        <v>6982</v>
      </c>
      <c r="C4423" s="672" t="s">
        <v>1098</v>
      </c>
      <c r="D4423" s="673">
        <v>41780</v>
      </c>
      <c r="E4423" s="674">
        <v>10</v>
      </c>
      <c r="F4423" s="675">
        <v>0.1</v>
      </c>
      <c r="G4423" s="676">
        <v>1035</v>
      </c>
      <c r="H4423" s="929">
        <v>103.5</v>
      </c>
      <c r="I4423" s="929">
        <v>474.375</v>
      </c>
      <c r="J4423" s="689">
        <f t="shared" ref="J4423:J4486" si="70">G4423-I4423</f>
        <v>560.625</v>
      </c>
    </row>
    <row r="4424" spans="1:10" ht="12.75" customHeight="1" x14ac:dyDescent="0.2">
      <c r="A4424" s="681" t="s">
        <v>2372</v>
      </c>
      <c r="B4424" s="693" t="s">
        <v>6983</v>
      </c>
      <c r="C4424" s="672" t="s">
        <v>1098</v>
      </c>
      <c r="D4424" s="673">
        <v>41780</v>
      </c>
      <c r="E4424" s="674">
        <v>10</v>
      </c>
      <c r="F4424" s="675">
        <v>0.1</v>
      </c>
      <c r="G4424" s="676">
        <v>1035</v>
      </c>
      <c r="H4424" s="929">
        <v>103.5</v>
      </c>
      <c r="I4424" s="929">
        <v>474.375</v>
      </c>
      <c r="J4424" s="689">
        <f t="shared" si="70"/>
        <v>560.625</v>
      </c>
    </row>
    <row r="4425" spans="1:10" ht="12.75" customHeight="1" x14ac:dyDescent="0.2">
      <c r="A4425" s="681" t="s">
        <v>2372</v>
      </c>
      <c r="B4425" s="693" t="s">
        <v>6984</v>
      </c>
      <c r="C4425" s="672" t="s">
        <v>1098</v>
      </c>
      <c r="D4425" s="673">
        <v>41780</v>
      </c>
      <c r="E4425" s="674">
        <v>10</v>
      </c>
      <c r="F4425" s="675">
        <v>0.1</v>
      </c>
      <c r="G4425" s="676">
        <v>1035</v>
      </c>
      <c r="H4425" s="929">
        <v>103.5</v>
      </c>
      <c r="I4425" s="929">
        <v>474.375</v>
      </c>
      <c r="J4425" s="689">
        <f t="shared" si="70"/>
        <v>560.625</v>
      </c>
    </row>
    <row r="4426" spans="1:10" ht="12.75" customHeight="1" x14ac:dyDescent="0.2">
      <c r="A4426" s="681" t="s">
        <v>2372</v>
      </c>
      <c r="B4426" s="693" t="s">
        <v>6985</v>
      </c>
      <c r="C4426" s="672" t="s">
        <v>1095</v>
      </c>
      <c r="D4426" s="673">
        <v>41780</v>
      </c>
      <c r="E4426" s="674">
        <v>10</v>
      </c>
      <c r="F4426" s="675">
        <v>0.1</v>
      </c>
      <c r="G4426" s="676">
        <v>1696</v>
      </c>
      <c r="H4426" s="929">
        <v>169.59999999999994</v>
      </c>
      <c r="I4426" s="929">
        <v>777.33329999999989</v>
      </c>
      <c r="J4426" s="689">
        <f t="shared" si="70"/>
        <v>918.66670000000011</v>
      </c>
    </row>
    <row r="4427" spans="1:10" ht="12.75" customHeight="1" x14ac:dyDescent="0.2">
      <c r="A4427" s="681" t="s">
        <v>2372</v>
      </c>
      <c r="B4427" s="693" t="s">
        <v>6986</v>
      </c>
      <c r="C4427" s="672" t="s">
        <v>1095</v>
      </c>
      <c r="D4427" s="673">
        <v>41780</v>
      </c>
      <c r="E4427" s="674">
        <v>10</v>
      </c>
      <c r="F4427" s="675">
        <v>0.1</v>
      </c>
      <c r="G4427" s="676">
        <v>2001</v>
      </c>
      <c r="H4427" s="929">
        <v>200.10000000000005</v>
      </c>
      <c r="I4427" s="929">
        <v>917.12500000000011</v>
      </c>
      <c r="J4427" s="689">
        <f t="shared" si="70"/>
        <v>1083.875</v>
      </c>
    </row>
    <row r="4428" spans="1:10" ht="12.75" customHeight="1" x14ac:dyDescent="0.2">
      <c r="A4428" s="681" t="s">
        <v>2372</v>
      </c>
      <c r="B4428" s="693" t="s">
        <v>6987</v>
      </c>
      <c r="C4428" s="672" t="s">
        <v>1093</v>
      </c>
      <c r="D4428" s="673">
        <v>41780</v>
      </c>
      <c r="E4428" s="674">
        <v>10</v>
      </c>
      <c r="F4428" s="675">
        <v>0.1</v>
      </c>
      <c r="G4428" s="676">
        <v>3219</v>
      </c>
      <c r="H4428" s="929">
        <v>321.89999999999992</v>
      </c>
      <c r="I4428" s="929">
        <v>1475.3749999999998</v>
      </c>
      <c r="J4428" s="689">
        <f t="shared" si="70"/>
        <v>1743.6250000000002</v>
      </c>
    </row>
    <row r="4429" spans="1:10" ht="12.75" customHeight="1" x14ac:dyDescent="0.2">
      <c r="A4429" s="681" t="s">
        <v>2372</v>
      </c>
      <c r="B4429" s="693" t="s">
        <v>6988</v>
      </c>
      <c r="C4429" s="672" t="s">
        <v>1096</v>
      </c>
      <c r="D4429" s="673">
        <v>41780</v>
      </c>
      <c r="E4429" s="674">
        <v>10</v>
      </c>
      <c r="F4429" s="675">
        <v>0.1</v>
      </c>
      <c r="G4429" s="676">
        <v>3219</v>
      </c>
      <c r="H4429" s="929">
        <v>321.89999999999992</v>
      </c>
      <c r="I4429" s="929">
        <v>1475.3749999999998</v>
      </c>
      <c r="J4429" s="689">
        <f t="shared" si="70"/>
        <v>1743.6250000000002</v>
      </c>
    </row>
    <row r="4430" spans="1:10" ht="12.75" customHeight="1" x14ac:dyDescent="0.2">
      <c r="A4430" s="681" t="s">
        <v>2372</v>
      </c>
      <c r="B4430" s="693" t="s">
        <v>6989</v>
      </c>
      <c r="C4430" s="672" t="s">
        <v>1092</v>
      </c>
      <c r="D4430" s="673">
        <v>41780</v>
      </c>
      <c r="E4430" s="674">
        <v>10</v>
      </c>
      <c r="F4430" s="675">
        <v>0.1</v>
      </c>
      <c r="G4430" s="676">
        <v>3422</v>
      </c>
      <c r="H4430" s="929">
        <v>342.19999999999987</v>
      </c>
      <c r="I4430" s="929">
        <v>1568.4166999999998</v>
      </c>
      <c r="J4430" s="689">
        <f t="shared" si="70"/>
        <v>1853.5833000000002</v>
      </c>
    </row>
    <row r="4431" spans="1:10" ht="12.75" customHeight="1" x14ac:dyDescent="0.2">
      <c r="A4431" s="681" t="s">
        <v>2372</v>
      </c>
      <c r="B4431" s="693" t="s">
        <v>6990</v>
      </c>
      <c r="C4431" s="672" t="s">
        <v>1063</v>
      </c>
      <c r="D4431" s="673">
        <v>41780</v>
      </c>
      <c r="E4431" s="674">
        <v>10</v>
      </c>
      <c r="F4431" s="675">
        <v>0.1</v>
      </c>
      <c r="G4431" s="676">
        <v>4089</v>
      </c>
      <c r="H4431" s="929">
        <v>408.89999999999992</v>
      </c>
      <c r="I4431" s="929">
        <v>1874.1249999999998</v>
      </c>
      <c r="J4431" s="689">
        <f t="shared" si="70"/>
        <v>2214.875</v>
      </c>
    </row>
    <row r="4432" spans="1:10" ht="12.75" customHeight="1" x14ac:dyDescent="0.2">
      <c r="A4432" s="681" t="s">
        <v>2372</v>
      </c>
      <c r="B4432" s="693" t="s">
        <v>6991</v>
      </c>
      <c r="C4432" s="672" t="s">
        <v>1094</v>
      </c>
      <c r="D4432" s="673">
        <v>41780</v>
      </c>
      <c r="E4432" s="674">
        <v>10</v>
      </c>
      <c r="F4432" s="675">
        <v>0.1</v>
      </c>
      <c r="G4432" s="676">
        <v>4959</v>
      </c>
      <c r="H4432" s="929">
        <v>495.89999999999992</v>
      </c>
      <c r="I4432" s="929">
        <v>2272.875</v>
      </c>
      <c r="J4432" s="689">
        <f t="shared" si="70"/>
        <v>2686.125</v>
      </c>
    </row>
    <row r="4433" spans="1:10" ht="12.75" customHeight="1" x14ac:dyDescent="0.2">
      <c r="A4433" s="681" t="s">
        <v>2372</v>
      </c>
      <c r="B4433" s="693" t="s">
        <v>6992</v>
      </c>
      <c r="C4433" s="672" t="s">
        <v>1097</v>
      </c>
      <c r="D4433" s="673">
        <v>41780</v>
      </c>
      <c r="E4433" s="674">
        <v>10</v>
      </c>
      <c r="F4433" s="675">
        <v>0.1</v>
      </c>
      <c r="G4433" s="676">
        <v>6177</v>
      </c>
      <c r="H4433" s="929">
        <v>617.70000000000016</v>
      </c>
      <c r="I4433" s="929">
        <v>2831.1250000000005</v>
      </c>
      <c r="J4433" s="689">
        <f t="shared" si="70"/>
        <v>3345.8749999999995</v>
      </c>
    </row>
    <row r="4434" spans="1:10" ht="12.75" customHeight="1" x14ac:dyDescent="0.2">
      <c r="A4434" s="681" t="s">
        <v>2372</v>
      </c>
      <c r="B4434" s="693" t="s">
        <v>6993</v>
      </c>
      <c r="C4434" s="672" t="s">
        <v>1091</v>
      </c>
      <c r="D4434" s="673">
        <v>41780</v>
      </c>
      <c r="E4434" s="674">
        <v>10</v>
      </c>
      <c r="F4434" s="675">
        <v>0.1</v>
      </c>
      <c r="G4434" s="676">
        <v>9309</v>
      </c>
      <c r="H4434" s="929">
        <v>930.9000000000002</v>
      </c>
      <c r="I4434" s="929">
        <v>4266.6250000000009</v>
      </c>
      <c r="J4434" s="689">
        <f t="shared" si="70"/>
        <v>5042.3749999999991</v>
      </c>
    </row>
    <row r="4435" spans="1:10" ht="12.75" customHeight="1" x14ac:dyDescent="0.2">
      <c r="A4435" s="681" t="s">
        <v>2372</v>
      </c>
      <c r="B4435" s="693" t="s">
        <v>6994</v>
      </c>
      <c r="C4435" s="672" t="s">
        <v>1003</v>
      </c>
      <c r="D4435" s="673">
        <v>41781</v>
      </c>
      <c r="E4435" s="674">
        <v>10</v>
      </c>
      <c r="F4435" s="675">
        <v>0.1</v>
      </c>
      <c r="G4435" s="676">
        <v>41782</v>
      </c>
      <c r="H4435" s="929">
        <v>4178.2</v>
      </c>
      <c r="I4435" s="929">
        <v>19150.083300000002</v>
      </c>
      <c r="J4435" s="689">
        <f t="shared" si="70"/>
        <v>22631.916699999998</v>
      </c>
    </row>
    <row r="4436" spans="1:10" ht="12.75" customHeight="1" x14ac:dyDescent="0.2">
      <c r="A4436" s="681" t="s">
        <v>2370</v>
      </c>
      <c r="B4436" s="693" t="s">
        <v>6995</v>
      </c>
      <c r="C4436" s="672" t="s">
        <v>936</v>
      </c>
      <c r="D4436" s="673">
        <v>41788</v>
      </c>
      <c r="E4436" s="674">
        <v>10</v>
      </c>
      <c r="F4436" s="675">
        <v>0.1</v>
      </c>
      <c r="G4436" s="676">
        <v>10719.86</v>
      </c>
      <c r="H4436" s="929">
        <v>1071.9860000000001</v>
      </c>
      <c r="I4436" s="929">
        <v>4913.2691999999997</v>
      </c>
      <c r="J4436" s="689">
        <f t="shared" si="70"/>
        <v>5806.5908000000009</v>
      </c>
    </row>
    <row r="4437" spans="1:10" ht="12.75" customHeight="1" x14ac:dyDescent="0.2">
      <c r="A4437" s="681" t="s">
        <v>2372</v>
      </c>
      <c r="B4437" s="693" t="s">
        <v>6996</v>
      </c>
      <c r="C4437" s="672" t="s">
        <v>1079</v>
      </c>
      <c r="D4437" s="673">
        <v>41794</v>
      </c>
      <c r="E4437" s="674">
        <v>10</v>
      </c>
      <c r="F4437" s="675">
        <v>0.1</v>
      </c>
      <c r="G4437" s="676">
        <v>877</v>
      </c>
      <c r="H4437" s="929">
        <v>87.700000000000031</v>
      </c>
      <c r="I4437" s="929">
        <v>394.65000000000009</v>
      </c>
      <c r="J4437" s="689">
        <f t="shared" si="70"/>
        <v>482.34999999999991</v>
      </c>
    </row>
    <row r="4438" spans="1:10" ht="12.75" customHeight="1" x14ac:dyDescent="0.2">
      <c r="A4438" s="681" t="s">
        <v>2370</v>
      </c>
      <c r="B4438" s="693" t="s">
        <v>6997</v>
      </c>
      <c r="C4438" s="672" t="s">
        <v>789</v>
      </c>
      <c r="D4438" s="673">
        <v>41801</v>
      </c>
      <c r="E4438" s="674">
        <v>10</v>
      </c>
      <c r="F4438" s="675">
        <v>0.1</v>
      </c>
      <c r="G4438" s="676">
        <v>1442</v>
      </c>
      <c r="H4438" s="929">
        <v>144.19999999999999</v>
      </c>
      <c r="I4438" s="929">
        <v>648.9</v>
      </c>
      <c r="J4438" s="689">
        <f t="shared" si="70"/>
        <v>793.1</v>
      </c>
    </row>
    <row r="4439" spans="1:10" ht="12.75" customHeight="1" x14ac:dyDescent="0.2">
      <c r="A4439" s="681" t="s">
        <v>2370</v>
      </c>
      <c r="B4439" s="693" t="s">
        <v>6998</v>
      </c>
      <c r="C4439" s="672" t="s">
        <v>789</v>
      </c>
      <c r="D4439" s="673">
        <v>41801</v>
      </c>
      <c r="E4439" s="674">
        <v>10</v>
      </c>
      <c r="F4439" s="675">
        <v>0.1</v>
      </c>
      <c r="G4439" s="676">
        <v>1442</v>
      </c>
      <c r="H4439" s="929">
        <v>144.19999999999999</v>
      </c>
      <c r="I4439" s="929">
        <v>648.9</v>
      </c>
      <c r="J4439" s="689">
        <f t="shared" si="70"/>
        <v>793.1</v>
      </c>
    </row>
    <row r="4440" spans="1:10" ht="12.75" customHeight="1" x14ac:dyDescent="0.2">
      <c r="A4440" s="681" t="s">
        <v>2370</v>
      </c>
      <c r="B4440" s="693" t="s">
        <v>6999</v>
      </c>
      <c r="C4440" s="672" t="s">
        <v>841</v>
      </c>
      <c r="D4440" s="673">
        <v>41801</v>
      </c>
      <c r="E4440" s="674">
        <v>10</v>
      </c>
      <c r="F4440" s="675">
        <v>0.1</v>
      </c>
      <c r="G4440" s="676">
        <v>1658.23</v>
      </c>
      <c r="H4440" s="929">
        <v>165.82299999999998</v>
      </c>
      <c r="I4440" s="929">
        <v>746.20349999999996</v>
      </c>
      <c r="J4440" s="689">
        <f t="shared" si="70"/>
        <v>912.02650000000006</v>
      </c>
    </row>
    <row r="4441" spans="1:10" ht="12.75" customHeight="1" x14ac:dyDescent="0.2">
      <c r="A4441" s="681" t="s">
        <v>2370</v>
      </c>
      <c r="B4441" s="693" t="s">
        <v>7000</v>
      </c>
      <c r="C4441" s="672" t="s">
        <v>927</v>
      </c>
      <c r="D4441" s="673">
        <v>41801</v>
      </c>
      <c r="E4441" s="674">
        <v>10</v>
      </c>
      <c r="F4441" s="675">
        <v>0.1</v>
      </c>
      <c r="G4441" s="676">
        <v>22102</v>
      </c>
      <c r="H4441" s="929">
        <v>2210.2000000000003</v>
      </c>
      <c r="I4441" s="929">
        <v>9945.9000000000015</v>
      </c>
      <c r="J4441" s="689">
        <f t="shared" si="70"/>
        <v>12156.099999999999</v>
      </c>
    </row>
    <row r="4442" spans="1:10" ht="12.75" customHeight="1" x14ac:dyDescent="0.2">
      <c r="A4442" s="681" t="s">
        <v>2370</v>
      </c>
      <c r="B4442" s="693" t="s">
        <v>7001</v>
      </c>
      <c r="C4442" s="672" t="s">
        <v>929</v>
      </c>
      <c r="D4442" s="673">
        <v>41807</v>
      </c>
      <c r="E4442" s="674">
        <v>10</v>
      </c>
      <c r="F4442" s="675">
        <v>0.1</v>
      </c>
      <c r="G4442" s="676">
        <v>2625</v>
      </c>
      <c r="H4442" s="929">
        <v>262.5</v>
      </c>
      <c r="I4442" s="929">
        <v>1181.25</v>
      </c>
      <c r="J4442" s="689">
        <f t="shared" si="70"/>
        <v>1443.75</v>
      </c>
    </row>
    <row r="4443" spans="1:10" ht="12.75" customHeight="1" x14ac:dyDescent="0.2">
      <c r="A4443" s="681" t="s">
        <v>2370</v>
      </c>
      <c r="B4443" s="693" t="s">
        <v>7002</v>
      </c>
      <c r="C4443" s="672" t="s">
        <v>929</v>
      </c>
      <c r="D4443" s="673">
        <v>41807</v>
      </c>
      <c r="E4443" s="674">
        <v>10</v>
      </c>
      <c r="F4443" s="675">
        <v>0.1</v>
      </c>
      <c r="G4443" s="676">
        <v>2625</v>
      </c>
      <c r="H4443" s="929">
        <v>262.5</v>
      </c>
      <c r="I4443" s="929">
        <v>1181.25</v>
      </c>
      <c r="J4443" s="689">
        <f t="shared" si="70"/>
        <v>1443.75</v>
      </c>
    </row>
    <row r="4444" spans="1:10" ht="12.75" customHeight="1" x14ac:dyDescent="0.2">
      <c r="A4444" s="681" t="s">
        <v>2370</v>
      </c>
      <c r="B4444" s="693" t="s">
        <v>7003</v>
      </c>
      <c r="C4444" s="672" t="s">
        <v>787</v>
      </c>
      <c r="D4444" s="673">
        <v>41808</v>
      </c>
      <c r="E4444" s="674">
        <v>10</v>
      </c>
      <c r="F4444" s="675">
        <v>0.1</v>
      </c>
      <c r="G4444" s="676">
        <v>3782</v>
      </c>
      <c r="H4444" s="929">
        <v>378.19999999999987</v>
      </c>
      <c r="I4444" s="929">
        <v>1701.8999999999999</v>
      </c>
      <c r="J4444" s="689">
        <f t="shared" si="70"/>
        <v>2080.1000000000004</v>
      </c>
    </row>
    <row r="4445" spans="1:10" ht="12.75" customHeight="1" x14ac:dyDescent="0.2">
      <c r="A4445" s="681" t="s">
        <v>2370</v>
      </c>
      <c r="B4445" s="693" t="s">
        <v>7004</v>
      </c>
      <c r="C4445" s="672" t="s">
        <v>787</v>
      </c>
      <c r="D4445" s="673">
        <v>41808</v>
      </c>
      <c r="E4445" s="674">
        <v>10</v>
      </c>
      <c r="F4445" s="675">
        <v>0.1</v>
      </c>
      <c r="G4445" s="676">
        <v>4795</v>
      </c>
      <c r="H4445" s="929">
        <v>479.49999999999994</v>
      </c>
      <c r="I4445" s="929">
        <v>2157.75</v>
      </c>
      <c r="J4445" s="689">
        <f t="shared" si="70"/>
        <v>2637.25</v>
      </c>
    </row>
    <row r="4446" spans="1:10" ht="12.75" customHeight="1" x14ac:dyDescent="0.2">
      <c r="A4446" s="681" t="s">
        <v>2370</v>
      </c>
      <c r="B4446" s="693" t="s">
        <v>7005</v>
      </c>
      <c r="C4446" s="672" t="s">
        <v>929</v>
      </c>
      <c r="D4446" s="673">
        <v>41810</v>
      </c>
      <c r="E4446" s="674">
        <v>10</v>
      </c>
      <c r="F4446" s="675">
        <v>0.1</v>
      </c>
      <c r="G4446" s="676">
        <v>2625</v>
      </c>
      <c r="H4446" s="929">
        <v>262.5</v>
      </c>
      <c r="I4446" s="929">
        <v>1181.25</v>
      </c>
      <c r="J4446" s="689">
        <f t="shared" si="70"/>
        <v>1443.75</v>
      </c>
    </row>
    <row r="4447" spans="1:10" ht="12.75" customHeight="1" x14ac:dyDescent="0.2">
      <c r="A4447" s="681" t="s">
        <v>2370</v>
      </c>
      <c r="B4447" s="693" t="s">
        <v>7006</v>
      </c>
      <c r="C4447" s="672" t="s">
        <v>785</v>
      </c>
      <c r="D4447" s="673">
        <v>41821</v>
      </c>
      <c r="E4447" s="674">
        <v>10</v>
      </c>
      <c r="F4447" s="675">
        <v>0.1</v>
      </c>
      <c r="G4447" s="676">
        <v>665.68</v>
      </c>
      <c r="H4447" s="929">
        <v>66.567999999999998</v>
      </c>
      <c r="I4447" s="929">
        <v>294.00869999999998</v>
      </c>
      <c r="J4447" s="689">
        <f t="shared" si="70"/>
        <v>371.67129999999997</v>
      </c>
    </row>
    <row r="4448" spans="1:10" ht="12.75" customHeight="1" x14ac:dyDescent="0.2">
      <c r="A4448" s="681" t="s">
        <v>2370</v>
      </c>
      <c r="B4448" s="693" t="s">
        <v>7007</v>
      </c>
      <c r="C4448" s="672" t="s">
        <v>785</v>
      </c>
      <c r="D4448" s="673">
        <v>41821</v>
      </c>
      <c r="E4448" s="674">
        <v>10</v>
      </c>
      <c r="F4448" s="675">
        <v>0.1</v>
      </c>
      <c r="G4448" s="676">
        <v>665.68</v>
      </c>
      <c r="H4448" s="929">
        <v>66.567999999999998</v>
      </c>
      <c r="I4448" s="929">
        <v>294.00869999999998</v>
      </c>
      <c r="J4448" s="689">
        <f t="shared" si="70"/>
        <v>371.67129999999997</v>
      </c>
    </row>
    <row r="4449" spans="1:10" ht="12.75" customHeight="1" x14ac:dyDescent="0.2">
      <c r="A4449" s="681" t="s">
        <v>2370</v>
      </c>
      <c r="B4449" s="693" t="s">
        <v>7008</v>
      </c>
      <c r="C4449" s="672" t="s">
        <v>785</v>
      </c>
      <c r="D4449" s="673">
        <v>41821</v>
      </c>
      <c r="E4449" s="674">
        <v>10</v>
      </c>
      <c r="F4449" s="675">
        <v>0.1</v>
      </c>
      <c r="G4449" s="676">
        <v>665.68</v>
      </c>
      <c r="H4449" s="929">
        <v>66.567999999999998</v>
      </c>
      <c r="I4449" s="929">
        <v>294.00869999999998</v>
      </c>
      <c r="J4449" s="689">
        <f t="shared" si="70"/>
        <v>371.67129999999997</v>
      </c>
    </row>
    <row r="4450" spans="1:10" ht="12.75" customHeight="1" x14ac:dyDescent="0.2">
      <c r="A4450" s="681" t="s">
        <v>2370</v>
      </c>
      <c r="B4450" s="693" t="s">
        <v>7009</v>
      </c>
      <c r="C4450" s="672" t="s">
        <v>785</v>
      </c>
      <c r="D4450" s="673">
        <v>41821</v>
      </c>
      <c r="E4450" s="674">
        <v>10</v>
      </c>
      <c r="F4450" s="675">
        <v>0.1</v>
      </c>
      <c r="G4450" s="676">
        <v>1426.64</v>
      </c>
      <c r="H4450" s="929">
        <v>142.66400000000002</v>
      </c>
      <c r="I4450" s="929">
        <v>630.09929999999997</v>
      </c>
      <c r="J4450" s="689">
        <f t="shared" si="70"/>
        <v>796.54070000000013</v>
      </c>
    </row>
    <row r="4451" spans="1:10" ht="12.75" customHeight="1" x14ac:dyDescent="0.2">
      <c r="A4451" s="681" t="s">
        <v>2370</v>
      </c>
      <c r="B4451" s="693" t="s">
        <v>7010</v>
      </c>
      <c r="C4451" s="672" t="s">
        <v>785</v>
      </c>
      <c r="D4451" s="673">
        <v>41821</v>
      </c>
      <c r="E4451" s="674">
        <v>10</v>
      </c>
      <c r="F4451" s="675">
        <v>0.1</v>
      </c>
      <c r="G4451" s="676">
        <v>1426.64</v>
      </c>
      <c r="H4451" s="929">
        <v>142.66400000000002</v>
      </c>
      <c r="I4451" s="929">
        <v>630.09929999999997</v>
      </c>
      <c r="J4451" s="689">
        <f t="shared" si="70"/>
        <v>796.54070000000013</v>
      </c>
    </row>
    <row r="4452" spans="1:10" ht="12.75" customHeight="1" x14ac:dyDescent="0.2">
      <c r="A4452" s="681" t="s">
        <v>2370</v>
      </c>
      <c r="B4452" s="693" t="s">
        <v>7011</v>
      </c>
      <c r="C4452" s="672" t="s">
        <v>788</v>
      </c>
      <c r="D4452" s="673">
        <v>41822</v>
      </c>
      <c r="E4452" s="674">
        <v>10</v>
      </c>
      <c r="F4452" s="675">
        <v>0.1</v>
      </c>
      <c r="G4452" s="676">
        <v>3333.68</v>
      </c>
      <c r="H4452" s="929">
        <v>333.36799999999999</v>
      </c>
      <c r="I4452" s="929">
        <v>1472.3752999999999</v>
      </c>
      <c r="J4452" s="689">
        <f t="shared" si="70"/>
        <v>1861.3046999999999</v>
      </c>
    </row>
    <row r="4453" spans="1:10" ht="12.75" customHeight="1" x14ac:dyDescent="0.2">
      <c r="A4453" s="681" t="s">
        <v>2370</v>
      </c>
      <c r="B4453" s="693" t="s">
        <v>7012</v>
      </c>
      <c r="C4453" s="672" t="s">
        <v>788</v>
      </c>
      <c r="D4453" s="673">
        <v>41822</v>
      </c>
      <c r="E4453" s="674">
        <v>10</v>
      </c>
      <c r="F4453" s="675">
        <v>0.1</v>
      </c>
      <c r="G4453" s="676">
        <v>3333.68</v>
      </c>
      <c r="H4453" s="929">
        <v>333.36799999999999</v>
      </c>
      <c r="I4453" s="929">
        <v>1472.3752999999999</v>
      </c>
      <c r="J4453" s="689">
        <f t="shared" si="70"/>
        <v>1861.3046999999999</v>
      </c>
    </row>
    <row r="4454" spans="1:10" ht="12.75" customHeight="1" x14ac:dyDescent="0.2">
      <c r="A4454" s="681" t="s">
        <v>2370</v>
      </c>
      <c r="B4454" s="693" t="s">
        <v>7013</v>
      </c>
      <c r="C4454" s="672" t="s">
        <v>788</v>
      </c>
      <c r="D4454" s="673">
        <v>41822</v>
      </c>
      <c r="E4454" s="674">
        <v>10</v>
      </c>
      <c r="F4454" s="675">
        <v>0.1</v>
      </c>
      <c r="G4454" s="676">
        <v>333368</v>
      </c>
      <c r="H4454" s="929">
        <v>33336.799999999996</v>
      </c>
      <c r="I4454" s="929">
        <v>147237.53329999998</v>
      </c>
      <c r="J4454" s="689">
        <f t="shared" si="70"/>
        <v>186130.46670000002</v>
      </c>
    </row>
    <row r="4455" spans="1:10" ht="12.75" customHeight="1" x14ac:dyDescent="0.2">
      <c r="A4455" s="681" t="s">
        <v>2372</v>
      </c>
      <c r="B4455" s="693" t="s">
        <v>7014</v>
      </c>
      <c r="C4455" s="672" t="s">
        <v>1002</v>
      </c>
      <c r="D4455" s="673">
        <v>41824</v>
      </c>
      <c r="E4455" s="674">
        <v>10</v>
      </c>
      <c r="F4455" s="675">
        <v>0.1</v>
      </c>
      <c r="G4455" s="676">
        <v>7083.7</v>
      </c>
      <c r="H4455" s="929">
        <v>708.37000000000023</v>
      </c>
      <c r="I4455" s="929">
        <v>3128.6342000000009</v>
      </c>
      <c r="J4455" s="689">
        <f t="shared" si="70"/>
        <v>3955.0657999999989</v>
      </c>
    </row>
    <row r="4456" spans="1:10" ht="12.75" customHeight="1" x14ac:dyDescent="0.2">
      <c r="A4456" s="681" t="s">
        <v>2372</v>
      </c>
      <c r="B4456" s="693" t="s">
        <v>7015</v>
      </c>
      <c r="C4456" s="672" t="s">
        <v>1047</v>
      </c>
      <c r="D4456" s="673">
        <v>41830</v>
      </c>
      <c r="E4456" s="674">
        <v>10</v>
      </c>
      <c r="F4456" s="675">
        <v>0.1</v>
      </c>
      <c r="G4456" s="676">
        <v>95236</v>
      </c>
      <c r="H4456" s="929">
        <v>9523.6</v>
      </c>
      <c r="I4456" s="929">
        <v>42062.566699999996</v>
      </c>
      <c r="J4456" s="689">
        <f t="shared" si="70"/>
        <v>53173.433300000004</v>
      </c>
    </row>
    <row r="4457" spans="1:10" ht="12.75" customHeight="1" x14ac:dyDescent="0.2">
      <c r="A4457" s="681" t="s">
        <v>2372</v>
      </c>
      <c r="B4457" s="693" t="s">
        <v>7016</v>
      </c>
      <c r="C4457" s="672" t="s">
        <v>1101</v>
      </c>
      <c r="D4457" s="673">
        <v>41834</v>
      </c>
      <c r="E4457" s="674">
        <v>10</v>
      </c>
      <c r="F4457" s="675">
        <v>0.1</v>
      </c>
      <c r="G4457" s="676">
        <v>304.92</v>
      </c>
      <c r="H4457" s="929">
        <v>30.492000000000001</v>
      </c>
      <c r="I4457" s="929">
        <v>134.673</v>
      </c>
      <c r="J4457" s="689">
        <f t="shared" si="70"/>
        <v>170.24700000000001</v>
      </c>
    </row>
    <row r="4458" spans="1:10" ht="12.75" customHeight="1" x14ac:dyDescent="0.2">
      <c r="A4458" s="681" t="s">
        <v>2372</v>
      </c>
      <c r="B4458" s="693" t="s">
        <v>7017</v>
      </c>
      <c r="C4458" s="672" t="s">
        <v>1101</v>
      </c>
      <c r="D4458" s="673">
        <v>41834</v>
      </c>
      <c r="E4458" s="674">
        <v>10</v>
      </c>
      <c r="F4458" s="675">
        <v>0.1</v>
      </c>
      <c r="G4458" s="676">
        <v>304.92</v>
      </c>
      <c r="H4458" s="929">
        <v>30.492000000000001</v>
      </c>
      <c r="I4458" s="929">
        <v>134.673</v>
      </c>
      <c r="J4458" s="689">
        <f t="shared" si="70"/>
        <v>170.24700000000001</v>
      </c>
    </row>
    <row r="4459" spans="1:10" ht="12.75" customHeight="1" x14ac:dyDescent="0.2">
      <c r="A4459" s="681" t="s">
        <v>2372</v>
      </c>
      <c r="B4459" s="693" t="s">
        <v>7018</v>
      </c>
      <c r="C4459" s="672" t="s">
        <v>1101</v>
      </c>
      <c r="D4459" s="673">
        <v>41834</v>
      </c>
      <c r="E4459" s="674">
        <v>10</v>
      </c>
      <c r="F4459" s="675">
        <v>0.1</v>
      </c>
      <c r="G4459" s="676">
        <v>304.92</v>
      </c>
      <c r="H4459" s="929">
        <v>30.492000000000001</v>
      </c>
      <c r="I4459" s="929">
        <v>134.673</v>
      </c>
      <c r="J4459" s="689">
        <f t="shared" si="70"/>
        <v>170.24700000000001</v>
      </c>
    </row>
    <row r="4460" spans="1:10" ht="12.75" customHeight="1" x14ac:dyDescent="0.2">
      <c r="A4460" s="681" t="s">
        <v>2372</v>
      </c>
      <c r="B4460" s="693" t="s">
        <v>7019</v>
      </c>
      <c r="C4460" s="672" t="s">
        <v>1101</v>
      </c>
      <c r="D4460" s="673">
        <v>41834</v>
      </c>
      <c r="E4460" s="674">
        <v>10</v>
      </c>
      <c r="F4460" s="675">
        <v>0.1</v>
      </c>
      <c r="G4460" s="676">
        <v>304.92</v>
      </c>
      <c r="H4460" s="929">
        <v>30.492000000000001</v>
      </c>
      <c r="I4460" s="929">
        <v>134.673</v>
      </c>
      <c r="J4460" s="689">
        <f t="shared" si="70"/>
        <v>170.24700000000001</v>
      </c>
    </row>
    <row r="4461" spans="1:10" ht="12.75" customHeight="1" x14ac:dyDescent="0.2">
      <c r="A4461" s="681" t="s">
        <v>2372</v>
      </c>
      <c r="B4461" s="693" t="s">
        <v>7020</v>
      </c>
      <c r="C4461" s="672" t="s">
        <v>1101</v>
      </c>
      <c r="D4461" s="673">
        <v>41834</v>
      </c>
      <c r="E4461" s="674">
        <v>10</v>
      </c>
      <c r="F4461" s="675">
        <v>0.1</v>
      </c>
      <c r="G4461" s="676">
        <v>304.92</v>
      </c>
      <c r="H4461" s="929">
        <v>30.492000000000001</v>
      </c>
      <c r="I4461" s="929">
        <v>134.673</v>
      </c>
      <c r="J4461" s="689">
        <f t="shared" si="70"/>
        <v>170.24700000000001</v>
      </c>
    </row>
    <row r="4462" spans="1:10" ht="12.75" customHeight="1" x14ac:dyDescent="0.2">
      <c r="A4462" s="681" t="s">
        <v>2372</v>
      </c>
      <c r="B4462" s="693" t="s">
        <v>7021</v>
      </c>
      <c r="C4462" s="672" t="s">
        <v>1101</v>
      </c>
      <c r="D4462" s="673">
        <v>41834</v>
      </c>
      <c r="E4462" s="674">
        <v>10</v>
      </c>
      <c r="F4462" s="675">
        <v>0.1</v>
      </c>
      <c r="G4462" s="676">
        <v>305</v>
      </c>
      <c r="H4462" s="929">
        <v>30.500000000000004</v>
      </c>
      <c r="I4462" s="929">
        <v>134.70830000000001</v>
      </c>
      <c r="J4462" s="689">
        <f t="shared" si="70"/>
        <v>170.29169999999999</v>
      </c>
    </row>
    <row r="4463" spans="1:10" ht="12.75" customHeight="1" x14ac:dyDescent="0.2">
      <c r="A4463" s="681" t="s">
        <v>2372</v>
      </c>
      <c r="B4463" s="693" t="s">
        <v>7022</v>
      </c>
      <c r="C4463" s="672" t="s">
        <v>1103</v>
      </c>
      <c r="D4463" s="673">
        <v>41834</v>
      </c>
      <c r="E4463" s="674">
        <v>10</v>
      </c>
      <c r="F4463" s="675">
        <v>0.1</v>
      </c>
      <c r="G4463" s="676">
        <v>429.98</v>
      </c>
      <c r="H4463" s="929">
        <v>42.99799999999999</v>
      </c>
      <c r="I4463" s="929">
        <v>189.90780000000001</v>
      </c>
      <c r="J4463" s="689">
        <f t="shared" si="70"/>
        <v>240.07220000000001</v>
      </c>
    </row>
    <row r="4464" spans="1:10" ht="12.75" customHeight="1" x14ac:dyDescent="0.2">
      <c r="A4464" s="681" t="s">
        <v>2370</v>
      </c>
      <c r="B4464" s="693" t="s">
        <v>7023</v>
      </c>
      <c r="C4464" s="672" t="s">
        <v>789</v>
      </c>
      <c r="D4464" s="673">
        <v>41862</v>
      </c>
      <c r="E4464" s="674">
        <v>10</v>
      </c>
      <c r="F4464" s="675">
        <v>0.1</v>
      </c>
      <c r="G4464" s="676">
        <v>468.64</v>
      </c>
      <c r="H4464" s="929">
        <v>46.863999999999983</v>
      </c>
      <c r="I4464" s="929">
        <v>203.07729999999995</v>
      </c>
      <c r="J4464" s="689">
        <f t="shared" si="70"/>
        <v>265.56270000000006</v>
      </c>
    </row>
    <row r="4465" spans="1:10" ht="12.75" customHeight="1" x14ac:dyDescent="0.2">
      <c r="A4465" s="681" t="s">
        <v>2372</v>
      </c>
      <c r="B4465" s="693" t="s">
        <v>7024</v>
      </c>
      <c r="C4465" s="672" t="s">
        <v>1081</v>
      </c>
      <c r="D4465" s="673">
        <v>41863</v>
      </c>
      <c r="E4465" s="674">
        <v>10</v>
      </c>
      <c r="F4465" s="675">
        <v>0.1</v>
      </c>
      <c r="G4465" s="676">
        <v>1006.7</v>
      </c>
      <c r="H4465" s="929">
        <v>100.67</v>
      </c>
      <c r="I4465" s="929">
        <v>436.23670000000004</v>
      </c>
      <c r="J4465" s="689">
        <f t="shared" si="70"/>
        <v>570.4633</v>
      </c>
    </row>
    <row r="4466" spans="1:10" ht="12.75" customHeight="1" x14ac:dyDescent="0.2">
      <c r="A4466" s="681" t="s">
        <v>2372</v>
      </c>
      <c r="B4466" s="693" t="s">
        <v>7025</v>
      </c>
      <c r="C4466" s="672" t="s">
        <v>1081</v>
      </c>
      <c r="D4466" s="673">
        <v>41863</v>
      </c>
      <c r="E4466" s="674">
        <v>10</v>
      </c>
      <c r="F4466" s="675">
        <v>0.1</v>
      </c>
      <c r="G4466" s="676">
        <v>1006.7</v>
      </c>
      <c r="H4466" s="929">
        <v>100.67</v>
      </c>
      <c r="I4466" s="929">
        <v>436.23670000000004</v>
      </c>
      <c r="J4466" s="689">
        <f t="shared" si="70"/>
        <v>570.4633</v>
      </c>
    </row>
    <row r="4467" spans="1:10" ht="12.75" customHeight="1" x14ac:dyDescent="0.2">
      <c r="A4467" s="681" t="s">
        <v>2370</v>
      </c>
      <c r="B4467" s="693" t="s">
        <v>7026</v>
      </c>
      <c r="C4467" s="672" t="s">
        <v>844</v>
      </c>
      <c r="D4467" s="673">
        <v>41879</v>
      </c>
      <c r="E4467" s="674">
        <v>10</v>
      </c>
      <c r="F4467" s="675">
        <v>0.1</v>
      </c>
      <c r="G4467" s="676">
        <v>604.65</v>
      </c>
      <c r="H4467" s="929">
        <v>60.464999999999996</v>
      </c>
      <c r="I4467" s="929">
        <v>262.01499999999999</v>
      </c>
      <c r="J4467" s="689">
        <f t="shared" si="70"/>
        <v>342.63499999999999</v>
      </c>
    </row>
    <row r="4468" spans="1:10" ht="12.75" customHeight="1" x14ac:dyDescent="0.2">
      <c r="A4468" s="681" t="s">
        <v>2370</v>
      </c>
      <c r="B4468" s="693" t="s">
        <v>7027</v>
      </c>
      <c r="C4468" s="672" t="s">
        <v>794</v>
      </c>
      <c r="D4468" s="673">
        <v>41879</v>
      </c>
      <c r="E4468" s="674">
        <v>10</v>
      </c>
      <c r="F4468" s="675">
        <v>0.1</v>
      </c>
      <c r="G4468" s="676">
        <v>898</v>
      </c>
      <c r="H4468" s="929">
        <v>89.8</v>
      </c>
      <c r="I4468" s="929">
        <v>389.13330000000002</v>
      </c>
      <c r="J4468" s="689">
        <f t="shared" si="70"/>
        <v>508.86669999999998</v>
      </c>
    </row>
    <row r="4469" spans="1:10" ht="12.75" customHeight="1" x14ac:dyDescent="0.2">
      <c r="A4469" s="681" t="s">
        <v>2370</v>
      </c>
      <c r="B4469" s="693" t="s">
        <v>7028</v>
      </c>
      <c r="C4469" s="672" t="s">
        <v>794</v>
      </c>
      <c r="D4469" s="673">
        <v>41879</v>
      </c>
      <c r="E4469" s="674">
        <v>10</v>
      </c>
      <c r="F4469" s="675">
        <v>0.1</v>
      </c>
      <c r="G4469" s="676">
        <v>953</v>
      </c>
      <c r="H4469" s="929">
        <v>95.299999999999969</v>
      </c>
      <c r="I4469" s="929">
        <v>412.96669999999995</v>
      </c>
      <c r="J4469" s="689">
        <f t="shared" si="70"/>
        <v>540.03330000000005</v>
      </c>
    </row>
    <row r="4470" spans="1:10" ht="12.75" customHeight="1" x14ac:dyDescent="0.2">
      <c r="A4470" s="681" t="s">
        <v>2370</v>
      </c>
      <c r="B4470" s="693" t="s">
        <v>7029</v>
      </c>
      <c r="C4470" s="672" t="s">
        <v>794</v>
      </c>
      <c r="D4470" s="673">
        <v>41879</v>
      </c>
      <c r="E4470" s="674">
        <v>10</v>
      </c>
      <c r="F4470" s="675">
        <v>0.1</v>
      </c>
      <c r="G4470" s="676">
        <v>1048.29</v>
      </c>
      <c r="H4470" s="929">
        <v>104.82899999999997</v>
      </c>
      <c r="I4470" s="929">
        <v>454.2589999999999</v>
      </c>
      <c r="J4470" s="689">
        <f t="shared" si="70"/>
        <v>594.03100000000006</v>
      </c>
    </row>
    <row r="4471" spans="1:10" ht="12.75" customHeight="1" x14ac:dyDescent="0.2">
      <c r="A4471" s="681" t="s">
        <v>2370</v>
      </c>
      <c r="B4471" s="693" t="s">
        <v>7030</v>
      </c>
      <c r="C4471" s="672" t="s">
        <v>814</v>
      </c>
      <c r="D4471" s="673">
        <v>41879</v>
      </c>
      <c r="E4471" s="674">
        <v>10</v>
      </c>
      <c r="F4471" s="675">
        <v>0.1</v>
      </c>
      <c r="G4471" s="676">
        <v>1121.1099999999999</v>
      </c>
      <c r="H4471" s="929">
        <v>112.111</v>
      </c>
      <c r="I4471" s="929">
        <v>485.81429999999995</v>
      </c>
      <c r="J4471" s="689">
        <f t="shared" si="70"/>
        <v>635.2956999999999</v>
      </c>
    </row>
    <row r="4472" spans="1:10" ht="12.75" customHeight="1" x14ac:dyDescent="0.2">
      <c r="A4472" s="681" t="s">
        <v>2370</v>
      </c>
      <c r="B4472" s="693" t="s">
        <v>7031</v>
      </c>
      <c r="C4472" s="672" t="s">
        <v>939</v>
      </c>
      <c r="D4472" s="673">
        <v>41899</v>
      </c>
      <c r="E4472" s="674">
        <v>10</v>
      </c>
      <c r="F4472" s="675">
        <v>0.1</v>
      </c>
      <c r="G4472" s="676">
        <v>499</v>
      </c>
      <c r="H4472" s="929">
        <v>49.899999999999984</v>
      </c>
      <c r="I4472" s="929">
        <v>212.07499999999996</v>
      </c>
      <c r="J4472" s="689">
        <f t="shared" si="70"/>
        <v>286.92500000000007</v>
      </c>
    </row>
    <row r="4473" spans="1:10" ht="12.75" customHeight="1" x14ac:dyDescent="0.2">
      <c r="A4473" s="681" t="s">
        <v>2370</v>
      </c>
      <c r="B4473" s="693" t="s">
        <v>7032</v>
      </c>
      <c r="C4473" s="672" t="s">
        <v>939</v>
      </c>
      <c r="D4473" s="673">
        <v>41899</v>
      </c>
      <c r="E4473" s="674">
        <v>10</v>
      </c>
      <c r="F4473" s="675">
        <v>0.1</v>
      </c>
      <c r="G4473" s="676">
        <v>499</v>
      </c>
      <c r="H4473" s="929">
        <v>49.899999999999984</v>
      </c>
      <c r="I4473" s="929">
        <v>212.07499999999996</v>
      </c>
      <c r="J4473" s="689">
        <f t="shared" si="70"/>
        <v>286.92500000000007</v>
      </c>
    </row>
    <row r="4474" spans="1:10" ht="12.75" customHeight="1" x14ac:dyDescent="0.2">
      <c r="A4474" s="681" t="s">
        <v>2370</v>
      </c>
      <c r="B4474" s="693" t="s">
        <v>7033</v>
      </c>
      <c r="C4474" s="672" t="s">
        <v>939</v>
      </c>
      <c r="D4474" s="673">
        <v>41899</v>
      </c>
      <c r="E4474" s="674">
        <v>10</v>
      </c>
      <c r="F4474" s="675">
        <v>0.1</v>
      </c>
      <c r="G4474" s="676">
        <v>499</v>
      </c>
      <c r="H4474" s="929">
        <v>49.899999999999984</v>
      </c>
      <c r="I4474" s="929">
        <v>212.07499999999996</v>
      </c>
      <c r="J4474" s="689">
        <f t="shared" si="70"/>
        <v>286.92500000000007</v>
      </c>
    </row>
    <row r="4475" spans="1:10" ht="12.75" customHeight="1" x14ac:dyDescent="0.2">
      <c r="A4475" s="681" t="s">
        <v>2370</v>
      </c>
      <c r="B4475" s="693" t="s">
        <v>7034</v>
      </c>
      <c r="C4475" s="672" t="s">
        <v>939</v>
      </c>
      <c r="D4475" s="673">
        <v>41899</v>
      </c>
      <c r="E4475" s="674">
        <v>10</v>
      </c>
      <c r="F4475" s="675">
        <v>0.1</v>
      </c>
      <c r="G4475" s="676">
        <v>499</v>
      </c>
      <c r="H4475" s="929">
        <v>49.899999999999984</v>
      </c>
      <c r="I4475" s="929">
        <v>212.07499999999996</v>
      </c>
      <c r="J4475" s="689">
        <f t="shared" si="70"/>
        <v>286.92500000000007</v>
      </c>
    </row>
    <row r="4476" spans="1:10" ht="12.75" customHeight="1" x14ac:dyDescent="0.2">
      <c r="A4476" s="681" t="s">
        <v>2370</v>
      </c>
      <c r="B4476" s="693" t="s">
        <v>7035</v>
      </c>
      <c r="C4476" s="672" t="s">
        <v>939</v>
      </c>
      <c r="D4476" s="673">
        <v>41899</v>
      </c>
      <c r="E4476" s="674">
        <v>10</v>
      </c>
      <c r="F4476" s="675">
        <v>0.1</v>
      </c>
      <c r="G4476" s="676">
        <v>499</v>
      </c>
      <c r="H4476" s="929">
        <v>49.899999999999984</v>
      </c>
      <c r="I4476" s="929">
        <v>212.07499999999996</v>
      </c>
      <c r="J4476" s="689">
        <f t="shared" si="70"/>
        <v>286.92500000000007</v>
      </c>
    </row>
    <row r="4477" spans="1:10" ht="12.75" customHeight="1" x14ac:dyDescent="0.2">
      <c r="A4477" s="681" t="s">
        <v>2370</v>
      </c>
      <c r="B4477" s="693" t="s">
        <v>7036</v>
      </c>
      <c r="C4477" s="672" t="s">
        <v>939</v>
      </c>
      <c r="D4477" s="673">
        <v>41899</v>
      </c>
      <c r="E4477" s="674">
        <v>10</v>
      </c>
      <c r="F4477" s="675">
        <v>0.1</v>
      </c>
      <c r="G4477" s="676">
        <v>499</v>
      </c>
      <c r="H4477" s="929">
        <v>49.899999999999984</v>
      </c>
      <c r="I4477" s="929">
        <v>212.07499999999996</v>
      </c>
      <c r="J4477" s="689">
        <f t="shared" si="70"/>
        <v>286.92500000000007</v>
      </c>
    </row>
    <row r="4478" spans="1:10" ht="12.75" customHeight="1" x14ac:dyDescent="0.2">
      <c r="A4478" s="681" t="s">
        <v>2370</v>
      </c>
      <c r="B4478" s="693" t="s">
        <v>7037</v>
      </c>
      <c r="C4478" s="672" t="s">
        <v>939</v>
      </c>
      <c r="D4478" s="673">
        <v>41899</v>
      </c>
      <c r="E4478" s="674">
        <v>10</v>
      </c>
      <c r="F4478" s="675">
        <v>0.1</v>
      </c>
      <c r="G4478" s="676">
        <v>499</v>
      </c>
      <c r="H4478" s="929">
        <v>49.899999999999984</v>
      </c>
      <c r="I4478" s="929">
        <v>212.07499999999996</v>
      </c>
      <c r="J4478" s="689">
        <f t="shared" si="70"/>
        <v>286.92500000000007</v>
      </c>
    </row>
    <row r="4479" spans="1:10" ht="12.75" customHeight="1" x14ac:dyDescent="0.2">
      <c r="A4479" s="681" t="s">
        <v>2370</v>
      </c>
      <c r="B4479" s="693" t="s">
        <v>7038</v>
      </c>
      <c r="C4479" s="672" t="s">
        <v>848</v>
      </c>
      <c r="D4479" s="673">
        <v>41911</v>
      </c>
      <c r="E4479" s="674">
        <v>10</v>
      </c>
      <c r="F4479" s="675">
        <v>0.1</v>
      </c>
      <c r="G4479" s="676">
        <v>1654.37</v>
      </c>
      <c r="H4479" s="929">
        <v>165.43699999999998</v>
      </c>
      <c r="I4479" s="929">
        <v>703.10730000000001</v>
      </c>
      <c r="J4479" s="689">
        <f t="shared" si="70"/>
        <v>951.26269999999988</v>
      </c>
    </row>
    <row r="4480" spans="1:10" ht="12.75" customHeight="1" x14ac:dyDescent="0.2">
      <c r="A4480" s="681" t="s">
        <v>2370</v>
      </c>
      <c r="B4480" s="693" t="s">
        <v>7039</v>
      </c>
      <c r="C4480" s="672" t="s">
        <v>789</v>
      </c>
      <c r="D4480" s="673">
        <v>41918</v>
      </c>
      <c r="E4480" s="674">
        <v>10</v>
      </c>
      <c r="F4480" s="675">
        <v>0.1</v>
      </c>
      <c r="G4480" s="676">
        <v>701</v>
      </c>
      <c r="H4480" s="929">
        <v>70.100000000000009</v>
      </c>
      <c r="I4480" s="929">
        <v>292.08330000000007</v>
      </c>
      <c r="J4480" s="689">
        <f t="shared" si="70"/>
        <v>408.91669999999993</v>
      </c>
    </row>
    <row r="4481" spans="1:10" ht="12.75" customHeight="1" x14ac:dyDescent="0.2">
      <c r="A4481" s="681" t="s">
        <v>2370</v>
      </c>
      <c r="B4481" s="693" t="s">
        <v>7040</v>
      </c>
      <c r="C4481" s="672" t="s">
        <v>798</v>
      </c>
      <c r="D4481" s="673">
        <v>41940</v>
      </c>
      <c r="E4481" s="674">
        <v>10</v>
      </c>
      <c r="F4481" s="675">
        <v>0.1</v>
      </c>
      <c r="G4481" s="676">
        <v>2040.49</v>
      </c>
      <c r="H4481" s="929">
        <v>204.04900000000006</v>
      </c>
      <c r="I4481" s="929">
        <v>850.20420000000024</v>
      </c>
      <c r="J4481" s="689">
        <f t="shared" si="70"/>
        <v>1190.2857999999997</v>
      </c>
    </row>
    <row r="4482" spans="1:10" ht="12.75" customHeight="1" x14ac:dyDescent="0.2">
      <c r="A4482" s="681" t="s">
        <v>2372</v>
      </c>
      <c r="B4482" s="693" t="s">
        <v>7041</v>
      </c>
      <c r="C4482" s="672" t="s">
        <v>1004</v>
      </c>
      <c r="D4482" s="673">
        <v>41942</v>
      </c>
      <c r="E4482" s="674">
        <v>10</v>
      </c>
      <c r="F4482" s="675">
        <v>0.1</v>
      </c>
      <c r="G4482" s="676">
        <v>163538.03</v>
      </c>
      <c r="H4482" s="929">
        <v>16353.803</v>
      </c>
      <c r="I4482" s="929">
        <v>68140.845799999996</v>
      </c>
      <c r="J4482" s="689">
        <f t="shared" si="70"/>
        <v>95397.184200000003</v>
      </c>
    </row>
    <row r="4483" spans="1:10" ht="12.75" customHeight="1" x14ac:dyDescent="0.2">
      <c r="A4483" s="681" t="s">
        <v>2370</v>
      </c>
      <c r="B4483" s="693" t="s">
        <v>7042</v>
      </c>
      <c r="C4483" s="672" t="s">
        <v>867</v>
      </c>
      <c r="D4483" s="673">
        <v>41949</v>
      </c>
      <c r="E4483" s="674">
        <v>10</v>
      </c>
      <c r="F4483" s="675">
        <v>0.1</v>
      </c>
      <c r="G4483" s="676">
        <v>400</v>
      </c>
      <c r="H4483" s="929">
        <v>40</v>
      </c>
      <c r="I4483" s="929">
        <v>166.66669999999999</v>
      </c>
      <c r="J4483" s="689">
        <f t="shared" si="70"/>
        <v>233.33330000000001</v>
      </c>
    </row>
    <row r="4484" spans="1:10" ht="12.75" customHeight="1" x14ac:dyDescent="0.2">
      <c r="A4484" s="681" t="s">
        <v>2372</v>
      </c>
      <c r="B4484" s="693" t="s">
        <v>7043</v>
      </c>
      <c r="C4484" s="672" t="s">
        <v>1080</v>
      </c>
      <c r="D4484" s="673">
        <v>41954</v>
      </c>
      <c r="E4484" s="674">
        <v>10</v>
      </c>
      <c r="F4484" s="675">
        <v>0.1</v>
      </c>
      <c r="G4484" s="676">
        <v>216.75</v>
      </c>
      <c r="H4484" s="929">
        <v>21.674999999999997</v>
      </c>
      <c r="I4484" s="929">
        <v>90.3125</v>
      </c>
      <c r="J4484" s="689">
        <f t="shared" si="70"/>
        <v>126.4375</v>
      </c>
    </row>
    <row r="4485" spans="1:10" ht="12.75" customHeight="1" x14ac:dyDescent="0.2">
      <c r="A4485" s="681" t="s">
        <v>2372</v>
      </c>
      <c r="B4485" s="693" t="s">
        <v>7044</v>
      </c>
      <c r="C4485" s="672" t="s">
        <v>1080</v>
      </c>
      <c r="D4485" s="673">
        <v>41954</v>
      </c>
      <c r="E4485" s="674">
        <v>10</v>
      </c>
      <c r="F4485" s="675">
        <v>0.1</v>
      </c>
      <c r="G4485" s="676">
        <v>216.75</v>
      </c>
      <c r="H4485" s="929">
        <v>21.674999999999997</v>
      </c>
      <c r="I4485" s="929">
        <v>90.3125</v>
      </c>
      <c r="J4485" s="689">
        <f t="shared" si="70"/>
        <v>126.4375</v>
      </c>
    </row>
    <row r="4486" spans="1:10" ht="12.75" customHeight="1" x14ac:dyDescent="0.2">
      <c r="A4486" s="681" t="s">
        <v>2372</v>
      </c>
      <c r="B4486" s="693" t="s">
        <v>7045</v>
      </c>
      <c r="C4486" s="672" t="s">
        <v>1080</v>
      </c>
      <c r="D4486" s="673">
        <v>41954</v>
      </c>
      <c r="E4486" s="674">
        <v>10</v>
      </c>
      <c r="F4486" s="675">
        <v>0.1</v>
      </c>
      <c r="G4486" s="676">
        <v>216.75</v>
      </c>
      <c r="H4486" s="929">
        <v>21.674999999999997</v>
      </c>
      <c r="I4486" s="929">
        <v>90.3125</v>
      </c>
      <c r="J4486" s="689">
        <f t="shared" si="70"/>
        <v>126.4375</v>
      </c>
    </row>
    <row r="4487" spans="1:10" ht="12.75" customHeight="1" x14ac:dyDescent="0.2">
      <c r="A4487" s="681" t="s">
        <v>2372</v>
      </c>
      <c r="B4487" s="693" t="s">
        <v>7046</v>
      </c>
      <c r="C4487" s="672" t="s">
        <v>1080</v>
      </c>
      <c r="D4487" s="673">
        <v>41954</v>
      </c>
      <c r="E4487" s="674">
        <v>10</v>
      </c>
      <c r="F4487" s="675">
        <v>0.1</v>
      </c>
      <c r="G4487" s="676">
        <v>216.75</v>
      </c>
      <c r="H4487" s="929">
        <v>21.674999999999997</v>
      </c>
      <c r="I4487" s="929">
        <v>90.3125</v>
      </c>
      <c r="J4487" s="689">
        <f t="shared" ref="J4487:J4550" si="71">G4487-I4487</f>
        <v>126.4375</v>
      </c>
    </row>
    <row r="4488" spans="1:10" ht="12.75" customHeight="1" x14ac:dyDescent="0.2">
      <c r="A4488" s="681" t="s">
        <v>2372</v>
      </c>
      <c r="B4488" s="693" t="s">
        <v>7047</v>
      </c>
      <c r="C4488" s="672" t="s">
        <v>1003</v>
      </c>
      <c r="D4488" s="673">
        <v>41961</v>
      </c>
      <c r="E4488" s="674">
        <v>10</v>
      </c>
      <c r="F4488" s="675">
        <v>0.1</v>
      </c>
      <c r="G4488" s="676">
        <v>3500</v>
      </c>
      <c r="H4488" s="929">
        <v>350.00000000000006</v>
      </c>
      <c r="I4488" s="929">
        <v>1458.3333</v>
      </c>
      <c r="J4488" s="689">
        <f t="shared" si="71"/>
        <v>2041.6667</v>
      </c>
    </row>
    <row r="4489" spans="1:10" ht="12.75" customHeight="1" x14ac:dyDescent="0.2">
      <c r="A4489" s="681"/>
      <c r="B4489" s="693"/>
      <c r="C4489" s="672"/>
      <c r="D4489" s="673"/>
      <c r="E4489" s="674"/>
      <c r="F4489" s="675"/>
      <c r="G4489" s="676"/>
      <c r="H4489" s="929"/>
      <c r="I4489" s="929"/>
      <c r="J4489" s="689"/>
    </row>
    <row r="4490" spans="1:10" ht="12.75" customHeight="1" x14ac:dyDescent="0.2">
      <c r="A4490" s="681"/>
      <c r="B4490" s="693"/>
      <c r="C4490" s="672"/>
      <c r="D4490" s="673"/>
      <c r="E4490" s="674"/>
      <c r="F4490" s="675"/>
      <c r="G4490" s="676"/>
      <c r="H4490" s="929"/>
      <c r="I4490" s="929"/>
      <c r="J4490" s="689"/>
    </row>
    <row r="4491" spans="1:10" ht="12.75" customHeight="1" x14ac:dyDescent="0.2">
      <c r="A4491" s="681" t="s">
        <v>1208</v>
      </c>
      <c r="B4491" s="693" t="s">
        <v>7048</v>
      </c>
      <c r="C4491" s="672" t="s">
        <v>977</v>
      </c>
      <c r="D4491" s="673">
        <v>40727</v>
      </c>
      <c r="E4491" s="674">
        <v>5</v>
      </c>
      <c r="F4491" s="675">
        <v>0.2</v>
      </c>
      <c r="G4491" s="676">
        <v>372960</v>
      </c>
      <c r="H4491" s="929">
        <v>0</v>
      </c>
      <c r="I4491" s="929">
        <v>372960</v>
      </c>
      <c r="J4491" s="689">
        <f t="shared" si="71"/>
        <v>0</v>
      </c>
    </row>
    <row r="4492" spans="1:10" ht="12.75" customHeight="1" x14ac:dyDescent="0.2">
      <c r="A4492" s="681" t="s">
        <v>1208</v>
      </c>
      <c r="B4492" s="693" t="s">
        <v>7049</v>
      </c>
      <c r="C4492" s="672" t="s">
        <v>977</v>
      </c>
      <c r="D4492" s="673">
        <v>40727</v>
      </c>
      <c r="E4492" s="674">
        <v>5</v>
      </c>
      <c r="F4492" s="675">
        <v>0.2</v>
      </c>
      <c r="G4492" s="676">
        <v>372960</v>
      </c>
      <c r="H4492" s="929">
        <v>0</v>
      </c>
      <c r="I4492" s="929">
        <v>372960</v>
      </c>
      <c r="J4492" s="689">
        <f t="shared" si="71"/>
        <v>0</v>
      </c>
    </row>
    <row r="4493" spans="1:10" ht="12.75" customHeight="1" x14ac:dyDescent="0.2">
      <c r="A4493" s="681" t="s">
        <v>1208</v>
      </c>
      <c r="B4493" s="693" t="s">
        <v>7050</v>
      </c>
      <c r="C4493" s="672" t="s">
        <v>977</v>
      </c>
      <c r="D4493" s="673">
        <v>40727</v>
      </c>
      <c r="E4493" s="674">
        <v>5</v>
      </c>
      <c r="F4493" s="675">
        <v>0.2</v>
      </c>
      <c r="G4493" s="676">
        <v>372960</v>
      </c>
      <c r="H4493" s="929">
        <v>0</v>
      </c>
      <c r="I4493" s="929">
        <v>372960</v>
      </c>
      <c r="J4493" s="689">
        <f t="shared" si="71"/>
        <v>0</v>
      </c>
    </row>
    <row r="4494" spans="1:10" ht="12.75" customHeight="1" x14ac:dyDescent="0.2">
      <c r="A4494" s="681" t="s">
        <v>1208</v>
      </c>
      <c r="B4494" s="693" t="s">
        <v>7051</v>
      </c>
      <c r="C4494" s="672" t="s">
        <v>977</v>
      </c>
      <c r="D4494" s="673">
        <v>40727</v>
      </c>
      <c r="E4494" s="674">
        <v>5</v>
      </c>
      <c r="F4494" s="675">
        <v>0.2</v>
      </c>
      <c r="G4494" s="676">
        <v>372960</v>
      </c>
      <c r="H4494" s="929">
        <v>0</v>
      </c>
      <c r="I4494" s="929">
        <v>372960</v>
      </c>
      <c r="J4494" s="689">
        <f t="shared" si="71"/>
        <v>0</v>
      </c>
    </row>
    <row r="4495" spans="1:10" ht="12.75" customHeight="1" x14ac:dyDescent="0.2">
      <c r="A4495" s="681" t="s">
        <v>1208</v>
      </c>
      <c r="B4495" s="693" t="s">
        <v>7052</v>
      </c>
      <c r="C4495" s="672" t="s">
        <v>977</v>
      </c>
      <c r="D4495" s="673">
        <v>40727</v>
      </c>
      <c r="E4495" s="674">
        <v>5</v>
      </c>
      <c r="F4495" s="675">
        <v>0.2</v>
      </c>
      <c r="G4495" s="676">
        <v>372960</v>
      </c>
      <c r="H4495" s="929">
        <v>0</v>
      </c>
      <c r="I4495" s="929">
        <v>372960</v>
      </c>
      <c r="J4495" s="689">
        <f t="shared" si="71"/>
        <v>0</v>
      </c>
    </row>
    <row r="4496" spans="1:10" ht="12.75" customHeight="1" x14ac:dyDescent="0.2">
      <c r="A4496" s="681" t="s">
        <v>1208</v>
      </c>
      <c r="B4496" s="693" t="s">
        <v>7053</v>
      </c>
      <c r="C4496" s="672" t="s">
        <v>977</v>
      </c>
      <c r="D4496" s="673">
        <v>40727</v>
      </c>
      <c r="E4496" s="674">
        <v>5</v>
      </c>
      <c r="F4496" s="675">
        <v>0.2</v>
      </c>
      <c r="G4496" s="676">
        <v>372960</v>
      </c>
      <c r="H4496" s="929">
        <v>0</v>
      </c>
      <c r="I4496" s="929">
        <v>372960</v>
      </c>
      <c r="J4496" s="689">
        <f t="shared" si="71"/>
        <v>0</v>
      </c>
    </row>
    <row r="4497" spans="1:10" ht="12.75" customHeight="1" x14ac:dyDescent="0.2">
      <c r="A4497" s="681" t="s">
        <v>1208</v>
      </c>
      <c r="B4497" s="693" t="s">
        <v>7054</v>
      </c>
      <c r="C4497" s="672" t="s">
        <v>977</v>
      </c>
      <c r="D4497" s="673">
        <v>40727</v>
      </c>
      <c r="E4497" s="674">
        <v>5</v>
      </c>
      <c r="F4497" s="675">
        <v>0.2</v>
      </c>
      <c r="G4497" s="676">
        <v>372960</v>
      </c>
      <c r="H4497" s="929">
        <v>0</v>
      </c>
      <c r="I4497" s="929">
        <v>372960</v>
      </c>
      <c r="J4497" s="689">
        <f t="shared" si="71"/>
        <v>0</v>
      </c>
    </row>
    <row r="4498" spans="1:10" ht="12.75" customHeight="1" x14ac:dyDescent="0.2">
      <c r="A4498" s="681"/>
      <c r="B4498" s="693"/>
      <c r="C4498" s="672"/>
      <c r="D4498" s="673"/>
      <c r="E4498" s="674"/>
      <c r="F4498" s="675"/>
      <c r="G4498" s="676"/>
      <c r="H4498" s="929"/>
      <c r="I4498" s="929"/>
      <c r="J4498" s="689">
        <f t="shared" si="71"/>
        <v>0</v>
      </c>
    </row>
    <row r="4499" spans="1:10" ht="12.75" customHeight="1" x14ac:dyDescent="0.2">
      <c r="A4499" s="681" t="s">
        <v>1208</v>
      </c>
      <c r="B4499" s="693" t="s">
        <v>7055</v>
      </c>
      <c r="C4499" s="672" t="s">
        <v>976</v>
      </c>
      <c r="D4499" s="673">
        <v>41094</v>
      </c>
      <c r="E4499" s="674">
        <v>5</v>
      </c>
      <c r="F4499" s="675">
        <v>0.2</v>
      </c>
      <c r="G4499" s="676">
        <v>6635.2</v>
      </c>
      <c r="H4499" s="929">
        <v>0</v>
      </c>
      <c r="I4499" s="929">
        <v>6635.2</v>
      </c>
      <c r="J4499" s="689">
        <f t="shared" si="71"/>
        <v>0</v>
      </c>
    </row>
    <row r="4500" spans="1:10" ht="12.75" customHeight="1" x14ac:dyDescent="0.2">
      <c r="A4500" s="681" t="s">
        <v>1208</v>
      </c>
      <c r="B4500" s="693" t="s">
        <v>7056</v>
      </c>
      <c r="C4500" s="672" t="s">
        <v>976</v>
      </c>
      <c r="D4500" s="673">
        <v>41094</v>
      </c>
      <c r="E4500" s="674">
        <v>5</v>
      </c>
      <c r="F4500" s="675">
        <v>0.2</v>
      </c>
      <c r="G4500" s="676">
        <v>6635.2</v>
      </c>
      <c r="H4500" s="929">
        <v>0</v>
      </c>
      <c r="I4500" s="929">
        <v>6635.2</v>
      </c>
      <c r="J4500" s="689">
        <f t="shared" si="71"/>
        <v>0</v>
      </c>
    </row>
    <row r="4501" spans="1:10" ht="12.75" customHeight="1" x14ac:dyDescent="0.2">
      <c r="A4501" s="681" t="s">
        <v>1208</v>
      </c>
      <c r="B4501" s="693" t="s">
        <v>7057</v>
      </c>
      <c r="C4501" s="672" t="s">
        <v>987</v>
      </c>
      <c r="D4501" s="673">
        <v>41094</v>
      </c>
      <c r="E4501" s="674">
        <v>5</v>
      </c>
      <c r="F4501" s="675">
        <v>0.2</v>
      </c>
      <c r="G4501" s="676">
        <v>36500</v>
      </c>
      <c r="H4501" s="929">
        <v>0</v>
      </c>
      <c r="I4501" s="929">
        <v>36500</v>
      </c>
      <c r="J4501" s="689">
        <f t="shared" si="71"/>
        <v>0</v>
      </c>
    </row>
    <row r="4502" spans="1:10" ht="12.75" customHeight="1" x14ac:dyDescent="0.2">
      <c r="A4502" s="681" t="s">
        <v>1208</v>
      </c>
      <c r="B4502" s="693" t="s">
        <v>7058</v>
      </c>
      <c r="C4502" s="672" t="s">
        <v>987</v>
      </c>
      <c r="D4502" s="673">
        <v>41094</v>
      </c>
      <c r="E4502" s="674">
        <v>5</v>
      </c>
      <c r="F4502" s="675">
        <v>0.2</v>
      </c>
      <c r="G4502" s="676">
        <v>36500</v>
      </c>
      <c r="H4502" s="929">
        <v>0</v>
      </c>
      <c r="I4502" s="929">
        <v>36500</v>
      </c>
      <c r="J4502" s="689">
        <f t="shared" si="71"/>
        <v>0</v>
      </c>
    </row>
    <row r="4503" spans="1:10" ht="12.75" customHeight="1" x14ac:dyDescent="0.2">
      <c r="A4503" s="681" t="s">
        <v>1208</v>
      </c>
      <c r="B4503" s="693" t="s">
        <v>7059</v>
      </c>
      <c r="C4503" s="672" t="s">
        <v>976</v>
      </c>
      <c r="D4503" s="673">
        <v>41094</v>
      </c>
      <c r="E4503" s="674">
        <v>5</v>
      </c>
      <c r="F4503" s="675">
        <v>0.2</v>
      </c>
      <c r="G4503" s="676">
        <v>750000</v>
      </c>
      <c r="H4503" s="929">
        <v>0</v>
      </c>
      <c r="I4503" s="929">
        <v>750000</v>
      </c>
      <c r="J4503" s="689">
        <f t="shared" si="71"/>
        <v>0</v>
      </c>
    </row>
    <row r="4504" spans="1:10" ht="12.75" customHeight="1" x14ac:dyDescent="0.2">
      <c r="A4504" s="681" t="s">
        <v>1208</v>
      </c>
      <c r="B4504" s="693" t="s">
        <v>7060</v>
      </c>
      <c r="C4504" s="672" t="s">
        <v>988</v>
      </c>
      <c r="D4504" s="673">
        <v>41094</v>
      </c>
      <c r="E4504" s="674">
        <v>5</v>
      </c>
      <c r="F4504" s="675">
        <v>0.2</v>
      </c>
      <c r="G4504" s="676">
        <v>1270999</v>
      </c>
      <c r="H4504" s="929">
        <v>0</v>
      </c>
      <c r="I4504" s="929">
        <v>1270999</v>
      </c>
      <c r="J4504" s="689">
        <f t="shared" si="71"/>
        <v>0</v>
      </c>
    </row>
    <row r="4505" spans="1:10" ht="12.75" customHeight="1" x14ac:dyDescent="0.2">
      <c r="A4505" s="681" t="s">
        <v>1208</v>
      </c>
      <c r="B4505" s="693" t="s">
        <v>7061</v>
      </c>
      <c r="C4505" s="672" t="s">
        <v>988</v>
      </c>
      <c r="D4505" s="673">
        <v>41094</v>
      </c>
      <c r="E4505" s="674">
        <v>5</v>
      </c>
      <c r="F4505" s="675">
        <v>0.2</v>
      </c>
      <c r="G4505" s="676">
        <v>1270999</v>
      </c>
      <c r="H4505" s="929">
        <v>0</v>
      </c>
      <c r="I4505" s="929">
        <v>1270999</v>
      </c>
      <c r="J4505" s="689">
        <f t="shared" si="71"/>
        <v>0</v>
      </c>
    </row>
    <row r="4506" spans="1:10" ht="12.75" customHeight="1" x14ac:dyDescent="0.2">
      <c r="A4506" s="681"/>
      <c r="B4506" s="693"/>
      <c r="C4506" s="672"/>
      <c r="D4506" s="673"/>
      <c r="E4506" s="674"/>
      <c r="F4506" s="675"/>
      <c r="G4506" s="676"/>
      <c r="H4506" s="929"/>
      <c r="I4506" s="929"/>
      <c r="J4506" s="689"/>
    </row>
    <row r="4507" spans="1:10" ht="12.75" customHeight="1" x14ac:dyDescent="0.2">
      <c r="A4507" s="681"/>
      <c r="B4507" s="693"/>
      <c r="C4507" s="672"/>
      <c r="D4507" s="673"/>
      <c r="E4507" s="674"/>
      <c r="F4507" s="675"/>
      <c r="G4507" s="676"/>
      <c r="H4507" s="929"/>
      <c r="I4507" s="929"/>
      <c r="J4507" s="689"/>
    </row>
    <row r="4508" spans="1:10" ht="12.75" customHeight="1" x14ac:dyDescent="0.2">
      <c r="A4508" s="681"/>
      <c r="B4508" s="693"/>
      <c r="C4508" s="672"/>
      <c r="D4508" s="673"/>
      <c r="E4508" s="674"/>
      <c r="F4508" s="675"/>
      <c r="G4508" s="676"/>
      <c r="H4508" s="929"/>
      <c r="I4508" s="929"/>
      <c r="J4508" s="689"/>
    </row>
    <row r="4509" spans="1:10" ht="12.75" customHeight="1" x14ac:dyDescent="0.2">
      <c r="A4509" s="681" t="s">
        <v>1208</v>
      </c>
      <c r="B4509" s="693" t="s">
        <v>7062</v>
      </c>
      <c r="C4509" s="672" t="s">
        <v>1000</v>
      </c>
      <c r="D4509" s="673">
        <v>41730</v>
      </c>
      <c r="E4509" s="674">
        <v>5</v>
      </c>
      <c r="F4509" s="675">
        <v>0.2</v>
      </c>
      <c r="G4509" s="676">
        <v>13400</v>
      </c>
      <c r="H4509" s="929">
        <v>2680</v>
      </c>
      <c r="I4509" s="929">
        <v>12506.6667</v>
      </c>
      <c r="J4509" s="689">
        <f t="shared" si="71"/>
        <v>893.33330000000024</v>
      </c>
    </row>
    <row r="4510" spans="1:10" ht="12.75" customHeight="1" x14ac:dyDescent="0.2">
      <c r="A4510" s="681" t="s">
        <v>1208</v>
      </c>
      <c r="B4510" s="693" t="s">
        <v>7063</v>
      </c>
      <c r="C4510" s="672" t="s">
        <v>1000</v>
      </c>
      <c r="D4510" s="673">
        <v>41730</v>
      </c>
      <c r="E4510" s="674">
        <v>5</v>
      </c>
      <c r="F4510" s="675">
        <v>0.2</v>
      </c>
      <c r="G4510" s="676">
        <v>13554</v>
      </c>
      <c r="H4510" s="929">
        <v>2710.8000000000006</v>
      </c>
      <c r="I4510" s="929">
        <v>12650.400000000001</v>
      </c>
      <c r="J4510" s="689">
        <f t="shared" si="71"/>
        <v>903.59999999999854</v>
      </c>
    </row>
    <row r="4511" spans="1:10" ht="12.75" customHeight="1" x14ac:dyDescent="0.2">
      <c r="A4511" s="681" t="s">
        <v>1208</v>
      </c>
      <c r="B4511" s="693" t="s">
        <v>7064</v>
      </c>
      <c r="C4511" s="672" t="s">
        <v>1000</v>
      </c>
      <c r="D4511" s="673">
        <v>41730</v>
      </c>
      <c r="E4511" s="674">
        <v>5</v>
      </c>
      <c r="F4511" s="675">
        <v>0.2</v>
      </c>
      <c r="G4511" s="676">
        <v>13554</v>
      </c>
      <c r="H4511" s="929">
        <v>2710.8000000000006</v>
      </c>
      <c r="I4511" s="929">
        <v>12650.400000000001</v>
      </c>
      <c r="J4511" s="689">
        <f t="shared" si="71"/>
        <v>903.59999999999854</v>
      </c>
    </row>
    <row r="4512" spans="1:10" ht="12.75" customHeight="1" x14ac:dyDescent="0.2">
      <c r="A4512" s="681" t="s">
        <v>1208</v>
      </c>
      <c r="B4512" s="693" t="s">
        <v>7065</v>
      </c>
      <c r="C4512" s="672" t="s">
        <v>1000</v>
      </c>
      <c r="D4512" s="673">
        <v>41730</v>
      </c>
      <c r="E4512" s="674">
        <v>5</v>
      </c>
      <c r="F4512" s="675">
        <v>0.2</v>
      </c>
      <c r="G4512" s="676">
        <v>13567</v>
      </c>
      <c r="H4512" s="929">
        <v>2713.400000000001</v>
      </c>
      <c r="I4512" s="929">
        <v>12662.533300000003</v>
      </c>
      <c r="J4512" s="689">
        <f t="shared" si="71"/>
        <v>904.46669999999722</v>
      </c>
    </row>
    <row r="4513" spans="1:10" ht="12.75" customHeight="1" x14ac:dyDescent="0.2">
      <c r="A4513" s="681" t="s">
        <v>1208</v>
      </c>
      <c r="B4513" s="693" t="s">
        <v>7066</v>
      </c>
      <c r="C4513" s="672" t="s">
        <v>1000</v>
      </c>
      <c r="D4513" s="673">
        <v>41730</v>
      </c>
      <c r="E4513" s="674">
        <v>5</v>
      </c>
      <c r="F4513" s="675">
        <v>0.2</v>
      </c>
      <c r="G4513" s="676">
        <v>13567</v>
      </c>
      <c r="H4513" s="929">
        <v>2713.400000000001</v>
      </c>
      <c r="I4513" s="929">
        <v>12662.533300000003</v>
      </c>
      <c r="J4513" s="689">
        <f t="shared" si="71"/>
        <v>904.46669999999722</v>
      </c>
    </row>
    <row r="4514" spans="1:10" ht="12.75" customHeight="1" x14ac:dyDescent="0.2">
      <c r="A4514" s="681" t="s">
        <v>1208</v>
      </c>
      <c r="B4514" s="693" t="s">
        <v>7067</v>
      </c>
      <c r="C4514" s="672" t="s">
        <v>1000</v>
      </c>
      <c r="D4514" s="673">
        <v>41730</v>
      </c>
      <c r="E4514" s="674">
        <v>5</v>
      </c>
      <c r="F4514" s="675">
        <v>0.2</v>
      </c>
      <c r="G4514" s="676">
        <v>13570</v>
      </c>
      <c r="H4514" s="929">
        <v>2714</v>
      </c>
      <c r="I4514" s="929">
        <v>12665.3333</v>
      </c>
      <c r="J4514" s="689">
        <f t="shared" si="71"/>
        <v>904.66669999999976</v>
      </c>
    </row>
    <row r="4515" spans="1:10" ht="12.75" customHeight="1" x14ac:dyDescent="0.2">
      <c r="A4515" s="681" t="s">
        <v>1208</v>
      </c>
      <c r="B4515" s="693" t="s">
        <v>7068</v>
      </c>
      <c r="C4515" s="672" t="s">
        <v>1000</v>
      </c>
      <c r="D4515" s="673">
        <v>41730</v>
      </c>
      <c r="E4515" s="674">
        <v>5</v>
      </c>
      <c r="F4515" s="675">
        <v>0.2</v>
      </c>
      <c r="G4515" s="676">
        <v>25998</v>
      </c>
      <c r="H4515" s="929">
        <v>5199.6000000000013</v>
      </c>
      <c r="I4515" s="929">
        <v>24264.800000000003</v>
      </c>
      <c r="J4515" s="689">
        <f t="shared" si="71"/>
        <v>1733.1999999999971</v>
      </c>
    </row>
    <row r="4516" spans="1:10" ht="12.75" customHeight="1" x14ac:dyDescent="0.2">
      <c r="A4516" s="681" t="s">
        <v>1208</v>
      </c>
      <c r="B4516" s="693" t="s">
        <v>7069</v>
      </c>
      <c r="C4516" s="672" t="s">
        <v>1000</v>
      </c>
      <c r="D4516" s="673">
        <v>41730</v>
      </c>
      <c r="E4516" s="674">
        <v>5</v>
      </c>
      <c r="F4516" s="675">
        <v>0.2</v>
      </c>
      <c r="G4516" s="676">
        <v>25999</v>
      </c>
      <c r="H4516" s="929">
        <v>5199.8</v>
      </c>
      <c r="I4516" s="929">
        <v>24265.7333</v>
      </c>
      <c r="J4516" s="689">
        <f t="shared" si="71"/>
        <v>1733.2667000000001</v>
      </c>
    </row>
    <row r="4517" spans="1:10" ht="12.75" customHeight="1" x14ac:dyDescent="0.2">
      <c r="A4517" s="681" t="s">
        <v>1208</v>
      </c>
      <c r="B4517" s="693" t="s">
        <v>7070</v>
      </c>
      <c r="C4517" s="672" t="s">
        <v>1000</v>
      </c>
      <c r="D4517" s="673">
        <v>41730</v>
      </c>
      <c r="E4517" s="674">
        <v>5</v>
      </c>
      <c r="F4517" s="675">
        <v>0.2</v>
      </c>
      <c r="G4517" s="676">
        <v>25999</v>
      </c>
      <c r="H4517" s="929">
        <v>5199.8</v>
      </c>
      <c r="I4517" s="929">
        <v>24265.7333</v>
      </c>
      <c r="J4517" s="689">
        <f t="shared" si="71"/>
        <v>1733.2667000000001</v>
      </c>
    </row>
    <row r="4518" spans="1:10" ht="12.75" customHeight="1" x14ac:dyDescent="0.2">
      <c r="A4518" s="681" t="s">
        <v>1208</v>
      </c>
      <c r="B4518" s="693" t="s">
        <v>7071</v>
      </c>
      <c r="C4518" s="672" t="s">
        <v>1000</v>
      </c>
      <c r="D4518" s="673">
        <v>41730</v>
      </c>
      <c r="E4518" s="674">
        <v>5</v>
      </c>
      <c r="F4518" s="675">
        <v>0.2</v>
      </c>
      <c r="G4518" s="676">
        <v>25999</v>
      </c>
      <c r="H4518" s="929">
        <v>5199.8</v>
      </c>
      <c r="I4518" s="929">
        <v>24265.7333</v>
      </c>
      <c r="J4518" s="689">
        <f t="shared" si="71"/>
        <v>1733.2667000000001</v>
      </c>
    </row>
    <row r="4519" spans="1:10" ht="12.75" customHeight="1" x14ac:dyDescent="0.2">
      <c r="A4519" s="681" t="s">
        <v>1208</v>
      </c>
      <c r="B4519" s="693" t="s">
        <v>7072</v>
      </c>
      <c r="C4519" s="672" t="s">
        <v>1000</v>
      </c>
      <c r="D4519" s="673">
        <v>41730</v>
      </c>
      <c r="E4519" s="674">
        <v>5</v>
      </c>
      <c r="F4519" s="675">
        <v>0.2</v>
      </c>
      <c r="G4519" s="676">
        <v>25999</v>
      </c>
      <c r="H4519" s="929">
        <v>5199.8</v>
      </c>
      <c r="I4519" s="929">
        <v>24265.7333</v>
      </c>
      <c r="J4519" s="689">
        <f t="shared" si="71"/>
        <v>1733.2667000000001</v>
      </c>
    </row>
    <row r="4520" spans="1:10" ht="12.75" customHeight="1" x14ac:dyDescent="0.2">
      <c r="A4520" s="681" t="s">
        <v>1208</v>
      </c>
      <c r="B4520" s="693" t="s">
        <v>7073</v>
      </c>
      <c r="C4520" s="672" t="s">
        <v>1000</v>
      </c>
      <c r="D4520" s="673">
        <v>41730</v>
      </c>
      <c r="E4520" s="674">
        <v>5</v>
      </c>
      <c r="F4520" s="675">
        <v>0.2</v>
      </c>
      <c r="G4520" s="676">
        <v>25999</v>
      </c>
      <c r="H4520" s="929">
        <v>5199.8</v>
      </c>
      <c r="I4520" s="929">
        <v>24265.7333</v>
      </c>
      <c r="J4520" s="689">
        <f t="shared" si="71"/>
        <v>1733.2667000000001</v>
      </c>
    </row>
    <row r="4521" spans="1:10" ht="12.75" customHeight="1" x14ac:dyDescent="0.2">
      <c r="A4521" s="681" t="s">
        <v>1208</v>
      </c>
      <c r="B4521" s="693" t="s">
        <v>7074</v>
      </c>
      <c r="C4521" s="672" t="s">
        <v>978</v>
      </c>
      <c r="D4521" s="673">
        <v>41826</v>
      </c>
      <c r="E4521" s="674">
        <v>5</v>
      </c>
      <c r="F4521" s="675">
        <v>0.2</v>
      </c>
      <c r="G4521" s="676">
        <v>76954</v>
      </c>
      <c r="H4521" s="929">
        <v>15390.799999999996</v>
      </c>
      <c r="I4521" s="929">
        <v>71823.733299999993</v>
      </c>
      <c r="J4521" s="689">
        <f t="shared" si="71"/>
        <v>5130.2667000000074</v>
      </c>
    </row>
    <row r="4522" spans="1:10" ht="12.75" customHeight="1" x14ac:dyDescent="0.2">
      <c r="A4522" s="681" t="s">
        <v>1208</v>
      </c>
      <c r="B4522" s="693" t="s">
        <v>7075</v>
      </c>
      <c r="C4522" s="672" t="s">
        <v>988</v>
      </c>
      <c r="D4522" s="673">
        <v>41826</v>
      </c>
      <c r="E4522" s="674">
        <v>5</v>
      </c>
      <c r="F4522" s="675">
        <v>0.2</v>
      </c>
      <c r="G4522" s="676">
        <v>1160000</v>
      </c>
      <c r="H4522" s="929">
        <v>231999.00000000003</v>
      </c>
      <c r="I4522" s="929">
        <v>1159999</v>
      </c>
      <c r="J4522" s="689">
        <f t="shared" si="71"/>
        <v>1</v>
      </c>
    </row>
    <row r="4523" spans="1:10" ht="12.75" customHeight="1" x14ac:dyDescent="0.2">
      <c r="A4523" s="681" t="s">
        <v>1208</v>
      </c>
      <c r="B4523" s="693" t="s">
        <v>7076</v>
      </c>
      <c r="C4523" s="672" t="s">
        <v>988</v>
      </c>
      <c r="D4523" s="673">
        <v>41826</v>
      </c>
      <c r="E4523" s="674">
        <v>5</v>
      </c>
      <c r="F4523" s="675">
        <v>0.2</v>
      </c>
      <c r="G4523" s="676">
        <v>1160000</v>
      </c>
      <c r="H4523" s="929">
        <v>231999.00000000003</v>
      </c>
      <c r="I4523" s="929">
        <v>1159999</v>
      </c>
      <c r="J4523" s="689">
        <f t="shared" si="71"/>
        <v>1</v>
      </c>
    </row>
    <row r="4524" spans="1:10" ht="12.75" customHeight="1" x14ac:dyDescent="0.2">
      <c r="A4524" s="681" t="s">
        <v>1208</v>
      </c>
      <c r="B4524" s="693" t="s">
        <v>7077</v>
      </c>
      <c r="C4524" s="672" t="s">
        <v>988</v>
      </c>
      <c r="D4524" s="673">
        <v>41826</v>
      </c>
      <c r="E4524" s="674">
        <v>5</v>
      </c>
      <c r="F4524" s="675">
        <v>0.2</v>
      </c>
      <c r="G4524" s="676">
        <v>1160000</v>
      </c>
      <c r="H4524" s="929">
        <v>231999.00000000003</v>
      </c>
      <c r="I4524" s="929">
        <v>1159999</v>
      </c>
      <c r="J4524" s="689">
        <f t="shared" si="71"/>
        <v>1</v>
      </c>
    </row>
    <row r="4525" spans="1:10" ht="12.75" customHeight="1" x14ac:dyDescent="0.2">
      <c r="A4525" s="681" t="s">
        <v>1208</v>
      </c>
      <c r="B4525" s="693" t="s">
        <v>7078</v>
      </c>
      <c r="C4525" s="672" t="s">
        <v>988</v>
      </c>
      <c r="D4525" s="673">
        <v>41826</v>
      </c>
      <c r="E4525" s="674">
        <v>5</v>
      </c>
      <c r="F4525" s="675">
        <v>0.2</v>
      </c>
      <c r="G4525" s="676">
        <v>1345600</v>
      </c>
      <c r="H4525" s="929">
        <v>269118.99999999994</v>
      </c>
      <c r="I4525" s="929">
        <v>1345599</v>
      </c>
      <c r="J4525" s="689">
        <f t="shared" si="71"/>
        <v>1</v>
      </c>
    </row>
    <row r="4526" spans="1:10" ht="12.75" customHeight="1" x14ac:dyDescent="0.2">
      <c r="A4526" s="681" t="s">
        <v>1208</v>
      </c>
      <c r="B4526" s="693" t="s">
        <v>7079</v>
      </c>
      <c r="C4526" s="672" t="s">
        <v>988</v>
      </c>
      <c r="D4526" s="673">
        <v>41826</v>
      </c>
      <c r="E4526" s="674">
        <v>5</v>
      </c>
      <c r="F4526" s="675">
        <v>0.2</v>
      </c>
      <c r="G4526" s="676">
        <v>1345600</v>
      </c>
      <c r="H4526" s="929">
        <v>269118.99999999994</v>
      </c>
      <c r="I4526" s="929">
        <v>1345599</v>
      </c>
      <c r="J4526" s="689">
        <f t="shared" si="71"/>
        <v>1</v>
      </c>
    </row>
    <row r="4527" spans="1:10" ht="12.75" customHeight="1" x14ac:dyDescent="0.2">
      <c r="A4527" s="681" t="s">
        <v>1208</v>
      </c>
      <c r="B4527" s="693" t="s">
        <v>7080</v>
      </c>
      <c r="C4527" s="672" t="s">
        <v>988</v>
      </c>
      <c r="D4527" s="673">
        <v>41826</v>
      </c>
      <c r="E4527" s="674">
        <v>5</v>
      </c>
      <c r="F4527" s="675">
        <v>0.2</v>
      </c>
      <c r="G4527" s="676">
        <v>1345600</v>
      </c>
      <c r="H4527" s="929">
        <v>269118.99999999994</v>
      </c>
      <c r="I4527" s="929">
        <v>1345599</v>
      </c>
      <c r="J4527" s="689">
        <f t="shared" si="71"/>
        <v>1</v>
      </c>
    </row>
    <row r="4528" spans="1:10" ht="12.75" customHeight="1" x14ac:dyDescent="0.2">
      <c r="A4528" s="681" t="s">
        <v>1208</v>
      </c>
      <c r="B4528" s="693" t="s">
        <v>7081</v>
      </c>
      <c r="C4528" s="672" t="s">
        <v>988</v>
      </c>
      <c r="D4528" s="673">
        <v>41826</v>
      </c>
      <c r="E4528" s="674">
        <v>5</v>
      </c>
      <c r="F4528" s="675">
        <v>0.2</v>
      </c>
      <c r="G4528" s="676">
        <v>1345600</v>
      </c>
      <c r="H4528" s="929">
        <v>269118.99999999994</v>
      </c>
      <c r="I4528" s="929">
        <v>1345599</v>
      </c>
      <c r="J4528" s="689">
        <f t="shared" si="71"/>
        <v>1</v>
      </c>
    </row>
    <row r="4529" spans="1:10" ht="12.75" customHeight="1" x14ac:dyDescent="0.2">
      <c r="A4529" s="681" t="s">
        <v>1208</v>
      </c>
      <c r="B4529" s="693" t="s">
        <v>7082</v>
      </c>
      <c r="C4529" s="672" t="s">
        <v>988</v>
      </c>
      <c r="D4529" s="673">
        <v>41826</v>
      </c>
      <c r="E4529" s="674">
        <v>5</v>
      </c>
      <c r="F4529" s="675">
        <v>0.2</v>
      </c>
      <c r="G4529" s="676">
        <v>1345600</v>
      </c>
      <c r="H4529" s="929">
        <v>269118.99999999994</v>
      </c>
      <c r="I4529" s="929">
        <v>1345599</v>
      </c>
      <c r="J4529" s="689">
        <f t="shared" si="71"/>
        <v>1</v>
      </c>
    </row>
    <row r="4530" spans="1:10" ht="12.75" customHeight="1" x14ac:dyDescent="0.2">
      <c r="A4530" s="681" t="s">
        <v>1208</v>
      </c>
      <c r="B4530" s="693" t="s">
        <v>7083</v>
      </c>
      <c r="C4530" s="672" t="s">
        <v>988</v>
      </c>
      <c r="D4530" s="673">
        <v>41826</v>
      </c>
      <c r="E4530" s="674">
        <v>5</v>
      </c>
      <c r="F4530" s="675">
        <v>0.2</v>
      </c>
      <c r="G4530" s="676">
        <v>1345600</v>
      </c>
      <c r="H4530" s="929">
        <v>269118.99999999994</v>
      </c>
      <c r="I4530" s="929">
        <v>1345599</v>
      </c>
      <c r="J4530" s="689">
        <f t="shared" si="71"/>
        <v>1</v>
      </c>
    </row>
    <row r="4531" spans="1:10" ht="12.75" customHeight="1" x14ac:dyDescent="0.2">
      <c r="A4531" s="681" t="s">
        <v>1208</v>
      </c>
      <c r="B4531" s="693" t="s">
        <v>7084</v>
      </c>
      <c r="C4531" s="672" t="s">
        <v>988</v>
      </c>
      <c r="D4531" s="673">
        <v>41826</v>
      </c>
      <c r="E4531" s="674">
        <v>5</v>
      </c>
      <c r="F4531" s="675">
        <v>0.2</v>
      </c>
      <c r="G4531" s="676">
        <v>1345600</v>
      </c>
      <c r="H4531" s="929">
        <v>269118.99999999994</v>
      </c>
      <c r="I4531" s="929">
        <v>1345599</v>
      </c>
      <c r="J4531" s="689">
        <f t="shared" si="71"/>
        <v>1</v>
      </c>
    </row>
    <row r="4532" spans="1:10" ht="12.75" customHeight="1" x14ac:dyDescent="0.2">
      <c r="A4532" s="681"/>
      <c r="B4532" s="693"/>
      <c r="C4532" s="672"/>
      <c r="D4532" s="673"/>
      <c r="E4532" s="674"/>
      <c r="F4532" s="675"/>
      <c r="G4532" s="676"/>
      <c r="H4532" s="929"/>
      <c r="I4532" s="929"/>
      <c r="J4532" s="689">
        <f t="shared" si="71"/>
        <v>0</v>
      </c>
    </row>
    <row r="4533" spans="1:10" ht="12.75" customHeight="1" x14ac:dyDescent="0.2">
      <c r="A4533" s="681"/>
      <c r="B4533" s="693"/>
      <c r="C4533" s="672"/>
      <c r="D4533" s="673"/>
      <c r="E4533" s="674"/>
      <c r="F4533" s="675"/>
      <c r="G4533" s="676"/>
      <c r="H4533" s="929"/>
      <c r="I4533" s="929"/>
      <c r="J4533" s="689">
        <f t="shared" si="71"/>
        <v>0</v>
      </c>
    </row>
    <row r="4534" spans="1:10" ht="12.75" customHeight="1" x14ac:dyDescent="0.2">
      <c r="A4534" s="681" t="s">
        <v>2370</v>
      </c>
      <c r="B4534" s="693" t="s">
        <v>7085</v>
      </c>
      <c r="C4534" s="672" t="s">
        <v>897</v>
      </c>
      <c r="D4534" s="673">
        <v>40959</v>
      </c>
      <c r="E4534" s="674">
        <v>3</v>
      </c>
      <c r="F4534" s="675">
        <v>0.33</v>
      </c>
      <c r="G4534" s="676">
        <v>97.56</v>
      </c>
      <c r="H4534" s="929">
        <v>0</v>
      </c>
      <c r="I4534" s="929">
        <v>97.56</v>
      </c>
      <c r="J4534" s="689">
        <f t="shared" si="71"/>
        <v>0</v>
      </c>
    </row>
    <row r="4535" spans="1:10" ht="12.75" customHeight="1" x14ac:dyDescent="0.2">
      <c r="A4535" s="681" t="s">
        <v>2370</v>
      </c>
      <c r="B4535" s="693" t="s">
        <v>7086</v>
      </c>
      <c r="C4535" s="672" t="s">
        <v>897</v>
      </c>
      <c r="D4535" s="673">
        <v>40959</v>
      </c>
      <c r="E4535" s="674">
        <v>3</v>
      </c>
      <c r="F4535" s="675">
        <v>0.33</v>
      </c>
      <c r="G4535" s="676">
        <v>97.56</v>
      </c>
      <c r="H4535" s="929">
        <v>0</v>
      </c>
      <c r="I4535" s="929">
        <v>97.56</v>
      </c>
      <c r="J4535" s="689">
        <f t="shared" si="71"/>
        <v>0</v>
      </c>
    </row>
    <row r="4536" spans="1:10" ht="12.75" customHeight="1" x14ac:dyDescent="0.2">
      <c r="A4536" s="681" t="s">
        <v>2370</v>
      </c>
      <c r="B4536" s="693" t="s">
        <v>7087</v>
      </c>
      <c r="C4536" s="672" t="s">
        <v>897</v>
      </c>
      <c r="D4536" s="673">
        <v>40959</v>
      </c>
      <c r="E4536" s="674">
        <v>3</v>
      </c>
      <c r="F4536" s="675">
        <v>0.33</v>
      </c>
      <c r="G4536" s="676">
        <v>99.58</v>
      </c>
      <c r="H4536" s="929">
        <v>0</v>
      </c>
      <c r="I4536" s="929">
        <v>99.58</v>
      </c>
      <c r="J4536" s="689">
        <f t="shared" si="71"/>
        <v>0</v>
      </c>
    </row>
    <row r="4537" spans="1:10" ht="12.75" customHeight="1" x14ac:dyDescent="0.2">
      <c r="A4537" s="681" t="s">
        <v>2370</v>
      </c>
      <c r="B4537" s="693" t="s">
        <v>7088</v>
      </c>
      <c r="C4537" s="672" t="s">
        <v>897</v>
      </c>
      <c r="D4537" s="673">
        <v>40959</v>
      </c>
      <c r="E4537" s="674">
        <v>3</v>
      </c>
      <c r="F4537" s="675">
        <v>0.33</v>
      </c>
      <c r="G4537" s="676">
        <v>99.58</v>
      </c>
      <c r="H4537" s="929">
        <v>0</v>
      </c>
      <c r="I4537" s="929">
        <v>99.58</v>
      </c>
      <c r="J4537" s="689">
        <f t="shared" si="71"/>
        <v>0</v>
      </c>
    </row>
    <row r="4538" spans="1:10" ht="12.75" customHeight="1" x14ac:dyDescent="0.2">
      <c r="A4538" s="681" t="s">
        <v>2370</v>
      </c>
      <c r="B4538" s="693" t="s">
        <v>7089</v>
      </c>
      <c r="C4538" s="672" t="s">
        <v>736</v>
      </c>
      <c r="D4538" s="673">
        <v>41325</v>
      </c>
      <c r="E4538" s="674">
        <v>3</v>
      </c>
      <c r="F4538" s="675">
        <v>0.33</v>
      </c>
      <c r="G4538" s="676">
        <v>104.4</v>
      </c>
      <c r="H4538" s="929">
        <v>0</v>
      </c>
      <c r="I4538" s="929">
        <v>104.4</v>
      </c>
      <c r="J4538" s="689">
        <f t="shared" si="71"/>
        <v>0</v>
      </c>
    </row>
    <row r="4539" spans="1:10" ht="12.75" customHeight="1" x14ac:dyDescent="0.2">
      <c r="A4539" s="681" t="s">
        <v>2370</v>
      </c>
      <c r="B4539" s="693" t="s">
        <v>7090</v>
      </c>
      <c r="C4539" s="672" t="s">
        <v>736</v>
      </c>
      <c r="D4539" s="673">
        <v>41325</v>
      </c>
      <c r="E4539" s="674">
        <v>3</v>
      </c>
      <c r="F4539" s="675">
        <v>0.33</v>
      </c>
      <c r="G4539" s="676">
        <v>104.4</v>
      </c>
      <c r="H4539" s="929">
        <v>0</v>
      </c>
      <c r="I4539" s="929">
        <v>104.4</v>
      </c>
      <c r="J4539" s="689">
        <f t="shared" si="71"/>
        <v>0</v>
      </c>
    </row>
    <row r="4540" spans="1:10" ht="12.75" customHeight="1" x14ac:dyDescent="0.2">
      <c r="A4540" s="681" t="s">
        <v>2370</v>
      </c>
      <c r="B4540" s="693" t="s">
        <v>7091</v>
      </c>
      <c r="C4540" s="672" t="s">
        <v>736</v>
      </c>
      <c r="D4540" s="673">
        <v>41325</v>
      </c>
      <c r="E4540" s="674">
        <v>3</v>
      </c>
      <c r="F4540" s="675">
        <v>0.33</v>
      </c>
      <c r="G4540" s="676">
        <v>104.4</v>
      </c>
      <c r="H4540" s="929">
        <v>0</v>
      </c>
      <c r="I4540" s="929">
        <v>104.4</v>
      </c>
      <c r="J4540" s="689">
        <f t="shared" si="71"/>
        <v>0</v>
      </c>
    </row>
    <row r="4541" spans="1:10" ht="12.75" customHeight="1" x14ac:dyDescent="0.2">
      <c r="A4541" s="681" t="s">
        <v>2370</v>
      </c>
      <c r="B4541" s="693" t="s">
        <v>7092</v>
      </c>
      <c r="C4541" s="672" t="s">
        <v>736</v>
      </c>
      <c r="D4541" s="673">
        <v>41325</v>
      </c>
      <c r="E4541" s="674">
        <v>3</v>
      </c>
      <c r="F4541" s="675">
        <v>0.33</v>
      </c>
      <c r="G4541" s="676">
        <v>104.4</v>
      </c>
      <c r="H4541" s="929">
        <v>0</v>
      </c>
      <c r="I4541" s="929">
        <v>104.4</v>
      </c>
      <c r="J4541" s="689">
        <f t="shared" si="71"/>
        <v>0</v>
      </c>
    </row>
    <row r="4542" spans="1:10" ht="12.75" customHeight="1" x14ac:dyDescent="0.2">
      <c r="A4542" s="681" t="s">
        <v>2370</v>
      </c>
      <c r="B4542" s="693" t="s">
        <v>7093</v>
      </c>
      <c r="C4542" s="672" t="s">
        <v>736</v>
      </c>
      <c r="D4542" s="673">
        <v>41325</v>
      </c>
      <c r="E4542" s="674">
        <v>3</v>
      </c>
      <c r="F4542" s="675">
        <v>0.33</v>
      </c>
      <c r="G4542" s="676">
        <v>104.4</v>
      </c>
      <c r="H4542" s="929">
        <v>0</v>
      </c>
      <c r="I4542" s="929">
        <v>104.4</v>
      </c>
      <c r="J4542" s="689">
        <f t="shared" si="71"/>
        <v>0</v>
      </c>
    </row>
    <row r="4543" spans="1:10" ht="12.75" customHeight="1" x14ac:dyDescent="0.2">
      <c r="A4543" s="681" t="s">
        <v>2370</v>
      </c>
      <c r="B4543" s="693" t="s">
        <v>7094</v>
      </c>
      <c r="C4543" s="672" t="s">
        <v>736</v>
      </c>
      <c r="D4543" s="673">
        <v>41325</v>
      </c>
      <c r="E4543" s="674">
        <v>3</v>
      </c>
      <c r="F4543" s="675">
        <v>0.33</v>
      </c>
      <c r="G4543" s="676">
        <v>114</v>
      </c>
      <c r="H4543" s="929">
        <v>0</v>
      </c>
      <c r="I4543" s="929">
        <v>114</v>
      </c>
      <c r="J4543" s="689">
        <f t="shared" si="71"/>
        <v>0</v>
      </c>
    </row>
    <row r="4544" spans="1:10" ht="12.75" customHeight="1" x14ac:dyDescent="0.2">
      <c r="A4544" s="681" t="s">
        <v>2370</v>
      </c>
      <c r="B4544" s="693" t="s">
        <v>7095</v>
      </c>
      <c r="C4544" s="672" t="s">
        <v>736</v>
      </c>
      <c r="D4544" s="673">
        <v>41325</v>
      </c>
      <c r="E4544" s="674">
        <v>3</v>
      </c>
      <c r="F4544" s="675">
        <v>0.33</v>
      </c>
      <c r="G4544" s="676">
        <v>114</v>
      </c>
      <c r="H4544" s="929">
        <v>0</v>
      </c>
      <c r="I4544" s="929">
        <v>114</v>
      </c>
      <c r="J4544" s="689">
        <f t="shared" si="71"/>
        <v>0</v>
      </c>
    </row>
    <row r="4545" spans="1:10" ht="12.75" customHeight="1" x14ac:dyDescent="0.2">
      <c r="A4545" s="681" t="s">
        <v>2370</v>
      </c>
      <c r="B4545" s="693" t="s">
        <v>7096</v>
      </c>
      <c r="C4545" s="672" t="s">
        <v>736</v>
      </c>
      <c r="D4545" s="673">
        <v>41325</v>
      </c>
      <c r="E4545" s="674">
        <v>3</v>
      </c>
      <c r="F4545" s="675">
        <v>0.33</v>
      </c>
      <c r="G4545" s="676">
        <v>114</v>
      </c>
      <c r="H4545" s="929">
        <v>0</v>
      </c>
      <c r="I4545" s="929">
        <v>114</v>
      </c>
      <c r="J4545" s="689">
        <f t="shared" si="71"/>
        <v>0</v>
      </c>
    </row>
    <row r="4546" spans="1:10" ht="12.75" customHeight="1" x14ac:dyDescent="0.2">
      <c r="A4546" s="681" t="s">
        <v>2370</v>
      </c>
      <c r="B4546" s="693" t="s">
        <v>7097</v>
      </c>
      <c r="C4546" s="672" t="s">
        <v>736</v>
      </c>
      <c r="D4546" s="673">
        <v>41325</v>
      </c>
      <c r="E4546" s="674">
        <v>3</v>
      </c>
      <c r="F4546" s="675">
        <v>0.33</v>
      </c>
      <c r="G4546" s="676">
        <v>114</v>
      </c>
      <c r="H4546" s="929">
        <v>0</v>
      </c>
      <c r="I4546" s="929">
        <v>114</v>
      </c>
      <c r="J4546" s="689">
        <f t="shared" si="71"/>
        <v>0</v>
      </c>
    </row>
    <row r="4547" spans="1:10" ht="12.75" customHeight="1" x14ac:dyDescent="0.2">
      <c r="A4547" s="681" t="s">
        <v>2370</v>
      </c>
      <c r="B4547" s="693" t="s">
        <v>7098</v>
      </c>
      <c r="C4547" s="672" t="s">
        <v>913</v>
      </c>
      <c r="D4547" s="673">
        <v>41325</v>
      </c>
      <c r="E4547" s="674">
        <v>3</v>
      </c>
      <c r="F4547" s="675">
        <v>0.33</v>
      </c>
      <c r="G4547" s="676">
        <v>116</v>
      </c>
      <c r="H4547" s="929">
        <v>0</v>
      </c>
      <c r="I4547" s="929">
        <v>116</v>
      </c>
      <c r="J4547" s="689">
        <f t="shared" si="71"/>
        <v>0</v>
      </c>
    </row>
    <row r="4548" spans="1:10" ht="12.75" customHeight="1" x14ac:dyDescent="0.2">
      <c r="A4548" s="681" t="s">
        <v>2370</v>
      </c>
      <c r="B4548" s="693" t="s">
        <v>7099</v>
      </c>
      <c r="C4548" s="672" t="s">
        <v>913</v>
      </c>
      <c r="D4548" s="673">
        <v>41325</v>
      </c>
      <c r="E4548" s="674">
        <v>3</v>
      </c>
      <c r="F4548" s="675">
        <v>0.33</v>
      </c>
      <c r="G4548" s="676">
        <v>116</v>
      </c>
      <c r="H4548" s="929">
        <v>0</v>
      </c>
      <c r="I4548" s="929">
        <v>116</v>
      </c>
      <c r="J4548" s="689">
        <f t="shared" si="71"/>
        <v>0</v>
      </c>
    </row>
    <row r="4549" spans="1:10" ht="12.75" customHeight="1" x14ac:dyDescent="0.2">
      <c r="A4549" s="681" t="s">
        <v>2370</v>
      </c>
      <c r="B4549" s="693" t="s">
        <v>7100</v>
      </c>
      <c r="C4549" s="672" t="s">
        <v>913</v>
      </c>
      <c r="D4549" s="673">
        <v>41325</v>
      </c>
      <c r="E4549" s="674">
        <v>3</v>
      </c>
      <c r="F4549" s="675">
        <v>0.33</v>
      </c>
      <c r="G4549" s="676">
        <v>116</v>
      </c>
      <c r="H4549" s="929">
        <v>0</v>
      </c>
      <c r="I4549" s="929">
        <v>116</v>
      </c>
      <c r="J4549" s="689">
        <f t="shared" si="71"/>
        <v>0</v>
      </c>
    </row>
    <row r="4550" spans="1:10" ht="12.75" customHeight="1" x14ac:dyDescent="0.2">
      <c r="A4550" s="681" t="s">
        <v>2370</v>
      </c>
      <c r="B4550" s="693" t="s">
        <v>7101</v>
      </c>
      <c r="C4550" s="672" t="s">
        <v>913</v>
      </c>
      <c r="D4550" s="673">
        <v>41325</v>
      </c>
      <c r="E4550" s="674">
        <v>3</v>
      </c>
      <c r="F4550" s="675">
        <v>0.33</v>
      </c>
      <c r="G4550" s="676">
        <v>116</v>
      </c>
      <c r="H4550" s="929">
        <v>0</v>
      </c>
      <c r="I4550" s="929">
        <v>116</v>
      </c>
      <c r="J4550" s="689">
        <f t="shared" si="71"/>
        <v>0</v>
      </c>
    </row>
    <row r="4551" spans="1:10" ht="12.75" customHeight="1" x14ac:dyDescent="0.2">
      <c r="A4551" s="681" t="s">
        <v>2370</v>
      </c>
      <c r="B4551" s="693" t="s">
        <v>7102</v>
      </c>
      <c r="C4551" s="672" t="s">
        <v>913</v>
      </c>
      <c r="D4551" s="673">
        <v>41325</v>
      </c>
      <c r="E4551" s="674">
        <v>3</v>
      </c>
      <c r="F4551" s="675">
        <v>0.33</v>
      </c>
      <c r="G4551" s="676">
        <v>116</v>
      </c>
      <c r="H4551" s="929">
        <v>0</v>
      </c>
      <c r="I4551" s="929">
        <v>116</v>
      </c>
      <c r="J4551" s="689">
        <f t="shared" ref="J4551:J4614" si="72">G4551-I4551</f>
        <v>0</v>
      </c>
    </row>
    <row r="4552" spans="1:10" ht="12.75" customHeight="1" x14ac:dyDescent="0.2">
      <c r="A4552" s="681" t="s">
        <v>2370</v>
      </c>
      <c r="B4552" s="693" t="s">
        <v>7103</v>
      </c>
      <c r="C4552" s="672" t="s">
        <v>913</v>
      </c>
      <c r="D4552" s="673">
        <v>41325</v>
      </c>
      <c r="E4552" s="674">
        <v>3</v>
      </c>
      <c r="F4552" s="675">
        <v>0.33</v>
      </c>
      <c r="G4552" s="676">
        <v>116</v>
      </c>
      <c r="H4552" s="929">
        <v>0</v>
      </c>
      <c r="I4552" s="929">
        <v>116</v>
      </c>
      <c r="J4552" s="689">
        <f t="shared" si="72"/>
        <v>0</v>
      </c>
    </row>
    <row r="4553" spans="1:10" ht="12.75" customHeight="1" x14ac:dyDescent="0.2">
      <c r="A4553" s="681" t="s">
        <v>2370</v>
      </c>
      <c r="B4553" s="693" t="s">
        <v>7104</v>
      </c>
      <c r="C4553" s="672" t="s">
        <v>913</v>
      </c>
      <c r="D4553" s="673">
        <v>41325</v>
      </c>
      <c r="E4553" s="674">
        <v>3</v>
      </c>
      <c r="F4553" s="675">
        <v>0.33</v>
      </c>
      <c r="G4553" s="676">
        <v>116</v>
      </c>
      <c r="H4553" s="929">
        <v>0</v>
      </c>
      <c r="I4553" s="929">
        <v>116</v>
      </c>
      <c r="J4553" s="689">
        <f t="shared" si="72"/>
        <v>0</v>
      </c>
    </row>
    <row r="4554" spans="1:10" ht="12.75" customHeight="1" x14ac:dyDescent="0.2">
      <c r="A4554" s="681" t="s">
        <v>2370</v>
      </c>
      <c r="B4554" s="693" t="s">
        <v>7105</v>
      </c>
      <c r="C4554" s="672" t="s">
        <v>913</v>
      </c>
      <c r="D4554" s="673">
        <v>41325</v>
      </c>
      <c r="E4554" s="674">
        <v>3</v>
      </c>
      <c r="F4554" s="675">
        <v>0.33</v>
      </c>
      <c r="G4554" s="676">
        <v>116</v>
      </c>
      <c r="H4554" s="929">
        <v>0</v>
      </c>
      <c r="I4554" s="929">
        <v>116</v>
      </c>
      <c r="J4554" s="689">
        <f t="shared" si="72"/>
        <v>0</v>
      </c>
    </row>
    <row r="4555" spans="1:10" ht="12.75" customHeight="1" x14ac:dyDescent="0.2">
      <c r="A4555" s="681" t="s">
        <v>2370</v>
      </c>
      <c r="B4555" s="693" t="s">
        <v>7106</v>
      </c>
      <c r="C4555" s="672" t="s">
        <v>906</v>
      </c>
      <c r="D4555" s="673">
        <v>41325</v>
      </c>
      <c r="E4555" s="674">
        <v>3</v>
      </c>
      <c r="F4555" s="675">
        <v>0.33</v>
      </c>
      <c r="G4555" s="676">
        <v>137</v>
      </c>
      <c r="H4555" s="929">
        <v>0</v>
      </c>
      <c r="I4555" s="929">
        <v>137</v>
      </c>
      <c r="J4555" s="689">
        <f t="shared" si="72"/>
        <v>0</v>
      </c>
    </row>
    <row r="4556" spans="1:10" ht="12.75" customHeight="1" x14ac:dyDescent="0.2">
      <c r="A4556" s="681" t="s">
        <v>2370</v>
      </c>
      <c r="B4556" s="693" t="s">
        <v>7107</v>
      </c>
      <c r="C4556" s="672" t="s">
        <v>906</v>
      </c>
      <c r="D4556" s="673">
        <v>41325</v>
      </c>
      <c r="E4556" s="674">
        <v>3</v>
      </c>
      <c r="F4556" s="675">
        <v>0.33</v>
      </c>
      <c r="G4556" s="676">
        <v>137</v>
      </c>
      <c r="H4556" s="929">
        <v>0</v>
      </c>
      <c r="I4556" s="929">
        <v>137</v>
      </c>
      <c r="J4556" s="689">
        <f t="shared" si="72"/>
        <v>0</v>
      </c>
    </row>
    <row r="4557" spans="1:10" ht="12.75" customHeight="1" x14ac:dyDescent="0.2">
      <c r="A4557" s="681" t="s">
        <v>2370</v>
      </c>
      <c r="B4557" s="693" t="s">
        <v>7108</v>
      </c>
      <c r="C4557" s="672" t="s">
        <v>736</v>
      </c>
      <c r="D4557" s="673">
        <v>41325</v>
      </c>
      <c r="E4557" s="674">
        <v>3</v>
      </c>
      <c r="F4557" s="675">
        <v>0.33</v>
      </c>
      <c r="G4557" s="676">
        <v>171.68</v>
      </c>
      <c r="H4557" s="929">
        <v>0</v>
      </c>
      <c r="I4557" s="929">
        <v>171.68</v>
      </c>
      <c r="J4557" s="689">
        <f t="shared" si="72"/>
        <v>0</v>
      </c>
    </row>
    <row r="4558" spans="1:10" ht="12.75" customHeight="1" x14ac:dyDescent="0.2">
      <c r="A4558" s="681" t="s">
        <v>2370</v>
      </c>
      <c r="B4558" s="693" t="s">
        <v>7109</v>
      </c>
      <c r="C4558" s="672" t="s">
        <v>736</v>
      </c>
      <c r="D4558" s="673">
        <v>41325</v>
      </c>
      <c r="E4558" s="674">
        <v>3</v>
      </c>
      <c r="F4558" s="675">
        <v>0.33</v>
      </c>
      <c r="G4558" s="676">
        <v>171.68</v>
      </c>
      <c r="H4558" s="929">
        <v>0</v>
      </c>
      <c r="I4558" s="929">
        <v>171.68</v>
      </c>
      <c r="J4558" s="689">
        <f t="shared" si="72"/>
        <v>0</v>
      </c>
    </row>
    <row r="4559" spans="1:10" ht="12.75" customHeight="1" x14ac:dyDescent="0.2">
      <c r="A4559" s="681" t="s">
        <v>2370</v>
      </c>
      <c r="B4559" s="693" t="s">
        <v>7110</v>
      </c>
      <c r="C4559" s="672" t="s">
        <v>736</v>
      </c>
      <c r="D4559" s="673">
        <v>41325</v>
      </c>
      <c r="E4559" s="674">
        <v>3</v>
      </c>
      <c r="F4559" s="675">
        <v>0.33</v>
      </c>
      <c r="G4559" s="676">
        <v>171.68</v>
      </c>
      <c r="H4559" s="929">
        <v>0</v>
      </c>
      <c r="I4559" s="929">
        <v>171.68</v>
      </c>
      <c r="J4559" s="689">
        <f t="shared" si="72"/>
        <v>0</v>
      </c>
    </row>
    <row r="4560" spans="1:10" ht="12.75" customHeight="1" x14ac:dyDescent="0.2">
      <c r="A4560" s="681" t="s">
        <v>2370</v>
      </c>
      <c r="B4560" s="693" t="s">
        <v>7111</v>
      </c>
      <c r="C4560" s="672" t="s">
        <v>896</v>
      </c>
      <c r="D4560" s="673">
        <v>41325</v>
      </c>
      <c r="E4560" s="674">
        <v>3</v>
      </c>
      <c r="F4560" s="675">
        <v>0.33</v>
      </c>
      <c r="G4560" s="676">
        <v>232</v>
      </c>
      <c r="H4560" s="929">
        <v>0</v>
      </c>
      <c r="I4560" s="929">
        <v>232</v>
      </c>
      <c r="J4560" s="689">
        <f t="shared" si="72"/>
        <v>0</v>
      </c>
    </row>
    <row r="4561" spans="1:10" ht="12.75" customHeight="1" x14ac:dyDescent="0.2">
      <c r="A4561" s="681" t="s">
        <v>2372</v>
      </c>
      <c r="B4561" s="693" t="s">
        <v>7112</v>
      </c>
      <c r="C4561" s="672" t="s">
        <v>895</v>
      </c>
      <c r="D4561" s="673">
        <v>41325</v>
      </c>
      <c r="E4561" s="674">
        <v>3</v>
      </c>
      <c r="F4561" s="675">
        <v>0.33</v>
      </c>
      <c r="G4561" s="676">
        <v>232</v>
      </c>
      <c r="H4561" s="929">
        <v>0</v>
      </c>
      <c r="I4561" s="929">
        <v>232</v>
      </c>
      <c r="J4561" s="689">
        <f t="shared" si="72"/>
        <v>0</v>
      </c>
    </row>
    <row r="4562" spans="1:10" ht="12.75" customHeight="1" x14ac:dyDescent="0.2">
      <c r="A4562" s="681" t="s">
        <v>2370</v>
      </c>
      <c r="B4562" s="693" t="s">
        <v>7113</v>
      </c>
      <c r="C4562" s="672" t="s">
        <v>896</v>
      </c>
      <c r="D4562" s="673">
        <v>41325</v>
      </c>
      <c r="E4562" s="674">
        <v>3</v>
      </c>
      <c r="F4562" s="675">
        <v>0.33</v>
      </c>
      <c r="G4562" s="676">
        <v>268</v>
      </c>
      <c r="H4562" s="929">
        <v>0</v>
      </c>
      <c r="I4562" s="929">
        <v>268</v>
      </c>
      <c r="J4562" s="689">
        <f t="shared" si="72"/>
        <v>0</v>
      </c>
    </row>
    <row r="4563" spans="1:10" ht="12.75" customHeight="1" x14ac:dyDescent="0.2">
      <c r="A4563" s="681" t="s">
        <v>2370</v>
      </c>
      <c r="B4563" s="693" t="s">
        <v>7114</v>
      </c>
      <c r="C4563" s="672" t="s">
        <v>896</v>
      </c>
      <c r="D4563" s="673">
        <v>41325</v>
      </c>
      <c r="E4563" s="674">
        <v>3</v>
      </c>
      <c r="F4563" s="675">
        <v>0.33</v>
      </c>
      <c r="G4563" s="676">
        <v>290</v>
      </c>
      <c r="H4563" s="929">
        <v>0</v>
      </c>
      <c r="I4563" s="929">
        <v>290</v>
      </c>
      <c r="J4563" s="689">
        <f t="shared" si="72"/>
        <v>0</v>
      </c>
    </row>
    <row r="4564" spans="1:10" ht="12.75" customHeight="1" x14ac:dyDescent="0.2">
      <c r="A4564" s="681" t="s">
        <v>2370</v>
      </c>
      <c r="B4564" s="693" t="s">
        <v>7115</v>
      </c>
      <c r="C4564" s="672" t="s">
        <v>889</v>
      </c>
      <c r="D4564" s="673">
        <v>41325</v>
      </c>
      <c r="E4564" s="674">
        <v>3</v>
      </c>
      <c r="F4564" s="675">
        <v>0.33</v>
      </c>
      <c r="G4564" s="676">
        <v>319</v>
      </c>
      <c r="H4564" s="929">
        <v>0</v>
      </c>
      <c r="I4564" s="929">
        <v>319</v>
      </c>
      <c r="J4564" s="689">
        <f t="shared" si="72"/>
        <v>0</v>
      </c>
    </row>
    <row r="4565" spans="1:10" ht="12.75" customHeight="1" x14ac:dyDescent="0.2">
      <c r="A4565" s="681" t="s">
        <v>2370</v>
      </c>
      <c r="B4565" s="693" t="s">
        <v>7116</v>
      </c>
      <c r="C4565" s="672" t="s">
        <v>736</v>
      </c>
      <c r="D4565" s="673">
        <v>41325</v>
      </c>
      <c r="E4565" s="674">
        <v>3</v>
      </c>
      <c r="F4565" s="675">
        <v>0.33</v>
      </c>
      <c r="G4565" s="676">
        <v>319</v>
      </c>
      <c r="H4565" s="929">
        <v>0</v>
      </c>
      <c r="I4565" s="929">
        <v>319</v>
      </c>
      <c r="J4565" s="689">
        <f t="shared" si="72"/>
        <v>0</v>
      </c>
    </row>
    <row r="4566" spans="1:10" ht="12.75" customHeight="1" x14ac:dyDescent="0.2">
      <c r="A4566" s="681" t="s">
        <v>2370</v>
      </c>
      <c r="B4566" s="693" t="s">
        <v>7117</v>
      </c>
      <c r="C4566" s="672" t="s">
        <v>736</v>
      </c>
      <c r="D4566" s="673">
        <v>41325</v>
      </c>
      <c r="E4566" s="674">
        <v>3</v>
      </c>
      <c r="F4566" s="675">
        <v>0.33</v>
      </c>
      <c r="G4566" s="676">
        <v>319</v>
      </c>
      <c r="H4566" s="929">
        <v>0</v>
      </c>
      <c r="I4566" s="929">
        <v>319</v>
      </c>
      <c r="J4566" s="689">
        <f t="shared" si="72"/>
        <v>0</v>
      </c>
    </row>
    <row r="4567" spans="1:10" ht="12.75" customHeight="1" x14ac:dyDescent="0.2">
      <c r="A4567" s="681" t="s">
        <v>2370</v>
      </c>
      <c r="B4567" s="693" t="s">
        <v>7118</v>
      </c>
      <c r="C4567" s="672" t="s">
        <v>896</v>
      </c>
      <c r="D4567" s="673">
        <v>41325</v>
      </c>
      <c r="E4567" s="674">
        <v>3</v>
      </c>
      <c r="F4567" s="675">
        <v>0.33</v>
      </c>
      <c r="G4567" s="676">
        <v>348</v>
      </c>
      <c r="H4567" s="929">
        <v>0</v>
      </c>
      <c r="I4567" s="929">
        <v>348</v>
      </c>
      <c r="J4567" s="689">
        <f t="shared" si="72"/>
        <v>0</v>
      </c>
    </row>
    <row r="4568" spans="1:10" ht="12.75" customHeight="1" x14ac:dyDescent="0.2">
      <c r="A4568" s="681" t="s">
        <v>2370</v>
      </c>
      <c r="B4568" s="693" t="s">
        <v>7119</v>
      </c>
      <c r="C4568" s="672" t="s">
        <v>896</v>
      </c>
      <c r="D4568" s="673">
        <v>41325</v>
      </c>
      <c r="E4568" s="674">
        <v>3</v>
      </c>
      <c r="F4568" s="675">
        <v>0.33</v>
      </c>
      <c r="G4568" s="676">
        <v>348</v>
      </c>
      <c r="H4568" s="929">
        <v>0</v>
      </c>
      <c r="I4568" s="929">
        <v>348</v>
      </c>
      <c r="J4568" s="689">
        <f t="shared" si="72"/>
        <v>0</v>
      </c>
    </row>
    <row r="4569" spans="1:10" ht="12.75" customHeight="1" x14ac:dyDescent="0.2">
      <c r="A4569" s="681" t="s">
        <v>2370</v>
      </c>
      <c r="B4569" s="693" t="s">
        <v>7120</v>
      </c>
      <c r="C4569" s="672" t="s">
        <v>896</v>
      </c>
      <c r="D4569" s="673">
        <v>41325</v>
      </c>
      <c r="E4569" s="674">
        <v>3</v>
      </c>
      <c r="F4569" s="675">
        <v>0.33</v>
      </c>
      <c r="G4569" s="676">
        <v>348</v>
      </c>
      <c r="H4569" s="929">
        <v>0</v>
      </c>
      <c r="I4569" s="929">
        <v>348</v>
      </c>
      <c r="J4569" s="689">
        <f t="shared" si="72"/>
        <v>0</v>
      </c>
    </row>
    <row r="4570" spans="1:10" ht="12.75" customHeight="1" x14ac:dyDescent="0.2">
      <c r="A4570" s="681" t="s">
        <v>2372</v>
      </c>
      <c r="B4570" s="693" t="s">
        <v>7121</v>
      </c>
      <c r="C4570" s="672" t="s">
        <v>915</v>
      </c>
      <c r="D4570" s="673">
        <v>41325</v>
      </c>
      <c r="E4570" s="674">
        <v>3</v>
      </c>
      <c r="F4570" s="675">
        <v>0.33</v>
      </c>
      <c r="G4570" s="676">
        <v>406</v>
      </c>
      <c r="H4570" s="929">
        <v>0</v>
      </c>
      <c r="I4570" s="929">
        <v>406</v>
      </c>
      <c r="J4570" s="689">
        <f t="shared" si="72"/>
        <v>0</v>
      </c>
    </row>
    <row r="4571" spans="1:10" ht="12.75" customHeight="1" x14ac:dyDescent="0.2">
      <c r="A4571" s="681" t="s">
        <v>2372</v>
      </c>
      <c r="B4571" s="693" t="s">
        <v>7122</v>
      </c>
      <c r="C4571" s="672" t="s">
        <v>1020</v>
      </c>
      <c r="D4571" s="673">
        <v>41325</v>
      </c>
      <c r="E4571" s="674">
        <v>3</v>
      </c>
      <c r="F4571" s="675">
        <v>0.33</v>
      </c>
      <c r="G4571" s="676">
        <v>406</v>
      </c>
      <c r="H4571" s="929">
        <v>0</v>
      </c>
      <c r="I4571" s="929">
        <v>406</v>
      </c>
      <c r="J4571" s="689">
        <f t="shared" si="72"/>
        <v>0</v>
      </c>
    </row>
    <row r="4572" spans="1:10" ht="12.75" customHeight="1" x14ac:dyDescent="0.2">
      <c r="A4572" s="681" t="s">
        <v>2370</v>
      </c>
      <c r="B4572" s="693" t="s">
        <v>7123</v>
      </c>
      <c r="C4572" s="672" t="s">
        <v>890</v>
      </c>
      <c r="D4572" s="673">
        <v>41325</v>
      </c>
      <c r="E4572" s="674">
        <v>3</v>
      </c>
      <c r="F4572" s="675">
        <v>0.33</v>
      </c>
      <c r="G4572" s="676">
        <v>464</v>
      </c>
      <c r="H4572" s="929">
        <v>0</v>
      </c>
      <c r="I4572" s="929">
        <v>464</v>
      </c>
      <c r="J4572" s="689">
        <f t="shared" si="72"/>
        <v>0</v>
      </c>
    </row>
    <row r="4573" spans="1:10" ht="12.75" customHeight="1" x14ac:dyDescent="0.2">
      <c r="A4573" s="681" t="s">
        <v>2372</v>
      </c>
      <c r="B4573" s="693" t="s">
        <v>7124</v>
      </c>
      <c r="C4573" s="672" t="s">
        <v>895</v>
      </c>
      <c r="D4573" s="673">
        <v>41325</v>
      </c>
      <c r="E4573" s="674">
        <v>3</v>
      </c>
      <c r="F4573" s="675">
        <v>0.33</v>
      </c>
      <c r="G4573" s="676">
        <v>580</v>
      </c>
      <c r="H4573" s="929">
        <v>0</v>
      </c>
      <c r="I4573" s="929">
        <v>580</v>
      </c>
      <c r="J4573" s="689">
        <f t="shared" si="72"/>
        <v>0</v>
      </c>
    </row>
    <row r="4574" spans="1:10" ht="12.75" customHeight="1" x14ac:dyDescent="0.2">
      <c r="A4574" s="681" t="s">
        <v>2370</v>
      </c>
      <c r="B4574" s="693" t="s">
        <v>7125</v>
      </c>
      <c r="C4574" s="672" t="s">
        <v>906</v>
      </c>
      <c r="D4574" s="673">
        <v>41325</v>
      </c>
      <c r="E4574" s="674">
        <v>3</v>
      </c>
      <c r="F4574" s="675">
        <v>0.33</v>
      </c>
      <c r="G4574" s="676">
        <v>589</v>
      </c>
      <c r="H4574" s="929">
        <v>0</v>
      </c>
      <c r="I4574" s="929">
        <v>589</v>
      </c>
      <c r="J4574" s="689">
        <f t="shared" si="72"/>
        <v>0</v>
      </c>
    </row>
    <row r="4575" spans="1:10" ht="12.75" customHeight="1" x14ac:dyDescent="0.2">
      <c r="A4575" s="681" t="s">
        <v>2370</v>
      </c>
      <c r="B4575" s="693" t="s">
        <v>7126</v>
      </c>
      <c r="C4575" s="672" t="s">
        <v>906</v>
      </c>
      <c r="D4575" s="673">
        <v>41325</v>
      </c>
      <c r="E4575" s="674">
        <v>3</v>
      </c>
      <c r="F4575" s="675">
        <v>0.33</v>
      </c>
      <c r="G4575" s="676">
        <v>589</v>
      </c>
      <c r="H4575" s="929">
        <v>0</v>
      </c>
      <c r="I4575" s="929">
        <v>589</v>
      </c>
      <c r="J4575" s="689">
        <f t="shared" si="72"/>
        <v>0</v>
      </c>
    </row>
    <row r="4576" spans="1:10" ht="12.75" customHeight="1" x14ac:dyDescent="0.2">
      <c r="A4576" s="681" t="s">
        <v>2370</v>
      </c>
      <c r="B4576" s="693" t="s">
        <v>7127</v>
      </c>
      <c r="C4576" s="672" t="s">
        <v>906</v>
      </c>
      <c r="D4576" s="673">
        <v>41325</v>
      </c>
      <c r="E4576" s="674">
        <v>3</v>
      </c>
      <c r="F4576" s="675">
        <v>0.33</v>
      </c>
      <c r="G4576" s="676">
        <v>589</v>
      </c>
      <c r="H4576" s="929">
        <v>0</v>
      </c>
      <c r="I4576" s="929">
        <v>589</v>
      </c>
      <c r="J4576" s="689">
        <f t="shared" si="72"/>
        <v>0</v>
      </c>
    </row>
    <row r="4577" spans="1:10" ht="12.75" customHeight="1" x14ac:dyDescent="0.2">
      <c r="A4577" s="681" t="s">
        <v>2370</v>
      </c>
      <c r="B4577" s="693" t="s">
        <v>7128</v>
      </c>
      <c r="C4577" s="672" t="s">
        <v>906</v>
      </c>
      <c r="D4577" s="673">
        <v>41325</v>
      </c>
      <c r="E4577" s="674">
        <v>3</v>
      </c>
      <c r="F4577" s="675">
        <v>0.33</v>
      </c>
      <c r="G4577" s="676">
        <v>589</v>
      </c>
      <c r="H4577" s="929">
        <v>0</v>
      </c>
      <c r="I4577" s="929">
        <v>589</v>
      </c>
      <c r="J4577" s="689">
        <f t="shared" si="72"/>
        <v>0</v>
      </c>
    </row>
    <row r="4578" spans="1:10" ht="12.75" customHeight="1" x14ac:dyDescent="0.2">
      <c r="A4578" s="681" t="s">
        <v>2370</v>
      </c>
      <c r="B4578" s="693" t="s">
        <v>7129</v>
      </c>
      <c r="C4578" s="672" t="s">
        <v>906</v>
      </c>
      <c r="D4578" s="673">
        <v>41325</v>
      </c>
      <c r="E4578" s="674">
        <v>3</v>
      </c>
      <c r="F4578" s="675">
        <v>0.33</v>
      </c>
      <c r="G4578" s="676">
        <v>589</v>
      </c>
      <c r="H4578" s="929">
        <v>0</v>
      </c>
      <c r="I4578" s="929">
        <v>589</v>
      </c>
      <c r="J4578" s="689">
        <f t="shared" si="72"/>
        <v>0</v>
      </c>
    </row>
    <row r="4579" spans="1:10" ht="12.75" customHeight="1" x14ac:dyDescent="0.2">
      <c r="A4579" s="681" t="s">
        <v>2370</v>
      </c>
      <c r="B4579" s="693" t="s">
        <v>7130</v>
      </c>
      <c r="C4579" s="672" t="s">
        <v>913</v>
      </c>
      <c r="D4579" s="673">
        <v>41325</v>
      </c>
      <c r="E4579" s="674">
        <v>3</v>
      </c>
      <c r="F4579" s="675">
        <v>0.33</v>
      </c>
      <c r="G4579" s="676">
        <v>696</v>
      </c>
      <c r="H4579" s="929">
        <v>0</v>
      </c>
      <c r="I4579" s="929">
        <v>696</v>
      </c>
      <c r="J4579" s="689">
        <f t="shared" si="72"/>
        <v>0</v>
      </c>
    </row>
    <row r="4580" spans="1:10" ht="12.75" customHeight="1" x14ac:dyDescent="0.2">
      <c r="A4580" s="681" t="s">
        <v>2372</v>
      </c>
      <c r="B4580" s="693" t="s">
        <v>7131</v>
      </c>
      <c r="C4580" s="672" t="s">
        <v>915</v>
      </c>
      <c r="D4580" s="673">
        <v>41325</v>
      </c>
      <c r="E4580" s="674">
        <v>3</v>
      </c>
      <c r="F4580" s="675">
        <v>0.33</v>
      </c>
      <c r="G4580" s="676">
        <v>696</v>
      </c>
      <c r="H4580" s="929">
        <v>0</v>
      </c>
      <c r="I4580" s="929">
        <v>696</v>
      </c>
      <c r="J4580" s="689">
        <f t="shared" si="72"/>
        <v>0</v>
      </c>
    </row>
    <row r="4581" spans="1:10" ht="12.75" customHeight="1" x14ac:dyDescent="0.2">
      <c r="A4581" s="681" t="s">
        <v>2372</v>
      </c>
      <c r="B4581" s="693" t="s">
        <v>7132</v>
      </c>
      <c r="C4581" s="672" t="s">
        <v>915</v>
      </c>
      <c r="D4581" s="673">
        <v>41325</v>
      </c>
      <c r="E4581" s="674">
        <v>3</v>
      </c>
      <c r="F4581" s="675">
        <v>0.33</v>
      </c>
      <c r="G4581" s="676">
        <v>696</v>
      </c>
      <c r="H4581" s="929">
        <v>0</v>
      </c>
      <c r="I4581" s="929">
        <v>696</v>
      </c>
      <c r="J4581" s="689">
        <f t="shared" si="72"/>
        <v>0</v>
      </c>
    </row>
    <row r="4582" spans="1:10" ht="12.75" customHeight="1" x14ac:dyDescent="0.2">
      <c r="A4582" s="681" t="s">
        <v>2372</v>
      </c>
      <c r="B4582" s="693" t="s">
        <v>7133</v>
      </c>
      <c r="C4582" s="672" t="s">
        <v>915</v>
      </c>
      <c r="D4582" s="673">
        <v>41325</v>
      </c>
      <c r="E4582" s="674">
        <v>3</v>
      </c>
      <c r="F4582" s="675">
        <v>0.33</v>
      </c>
      <c r="G4582" s="676">
        <v>696</v>
      </c>
      <c r="H4582" s="929">
        <v>0</v>
      </c>
      <c r="I4582" s="929">
        <v>696</v>
      </c>
      <c r="J4582" s="689">
        <f t="shared" si="72"/>
        <v>0</v>
      </c>
    </row>
    <row r="4583" spans="1:10" ht="12.75" customHeight="1" x14ac:dyDescent="0.2">
      <c r="A4583" s="681" t="s">
        <v>2372</v>
      </c>
      <c r="B4583" s="693" t="s">
        <v>7134</v>
      </c>
      <c r="C4583" s="672" t="s">
        <v>915</v>
      </c>
      <c r="D4583" s="673">
        <v>41325</v>
      </c>
      <c r="E4583" s="674">
        <v>3</v>
      </c>
      <c r="F4583" s="675">
        <v>0.33</v>
      </c>
      <c r="G4583" s="676">
        <v>696</v>
      </c>
      <c r="H4583" s="929">
        <v>0</v>
      </c>
      <c r="I4583" s="929">
        <v>696</v>
      </c>
      <c r="J4583" s="689">
        <f t="shared" si="72"/>
        <v>0</v>
      </c>
    </row>
    <row r="4584" spans="1:10" ht="12.75" customHeight="1" x14ac:dyDescent="0.2">
      <c r="A4584" s="681" t="s">
        <v>2370</v>
      </c>
      <c r="B4584" s="693" t="s">
        <v>7135</v>
      </c>
      <c r="C4584" s="672" t="s">
        <v>898</v>
      </c>
      <c r="D4584" s="673">
        <v>41325</v>
      </c>
      <c r="E4584" s="674">
        <v>3</v>
      </c>
      <c r="F4584" s="675">
        <v>0.33</v>
      </c>
      <c r="G4584" s="676">
        <v>1102</v>
      </c>
      <c r="H4584" s="929">
        <v>0</v>
      </c>
      <c r="I4584" s="929">
        <v>1102</v>
      </c>
      <c r="J4584" s="689">
        <f t="shared" si="72"/>
        <v>0</v>
      </c>
    </row>
    <row r="4585" spans="1:10" ht="12.75" customHeight="1" x14ac:dyDescent="0.2">
      <c r="A4585" s="681" t="s">
        <v>2372</v>
      </c>
      <c r="B4585" s="693" t="s">
        <v>7136</v>
      </c>
      <c r="C4585" s="672" t="s">
        <v>1013</v>
      </c>
      <c r="D4585" s="673">
        <v>41325</v>
      </c>
      <c r="E4585" s="674">
        <v>3</v>
      </c>
      <c r="F4585" s="675">
        <v>0.33</v>
      </c>
      <c r="G4585" s="676">
        <v>1160</v>
      </c>
      <c r="H4585" s="929">
        <v>0</v>
      </c>
      <c r="I4585" s="929">
        <v>1160</v>
      </c>
      <c r="J4585" s="689">
        <f t="shared" si="72"/>
        <v>0</v>
      </c>
    </row>
    <row r="4586" spans="1:10" ht="12.75" customHeight="1" x14ac:dyDescent="0.2">
      <c r="A4586" s="681" t="s">
        <v>2370</v>
      </c>
      <c r="B4586" s="693" t="s">
        <v>7137</v>
      </c>
      <c r="C4586" s="672" t="s">
        <v>892</v>
      </c>
      <c r="D4586" s="673">
        <v>41325</v>
      </c>
      <c r="E4586" s="674">
        <v>3</v>
      </c>
      <c r="F4586" s="675">
        <v>0.33</v>
      </c>
      <c r="G4586" s="676">
        <v>1217</v>
      </c>
      <c r="H4586" s="929">
        <v>0</v>
      </c>
      <c r="I4586" s="929">
        <v>1217</v>
      </c>
      <c r="J4586" s="689">
        <f t="shared" si="72"/>
        <v>0</v>
      </c>
    </row>
    <row r="4587" spans="1:10" ht="12.75" customHeight="1" x14ac:dyDescent="0.2">
      <c r="A4587" s="681" t="s">
        <v>2370</v>
      </c>
      <c r="B4587" s="693" t="s">
        <v>7138</v>
      </c>
      <c r="C4587" s="672" t="s">
        <v>890</v>
      </c>
      <c r="D4587" s="673">
        <v>41325</v>
      </c>
      <c r="E4587" s="674">
        <v>3</v>
      </c>
      <c r="F4587" s="675">
        <v>0.33</v>
      </c>
      <c r="G4587" s="676">
        <v>1400</v>
      </c>
      <c r="H4587" s="929">
        <v>0</v>
      </c>
      <c r="I4587" s="929">
        <v>1400</v>
      </c>
      <c r="J4587" s="689">
        <f t="shared" si="72"/>
        <v>0</v>
      </c>
    </row>
    <row r="4588" spans="1:10" ht="12.75" customHeight="1" x14ac:dyDescent="0.2">
      <c r="A4588" s="681" t="s">
        <v>2370</v>
      </c>
      <c r="B4588" s="693" t="s">
        <v>7139</v>
      </c>
      <c r="C4588" s="672" t="s">
        <v>893</v>
      </c>
      <c r="D4588" s="673">
        <v>41325</v>
      </c>
      <c r="E4588" s="674">
        <v>3</v>
      </c>
      <c r="F4588" s="675">
        <v>0.33</v>
      </c>
      <c r="G4588" s="676">
        <v>1500</v>
      </c>
      <c r="H4588" s="929">
        <v>0</v>
      </c>
      <c r="I4588" s="929">
        <v>1500</v>
      </c>
      <c r="J4588" s="689">
        <f t="shared" si="72"/>
        <v>0</v>
      </c>
    </row>
    <row r="4589" spans="1:10" ht="12.75" customHeight="1" x14ac:dyDescent="0.2">
      <c r="A4589" s="681" t="s">
        <v>2370</v>
      </c>
      <c r="B4589" s="693" t="s">
        <v>7140</v>
      </c>
      <c r="C4589" s="672" t="s">
        <v>897</v>
      </c>
      <c r="D4589" s="673">
        <v>41325</v>
      </c>
      <c r="E4589" s="674">
        <v>3</v>
      </c>
      <c r="F4589" s="675">
        <v>0.33</v>
      </c>
      <c r="G4589" s="676">
        <v>111.31</v>
      </c>
      <c r="H4589" s="929">
        <v>0</v>
      </c>
      <c r="I4589" s="929">
        <v>111.31</v>
      </c>
      <c r="J4589" s="689">
        <f t="shared" si="72"/>
        <v>0</v>
      </c>
    </row>
    <row r="4590" spans="1:10" ht="12.75" customHeight="1" x14ac:dyDescent="0.2">
      <c r="A4590" s="681" t="s">
        <v>2370</v>
      </c>
      <c r="B4590" s="693" t="s">
        <v>7141</v>
      </c>
      <c r="C4590" s="672" t="s">
        <v>736</v>
      </c>
      <c r="D4590" s="673">
        <v>41325</v>
      </c>
      <c r="E4590" s="674">
        <v>3</v>
      </c>
      <c r="F4590" s="675">
        <v>0.33</v>
      </c>
      <c r="G4590" s="676">
        <v>116</v>
      </c>
      <c r="H4590" s="929">
        <v>0</v>
      </c>
      <c r="I4590" s="929">
        <v>116</v>
      </c>
      <c r="J4590" s="689">
        <f t="shared" si="72"/>
        <v>0</v>
      </c>
    </row>
    <row r="4591" spans="1:10" ht="12.75" customHeight="1" x14ac:dyDescent="0.2">
      <c r="A4591" s="681" t="s">
        <v>2370</v>
      </c>
      <c r="B4591" s="693" t="s">
        <v>7142</v>
      </c>
      <c r="C4591" s="672" t="s">
        <v>893</v>
      </c>
      <c r="D4591" s="673">
        <v>41325</v>
      </c>
      <c r="E4591" s="674">
        <v>3</v>
      </c>
      <c r="F4591" s="675">
        <v>0.33</v>
      </c>
      <c r="G4591" s="676">
        <v>1738.84</v>
      </c>
      <c r="H4591" s="929">
        <v>0</v>
      </c>
      <c r="I4591" s="929">
        <v>1738.84</v>
      </c>
      <c r="J4591" s="689">
        <f t="shared" si="72"/>
        <v>0</v>
      </c>
    </row>
    <row r="4592" spans="1:10" ht="12.75" customHeight="1" x14ac:dyDescent="0.2">
      <c r="A4592" s="681" t="s">
        <v>2370</v>
      </c>
      <c r="B4592" s="693" t="s">
        <v>7143</v>
      </c>
      <c r="C4592" s="672" t="s">
        <v>893</v>
      </c>
      <c r="D4592" s="673">
        <v>41325</v>
      </c>
      <c r="E4592" s="674">
        <v>3</v>
      </c>
      <c r="F4592" s="675">
        <v>0.33</v>
      </c>
      <c r="G4592" s="676">
        <v>1738.84</v>
      </c>
      <c r="H4592" s="929">
        <v>0</v>
      </c>
      <c r="I4592" s="929">
        <v>1738.84</v>
      </c>
      <c r="J4592" s="689">
        <f t="shared" si="72"/>
        <v>0</v>
      </c>
    </row>
    <row r="4593" spans="1:10" ht="12.75" customHeight="1" x14ac:dyDescent="0.2">
      <c r="A4593" s="681" t="s">
        <v>2370</v>
      </c>
      <c r="B4593" s="693" t="s">
        <v>7144</v>
      </c>
      <c r="C4593" s="672" t="s">
        <v>892</v>
      </c>
      <c r="D4593" s="673">
        <v>41325</v>
      </c>
      <c r="E4593" s="674">
        <v>3</v>
      </c>
      <c r="F4593" s="675">
        <v>0.33</v>
      </c>
      <c r="G4593" s="676">
        <v>1902</v>
      </c>
      <c r="H4593" s="929">
        <v>0</v>
      </c>
      <c r="I4593" s="929">
        <v>1902.0000000000002</v>
      </c>
      <c r="J4593" s="689">
        <f t="shared" si="72"/>
        <v>0</v>
      </c>
    </row>
    <row r="4594" spans="1:10" ht="12.75" customHeight="1" x14ac:dyDescent="0.2">
      <c r="A4594" s="681" t="s">
        <v>2370</v>
      </c>
      <c r="B4594" s="693" t="s">
        <v>7145</v>
      </c>
      <c r="C4594" s="672" t="s">
        <v>898</v>
      </c>
      <c r="D4594" s="673">
        <v>41325</v>
      </c>
      <c r="E4594" s="674">
        <v>3</v>
      </c>
      <c r="F4594" s="675">
        <v>0.33</v>
      </c>
      <c r="G4594" s="676">
        <v>1914</v>
      </c>
      <c r="H4594" s="929">
        <v>0</v>
      </c>
      <c r="I4594" s="929">
        <v>1914</v>
      </c>
      <c r="J4594" s="689">
        <f t="shared" si="72"/>
        <v>0</v>
      </c>
    </row>
    <row r="4595" spans="1:10" ht="12.75" customHeight="1" x14ac:dyDescent="0.2">
      <c r="A4595" s="681" t="s">
        <v>2371</v>
      </c>
      <c r="B4595" s="693" t="s">
        <v>7146</v>
      </c>
      <c r="C4595" s="672" t="s">
        <v>975</v>
      </c>
      <c r="D4595" s="673">
        <v>41325</v>
      </c>
      <c r="E4595" s="674">
        <v>3</v>
      </c>
      <c r="F4595" s="675">
        <v>0.33</v>
      </c>
      <c r="G4595" s="676">
        <v>1946</v>
      </c>
      <c r="H4595" s="929">
        <v>0</v>
      </c>
      <c r="I4595" s="929">
        <v>1946.0000000000002</v>
      </c>
      <c r="J4595" s="689">
        <f t="shared" si="72"/>
        <v>0</v>
      </c>
    </row>
    <row r="4596" spans="1:10" ht="12.75" customHeight="1" x14ac:dyDescent="0.2">
      <c r="A4596" s="681" t="s">
        <v>2370</v>
      </c>
      <c r="B4596" s="693" t="s">
        <v>7147</v>
      </c>
      <c r="C4596" s="672" t="s">
        <v>893</v>
      </c>
      <c r="D4596" s="673">
        <v>41325</v>
      </c>
      <c r="E4596" s="674">
        <v>3</v>
      </c>
      <c r="F4596" s="675">
        <v>0.33</v>
      </c>
      <c r="G4596" s="676">
        <v>1966</v>
      </c>
      <c r="H4596" s="929">
        <v>0</v>
      </c>
      <c r="I4596" s="929">
        <v>1966</v>
      </c>
      <c r="J4596" s="689">
        <f t="shared" si="72"/>
        <v>0</v>
      </c>
    </row>
    <row r="4597" spans="1:10" ht="12.75" customHeight="1" x14ac:dyDescent="0.2">
      <c r="A4597" s="681" t="s">
        <v>2370</v>
      </c>
      <c r="B4597" s="693" t="s">
        <v>7148</v>
      </c>
      <c r="C4597" s="672" t="s">
        <v>893</v>
      </c>
      <c r="D4597" s="673">
        <v>41325</v>
      </c>
      <c r="E4597" s="674">
        <v>3</v>
      </c>
      <c r="F4597" s="675">
        <v>0.33</v>
      </c>
      <c r="G4597" s="676">
        <v>1966</v>
      </c>
      <c r="H4597" s="929">
        <v>0</v>
      </c>
      <c r="I4597" s="929">
        <v>1966</v>
      </c>
      <c r="J4597" s="689">
        <f t="shared" si="72"/>
        <v>0</v>
      </c>
    </row>
    <row r="4598" spans="1:10" ht="12.75" customHeight="1" x14ac:dyDescent="0.2">
      <c r="A4598" s="681" t="s">
        <v>2370</v>
      </c>
      <c r="B4598" s="693" t="s">
        <v>7149</v>
      </c>
      <c r="C4598" s="672" t="s">
        <v>893</v>
      </c>
      <c r="D4598" s="673">
        <v>41325</v>
      </c>
      <c r="E4598" s="674">
        <v>3</v>
      </c>
      <c r="F4598" s="675">
        <v>0.33</v>
      </c>
      <c r="G4598" s="676">
        <v>1966</v>
      </c>
      <c r="H4598" s="929">
        <v>0</v>
      </c>
      <c r="I4598" s="929">
        <v>1966</v>
      </c>
      <c r="J4598" s="689">
        <f t="shared" si="72"/>
        <v>0</v>
      </c>
    </row>
    <row r="4599" spans="1:10" ht="12.75" customHeight="1" x14ac:dyDescent="0.2">
      <c r="A4599" s="681" t="s">
        <v>2370</v>
      </c>
      <c r="B4599" s="693" t="s">
        <v>7150</v>
      </c>
      <c r="C4599" s="672" t="s">
        <v>893</v>
      </c>
      <c r="D4599" s="673">
        <v>41325</v>
      </c>
      <c r="E4599" s="674">
        <v>3</v>
      </c>
      <c r="F4599" s="675">
        <v>0.33</v>
      </c>
      <c r="G4599" s="676">
        <v>1966</v>
      </c>
      <c r="H4599" s="929">
        <v>0</v>
      </c>
      <c r="I4599" s="929">
        <v>1966</v>
      </c>
      <c r="J4599" s="689">
        <f t="shared" si="72"/>
        <v>0</v>
      </c>
    </row>
    <row r="4600" spans="1:10" ht="12.75" customHeight="1" x14ac:dyDescent="0.2">
      <c r="A4600" s="681" t="s">
        <v>2370</v>
      </c>
      <c r="B4600" s="693" t="s">
        <v>7151</v>
      </c>
      <c r="C4600" s="672" t="s">
        <v>893</v>
      </c>
      <c r="D4600" s="673">
        <v>41325</v>
      </c>
      <c r="E4600" s="674">
        <v>3</v>
      </c>
      <c r="F4600" s="675">
        <v>0.33</v>
      </c>
      <c r="G4600" s="676">
        <v>1966</v>
      </c>
      <c r="H4600" s="929">
        <v>0</v>
      </c>
      <c r="I4600" s="929">
        <v>1966</v>
      </c>
      <c r="J4600" s="689">
        <f t="shared" si="72"/>
        <v>0</v>
      </c>
    </row>
    <row r="4601" spans="1:10" ht="12.75" customHeight="1" x14ac:dyDescent="0.2">
      <c r="A4601" s="681" t="s">
        <v>2370</v>
      </c>
      <c r="B4601" s="693" t="s">
        <v>7152</v>
      </c>
      <c r="C4601" s="672" t="s">
        <v>893</v>
      </c>
      <c r="D4601" s="673">
        <v>41325</v>
      </c>
      <c r="E4601" s="674">
        <v>3</v>
      </c>
      <c r="F4601" s="675">
        <v>0.33</v>
      </c>
      <c r="G4601" s="676">
        <v>1966</v>
      </c>
      <c r="H4601" s="929">
        <v>0</v>
      </c>
      <c r="I4601" s="929">
        <v>1966</v>
      </c>
      <c r="J4601" s="689">
        <f t="shared" si="72"/>
        <v>0</v>
      </c>
    </row>
    <row r="4602" spans="1:10" ht="12.75" customHeight="1" x14ac:dyDescent="0.2">
      <c r="A4602" s="681" t="s">
        <v>2370</v>
      </c>
      <c r="B4602" s="693" t="s">
        <v>7153</v>
      </c>
      <c r="C4602" s="672" t="s">
        <v>893</v>
      </c>
      <c r="D4602" s="673">
        <v>41325</v>
      </c>
      <c r="E4602" s="674">
        <v>3</v>
      </c>
      <c r="F4602" s="675">
        <v>0.33</v>
      </c>
      <c r="G4602" s="676">
        <v>1966</v>
      </c>
      <c r="H4602" s="929">
        <v>0</v>
      </c>
      <c r="I4602" s="929">
        <v>1966</v>
      </c>
      <c r="J4602" s="689">
        <f t="shared" si="72"/>
        <v>0</v>
      </c>
    </row>
    <row r="4603" spans="1:10" ht="12.75" customHeight="1" x14ac:dyDescent="0.2">
      <c r="A4603" s="681" t="s">
        <v>2371</v>
      </c>
      <c r="B4603" s="693" t="s">
        <v>7154</v>
      </c>
      <c r="C4603" s="672" t="s">
        <v>972</v>
      </c>
      <c r="D4603" s="673">
        <v>41325</v>
      </c>
      <c r="E4603" s="674">
        <v>3</v>
      </c>
      <c r="F4603" s="675">
        <v>0.33</v>
      </c>
      <c r="G4603" s="676">
        <v>1972</v>
      </c>
      <c r="H4603" s="929">
        <v>0</v>
      </c>
      <c r="I4603" s="929">
        <v>1972</v>
      </c>
      <c r="J4603" s="689">
        <f t="shared" si="72"/>
        <v>0</v>
      </c>
    </row>
    <row r="4604" spans="1:10" ht="12.75" customHeight="1" x14ac:dyDescent="0.2">
      <c r="A4604" s="681" t="s">
        <v>2371</v>
      </c>
      <c r="B4604" s="693" t="s">
        <v>7155</v>
      </c>
      <c r="C4604" s="672" t="s">
        <v>972</v>
      </c>
      <c r="D4604" s="673">
        <v>41325</v>
      </c>
      <c r="E4604" s="674">
        <v>3</v>
      </c>
      <c r="F4604" s="675">
        <v>0.33</v>
      </c>
      <c r="G4604" s="676">
        <v>1972</v>
      </c>
      <c r="H4604" s="929">
        <v>0</v>
      </c>
      <c r="I4604" s="929">
        <v>1972</v>
      </c>
      <c r="J4604" s="689">
        <f t="shared" si="72"/>
        <v>0</v>
      </c>
    </row>
    <row r="4605" spans="1:10" ht="12.75" customHeight="1" x14ac:dyDescent="0.2">
      <c r="A4605" s="681" t="s">
        <v>2370</v>
      </c>
      <c r="B4605" s="693" t="s">
        <v>7156</v>
      </c>
      <c r="C4605" s="672" t="s">
        <v>892</v>
      </c>
      <c r="D4605" s="673">
        <v>41325</v>
      </c>
      <c r="E4605" s="674">
        <v>3</v>
      </c>
      <c r="F4605" s="675">
        <v>0.33</v>
      </c>
      <c r="G4605" s="676">
        <v>2030</v>
      </c>
      <c r="H4605" s="929">
        <v>0</v>
      </c>
      <c r="I4605" s="929">
        <v>2030</v>
      </c>
      <c r="J4605" s="689">
        <f t="shared" si="72"/>
        <v>0</v>
      </c>
    </row>
    <row r="4606" spans="1:10" ht="12.75" customHeight="1" x14ac:dyDescent="0.2">
      <c r="A4606" s="681" t="s">
        <v>2370</v>
      </c>
      <c r="B4606" s="693" t="s">
        <v>7157</v>
      </c>
      <c r="C4606" s="672" t="s">
        <v>892</v>
      </c>
      <c r="D4606" s="673">
        <v>41325</v>
      </c>
      <c r="E4606" s="674">
        <v>3</v>
      </c>
      <c r="F4606" s="675">
        <v>0.33</v>
      </c>
      <c r="G4606" s="676">
        <v>2030</v>
      </c>
      <c r="H4606" s="929">
        <v>0</v>
      </c>
      <c r="I4606" s="929">
        <v>2030</v>
      </c>
      <c r="J4606" s="689">
        <f t="shared" si="72"/>
        <v>0</v>
      </c>
    </row>
    <row r="4607" spans="1:10" ht="12.75" customHeight="1" x14ac:dyDescent="0.2">
      <c r="A4607" s="681" t="s">
        <v>2370</v>
      </c>
      <c r="B4607" s="693" t="s">
        <v>7158</v>
      </c>
      <c r="C4607" s="672" t="s">
        <v>892</v>
      </c>
      <c r="D4607" s="673">
        <v>41325</v>
      </c>
      <c r="E4607" s="674">
        <v>3</v>
      </c>
      <c r="F4607" s="675">
        <v>0.33</v>
      </c>
      <c r="G4607" s="676">
        <v>2035</v>
      </c>
      <c r="H4607" s="929">
        <v>0</v>
      </c>
      <c r="I4607" s="929">
        <v>2035</v>
      </c>
      <c r="J4607" s="689">
        <f t="shared" si="72"/>
        <v>0</v>
      </c>
    </row>
    <row r="4608" spans="1:10" ht="12.75" customHeight="1" x14ac:dyDescent="0.2">
      <c r="A4608" s="681" t="s">
        <v>2370</v>
      </c>
      <c r="B4608" s="693" t="s">
        <v>7159</v>
      </c>
      <c r="C4608" s="672" t="s">
        <v>893</v>
      </c>
      <c r="D4608" s="673">
        <v>41325</v>
      </c>
      <c r="E4608" s="674">
        <v>3</v>
      </c>
      <c r="F4608" s="675">
        <v>0.33</v>
      </c>
      <c r="G4608" s="676">
        <v>2076.4</v>
      </c>
      <c r="H4608" s="929">
        <v>0</v>
      </c>
      <c r="I4608" s="929">
        <v>2076.4</v>
      </c>
      <c r="J4608" s="689">
        <f t="shared" si="72"/>
        <v>0</v>
      </c>
    </row>
    <row r="4609" spans="1:10" ht="12.75" customHeight="1" x14ac:dyDescent="0.2">
      <c r="A4609" s="681" t="s">
        <v>2371</v>
      </c>
      <c r="B4609" s="693" t="s">
        <v>7160</v>
      </c>
      <c r="C4609" s="672" t="s">
        <v>972</v>
      </c>
      <c r="D4609" s="673">
        <v>41325</v>
      </c>
      <c r="E4609" s="674">
        <v>3</v>
      </c>
      <c r="F4609" s="675">
        <v>0.33</v>
      </c>
      <c r="G4609" s="676">
        <v>2168</v>
      </c>
      <c r="H4609" s="929">
        <v>0</v>
      </c>
      <c r="I4609" s="929">
        <v>2168</v>
      </c>
      <c r="J4609" s="689">
        <f t="shared" si="72"/>
        <v>0</v>
      </c>
    </row>
    <row r="4610" spans="1:10" ht="12.75" customHeight="1" x14ac:dyDescent="0.2">
      <c r="A4610" s="681" t="s">
        <v>2372</v>
      </c>
      <c r="B4610" s="693" t="s">
        <v>7161</v>
      </c>
      <c r="C4610" s="672" t="s">
        <v>1022</v>
      </c>
      <c r="D4610" s="673">
        <v>41325</v>
      </c>
      <c r="E4610" s="674">
        <v>3</v>
      </c>
      <c r="F4610" s="675">
        <v>0.33</v>
      </c>
      <c r="G4610" s="676">
        <v>2199</v>
      </c>
      <c r="H4610" s="929">
        <v>0</v>
      </c>
      <c r="I4610" s="929">
        <v>2199</v>
      </c>
      <c r="J4610" s="689">
        <f t="shared" si="72"/>
        <v>0</v>
      </c>
    </row>
    <row r="4611" spans="1:10" ht="12.75" customHeight="1" x14ac:dyDescent="0.2">
      <c r="A4611" s="681" t="s">
        <v>2370</v>
      </c>
      <c r="B4611" s="693" t="s">
        <v>7162</v>
      </c>
      <c r="C4611" s="672" t="s">
        <v>897</v>
      </c>
      <c r="D4611" s="673">
        <v>41325</v>
      </c>
      <c r="E4611" s="674">
        <v>3</v>
      </c>
      <c r="F4611" s="675">
        <v>0.33</v>
      </c>
      <c r="G4611" s="676">
        <v>93</v>
      </c>
      <c r="H4611" s="929">
        <v>0</v>
      </c>
      <c r="I4611" s="929">
        <v>93</v>
      </c>
      <c r="J4611" s="689">
        <f t="shared" si="72"/>
        <v>0</v>
      </c>
    </row>
    <row r="4612" spans="1:10" ht="12.75" customHeight="1" x14ac:dyDescent="0.2">
      <c r="A4612" s="681" t="s">
        <v>2370</v>
      </c>
      <c r="B4612" s="693" t="s">
        <v>7163</v>
      </c>
      <c r="C4612" s="672" t="s">
        <v>897</v>
      </c>
      <c r="D4612" s="673">
        <v>41325</v>
      </c>
      <c r="E4612" s="674">
        <v>3</v>
      </c>
      <c r="F4612" s="675">
        <v>0.33</v>
      </c>
      <c r="G4612" s="676">
        <v>99.58</v>
      </c>
      <c r="H4612" s="929">
        <v>0</v>
      </c>
      <c r="I4612" s="929">
        <v>99.58</v>
      </c>
      <c r="J4612" s="689">
        <f t="shared" si="72"/>
        <v>0</v>
      </c>
    </row>
    <row r="4613" spans="1:10" ht="12.75" customHeight="1" x14ac:dyDescent="0.2">
      <c r="A4613" s="681" t="s">
        <v>2370</v>
      </c>
      <c r="B4613" s="693" t="s">
        <v>7164</v>
      </c>
      <c r="C4613" s="672" t="s">
        <v>897</v>
      </c>
      <c r="D4613" s="673">
        <v>41325</v>
      </c>
      <c r="E4613" s="674">
        <v>3</v>
      </c>
      <c r="F4613" s="675">
        <v>0.33</v>
      </c>
      <c r="G4613" s="676">
        <v>99.58</v>
      </c>
      <c r="H4613" s="929">
        <v>0</v>
      </c>
      <c r="I4613" s="929">
        <v>99.58</v>
      </c>
      <c r="J4613" s="689">
        <f t="shared" si="72"/>
        <v>0</v>
      </c>
    </row>
    <row r="4614" spans="1:10" ht="12.75" customHeight="1" x14ac:dyDescent="0.2">
      <c r="A4614" s="681" t="s">
        <v>2370</v>
      </c>
      <c r="B4614" s="693" t="s">
        <v>7165</v>
      </c>
      <c r="C4614" s="672" t="s">
        <v>897</v>
      </c>
      <c r="D4614" s="673">
        <v>41325</v>
      </c>
      <c r="E4614" s="674">
        <v>3</v>
      </c>
      <c r="F4614" s="675">
        <v>0.33</v>
      </c>
      <c r="G4614" s="676">
        <v>99.58</v>
      </c>
      <c r="H4614" s="929">
        <v>0</v>
      </c>
      <c r="I4614" s="929">
        <v>99.58</v>
      </c>
      <c r="J4614" s="689">
        <f t="shared" si="72"/>
        <v>0</v>
      </c>
    </row>
    <row r="4615" spans="1:10" ht="12.75" customHeight="1" x14ac:dyDescent="0.2">
      <c r="A4615" s="681" t="s">
        <v>2370</v>
      </c>
      <c r="B4615" s="693" t="s">
        <v>7166</v>
      </c>
      <c r="C4615" s="672" t="s">
        <v>897</v>
      </c>
      <c r="D4615" s="673">
        <v>41325</v>
      </c>
      <c r="E4615" s="674">
        <v>3</v>
      </c>
      <c r="F4615" s="675">
        <v>0.33</v>
      </c>
      <c r="G4615" s="676">
        <v>99.58</v>
      </c>
      <c r="H4615" s="929">
        <v>0</v>
      </c>
      <c r="I4615" s="929">
        <v>99.58</v>
      </c>
      <c r="J4615" s="689">
        <f t="shared" ref="J4615:J4678" si="73">G4615-I4615</f>
        <v>0</v>
      </c>
    </row>
    <row r="4616" spans="1:10" ht="12.75" customHeight="1" x14ac:dyDescent="0.2">
      <c r="A4616" s="681" t="s">
        <v>2370</v>
      </c>
      <c r="B4616" s="693" t="s">
        <v>7167</v>
      </c>
      <c r="C4616" s="672" t="s">
        <v>897</v>
      </c>
      <c r="D4616" s="673">
        <v>41325</v>
      </c>
      <c r="E4616" s="674">
        <v>3</v>
      </c>
      <c r="F4616" s="675">
        <v>0.33</v>
      </c>
      <c r="G4616" s="676">
        <v>99.58</v>
      </c>
      <c r="H4616" s="929">
        <v>0</v>
      </c>
      <c r="I4616" s="929">
        <v>99.58</v>
      </c>
      <c r="J4616" s="689">
        <f t="shared" si="73"/>
        <v>0</v>
      </c>
    </row>
    <row r="4617" spans="1:10" ht="12.75" customHeight="1" x14ac:dyDescent="0.2">
      <c r="A4617" s="681" t="s">
        <v>2370</v>
      </c>
      <c r="B4617" s="693" t="s">
        <v>7168</v>
      </c>
      <c r="C4617" s="672" t="s">
        <v>907</v>
      </c>
      <c r="D4617" s="673">
        <v>41325</v>
      </c>
      <c r="E4617" s="674">
        <v>3</v>
      </c>
      <c r="F4617" s="675">
        <v>0.33</v>
      </c>
      <c r="G4617" s="676">
        <v>2499</v>
      </c>
      <c r="H4617" s="929">
        <v>0</v>
      </c>
      <c r="I4617" s="929">
        <v>2499</v>
      </c>
      <c r="J4617" s="689">
        <f t="shared" si="73"/>
        <v>0</v>
      </c>
    </row>
    <row r="4618" spans="1:10" ht="12.75" customHeight="1" x14ac:dyDescent="0.2">
      <c r="A4618" s="681" t="s">
        <v>2370</v>
      </c>
      <c r="B4618" s="693" t="s">
        <v>7169</v>
      </c>
      <c r="C4618" s="672" t="s">
        <v>907</v>
      </c>
      <c r="D4618" s="673">
        <v>41325</v>
      </c>
      <c r="E4618" s="674">
        <v>3</v>
      </c>
      <c r="F4618" s="675">
        <v>0.33</v>
      </c>
      <c r="G4618" s="676">
        <v>2499</v>
      </c>
      <c r="H4618" s="929">
        <v>0</v>
      </c>
      <c r="I4618" s="929">
        <v>2499</v>
      </c>
      <c r="J4618" s="689">
        <f t="shared" si="73"/>
        <v>0</v>
      </c>
    </row>
    <row r="4619" spans="1:10" ht="12.75" customHeight="1" x14ac:dyDescent="0.2">
      <c r="A4619" s="681" t="s">
        <v>2372</v>
      </c>
      <c r="B4619" s="693" t="s">
        <v>7170</v>
      </c>
      <c r="C4619" s="672" t="s">
        <v>1017</v>
      </c>
      <c r="D4619" s="673">
        <v>41325</v>
      </c>
      <c r="E4619" s="674">
        <v>3</v>
      </c>
      <c r="F4619" s="675">
        <v>0.33</v>
      </c>
      <c r="G4619" s="676">
        <v>2499</v>
      </c>
      <c r="H4619" s="929">
        <v>0</v>
      </c>
      <c r="I4619" s="929">
        <v>2499</v>
      </c>
      <c r="J4619" s="689">
        <f t="shared" si="73"/>
        <v>0</v>
      </c>
    </row>
    <row r="4620" spans="1:10" ht="12.75" customHeight="1" x14ac:dyDescent="0.2">
      <c r="A4620" s="681" t="s">
        <v>2370</v>
      </c>
      <c r="B4620" s="693" t="s">
        <v>7171</v>
      </c>
      <c r="C4620" s="672" t="s">
        <v>893</v>
      </c>
      <c r="D4620" s="673">
        <v>41325</v>
      </c>
      <c r="E4620" s="674">
        <v>3</v>
      </c>
      <c r="F4620" s="675">
        <v>0.33</v>
      </c>
      <c r="G4620" s="676">
        <v>2558</v>
      </c>
      <c r="H4620" s="929">
        <v>0</v>
      </c>
      <c r="I4620" s="929">
        <v>2558</v>
      </c>
      <c r="J4620" s="689">
        <f t="shared" si="73"/>
        <v>0</v>
      </c>
    </row>
    <row r="4621" spans="1:10" ht="12.75" customHeight="1" x14ac:dyDescent="0.2">
      <c r="A4621" s="681" t="s">
        <v>2371</v>
      </c>
      <c r="B4621" s="693" t="s">
        <v>7172</v>
      </c>
      <c r="C4621" s="672" t="s">
        <v>972</v>
      </c>
      <c r="D4621" s="673">
        <v>41325</v>
      </c>
      <c r="E4621" s="674">
        <v>3</v>
      </c>
      <c r="F4621" s="675">
        <v>0.33</v>
      </c>
      <c r="G4621" s="676">
        <v>2699</v>
      </c>
      <c r="H4621" s="929">
        <v>0</v>
      </c>
      <c r="I4621" s="929">
        <v>2699</v>
      </c>
      <c r="J4621" s="689">
        <f t="shared" si="73"/>
        <v>0</v>
      </c>
    </row>
    <row r="4622" spans="1:10" ht="12.75" customHeight="1" x14ac:dyDescent="0.2">
      <c r="A4622" s="681" t="s">
        <v>2370</v>
      </c>
      <c r="B4622" s="693" t="s">
        <v>7173</v>
      </c>
      <c r="C4622" s="672" t="s">
        <v>897</v>
      </c>
      <c r="D4622" s="673">
        <v>41325</v>
      </c>
      <c r="E4622" s="674">
        <v>3</v>
      </c>
      <c r="F4622" s="675">
        <v>0.33</v>
      </c>
      <c r="G4622" s="676">
        <v>174</v>
      </c>
      <c r="H4622" s="929">
        <v>0</v>
      </c>
      <c r="I4622" s="929">
        <v>174</v>
      </c>
      <c r="J4622" s="689">
        <f t="shared" si="73"/>
        <v>0</v>
      </c>
    </row>
    <row r="4623" spans="1:10" ht="12.75" customHeight="1" x14ac:dyDescent="0.2">
      <c r="A4623" s="681" t="s">
        <v>2370</v>
      </c>
      <c r="B4623" s="693" t="s">
        <v>7174</v>
      </c>
      <c r="C4623" s="672" t="s">
        <v>897</v>
      </c>
      <c r="D4623" s="673">
        <v>41325</v>
      </c>
      <c r="E4623" s="674">
        <v>3</v>
      </c>
      <c r="F4623" s="675">
        <v>0.33</v>
      </c>
      <c r="G4623" s="676">
        <v>174</v>
      </c>
      <c r="H4623" s="929">
        <v>0</v>
      </c>
      <c r="I4623" s="929">
        <v>174</v>
      </c>
      <c r="J4623" s="689">
        <f t="shared" si="73"/>
        <v>0</v>
      </c>
    </row>
    <row r="4624" spans="1:10" ht="12.75" customHeight="1" x14ac:dyDescent="0.2">
      <c r="A4624" s="681" t="s">
        <v>2370</v>
      </c>
      <c r="B4624" s="693" t="s">
        <v>7175</v>
      </c>
      <c r="C4624" s="672" t="s">
        <v>896</v>
      </c>
      <c r="D4624" s="673">
        <v>41325</v>
      </c>
      <c r="E4624" s="674">
        <v>3</v>
      </c>
      <c r="F4624" s="675">
        <v>0.33</v>
      </c>
      <c r="G4624" s="676">
        <v>136</v>
      </c>
      <c r="H4624" s="929">
        <v>0</v>
      </c>
      <c r="I4624" s="929">
        <v>136</v>
      </c>
      <c r="J4624" s="689">
        <f t="shared" si="73"/>
        <v>0</v>
      </c>
    </row>
    <row r="4625" spans="1:10" ht="12.75" customHeight="1" x14ac:dyDescent="0.2">
      <c r="A4625" s="681" t="s">
        <v>2370</v>
      </c>
      <c r="B4625" s="693" t="s">
        <v>7176</v>
      </c>
      <c r="C4625" s="672" t="s">
        <v>897</v>
      </c>
      <c r="D4625" s="673">
        <v>41325</v>
      </c>
      <c r="E4625" s="674">
        <v>3</v>
      </c>
      <c r="F4625" s="675">
        <v>0.33</v>
      </c>
      <c r="G4625" s="676">
        <v>116</v>
      </c>
      <c r="H4625" s="929">
        <v>0</v>
      </c>
      <c r="I4625" s="929">
        <v>116</v>
      </c>
      <c r="J4625" s="689">
        <f t="shared" si="73"/>
        <v>0</v>
      </c>
    </row>
    <row r="4626" spans="1:10" ht="12.75" customHeight="1" x14ac:dyDescent="0.2">
      <c r="A4626" s="681" t="s">
        <v>2370</v>
      </c>
      <c r="B4626" s="693" t="s">
        <v>7177</v>
      </c>
      <c r="C4626" s="672" t="s">
        <v>897</v>
      </c>
      <c r="D4626" s="673">
        <v>41325</v>
      </c>
      <c r="E4626" s="674">
        <v>3</v>
      </c>
      <c r="F4626" s="675">
        <v>0.33</v>
      </c>
      <c r="G4626" s="676">
        <v>116</v>
      </c>
      <c r="H4626" s="929">
        <v>0</v>
      </c>
      <c r="I4626" s="929">
        <v>116</v>
      </c>
      <c r="J4626" s="689">
        <f t="shared" si="73"/>
        <v>0</v>
      </c>
    </row>
    <row r="4627" spans="1:10" ht="12.75" customHeight="1" x14ac:dyDescent="0.2">
      <c r="A4627" s="681" t="s">
        <v>2370</v>
      </c>
      <c r="B4627" s="693" t="s">
        <v>7178</v>
      </c>
      <c r="C4627" s="672" t="s">
        <v>897</v>
      </c>
      <c r="D4627" s="673">
        <v>41325</v>
      </c>
      <c r="E4627" s="674">
        <v>3</v>
      </c>
      <c r="F4627" s="675">
        <v>0.33</v>
      </c>
      <c r="G4627" s="676">
        <v>116</v>
      </c>
      <c r="H4627" s="929">
        <v>0</v>
      </c>
      <c r="I4627" s="929">
        <v>116</v>
      </c>
      <c r="J4627" s="689">
        <f t="shared" si="73"/>
        <v>0</v>
      </c>
    </row>
    <row r="4628" spans="1:10" ht="12.75" customHeight="1" x14ac:dyDescent="0.2">
      <c r="A4628" s="681" t="s">
        <v>2370</v>
      </c>
      <c r="B4628" s="693" t="s">
        <v>7179</v>
      </c>
      <c r="C4628" s="672" t="s">
        <v>897</v>
      </c>
      <c r="D4628" s="673">
        <v>41325</v>
      </c>
      <c r="E4628" s="674">
        <v>3</v>
      </c>
      <c r="F4628" s="675">
        <v>0.33</v>
      </c>
      <c r="G4628" s="676">
        <v>116</v>
      </c>
      <c r="H4628" s="929">
        <v>0</v>
      </c>
      <c r="I4628" s="929">
        <v>116</v>
      </c>
      <c r="J4628" s="689">
        <f t="shared" si="73"/>
        <v>0</v>
      </c>
    </row>
    <row r="4629" spans="1:10" ht="12.75" customHeight="1" x14ac:dyDescent="0.2">
      <c r="A4629" s="681" t="s">
        <v>2370</v>
      </c>
      <c r="B4629" s="693" t="s">
        <v>7180</v>
      </c>
      <c r="C4629" s="672" t="s">
        <v>897</v>
      </c>
      <c r="D4629" s="673">
        <v>41325</v>
      </c>
      <c r="E4629" s="674">
        <v>3</v>
      </c>
      <c r="F4629" s="675">
        <v>0.33</v>
      </c>
      <c r="G4629" s="676">
        <v>116</v>
      </c>
      <c r="H4629" s="929">
        <v>0</v>
      </c>
      <c r="I4629" s="929">
        <v>116</v>
      </c>
      <c r="J4629" s="689">
        <f t="shared" si="73"/>
        <v>0</v>
      </c>
    </row>
    <row r="4630" spans="1:10" ht="12.75" customHeight="1" x14ac:dyDescent="0.2">
      <c r="A4630" s="681" t="s">
        <v>2370</v>
      </c>
      <c r="B4630" s="693" t="s">
        <v>7181</v>
      </c>
      <c r="C4630" s="672" t="s">
        <v>897</v>
      </c>
      <c r="D4630" s="673">
        <v>41325</v>
      </c>
      <c r="E4630" s="674">
        <v>3</v>
      </c>
      <c r="F4630" s="675">
        <v>0.33</v>
      </c>
      <c r="G4630" s="676">
        <v>116</v>
      </c>
      <c r="H4630" s="929">
        <v>0</v>
      </c>
      <c r="I4630" s="929">
        <v>116</v>
      </c>
      <c r="J4630" s="689">
        <f t="shared" si="73"/>
        <v>0</v>
      </c>
    </row>
    <row r="4631" spans="1:10" ht="12.75" customHeight="1" x14ac:dyDescent="0.2">
      <c r="A4631" s="681" t="s">
        <v>2370</v>
      </c>
      <c r="B4631" s="693" t="s">
        <v>7182</v>
      </c>
      <c r="C4631" s="672" t="s">
        <v>897</v>
      </c>
      <c r="D4631" s="673">
        <v>41325</v>
      </c>
      <c r="E4631" s="674">
        <v>3</v>
      </c>
      <c r="F4631" s="675">
        <v>0.33</v>
      </c>
      <c r="G4631" s="676">
        <v>116</v>
      </c>
      <c r="H4631" s="929">
        <v>0</v>
      </c>
      <c r="I4631" s="929">
        <v>116</v>
      </c>
      <c r="J4631" s="689">
        <f t="shared" si="73"/>
        <v>0</v>
      </c>
    </row>
    <row r="4632" spans="1:10" ht="12.75" customHeight="1" x14ac:dyDescent="0.2">
      <c r="A4632" s="681" t="s">
        <v>2370</v>
      </c>
      <c r="B4632" s="693" t="s">
        <v>7183</v>
      </c>
      <c r="C4632" s="672" t="s">
        <v>897</v>
      </c>
      <c r="D4632" s="673">
        <v>41325</v>
      </c>
      <c r="E4632" s="674">
        <v>3</v>
      </c>
      <c r="F4632" s="675">
        <v>0.33</v>
      </c>
      <c r="G4632" s="676">
        <v>116</v>
      </c>
      <c r="H4632" s="929">
        <v>0</v>
      </c>
      <c r="I4632" s="929">
        <v>116</v>
      </c>
      <c r="J4632" s="689">
        <f t="shared" si="73"/>
        <v>0</v>
      </c>
    </row>
    <row r="4633" spans="1:10" ht="12.75" customHeight="1" x14ac:dyDescent="0.2">
      <c r="A4633" s="681" t="s">
        <v>2370</v>
      </c>
      <c r="B4633" s="693" t="s">
        <v>7184</v>
      </c>
      <c r="C4633" s="672" t="s">
        <v>897</v>
      </c>
      <c r="D4633" s="673">
        <v>41325</v>
      </c>
      <c r="E4633" s="674">
        <v>3</v>
      </c>
      <c r="F4633" s="675">
        <v>0.33</v>
      </c>
      <c r="G4633" s="676">
        <v>116</v>
      </c>
      <c r="H4633" s="929">
        <v>0</v>
      </c>
      <c r="I4633" s="929">
        <v>116</v>
      </c>
      <c r="J4633" s="689">
        <f t="shared" si="73"/>
        <v>0</v>
      </c>
    </row>
    <row r="4634" spans="1:10" ht="12.75" customHeight="1" x14ac:dyDescent="0.2">
      <c r="A4634" s="681" t="s">
        <v>2370</v>
      </c>
      <c r="B4634" s="693" t="s">
        <v>7185</v>
      </c>
      <c r="C4634" s="672" t="s">
        <v>897</v>
      </c>
      <c r="D4634" s="673">
        <v>41325</v>
      </c>
      <c r="E4634" s="674">
        <v>3</v>
      </c>
      <c r="F4634" s="675">
        <v>0.33</v>
      </c>
      <c r="G4634" s="676">
        <v>116</v>
      </c>
      <c r="H4634" s="929">
        <v>0</v>
      </c>
      <c r="I4634" s="929">
        <v>116</v>
      </c>
      <c r="J4634" s="689">
        <f t="shared" si="73"/>
        <v>0</v>
      </c>
    </row>
    <row r="4635" spans="1:10" ht="12.75" customHeight="1" x14ac:dyDescent="0.2">
      <c r="A4635" s="681" t="s">
        <v>2370</v>
      </c>
      <c r="B4635" s="693" t="s">
        <v>7186</v>
      </c>
      <c r="C4635" s="672" t="s">
        <v>897</v>
      </c>
      <c r="D4635" s="673">
        <v>41325</v>
      </c>
      <c r="E4635" s="674">
        <v>3</v>
      </c>
      <c r="F4635" s="675">
        <v>0.33</v>
      </c>
      <c r="G4635" s="676">
        <v>116</v>
      </c>
      <c r="H4635" s="929">
        <v>0</v>
      </c>
      <c r="I4635" s="929">
        <v>116</v>
      </c>
      <c r="J4635" s="689">
        <f t="shared" si="73"/>
        <v>0</v>
      </c>
    </row>
    <row r="4636" spans="1:10" ht="12.75" customHeight="1" x14ac:dyDescent="0.2">
      <c r="A4636" s="681" t="s">
        <v>2370</v>
      </c>
      <c r="B4636" s="693" t="s">
        <v>7187</v>
      </c>
      <c r="C4636" s="672" t="s">
        <v>897</v>
      </c>
      <c r="D4636" s="673">
        <v>41325</v>
      </c>
      <c r="E4636" s="674">
        <v>3</v>
      </c>
      <c r="F4636" s="675">
        <v>0.33</v>
      </c>
      <c r="G4636" s="676">
        <v>116</v>
      </c>
      <c r="H4636" s="929">
        <v>0</v>
      </c>
      <c r="I4636" s="929">
        <v>116</v>
      </c>
      <c r="J4636" s="689">
        <f t="shared" si="73"/>
        <v>0</v>
      </c>
    </row>
    <row r="4637" spans="1:10" ht="12.75" customHeight="1" x14ac:dyDescent="0.2">
      <c r="A4637" s="681" t="s">
        <v>2370</v>
      </c>
      <c r="B4637" s="693" t="s">
        <v>7188</v>
      </c>
      <c r="C4637" s="672" t="s">
        <v>897</v>
      </c>
      <c r="D4637" s="673">
        <v>41325</v>
      </c>
      <c r="E4637" s="674">
        <v>3</v>
      </c>
      <c r="F4637" s="675">
        <v>0.33</v>
      </c>
      <c r="G4637" s="676">
        <v>116</v>
      </c>
      <c r="H4637" s="929">
        <v>0</v>
      </c>
      <c r="I4637" s="929">
        <v>116</v>
      </c>
      <c r="J4637" s="689">
        <f t="shared" si="73"/>
        <v>0</v>
      </c>
    </row>
    <row r="4638" spans="1:10" ht="12.75" customHeight="1" x14ac:dyDescent="0.2">
      <c r="A4638" s="681" t="s">
        <v>2370</v>
      </c>
      <c r="B4638" s="693" t="s">
        <v>7189</v>
      </c>
      <c r="C4638" s="672" t="s">
        <v>897</v>
      </c>
      <c r="D4638" s="673">
        <v>41325</v>
      </c>
      <c r="E4638" s="674">
        <v>3</v>
      </c>
      <c r="F4638" s="675">
        <v>0.33</v>
      </c>
      <c r="G4638" s="676">
        <v>116</v>
      </c>
      <c r="H4638" s="929">
        <v>0</v>
      </c>
      <c r="I4638" s="929">
        <v>116</v>
      </c>
      <c r="J4638" s="689">
        <f t="shared" si="73"/>
        <v>0</v>
      </c>
    </row>
    <row r="4639" spans="1:10" ht="12.75" customHeight="1" x14ac:dyDescent="0.2">
      <c r="A4639" s="681" t="s">
        <v>2370</v>
      </c>
      <c r="B4639" s="693" t="s">
        <v>7190</v>
      </c>
      <c r="C4639" s="672" t="s">
        <v>897</v>
      </c>
      <c r="D4639" s="673">
        <v>41325</v>
      </c>
      <c r="E4639" s="674">
        <v>3</v>
      </c>
      <c r="F4639" s="675">
        <v>0.33</v>
      </c>
      <c r="G4639" s="676">
        <v>116</v>
      </c>
      <c r="H4639" s="929">
        <v>0</v>
      </c>
      <c r="I4639" s="929">
        <v>116</v>
      </c>
      <c r="J4639" s="689">
        <f t="shared" si="73"/>
        <v>0</v>
      </c>
    </row>
    <row r="4640" spans="1:10" ht="12.75" customHeight="1" x14ac:dyDescent="0.2">
      <c r="A4640" s="681" t="s">
        <v>2370</v>
      </c>
      <c r="B4640" s="693" t="s">
        <v>7191</v>
      </c>
      <c r="C4640" s="672" t="s">
        <v>892</v>
      </c>
      <c r="D4640" s="673">
        <v>41325</v>
      </c>
      <c r="E4640" s="674">
        <v>3</v>
      </c>
      <c r="F4640" s="675">
        <v>0.33</v>
      </c>
      <c r="G4640" s="676">
        <v>3750</v>
      </c>
      <c r="H4640" s="929">
        <v>0</v>
      </c>
      <c r="I4640" s="929">
        <v>3750</v>
      </c>
      <c r="J4640" s="689">
        <f t="shared" si="73"/>
        <v>0</v>
      </c>
    </row>
    <row r="4641" spans="1:10" ht="12.75" customHeight="1" x14ac:dyDescent="0.2">
      <c r="A4641" s="681" t="s">
        <v>2370</v>
      </c>
      <c r="B4641" s="693" t="s">
        <v>7192</v>
      </c>
      <c r="C4641" s="672" t="s">
        <v>897</v>
      </c>
      <c r="D4641" s="673">
        <v>41325</v>
      </c>
      <c r="E4641" s="674">
        <v>3</v>
      </c>
      <c r="F4641" s="675">
        <v>0.33</v>
      </c>
      <c r="G4641" s="676">
        <v>116</v>
      </c>
      <c r="H4641" s="929">
        <v>0</v>
      </c>
      <c r="I4641" s="929">
        <v>116</v>
      </c>
      <c r="J4641" s="689">
        <f t="shared" si="73"/>
        <v>0</v>
      </c>
    </row>
    <row r="4642" spans="1:10" ht="12.75" customHeight="1" x14ac:dyDescent="0.2">
      <c r="A4642" s="681" t="s">
        <v>2370</v>
      </c>
      <c r="B4642" s="693" t="s">
        <v>7193</v>
      </c>
      <c r="C4642" s="672" t="s">
        <v>897</v>
      </c>
      <c r="D4642" s="673">
        <v>41325</v>
      </c>
      <c r="E4642" s="674">
        <v>3</v>
      </c>
      <c r="F4642" s="675">
        <v>0.33</v>
      </c>
      <c r="G4642" s="676">
        <v>116</v>
      </c>
      <c r="H4642" s="929">
        <v>0</v>
      </c>
      <c r="I4642" s="929">
        <v>116</v>
      </c>
      <c r="J4642" s="689">
        <f t="shared" si="73"/>
        <v>0</v>
      </c>
    </row>
    <row r="4643" spans="1:10" ht="12.75" customHeight="1" x14ac:dyDescent="0.2">
      <c r="A4643" s="681" t="s">
        <v>2370</v>
      </c>
      <c r="B4643" s="693" t="s">
        <v>7194</v>
      </c>
      <c r="C4643" s="672" t="s">
        <v>736</v>
      </c>
      <c r="D4643" s="673">
        <v>41325</v>
      </c>
      <c r="E4643" s="674">
        <v>3</v>
      </c>
      <c r="F4643" s="675">
        <v>0.33</v>
      </c>
      <c r="G4643" s="676">
        <v>280.27</v>
      </c>
      <c r="H4643" s="929">
        <v>0</v>
      </c>
      <c r="I4643" s="929">
        <v>280.27</v>
      </c>
      <c r="J4643" s="689">
        <f t="shared" si="73"/>
        <v>0</v>
      </c>
    </row>
    <row r="4644" spans="1:10" ht="12.75" customHeight="1" x14ac:dyDescent="0.2">
      <c r="A4644" s="681" t="s">
        <v>2370</v>
      </c>
      <c r="B4644" s="693" t="s">
        <v>7195</v>
      </c>
      <c r="C4644" s="672" t="s">
        <v>897</v>
      </c>
      <c r="D4644" s="673">
        <v>41325</v>
      </c>
      <c r="E4644" s="674">
        <v>3</v>
      </c>
      <c r="F4644" s="675">
        <v>0.33</v>
      </c>
      <c r="G4644" s="676">
        <v>240</v>
      </c>
      <c r="H4644" s="929">
        <v>0</v>
      </c>
      <c r="I4644" s="929">
        <v>240</v>
      </c>
      <c r="J4644" s="689">
        <f t="shared" si="73"/>
        <v>0</v>
      </c>
    </row>
    <row r="4645" spans="1:10" ht="12.75" customHeight="1" x14ac:dyDescent="0.2">
      <c r="A4645" s="681" t="s">
        <v>2370</v>
      </c>
      <c r="B4645" s="693" t="s">
        <v>7196</v>
      </c>
      <c r="C4645" s="672" t="s">
        <v>894</v>
      </c>
      <c r="D4645" s="673">
        <v>41325</v>
      </c>
      <c r="E4645" s="674">
        <v>3</v>
      </c>
      <c r="F4645" s="675">
        <v>0.33</v>
      </c>
      <c r="G4645" s="676">
        <v>4878</v>
      </c>
      <c r="H4645" s="929">
        <v>0</v>
      </c>
      <c r="I4645" s="929">
        <v>4878</v>
      </c>
      <c r="J4645" s="689">
        <f t="shared" si="73"/>
        <v>0</v>
      </c>
    </row>
    <row r="4646" spans="1:10" ht="12.75" customHeight="1" x14ac:dyDescent="0.2">
      <c r="A4646" s="681" t="s">
        <v>2370</v>
      </c>
      <c r="B4646" s="693" t="s">
        <v>7197</v>
      </c>
      <c r="C4646" s="672" t="s">
        <v>894</v>
      </c>
      <c r="D4646" s="673">
        <v>41325</v>
      </c>
      <c r="E4646" s="674">
        <v>3</v>
      </c>
      <c r="F4646" s="675">
        <v>0.33</v>
      </c>
      <c r="G4646" s="676">
        <v>4878</v>
      </c>
      <c r="H4646" s="929">
        <v>0</v>
      </c>
      <c r="I4646" s="929">
        <v>4878</v>
      </c>
      <c r="J4646" s="689">
        <f t="shared" si="73"/>
        <v>0</v>
      </c>
    </row>
    <row r="4647" spans="1:10" ht="12.75" customHeight="1" x14ac:dyDescent="0.2">
      <c r="A4647" s="681" t="s">
        <v>2370</v>
      </c>
      <c r="B4647" s="693" t="s">
        <v>7198</v>
      </c>
      <c r="C4647" s="672" t="s">
        <v>894</v>
      </c>
      <c r="D4647" s="673">
        <v>41325</v>
      </c>
      <c r="E4647" s="674">
        <v>3</v>
      </c>
      <c r="F4647" s="675">
        <v>0.33</v>
      </c>
      <c r="G4647" s="676">
        <v>4878</v>
      </c>
      <c r="H4647" s="929">
        <v>0</v>
      </c>
      <c r="I4647" s="929">
        <v>4878</v>
      </c>
      <c r="J4647" s="689">
        <f t="shared" si="73"/>
        <v>0</v>
      </c>
    </row>
    <row r="4648" spans="1:10" ht="12.75" customHeight="1" x14ac:dyDescent="0.2">
      <c r="A4648" s="681" t="s">
        <v>2370</v>
      </c>
      <c r="B4648" s="693" t="s">
        <v>7199</v>
      </c>
      <c r="C4648" s="672" t="s">
        <v>894</v>
      </c>
      <c r="D4648" s="673">
        <v>41325</v>
      </c>
      <c r="E4648" s="674">
        <v>3</v>
      </c>
      <c r="F4648" s="675">
        <v>0.33</v>
      </c>
      <c r="G4648" s="676">
        <v>4937</v>
      </c>
      <c r="H4648" s="929">
        <v>0</v>
      </c>
      <c r="I4648" s="929">
        <v>4937</v>
      </c>
      <c r="J4648" s="689">
        <f t="shared" si="73"/>
        <v>0</v>
      </c>
    </row>
    <row r="4649" spans="1:10" ht="12.75" customHeight="1" x14ac:dyDescent="0.2">
      <c r="A4649" s="681" t="s">
        <v>2370</v>
      </c>
      <c r="B4649" s="693" t="s">
        <v>7200</v>
      </c>
      <c r="C4649" s="672" t="s">
        <v>736</v>
      </c>
      <c r="D4649" s="673">
        <v>41325</v>
      </c>
      <c r="E4649" s="674">
        <v>3</v>
      </c>
      <c r="F4649" s="675">
        <v>0.33</v>
      </c>
      <c r="G4649" s="676">
        <v>290</v>
      </c>
      <c r="H4649" s="929">
        <v>0</v>
      </c>
      <c r="I4649" s="929">
        <v>290</v>
      </c>
      <c r="J4649" s="689">
        <f t="shared" si="73"/>
        <v>0</v>
      </c>
    </row>
    <row r="4650" spans="1:10" ht="12.75" customHeight="1" x14ac:dyDescent="0.2">
      <c r="A4650" s="681" t="s">
        <v>2370</v>
      </c>
      <c r="B4650" s="693" t="s">
        <v>7201</v>
      </c>
      <c r="C4650" s="672" t="s">
        <v>736</v>
      </c>
      <c r="D4650" s="673">
        <v>41325</v>
      </c>
      <c r="E4650" s="674">
        <v>3</v>
      </c>
      <c r="F4650" s="675">
        <v>0.33</v>
      </c>
      <c r="G4650" s="676">
        <v>171.68</v>
      </c>
      <c r="H4650" s="929">
        <v>0</v>
      </c>
      <c r="I4650" s="929">
        <v>171.68</v>
      </c>
      <c r="J4650" s="689">
        <f t="shared" si="73"/>
        <v>0</v>
      </c>
    </row>
    <row r="4651" spans="1:10" ht="12.75" customHeight="1" x14ac:dyDescent="0.2">
      <c r="A4651" s="681" t="s">
        <v>2370</v>
      </c>
      <c r="B4651" s="693" t="s">
        <v>7202</v>
      </c>
      <c r="C4651" s="672" t="s">
        <v>916</v>
      </c>
      <c r="D4651" s="673">
        <v>41325</v>
      </c>
      <c r="E4651" s="674">
        <v>3</v>
      </c>
      <c r="F4651" s="675">
        <v>0.33</v>
      </c>
      <c r="G4651" s="676">
        <v>5850</v>
      </c>
      <c r="H4651" s="929">
        <v>0</v>
      </c>
      <c r="I4651" s="929">
        <v>5850</v>
      </c>
      <c r="J4651" s="689">
        <f t="shared" si="73"/>
        <v>0</v>
      </c>
    </row>
    <row r="4652" spans="1:10" ht="12.75" customHeight="1" x14ac:dyDescent="0.2">
      <c r="A4652" s="681" t="s">
        <v>2370</v>
      </c>
      <c r="B4652" s="693" t="s">
        <v>7203</v>
      </c>
      <c r="C4652" s="672" t="s">
        <v>894</v>
      </c>
      <c r="D4652" s="673">
        <v>41325</v>
      </c>
      <c r="E4652" s="674">
        <v>3</v>
      </c>
      <c r="F4652" s="675">
        <v>0.33</v>
      </c>
      <c r="G4652" s="676">
        <v>5910</v>
      </c>
      <c r="H4652" s="929">
        <v>0</v>
      </c>
      <c r="I4652" s="929">
        <v>5910</v>
      </c>
      <c r="J4652" s="689">
        <f t="shared" si="73"/>
        <v>0</v>
      </c>
    </row>
    <row r="4653" spans="1:10" ht="12.75" customHeight="1" x14ac:dyDescent="0.2">
      <c r="A4653" s="681" t="s">
        <v>2370</v>
      </c>
      <c r="B4653" s="693" t="s">
        <v>7204</v>
      </c>
      <c r="C4653" s="672" t="s">
        <v>894</v>
      </c>
      <c r="D4653" s="673">
        <v>41325</v>
      </c>
      <c r="E4653" s="674">
        <v>3</v>
      </c>
      <c r="F4653" s="675">
        <v>0.33</v>
      </c>
      <c r="G4653" s="676">
        <v>5910</v>
      </c>
      <c r="H4653" s="929">
        <v>0</v>
      </c>
      <c r="I4653" s="929">
        <v>5910</v>
      </c>
      <c r="J4653" s="689">
        <f t="shared" si="73"/>
        <v>0</v>
      </c>
    </row>
    <row r="4654" spans="1:10" ht="12.75" customHeight="1" x14ac:dyDescent="0.2">
      <c r="A4654" s="681" t="s">
        <v>2370</v>
      </c>
      <c r="B4654" s="693" t="s">
        <v>7205</v>
      </c>
      <c r="C4654" s="672" t="s">
        <v>894</v>
      </c>
      <c r="D4654" s="673">
        <v>41325</v>
      </c>
      <c r="E4654" s="674">
        <v>3</v>
      </c>
      <c r="F4654" s="675">
        <v>0.33</v>
      </c>
      <c r="G4654" s="676">
        <v>5910</v>
      </c>
      <c r="H4654" s="929">
        <v>0</v>
      </c>
      <c r="I4654" s="929">
        <v>5910</v>
      </c>
      <c r="J4654" s="689">
        <f t="shared" si="73"/>
        <v>0</v>
      </c>
    </row>
    <row r="4655" spans="1:10" ht="12.75" customHeight="1" x14ac:dyDescent="0.2">
      <c r="A4655" s="681" t="s">
        <v>2370</v>
      </c>
      <c r="B4655" s="693" t="s">
        <v>7206</v>
      </c>
      <c r="C4655" s="672" t="s">
        <v>894</v>
      </c>
      <c r="D4655" s="673">
        <v>41325</v>
      </c>
      <c r="E4655" s="674">
        <v>3</v>
      </c>
      <c r="F4655" s="675">
        <v>0.33</v>
      </c>
      <c r="G4655" s="676">
        <v>5910</v>
      </c>
      <c r="H4655" s="929">
        <v>0</v>
      </c>
      <c r="I4655" s="929">
        <v>5910</v>
      </c>
      <c r="J4655" s="689">
        <f t="shared" si="73"/>
        <v>0</v>
      </c>
    </row>
    <row r="4656" spans="1:10" ht="12.75" customHeight="1" x14ac:dyDescent="0.2">
      <c r="A4656" s="681" t="s">
        <v>2370</v>
      </c>
      <c r="B4656" s="693" t="s">
        <v>7207</v>
      </c>
      <c r="C4656" s="672" t="s">
        <v>894</v>
      </c>
      <c r="D4656" s="673">
        <v>41325</v>
      </c>
      <c r="E4656" s="674">
        <v>3</v>
      </c>
      <c r="F4656" s="675">
        <v>0.33</v>
      </c>
      <c r="G4656" s="676">
        <v>5910</v>
      </c>
      <c r="H4656" s="929">
        <v>0</v>
      </c>
      <c r="I4656" s="929">
        <v>5910</v>
      </c>
      <c r="J4656" s="689">
        <f t="shared" si="73"/>
        <v>0</v>
      </c>
    </row>
    <row r="4657" spans="1:10" ht="12.75" customHeight="1" x14ac:dyDescent="0.2">
      <c r="A4657" s="681" t="s">
        <v>2370</v>
      </c>
      <c r="B4657" s="693" t="s">
        <v>7208</v>
      </c>
      <c r="C4657" s="672" t="s">
        <v>736</v>
      </c>
      <c r="D4657" s="673">
        <v>41325</v>
      </c>
      <c r="E4657" s="674">
        <v>3</v>
      </c>
      <c r="F4657" s="675">
        <v>0.33</v>
      </c>
      <c r="G4657" s="676">
        <v>340</v>
      </c>
      <c r="H4657" s="929">
        <v>0</v>
      </c>
      <c r="I4657" s="929">
        <v>340</v>
      </c>
      <c r="J4657" s="689">
        <f t="shared" si="73"/>
        <v>0</v>
      </c>
    </row>
    <row r="4658" spans="1:10" ht="12.75" customHeight="1" x14ac:dyDescent="0.2">
      <c r="A4658" s="681" t="s">
        <v>2370</v>
      </c>
      <c r="B4658" s="693" t="s">
        <v>7209</v>
      </c>
      <c r="C4658" s="672" t="s">
        <v>897</v>
      </c>
      <c r="D4658" s="673">
        <v>41325</v>
      </c>
      <c r="E4658" s="674">
        <v>3</v>
      </c>
      <c r="F4658" s="675">
        <v>0.33</v>
      </c>
      <c r="G4658" s="676">
        <v>406</v>
      </c>
      <c r="H4658" s="929">
        <v>0</v>
      </c>
      <c r="I4658" s="929">
        <v>406</v>
      </c>
      <c r="J4658" s="689">
        <f t="shared" si="73"/>
        <v>0</v>
      </c>
    </row>
    <row r="4659" spans="1:10" ht="12.75" customHeight="1" x14ac:dyDescent="0.2">
      <c r="A4659" s="681" t="s">
        <v>2370</v>
      </c>
      <c r="B4659" s="693" t="s">
        <v>7210</v>
      </c>
      <c r="C4659" s="672" t="s">
        <v>897</v>
      </c>
      <c r="D4659" s="673">
        <v>41325</v>
      </c>
      <c r="E4659" s="674">
        <v>3</v>
      </c>
      <c r="F4659" s="675">
        <v>0.33</v>
      </c>
      <c r="G4659" s="676">
        <v>406</v>
      </c>
      <c r="H4659" s="929">
        <v>0</v>
      </c>
      <c r="I4659" s="929">
        <v>406</v>
      </c>
      <c r="J4659" s="689">
        <f t="shared" si="73"/>
        <v>0</v>
      </c>
    </row>
    <row r="4660" spans="1:10" ht="12.75" customHeight="1" x14ac:dyDescent="0.2">
      <c r="A4660" s="681" t="s">
        <v>2370</v>
      </c>
      <c r="B4660" s="693" t="s">
        <v>7211</v>
      </c>
      <c r="C4660" s="672" t="s">
        <v>897</v>
      </c>
      <c r="D4660" s="673">
        <v>41325</v>
      </c>
      <c r="E4660" s="674">
        <v>3</v>
      </c>
      <c r="F4660" s="675">
        <v>0.33</v>
      </c>
      <c r="G4660" s="676">
        <v>406</v>
      </c>
      <c r="H4660" s="929">
        <v>0</v>
      </c>
      <c r="I4660" s="929">
        <v>406</v>
      </c>
      <c r="J4660" s="689">
        <f t="shared" si="73"/>
        <v>0</v>
      </c>
    </row>
    <row r="4661" spans="1:10" ht="12.75" customHeight="1" x14ac:dyDescent="0.2">
      <c r="A4661" s="681" t="s">
        <v>2370</v>
      </c>
      <c r="B4661" s="693" t="s">
        <v>7212</v>
      </c>
      <c r="C4661" s="672" t="s">
        <v>897</v>
      </c>
      <c r="D4661" s="673">
        <v>41325</v>
      </c>
      <c r="E4661" s="674">
        <v>3</v>
      </c>
      <c r="F4661" s="675">
        <v>0.33</v>
      </c>
      <c r="G4661" s="676">
        <v>406</v>
      </c>
      <c r="H4661" s="929">
        <v>0</v>
      </c>
      <c r="I4661" s="929">
        <v>406</v>
      </c>
      <c r="J4661" s="689">
        <f t="shared" si="73"/>
        <v>0</v>
      </c>
    </row>
    <row r="4662" spans="1:10" ht="12.75" customHeight="1" x14ac:dyDescent="0.2">
      <c r="A4662" s="681" t="s">
        <v>2370</v>
      </c>
      <c r="B4662" s="693" t="s">
        <v>7213</v>
      </c>
      <c r="C4662" s="672" t="s">
        <v>897</v>
      </c>
      <c r="D4662" s="673">
        <v>41325</v>
      </c>
      <c r="E4662" s="674">
        <v>3</v>
      </c>
      <c r="F4662" s="675">
        <v>0.33</v>
      </c>
      <c r="G4662" s="676">
        <v>406</v>
      </c>
      <c r="H4662" s="929">
        <v>0</v>
      </c>
      <c r="I4662" s="929">
        <v>406</v>
      </c>
      <c r="J4662" s="689">
        <f t="shared" si="73"/>
        <v>0</v>
      </c>
    </row>
    <row r="4663" spans="1:10" ht="12.75" customHeight="1" x14ac:dyDescent="0.2">
      <c r="A4663" s="681" t="s">
        <v>2370</v>
      </c>
      <c r="B4663" s="693" t="s">
        <v>7214</v>
      </c>
      <c r="C4663" s="672" t="s">
        <v>897</v>
      </c>
      <c r="D4663" s="673">
        <v>41325</v>
      </c>
      <c r="E4663" s="674">
        <v>3</v>
      </c>
      <c r="F4663" s="675">
        <v>0.33</v>
      </c>
      <c r="G4663" s="676">
        <v>406</v>
      </c>
      <c r="H4663" s="929">
        <v>0</v>
      </c>
      <c r="I4663" s="929">
        <v>406</v>
      </c>
      <c r="J4663" s="689">
        <f t="shared" si="73"/>
        <v>0</v>
      </c>
    </row>
    <row r="4664" spans="1:10" ht="12.75" customHeight="1" x14ac:dyDescent="0.2">
      <c r="A4664" s="681" t="s">
        <v>2370</v>
      </c>
      <c r="B4664" s="693" t="s">
        <v>7215</v>
      </c>
      <c r="C4664" s="672" t="s">
        <v>897</v>
      </c>
      <c r="D4664" s="673">
        <v>41325</v>
      </c>
      <c r="E4664" s="674">
        <v>3</v>
      </c>
      <c r="F4664" s="675">
        <v>0.33</v>
      </c>
      <c r="G4664" s="676">
        <v>406</v>
      </c>
      <c r="H4664" s="929">
        <v>0</v>
      </c>
      <c r="I4664" s="929">
        <v>406</v>
      </c>
      <c r="J4664" s="689">
        <f t="shared" si="73"/>
        <v>0</v>
      </c>
    </row>
    <row r="4665" spans="1:10" ht="12.75" customHeight="1" x14ac:dyDescent="0.2">
      <c r="A4665" s="681" t="s">
        <v>2370</v>
      </c>
      <c r="B4665" s="693" t="s">
        <v>7216</v>
      </c>
      <c r="C4665" s="672" t="s">
        <v>897</v>
      </c>
      <c r="D4665" s="673">
        <v>41325</v>
      </c>
      <c r="E4665" s="674">
        <v>3</v>
      </c>
      <c r="F4665" s="675">
        <v>0.33</v>
      </c>
      <c r="G4665" s="676">
        <v>406</v>
      </c>
      <c r="H4665" s="929">
        <v>0</v>
      </c>
      <c r="I4665" s="929">
        <v>406</v>
      </c>
      <c r="J4665" s="689">
        <f t="shared" si="73"/>
        <v>0</v>
      </c>
    </row>
    <row r="4666" spans="1:10" ht="12.75" customHeight="1" x14ac:dyDescent="0.2">
      <c r="A4666" s="681" t="s">
        <v>2370</v>
      </c>
      <c r="B4666" s="693" t="s">
        <v>7217</v>
      </c>
      <c r="C4666" s="672" t="s">
        <v>897</v>
      </c>
      <c r="D4666" s="673">
        <v>41325</v>
      </c>
      <c r="E4666" s="674">
        <v>3</v>
      </c>
      <c r="F4666" s="675">
        <v>0.33</v>
      </c>
      <c r="G4666" s="676">
        <v>406</v>
      </c>
      <c r="H4666" s="929">
        <v>0</v>
      </c>
      <c r="I4666" s="929">
        <v>406</v>
      </c>
      <c r="J4666" s="689">
        <f t="shared" si="73"/>
        <v>0</v>
      </c>
    </row>
    <row r="4667" spans="1:10" ht="12.75" customHeight="1" x14ac:dyDescent="0.2">
      <c r="A4667" s="681" t="s">
        <v>2370</v>
      </c>
      <c r="B4667" s="693" t="s">
        <v>7218</v>
      </c>
      <c r="C4667" s="672" t="s">
        <v>897</v>
      </c>
      <c r="D4667" s="673">
        <v>41325</v>
      </c>
      <c r="E4667" s="674">
        <v>3</v>
      </c>
      <c r="F4667" s="675">
        <v>0.33</v>
      </c>
      <c r="G4667" s="676">
        <v>406</v>
      </c>
      <c r="H4667" s="929">
        <v>0</v>
      </c>
      <c r="I4667" s="929">
        <v>406</v>
      </c>
      <c r="J4667" s="689">
        <f t="shared" si="73"/>
        <v>0</v>
      </c>
    </row>
    <row r="4668" spans="1:10" ht="12.75" customHeight="1" x14ac:dyDescent="0.2">
      <c r="A4668" s="681" t="s">
        <v>2370</v>
      </c>
      <c r="B4668" s="693" t="s">
        <v>7219</v>
      </c>
      <c r="C4668" s="672" t="s">
        <v>892</v>
      </c>
      <c r="D4668" s="673">
        <v>41325</v>
      </c>
      <c r="E4668" s="674">
        <v>3</v>
      </c>
      <c r="F4668" s="675">
        <v>0.33</v>
      </c>
      <c r="G4668" s="676">
        <v>5999</v>
      </c>
      <c r="H4668" s="929">
        <v>0</v>
      </c>
      <c r="I4668" s="929">
        <v>5999</v>
      </c>
      <c r="J4668" s="689">
        <f t="shared" si="73"/>
        <v>0</v>
      </c>
    </row>
    <row r="4669" spans="1:10" ht="12.75" customHeight="1" x14ac:dyDescent="0.2">
      <c r="A4669" s="681" t="s">
        <v>2370</v>
      </c>
      <c r="B4669" s="693" t="s">
        <v>7220</v>
      </c>
      <c r="C4669" s="672" t="s">
        <v>892</v>
      </c>
      <c r="D4669" s="673">
        <v>41325</v>
      </c>
      <c r="E4669" s="674">
        <v>3</v>
      </c>
      <c r="F4669" s="675">
        <v>0.33</v>
      </c>
      <c r="G4669" s="676">
        <v>5999</v>
      </c>
      <c r="H4669" s="929">
        <v>0</v>
      </c>
      <c r="I4669" s="929">
        <v>5999</v>
      </c>
      <c r="J4669" s="689">
        <f t="shared" si="73"/>
        <v>0</v>
      </c>
    </row>
    <row r="4670" spans="1:10" ht="12.75" customHeight="1" x14ac:dyDescent="0.2">
      <c r="A4670" s="681" t="s">
        <v>2370</v>
      </c>
      <c r="B4670" s="693" t="s">
        <v>7221</v>
      </c>
      <c r="C4670" s="672" t="s">
        <v>907</v>
      </c>
      <c r="D4670" s="673">
        <v>41325</v>
      </c>
      <c r="E4670" s="674">
        <v>3</v>
      </c>
      <c r="F4670" s="675">
        <v>0.33</v>
      </c>
      <c r="G4670" s="676">
        <v>6420</v>
      </c>
      <c r="H4670" s="929">
        <v>0</v>
      </c>
      <c r="I4670" s="929">
        <v>6420</v>
      </c>
      <c r="J4670" s="689">
        <f t="shared" si="73"/>
        <v>0</v>
      </c>
    </row>
    <row r="4671" spans="1:10" ht="12.75" customHeight="1" x14ac:dyDescent="0.2">
      <c r="A4671" s="681" t="s">
        <v>2370</v>
      </c>
      <c r="B4671" s="693" t="s">
        <v>7222</v>
      </c>
      <c r="C4671" s="672" t="s">
        <v>916</v>
      </c>
      <c r="D4671" s="673">
        <v>41325</v>
      </c>
      <c r="E4671" s="674">
        <v>3</v>
      </c>
      <c r="F4671" s="675">
        <v>0.33</v>
      </c>
      <c r="G4671" s="676">
        <v>6420</v>
      </c>
      <c r="H4671" s="929">
        <v>0</v>
      </c>
      <c r="I4671" s="929">
        <v>6420</v>
      </c>
      <c r="J4671" s="689">
        <f t="shared" si="73"/>
        <v>0</v>
      </c>
    </row>
    <row r="4672" spans="1:10" ht="12.75" customHeight="1" x14ac:dyDescent="0.2">
      <c r="A4672" s="681" t="s">
        <v>2370</v>
      </c>
      <c r="B4672" s="693" t="s">
        <v>7223</v>
      </c>
      <c r="C4672" s="672" t="s">
        <v>916</v>
      </c>
      <c r="D4672" s="673">
        <v>41325</v>
      </c>
      <c r="E4672" s="674">
        <v>3</v>
      </c>
      <c r="F4672" s="675">
        <v>0.33</v>
      </c>
      <c r="G4672" s="676">
        <v>6420</v>
      </c>
      <c r="H4672" s="929">
        <v>0</v>
      </c>
      <c r="I4672" s="929">
        <v>6420</v>
      </c>
      <c r="J4672" s="689">
        <f t="shared" si="73"/>
        <v>0</v>
      </c>
    </row>
    <row r="4673" spans="1:10" ht="12.75" customHeight="1" x14ac:dyDescent="0.2">
      <c r="A4673" s="681" t="s">
        <v>2370</v>
      </c>
      <c r="B4673" s="693" t="s">
        <v>7224</v>
      </c>
      <c r="C4673" s="672" t="s">
        <v>916</v>
      </c>
      <c r="D4673" s="673">
        <v>41325</v>
      </c>
      <c r="E4673" s="674">
        <v>3</v>
      </c>
      <c r="F4673" s="675">
        <v>0.33</v>
      </c>
      <c r="G4673" s="676">
        <v>6420</v>
      </c>
      <c r="H4673" s="929">
        <v>0</v>
      </c>
      <c r="I4673" s="929">
        <v>6420</v>
      </c>
      <c r="J4673" s="689">
        <f t="shared" si="73"/>
        <v>0</v>
      </c>
    </row>
    <row r="4674" spans="1:10" ht="12.75" customHeight="1" x14ac:dyDescent="0.2">
      <c r="A4674" s="681" t="s">
        <v>2370</v>
      </c>
      <c r="B4674" s="693" t="s">
        <v>7225</v>
      </c>
      <c r="C4674" s="672" t="s">
        <v>916</v>
      </c>
      <c r="D4674" s="673">
        <v>41325</v>
      </c>
      <c r="E4674" s="674">
        <v>3</v>
      </c>
      <c r="F4674" s="675">
        <v>0.33</v>
      </c>
      <c r="G4674" s="676">
        <v>6420</v>
      </c>
      <c r="H4674" s="929">
        <v>0</v>
      </c>
      <c r="I4674" s="929">
        <v>6420</v>
      </c>
      <c r="J4674" s="689">
        <f t="shared" si="73"/>
        <v>0</v>
      </c>
    </row>
    <row r="4675" spans="1:10" ht="12.75" customHeight="1" x14ac:dyDescent="0.2">
      <c r="A4675" s="681" t="s">
        <v>2370</v>
      </c>
      <c r="B4675" s="693" t="s">
        <v>7226</v>
      </c>
      <c r="C4675" s="672" t="s">
        <v>889</v>
      </c>
      <c r="D4675" s="673">
        <v>41325</v>
      </c>
      <c r="E4675" s="674">
        <v>3</v>
      </c>
      <c r="F4675" s="675">
        <v>0.33</v>
      </c>
      <c r="G4675" s="676">
        <v>320</v>
      </c>
      <c r="H4675" s="929">
        <v>0</v>
      </c>
      <c r="I4675" s="929">
        <v>320</v>
      </c>
      <c r="J4675" s="689">
        <f t="shared" si="73"/>
        <v>0</v>
      </c>
    </row>
    <row r="4676" spans="1:10" ht="12.75" customHeight="1" x14ac:dyDescent="0.2">
      <c r="A4676" s="681" t="s">
        <v>2370</v>
      </c>
      <c r="B4676" s="693" t="s">
        <v>7227</v>
      </c>
      <c r="C4676" s="672" t="s">
        <v>892</v>
      </c>
      <c r="D4676" s="673">
        <v>41325</v>
      </c>
      <c r="E4676" s="674">
        <v>3</v>
      </c>
      <c r="F4676" s="675">
        <v>0.33</v>
      </c>
      <c r="G4676" s="676">
        <v>6542</v>
      </c>
      <c r="H4676" s="929">
        <v>0</v>
      </c>
      <c r="I4676" s="929">
        <v>6542</v>
      </c>
      <c r="J4676" s="689">
        <f t="shared" si="73"/>
        <v>0</v>
      </c>
    </row>
    <row r="4677" spans="1:10" ht="12.75" customHeight="1" x14ac:dyDescent="0.2">
      <c r="A4677" s="681" t="s">
        <v>2370</v>
      </c>
      <c r="B4677" s="693" t="s">
        <v>7228</v>
      </c>
      <c r="C4677" s="672" t="s">
        <v>897</v>
      </c>
      <c r="D4677" s="673">
        <v>41325</v>
      </c>
      <c r="E4677" s="674">
        <v>3</v>
      </c>
      <c r="F4677" s="675">
        <v>0.33</v>
      </c>
      <c r="G4677" s="676">
        <v>329</v>
      </c>
      <c r="H4677" s="929">
        <v>0</v>
      </c>
      <c r="I4677" s="929">
        <v>329</v>
      </c>
      <c r="J4677" s="689">
        <f t="shared" si="73"/>
        <v>0</v>
      </c>
    </row>
    <row r="4678" spans="1:10" ht="12.75" customHeight="1" x14ac:dyDescent="0.2">
      <c r="A4678" s="681" t="s">
        <v>2372</v>
      </c>
      <c r="B4678" s="693" t="s">
        <v>7229</v>
      </c>
      <c r="C4678" s="672" t="s">
        <v>1020</v>
      </c>
      <c r="D4678" s="673">
        <v>41325</v>
      </c>
      <c r="E4678" s="674">
        <v>3</v>
      </c>
      <c r="F4678" s="675">
        <v>0.33</v>
      </c>
      <c r="G4678" s="676">
        <v>6832</v>
      </c>
      <c r="H4678" s="929">
        <v>0</v>
      </c>
      <c r="I4678" s="929">
        <v>6832</v>
      </c>
      <c r="J4678" s="689">
        <f t="shared" si="73"/>
        <v>0</v>
      </c>
    </row>
    <row r="4679" spans="1:10" ht="12.75" customHeight="1" x14ac:dyDescent="0.2">
      <c r="A4679" s="681" t="s">
        <v>2370</v>
      </c>
      <c r="B4679" s="693" t="s">
        <v>7230</v>
      </c>
      <c r="C4679" s="672" t="s">
        <v>736</v>
      </c>
      <c r="D4679" s="673">
        <v>41325</v>
      </c>
      <c r="E4679" s="674">
        <v>3</v>
      </c>
      <c r="F4679" s="675">
        <v>0.33</v>
      </c>
      <c r="G4679" s="676">
        <v>232</v>
      </c>
      <c r="H4679" s="929">
        <v>0</v>
      </c>
      <c r="I4679" s="929">
        <v>232</v>
      </c>
      <c r="J4679" s="689">
        <f t="shared" ref="J4679:J4742" si="74">G4679-I4679</f>
        <v>0</v>
      </c>
    </row>
    <row r="4680" spans="1:10" ht="12.75" customHeight="1" x14ac:dyDescent="0.2">
      <c r="A4680" s="681" t="s">
        <v>2370</v>
      </c>
      <c r="B4680" s="693" t="s">
        <v>7231</v>
      </c>
      <c r="C4680" s="672" t="s">
        <v>736</v>
      </c>
      <c r="D4680" s="673">
        <v>41325</v>
      </c>
      <c r="E4680" s="674">
        <v>3</v>
      </c>
      <c r="F4680" s="675">
        <v>0.33</v>
      </c>
      <c r="G4680" s="676">
        <v>232</v>
      </c>
      <c r="H4680" s="929">
        <v>0</v>
      </c>
      <c r="I4680" s="929">
        <v>232</v>
      </c>
      <c r="J4680" s="689">
        <f t="shared" si="74"/>
        <v>0</v>
      </c>
    </row>
    <row r="4681" spans="1:10" ht="12.75" customHeight="1" x14ac:dyDescent="0.2">
      <c r="A4681" s="681" t="s">
        <v>2370</v>
      </c>
      <c r="B4681" s="693" t="s">
        <v>7232</v>
      </c>
      <c r="C4681" s="672" t="s">
        <v>736</v>
      </c>
      <c r="D4681" s="673">
        <v>41325</v>
      </c>
      <c r="E4681" s="674">
        <v>3</v>
      </c>
      <c r="F4681" s="675">
        <v>0.33</v>
      </c>
      <c r="G4681" s="676">
        <v>232</v>
      </c>
      <c r="H4681" s="929">
        <v>0</v>
      </c>
      <c r="I4681" s="929">
        <v>232</v>
      </c>
      <c r="J4681" s="689">
        <f t="shared" si="74"/>
        <v>0</v>
      </c>
    </row>
    <row r="4682" spans="1:10" ht="12.75" customHeight="1" x14ac:dyDescent="0.2">
      <c r="A4682" s="681" t="s">
        <v>2370</v>
      </c>
      <c r="B4682" s="693" t="s">
        <v>7233</v>
      </c>
      <c r="C4682" s="672" t="s">
        <v>736</v>
      </c>
      <c r="D4682" s="673">
        <v>41325</v>
      </c>
      <c r="E4682" s="674">
        <v>3</v>
      </c>
      <c r="F4682" s="675">
        <v>0.33</v>
      </c>
      <c r="G4682" s="676">
        <v>232</v>
      </c>
      <c r="H4682" s="929">
        <v>0</v>
      </c>
      <c r="I4682" s="929">
        <v>232</v>
      </c>
      <c r="J4682" s="689">
        <f t="shared" si="74"/>
        <v>0</v>
      </c>
    </row>
    <row r="4683" spans="1:10" ht="12.75" customHeight="1" x14ac:dyDescent="0.2">
      <c r="A4683" s="681" t="s">
        <v>2370</v>
      </c>
      <c r="B4683" s="693" t="s">
        <v>7234</v>
      </c>
      <c r="C4683" s="672" t="s">
        <v>736</v>
      </c>
      <c r="D4683" s="673">
        <v>41325</v>
      </c>
      <c r="E4683" s="674">
        <v>3</v>
      </c>
      <c r="F4683" s="675">
        <v>0.33</v>
      </c>
      <c r="G4683" s="676">
        <v>232</v>
      </c>
      <c r="H4683" s="929">
        <v>0</v>
      </c>
      <c r="I4683" s="929">
        <v>232</v>
      </c>
      <c r="J4683" s="689">
        <f t="shared" si="74"/>
        <v>0</v>
      </c>
    </row>
    <row r="4684" spans="1:10" ht="12.75" customHeight="1" x14ac:dyDescent="0.2">
      <c r="A4684" s="681" t="s">
        <v>2370</v>
      </c>
      <c r="B4684" s="693" t="s">
        <v>7235</v>
      </c>
      <c r="C4684" s="672" t="s">
        <v>736</v>
      </c>
      <c r="D4684" s="673">
        <v>41325</v>
      </c>
      <c r="E4684" s="674">
        <v>3</v>
      </c>
      <c r="F4684" s="675">
        <v>0.33</v>
      </c>
      <c r="G4684" s="676">
        <v>232</v>
      </c>
      <c r="H4684" s="929">
        <v>0</v>
      </c>
      <c r="I4684" s="929">
        <v>232</v>
      </c>
      <c r="J4684" s="689">
        <f t="shared" si="74"/>
        <v>0</v>
      </c>
    </row>
    <row r="4685" spans="1:10" ht="12.75" customHeight="1" x14ac:dyDescent="0.2">
      <c r="A4685" s="681" t="s">
        <v>2370</v>
      </c>
      <c r="B4685" s="693" t="s">
        <v>7236</v>
      </c>
      <c r="C4685" s="672" t="s">
        <v>736</v>
      </c>
      <c r="D4685" s="673">
        <v>41325</v>
      </c>
      <c r="E4685" s="674">
        <v>3</v>
      </c>
      <c r="F4685" s="675">
        <v>0.33</v>
      </c>
      <c r="G4685" s="676">
        <v>232</v>
      </c>
      <c r="H4685" s="929">
        <v>0</v>
      </c>
      <c r="I4685" s="929">
        <v>232</v>
      </c>
      <c r="J4685" s="689">
        <f t="shared" si="74"/>
        <v>0</v>
      </c>
    </row>
    <row r="4686" spans="1:10" ht="12.75" customHeight="1" x14ac:dyDescent="0.2">
      <c r="A4686" s="681" t="s">
        <v>2370</v>
      </c>
      <c r="B4686" s="693" t="s">
        <v>7237</v>
      </c>
      <c r="C4686" s="672" t="s">
        <v>736</v>
      </c>
      <c r="D4686" s="673">
        <v>41325</v>
      </c>
      <c r="E4686" s="674">
        <v>3</v>
      </c>
      <c r="F4686" s="675">
        <v>0.33</v>
      </c>
      <c r="G4686" s="676">
        <v>232</v>
      </c>
      <c r="H4686" s="929">
        <v>0</v>
      </c>
      <c r="I4686" s="929">
        <v>232</v>
      </c>
      <c r="J4686" s="689">
        <f t="shared" si="74"/>
        <v>0</v>
      </c>
    </row>
    <row r="4687" spans="1:10" ht="12.75" customHeight="1" x14ac:dyDescent="0.2">
      <c r="A4687" s="681" t="s">
        <v>2370</v>
      </c>
      <c r="B4687" s="693" t="s">
        <v>7238</v>
      </c>
      <c r="C4687" s="672" t="s">
        <v>736</v>
      </c>
      <c r="D4687" s="673">
        <v>41325</v>
      </c>
      <c r="E4687" s="674">
        <v>3</v>
      </c>
      <c r="F4687" s="675">
        <v>0.33</v>
      </c>
      <c r="G4687" s="676">
        <v>232</v>
      </c>
      <c r="H4687" s="929">
        <v>0</v>
      </c>
      <c r="I4687" s="929">
        <v>232</v>
      </c>
      <c r="J4687" s="689">
        <f t="shared" si="74"/>
        <v>0</v>
      </c>
    </row>
    <row r="4688" spans="1:10" ht="12.75" customHeight="1" x14ac:dyDescent="0.2">
      <c r="A4688" s="681" t="s">
        <v>2370</v>
      </c>
      <c r="B4688" s="693" t="s">
        <v>7239</v>
      </c>
      <c r="C4688" s="672" t="s">
        <v>736</v>
      </c>
      <c r="D4688" s="673">
        <v>41325</v>
      </c>
      <c r="E4688" s="674">
        <v>3</v>
      </c>
      <c r="F4688" s="675">
        <v>0.33</v>
      </c>
      <c r="G4688" s="676">
        <v>232</v>
      </c>
      <c r="H4688" s="929">
        <v>0</v>
      </c>
      <c r="I4688" s="929">
        <v>232</v>
      </c>
      <c r="J4688" s="689">
        <f t="shared" si="74"/>
        <v>0</v>
      </c>
    </row>
    <row r="4689" spans="1:10" ht="12.75" customHeight="1" x14ac:dyDescent="0.2">
      <c r="A4689" s="681" t="s">
        <v>2370</v>
      </c>
      <c r="B4689" s="693" t="s">
        <v>7240</v>
      </c>
      <c r="C4689" s="672" t="s">
        <v>736</v>
      </c>
      <c r="D4689" s="673">
        <v>41325</v>
      </c>
      <c r="E4689" s="674">
        <v>3</v>
      </c>
      <c r="F4689" s="675">
        <v>0.33</v>
      </c>
      <c r="G4689" s="676">
        <v>232</v>
      </c>
      <c r="H4689" s="929">
        <v>0</v>
      </c>
      <c r="I4689" s="929">
        <v>232</v>
      </c>
      <c r="J4689" s="689">
        <f t="shared" si="74"/>
        <v>0</v>
      </c>
    </row>
    <row r="4690" spans="1:10" ht="12.75" customHeight="1" x14ac:dyDescent="0.2">
      <c r="A4690" s="681" t="s">
        <v>2370</v>
      </c>
      <c r="B4690" s="693" t="s">
        <v>7241</v>
      </c>
      <c r="C4690" s="672" t="s">
        <v>736</v>
      </c>
      <c r="D4690" s="673">
        <v>41325</v>
      </c>
      <c r="E4690" s="674">
        <v>3</v>
      </c>
      <c r="F4690" s="675">
        <v>0.33</v>
      </c>
      <c r="G4690" s="676">
        <v>232</v>
      </c>
      <c r="H4690" s="929">
        <v>0</v>
      </c>
      <c r="I4690" s="929">
        <v>232</v>
      </c>
      <c r="J4690" s="689">
        <f t="shared" si="74"/>
        <v>0</v>
      </c>
    </row>
    <row r="4691" spans="1:10" ht="12.75" customHeight="1" x14ac:dyDescent="0.2">
      <c r="A4691" s="681" t="s">
        <v>2370</v>
      </c>
      <c r="B4691" s="693" t="s">
        <v>7242</v>
      </c>
      <c r="C4691" s="672" t="s">
        <v>736</v>
      </c>
      <c r="D4691" s="673">
        <v>41325</v>
      </c>
      <c r="E4691" s="674">
        <v>3</v>
      </c>
      <c r="F4691" s="675">
        <v>0.33</v>
      </c>
      <c r="G4691" s="676">
        <v>232</v>
      </c>
      <c r="H4691" s="929">
        <v>0</v>
      </c>
      <c r="I4691" s="929">
        <v>232</v>
      </c>
      <c r="J4691" s="689">
        <f t="shared" si="74"/>
        <v>0</v>
      </c>
    </row>
    <row r="4692" spans="1:10" ht="12.75" customHeight="1" x14ac:dyDescent="0.2">
      <c r="A4692" s="681" t="s">
        <v>2370</v>
      </c>
      <c r="B4692" s="693" t="s">
        <v>7243</v>
      </c>
      <c r="C4692" s="672" t="s">
        <v>736</v>
      </c>
      <c r="D4692" s="673">
        <v>41325</v>
      </c>
      <c r="E4692" s="674">
        <v>3</v>
      </c>
      <c r="F4692" s="675">
        <v>0.33</v>
      </c>
      <c r="G4692" s="676">
        <v>232</v>
      </c>
      <c r="H4692" s="929">
        <v>0</v>
      </c>
      <c r="I4692" s="929">
        <v>232</v>
      </c>
      <c r="J4692" s="689">
        <f t="shared" si="74"/>
        <v>0</v>
      </c>
    </row>
    <row r="4693" spans="1:10" ht="12.75" customHeight="1" x14ac:dyDescent="0.2">
      <c r="A4693" s="681" t="s">
        <v>2370</v>
      </c>
      <c r="B4693" s="693" t="s">
        <v>7244</v>
      </c>
      <c r="C4693" s="672" t="s">
        <v>736</v>
      </c>
      <c r="D4693" s="673">
        <v>41325</v>
      </c>
      <c r="E4693" s="674">
        <v>3</v>
      </c>
      <c r="F4693" s="675">
        <v>0.33</v>
      </c>
      <c r="G4693" s="676">
        <v>232</v>
      </c>
      <c r="H4693" s="929">
        <v>0</v>
      </c>
      <c r="I4693" s="929">
        <v>232</v>
      </c>
      <c r="J4693" s="689">
        <f t="shared" si="74"/>
        <v>0</v>
      </c>
    </row>
    <row r="4694" spans="1:10" ht="12.75" customHeight="1" x14ac:dyDescent="0.2">
      <c r="A4694" s="681" t="s">
        <v>2370</v>
      </c>
      <c r="B4694" s="693" t="s">
        <v>7245</v>
      </c>
      <c r="C4694" s="672" t="s">
        <v>736</v>
      </c>
      <c r="D4694" s="673">
        <v>41325</v>
      </c>
      <c r="E4694" s="674">
        <v>3</v>
      </c>
      <c r="F4694" s="675">
        <v>0.33</v>
      </c>
      <c r="G4694" s="676">
        <v>232</v>
      </c>
      <c r="H4694" s="929">
        <v>0</v>
      </c>
      <c r="I4694" s="929">
        <v>232</v>
      </c>
      <c r="J4694" s="689">
        <f t="shared" si="74"/>
        <v>0</v>
      </c>
    </row>
    <row r="4695" spans="1:10" ht="12.75" customHeight="1" x14ac:dyDescent="0.2">
      <c r="A4695" s="681" t="s">
        <v>2370</v>
      </c>
      <c r="B4695" s="693" t="s">
        <v>7246</v>
      </c>
      <c r="C4695" s="672" t="s">
        <v>736</v>
      </c>
      <c r="D4695" s="673">
        <v>41325</v>
      </c>
      <c r="E4695" s="674">
        <v>3</v>
      </c>
      <c r="F4695" s="675">
        <v>0.33</v>
      </c>
      <c r="G4695" s="676">
        <v>232</v>
      </c>
      <c r="H4695" s="929">
        <v>0</v>
      </c>
      <c r="I4695" s="929">
        <v>232</v>
      </c>
      <c r="J4695" s="689">
        <f t="shared" si="74"/>
        <v>0</v>
      </c>
    </row>
    <row r="4696" spans="1:10" ht="12.75" customHeight="1" x14ac:dyDescent="0.2">
      <c r="A4696" s="681" t="s">
        <v>2370</v>
      </c>
      <c r="B4696" s="693" t="s">
        <v>7247</v>
      </c>
      <c r="C4696" s="672" t="s">
        <v>736</v>
      </c>
      <c r="D4696" s="673">
        <v>41325</v>
      </c>
      <c r="E4696" s="674">
        <v>3</v>
      </c>
      <c r="F4696" s="675">
        <v>0.33</v>
      </c>
      <c r="G4696" s="676">
        <v>232</v>
      </c>
      <c r="H4696" s="929">
        <v>0</v>
      </c>
      <c r="I4696" s="929">
        <v>232</v>
      </c>
      <c r="J4696" s="689">
        <f t="shared" si="74"/>
        <v>0</v>
      </c>
    </row>
    <row r="4697" spans="1:10" ht="12.75" customHeight="1" x14ac:dyDescent="0.2">
      <c r="A4697" s="681" t="s">
        <v>2372</v>
      </c>
      <c r="B4697" s="693" t="s">
        <v>7248</v>
      </c>
      <c r="C4697" s="672" t="s">
        <v>895</v>
      </c>
      <c r="D4697" s="673">
        <v>41325</v>
      </c>
      <c r="E4697" s="674">
        <v>3</v>
      </c>
      <c r="F4697" s="675">
        <v>0.33</v>
      </c>
      <c r="G4697" s="676">
        <v>7296</v>
      </c>
      <c r="H4697" s="929">
        <v>0</v>
      </c>
      <c r="I4697" s="929">
        <v>7296</v>
      </c>
      <c r="J4697" s="689">
        <f t="shared" si="74"/>
        <v>0</v>
      </c>
    </row>
    <row r="4698" spans="1:10" ht="12.75" customHeight="1" x14ac:dyDescent="0.2">
      <c r="A4698" s="681" t="s">
        <v>2370</v>
      </c>
      <c r="B4698" s="693" t="s">
        <v>7249</v>
      </c>
      <c r="C4698" s="672" t="s">
        <v>894</v>
      </c>
      <c r="D4698" s="673">
        <v>41325</v>
      </c>
      <c r="E4698" s="674">
        <v>3</v>
      </c>
      <c r="F4698" s="675">
        <v>0.33</v>
      </c>
      <c r="G4698" s="676">
        <v>8062</v>
      </c>
      <c r="H4698" s="929">
        <v>0</v>
      </c>
      <c r="I4698" s="929">
        <v>8062</v>
      </c>
      <c r="J4698" s="689">
        <f t="shared" si="74"/>
        <v>0</v>
      </c>
    </row>
    <row r="4699" spans="1:10" ht="12.75" customHeight="1" x14ac:dyDescent="0.2">
      <c r="A4699" s="681" t="s">
        <v>2370</v>
      </c>
      <c r="B4699" s="693" t="s">
        <v>7250</v>
      </c>
      <c r="C4699" s="672" t="s">
        <v>894</v>
      </c>
      <c r="D4699" s="673">
        <v>41325</v>
      </c>
      <c r="E4699" s="674">
        <v>3</v>
      </c>
      <c r="F4699" s="675">
        <v>0.33</v>
      </c>
      <c r="G4699" s="676">
        <v>8468</v>
      </c>
      <c r="H4699" s="929">
        <v>0</v>
      </c>
      <c r="I4699" s="929">
        <v>8468</v>
      </c>
      <c r="J4699" s="689">
        <f t="shared" si="74"/>
        <v>0</v>
      </c>
    </row>
    <row r="4700" spans="1:10" ht="12.75" customHeight="1" x14ac:dyDescent="0.2">
      <c r="A4700" s="681" t="s">
        <v>2370</v>
      </c>
      <c r="B4700" s="693" t="s">
        <v>7251</v>
      </c>
      <c r="C4700" s="672" t="s">
        <v>894</v>
      </c>
      <c r="D4700" s="673">
        <v>41325</v>
      </c>
      <c r="E4700" s="674">
        <v>3</v>
      </c>
      <c r="F4700" s="675">
        <v>0.33</v>
      </c>
      <c r="G4700" s="676">
        <v>8468</v>
      </c>
      <c r="H4700" s="929">
        <v>0</v>
      </c>
      <c r="I4700" s="929">
        <v>8468</v>
      </c>
      <c r="J4700" s="689">
        <f t="shared" si="74"/>
        <v>0</v>
      </c>
    </row>
    <row r="4701" spans="1:10" ht="12.75" customHeight="1" x14ac:dyDescent="0.2">
      <c r="A4701" s="681" t="s">
        <v>2370</v>
      </c>
      <c r="B4701" s="693" t="s">
        <v>7252</v>
      </c>
      <c r="C4701" s="672" t="s">
        <v>894</v>
      </c>
      <c r="D4701" s="673">
        <v>41325</v>
      </c>
      <c r="E4701" s="674">
        <v>3</v>
      </c>
      <c r="F4701" s="675">
        <v>0.33</v>
      </c>
      <c r="G4701" s="676">
        <v>8468</v>
      </c>
      <c r="H4701" s="929">
        <v>0</v>
      </c>
      <c r="I4701" s="929">
        <v>8468</v>
      </c>
      <c r="J4701" s="689">
        <f t="shared" si="74"/>
        <v>0</v>
      </c>
    </row>
    <row r="4702" spans="1:10" ht="12.75" customHeight="1" x14ac:dyDescent="0.2">
      <c r="A4702" s="681" t="s">
        <v>2370</v>
      </c>
      <c r="B4702" s="693" t="s">
        <v>7253</v>
      </c>
      <c r="C4702" s="672" t="s">
        <v>901</v>
      </c>
      <c r="D4702" s="673">
        <v>41325</v>
      </c>
      <c r="E4702" s="674">
        <v>3</v>
      </c>
      <c r="F4702" s="675">
        <v>0.33</v>
      </c>
      <c r="G4702" s="676">
        <v>8699</v>
      </c>
      <c r="H4702" s="929">
        <v>0</v>
      </c>
      <c r="I4702" s="929">
        <v>8699</v>
      </c>
      <c r="J4702" s="689">
        <f t="shared" si="74"/>
        <v>0</v>
      </c>
    </row>
    <row r="4703" spans="1:10" ht="12.75" customHeight="1" x14ac:dyDescent="0.2">
      <c r="A4703" s="681" t="s">
        <v>2370</v>
      </c>
      <c r="B4703" s="693" t="s">
        <v>7254</v>
      </c>
      <c r="C4703" s="672" t="s">
        <v>894</v>
      </c>
      <c r="D4703" s="673">
        <v>41325</v>
      </c>
      <c r="E4703" s="674">
        <v>3</v>
      </c>
      <c r="F4703" s="675">
        <v>0.33</v>
      </c>
      <c r="G4703" s="676">
        <v>8912</v>
      </c>
      <c r="H4703" s="929">
        <v>0</v>
      </c>
      <c r="I4703" s="929">
        <v>8912</v>
      </c>
      <c r="J4703" s="689">
        <f t="shared" si="74"/>
        <v>0</v>
      </c>
    </row>
    <row r="4704" spans="1:10" ht="12.75" customHeight="1" x14ac:dyDescent="0.2">
      <c r="A4704" s="681" t="s">
        <v>2370</v>
      </c>
      <c r="B4704" s="693" t="s">
        <v>7255</v>
      </c>
      <c r="C4704" s="672" t="s">
        <v>889</v>
      </c>
      <c r="D4704" s="673">
        <v>41325</v>
      </c>
      <c r="E4704" s="674">
        <v>3</v>
      </c>
      <c r="F4704" s="675">
        <v>0.33</v>
      </c>
      <c r="G4704" s="676">
        <v>480</v>
      </c>
      <c r="H4704" s="929">
        <v>0</v>
      </c>
      <c r="I4704" s="929">
        <v>480</v>
      </c>
      <c r="J4704" s="689">
        <f t="shared" si="74"/>
        <v>0</v>
      </c>
    </row>
    <row r="4705" spans="1:10" ht="12.75" customHeight="1" x14ac:dyDescent="0.2">
      <c r="A4705" s="681" t="s">
        <v>2370</v>
      </c>
      <c r="B4705" s="693" t="s">
        <v>7256</v>
      </c>
      <c r="C4705" s="672" t="s">
        <v>889</v>
      </c>
      <c r="D4705" s="673">
        <v>41325</v>
      </c>
      <c r="E4705" s="674">
        <v>3</v>
      </c>
      <c r="F4705" s="675">
        <v>0.33</v>
      </c>
      <c r="G4705" s="676">
        <v>480</v>
      </c>
      <c r="H4705" s="929">
        <v>0</v>
      </c>
      <c r="I4705" s="929">
        <v>480</v>
      </c>
      <c r="J4705" s="689">
        <f t="shared" si="74"/>
        <v>0</v>
      </c>
    </row>
    <row r="4706" spans="1:10" ht="12.75" customHeight="1" x14ac:dyDescent="0.2">
      <c r="A4706" s="681" t="s">
        <v>2370</v>
      </c>
      <c r="B4706" s="693" t="s">
        <v>7257</v>
      </c>
      <c r="C4706" s="672" t="s">
        <v>889</v>
      </c>
      <c r="D4706" s="673">
        <v>41325</v>
      </c>
      <c r="E4706" s="674">
        <v>3</v>
      </c>
      <c r="F4706" s="675">
        <v>0.33</v>
      </c>
      <c r="G4706" s="676">
        <v>480</v>
      </c>
      <c r="H4706" s="929">
        <v>0</v>
      </c>
      <c r="I4706" s="929">
        <v>480</v>
      </c>
      <c r="J4706" s="689">
        <f t="shared" si="74"/>
        <v>0</v>
      </c>
    </row>
    <row r="4707" spans="1:10" ht="12.75" customHeight="1" x14ac:dyDescent="0.2">
      <c r="A4707" s="681" t="s">
        <v>2370</v>
      </c>
      <c r="B4707" s="693" t="s">
        <v>7258</v>
      </c>
      <c r="C4707" s="672" t="s">
        <v>889</v>
      </c>
      <c r="D4707" s="673">
        <v>41325</v>
      </c>
      <c r="E4707" s="674">
        <v>3</v>
      </c>
      <c r="F4707" s="675">
        <v>0.33</v>
      </c>
      <c r="G4707" s="676">
        <v>480</v>
      </c>
      <c r="H4707" s="929">
        <v>0</v>
      </c>
      <c r="I4707" s="929">
        <v>480</v>
      </c>
      <c r="J4707" s="689">
        <f t="shared" si="74"/>
        <v>0</v>
      </c>
    </row>
    <row r="4708" spans="1:10" ht="12.75" customHeight="1" x14ac:dyDescent="0.2">
      <c r="A4708" s="681" t="s">
        <v>2370</v>
      </c>
      <c r="B4708" s="693" t="s">
        <v>7259</v>
      </c>
      <c r="C4708" s="672" t="s">
        <v>889</v>
      </c>
      <c r="D4708" s="673">
        <v>41325</v>
      </c>
      <c r="E4708" s="674">
        <v>3</v>
      </c>
      <c r="F4708" s="675">
        <v>0.33</v>
      </c>
      <c r="G4708" s="676">
        <v>480</v>
      </c>
      <c r="H4708" s="929">
        <v>0</v>
      </c>
      <c r="I4708" s="929">
        <v>480</v>
      </c>
      <c r="J4708" s="689">
        <f t="shared" si="74"/>
        <v>0</v>
      </c>
    </row>
    <row r="4709" spans="1:10" ht="12.75" customHeight="1" x14ac:dyDescent="0.2">
      <c r="A4709" s="681" t="s">
        <v>2370</v>
      </c>
      <c r="B4709" s="693" t="s">
        <v>7260</v>
      </c>
      <c r="C4709" s="672" t="s">
        <v>889</v>
      </c>
      <c r="D4709" s="673">
        <v>41325</v>
      </c>
      <c r="E4709" s="674">
        <v>3</v>
      </c>
      <c r="F4709" s="675">
        <v>0.33</v>
      </c>
      <c r="G4709" s="676">
        <v>480</v>
      </c>
      <c r="H4709" s="929">
        <v>0</v>
      </c>
      <c r="I4709" s="929">
        <v>480</v>
      </c>
      <c r="J4709" s="689">
        <f t="shared" si="74"/>
        <v>0</v>
      </c>
    </row>
    <row r="4710" spans="1:10" ht="12.75" customHeight="1" x14ac:dyDescent="0.2">
      <c r="A4710" s="681" t="s">
        <v>2370</v>
      </c>
      <c r="B4710" s="693" t="s">
        <v>7261</v>
      </c>
      <c r="C4710" s="672" t="s">
        <v>889</v>
      </c>
      <c r="D4710" s="673">
        <v>41325</v>
      </c>
      <c r="E4710" s="674">
        <v>3</v>
      </c>
      <c r="F4710" s="675">
        <v>0.33</v>
      </c>
      <c r="G4710" s="676">
        <v>480</v>
      </c>
      <c r="H4710" s="929">
        <v>0</v>
      </c>
      <c r="I4710" s="929">
        <v>480</v>
      </c>
      <c r="J4710" s="689">
        <f t="shared" si="74"/>
        <v>0</v>
      </c>
    </row>
    <row r="4711" spans="1:10" ht="12.75" customHeight="1" x14ac:dyDescent="0.2">
      <c r="A4711" s="681" t="s">
        <v>2370</v>
      </c>
      <c r="B4711" s="693" t="s">
        <v>7262</v>
      </c>
      <c r="C4711" s="672" t="s">
        <v>889</v>
      </c>
      <c r="D4711" s="673">
        <v>41325</v>
      </c>
      <c r="E4711" s="674">
        <v>3</v>
      </c>
      <c r="F4711" s="675">
        <v>0.33</v>
      </c>
      <c r="G4711" s="676">
        <v>480</v>
      </c>
      <c r="H4711" s="929">
        <v>0</v>
      </c>
      <c r="I4711" s="929">
        <v>480</v>
      </c>
      <c r="J4711" s="689">
        <f t="shared" si="74"/>
        <v>0</v>
      </c>
    </row>
    <row r="4712" spans="1:10" ht="12.75" customHeight="1" x14ac:dyDescent="0.2">
      <c r="A4712" s="681" t="s">
        <v>2370</v>
      </c>
      <c r="B4712" s="693" t="s">
        <v>7263</v>
      </c>
      <c r="C4712" s="672" t="s">
        <v>889</v>
      </c>
      <c r="D4712" s="673">
        <v>41325</v>
      </c>
      <c r="E4712" s="674">
        <v>3</v>
      </c>
      <c r="F4712" s="675">
        <v>0.33</v>
      </c>
      <c r="G4712" s="676">
        <v>480</v>
      </c>
      <c r="H4712" s="929">
        <v>0</v>
      </c>
      <c r="I4712" s="929">
        <v>480</v>
      </c>
      <c r="J4712" s="689">
        <f t="shared" si="74"/>
        <v>0</v>
      </c>
    </row>
    <row r="4713" spans="1:10" ht="12.75" customHeight="1" x14ac:dyDescent="0.2">
      <c r="A4713" s="681" t="s">
        <v>2370</v>
      </c>
      <c r="B4713" s="693" t="s">
        <v>7264</v>
      </c>
      <c r="C4713" s="672" t="s">
        <v>889</v>
      </c>
      <c r="D4713" s="673">
        <v>41325</v>
      </c>
      <c r="E4713" s="674">
        <v>3</v>
      </c>
      <c r="F4713" s="675">
        <v>0.33</v>
      </c>
      <c r="G4713" s="676">
        <v>480</v>
      </c>
      <c r="H4713" s="929">
        <v>0</v>
      </c>
      <c r="I4713" s="929">
        <v>480</v>
      </c>
      <c r="J4713" s="689">
        <f t="shared" si="74"/>
        <v>0</v>
      </c>
    </row>
    <row r="4714" spans="1:10" ht="12.75" customHeight="1" x14ac:dyDescent="0.2">
      <c r="A4714" s="681" t="s">
        <v>2370</v>
      </c>
      <c r="B4714" s="693" t="s">
        <v>7265</v>
      </c>
      <c r="C4714" s="672" t="s">
        <v>889</v>
      </c>
      <c r="D4714" s="673">
        <v>41325</v>
      </c>
      <c r="E4714" s="674">
        <v>3</v>
      </c>
      <c r="F4714" s="675">
        <v>0.33</v>
      </c>
      <c r="G4714" s="676">
        <v>480</v>
      </c>
      <c r="H4714" s="929">
        <v>0</v>
      </c>
      <c r="I4714" s="929">
        <v>480</v>
      </c>
      <c r="J4714" s="689">
        <f t="shared" si="74"/>
        <v>0</v>
      </c>
    </row>
    <row r="4715" spans="1:10" ht="12.75" customHeight="1" x14ac:dyDescent="0.2">
      <c r="A4715" s="681" t="s">
        <v>2370</v>
      </c>
      <c r="B4715" s="693" t="s">
        <v>7266</v>
      </c>
      <c r="C4715" s="672" t="s">
        <v>889</v>
      </c>
      <c r="D4715" s="673">
        <v>41325</v>
      </c>
      <c r="E4715" s="674">
        <v>3</v>
      </c>
      <c r="F4715" s="675">
        <v>0.33</v>
      </c>
      <c r="G4715" s="676">
        <v>480</v>
      </c>
      <c r="H4715" s="929">
        <v>0</v>
      </c>
      <c r="I4715" s="929">
        <v>480</v>
      </c>
      <c r="J4715" s="689">
        <f t="shared" si="74"/>
        <v>0</v>
      </c>
    </row>
    <row r="4716" spans="1:10" ht="12.75" customHeight="1" x14ac:dyDescent="0.2">
      <c r="A4716" s="681" t="s">
        <v>2370</v>
      </c>
      <c r="B4716" s="693" t="s">
        <v>7267</v>
      </c>
      <c r="C4716" s="672" t="s">
        <v>889</v>
      </c>
      <c r="D4716" s="673">
        <v>41325</v>
      </c>
      <c r="E4716" s="674">
        <v>3</v>
      </c>
      <c r="F4716" s="675">
        <v>0.33</v>
      </c>
      <c r="G4716" s="676">
        <v>480</v>
      </c>
      <c r="H4716" s="929">
        <v>0</v>
      </c>
      <c r="I4716" s="929">
        <v>480</v>
      </c>
      <c r="J4716" s="689">
        <f t="shared" si="74"/>
        <v>0</v>
      </c>
    </row>
    <row r="4717" spans="1:10" ht="12.75" customHeight="1" x14ac:dyDescent="0.2">
      <c r="A4717" s="681" t="s">
        <v>2370</v>
      </c>
      <c r="B4717" s="693" t="s">
        <v>7268</v>
      </c>
      <c r="C4717" s="672" t="s">
        <v>889</v>
      </c>
      <c r="D4717" s="673">
        <v>41325</v>
      </c>
      <c r="E4717" s="674">
        <v>3</v>
      </c>
      <c r="F4717" s="675">
        <v>0.33</v>
      </c>
      <c r="G4717" s="676">
        <v>480</v>
      </c>
      <c r="H4717" s="929">
        <v>0</v>
      </c>
      <c r="I4717" s="929">
        <v>480</v>
      </c>
      <c r="J4717" s="689">
        <f t="shared" si="74"/>
        <v>0</v>
      </c>
    </row>
    <row r="4718" spans="1:10" ht="12.75" customHeight="1" x14ac:dyDescent="0.2">
      <c r="A4718" s="681" t="s">
        <v>2370</v>
      </c>
      <c r="B4718" s="693" t="s">
        <v>7269</v>
      </c>
      <c r="C4718" s="672" t="s">
        <v>889</v>
      </c>
      <c r="D4718" s="673">
        <v>41325</v>
      </c>
      <c r="E4718" s="674">
        <v>3</v>
      </c>
      <c r="F4718" s="675">
        <v>0.33</v>
      </c>
      <c r="G4718" s="676">
        <v>480.08</v>
      </c>
      <c r="H4718" s="929">
        <v>0</v>
      </c>
      <c r="I4718" s="929">
        <v>480.07999999999993</v>
      </c>
      <c r="J4718" s="689">
        <f t="shared" si="74"/>
        <v>0</v>
      </c>
    </row>
    <row r="4719" spans="1:10" ht="12.75" customHeight="1" x14ac:dyDescent="0.2">
      <c r="A4719" s="681" t="s">
        <v>2370</v>
      </c>
      <c r="B4719" s="693" t="s">
        <v>7270</v>
      </c>
      <c r="C4719" s="672" t="s">
        <v>897</v>
      </c>
      <c r="D4719" s="673">
        <v>41325</v>
      </c>
      <c r="E4719" s="674">
        <v>3</v>
      </c>
      <c r="F4719" s="675">
        <v>0.33</v>
      </c>
      <c r="G4719" s="676">
        <v>329</v>
      </c>
      <c r="H4719" s="929">
        <v>0</v>
      </c>
      <c r="I4719" s="929">
        <v>329</v>
      </c>
      <c r="J4719" s="689">
        <f t="shared" si="74"/>
        <v>0</v>
      </c>
    </row>
    <row r="4720" spans="1:10" ht="12.75" customHeight="1" x14ac:dyDescent="0.2">
      <c r="A4720" s="681" t="s">
        <v>2370</v>
      </c>
      <c r="B4720" s="693" t="s">
        <v>7271</v>
      </c>
      <c r="C4720" s="672" t="s">
        <v>736</v>
      </c>
      <c r="D4720" s="673">
        <v>41325</v>
      </c>
      <c r="E4720" s="674">
        <v>3</v>
      </c>
      <c r="F4720" s="675">
        <v>0.33</v>
      </c>
      <c r="G4720" s="676">
        <v>329</v>
      </c>
      <c r="H4720" s="929">
        <v>0</v>
      </c>
      <c r="I4720" s="929">
        <v>329</v>
      </c>
      <c r="J4720" s="689">
        <f t="shared" si="74"/>
        <v>0</v>
      </c>
    </row>
    <row r="4721" spans="1:10" ht="12.75" customHeight="1" x14ac:dyDescent="0.2">
      <c r="A4721" s="681" t="s">
        <v>2370</v>
      </c>
      <c r="B4721" s="693" t="s">
        <v>7272</v>
      </c>
      <c r="C4721" s="672" t="s">
        <v>736</v>
      </c>
      <c r="D4721" s="673">
        <v>41325</v>
      </c>
      <c r="E4721" s="674">
        <v>3</v>
      </c>
      <c r="F4721" s="675">
        <v>0.33</v>
      </c>
      <c r="G4721" s="676">
        <v>329</v>
      </c>
      <c r="H4721" s="929">
        <v>0</v>
      </c>
      <c r="I4721" s="929">
        <v>329</v>
      </c>
      <c r="J4721" s="689">
        <f t="shared" si="74"/>
        <v>0</v>
      </c>
    </row>
    <row r="4722" spans="1:10" ht="12.75" customHeight="1" x14ac:dyDescent="0.2">
      <c r="A4722" s="681" t="s">
        <v>2370</v>
      </c>
      <c r="B4722" s="693" t="s">
        <v>7273</v>
      </c>
      <c r="C4722" s="672" t="s">
        <v>908</v>
      </c>
      <c r="D4722" s="673">
        <v>41325</v>
      </c>
      <c r="E4722" s="674">
        <v>3</v>
      </c>
      <c r="F4722" s="675">
        <v>0.33</v>
      </c>
      <c r="G4722" s="676">
        <v>10440</v>
      </c>
      <c r="H4722" s="929">
        <v>0</v>
      </c>
      <c r="I4722" s="929">
        <v>10440</v>
      </c>
      <c r="J4722" s="689">
        <f t="shared" si="74"/>
        <v>0</v>
      </c>
    </row>
    <row r="4723" spans="1:10" ht="12.75" customHeight="1" x14ac:dyDescent="0.2">
      <c r="A4723" s="681" t="s">
        <v>2370</v>
      </c>
      <c r="B4723" s="693" t="s">
        <v>7274</v>
      </c>
      <c r="C4723" s="672" t="s">
        <v>909</v>
      </c>
      <c r="D4723" s="673">
        <v>41325</v>
      </c>
      <c r="E4723" s="674">
        <v>3</v>
      </c>
      <c r="F4723" s="675">
        <v>0.33</v>
      </c>
      <c r="G4723" s="676">
        <v>10440</v>
      </c>
      <c r="H4723" s="929">
        <v>0</v>
      </c>
      <c r="I4723" s="929">
        <v>10440</v>
      </c>
      <c r="J4723" s="689">
        <f t="shared" si="74"/>
        <v>0</v>
      </c>
    </row>
    <row r="4724" spans="1:10" ht="12.75" customHeight="1" x14ac:dyDescent="0.2">
      <c r="A4724" s="681" t="s">
        <v>2370</v>
      </c>
      <c r="B4724" s="693" t="s">
        <v>7275</v>
      </c>
      <c r="C4724" s="672" t="s">
        <v>909</v>
      </c>
      <c r="D4724" s="673">
        <v>41325</v>
      </c>
      <c r="E4724" s="674">
        <v>3</v>
      </c>
      <c r="F4724" s="675">
        <v>0.33</v>
      </c>
      <c r="G4724" s="676">
        <v>10440</v>
      </c>
      <c r="H4724" s="929">
        <v>0</v>
      </c>
      <c r="I4724" s="929">
        <v>10440</v>
      </c>
      <c r="J4724" s="689">
        <f t="shared" si="74"/>
        <v>0</v>
      </c>
    </row>
    <row r="4725" spans="1:10" ht="12.75" customHeight="1" x14ac:dyDescent="0.2">
      <c r="A4725" s="681" t="s">
        <v>2370</v>
      </c>
      <c r="B4725" s="693" t="s">
        <v>7276</v>
      </c>
      <c r="C4725" s="672" t="s">
        <v>909</v>
      </c>
      <c r="D4725" s="673">
        <v>41325</v>
      </c>
      <c r="E4725" s="674">
        <v>3</v>
      </c>
      <c r="F4725" s="675">
        <v>0.33</v>
      </c>
      <c r="G4725" s="676">
        <v>10440</v>
      </c>
      <c r="H4725" s="929">
        <v>0</v>
      </c>
      <c r="I4725" s="929">
        <v>10440</v>
      </c>
      <c r="J4725" s="689">
        <f t="shared" si="74"/>
        <v>0</v>
      </c>
    </row>
    <row r="4726" spans="1:10" ht="12.75" customHeight="1" x14ac:dyDescent="0.2">
      <c r="A4726" s="681" t="s">
        <v>2370</v>
      </c>
      <c r="B4726" s="693" t="s">
        <v>7277</v>
      </c>
      <c r="C4726" s="672" t="s">
        <v>889</v>
      </c>
      <c r="D4726" s="673">
        <v>41325</v>
      </c>
      <c r="E4726" s="674">
        <v>3</v>
      </c>
      <c r="F4726" s="675">
        <v>0.33</v>
      </c>
      <c r="G4726" s="676">
        <v>547</v>
      </c>
      <c r="H4726" s="929">
        <v>0</v>
      </c>
      <c r="I4726" s="929">
        <v>547</v>
      </c>
      <c r="J4726" s="689">
        <f t="shared" si="74"/>
        <v>0</v>
      </c>
    </row>
    <row r="4727" spans="1:10" ht="12.75" customHeight="1" x14ac:dyDescent="0.2">
      <c r="A4727" s="681"/>
      <c r="B4727" s="693"/>
      <c r="C4727" s="672"/>
      <c r="D4727" s="673"/>
      <c r="E4727" s="674"/>
      <c r="F4727" s="675"/>
      <c r="G4727" s="676"/>
      <c r="H4727" s="929"/>
      <c r="I4727" s="929"/>
      <c r="J4727" s="689"/>
    </row>
    <row r="4728" spans="1:10" ht="12.75" customHeight="1" x14ac:dyDescent="0.2">
      <c r="A4728" s="681" t="s">
        <v>2371</v>
      </c>
      <c r="B4728" s="693" t="s">
        <v>7278</v>
      </c>
      <c r="C4728" s="672" t="s">
        <v>974</v>
      </c>
      <c r="D4728" s="673">
        <v>40959</v>
      </c>
      <c r="E4728" s="674">
        <v>3</v>
      </c>
      <c r="F4728" s="675">
        <v>0.33</v>
      </c>
      <c r="G4728" s="676">
        <v>4826</v>
      </c>
      <c r="H4728" s="929">
        <v>0</v>
      </c>
      <c r="I4728" s="929">
        <v>4826</v>
      </c>
      <c r="J4728" s="689">
        <f t="shared" si="74"/>
        <v>0</v>
      </c>
    </row>
    <row r="4729" spans="1:10" ht="12.75" customHeight="1" x14ac:dyDescent="0.2">
      <c r="A4729" s="681" t="s">
        <v>2370</v>
      </c>
      <c r="B4729" s="693" t="s">
        <v>7279</v>
      </c>
      <c r="C4729" s="672" t="s">
        <v>892</v>
      </c>
      <c r="D4729" s="673">
        <v>41325</v>
      </c>
      <c r="E4729" s="674">
        <v>3</v>
      </c>
      <c r="F4729" s="675">
        <v>0.33</v>
      </c>
      <c r="G4729" s="676">
        <v>999</v>
      </c>
      <c r="H4729" s="929">
        <v>0</v>
      </c>
      <c r="I4729" s="929">
        <v>999</v>
      </c>
      <c r="J4729" s="689">
        <f t="shared" si="74"/>
        <v>0</v>
      </c>
    </row>
    <row r="4730" spans="1:10" ht="12.75" customHeight="1" x14ac:dyDescent="0.2">
      <c r="A4730" s="681" t="s">
        <v>2370</v>
      </c>
      <c r="B4730" s="693" t="s">
        <v>7280</v>
      </c>
      <c r="C4730" s="672" t="s">
        <v>897</v>
      </c>
      <c r="D4730" s="673">
        <v>41325</v>
      </c>
      <c r="E4730" s="674">
        <v>3</v>
      </c>
      <c r="F4730" s="675">
        <v>0.33</v>
      </c>
      <c r="G4730" s="676">
        <v>406</v>
      </c>
      <c r="H4730" s="929">
        <v>0</v>
      </c>
      <c r="I4730" s="929">
        <v>406</v>
      </c>
      <c r="J4730" s="689">
        <f t="shared" si="74"/>
        <v>0</v>
      </c>
    </row>
    <row r="4731" spans="1:10" ht="12.75" customHeight="1" x14ac:dyDescent="0.2">
      <c r="A4731" s="681" t="s">
        <v>2370</v>
      </c>
      <c r="B4731" s="693" t="s">
        <v>7281</v>
      </c>
      <c r="C4731" s="672" t="s">
        <v>905</v>
      </c>
      <c r="D4731" s="673">
        <v>41325</v>
      </c>
      <c r="E4731" s="674">
        <v>3</v>
      </c>
      <c r="F4731" s="675">
        <v>0.33</v>
      </c>
      <c r="G4731" s="676">
        <v>1160</v>
      </c>
      <c r="H4731" s="929">
        <v>0</v>
      </c>
      <c r="I4731" s="929">
        <v>1160</v>
      </c>
      <c r="J4731" s="689">
        <f t="shared" si="74"/>
        <v>0</v>
      </c>
    </row>
    <row r="4732" spans="1:10" ht="12.75" customHeight="1" x14ac:dyDescent="0.2">
      <c r="A4732" s="681" t="s">
        <v>2370</v>
      </c>
      <c r="B4732" s="693" t="s">
        <v>7282</v>
      </c>
      <c r="C4732" s="672" t="s">
        <v>898</v>
      </c>
      <c r="D4732" s="673">
        <v>41325</v>
      </c>
      <c r="E4732" s="674">
        <v>3</v>
      </c>
      <c r="F4732" s="675">
        <v>0.33</v>
      </c>
      <c r="G4732" s="676">
        <v>1200</v>
      </c>
      <c r="H4732" s="929">
        <v>0</v>
      </c>
      <c r="I4732" s="929">
        <v>1200</v>
      </c>
      <c r="J4732" s="689">
        <f t="shared" si="74"/>
        <v>0</v>
      </c>
    </row>
    <row r="4733" spans="1:10" ht="12.75" customHeight="1" x14ac:dyDescent="0.2">
      <c r="A4733" s="681" t="s">
        <v>2370</v>
      </c>
      <c r="B4733" s="693" t="s">
        <v>7283</v>
      </c>
      <c r="C4733" s="672" t="s">
        <v>892</v>
      </c>
      <c r="D4733" s="673">
        <v>41325</v>
      </c>
      <c r="E4733" s="674">
        <v>3</v>
      </c>
      <c r="F4733" s="675">
        <v>0.33</v>
      </c>
      <c r="G4733" s="676">
        <v>1554.4</v>
      </c>
      <c r="H4733" s="929">
        <v>0</v>
      </c>
      <c r="I4733" s="929">
        <v>1554.4</v>
      </c>
      <c r="J4733" s="689">
        <f t="shared" si="74"/>
        <v>0</v>
      </c>
    </row>
    <row r="4734" spans="1:10" ht="12.75" customHeight="1" x14ac:dyDescent="0.2">
      <c r="A4734" s="681" t="s">
        <v>2370</v>
      </c>
      <c r="B4734" s="693" t="s">
        <v>7284</v>
      </c>
      <c r="C4734" s="672" t="s">
        <v>902</v>
      </c>
      <c r="D4734" s="673">
        <v>41325</v>
      </c>
      <c r="E4734" s="674">
        <v>3</v>
      </c>
      <c r="F4734" s="675">
        <v>0.33</v>
      </c>
      <c r="G4734" s="676">
        <v>1392</v>
      </c>
      <c r="H4734" s="929">
        <v>0</v>
      </c>
      <c r="I4734" s="929">
        <v>1392</v>
      </c>
      <c r="J4734" s="689">
        <f t="shared" si="74"/>
        <v>0</v>
      </c>
    </row>
    <row r="4735" spans="1:10" ht="12.75" customHeight="1" x14ac:dyDescent="0.2">
      <c r="A4735" s="681" t="s">
        <v>2370</v>
      </c>
      <c r="B4735" s="693" t="s">
        <v>7285</v>
      </c>
      <c r="C4735" s="672" t="s">
        <v>892</v>
      </c>
      <c r="D4735" s="673">
        <v>41325</v>
      </c>
      <c r="E4735" s="674">
        <v>3</v>
      </c>
      <c r="F4735" s="675">
        <v>0.33</v>
      </c>
      <c r="G4735" s="676">
        <v>799</v>
      </c>
      <c r="H4735" s="929">
        <v>0</v>
      </c>
      <c r="I4735" s="929">
        <v>799.00000000000011</v>
      </c>
      <c r="J4735" s="689">
        <f t="shared" si="74"/>
        <v>0</v>
      </c>
    </row>
    <row r="4736" spans="1:10" ht="12.75" customHeight="1" x14ac:dyDescent="0.2">
      <c r="A4736" s="681" t="s">
        <v>2370</v>
      </c>
      <c r="B4736" s="693" t="s">
        <v>7286</v>
      </c>
      <c r="C4736" s="672" t="s">
        <v>905</v>
      </c>
      <c r="D4736" s="673">
        <v>41325</v>
      </c>
      <c r="E4736" s="674">
        <v>3</v>
      </c>
      <c r="F4736" s="675">
        <v>0.33</v>
      </c>
      <c r="G4736" s="676">
        <v>1044</v>
      </c>
      <c r="H4736" s="929">
        <v>0</v>
      </c>
      <c r="I4736" s="929">
        <v>1044</v>
      </c>
      <c r="J4736" s="689">
        <f t="shared" si="74"/>
        <v>0</v>
      </c>
    </row>
    <row r="4737" spans="1:10" ht="12.75" customHeight="1" x14ac:dyDescent="0.2">
      <c r="A4737" s="681" t="s">
        <v>2370</v>
      </c>
      <c r="B4737" s="693" t="s">
        <v>7287</v>
      </c>
      <c r="C4737" s="672" t="s">
        <v>892</v>
      </c>
      <c r="D4737" s="673">
        <v>41325</v>
      </c>
      <c r="E4737" s="674">
        <v>3</v>
      </c>
      <c r="F4737" s="675">
        <v>0.33</v>
      </c>
      <c r="G4737" s="676">
        <v>2262</v>
      </c>
      <c r="H4737" s="929">
        <v>0</v>
      </c>
      <c r="I4737" s="929">
        <v>2262</v>
      </c>
      <c r="J4737" s="689">
        <f t="shared" si="74"/>
        <v>0</v>
      </c>
    </row>
    <row r="4738" spans="1:10" ht="12.75" customHeight="1" x14ac:dyDescent="0.2">
      <c r="A4738" s="681" t="s">
        <v>2370</v>
      </c>
      <c r="B4738" s="693" t="s">
        <v>7288</v>
      </c>
      <c r="C4738" s="672" t="s">
        <v>892</v>
      </c>
      <c r="D4738" s="673">
        <v>41325</v>
      </c>
      <c r="E4738" s="674">
        <v>3</v>
      </c>
      <c r="F4738" s="675">
        <v>0.33</v>
      </c>
      <c r="G4738" s="676">
        <v>2262</v>
      </c>
      <c r="H4738" s="929">
        <v>0</v>
      </c>
      <c r="I4738" s="929">
        <v>2262</v>
      </c>
      <c r="J4738" s="689">
        <f t="shared" si="74"/>
        <v>0</v>
      </c>
    </row>
    <row r="4739" spans="1:10" ht="12.75" customHeight="1" x14ac:dyDescent="0.2">
      <c r="A4739" s="681" t="s">
        <v>2370</v>
      </c>
      <c r="B4739" s="693" t="s">
        <v>7289</v>
      </c>
      <c r="C4739" s="672" t="s">
        <v>892</v>
      </c>
      <c r="D4739" s="673">
        <v>41325</v>
      </c>
      <c r="E4739" s="674">
        <v>3</v>
      </c>
      <c r="F4739" s="675">
        <v>0.33</v>
      </c>
      <c r="G4739" s="676">
        <v>2262</v>
      </c>
      <c r="H4739" s="929">
        <v>0</v>
      </c>
      <c r="I4739" s="929">
        <v>2262</v>
      </c>
      <c r="J4739" s="689">
        <f t="shared" si="74"/>
        <v>0</v>
      </c>
    </row>
    <row r="4740" spans="1:10" ht="12.75" customHeight="1" x14ac:dyDescent="0.2">
      <c r="A4740" s="681" t="s">
        <v>2372</v>
      </c>
      <c r="B4740" s="693" t="s">
        <v>7290</v>
      </c>
      <c r="C4740" s="672" t="s">
        <v>1021</v>
      </c>
      <c r="D4740" s="673">
        <v>41325</v>
      </c>
      <c r="E4740" s="674">
        <v>3</v>
      </c>
      <c r="F4740" s="675">
        <v>0.33</v>
      </c>
      <c r="G4740" s="676">
        <v>33628</v>
      </c>
      <c r="H4740" s="929">
        <v>0</v>
      </c>
      <c r="I4740" s="929">
        <v>33628</v>
      </c>
      <c r="J4740" s="689">
        <f t="shared" si="74"/>
        <v>0</v>
      </c>
    </row>
    <row r="4741" spans="1:10" ht="12.75" customHeight="1" x14ac:dyDescent="0.2">
      <c r="A4741" s="681" t="s">
        <v>2370</v>
      </c>
      <c r="B4741" s="693" t="s">
        <v>7291</v>
      </c>
      <c r="C4741" s="672" t="s">
        <v>915</v>
      </c>
      <c r="D4741" s="673">
        <v>41325</v>
      </c>
      <c r="E4741" s="674">
        <v>3</v>
      </c>
      <c r="F4741" s="675">
        <v>0.33</v>
      </c>
      <c r="G4741" s="676">
        <v>1682</v>
      </c>
      <c r="H4741" s="929">
        <v>0</v>
      </c>
      <c r="I4741" s="929">
        <v>1682</v>
      </c>
      <c r="J4741" s="689">
        <f t="shared" si="74"/>
        <v>0</v>
      </c>
    </row>
    <row r="4742" spans="1:10" ht="12.75" customHeight="1" x14ac:dyDescent="0.2">
      <c r="A4742" s="681" t="s">
        <v>2370</v>
      </c>
      <c r="B4742" s="693" t="s">
        <v>7292</v>
      </c>
      <c r="C4742" s="672" t="s">
        <v>893</v>
      </c>
      <c r="D4742" s="673">
        <v>41325</v>
      </c>
      <c r="E4742" s="674">
        <v>3</v>
      </c>
      <c r="F4742" s="675">
        <v>0.33</v>
      </c>
      <c r="G4742" s="676">
        <v>2361</v>
      </c>
      <c r="H4742" s="929">
        <v>0</v>
      </c>
      <c r="I4742" s="929">
        <v>2361</v>
      </c>
      <c r="J4742" s="689">
        <f t="shared" si="74"/>
        <v>0</v>
      </c>
    </row>
    <row r="4743" spans="1:10" ht="12.75" customHeight="1" x14ac:dyDescent="0.2">
      <c r="A4743" s="681" t="s">
        <v>2370</v>
      </c>
      <c r="B4743" s="693" t="s">
        <v>7293</v>
      </c>
      <c r="C4743" s="672" t="s">
        <v>893</v>
      </c>
      <c r="D4743" s="673">
        <v>41325</v>
      </c>
      <c r="E4743" s="674">
        <v>3</v>
      </c>
      <c r="F4743" s="675">
        <v>0.33</v>
      </c>
      <c r="G4743" s="676">
        <v>1160</v>
      </c>
      <c r="H4743" s="929">
        <v>0</v>
      </c>
      <c r="I4743" s="929">
        <v>1160</v>
      </c>
      <c r="J4743" s="689">
        <f t="shared" ref="J4743:J4806" si="75">G4743-I4743</f>
        <v>0</v>
      </c>
    </row>
    <row r="4744" spans="1:10" ht="12.75" customHeight="1" x14ac:dyDescent="0.2">
      <c r="A4744" s="681" t="s">
        <v>2370</v>
      </c>
      <c r="B4744" s="693" t="s">
        <v>7294</v>
      </c>
      <c r="C4744" s="672" t="s">
        <v>889</v>
      </c>
      <c r="D4744" s="673">
        <v>41325</v>
      </c>
      <c r="E4744" s="674">
        <v>3</v>
      </c>
      <c r="F4744" s="675">
        <v>0.33</v>
      </c>
      <c r="G4744" s="676">
        <v>2645.22</v>
      </c>
      <c r="H4744" s="929">
        <v>0</v>
      </c>
      <c r="I4744" s="929">
        <v>2645.22</v>
      </c>
      <c r="J4744" s="689">
        <f t="shared" si="75"/>
        <v>0</v>
      </c>
    </row>
    <row r="4745" spans="1:10" ht="12.75" customHeight="1" x14ac:dyDescent="0.2">
      <c r="A4745" s="681" t="s">
        <v>2370</v>
      </c>
      <c r="B4745" s="693" t="s">
        <v>7295</v>
      </c>
      <c r="C4745" s="672" t="s">
        <v>889</v>
      </c>
      <c r="D4745" s="673">
        <v>41325</v>
      </c>
      <c r="E4745" s="674">
        <v>3</v>
      </c>
      <c r="F4745" s="675">
        <v>0.33</v>
      </c>
      <c r="G4745" s="676">
        <v>2645.22</v>
      </c>
      <c r="H4745" s="929">
        <v>0</v>
      </c>
      <c r="I4745" s="929">
        <v>2645.22</v>
      </c>
      <c r="J4745" s="689">
        <f t="shared" si="75"/>
        <v>0</v>
      </c>
    </row>
    <row r="4746" spans="1:10" ht="12.75" customHeight="1" x14ac:dyDescent="0.2">
      <c r="A4746" s="681" t="s">
        <v>2370</v>
      </c>
      <c r="B4746" s="693" t="s">
        <v>7296</v>
      </c>
      <c r="C4746" s="672" t="s">
        <v>889</v>
      </c>
      <c r="D4746" s="673">
        <v>41325</v>
      </c>
      <c r="E4746" s="674">
        <v>3</v>
      </c>
      <c r="F4746" s="675">
        <v>0.33</v>
      </c>
      <c r="G4746" s="676">
        <v>2645.22</v>
      </c>
      <c r="H4746" s="929">
        <v>0</v>
      </c>
      <c r="I4746" s="929">
        <v>2645.22</v>
      </c>
      <c r="J4746" s="689">
        <f t="shared" si="75"/>
        <v>0</v>
      </c>
    </row>
    <row r="4747" spans="1:10" ht="12.75" customHeight="1" x14ac:dyDescent="0.2">
      <c r="A4747" s="681" t="s">
        <v>2370</v>
      </c>
      <c r="B4747" s="693" t="s">
        <v>7297</v>
      </c>
      <c r="C4747" s="672" t="s">
        <v>889</v>
      </c>
      <c r="D4747" s="673">
        <v>41325</v>
      </c>
      <c r="E4747" s="674">
        <v>3</v>
      </c>
      <c r="F4747" s="675">
        <v>0.33</v>
      </c>
      <c r="G4747" s="676">
        <v>2645.22</v>
      </c>
      <c r="H4747" s="929">
        <v>0</v>
      </c>
      <c r="I4747" s="929">
        <v>2645.22</v>
      </c>
      <c r="J4747" s="689">
        <f t="shared" si="75"/>
        <v>0</v>
      </c>
    </row>
    <row r="4748" spans="1:10" ht="12.75" customHeight="1" x14ac:dyDescent="0.2">
      <c r="A4748" s="681" t="s">
        <v>2370</v>
      </c>
      <c r="B4748" s="693" t="s">
        <v>7298</v>
      </c>
      <c r="C4748" s="672" t="s">
        <v>893</v>
      </c>
      <c r="D4748" s="673">
        <v>41325</v>
      </c>
      <c r="E4748" s="674">
        <v>3</v>
      </c>
      <c r="F4748" s="675">
        <v>0.33</v>
      </c>
      <c r="G4748" s="676">
        <v>1508</v>
      </c>
      <c r="H4748" s="929">
        <v>0</v>
      </c>
      <c r="I4748" s="929">
        <v>1508</v>
      </c>
      <c r="J4748" s="689">
        <f t="shared" si="75"/>
        <v>0</v>
      </c>
    </row>
    <row r="4749" spans="1:10" ht="12.75" customHeight="1" x14ac:dyDescent="0.2">
      <c r="A4749" s="681" t="s">
        <v>2370</v>
      </c>
      <c r="B4749" s="693" t="s">
        <v>7299</v>
      </c>
      <c r="C4749" s="672" t="s">
        <v>893</v>
      </c>
      <c r="D4749" s="673">
        <v>41325</v>
      </c>
      <c r="E4749" s="674">
        <v>3</v>
      </c>
      <c r="F4749" s="675">
        <v>0.33</v>
      </c>
      <c r="G4749" s="676">
        <v>1508</v>
      </c>
      <c r="H4749" s="929">
        <v>0</v>
      </c>
      <c r="I4749" s="929">
        <v>1508</v>
      </c>
      <c r="J4749" s="689">
        <f t="shared" si="75"/>
        <v>0</v>
      </c>
    </row>
    <row r="4750" spans="1:10" ht="12.75" customHeight="1" x14ac:dyDescent="0.2">
      <c r="A4750" s="681" t="s">
        <v>2370</v>
      </c>
      <c r="B4750" s="693" t="s">
        <v>7300</v>
      </c>
      <c r="C4750" s="672" t="s">
        <v>893</v>
      </c>
      <c r="D4750" s="673">
        <v>41325</v>
      </c>
      <c r="E4750" s="674">
        <v>3</v>
      </c>
      <c r="F4750" s="675">
        <v>0.33</v>
      </c>
      <c r="G4750" s="676">
        <v>1508</v>
      </c>
      <c r="H4750" s="929">
        <v>0</v>
      </c>
      <c r="I4750" s="929">
        <v>1508</v>
      </c>
      <c r="J4750" s="689">
        <f t="shared" si="75"/>
        <v>0</v>
      </c>
    </row>
    <row r="4751" spans="1:10" ht="12.75" customHeight="1" x14ac:dyDescent="0.2">
      <c r="A4751" s="681" t="s">
        <v>2370</v>
      </c>
      <c r="B4751" s="693" t="s">
        <v>7301</v>
      </c>
      <c r="C4751" s="672" t="s">
        <v>893</v>
      </c>
      <c r="D4751" s="673">
        <v>41325</v>
      </c>
      <c r="E4751" s="674">
        <v>3</v>
      </c>
      <c r="F4751" s="675">
        <v>0.33</v>
      </c>
      <c r="G4751" s="676">
        <v>1508</v>
      </c>
      <c r="H4751" s="929">
        <v>0</v>
      </c>
      <c r="I4751" s="929">
        <v>1508</v>
      </c>
      <c r="J4751" s="689">
        <f t="shared" si="75"/>
        <v>0</v>
      </c>
    </row>
    <row r="4752" spans="1:10" ht="12.75" customHeight="1" x14ac:dyDescent="0.2">
      <c r="A4752" s="681" t="s">
        <v>2370</v>
      </c>
      <c r="B4752" s="693" t="s">
        <v>7302</v>
      </c>
      <c r="C4752" s="672" t="s">
        <v>893</v>
      </c>
      <c r="D4752" s="673">
        <v>41325</v>
      </c>
      <c r="E4752" s="674">
        <v>3</v>
      </c>
      <c r="F4752" s="675">
        <v>0.33</v>
      </c>
      <c r="G4752" s="676">
        <v>1508</v>
      </c>
      <c r="H4752" s="929">
        <v>0</v>
      </c>
      <c r="I4752" s="929">
        <v>1508</v>
      </c>
      <c r="J4752" s="689">
        <f t="shared" si="75"/>
        <v>0</v>
      </c>
    </row>
    <row r="4753" spans="1:10" ht="12.75" customHeight="1" x14ac:dyDescent="0.2">
      <c r="A4753" s="681" t="s">
        <v>2370</v>
      </c>
      <c r="B4753" s="693" t="s">
        <v>7303</v>
      </c>
      <c r="C4753" s="672" t="s">
        <v>893</v>
      </c>
      <c r="D4753" s="673">
        <v>41325</v>
      </c>
      <c r="E4753" s="674">
        <v>3</v>
      </c>
      <c r="F4753" s="675">
        <v>0.33</v>
      </c>
      <c r="G4753" s="676">
        <v>1508</v>
      </c>
      <c r="H4753" s="929">
        <v>0</v>
      </c>
      <c r="I4753" s="929">
        <v>1508</v>
      </c>
      <c r="J4753" s="689">
        <f t="shared" si="75"/>
        <v>0</v>
      </c>
    </row>
    <row r="4754" spans="1:10" ht="12.75" customHeight="1" x14ac:dyDescent="0.2">
      <c r="A4754" s="681" t="s">
        <v>2370</v>
      </c>
      <c r="B4754" s="693" t="s">
        <v>7304</v>
      </c>
      <c r="C4754" s="672" t="s">
        <v>893</v>
      </c>
      <c r="D4754" s="673">
        <v>41325</v>
      </c>
      <c r="E4754" s="674">
        <v>3</v>
      </c>
      <c r="F4754" s="675">
        <v>0.33</v>
      </c>
      <c r="G4754" s="676">
        <v>1508</v>
      </c>
      <c r="H4754" s="929">
        <v>0</v>
      </c>
      <c r="I4754" s="929">
        <v>1508</v>
      </c>
      <c r="J4754" s="689">
        <f t="shared" si="75"/>
        <v>0</v>
      </c>
    </row>
    <row r="4755" spans="1:10" ht="12.75" customHeight="1" x14ac:dyDescent="0.2">
      <c r="A4755" s="681" t="s">
        <v>2370</v>
      </c>
      <c r="B4755" s="693" t="s">
        <v>7305</v>
      </c>
      <c r="C4755" s="672" t="s">
        <v>893</v>
      </c>
      <c r="D4755" s="673">
        <v>41325</v>
      </c>
      <c r="E4755" s="674">
        <v>3</v>
      </c>
      <c r="F4755" s="675">
        <v>0.33</v>
      </c>
      <c r="G4755" s="676">
        <v>1508</v>
      </c>
      <c r="H4755" s="929">
        <v>0</v>
      </c>
      <c r="I4755" s="929">
        <v>1508</v>
      </c>
      <c r="J4755" s="689">
        <f t="shared" si="75"/>
        <v>0</v>
      </c>
    </row>
    <row r="4756" spans="1:10" ht="12.75" customHeight="1" x14ac:dyDescent="0.2">
      <c r="A4756" s="681" t="s">
        <v>2370</v>
      </c>
      <c r="B4756" s="693" t="s">
        <v>7306</v>
      </c>
      <c r="C4756" s="672" t="s">
        <v>893</v>
      </c>
      <c r="D4756" s="673">
        <v>41325</v>
      </c>
      <c r="E4756" s="674">
        <v>3</v>
      </c>
      <c r="F4756" s="675">
        <v>0.33</v>
      </c>
      <c r="G4756" s="676">
        <v>1508</v>
      </c>
      <c r="H4756" s="929">
        <v>0</v>
      </c>
      <c r="I4756" s="929">
        <v>1508</v>
      </c>
      <c r="J4756" s="689">
        <f t="shared" si="75"/>
        <v>0</v>
      </c>
    </row>
    <row r="4757" spans="1:10" ht="12.75" customHeight="1" x14ac:dyDescent="0.2">
      <c r="A4757" s="681" t="s">
        <v>2370</v>
      </c>
      <c r="B4757" s="693" t="s">
        <v>7307</v>
      </c>
      <c r="C4757" s="672" t="s">
        <v>893</v>
      </c>
      <c r="D4757" s="673">
        <v>41325</v>
      </c>
      <c r="E4757" s="674">
        <v>3</v>
      </c>
      <c r="F4757" s="675">
        <v>0.33</v>
      </c>
      <c r="G4757" s="676">
        <v>1508</v>
      </c>
      <c r="H4757" s="929">
        <v>0</v>
      </c>
      <c r="I4757" s="929">
        <v>1508</v>
      </c>
      <c r="J4757" s="689">
        <f t="shared" si="75"/>
        <v>0</v>
      </c>
    </row>
    <row r="4758" spans="1:10" ht="12.75" customHeight="1" x14ac:dyDescent="0.2">
      <c r="A4758" s="681" t="s">
        <v>2370</v>
      </c>
      <c r="B4758" s="693" t="s">
        <v>7308</v>
      </c>
      <c r="C4758" s="672" t="s">
        <v>893</v>
      </c>
      <c r="D4758" s="673">
        <v>41325</v>
      </c>
      <c r="E4758" s="674">
        <v>3</v>
      </c>
      <c r="F4758" s="675">
        <v>0.33</v>
      </c>
      <c r="G4758" s="676">
        <v>1508</v>
      </c>
      <c r="H4758" s="929">
        <v>0</v>
      </c>
      <c r="I4758" s="929">
        <v>1508</v>
      </c>
      <c r="J4758" s="689">
        <f t="shared" si="75"/>
        <v>0</v>
      </c>
    </row>
    <row r="4759" spans="1:10" ht="12.75" customHeight="1" x14ac:dyDescent="0.2">
      <c r="A4759" s="681" t="s">
        <v>2370</v>
      </c>
      <c r="B4759" s="693" t="s">
        <v>7309</v>
      </c>
      <c r="C4759" s="672" t="s">
        <v>893</v>
      </c>
      <c r="D4759" s="673">
        <v>41325</v>
      </c>
      <c r="E4759" s="674">
        <v>3</v>
      </c>
      <c r="F4759" s="675">
        <v>0.33</v>
      </c>
      <c r="G4759" s="676">
        <v>1508</v>
      </c>
      <c r="H4759" s="929">
        <v>0</v>
      </c>
      <c r="I4759" s="929">
        <v>1508</v>
      </c>
      <c r="J4759" s="689">
        <f t="shared" si="75"/>
        <v>0</v>
      </c>
    </row>
    <row r="4760" spans="1:10" ht="12.75" customHeight="1" x14ac:dyDescent="0.2">
      <c r="A4760" s="681" t="s">
        <v>2370</v>
      </c>
      <c r="B4760" s="693" t="s">
        <v>7310</v>
      </c>
      <c r="C4760" s="672" t="s">
        <v>893</v>
      </c>
      <c r="D4760" s="673">
        <v>41325</v>
      </c>
      <c r="E4760" s="674">
        <v>3</v>
      </c>
      <c r="F4760" s="675">
        <v>0.33</v>
      </c>
      <c r="G4760" s="676">
        <v>1508</v>
      </c>
      <c r="H4760" s="929">
        <v>0</v>
      </c>
      <c r="I4760" s="929">
        <v>1508</v>
      </c>
      <c r="J4760" s="689">
        <f t="shared" si="75"/>
        <v>0</v>
      </c>
    </row>
    <row r="4761" spans="1:10" ht="12.75" customHeight="1" x14ac:dyDescent="0.2">
      <c r="A4761" s="681" t="s">
        <v>2370</v>
      </c>
      <c r="B4761" s="693" t="s">
        <v>7311</v>
      </c>
      <c r="C4761" s="672" t="s">
        <v>893</v>
      </c>
      <c r="D4761" s="673">
        <v>41325</v>
      </c>
      <c r="E4761" s="674">
        <v>3</v>
      </c>
      <c r="F4761" s="675">
        <v>0.33</v>
      </c>
      <c r="G4761" s="676">
        <v>1740</v>
      </c>
      <c r="H4761" s="929">
        <v>0</v>
      </c>
      <c r="I4761" s="929">
        <v>1740</v>
      </c>
      <c r="J4761" s="689">
        <f t="shared" si="75"/>
        <v>0</v>
      </c>
    </row>
    <row r="4762" spans="1:10" ht="12.75" customHeight="1" x14ac:dyDescent="0.2">
      <c r="A4762" s="681" t="s">
        <v>2370</v>
      </c>
      <c r="B4762" s="693" t="s">
        <v>7312</v>
      </c>
      <c r="C4762" s="672" t="s">
        <v>893</v>
      </c>
      <c r="D4762" s="673">
        <v>41325</v>
      </c>
      <c r="E4762" s="674">
        <v>3</v>
      </c>
      <c r="F4762" s="675">
        <v>0.33</v>
      </c>
      <c r="G4762" s="676">
        <v>1740</v>
      </c>
      <c r="H4762" s="929">
        <v>0</v>
      </c>
      <c r="I4762" s="929">
        <v>1740</v>
      </c>
      <c r="J4762" s="689">
        <f t="shared" si="75"/>
        <v>0</v>
      </c>
    </row>
    <row r="4763" spans="1:10" ht="12.75" customHeight="1" x14ac:dyDescent="0.2">
      <c r="A4763" s="681" t="s">
        <v>2370</v>
      </c>
      <c r="B4763" s="693" t="s">
        <v>7313</v>
      </c>
      <c r="C4763" s="672" t="s">
        <v>893</v>
      </c>
      <c r="D4763" s="673">
        <v>41325</v>
      </c>
      <c r="E4763" s="674">
        <v>3</v>
      </c>
      <c r="F4763" s="675">
        <v>0.33</v>
      </c>
      <c r="G4763" s="676">
        <v>1740</v>
      </c>
      <c r="H4763" s="929">
        <v>0</v>
      </c>
      <c r="I4763" s="929">
        <v>1740</v>
      </c>
      <c r="J4763" s="689">
        <f t="shared" si="75"/>
        <v>0</v>
      </c>
    </row>
    <row r="4764" spans="1:10" ht="12.75" customHeight="1" x14ac:dyDescent="0.2">
      <c r="A4764" s="681" t="s">
        <v>2370</v>
      </c>
      <c r="B4764" s="693" t="s">
        <v>7314</v>
      </c>
      <c r="C4764" s="672" t="s">
        <v>893</v>
      </c>
      <c r="D4764" s="673">
        <v>41325</v>
      </c>
      <c r="E4764" s="674">
        <v>3</v>
      </c>
      <c r="F4764" s="675">
        <v>0.33</v>
      </c>
      <c r="G4764" s="676">
        <v>1740</v>
      </c>
      <c r="H4764" s="929">
        <v>0</v>
      </c>
      <c r="I4764" s="929">
        <v>1740</v>
      </c>
      <c r="J4764" s="689">
        <f t="shared" si="75"/>
        <v>0</v>
      </c>
    </row>
    <row r="4765" spans="1:10" ht="12.75" customHeight="1" x14ac:dyDescent="0.2">
      <c r="A4765" s="681" t="s">
        <v>2370</v>
      </c>
      <c r="B4765" s="693" t="s">
        <v>7315</v>
      </c>
      <c r="C4765" s="672" t="s">
        <v>893</v>
      </c>
      <c r="D4765" s="673">
        <v>41325</v>
      </c>
      <c r="E4765" s="674">
        <v>3</v>
      </c>
      <c r="F4765" s="675">
        <v>0.33</v>
      </c>
      <c r="G4765" s="676">
        <v>1740</v>
      </c>
      <c r="H4765" s="929">
        <v>0</v>
      </c>
      <c r="I4765" s="929">
        <v>1740</v>
      </c>
      <c r="J4765" s="689">
        <f t="shared" si="75"/>
        <v>0</v>
      </c>
    </row>
    <row r="4766" spans="1:10" ht="12.75" customHeight="1" x14ac:dyDescent="0.2">
      <c r="A4766" s="681" t="s">
        <v>2370</v>
      </c>
      <c r="B4766" s="693" t="s">
        <v>7316</v>
      </c>
      <c r="C4766" s="672" t="s">
        <v>892</v>
      </c>
      <c r="D4766" s="673">
        <v>41325</v>
      </c>
      <c r="E4766" s="674">
        <v>3</v>
      </c>
      <c r="F4766" s="675">
        <v>0.33</v>
      </c>
      <c r="G4766" s="676">
        <v>3828</v>
      </c>
      <c r="H4766" s="929">
        <v>0</v>
      </c>
      <c r="I4766" s="929">
        <v>3828</v>
      </c>
      <c r="J4766" s="689">
        <f t="shared" si="75"/>
        <v>0</v>
      </c>
    </row>
    <row r="4767" spans="1:10" ht="12.75" customHeight="1" x14ac:dyDescent="0.2">
      <c r="A4767" s="681" t="s">
        <v>2370</v>
      </c>
      <c r="B4767" s="693" t="s">
        <v>7317</v>
      </c>
      <c r="C4767" s="672" t="s">
        <v>892</v>
      </c>
      <c r="D4767" s="673">
        <v>41325</v>
      </c>
      <c r="E4767" s="674">
        <v>3</v>
      </c>
      <c r="F4767" s="675">
        <v>0.33</v>
      </c>
      <c r="G4767" s="676">
        <v>3828</v>
      </c>
      <c r="H4767" s="929">
        <v>0</v>
      </c>
      <c r="I4767" s="929">
        <v>3828</v>
      </c>
      <c r="J4767" s="689">
        <f t="shared" si="75"/>
        <v>0</v>
      </c>
    </row>
    <row r="4768" spans="1:10" ht="12.75" customHeight="1" x14ac:dyDescent="0.2">
      <c r="A4768" s="681" t="s">
        <v>2370</v>
      </c>
      <c r="B4768" s="693" t="s">
        <v>7318</v>
      </c>
      <c r="C4768" s="672" t="s">
        <v>900</v>
      </c>
      <c r="D4768" s="673">
        <v>41325</v>
      </c>
      <c r="E4768" s="674">
        <v>3</v>
      </c>
      <c r="F4768" s="675">
        <v>0.33</v>
      </c>
      <c r="G4768" s="676">
        <v>58000</v>
      </c>
      <c r="H4768" s="929">
        <v>0</v>
      </c>
      <c r="I4768" s="929">
        <v>58000</v>
      </c>
      <c r="J4768" s="689">
        <f t="shared" si="75"/>
        <v>0</v>
      </c>
    </row>
    <row r="4769" spans="1:10" ht="12.75" customHeight="1" x14ac:dyDescent="0.2">
      <c r="A4769" s="681" t="s">
        <v>2370</v>
      </c>
      <c r="B4769" s="693" t="s">
        <v>7319</v>
      </c>
      <c r="C4769" s="672" t="s">
        <v>895</v>
      </c>
      <c r="D4769" s="673">
        <v>41325</v>
      </c>
      <c r="E4769" s="674">
        <v>3</v>
      </c>
      <c r="F4769" s="675">
        <v>0.33</v>
      </c>
      <c r="G4769" s="676">
        <v>4960</v>
      </c>
      <c r="H4769" s="929">
        <v>0</v>
      </c>
      <c r="I4769" s="929">
        <v>4960</v>
      </c>
      <c r="J4769" s="689">
        <f t="shared" si="75"/>
        <v>0</v>
      </c>
    </row>
    <row r="4770" spans="1:10" ht="12.75" customHeight="1" x14ac:dyDescent="0.2">
      <c r="A4770" s="681" t="s">
        <v>2370</v>
      </c>
      <c r="B4770" s="693" t="s">
        <v>7320</v>
      </c>
      <c r="C4770" s="672" t="s">
        <v>892</v>
      </c>
      <c r="D4770" s="673">
        <v>41325</v>
      </c>
      <c r="E4770" s="674">
        <v>3</v>
      </c>
      <c r="F4770" s="675">
        <v>0.33</v>
      </c>
      <c r="G4770" s="676">
        <v>3828</v>
      </c>
      <c r="H4770" s="929">
        <v>0</v>
      </c>
      <c r="I4770" s="929">
        <v>3828</v>
      </c>
      <c r="J4770" s="689">
        <f t="shared" si="75"/>
        <v>0</v>
      </c>
    </row>
    <row r="4771" spans="1:10" ht="12.75" customHeight="1" x14ac:dyDescent="0.2">
      <c r="A4771" s="681" t="s">
        <v>2370</v>
      </c>
      <c r="B4771" s="693" t="s">
        <v>7321</v>
      </c>
      <c r="C4771" s="672" t="s">
        <v>907</v>
      </c>
      <c r="D4771" s="673">
        <v>41325</v>
      </c>
      <c r="E4771" s="674">
        <v>3</v>
      </c>
      <c r="F4771" s="675">
        <v>0.33</v>
      </c>
      <c r="G4771" s="676">
        <v>3990</v>
      </c>
      <c r="H4771" s="929">
        <v>0</v>
      </c>
      <c r="I4771" s="929">
        <v>3990</v>
      </c>
      <c r="J4771" s="689">
        <f t="shared" si="75"/>
        <v>0</v>
      </c>
    </row>
    <row r="4772" spans="1:10" ht="12.75" customHeight="1" x14ac:dyDescent="0.2">
      <c r="A4772" s="681" t="s">
        <v>2370</v>
      </c>
      <c r="B4772" s="693" t="s">
        <v>7322</v>
      </c>
      <c r="C4772" s="672" t="s">
        <v>907</v>
      </c>
      <c r="D4772" s="673">
        <v>41325</v>
      </c>
      <c r="E4772" s="674">
        <v>3</v>
      </c>
      <c r="F4772" s="675">
        <v>0.33</v>
      </c>
      <c r="G4772" s="676">
        <v>3990</v>
      </c>
      <c r="H4772" s="929">
        <v>0</v>
      </c>
      <c r="I4772" s="929">
        <v>3990</v>
      </c>
      <c r="J4772" s="689">
        <f t="shared" si="75"/>
        <v>0</v>
      </c>
    </row>
    <row r="4773" spans="1:10" ht="12.75" customHeight="1" x14ac:dyDescent="0.2">
      <c r="A4773" s="681" t="s">
        <v>2370</v>
      </c>
      <c r="B4773" s="693" t="s">
        <v>7323</v>
      </c>
      <c r="C4773" s="672" t="s">
        <v>907</v>
      </c>
      <c r="D4773" s="673">
        <v>41325</v>
      </c>
      <c r="E4773" s="674">
        <v>3</v>
      </c>
      <c r="F4773" s="675">
        <v>0.33</v>
      </c>
      <c r="G4773" s="676">
        <v>3990</v>
      </c>
      <c r="H4773" s="929">
        <v>0</v>
      </c>
      <c r="I4773" s="929">
        <v>3990</v>
      </c>
      <c r="J4773" s="689">
        <f t="shared" si="75"/>
        <v>0</v>
      </c>
    </row>
    <row r="4774" spans="1:10" ht="12.75" customHeight="1" x14ac:dyDescent="0.2">
      <c r="A4774" s="681" t="s">
        <v>2370</v>
      </c>
      <c r="B4774" s="693" t="s">
        <v>7324</v>
      </c>
      <c r="C4774" s="672" t="s">
        <v>907</v>
      </c>
      <c r="D4774" s="673">
        <v>41325</v>
      </c>
      <c r="E4774" s="674">
        <v>3</v>
      </c>
      <c r="F4774" s="675">
        <v>0.33</v>
      </c>
      <c r="G4774" s="676">
        <v>3990</v>
      </c>
      <c r="H4774" s="929">
        <v>0</v>
      </c>
      <c r="I4774" s="929">
        <v>3990</v>
      </c>
      <c r="J4774" s="689">
        <f t="shared" si="75"/>
        <v>0</v>
      </c>
    </row>
    <row r="4775" spans="1:10" ht="12.75" customHeight="1" x14ac:dyDescent="0.2">
      <c r="A4775" s="681" t="s">
        <v>2370</v>
      </c>
      <c r="B4775" s="693" t="s">
        <v>7325</v>
      </c>
      <c r="C4775" s="672" t="s">
        <v>907</v>
      </c>
      <c r="D4775" s="673">
        <v>41325</v>
      </c>
      <c r="E4775" s="674">
        <v>3</v>
      </c>
      <c r="F4775" s="675">
        <v>0.33</v>
      </c>
      <c r="G4775" s="676">
        <v>3990</v>
      </c>
      <c r="H4775" s="929">
        <v>0</v>
      </c>
      <c r="I4775" s="929">
        <v>3990</v>
      </c>
      <c r="J4775" s="689">
        <f t="shared" si="75"/>
        <v>0</v>
      </c>
    </row>
    <row r="4776" spans="1:10" ht="12.75" customHeight="1" x14ac:dyDescent="0.2">
      <c r="A4776" s="681" t="s">
        <v>2370</v>
      </c>
      <c r="B4776" s="693" t="s">
        <v>7326</v>
      </c>
      <c r="C4776" s="672" t="s">
        <v>907</v>
      </c>
      <c r="D4776" s="673">
        <v>41325</v>
      </c>
      <c r="E4776" s="674">
        <v>3</v>
      </c>
      <c r="F4776" s="675">
        <v>0.33</v>
      </c>
      <c r="G4776" s="676">
        <v>3990</v>
      </c>
      <c r="H4776" s="929">
        <v>0</v>
      </c>
      <c r="I4776" s="929">
        <v>3990</v>
      </c>
      <c r="J4776" s="689">
        <f t="shared" si="75"/>
        <v>0</v>
      </c>
    </row>
    <row r="4777" spans="1:10" ht="12.75" customHeight="1" x14ac:dyDescent="0.2">
      <c r="A4777" s="681" t="s">
        <v>2370</v>
      </c>
      <c r="B4777" s="693" t="s">
        <v>7327</v>
      </c>
      <c r="C4777" s="672" t="s">
        <v>907</v>
      </c>
      <c r="D4777" s="673">
        <v>41325</v>
      </c>
      <c r="E4777" s="674">
        <v>3</v>
      </c>
      <c r="F4777" s="675">
        <v>0.33</v>
      </c>
      <c r="G4777" s="676">
        <v>3990</v>
      </c>
      <c r="H4777" s="929">
        <v>0</v>
      </c>
      <c r="I4777" s="929">
        <v>3990</v>
      </c>
      <c r="J4777" s="689">
        <f t="shared" si="75"/>
        <v>0</v>
      </c>
    </row>
    <row r="4778" spans="1:10" ht="12.75" customHeight="1" x14ac:dyDescent="0.2">
      <c r="A4778" s="681" t="s">
        <v>2370</v>
      </c>
      <c r="B4778" s="693" t="s">
        <v>7328</v>
      </c>
      <c r="C4778" s="672" t="s">
        <v>907</v>
      </c>
      <c r="D4778" s="673">
        <v>41325</v>
      </c>
      <c r="E4778" s="674">
        <v>3</v>
      </c>
      <c r="F4778" s="675">
        <v>0.33</v>
      </c>
      <c r="G4778" s="676">
        <v>3990</v>
      </c>
      <c r="H4778" s="929">
        <v>0</v>
      </c>
      <c r="I4778" s="929">
        <v>3990</v>
      </c>
      <c r="J4778" s="689">
        <f t="shared" si="75"/>
        <v>0</v>
      </c>
    </row>
    <row r="4779" spans="1:10" ht="12.75" customHeight="1" x14ac:dyDescent="0.2">
      <c r="A4779" s="681" t="s">
        <v>2370</v>
      </c>
      <c r="B4779" s="693" t="s">
        <v>7329</v>
      </c>
      <c r="C4779" s="672" t="s">
        <v>907</v>
      </c>
      <c r="D4779" s="673">
        <v>41325</v>
      </c>
      <c r="E4779" s="674">
        <v>3</v>
      </c>
      <c r="F4779" s="675">
        <v>0.33</v>
      </c>
      <c r="G4779" s="676">
        <v>3990</v>
      </c>
      <c r="H4779" s="929">
        <v>0</v>
      </c>
      <c r="I4779" s="929">
        <v>3990</v>
      </c>
      <c r="J4779" s="689">
        <f t="shared" si="75"/>
        <v>0</v>
      </c>
    </row>
    <row r="4780" spans="1:10" ht="12.75" customHeight="1" x14ac:dyDescent="0.2">
      <c r="A4780" s="681" t="s">
        <v>2370</v>
      </c>
      <c r="B4780" s="693" t="s">
        <v>7330</v>
      </c>
      <c r="C4780" s="672" t="s">
        <v>907</v>
      </c>
      <c r="D4780" s="673">
        <v>41325</v>
      </c>
      <c r="E4780" s="674">
        <v>3</v>
      </c>
      <c r="F4780" s="675">
        <v>0.33</v>
      </c>
      <c r="G4780" s="676">
        <v>3990</v>
      </c>
      <c r="H4780" s="929">
        <v>0</v>
      </c>
      <c r="I4780" s="929">
        <v>3990</v>
      </c>
      <c r="J4780" s="689">
        <f t="shared" si="75"/>
        <v>0</v>
      </c>
    </row>
    <row r="4781" spans="1:10" ht="12.75" customHeight="1" x14ac:dyDescent="0.2">
      <c r="A4781" s="681" t="s">
        <v>2370</v>
      </c>
      <c r="B4781" s="693" t="s">
        <v>7331</v>
      </c>
      <c r="C4781" s="672" t="s">
        <v>907</v>
      </c>
      <c r="D4781" s="673">
        <v>41325</v>
      </c>
      <c r="E4781" s="674">
        <v>3</v>
      </c>
      <c r="F4781" s="675">
        <v>0.33</v>
      </c>
      <c r="G4781" s="676">
        <v>3990</v>
      </c>
      <c r="H4781" s="929">
        <v>0</v>
      </c>
      <c r="I4781" s="929">
        <v>3990</v>
      </c>
      <c r="J4781" s="689">
        <f t="shared" si="75"/>
        <v>0</v>
      </c>
    </row>
    <row r="4782" spans="1:10" ht="12.75" customHeight="1" x14ac:dyDescent="0.2">
      <c r="A4782" s="681" t="s">
        <v>2370</v>
      </c>
      <c r="B4782" s="693" t="s">
        <v>7332</v>
      </c>
      <c r="C4782" s="672" t="s">
        <v>907</v>
      </c>
      <c r="D4782" s="673">
        <v>41325</v>
      </c>
      <c r="E4782" s="674">
        <v>3</v>
      </c>
      <c r="F4782" s="675">
        <v>0.33</v>
      </c>
      <c r="G4782" s="676">
        <v>3990</v>
      </c>
      <c r="H4782" s="929">
        <v>0</v>
      </c>
      <c r="I4782" s="929">
        <v>3990</v>
      </c>
      <c r="J4782" s="689">
        <f t="shared" si="75"/>
        <v>0</v>
      </c>
    </row>
    <row r="4783" spans="1:10" ht="12.75" customHeight="1" x14ac:dyDescent="0.2">
      <c r="A4783" s="681" t="s">
        <v>2370</v>
      </c>
      <c r="B4783" s="693" t="s">
        <v>7333</v>
      </c>
      <c r="C4783" s="672" t="s">
        <v>907</v>
      </c>
      <c r="D4783" s="673">
        <v>41325</v>
      </c>
      <c r="E4783" s="674">
        <v>3</v>
      </c>
      <c r="F4783" s="675">
        <v>0.33</v>
      </c>
      <c r="G4783" s="676">
        <v>3990</v>
      </c>
      <c r="H4783" s="929">
        <v>0</v>
      </c>
      <c r="I4783" s="929">
        <v>3990</v>
      </c>
      <c r="J4783" s="689">
        <f t="shared" si="75"/>
        <v>0</v>
      </c>
    </row>
    <row r="4784" spans="1:10" ht="12.75" customHeight="1" x14ac:dyDescent="0.2">
      <c r="A4784" s="681" t="s">
        <v>2370</v>
      </c>
      <c r="B4784" s="693" t="s">
        <v>7334</v>
      </c>
      <c r="C4784" s="672" t="s">
        <v>907</v>
      </c>
      <c r="D4784" s="673">
        <v>41325</v>
      </c>
      <c r="E4784" s="674">
        <v>3</v>
      </c>
      <c r="F4784" s="675">
        <v>0.33</v>
      </c>
      <c r="G4784" s="676">
        <v>3990</v>
      </c>
      <c r="H4784" s="929">
        <v>0</v>
      </c>
      <c r="I4784" s="929">
        <v>3990</v>
      </c>
      <c r="J4784" s="689">
        <f t="shared" si="75"/>
        <v>0</v>
      </c>
    </row>
    <row r="4785" spans="1:10" ht="12.75" customHeight="1" x14ac:dyDescent="0.2">
      <c r="A4785" s="681" t="s">
        <v>2370</v>
      </c>
      <c r="B4785" s="693" t="s">
        <v>7335</v>
      </c>
      <c r="C4785" s="672" t="s">
        <v>907</v>
      </c>
      <c r="D4785" s="673">
        <v>41325</v>
      </c>
      <c r="E4785" s="674">
        <v>3</v>
      </c>
      <c r="F4785" s="675">
        <v>0.33</v>
      </c>
      <c r="G4785" s="676">
        <v>3990</v>
      </c>
      <c r="H4785" s="929">
        <v>0</v>
      </c>
      <c r="I4785" s="929">
        <v>3990</v>
      </c>
      <c r="J4785" s="689">
        <f t="shared" si="75"/>
        <v>0</v>
      </c>
    </row>
    <row r="4786" spans="1:10" ht="12.75" customHeight="1" x14ac:dyDescent="0.2">
      <c r="A4786" s="681" t="s">
        <v>2370</v>
      </c>
      <c r="B4786" s="693" t="s">
        <v>7336</v>
      </c>
      <c r="C4786" s="672" t="s">
        <v>894</v>
      </c>
      <c r="D4786" s="673">
        <v>41325</v>
      </c>
      <c r="E4786" s="674">
        <v>3</v>
      </c>
      <c r="F4786" s="675">
        <v>0.33</v>
      </c>
      <c r="G4786" s="676">
        <v>6670</v>
      </c>
      <c r="H4786" s="929">
        <v>0</v>
      </c>
      <c r="I4786" s="929">
        <v>6670</v>
      </c>
      <c r="J4786" s="689">
        <f t="shared" si="75"/>
        <v>0</v>
      </c>
    </row>
    <row r="4787" spans="1:10" ht="12.75" customHeight="1" x14ac:dyDescent="0.2">
      <c r="A4787" s="681" t="s">
        <v>2370</v>
      </c>
      <c r="B4787" s="693" t="s">
        <v>7337</v>
      </c>
      <c r="C4787" s="672" t="s">
        <v>894</v>
      </c>
      <c r="D4787" s="673">
        <v>41325</v>
      </c>
      <c r="E4787" s="674">
        <v>3</v>
      </c>
      <c r="F4787" s="675">
        <v>0.33</v>
      </c>
      <c r="G4787" s="676">
        <v>8957.19</v>
      </c>
      <c r="H4787" s="929">
        <v>0</v>
      </c>
      <c r="I4787" s="929">
        <v>8957.1899999999987</v>
      </c>
      <c r="J4787" s="689">
        <f t="shared" si="75"/>
        <v>0</v>
      </c>
    </row>
    <row r="4788" spans="1:10" ht="12.75" customHeight="1" x14ac:dyDescent="0.2">
      <c r="A4788" s="681" t="s">
        <v>2370</v>
      </c>
      <c r="B4788" s="693" t="s">
        <v>7338</v>
      </c>
      <c r="C4788" s="672" t="s">
        <v>895</v>
      </c>
      <c r="D4788" s="673">
        <v>41325</v>
      </c>
      <c r="E4788" s="674">
        <v>3</v>
      </c>
      <c r="F4788" s="675">
        <v>0.33</v>
      </c>
      <c r="G4788" s="676">
        <v>9236</v>
      </c>
      <c r="H4788" s="929">
        <v>0</v>
      </c>
      <c r="I4788" s="929">
        <v>9236</v>
      </c>
      <c r="J4788" s="689">
        <f t="shared" si="75"/>
        <v>0</v>
      </c>
    </row>
    <row r="4789" spans="1:10" ht="12.75" customHeight="1" x14ac:dyDescent="0.2">
      <c r="A4789" s="681" t="s">
        <v>2370</v>
      </c>
      <c r="B4789" s="693" t="s">
        <v>7339</v>
      </c>
      <c r="C4789" s="672" t="s">
        <v>895</v>
      </c>
      <c r="D4789" s="673">
        <v>41325</v>
      </c>
      <c r="E4789" s="674">
        <v>3</v>
      </c>
      <c r="F4789" s="675">
        <v>0.33</v>
      </c>
      <c r="G4789" s="676">
        <v>9236</v>
      </c>
      <c r="H4789" s="929">
        <v>0</v>
      </c>
      <c r="I4789" s="929">
        <v>9236</v>
      </c>
      <c r="J4789" s="689">
        <f t="shared" si="75"/>
        <v>0</v>
      </c>
    </row>
    <row r="4790" spans="1:10" ht="12.75" customHeight="1" x14ac:dyDescent="0.2">
      <c r="A4790" s="681" t="s">
        <v>2370</v>
      </c>
      <c r="B4790" s="693" t="s">
        <v>7340</v>
      </c>
      <c r="C4790" s="672" t="s">
        <v>894</v>
      </c>
      <c r="D4790" s="673">
        <v>41325</v>
      </c>
      <c r="E4790" s="674">
        <v>3</v>
      </c>
      <c r="F4790" s="675">
        <v>0.33</v>
      </c>
      <c r="G4790" s="676">
        <v>9280</v>
      </c>
      <c r="H4790" s="929">
        <v>0</v>
      </c>
      <c r="I4790" s="929">
        <v>9280</v>
      </c>
      <c r="J4790" s="689">
        <f t="shared" si="75"/>
        <v>0</v>
      </c>
    </row>
    <row r="4791" spans="1:10" ht="12.75" customHeight="1" x14ac:dyDescent="0.2">
      <c r="A4791" s="681" t="s">
        <v>2370</v>
      </c>
      <c r="B4791" s="693" t="s">
        <v>7341</v>
      </c>
      <c r="C4791" s="672" t="s">
        <v>894</v>
      </c>
      <c r="D4791" s="673">
        <v>41325</v>
      </c>
      <c r="E4791" s="674">
        <v>3</v>
      </c>
      <c r="F4791" s="675">
        <v>0.33</v>
      </c>
      <c r="G4791" s="676">
        <v>9280</v>
      </c>
      <c r="H4791" s="929">
        <v>0</v>
      </c>
      <c r="I4791" s="929">
        <v>9280</v>
      </c>
      <c r="J4791" s="689">
        <f t="shared" si="75"/>
        <v>0</v>
      </c>
    </row>
    <row r="4792" spans="1:10" ht="12.75" customHeight="1" x14ac:dyDescent="0.2">
      <c r="A4792" s="681" t="s">
        <v>2370</v>
      </c>
      <c r="B4792" s="693" t="s">
        <v>7342</v>
      </c>
      <c r="C4792" s="672" t="s">
        <v>894</v>
      </c>
      <c r="D4792" s="673">
        <v>41325</v>
      </c>
      <c r="E4792" s="674">
        <v>3</v>
      </c>
      <c r="F4792" s="675">
        <v>0.33</v>
      </c>
      <c r="G4792" s="676">
        <v>14334</v>
      </c>
      <c r="H4792" s="929">
        <v>0</v>
      </c>
      <c r="I4792" s="929">
        <v>14334.000000000002</v>
      </c>
      <c r="J4792" s="689">
        <f t="shared" si="75"/>
        <v>0</v>
      </c>
    </row>
    <row r="4793" spans="1:10" ht="12.75" customHeight="1" x14ac:dyDescent="0.2">
      <c r="A4793" s="681" t="s">
        <v>2370</v>
      </c>
      <c r="B4793" s="693" t="s">
        <v>7343</v>
      </c>
      <c r="C4793" s="672" t="s">
        <v>894</v>
      </c>
      <c r="D4793" s="673">
        <v>41325</v>
      </c>
      <c r="E4793" s="674">
        <v>3</v>
      </c>
      <c r="F4793" s="675">
        <v>0.33</v>
      </c>
      <c r="G4793" s="676">
        <v>14334</v>
      </c>
      <c r="H4793" s="929">
        <v>0</v>
      </c>
      <c r="I4793" s="929">
        <v>14334.000000000002</v>
      </c>
      <c r="J4793" s="689">
        <f t="shared" si="75"/>
        <v>0</v>
      </c>
    </row>
    <row r="4794" spans="1:10" ht="12.75" customHeight="1" x14ac:dyDescent="0.2">
      <c r="A4794" s="681" t="s">
        <v>2370</v>
      </c>
      <c r="B4794" s="693" t="s">
        <v>7344</v>
      </c>
      <c r="C4794" s="672" t="s">
        <v>894</v>
      </c>
      <c r="D4794" s="673">
        <v>41325</v>
      </c>
      <c r="E4794" s="674">
        <v>3</v>
      </c>
      <c r="F4794" s="675">
        <v>0.33</v>
      </c>
      <c r="G4794" s="676">
        <v>14334</v>
      </c>
      <c r="H4794" s="929">
        <v>0</v>
      </c>
      <c r="I4794" s="929">
        <v>14334.000000000002</v>
      </c>
      <c r="J4794" s="689">
        <f t="shared" si="75"/>
        <v>0</v>
      </c>
    </row>
    <row r="4795" spans="1:10" ht="12.75" customHeight="1" x14ac:dyDescent="0.2">
      <c r="A4795" s="681" t="s">
        <v>2370</v>
      </c>
      <c r="B4795" s="693" t="s">
        <v>7345</v>
      </c>
      <c r="C4795" s="672" t="s">
        <v>894</v>
      </c>
      <c r="D4795" s="673">
        <v>41325</v>
      </c>
      <c r="E4795" s="674">
        <v>3</v>
      </c>
      <c r="F4795" s="675">
        <v>0.33</v>
      </c>
      <c r="G4795" s="676">
        <v>14334</v>
      </c>
      <c r="H4795" s="929">
        <v>0</v>
      </c>
      <c r="I4795" s="929">
        <v>14334.000000000002</v>
      </c>
      <c r="J4795" s="689">
        <f t="shared" si="75"/>
        <v>0</v>
      </c>
    </row>
    <row r="4796" spans="1:10" ht="12.75" customHeight="1" x14ac:dyDescent="0.2">
      <c r="A4796" s="681" t="s">
        <v>2370</v>
      </c>
      <c r="B4796" s="693" t="s">
        <v>7346</v>
      </c>
      <c r="C4796" s="672" t="s">
        <v>894</v>
      </c>
      <c r="D4796" s="673">
        <v>41325</v>
      </c>
      <c r="E4796" s="674">
        <v>3</v>
      </c>
      <c r="F4796" s="675">
        <v>0.33</v>
      </c>
      <c r="G4796" s="676">
        <v>14334</v>
      </c>
      <c r="H4796" s="929">
        <v>0</v>
      </c>
      <c r="I4796" s="929">
        <v>14334.000000000002</v>
      </c>
      <c r="J4796" s="689">
        <f t="shared" si="75"/>
        <v>0</v>
      </c>
    </row>
    <row r="4797" spans="1:10" ht="12.75" customHeight="1" x14ac:dyDescent="0.2">
      <c r="A4797" s="681" t="s">
        <v>2370</v>
      </c>
      <c r="B4797" s="693" t="s">
        <v>7347</v>
      </c>
      <c r="C4797" s="672" t="s">
        <v>894</v>
      </c>
      <c r="D4797" s="673">
        <v>41325</v>
      </c>
      <c r="E4797" s="674">
        <v>3</v>
      </c>
      <c r="F4797" s="675">
        <v>0.33</v>
      </c>
      <c r="G4797" s="676">
        <v>14334.42</v>
      </c>
      <c r="H4797" s="929">
        <v>0</v>
      </c>
      <c r="I4797" s="929">
        <v>14334.42</v>
      </c>
      <c r="J4797" s="689">
        <f t="shared" si="75"/>
        <v>0</v>
      </c>
    </row>
    <row r="4798" spans="1:10" ht="12.75" customHeight="1" x14ac:dyDescent="0.2">
      <c r="A4798" s="681" t="s">
        <v>2370</v>
      </c>
      <c r="B4798" s="693" t="s">
        <v>7348</v>
      </c>
      <c r="C4798" s="672" t="s">
        <v>894</v>
      </c>
      <c r="D4798" s="673">
        <v>41325</v>
      </c>
      <c r="E4798" s="674">
        <v>3</v>
      </c>
      <c r="F4798" s="675">
        <v>0.33</v>
      </c>
      <c r="G4798" s="676">
        <v>14334.89</v>
      </c>
      <c r="H4798" s="929">
        <v>0</v>
      </c>
      <c r="I4798" s="929">
        <v>14334.89</v>
      </c>
      <c r="J4798" s="689">
        <f t="shared" si="75"/>
        <v>0</v>
      </c>
    </row>
    <row r="4799" spans="1:10" ht="12.75" customHeight="1" x14ac:dyDescent="0.2">
      <c r="A4799" s="681" t="s">
        <v>2370</v>
      </c>
      <c r="B4799" s="693" t="s">
        <v>7349</v>
      </c>
      <c r="C4799" s="672" t="s">
        <v>894</v>
      </c>
      <c r="D4799" s="673">
        <v>41325</v>
      </c>
      <c r="E4799" s="674">
        <v>3</v>
      </c>
      <c r="F4799" s="675">
        <v>0.33</v>
      </c>
      <c r="G4799" s="676">
        <v>14334.89</v>
      </c>
      <c r="H4799" s="929">
        <v>0</v>
      </c>
      <c r="I4799" s="929">
        <v>14334.89</v>
      </c>
      <c r="J4799" s="689">
        <f t="shared" si="75"/>
        <v>0</v>
      </c>
    </row>
    <row r="4800" spans="1:10" ht="12.75" customHeight="1" x14ac:dyDescent="0.2">
      <c r="A4800" s="681" t="s">
        <v>2370</v>
      </c>
      <c r="B4800" s="693" t="s">
        <v>7350</v>
      </c>
      <c r="C4800" s="672" t="s">
        <v>894</v>
      </c>
      <c r="D4800" s="673">
        <v>41325</v>
      </c>
      <c r="E4800" s="674">
        <v>3</v>
      </c>
      <c r="F4800" s="675">
        <v>0.33</v>
      </c>
      <c r="G4800" s="676">
        <v>14334.89</v>
      </c>
      <c r="H4800" s="929">
        <v>0</v>
      </c>
      <c r="I4800" s="929">
        <v>14334.89</v>
      </c>
      <c r="J4800" s="689">
        <f t="shared" si="75"/>
        <v>0</v>
      </c>
    </row>
    <row r="4801" spans="1:10" ht="12.75" customHeight="1" x14ac:dyDescent="0.2">
      <c r="A4801" s="681" t="s">
        <v>2370</v>
      </c>
      <c r="B4801" s="693" t="s">
        <v>7351</v>
      </c>
      <c r="C4801" s="672" t="s">
        <v>894</v>
      </c>
      <c r="D4801" s="673">
        <v>41325</v>
      </c>
      <c r="E4801" s="674">
        <v>3</v>
      </c>
      <c r="F4801" s="675">
        <v>0.33</v>
      </c>
      <c r="G4801" s="676">
        <v>16294.52</v>
      </c>
      <c r="H4801" s="929">
        <v>0</v>
      </c>
      <c r="I4801" s="929">
        <v>16294.52</v>
      </c>
      <c r="J4801" s="689">
        <f t="shared" si="75"/>
        <v>0</v>
      </c>
    </row>
    <row r="4802" spans="1:10" ht="12.75" customHeight="1" x14ac:dyDescent="0.2">
      <c r="A4802" s="681" t="s">
        <v>2370</v>
      </c>
      <c r="B4802" s="693" t="s">
        <v>7352</v>
      </c>
      <c r="C4802" s="672" t="s">
        <v>894</v>
      </c>
      <c r="D4802" s="673">
        <v>41325</v>
      </c>
      <c r="E4802" s="674">
        <v>3</v>
      </c>
      <c r="F4802" s="675">
        <v>0.33</v>
      </c>
      <c r="G4802" s="676">
        <v>16294.52</v>
      </c>
      <c r="H4802" s="929">
        <v>0</v>
      </c>
      <c r="I4802" s="929">
        <v>16294.52</v>
      </c>
      <c r="J4802" s="689">
        <f t="shared" si="75"/>
        <v>0</v>
      </c>
    </row>
    <row r="4803" spans="1:10" ht="12.75" customHeight="1" x14ac:dyDescent="0.2">
      <c r="A4803" s="681" t="s">
        <v>2370</v>
      </c>
      <c r="B4803" s="693" t="s">
        <v>7353</v>
      </c>
      <c r="C4803" s="672" t="s">
        <v>894</v>
      </c>
      <c r="D4803" s="673">
        <v>41325</v>
      </c>
      <c r="E4803" s="674">
        <v>3</v>
      </c>
      <c r="F4803" s="675">
        <v>0.33</v>
      </c>
      <c r="G4803" s="676">
        <v>16295.52</v>
      </c>
      <c r="H4803" s="929">
        <v>0</v>
      </c>
      <c r="I4803" s="929">
        <v>16295.52</v>
      </c>
      <c r="J4803" s="689">
        <f t="shared" si="75"/>
        <v>0</v>
      </c>
    </row>
    <row r="4804" spans="1:10" ht="12.75" customHeight="1" x14ac:dyDescent="0.2">
      <c r="A4804" s="681" t="s">
        <v>2370</v>
      </c>
      <c r="B4804" s="693" t="s">
        <v>7354</v>
      </c>
      <c r="C4804" s="672" t="s">
        <v>894</v>
      </c>
      <c r="D4804" s="673">
        <v>41325</v>
      </c>
      <c r="E4804" s="674">
        <v>3</v>
      </c>
      <c r="F4804" s="675">
        <v>0.33</v>
      </c>
      <c r="G4804" s="676">
        <v>16295.52</v>
      </c>
      <c r="H4804" s="929">
        <v>0</v>
      </c>
      <c r="I4804" s="929">
        <v>16295.52</v>
      </c>
      <c r="J4804" s="689">
        <f t="shared" si="75"/>
        <v>0</v>
      </c>
    </row>
    <row r="4805" spans="1:10" ht="12.75" customHeight="1" x14ac:dyDescent="0.2">
      <c r="A4805" s="681" t="s">
        <v>2370</v>
      </c>
      <c r="B4805" s="693" t="s">
        <v>7355</v>
      </c>
      <c r="C4805" s="672" t="s">
        <v>894</v>
      </c>
      <c r="D4805" s="673">
        <v>41325</v>
      </c>
      <c r="E4805" s="674">
        <v>3</v>
      </c>
      <c r="F4805" s="675">
        <v>0.33</v>
      </c>
      <c r="G4805" s="676">
        <v>17199</v>
      </c>
      <c r="H4805" s="929">
        <v>0</v>
      </c>
      <c r="I4805" s="929">
        <v>17199</v>
      </c>
      <c r="J4805" s="689">
        <f t="shared" si="75"/>
        <v>0</v>
      </c>
    </row>
    <row r="4806" spans="1:10" ht="12.75" customHeight="1" x14ac:dyDescent="0.2">
      <c r="A4806" s="681" t="s">
        <v>2370</v>
      </c>
      <c r="B4806" s="693" t="s">
        <v>7356</v>
      </c>
      <c r="C4806" s="672" t="s">
        <v>894</v>
      </c>
      <c r="D4806" s="673">
        <v>41325</v>
      </c>
      <c r="E4806" s="674">
        <v>3</v>
      </c>
      <c r="F4806" s="675">
        <v>0.33</v>
      </c>
      <c r="G4806" s="676">
        <v>19951.84</v>
      </c>
      <c r="H4806" s="929">
        <v>0</v>
      </c>
      <c r="I4806" s="929">
        <v>19951.840000000004</v>
      </c>
      <c r="J4806" s="689">
        <f t="shared" si="75"/>
        <v>0</v>
      </c>
    </row>
    <row r="4807" spans="1:10" ht="12.75" customHeight="1" x14ac:dyDescent="0.2">
      <c r="A4807" s="681" t="s">
        <v>2370</v>
      </c>
      <c r="B4807" s="693" t="s">
        <v>7357</v>
      </c>
      <c r="C4807" s="672" t="s">
        <v>894</v>
      </c>
      <c r="D4807" s="673">
        <v>41325</v>
      </c>
      <c r="E4807" s="674">
        <v>3</v>
      </c>
      <c r="F4807" s="675">
        <v>0.33</v>
      </c>
      <c r="G4807" s="676">
        <v>19951.84</v>
      </c>
      <c r="H4807" s="929">
        <v>0</v>
      </c>
      <c r="I4807" s="929">
        <v>19951.840000000004</v>
      </c>
      <c r="J4807" s="689">
        <f t="shared" ref="J4807:J4870" si="76">G4807-I4807</f>
        <v>0</v>
      </c>
    </row>
    <row r="4808" spans="1:10" ht="12.75" customHeight="1" x14ac:dyDescent="0.2">
      <c r="A4808" s="681" t="s">
        <v>2370</v>
      </c>
      <c r="B4808" s="693" t="s">
        <v>7358</v>
      </c>
      <c r="C4808" s="672" t="s">
        <v>894</v>
      </c>
      <c r="D4808" s="673">
        <v>41325</v>
      </c>
      <c r="E4808" s="674">
        <v>3</v>
      </c>
      <c r="F4808" s="675">
        <v>0.33</v>
      </c>
      <c r="G4808" s="676">
        <v>19951.84</v>
      </c>
      <c r="H4808" s="929">
        <v>0</v>
      </c>
      <c r="I4808" s="929">
        <v>19951.840000000004</v>
      </c>
      <c r="J4808" s="689">
        <f t="shared" si="76"/>
        <v>0</v>
      </c>
    </row>
    <row r="4809" spans="1:10" ht="12.75" customHeight="1" x14ac:dyDescent="0.2">
      <c r="A4809" s="681" t="s">
        <v>2370</v>
      </c>
      <c r="B4809" s="693" t="s">
        <v>7359</v>
      </c>
      <c r="C4809" s="672" t="s">
        <v>911</v>
      </c>
      <c r="D4809" s="673">
        <v>41325</v>
      </c>
      <c r="E4809" s="674">
        <v>3</v>
      </c>
      <c r="F4809" s="675">
        <v>0.33</v>
      </c>
      <c r="G4809" s="676">
        <v>51105</v>
      </c>
      <c r="H4809" s="929">
        <v>0</v>
      </c>
      <c r="I4809" s="929">
        <v>51105</v>
      </c>
      <c r="J4809" s="689">
        <f t="shared" si="76"/>
        <v>0</v>
      </c>
    </row>
    <row r="4810" spans="1:10" ht="12.75" customHeight="1" x14ac:dyDescent="0.2">
      <c r="A4810" s="681" t="s">
        <v>2370</v>
      </c>
      <c r="B4810" s="693" t="s">
        <v>7360</v>
      </c>
      <c r="C4810" s="672" t="s">
        <v>895</v>
      </c>
      <c r="D4810" s="673">
        <v>41325</v>
      </c>
      <c r="E4810" s="674">
        <v>3</v>
      </c>
      <c r="F4810" s="675">
        <v>0.33</v>
      </c>
      <c r="G4810" s="676">
        <v>150800</v>
      </c>
      <c r="H4810" s="929">
        <v>0</v>
      </c>
      <c r="I4810" s="929">
        <v>150800</v>
      </c>
      <c r="J4810" s="689">
        <f t="shared" si="76"/>
        <v>0</v>
      </c>
    </row>
    <row r="4811" spans="1:10" ht="12.75" customHeight="1" x14ac:dyDescent="0.2">
      <c r="A4811" s="681"/>
      <c r="B4811" s="693"/>
      <c r="C4811" s="672"/>
      <c r="D4811" s="673"/>
      <c r="E4811" s="674"/>
      <c r="F4811" s="675"/>
      <c r="G4811" s="676"/>
      <c r="H4811" s="929"/>
      <c r="I4811" s="929"/>
      <c r="J4811" s="689"/>
    </row>
    <row r="4812" spans="1:10" ht="12.75" customHeight="1" x14ac:dyDescent="0.2">
      <c r="A4812" s="681"/>
      <c r="B4812" s="693"/>
      <c r="C4812" s="672"/>
      <c r="D4812" s="673"/>
      <c r="E4812" s="674"/>
      <c r="F4812" s="675"/>
      <c r="G4812" s="676"/>
      <c r="H4812" s="929"/>
      <c r="I4812" s="929"/>
      <c r="J4812" s="689"/>
    </row>
    <row r="4813" spans="1:10" ht="12.75" customHeight="1" x14ac:dyDescent="0.2">
      <c r="A4813" s="681" t="s">
        <v>2371</v>
      </c>
      <c r="B4813" s="693" t="s">
        <v>7361</v>
      </c>
      <c r="C4813" s="672" t="s">
        <v>972</v>
      </c>
      <c r="D4813" s="673">
        <v>41707</v>
      </c>
      <c r="E4813" s="674">
        <v>3</v>
      </c>
      <c r="F4813" s="675">
        <v>0.33</v>
      </c>
      <c r="G4813" s="676">
        <v>999.01</v>
      </c>
      <c r="H4813" s="929">
        <v>0</v>
      </c>
      <c r="I4813" s="929">
        <v>998.01270000000011</v>
      </c>
      <c r="J4813" s="689">
        <f t="shared" si="76"/>
        <v>0.99729999999988195</v>
      </c>
    </row>
    <row r="4814" spans="1:10" ht="12.75" customHeight="1" x14ac:dyDescent="0.2">
      <c r="A4814" s="681" t="s">
        <v>2370</v>
      </c>
      <c r="B4814" s="693" t="s">
        <v>7362</v>
      </c>
      <c r="C4814" s="672" t="s">
        <v>902</v>
      </c>
      <c r="D4814" s="673">
        <v>41717</v>
      </c>
      <c r="E4814" s="674">
        <v>3</v>
      </c>
      <c r="F4814" s="675">
        <v>0.33</v>
      </c>
      <c r="G4814" s="676">
        <v>3074</v>
      </c>
      <c r="H4814" s="929">
        <v>0</v>
      </c>
      <c r="I4814" s="929">
        <v>3072.9950000000003</v>
      </c>
      <c r="J4814" s="689">
        <f t="shared" si="76"/>
        <v>1.0049999999996544</v>
      </c>
    </row>
    <row r="4815" spans="1:10" ht="12.75" customHeight="1" x14ac:dyDescent="0.2">
      <c r="A4815" s="681" t="s">
        <v>2371</v>
      </c>
      <c r="B4815" s="693" t="s">
        <v>7363</v>
      </c>
      <c r="C4815" s="672" t="s">
        <v>970</v>
      </c>
      <c r="D4815" s="673">
        <v>41761</v>
      </c>
      <c r="E4815" s="674">
        <v>3</v>
      </c>
      <c r="F4815" s="675">
        <v>0.33</v>
      </c>
      <c r="G4815" s="676">
        <v>1909</v>
      </c>
      <c r="H4815" s="929">
        <v>0</v>
      </c>
      <c r="I4815" s="929">
        <v>1908</v>
      </c>
      <c r="J4815" s="689">
        <f t="shared" si="76"/>
        <v>1</v>
      </c>
    </row>
    <row r="4816" spans="1:10" ht="12.75" customHeight="1" x14ac:dyDescent="0.2">
      <c r="A4816" s="681" t="s">
        <v>2372</v>
      </c>
      <c r="B4816" s="693" t="s">
        <v>7364</v>
      </c>
      <c r="C4816" s="672" t="s">
        <v>1018</v>
      </c>
      <c r="D4816" s="673">
        <v>41771</v>
      </c>
      <c r="E4816" s="674">
        <v>3</v>
      </c>
      <c r="F4816" s="675">
        <v>0.33</v>
      </c>
      <c r="G4816" s="676">
        <v>4582</v>
      </c>
      <c r="H4816" s="929">
        <v>0</v>
      </c>
      <c r="I4816" s="929">
        <v>4581</v>
      </c>
      <c r="J4816" s="689">
        <f t="shared" si="76"/>
        <v>1</v>
      </c>
    </row>
    <row r="4817" spans="1:10" ht="12.75" customHeight="1" x14ac:dyDescent="0.2">
      <c r="A4817" s="681" t="s">
        <v>2372</v>
      </c>
      <c r="B4817" s="693" t="s">
        <v>7365</v>
      </c>
      <c r="C4817" s="672" t="s">
        <v>1018</v>
      </c>
      <c r="D4817" s="673">
        <v>41771</v>
      </c>
      <c r="E4817" s="674">
        <v>3</v>
      </c>
      <c r="F4817" s="675">
        <v>0.33</v>
      </c>
      <c r="G4817" s="676">
        <v>4582</v>
      </c>
      <c r="H4817" s="929">
        <v>0</v>
      </c>
      <c r="I4817" s="929">
        <v>4581</v>
      </c>
      <c r="J4817" s="689">
        <f t="shared" si="76"/>
        <v>1</v>
      </c>
    </row>
    <row r="4818" spans="1:10" ht="12.75" customHeight="1" x14ac:dyDescent="0.2">
      <c r="A4818" s="681" t="s">
        <v>2372</v>
      </c>
      <c r="B4818" s="693" t="s">
        <v>7366</v>
      </c>
      <c r="C4818" s="672" t="s">
        <v>1018</v>
      </c>
      <c r="D4818" s="673">
        <v>41771</v>
      </c>
      <c r="E4818" s="674">
        <v>3</v>
      </c>
      <c r="F4818" s="675">
        <v>0.33</v>
      </c>
      <c r="G4818" s="676">
        <v>4582</v>
      </c>
      <c r="H4818" s="929">
        <v>0</v>
      </c>
      <c r="I4818" s="929">
        <v>4581</v>
      </c>
      <c r="J4818" s="689">
        <f t="shared" si="76"/>
        <v>1</v>
      </c>
    </row>
    <row r="4819" spans="1:10" ht="12.75" customHeight="1" x14ac:dyDescent="0.2">
      <c r="A4819" s="681" t="s">
        <v>2372</v>
      </c>
      <c r="B4819" s="693" t="s">
        <v>7367</v>
      </c>
      <c r="C4819" s="672" t="s">
        <v>1018</v>
      </c>
      <c r="D4819" s="673">
        <v>41771</v>
      </c>
      <c r="E4819" s="674">
        <v>3</v>
      </c>
      <c r="F4819" s="675">
        <v>0.33</v>
      </c>
      <c r="G4819" s="676">
        <v>4582</v>
      </c>
      <c r="H4819" s="929">
        <v>0</v>
      </c>
      <c r="I4819" s="929">
        <v>4581</v>
      </c>
      <c r="J4819" s="689">
        <f t="shared" si="76"/>
        <v>1</v>
      </c>
    </row>
    <row r="4820" spans="1:10" ht="12.75" customHeight="1" x14ac:dyDescent="0.2">
      <c r="A4820" s="681" t="s">
        <v>2372</v>
      </c>
      <c r="B4820" s="693" t="s">
        <v>7368</v>
      </c>
      <c r="C4820" s="672" t="s">
        <v>1025</v>
      </c>
      <c r="D4820" s="673">
        <v>41771</v>
      </c>
      <c r="E4820" s="674">
        <v>3</v>
      </c>
      <c r="F4820" s="675">
        <v>0.33</v>
      </c>
      <c r="G4820" s="676">
        <v>4930</v>
      </c>
      <c r="H4820" s="929">
        <v>0</v>
      </c>
      <c r="I4820" s="929">
        <v>4929</v>
      </c>
      <c r="J4820" s="689">
        <f t="shared" si="76"/>
        <v>1</v>
      </c>
    </row>
    <row r="4821" spans="1:10" ht="12.75" customHeight="1" x14ac:dyDescent="0.2">
      <c r="A4821" s="681" t="s">
        <v>2372</v>
      </c>
      <c r="B4821" s="693" t="s">
        <v>7369</v>
      </c>
      <c r="C4821" s="672" t="s">
        <v>1025</v>
      </c>
      <c r="D4821" s="673">
        <v>41771</v>
      </c>
      <c r="E4821" s="674">
        <v>3</v>
      </c>
      <c r="F4821" s="675">
        <v>0.33</v>
      </c>
      <c r="G4821" s="676">
        <v>4930</v>
      </c>
      <c r="H4821" s="929">
        <v>0</v>
      </c>
      <c r="I4821" s="929">
        <v>4929</v>
      </c>
      <c r="J4821" s="689">
        <f t="shared" si="76"/>
        <v>1</v>
      </c>
    </row>
    <row r="4822" spans="1:10" ht="12.75" customHeight="1" x14ac:dyDescent="0.2">
      <c r="A4822" s="681" t="s">
        <v>2372</v>
      </c>
      <c r="B4822" s="693" t="s">
        <v>7370</v>
      </c>
      <c r="C4822" s="672" t="s">
        <v>1025</v>
      </c>
      <c r="D4822" s="673">
        <v>41771</v>
      </c>
      <c r="E4822" s="674">
        <v>3</v>
      </c>
      <c r="F4822" s="675">
        <v>0.33</v>
      </c>
      <c r="G4822" s="676">
        <v>4930</v>
      </c>
      <c r="H4822" s="929">
        <v>0</v>
      </c>
      <c r="I4822" s="929">
        <v>4929</v>
      </c>
      <c r="J4822" s="689">
        <f t="shared" si="76"/>
        <v>1</v>
      </c>
    </row>
    <row r="4823" spans="1:10" ht="12.75" customHeight="1" x14ac:dyDescent="0.2">
      <c r="A4823" s="681" t="s">
        <v>2372</v>
      </c>
      <c r="B4823" s="693" t="s">
        <v>7371</v>
      </c>
      <c r="C4823" s="672" t="s">
        <v>1025</v>
      </c>
      <c r="D4823" s="673">
        <v>41771</v>
      </c>
      <c r="E4823" s="674">
        <v>3</v>
      </c>
      <c r="F4823" s="675">
        <v>0.33</v>
      </c>
      <c r="G4823" s="676">
        <v>4930</v>
      </c>
      <c r="H4823" s="929">
        <v>0</v>
      </c>
      <c r="I4823" s="929">
        <v>4929</v>
      </c>
      <c r="J4823" s="689">
        <f t="shared" si="76"/>
        <v>1</v>
      </c>
    </row>
    <row r="4824" spans="1:10" ht="12.75" customHeight="1" x14ac:dyDescent="0.2">
      <c r="A4824" s="681" t="s">
        <v>2372</v>
      </c>
      <c r="B4824" s="693" t="s">
        <v>7372</v>
      </c>
      <c r="C4824" s="672" t="s">
        <v>1025</v>
      </c>
      <c r="D4824" s="673">
        <v>41771</v>
      </c>
      <c r="E4824" s="674">
        <v>3</v>
      </c>
      <c r="F4824" s="675">
        <v>0.33</v>
      </c>
      <c r="G4824" s="676">
        <v>4930</v>
      </c>
      <c r="H4824" s="929">
        <v>0</v>
      </c>
      <c r="I4824" s="929">
        <v>4929</v>
      </c>
      <c r="J4824" s="689">
        <f t="shared" si="76"/>
        <v>1</v>
      </c>
    </row>
    <row r="4825" spans="1:10" ht="12.75" customHeight="1" x14ac:dyDescent="0.2">
      <c r="A4825" s="681" t="s">
        <v>2372</v>
      </c>
      <c r="B4825" s="693" t="s">
        <v>7373</v>
      </c>
      <c r="C4825" s="672" t="s">
        <v>1025</v>
      </c>
      <c r="D4825" s="673">
        <v>41771</v>
      </c>
      <c r="E4825" s="674">
        <v>3</v>
      </c>
      <c r="F4825" s="675">
        <v>0.33</v>
      </c>
      <c r="G4825" s="676">
        <v>4930</v>
      </c>
      <c r="H4825" s="929">
        <v>0</v>
      </c>
      <c r="I4825" s="929">
        <v>4929</v>
      </c>
      <c r="J4825" s="689">
        <f t="shared" si="76"/>
        <v>1</v>
      </c>
    </row>
    <row r="4826" spans="1:10" ht="12.75" customHeight="1" x14ac:dyDescent="0.2">
      <c r="A4826" s="681" t="s">
        <v>2372</v>
      </c>
      <c r="B4826" s="693" t="s">
        <v>7374</v>
      </c>
      <c r="C4826" s="672" t="s">
        <v>1025</v>
      </c>
      <c r="D4826" s="673">
        <v>41771</v>
      </c>
      <c r="E4826" s="674">
        <v>3</v>
      </c>
      <c r="F4826" s="675">
        <v>0.33</v>
      </c>
      <c r="G4826" s="676">
        <v>4930</v>
      </c>
      <c r="H4826" s="929">
        <v>0</v>
      </c>
      <c r="I4826" s="929">
        <v>4929</v>
      </c>
      <c r="J4826" s="689">
        <f t="shared" si="76"/>
        <v>1</v>
      </c>
    </row>
    <row r="4827" spans="1:10" ht="12.75" customHeight="1" x14ac:dyDescent="0.2">
      <c r="A4827" s="681" t="s">
        <v>2372</v>
      </c>
      <c r="B4827" s="693" t="s">
        <v>7375</v>
      </c>
      <c r="C4827" s="672" t="s">
        <v>1025</v>
      </c>
      <c r="D4827" s="673">
        <v>41771</v>
      </c>
      <c r="E4827" s="674">
        <v>3</v>
      </c>
      <c r="F4827" s="675">
        <v>0.33</v>
      </c>
      <c r="G4827" s="676">
        <v>4930</v>
      </c>
      <c r="H4827" s="929">
        <v>0</v>
      </c>
      <c r="I4827" s="929">
        <v>4929</v>
      </c>
      <c r="J4827" s="689">
        <f t="shared" si="76"/>
        <v>1</v>
      </c>
    </row>
    <row r="4828" spans="1:10" ht="12.75" customHeight="1" x14ac:dyDescent="0.2">
      <c r="A4828" s="681" t="s">
        <v>2372</v>
      </c>
      <c r="B4828" s="693" t="s">
        <v>7376</v>
      </c>
      <c r="C4828" s="672" t="s">
        <v>1025</v>
      </c>
      <c r="D4828" s="673">
        <v>41771</v>
      </c>
      <c r="E4828" s="674">
        <v>3</v>
      </c>
      <c r="F4828" s="675">
        <v>0.33</v>
      </c>
      <c r="G4828" s="676">
        <v>4930</v>
      </c>
      <c r="H4828" s="929">
        <v>0</v>
      </c>
      <c r="I4828" s="929">
        <v>4929</v>
      </c>
      <c r="J4828" s="689">
        <f t="shared" si="76"/>
        <v>1</v>
      </c>
    </row>
    <row r="4829" spans="1:10" ht="12.75" customHeight="1" x14ac:dyDescent="0.2">
      <c r="A4829" s="681" t="s">
        <v>2372</v>
      </c>
      <c r="B4829" s="693" t="s">
        <v>7377</v>
      </c>
      <c r="C4829" s="672" t="s">
        <v>1025</v>
      </c>
      <c r="D4829" s="673">
        <v>41771</v>
      </c>
      <c r="E4829" s="674">
        <v>3</v>
      </c>
      <c r="F4829" s="675">
        <v>0.33</v>
      </c>
      <c r="G4829" s="676">
        <v>4930</v>
      </c>
      <c r="H4829" s="929">
        <v>0</v>
      </c>
      <c r="I4829" s="929">
        <v>4929</v>
      </c>
      <c r="J4829" s="689">
        <f t="shared" si="76"/>
        <v>1</v>
      </c>
    </row>
    <row r="4830" spans="1:10" ht="12.75" customHeight="1" x14ac:dyDescent="0.2">
      <c r="A4830" s="681" t="s">
        <v>2372</v>
      </c>
      <c r="B4830" s="693" t="s">
        <v>7378</v>
      </c>
      <c r="C4830" s="672" t="s">
        <v>1025</v>
      </c>
      <c r="D4830" s="673">
        <v>41771</v>
      </c>
      <c r="E4830" s="674">
        <v>3</v>
      </c>
      <c r="F4830" s="675">
        <v>0.33</v>
      </c>
      <c r="G4830" s="676">
        <v>4930</v>
      </c>
      <c r="H4830" s="929">
        <v>0</v>
      </c>
      <c r="I4830" s="929">
        <v>4929</v>
      </c>
      <c r="J4830" s="689">
        <f t="shared" si="76"/>
        <v>1</v>
      </c>
    </row>
    <row r="4831" spans="1:10" ht="12.75" customHeight="1" x14ac:dyDescent="0.2">
      <c r="A4831" s="681" t="s">
        <v>2372</v>
      </c>
      <c r="B4831" s="693" t="s">
        <v>7379</v>
      </c>
      <c r="C4831" s="672" t="s">
        <v>1025</v>
      </c>
      <c r="D4831" s="673">
        <v>41771</v>
      </c>
      <c r="E4831" s="674">
        <v>3</v>
      </c>
      <c r="F4831" s="675">
        <v>0.33</v>
      </c>
      <c r="G4831" s="676">
        <v>4930</v>
      </c>
      <c r="H4831" s="929">
        <v>0</v>
      </c>
      <c r="I4831" s="929">
        <v>4929</v>
      </c>
      <c r="J4831" s="689">
        <f t="shared" si="76"/>
        <v>1</v>
      </c>
    </row>
    <row r="4832" spans="1:10" ht="12.75" customHeight="1" x14ac:dyDescent="0.2">
      <c r="A4832" s="681" t="s">
        <v>2372</v>
      </c>
      <c r="B4832" s="693" t="s">
        <v>7380</v>
      </c>
      <c r="C4832" s="672" t="s">
        <v>1025</v>
      </c>
      <c r="D4832" s="673">
        <v>41771</v>
      </c>
      <c r="E4832" s="674">
        <v>3</v>
      </c>
      <c r="F4832" s="675">
        <v>0.33</v>
      </c>
      <c r="G4832" s="676">
        <v>4930</v>
      </c>
      <c r="H4832" s="929">
        <v>0</v>
      </c>
      <c r="I4832" s="929">
        <v>4929</v>
      </c>
      <c r="J4832" s="689">
        <f t="shared" si="76"/>
        <v>1</v>
      </c>
    </row>
    <row r="4833" spans="1:10" ht="12.75" customHeight="1" x14ac:dyDescent="0.2">
      <c r="A4833" s="681" t="s">
        <v>2372</v>
      </c>
      <c r="B4833" s="693" t="s">
        <v>7381</v>
      </c>
      <c r="C4833" s="672" t="s">
        <v>1025</v>
      </c>
      <c r="D4833" s="673">
        <v>41771</v>
      </c>
      <c r="E4833" s="674">
        <v>3</v>
      </c>
      <c r="F4833" s="675">
        <v>0.33</v>
      </c>
      <c r="G4833" s="676">
        <v>4930</v>
      </c>
      <c r="H4833" s="929">
        <v>0</v>
      </c>
      <c r="I4833" s="929">
        <v>4929</v>
      </c>
      <c r="J4833" s="689">
        <f t="shared" si="76"/>
        <v>1</v>
      </c>
    </row>
    <row r="4834" spans="1:10" ht="12.75" customHeight="1" x14ac:dyDescent="0.2">
      <c r="A4834" s="681" t="s">
        <v>2372</v>
      </c>
      <c r="B4834" s="693" t="s">
        <v>7382</v>
      </c>
      <c r="C4834" s="672" t="s">
        <v>1025</v>
      </c>
      <c r="D4834" s="673">
        <v>41771</v>
      </c>
      <c r="E4834" s="674">
        <v>3</v>
      </c>
      <c r="F4834" s="675">
        <v>0.33</v>
      </c>
      <c r="G4834" s="676">
        <v>4930</v>
      </c>
      <c r="H4834" s="929">
        <v>0</v>
      </c>
      <c r="I4834" s="929">
        <v>4929</v>
      </c>
      <c r="J4834" s="689">
        <f t="shared" si="76"/>
        <v>1</v>
      </c>
    </row>
    <row r="4835" spans="1:10" ht="12.75" customHeight="1" x14ac:dyDescent="0.2">
      <c r="A4835" s="681" t="s">
        <v>2372</v>
      </c>
      <c r="B4835" s="693" t="s">
        <v>7383</v>
      </c>
      <c r="C4835" s="672" t="s">
        <v>1025</v>
      </c>
      <c r="D4835" s="673">
        <v>41771</v>
      </c>
      <c r="E4835" s="674">
        <v>3</v>
      </c>
      <c r="F4835" s="675">
        <v>0.33</v>
      </c>
      <c r="G4835" s="676">
        <v>4930</v>
      </c>
      <c r="H4835" s="929">
        <v>0</v>
      </c>
      <c r="I4835" s="929">
        <v>4929</v>
      </c>
      <c r="J4835" s="689">
        <f t="shared" si="76"/>
        <v>1</v>
      </c>
    </row>
    <row r="4836" spans="1:10" ht="12.75" customHeight="1" x14ac:dyDescent="0.2">
      <c r="A4836" s="681" t="s">
        <v>2372</v>
      </c>
      <c r="B4836" s="693" t="s">
        <v>7384</v>
      </c>
      <c r="C4836" s="672" t="s">
        <v>1025</v>
      </c>
      <c r="D4836" s="673">
        <v>41771</v>
      </c>
      <c r="E4836" s="674">
        <v>3</v>
      </c>
      <c r="F4836" s="675">
        <v>0.33</v>
      </c>
      <c r="G4836" s="676">
        <v>4930</v>
      </c>
      <c r="H4836" s="929">
        <v>0</v>
      </c>
      <c r="I4836" s="929">
        <v>4929</v>
      </c>
      <c r="J4836" s="689">
        <f t="shared" si="76"/>
        <v>1</v>
      </c>
    </row>
    <row r="4837" spans="1:10" ht="12.75" customHeight="1" x14ac:dyDescent="0.2">
      <c r="A4837" s="681" t="s">
        <v>2372</v>
      </c>
      <c r="B4837" s="693" t="s">
        <v>7385</v>
      </c>
      <c r="C4837" s="672" t="s">
        <v>1025</v>
      </c>
      <c r="D4837" s="673">
        <v>41771</v>
      </c>
      <c r="E4837" s="674">
        <v>3</v>
      </c>
      <c r="F4837" s="675">
        <v>0.33</v>
      </c>
      <c r="G4837" s="676">
        <v>4930</v>
      </c>
      <c r="H4837" s="929">
        <v>0</v>
      </c>
      <c r="I4837" s="929">
        <v>4929</v>
      </c>
      <c r="J4837" s="689">
        <f t="shared" si="76"/>
        <v>1</v>
      </c>
    </row>
    <row r="4838" spans="1:10" ht="12.75" customHeight="1" x14ac:dyDescent="0.2">
      <c r="A4838" s="681" t="s">
        <v>2372</v>
      </c>
      <c r="B4838" s="693" t="s">
        <v>7386</v>
      </c>
      <c r="C4838" s="672" t="s">
        <v>1025</v>
      </c>
      <c r="D4838" s="673">
        <v>41771</v>
      </c>
      <c r="E4838" s="674">
        <v>3</v>
      </c>
      <c r="F4838" s="675">
        <v>0.33</v>
      </c>
      <c r="G4838" s="676">
        <v>4930</v>
      </c>
      <c r="H4838" s="929">
        <v>0</v>
      </c>
      <c r="I4838" s="929">
        <v>4929</v>
      </c>
      <c r="J4838" s="689">
        <f t="shared" si="76"/>
        <v>1</v>
      </c>
    </row>
    <row r="4839" spans="1:10" ht="12.75" customHeight="1" x14ac:dyDescent="0.2">
      <c r="A4839" s="681" t="s">
        <v>2372</v>
      </c>
      <c r="B4839" s="693" t="s">
        <v>7387</v>
      </c>
      <c r="C4839" s="672" t="s">
        <v>1025</v>
      </c>
      <c r="D4839" s="673">
        <v>41771</v>
      </c>
      <c r="E4839" s="674">
        <v>3</v>
      </c>
      <c r="F4839" s="675">
        <v>0.33</v>
      </c>
      <c r="G4839" s="676">
        <v>4930</v>
      </c>
      <c r="H4839" s="929">
        <v>0</v>
      </c>
      <c r="I4839" s="929">
        <v>4929</v>
      </c>
      <c r="J4839" s="689">
        <f t="shared" si="76"/>
        <v>1</v>
      </c>
    </row>
    <row r="4840" spans="1:10" ht="12.75" customHeight="1" x14ac:dyDescent="0.2">
      <c r="A4840" s="681" t="s">
        <v>2372</v>
      </c>
      <c r="B4840" s="693" t="s">
        <v>7388</v>
      </c>
      <c r="C4840" s="672" t="s">
        <v>1025</v>
      </c>
      <c r="D4840" s="673">
        <v>41771</v>
      </c>
      <c r="E4840" s="674">
        <v>3</v>
      </c>
      <c r="F4840" s="675">
        <v>0.33</v>
      </c>
      <c r="G4840" s="676">
        <v>4930</v>
      </c>
      <c r="H4840" s="929">
        <v>0</v>
      </c>
      <c r="I4840" s="929">
        <v>4929</v>
      </c>
      <c r="J4840" s="689">
        <f t="shared" si="76"/>
        <v>1</v>
      </c>
    </row>
    <row r="4841" spans="1:10" ht="12.75" customHeight="1" x14ac:dyDescent="0.2">
      <c r="A4841" s="681" t="s">
        <v>2372</v>
      </c>
      <c r="B4841" s="693" t="s">
        <v>7389</v>
      </c>
      <c r="C4841" s="672" t="s">
        <v>1025</v>
      </c>
      <c r="D4841" s="673">
        <v>41771</v>
      </c>
      <c r="E4841" s="674">
        <v>3</v>
      </c>
      <c r="F4841" s="675">
        <v>0.33</v>
      </c>
      <c r="G4841" s="676">
        <v>4930</v>
      </c>
      <c r="H4841" s="929">
        <v>0</v>
      </c>
      <c r="I4841" s="929">
        <v>4929</v>
      </c>
      <c r="J4841" s="689">
        <f t="shared" si="76"/>
        <v>1</v>
      </c>
    </row>
    <row r="4842" spans="1:10" ht="12.75" customHeight="1" x14ac:dyDescent="0.2">
      <c r="A4842" s="681" t="s">
        <v>2372</v>
      </c>
      <c r="B4842" s="693" t="s">
        <v>7390</v>
      </c>
      <c r="C4842" s="672" t="s">
        <v>1025</v>
      </c>
      <c r="D4842" s="673">
        <v>41771</v>
      </c>
      <c r="E4842" s="674">
        <v>3</v>
      </c>
      <c r="F4842" s="675">
        <v>0.33</v>
      </c>
      <c r="G4842" s="676">
        <v>4930</v>
      </c>
      <c r="H4842" s="929">
        <v>0</v>
      </c>
      <c r="I4842" s="929">
        <v>4929</v>
      </c>
      <c r="J4842" s="689">
        <f t="shared" si="76"/>
        <v>1</v>
      </c>
    </row>
    <row r="4843" spans="1:10" ht="12.75" customHeight="1" x14ac:dyDescent="0.2">
      <c r="A4843" s="681" t="s">
        <v>2372</v>
      </c>
      <c r="B4843" s="693" t="s">
        <v>7391</v>
      </c>
      <c r="C4843" s="672" t="s">
        <v>1025</v>
      </c>
      <c r="D4843" s="673">
        <v>41771</v>
      </c>
      <c r="E4843" s="674">
        <v>3</v>
      </c>
      <c r="F4843" s="675">
        <v>0.33</v>
      </c>
      <c r="G4843" s="676">
        <v>4930</v>
      </c>
      <c r="H4843" s="929">
        <v>0</v>
      </c>
      <c r="I4843" s="929">
        <v>4929</v>
      </c>
      <c r="J4843" s="689">
        <f t="shared" si="76"/>
        <v>1</v>
      </c>
    </row>
    <row r="4844" spans="1:10" ht="12.75" customHeight="1" x14ac:dyDescent="0.2">
      <c r="A4844" s="681" t="s">
        <v>2372</v>
      </c>
      <c r="B4844" s="693" t="s">
        <v>7392</v>
      </c>
      <c r="C4844" s="672" t="s">
        <v>1025</v>
      </c>
      <c r="D4844" s="673">
        <v>41771</v>
      </c>
      <c r="E4844" s="674">
        <v>3</v>
      </c>
      <c r="F4844" s="675">
        <v>0.33</v>
      </c>
      <c r="G4844" s="676">
        <v>4930</v>
      </c>
      <c r="H4844" s="929">
        <v>0</v>
      </c>
      <c r="I4844" s="929">
        <v>4929</v>
      </c>
      <c r="J4844" s="689">
        <f t="shared" si="76"/>
        <v>1</v>
      </c>
    </row>
    <row r="4845" spans="1:10" ht="12.75" customHeight="1" x14ac:dyDescent="0.2">
      <c r="A4845" s="681" t="s">
        <v>2372</v>
      </c>
      <c r="B4845" s="693" t="s">
        <v>7393</v>
      </c>
      <c r="C4845" s="672" t="s">
        <v>1025</v>
      </c>
      <c r="D4845" s="673">
        <v>41771</v>
      </c>
      <c r="E4845" s="674">
        <v>3</v>
      </c>
      <c r="F4845" s="675">
        <v>0.33</v>
      </c>
      <c r="G4845" s="676">
        <v>4930</v>
      </c>
      <c r="H4845" s="929">
        <v>0</v>
      </c>
      <c r="I4845" s="929">
        <v>4929</v>
      </c>
      <c r="J4845" s="689">
        <f t="shared" si="76"/>
        <v>1</v>
      </c>
    </row>
    <row r="4846" spans="1:10" ht="12.75" customHeight="1" x14ac:dyDescent="0.2">
      <c r="A4846" s="681" t="s">
        <v>2372</v>
      </c>
      <c r="B4846" s="693" t="s">
        <v>7394</v>
      </c>
      <c r="C4846" s="672" t="s">
        <v>1025</v>
      </c>
      <c r="D4846" s="673">
        <v>41771</v>
      </c>
      <c r="E4846" s="674">
        <v>3</v>
      </c>
      <c r="F4846" s="675">
        <v>0.33</v>
      </c>
      <c r="G4846" s="676">
        <v>4930</v>
      </c>
      <c r="H4846" s="929">
        <v>0</v>
      </c>
      <c r="I4846" s="929">
        <v>4929</v>
      </c>
      <c r="J4846" s="689">
        <f t="shared" si="76"/>
        <v>1</v>
      </c>
    </row>
    <row r="4847" spans="1:10" ht="12.75" customHeight="1" x14ac:dyDescent="0.2">
      <c r="A4847" s="681" t="s">
        <v>2372</v>
      </c>
      <c r="B4847" s="693" t="s">
        <v>7395</v>
      </c>
      <c r="C4847" s="672" t="s">
        <v>1025</v>
      </c>
      <c r="D4847" s="673">
        <v>41771</v>
      </c>
      <c r="E4847" s="674">
        <v>3</v>
      </c>
      <c r="F4847" s="675">
        <v>0.33</v>
      </c>
      <c r="G4847" s="676">
        <v>4930</v>
      </c>
      <c r="H4847" s="929">
        <v>0</v>
      </c>
      <c r="I4847" s="929">
        <v>4929</v>
      </c>
      <c r="J4847" s="689">
        <f t="shared" si="76"/>
        <v>1</v>
      </c>
    </row>
    <row r="4848" spans="1:10" ht="12.75" customHeight="1" x14ac:dyDescent="0.2">
      <c r="A4848" s="681" t="s">
        <v>2372</v>
      </c>
      <c r="B4848" s="693" t="s">
        <v>7396</v>
      </c>
      <c r="C4848" s="672" t="s">
        <v>1025</v>
      </c>
      <c r="D4848" s="673">
        <v>41771</v>
      </c>
      <c r="E4848" s="674">
        <v>3</v>
      </c>
      <c r="F4848" s="675">
        <v>0.33</v>
      </c>
      <c r="G4848" s="676">
        <v>4930</v>
      </c>
      <c r="H4848" s="929">
        <v>0</v>
      </c>
      <c r="I4848" s="929">
        <v>4929</v>
      </c>
      <c r="J4848" s="689">
        <f t="shared" si="76"/>
        <v>1</v>
      </c>
    </row>
    <row r="4849" spans="1:10" ht="12.75" customHeight="1" x14ac:dyDescent="0.2">
      <c r="A4849" s="681" t="s">
        <v>2372</v>
      </c>
      <c r="B4849" s="693" t="s">
        <v>7397</v>
      </c>
      <c r="C4849" s="672" t="s">
        <v>1025</v>
      </c>
      <c r="D4849" s="673">
        <v>41771</v>
      </c>
      <c r="E4849" s="674">
        <v>3</v>
      </c>
      <c r="F4849" s="675">
        <v>0.33</v>
      </c>
      <c r="G4849" s="676">
        <v>4930</v>
      </c>
      <c r="H4849" s="929">
        <v>0</v>
      </c>
      <c r="I4849" s="929">
        <v>4929</v>
      </c>
      <c r="J4849" s="689">
        <f t="shared" si="76"/>
        <v>1</v>
      </c>
    </row>
    <row r="4850" spans="1:10" ht="12.75" customHeight="1" x14ac:dyDescent="0.2">
      <c r="A4850" s="681" t="s">
        <v>2372</v>
      </c>
      <c r="B4850" s="693" t="s">
        <v>7398</v>
      </c>
      <c r="C4850" s="672" t="s">
        <v>1037</v>
      </c>
      <c r="D4850" s="673">
        <v>41771</v>
      </c>
      <c r="E4850" s="674">
        <v>3</v>
      </c>
      <c r="F4850" s="675">
        <v>0.33</v>
      </c>
      <c r="G4850" s="676">
        <v>7920</v>
      </c>
      <c r="H4850" s="929">
        <v>0</v>
      </c>
      <c r="I4850" s="929">
        <v>7919</v>
      </c>
      <c r="J4850" s="689">
        <f t="shared" si="76"/>
        <v>1</v>
      </c>
    </row>
    <row r="4851" spans="1:10" ht="12.75" customHeight="1" x14ac:dyDescent="0.2">
      <c r="A4851" s="681" t="s">
        <v>2370</v>
      </c>
      <c r="B4851" s="693" t="s">
        <v>7399</v>
      </c>
      <c r="C4851" s="672" t="s">
        <v>896</v>
      </c>
      <c r="D4851" s="673">
        <v>41774</v>
      </c>
      <c r="E4851" s="674">
        <v>3</v>
      </c>
      <c r="F4851" s="675">
        <v>0.33</v>
      </c>
      <c r="G4851" s="676">
        <v>568.4</v>
      </c>
      <c r="H4851" s="929">
        <v>0</v>
      </c>
      <c r="I4851" s="929">
        <v>567.4</v>
      </c>
      <c r="J4851" s="689">
        <f t="shared" si="76"/>
        <v>1</v>
      </c>
    </row>
    <row r="4852" spans="1:10" ht="12.75" customHeight="1" x14ac:dyDescent="0.2">
      <c r="A4852" s="681" t="s">
        <v>2372</v>
      </c>
      <c r="B4852" s="693" t="s">
        <v>7400</v>
      </c>
      <c r="C4852" s="672" t="s">
        <v>1020</v>
      </c>
      <c r="D4852" s="673">
        <v>41778</v>
      </c>
      <c r="E4852" s="674">
        <v>3</v>
      </c>
      <c r="F4852" s="675">
        <v>0.33</v>
      </c>
      <c r="G4852" s="676">
        <v>6345</v>
      </c>
      <c r="H4852" s="929">
        <v>0</v>
      </c>
      <c r="I4852" s="929">
        <v>6344</v>
      </c>
      <c r="J4852" s="689">
        <f t="shared" si="76"/>
        <v>1</v>
      </c>
    </row>
    <row r="4853" spans="1:10" ht="12.75" customHeight="1" x14ac:dyDescent="0.2">
      <c r="A4853" s="681" t="s">
        <v>2372</v>
      </c>
      <c r="B4853" s="693" t="s">
        <v>7401</v>
      </c>
      <c r="C4853" s="672" t="s">
        <v>1020</v>
      </c>
      <c r="D4853" s="673">
        <v>41778</v>
      </c>
      <c r="E4853" s="674">
        <v>3</v>
      </c>
      <c r="F4853" s="675">
        <v>0.33</v>
      </c>
      <c r="G4853" s="676">
        <v>6345</v>
      </c>
      <c r="H4853" s="929">
        <v>0</v>
      </c>
      <c r="I4853" s="929">
        <v>6344</v>
      </c>
      <c r="J4853" s="689">
        <f t="shared" si="76"/>
        <v>1</v>
      </c>
    </row>
    <row r="4854" spans="1:10" ht="12.75" customHeight="1" x14ac:dyDescent="0.2">
      <c r="A4854" s="681" t="s">
        <v>2372</v>
      </c>
      <c r="B4854" s="693" t="s">
        <v>7402</v>
      </c>
      <c r="C4854" s="672" t="s">
        <v>1020</v>
      </c>
      <c r="D4854" s="673">
        <v>41778</v>
      </c>
      <c r="E4854" s="674">
        <v>3</v>
      </c>
      <c r="F4854" s="675">
        <v>0.33</v>
      </c>
      <c r="G4854" s="676">
        <v>6345</v>
      </c>
      <c r="H4854" s="929">
        <v>0</v>
      </c>
      <c r="I4854" s="929">
        <v>6344</v>
      </c>
      <c r="J4854" s="689">
        <f t="shared" si="76"/>
        <v>1</v>
      </c>
    </row>
    <row r="4855" spans="1:10" ht="12.75" customHeight="1" x14ac:dyDescent="0.2">
      <c r="A4855" s="681" t="s">
        <v>2372</v>
      </c>
      <c r="B4855" s="693" t="s">
        <v>7403</v>
      </c>
      <c r="C4855" s="672" t="s">
        <v>1020</v>
      </c>
      <c r="D4855" s="673">
        <v>41778</v>
      </c>
      <c r="E4855" s="674">
        <v>3</v>
      </c>
      <c r="F4855" s="675">
        <v>0.33</v>
      </c>
      <c r="G4855" s="676">
        <v>6345</v>
      </c>
      <c r="H4855" s="929">
        <v>0</v>
      </c>
      <c r="I4855" s="929">
        <v>6344</v>
      </c>
      <c r="J4855" s="689">
        <f t="shared" si="76"/>
        <v>1</v>
      </c>
    </row>
    <row r="4856" spans="1:10" ht="12.75" customHeight="1" x14ac:dyDescent="0.2">
      <c r="A4856" s="681" t="s">
        <v>2370</v>
      </c>
      <c r="B4856" s="693" t="s">
        <v>7404</v>
      </c>
      <c r="C4856" s="672" t="s">
        <v>893</v>
      </c>
      <c r="D4856" s="673">
        <v>41779</v>
      </c>
      <c r="E4856" s="674">
        <v>3</v>
      </c>
      <c r="F4856" s="675">
        <v>0.33</v>
      </c>
      <c r="G4856" s="676">
        <v>1160</v>
      </c>
      <c r="H4856" s="929">
        <v>0</v>
      </c>
      <c r="I4856" s="929">
        <v>1159</v>
      </c>
      <c r="J4856" s="689">
        <f t="shared" si="76"/>
        <v>1</v>
      </c>
    </row>
    <row r="4857" spans="1:10" ht="12.75" customHeight="1" x14ac:dyDescent="0.2">
      <c r="A4857" s="681" t="s">
        <v>2370</v>
      </c>
      <c r="B4857" s="693" t="s">
        <v>7405</v>
      </c>
      <c r="C4857" s="672" t="s">
        <v>895</v>
      </c>
      <c r="D4857" s="673">
        <v>41779</v>
      </c>
      <c r="E4857" s="674">
        <v>3</v>
      </c>
      <c r="F4857" s="675">
        <v>0.33</v>
      </c>
      <c r="G4857" s="676">
        <v>1296</v>
      </c>
      <c r="H4857" s="929">
        <v>0</v>
      </c>
      <c r="I4857" s="929">
        <v>1295</v>
      </c>
      <c r="J4857" s="689">
        <f t="shared" si="76"/>
        <v>1</v>
      </c>
    </row>
    <row r="4858" spans="1:10" ht="12.75" customHeight="1" x14ac:dyDescent="0.2">
      <c r="A4858" s="681" t="s">
        <v>2370</v>
      </c>
      <c r="B4858" s="693" t="s">
        <v>7406</v>
      </c>
      <c r="C4858" s="672" t="s">
        <v>895</v>
      </c>
      <c r="D4858" s="673">
        <v>41779</v>
      </c>
      <c r="E4858" s="674">
        <v>3</v>
      </c>
      <c r="F4858" s="675">
        <v>0.33</v>
      </c>
      <c r="G4858" s="676">
        <v>1296</v>
      </c>
      <c r="H4858" s="929">
        <v>0</v>
      </c>
      <c r="I4858" s="929">
        <v>1295</v>
      </c>
      <c r="J4858" s="689">
        <f t="shared" si="76"/>
        <v>1</v>
      </c>
    </row>
    <row r="4859" spans="1:10" ht="12.75" customHeight="1" x14ac:dyDescent="0.2">
      <c r="A4859" s="681" t="s">
        <v>2370</v>
      </c>
      <c r="B4859" s="693" t="s">
        <v>7407</v>
      </c>
      <c r="C4859" s="672" t="s">
        <v>892</v>
      </c>
      <c r="D4859" s="673">
        <v>41779</v>
      </c>
      <c r="E4859" s="674">
        <v>3</v>
      </c>
      <c r="F4859" s="675">
        <v>0.33</v>
      </c>
      <c r="G4859" s="676">
        <v>5266</v>
      </c>
      <c r="H4859" s="929">
        <v>0</v>
      </c>
      <c r="I4859" s="929">
        <v>5265</v>
      </c>
      <c r="J4859" s="689">
        <f t="shared" si="76"/>
        <v>1</v>
      </c>
    </row>
    <row r="4860" spans="1:10" ht="12.75" customHeight="1" x14ac:dyDescent="0.2">
      <c r="A4860" s="681" t="s">
        <v>2372</v>
      </c>
      <c r="B4860" s="693" t="s">
        <v>7408</v>
      </c>
      <c r="C4860" s="672" t="s">
        <v>1016</v>
      </c>
      <c r="D4860" s="673">
        <v>41781</v>
      </c>
      <c r="E4860" s="674">
        <v>3</v>
      </c>
      <c r="F4860" s="675">
        <v>0.33</v>
      </c>
      <c r="G4860" s="676">
        <v>812</v>
      </c>
      <c r="H4860" s="929">
        <v>0</v>
      </c>
      <c r="I4860" s="929">
        <v>811</v>
      </c>
      <c r="J4860" s="689">
        <f t="shared" si="76"/>
        <v>1</v>
      </c>
    </row>
    <row r="4861" spans="1:10" ht="12.75" customHeight="1" x14ac:dyDescent="0.2">
      <c r="A4861" s="681" t="s">
        <v>2372</v>
      </c>
      <c r="B4861" s="693" t="s">
        <v>7409</v>
      </c>
      <c r="C4861" s="672" t="s">
        <v>1016</v>
      </c>
      <c r="D4861" s="673">
        <v>41781</v>
      </c>
      <c r="E4861" s="674">
        <v>3</v>
      </c>
      <c r="F4861" s="675">
        <v>0.33</v>
      </c>
      <c r="G4861" s="676">
        <v>812</v>
      </c>
      <c r="H4861" s="929">
        <v>0</v>
      </c>
      <c r="I4861" s="929">
        <v>811</v>
      </c>
      <c r="J4861" s="689">
        <f t="shared" si="76"/>
        <v>1</v>
      </c>
    </row>
    <row r="4862" spans="1:10" ht="12.75" customHeight="1" x14ac:dyDescent="0.2">
      <c r="A4862" s="681" t="s">
        <v>2372</v>
      </c>
      <c r="B4862" s="693" t="s">
        <v>7410</v>
      </c>
      <c r="C4862" s="672" t="s">
        <v>1016</v>
      </c>
      <c r="D4862" s="673">
        <v>41781</v>
      </c>
      <c r="E4862" s="674">
        <v>3</v>
      </c>
      <c r="F4862" s="675">
        <v>0.33</v>
      </c>
      <c r="G4862" s="676">
        <v>812</v>
      </c>
      <c r="H4862" s="929">
        <v>0</v>
      </c>
      <c r="I4862" s="929">
        <v>811</v>
      </c>
      <c r="J4862" s="689">
        <f t="shared" si="76"/>
        <v>1</v>
      </c>
    </row>
    <row r="4863" spans="1:10" ht="12.75" customHeight="1" x14ac:dyDescent="0.2">
      <c r="A4863" s="681" t="s">
        <v>2372</v>
      </c>
      <c r="B4863" s="693" t="s">
        <v>7411</v>
      </c>
      <c r="C4863" s="672" t="s">
        <v>1016</v>
      </c>
      <c r="D4863" s="673">
        <v>41781</v>
      </c>
      <c r="E4863" s="674">
        <v>3</v>
      </c>
      <c r="F4863" s="675">
        <v>0.33</v>
      </c>
      <c r="G4863" s="676">
        <v>812</v>
      </c>
      <c r="H4863" s="929">
        <v>0</v>
      </c>
      <c r="I4863" s="929">
        <v>811</v>
      </c>
      <c r="J4863" s="689">
        <f t="shared" si="76"/>
        <v>1</v>
      </c>
    </row>
    <row r="4864" spans="1:10" ht="12.75" customHeight="1" x14ac:dyDescent="0.2">
      <c r="A4864" s="681" t="s">
        <v>2372</v>
      </c>
      <c r="B4864" s="693" t="s">
        <v>7412</v>
      </c>
      <c r="C4864" s="672" t="s">
        <v>1016</v>
      </c>
      <c r="D4864" s="673">
        <v>41781</v>
      </c>
      <c r="E4864" s="674">
        <v>3</v>
      </c>
      <c r="F4864" s="675">
        <v>0.33</v>
      </c>
      <c r="G4864" s="676">
        <v>812</v>
      </c>
      <c r="H4864" s="929">
        <v>0</v>
      </c>
      <c r="I4864" s="929">
        <v>811</v>
      </c>
      <c r="J4864" s="689">
        <f t="shared" si="76"/>
        <v>1</v>
      </c>
    </row>
    <row r="4865" spans="1:10" ht="12.75" customHeight="1" x14ac:dyDescent="0.2">
      <c r="A4865" s="681" t="s">
        <v>2372</v>
      </c>
      <c r="B4865" s="693" t="s">
        <v>7413</v>
      </c>
      <c r="C4865" s="672" t="s">
        <v>1016</v>
      </c>
      <c r="D4865" s="673">
        <v>41781</v>
      </c>
      <c r="E4865" s="674">
        <v>3</v>
      </c>
      <c r="F4865" s="675">
        <v>0.33</v>
      </c>
      <c r="G4865" s="676">
        <v>812</v>
      </c>
      <c r="H4865" s="929">
        <v>0</v>
      </c>
      <c r="I4865" s="929">
        <v>811</v>
      </c>
      <c r="J4865" s="689">
        <f t="shared" si="76"/>
        <v>1</v>
      </c>
    </row>
    <row r="4866" spans="1:10" ht="12.75" customHeight="1" x14ac:dyDescent="0.2">
      <c r="A4866" s="681" t="s">
        <v>2372</v>
      </c>
      <c r="B4866" s="693" t="s">
        <v>7414</v>
      </c>
      <c r="C4866" s="672" t="s">
        <v>1016</v>
      </c>
      <c r="D4866" s="673">
        <v>41781</v>
      </c>
      <c r="E4866" s="674">
        <v>3</v>
      </c>
      <c r="F4866" s="675">
        <v>0.33</v>
      </c>
      <c r="G4866" s="676">
        <v>812</v>
      </c>
      <c r="H4866" s="929">
        <v>0</v>
      </c>
      <c r="I4866" s="929">
        <v>811</v>
      </c>
      <c r="J4866" s="689">
        <f t="shared" si="76"/>
        <v>1</v>
      </c>
    </row>
    <row r="4867" spans="1:10" ht="12.75" customHeight="1" x14ac:dyDescent="0.2">
      <c r="A4867" s="681" t="s">
        <v>2372</v>
      </c>
      <c r="B4867" s="693" t="s">
        <v>7415</v>
      </c>
      <c r="C4867" s="672" t="s">
        <v>1016</v>
      </c>
      <c r="D4867" s="673">
        <v>41781</v>
      </c>
      <c r="E4867" s="674">
        <v>3</v>
      </c>
      <c r="F4867" s="675">
        <v>0.33</v>
      </c>
      <c r="G4867" s="676">
        <v>812</v>
      </c>
      <c r="H4867" s="929">
        <v>0</v>
      </c>
      <c r="I4867" s="929">
        <v>811</v>
      </c>
      <c r="J4867" s="689">
        <f t="shared" si="76"/>
        <v>1</v>
      </c>
    </row>
    <row r="4868" spans="1:10" ht="12.75" customHeight="1" x14ac:dyDescent="0.2">
      <c r="A4868" s="681" t="s">
        <v>2372</v>
      </c>
      <c r="B4868" s="693" t="s">
        <v>7416</v>
      </c>
      <c r="C4868" s="672" t="s">
        <v>1020</v>
      </c>
      <c r="D4868" s="673">
        <v>41781</v>
      </c>
      <c r="E4868" s="674">
        <v>3</v>
      </c>
      <c r="F4868" s="675">
        <v>0.33</v>
      </c>
      <c r="G4868" s="676">
        <v>882</v>
      </c>
      <c r="H4868" s="929">
        <v>0</v>
      </c>
      <c r="I4868" s="929">
        <v>881</v>
      </c>
      <c r="J4868" s="689">
        <f t="shared" si="76"/>
        <v>1</v>
      </c>
    </row>
    <row r="4869" spans="1:10" ht="12.75" customHeight="1" x14ac:dyDescent="0.2">
      <c r="A4869" s="681" t="s">
        <v>2372</v>
      </c>
      <c r="B4869" s="693" t="s">
        <v>7417</v>
      </c>
      <c r="C4869" s="672" t="s">
        <v>1016</v>
      </c>
      <c r="D4869" s="673">
        <v>41781</v>
      </c>
      <c r="E4869" s="674">
        <v>3</v>
      </c>
      <c r="F4869" s="675">
        <v>0.33</v>
      </c>
      <c r="G4869" s="676">
        <v>1044</v>
      </c>
      <c r="H4869" s="929">
        <v>0</v>
      </c>
      <c r="I4869" s="929">
        <v>1043</v>
      </c>
      <c r="J4869" s="689">
        <f t="shared" si="76"/>
        <v>1</v>
      </c>
    </row>
    <row r="4870" spans="1:10" ht="12.75" customHeight="1" x14ac:dyDescent="0.2">
      <c r="A4870" s="681" t="s">
        <v>2372</v>
      </c>
      <c r="B4870" s="693" t="s">
        <v>7418</v>
      </c>
      <c r="C4870" s="672" t="s">
        <v>1016</v>
      </c>
      <c r="D4870" s="673">
        <v>41781</v>
      </c>
      <c r="E4870" s="674">
        <v>3</v>
      </c>
      <c r="F4870" s="675">
        <v>0.33</v>
      </c>
      <c r="G4870" s="676">
        <v>1044</v>
      </c>
      <c r="H4870" s="929">
        <v>0</v>
      </c>
      <c r="I4870" s="929">
        <v>1043</v>
      </c>
      <c r="J4870" s="689">
        <f t="shared" si="76"/>
        <v>1</v>
      </c>
    </row>
    <row r="4871" spans="1:10" ht="12.75" customHeight="1" x14ac:dyDescent="0.2">
      <c r="A4871" s="681" t="s">
        <v>2372</v>
      </c>
      <c r="B4871" s="693" t="s">
        <v>7419</v>
      </c>
      <c r="C4871" s="672" t="s">
        <v>1016</v>
      </c>
      <c r="D4871" s="673">
        <v>41781</v>
      </c>
      <c r="E4871" s="674">
        <v>3</v>
      </c>
      <c r="F4871" s="675">
        <v>0.33</v>
      </c>
      <c r="G4871" s="676">
        <v>1044</v>
      </c>
      <c r="H4871" s="929">
        <v>0</v>
      </c>
      <c r="I4871" s="929">
        <v>1043</v>
      </c>
      <c r="J4871" s="689">
        <f t="shared" ref="J4871:J4932" si="77">G4871-I4871</f>
        <v>1</v>
      </c>
    </row>
    <row r="4872" spans="1:10" ht="12.75" customHeight="1" x14ac:dyDescent="0.2">
      <c r="A4872" s="681" t="s">
        <v>2372</v>
      </c>
      <c r="B4872" s="693" t="s">
        <v>7420</v>
      </c>
      <c r="C4872" s="672" t="s">
        <v>895</v>
      </c>
      <c r="D4872" s="673">
        <v>41781</v>
      </c>
      <c r="E4872" s="674">
        <v>3</v>
      </c>
      <c r="F4872" s="675">
        <v>0.33</v>
      </c>
      <c r="G4872" s="676">
        <v>1296.04</v>
      </c>
      <c r="H4872" s="929">
        <v>0</v>
      </c>
      <c r="I4872" s="929">
        <v>1295.04</v>
      </c>
      <c r="J4872" s="689">
        <f t="shared" si="77"/>
        <v>1</v>
      </c>
    </row>
    <row r="4873" spans="1:10" ht="12.75" customHeight="1" x14ac:dyDescent="0.2">
      <c r="A4873" s="681" t="s">
        <v>2372</v>
      </c>
      <c r="B4873" s="693" t="s">
        <v>7421</v>
      </c>
      <c r="C4873" s="672" t="s">
        <v>1011</v>
      </c>
      <c r="D4873" s="673">
        <v>41781</v>
      </c>
      <c r="E4873" s="674">
        <v>3</v>
      </c>
      <c r="F4873" s="675">
        <v>0.33</v>
      </c>
      <c r="G4873" s="676">
        <v>2943.3</v>
      </c>
      <c r="H4873" s="929">
        <v>0</v>
      </c>
      <c r="I4873" s="929">
        <v>2942.3</v>
      </c>
      <c r="J4873" s="689">
        <f t="shared" si="77"/>
        <v>1</v>
      </c>
    </row>
    <row r="4874" spans="1:10" ht="12.75" customHeight="1" x14ac:dyDescent="0.2">
      <c r="A4874" s="681" t="s">
        <v>2372</v>
      </c>
      <c r="B4874" s="693" t="s">
        <v>7422</v>
      </c>
      <c r="C4874" s="672" t="s">
        <v>1011</v>
      </c>
      <c r="D4874" s="673">
        <v>41781</v>
      </c>
      <c r="E4874" s="674">
        <v>3</v>
      </c>
      <c r="F4874" s="675">
        <v>0.33</v>
      </c>
      <c r="G4874" s="676">
        <v>2943.3</v>
      </c>
      <c r="H4874" s="929">
        <v>0</v>
      </c>
      <c r="I4874" s="929">
        <v>2942.3</v>
      </c>
      <c r="J4874" s="689">
        <f t="shared" si="77"/>
        <v>1</v>
      </c>
    </row>
    <row r="4875" spans="1:10" ht="12.75" customHeight="1" x14ac:dyDescent="0.2">
      <c r="A4875" s="681" t="s">
        <v>2370</v>
      </c>
      <c r="B4875" s="693" t="s">
        <v>7423</v>
      </c>
      <c r="C4875" s="672" t="s">
        <v>895</v>
      </c>
      <c r="D4875" s="673">
        <v>41781</v>
      </c>
      <c r="E4875" s="674">
        <v>3</v>
      </c>
      <c r="F4875" s="675">
        <v>0.33</v>
      </c>
      <c r="G4875" s="676">
        <v>4301</v>
      </c>
      <c r="H4875" s="929">
        <v>0</v>
      </c>
      <c r="I4875" s="929">
        <v>4300</v>
      </c>
      <c r="J4875" s="689">
        <f t="shared" si="77"/>
        <v>1</v>
      </c>
    </row>
    <row r="4876" spans="1:10" ht="12.75" customHeight="1" x14ac:dyDescent="0.2">
      <c r="A4876" s="681" t="s">
        <v>2370</v>
      </c>
      <c r="B4876" s="693" t="s">
        <v>7424</v>
      </c>
      <c r="C4876" s="672" t="s">
        <v>895</v>
      </c>
      <c r="D4876" s="673">
        <v>41781</v>
      </c>
      <c r="E4876" s="674">
        <v>3</v>
      </c>
      <c r="F4876" s="675">
        <v>0.33</v>
      </c>
      <c r="G4876" s="676">
        <v>4301</v>
      </c>
      <c r="H4876" s="929">
        <v>0</v>
      </c>
      <c r="I4876" s="929">
        <v>4300</v>
      </c>
      <c r="J4876" s="689">
        <f t="shared" si="77"/>
        <v>1</v>
      </c>
    </row>
    <row r="4877" spans="1:10" ht="12.75" customHeight="1" x14ac:dyDescent="0.2">
      <c r="A4877" s="681" t="s">
        <v>2372</v>
      </c>
      <c r="B4877" s="693" t="s">
        <v>7425</v>
      </c>
      <c r="C4877" s="672" t="s">
        <v>895</v>
      </c>
      <c r="D4877" s="673">
        <v>41781</v>
      </c>
      <c r="E4877" s="674">
        <v>3</v>
      </c>
      <c r="F4877" s="675">
        <v>0.33</v>
      </c>
      <c r="G4877" s="676">
        <v>4301.33</v>
      </c>
      <c r="H4877" s="929">
        <v>0</v>
      </c>
      <c r="I4877" s="929">
        <v>4300.33</v>
      </c>
      <c r="J4877" s="689">
        <f t="shared" si="77"/>
        <v>1</v>
      </c>
    </row>
    <row r="4878" spans="1:10" ht="12.75" customHeight="1" x14ac:dyDescent="0.2">
      <c r="A4878" s="681" t="s">
        <v>2372</v>
      </c>
      <c r="B4878" s="693" t="s">
        <v>7426</v>
      </c>
      <c r="C4878" s="672" t="s">
        <v>895</v>
      </c>
      <c r="D4878" s="673">
        <v>41781</v>
      </c>
      <c r="E4878" s="674">
        <v>3</v>
      </c>
      <c r="F4878" s="675">
        <v>0.33</v>
      </c>
      <c r="G4878" s="676">
        <v>4301.33</v>
      </c>
      <c r="H4878" s="929">
        <v>0</v>
      </c>
      <c r="I4878" s="929">
        <v>4300.33</v>
      </c>
      <c r="J4878" s="689">
        <f t="shared" si="77"/>
        <v>1</v>
      </c>
    </row>
    <row r="4879" spans="1:10" ht="12.75" customHeight="1" x14ac:dyDescent="0.2">
      <c r="A4879" s="681" t="s">
        <v>2372</v>
      </c>
      <c r="B4879" s="693" t="s">
        <v>7427</v>
      </c>
      <c r="C4879" s="672" t="s">
        <v>895</v>
      </c>
      <c r="D4879" s="673">
        <v>41781</v>
      </c>
      <c r="E4879" s="674">
        <v>3</v>
      </c>
      <c r="F4879" s="675">
        <v>0.33</v>
      </c>
      <c r="G4879" s="676">
        <v>4960</v>
      </c>
      <c r="H4879" s="929">
        <v>0</v>
      </c>
      <c r="I4879" s="929">
        <v>4959</v>
      </c>
      <c r="J4879" s="689">
        <f t="shared" si="77"/>
        <v>1</v>
      </c>
    </row>
    <row r="4880" spans="1:10" ht="12.75" customHeight="1" x14ac:dyDescent="0.2">
      <c r="A4880" s="681" t="s">
        <v>2372</v>
      </c>
      <c r="B4880" s="693" t="s">
        <v>7428</v>
      </c>
      <c r="C4880" s="672" t="s">
        <v>895</v>
      </c>
      <c r="D4880" s="673">
        <v>41781</v>
      </c>
      <c r="E4880" s="674">
        <v>3</v>
      </c>
      <c r="F4880" s="675">
        <v>0.33</v>
      </c>
      <c r="G4880" s="676">
        <v>4960</v>
      </c>
      <c r="H4880" s="929">
        <v>0</v>
      </c>
      <c r="I4880" s="929">
        <v>4959</v>
      </c>
      <c r="J4880" s="689">
        <f t="shared" si="77"/>
        <v>1</v>
      </c>
    </row>
    <row r="4881" spans="1:10" ht="12.75" customHeight="1" x14ac:dyDescent="0.2">
      <c r="A4881" s="681" t="s">
        <v>2372</v>
      </c>
      <c r="B4881" s="693" t="s">
        <v>7429</v>
      </c>
      <c r="C4881" s="672" t="s">
        <v>1034</v>
      </c>
      <c r="D4881" s="673">
        <v>41781</v>
      </c>
      <c r="E4881" s="674">
        <v>3</v>
      </c>
      <c r="F4881" s="675">
        <v>0.33</v>
      </c>
      <c r="G4881" s="676">
        <v>6400</v>
      </c>
      <c r="H4881" s="929">
        <v>0</v>
      </c>
      <c r="I4881" s="929">
        <v>6399</v>
      </c>
      <c r="J4881" s="689">
        <f t="shared" si="77"/>
        <v>1</v>
      </c>
    </row>
    <row r="4882" spans="1:10" ht="12.75" customHeight="1" x14ac:dyDescent="0.2">
      <c r="A4882" s="681" t="s">
        <v>2370</v>
      </c>
      <c r="B4882" s="693" t="s">
        <v>7430</v>
      </c>
      <c r="C4882" s="672" t="s">
        <v>895</v>
      </c>
      <c r="D4882" s="673">
        <v>41781</v>
      </c>
      <c r="E4882" s="674">
        <v>3</v>
      </c>
      <c r="F4882" s="675">
        <v>0.33</v>
      </c>
      <c r="G4882" s="676">
        <v>6776</v>
      </c>
      <c r="H4882" s="929">
        <v>0</v>
      </c>
      <c r="I4882" s="929">
        <v>6775</v>
      </c>
      <c r="J4882" s="689">
        <f t="shared" si="77"/>
        <v>1</v>
      </c>
    </row>
    <row r="4883" spans="1:10" ht="12.75" customHeight="1" x14ac:dyDescent="0.2">
      <c r="A4883" s="681" t="s">
        <v>2370</v>
      </c>
      <c r="B4883" s="693" t="s">
        <v>7431</v>
      </c>
      <c r="C4883" s="672" t="s">
        <v>886</v>
      </c>
      <c r="D4883" s="673">
        <v>41781</v>
      </c>
      <c r="E4883" s="674">
        <v>3</v>
      </c>
      <c r="F4883" s="675">
        <v>0.33</v>
      </c>
      <c r="G4883" s="676">
        <v>6999</v>
      </c>
      <c r="H4883" s="929">
        <v>0</v>
      </c>
      <c r="I4883" s="929">
        <v>6998</v>
      </c>
      <c r="J4883" s="689">
        <f t="shared" si="77"/>
        <v>1</v>
      </c>
    </row>
    <row r="4884" spans="1:10" ht="12.75" customHeight="1" x14ac:dyDescent="0.2">
      <c r="A4884" s="681"/>
      <c r="B4884" s="693"/>
      <c r="C4884" s="672"/>
      <c r="D4884" s="673"/>
      <c r="E4884" s="674"/>
      <c r="F4884" s="675"/>
      <c r="G4884" s="676"/>
      <c r="H4884" s="929"/>
      <c r="I4884" s="929"/>
      <c r="J4884" s="689"/>
    </row>
    <row r="4885" spans="1:10" ht="12.75" customHeight="1" x14ac:dyDescent="0.2">
      <c r="A4885" s="681" t="s">
        <v>2372</v>
      </c>
      <c r="B4885" s="693" t="s">
        <v>7432</v>
      </c>
      <c r="C4885" s="672" t="s">
        <v>1035</v>
      </c>
      <c r="D4885" s="673">
        <v>41781</v>
      </c>
      <c r="E4885" s="674">
        <v>3</v>
      </c>
      <c r="F4885" s="675">
        <v>0.33</v>
      </c>
      <c r="G4885" s="676">
        <v>11890</v>
      </c>
      <c r="H4885" s="929">
        <v>0</v>
      </c>
      <c r="I4885" s="929">
        <v>11889</v>
      </c>
      <c r="J4885" s="689">
        <f t="shared" si="77"/>
        <v>1</v>
      </c>
    </row>
    <row r="4886" spans="1:10" ht="12.75" customHeight="1" x14ac:dyDescent="0.2">
      <c r="A4886" s="681" t="s">
        <v>2370</v>
      </c>
      <c r="B4886" s="693" t="s">
        <v>7433</v>
      </c>
      <c r="C4886" s="672" t="s">
        <v>885</v>
      </c>
      <c r="D4886" s="673">
        <v>41799</v>
      </c>
      <c r="E4886" s="674">
        <v>3</v>
      </c>
      <c r="F4886" s="675">
        <v>0.33</v>
      </c>
      <c r="G4886" s="676">
        <v>11354.99</v>
      </c>
      <c r="H4886" s="929">
        <v>0</v>
      </c>
      <c r="I4886" s="929">
        <v>11353.99015</v>
      </c>
      <c r="J4886" s="689">
        <f t="shared" si="77"/>
        <v>0.99985000000015134</v>
      </c>
    </row>
    <row r="4887" spans="1:10" ht="12.75" customHeight="1" x14ac:dyDescent="0.2">
      <c r="A4887" s="681" t="s">
        <v>2370</v>
      </c>
      <c r="B4887" s="693" t="s">
        <v>7434</v>
      </c>
      <c r="C4887" s="672" t="s">
        <v>885</v>
      </c>
      <c r="D4887" s="673">
        <v>41799</v>
      </c>
      <c r="E4887" s="674">
        <v>3</v>
      </c>
      <c r="F4887" s="675">
        <v>0.33</v>
      </c>
      <c r="G4887" s="676">
        <v>11354.99</v>
      </c>
      <c r="H4887" s="929">
        <v>0</v>
      </c>
      <c r="I4887" s="929">
        <v>11353.99015</v>
      </c>
      <c r="J4887" s="689">
        <f t="shared" si="77"/>
        <v>0.99985000000015134</v>
      </c>
    </row>
    <row r="4888" spans="1:10" ht="12.75" customHeight="1" x14ac:dyDescent="0.2">
      <c r="A4888" s="681" t="s">
        <v>2370</v>
      </c>
      <c r="B4888" s="693" t="s">
        <v>7435</v>
      </c>
      <c r="C4888" s="672" t="s">
        <v>885</v>
      </c>
      <c r="D4888" s="673">
        <v>41799</v>
      </c>
      <c r="E4888" s="674">
        <v>3</v>
      </c>
      <c r="F4888" s="675">
        <v>0.33</v>
      </c>
      <c r="G4888" s="676">
        <v>11354.99</v>
      </c>
      <c r="H4888" s="929">
        <v>0</v>
      </c>
      <c r="I4888" s="929">
        <v>11353.99015</v>
      </c>
      <c r="J4888" s="689">
        <f t="shared" si="77"/>
        <v>0.99985000000015134</v>
      </c>
    </row>
    <row r="4889" spans="1:10" ht="12.75" customHeight="1" x14ac:dyDescent="0.2">
      <c r="A4889" s="681" t="s">
        <v>2370</v>
      </c>
      <c r="B4889" s="693" t="s">
        <v>7436</v>
      </c>
      <c r="C4889" s="672" t="s">
        <v>885</v>
      </c>
      <c r="D4889" s="673">
        <v>41799</v>
      </c>
      <c r="E4889" s="674">
        <v>3</v>
      </c>
      <c r="F4889" s="675">
        <v>0.33</v>
      </c>
      <c r="G4889" s="676">
        <v>11355</v>
      </c>
      <c r="H4889" s="929">
        <v>0</v>
      </c>
      <c r="I4889" s="929">
        <v>11354</v>
      </c>
      <c r="J4889" s="689">
        <f t="shared" si="77"/>
        <v>1</v>
      </c>
    </row>
    <row r="4890" spans="1:10" ht="12.75" customHeight="1" x14ac:dyDescent="0.2">
      <c r="A4890" s="681" t="s">
        <v>2372</v>
      </c>
      <c r="B4890" s="693" t="s">
        <v>7437</v>
      </c>
      <c r="C4890" s="672" t="s">
        <v>1020</v>
      </c>
      <c r="D4890" s="673">
        <v>41808</v>
      </c>
      <c r="E4890" s="674">
        <v>3</v>
      </c>
      <c r="F4890" s="675">
        <v>0.33</v>
      </c>
      <c r="G4890" s="676">
        <v>580</v>
      </c>
      <c r="H4890" s="929">
        <v>0</v>
      </c>
      <c r="I4890" s="929">
        <v>579</v>
      </c>
      <c r="J4890" s="689">
        <f t="shared" si="77"/>
        <v>1</v>
      </c>
    </row>
    <row r="4891" spans="1:10" ht="12.75" customHeight="1" x14ac:dyDescent="0.2">
      <c r="A4891" s="681" t="s">
        <v>2372</v>
      </c>
      <c r="B4891" s="693" t="s">
        <v>7438</v>
      </c>
      <c r="C4891" s="672" t="s">
        <v>1020</v>
      </c>
      <c r="D4891" s="673">
        <v>41808</v>
      </c>
      <c r="E4891" s="674">
        <v>3</v>
      </c>
      <c r="F4891" s="675">
        <v>0.33</v>
      </c>
      <c r="G4891" s="676">
        <v>580</v>
      </c>
      <c r="H4891" s="929">
        <v>0</v>
      </c>
      <c r="I4891" s="929">
        <v>579</v>
      </c>
      <c r="J4891" s="689">
        <f t="shared" si="77"/>
        <v>1</v>
      </c>
    </row>
    <row r="4892" spans="1:10" ht="12.75" customHeight="1" x14ac:dyDescent="0.2">
      <c r="A4892" s="681" t="s">
        <v>2371</v>
      </c>
      <c r="B4892" s="693" t="s">
        <v>7439</v>
      </c>
      <c r="C4892" s="672" t="s">
        <v>972</v>
      </c>
      <c r="D4892" s="673">
        <v>41821</v>
      </c>
      <c r="E4892" s="674">
        <v>3</v>
      </c>
      <c r="F4892" s="675">
        <v>0.33</v>
      </c>
      <c r="G4892" s="676">
        <v>1579.98</v>
      </c>
      <c r="H4892" s="929">
        <v>0</v>
      </c>
      <c r="I4892" s="929">
        <v>1578.9802500000001</v>
      </c>
      <c r="J4892" s="689">
        <f t="shared" si="77"/>
        <v>0.99974999999994907</v>
      </c>
    </row>
    <row r="4893" spans="1:10" ht="12.75" customHeight="1" x14ac:dyDescent="0.2">
      <c r="A4893" s="681" t="s">
        <v>2371</v>
      </c>
      <c r="B4893" s="693" t="s">
        <v>7440</v>
      </c>
      <c r="C4893" s="672" t="s">
        <v>972</v>
      </c>
      <c r="D4893" s="673">
        <v>41821</v>
      </c>
      <c r="E4893" s="674">
        <v>3</v>
      </c>
      <c r="F4893" s="675">
        <v>0.33</v>
      </c>
      <c r="G4893" s="676">
        <v>1912.48</v>
      </c>
      <c r="H4893" s="929">
        <v>0</v>
      </c>
      <c r="I4893" s="929">
        <v>1911.4752000000001</v>
      </c>
      <c r="J4893" s="689">
        <f t="shared" si="77"/>
        <v>1.004799999999932</v>
      </c>
    </row>
    <row r="4894" spans="1:10" ht="12.75" customHeight="1" x14ac:dyDescent="0.2">
      <c r="A4894" s="681" t="s">
        <v>2371</v>
      </c>
      <c r="B4894" s="693" t="s">
        <v>7441</v>
      </c>
      <c r="C4894" s="672" t="s">
        <v>972</v>
      </c>
      <c r="D4894" s="673">
        <v>41821</v>
      </c>
      <c r="E4894" s="674">
        <v>3</v>
      </c>
      <c r="F4894" s="675">
        <v>0.33</v>
      </c>
      <c r="G4894" s="676">
        <v>1912.48</v>
      </c>
      <c r="H4894" s="929">
        <v>0</v>
      </c>
      <c r="I4894" s="929">
        <v>1911.4752000000001</v>
      </c>
      <c r="J4894" s="689">
        <f t="shared" si="77"/>
        <v>1.004799999999932</v>
      </c>
    </row>
    <row r="4895" spans="1:10" ht="12.75" customHeight="1" x14ac:dyDescent="0.2">
      <c r="A4895" s="681" t="s">
        <v>2370</v>
      </c>
      <c r="B4895" s="693" t="s">
        <v>7442</v>
      </c>
      <c r="C4895" s="672" t="s">
        <v>888</v>
      </c>
      <c r="D4895" s="673">
        <v>41821</v>
      </c>
      <c r="E4895" s="674">
        <v>3</v>
      </c>
      <c r="F4895" s="675">
        <v>0.33</v>
      </c>
      <c r="G4895" s="676">
        <v>86582.5</v>
      </c>
      <c r="H4895" s="929">
        <v>0</v>
      </c>
      <c r="I4895" s="929">
        <v>86581.495049999998</v>
      </c>
      <c r="J4895" s="689">
        <f t="shared" si="77"/>
        <v>1.0049500000022817</v>
      </c>
    </row>
    <row r="4896" spans="1:10" ht="12.75" customHeight="1" x14ac:dyDescent="0.2">
      <c r="A4896" s="681" t="s">
        <v>2372</v>
      </c>
      <c r="B4896" s="693" t="s">
        <v>7443</v>
      </c>
      <c r="C4896" s="672" t="s">
        <v>1018</v>
      </c>
      <c r="D4896" s="673">
        <v>41828</v>
      </c>
      <c r="E4896" s="674">
        <v>3</v>
      </c>
      <c r="F4896" s="675">
        <v>0.33</v>
      </c>
      <c r="G4896" s="676">
        <v>2357.36</v>
      </c>
      <c r="H4896" s="929">
        <v>0</v>
      </c>
      <c r="I4896" s="929">
        <v>2356.3564000000001</v>
      </c>
      <c r="J4896" s="689">
        <f t="shared" si="77"/>
        <v>1.0036000000000058</v>
      </c>
    </row>
    <row r="4897" spans="1:10" ht="12.75" customHeight="1" x14ac:dyDescent="0.2">
      <c r="A4897" s="681" t="s">
        <v>2372</v>
      </c>
      <c r="B4897" s="693" t="s">
        <v>7444</v>
      </c>
      <c r="C4897" s="672" t="s">
        <v>1018</v>
      </c>
      <c r="D4897" s="673">
        <v>41828</v>
      </c>
      <c r="E4897" s="674">
        <v>3</v>
      </c>
      <c r="F4897" s="675">
        <v>0.33</v>
      </c>
      <c r="G4897" s="676">
        <v>2357.36</v>
      </c>
      <c r="H4897" s="929">
        <v>0</v>
      </c>
      <c r="I4897" s="929">
        <v>2356.3564000000001</v>
      </c>
      <c r="J4897" s="689">
        <f t="shared" si="77"/>
        <v>1.0036000000000058</v>
      </c>
    </row>
    <row r="4898" spans="1:10" ht="12.75" customHeight="1" x14ac:dyDescent="0.2">
      <c r="A4898" s="681" t="s">
        <v>2372</v>
      </c>
      <c r="B4898" s="693" t="s">
        <v>7445</v>
      </c>
      <c r="C4898" s="672" t="s">
        <v>1019</v>
      </c>
      <c r="D4898" s="673">
        <v>41891</v>
      </c>
      <c r="E4898" s="674">
        <v>3</v>
      </c>
      <c r="F4898" s="675">
        <v>0.33</v>
      </c>
      <c r="G4898" s="676">
        <v>950</v>
      </c>
      <c r="H4898" s="929">
        <v>0</v>
      </c>
      <c r="I4898" s="929">
        <v>949</v>
      </c>
      <c r="J4898" s="689">
        <f t="shared" si="77"/>
        <v>1</v>
      </c>
    </row>
    <row r="4899" spans="1:10" ht="12.75" customHeight="1" x14ac:dyDescent="0.2">
      <c r="A4899" s="681" t="s">
        <v>2372</v>
      </c>
      <c r="B4899" s="693" t="s">
        <v>7446</v>
      </c>
      <c r="C4899" s="672" t="s">
        <v>1019</v>
      </c>
      <c r="D4899" s="673">
        <v>41891</v>
      </c>
      <c r="E4899" s="674">
        <v>3</v>
      </c>
      <c r="F4899" s="675">
        <v>0.33</v>
      </c>
      <c r="G4899" s="676">
        <v>950</v>
      </c>
      <c r="H4899" s="929">
        <v>0</v>
      </c>
      <c r="I4899" s="929">
        <v>949</v>
      </c>
      <c r="J4899" s="689">
        <f t="shared" si="77"/>
        <v>1</v>
      </c>
    </row>
    <row r="4900" spans="1:10" ht="12.75" customHeight="1" x14ac:dyDescent="0.2">
      <c r="A4900" s="681" t="s">
        <v>2372</v>
      </c>
      <c r="B4900" s="693" t="s">
        <v>7447</v>
      </c>
      <c r="C4900" s="672" t="s">
        <v>1019</v>
      </c>
      <c r="D4900" s="673">
        <v>41891</v>
      </c>
      <c r="E4900" s="674">
        <v>3</v>
      </c>
      <c r="F4900" s="675">
        <v>0.33</v>
      </c>
      <c r="G4900" s="676">
        <v>950</v>
      </c>
      <c r="H4900" s="929">
        <v>0</v>
      </c>
      <c r="I4900" s="929">
        <v>949</v>
      </c>
      <c r="J4900" s="689">
        <f t="shared" si="77"/>
        <v>1</v>
      </c>
    </row>
    <row r="4901" spans="1:10" ht="12.75" customHeight="1" x14ac:dyDescent="0.2">
      <c r="A4901" s="681" t="s">
        <v>2372</v>
      </c>
      <c r="B4901" s="693" t="s">
        <v>7448</v>
      </c>
      <c r="C4901" s="672" t="s">
        <v>1019</v>
      </c>
      <c r="D4901" s="673">
        <v>41891</v>
      </c>
      <c r="E4901" s="674">
        <v>3</v>
      </c>
      <c r="F4901" s="675">
        <v>0.33</v>
      </c>
      <c r="G4901" s="676">
        <v>950</v>
      </c>
      <c r="H4901" s="929">
        <v>0</v>
      </c>
      <c r="I4901" s="929">
        <v>949</v>
      </c>
      <c r="J4901" s="689">
        <f t="shared" si="77"/>
        <v>1</v>
      </c>
    </row>
    <row r="4902" spans="1:10" ht="12.75" customHeight="1" x14ac:dyDescent="0.2">
      <c r="A4902" s="681" t="s">
        <v>2372</v>
      </c>
      <c r="B4902" s="693" t="s">
        <v>7449</v>
      </c>
      <c r="C4902" s="672" t="s">
        <v>1019</v>
      </c>
      <c r="D4902" s="673">
        <v>41891</v>
      </c>
      <c r="E4902" s="674">
        <v>3</v>
      </c>
      <c r="F4902" s="675">
        <v>0.33</v>
      </c>
      <c r="G4902" s="676">
        <v>950</v>
      </c>
      <c r="H4902" s="929">
        <v>0</v>
      </c>
      <c r="I4902" s="929">
        <v>949</v>
      </c>
      <c r="J4902" s="689">
        <f t="shared" si="77"/>
        <v>1</v>
      </c>
    </row>
    <row r="4903" spans="1:10" ht="12.75" customHeight="1" x14ac:dyDescent="0.2">
      <c r="A4903" s="681" t="s">
        <v>2372</v>
      </c>
      <c r="B4903" s="693" t="s">
        <v>7450</v>
      </c>
      <c r="C4903" s="672" t="s">
        <v>1019</v>
      </c>
      <c r="D4903" s="673">
        <v>41891</v>
      </c>
      <c r="E4903" s="674">
        <v>3</v>
      </c>
      <c r="F4903" s="675">
        <v>0.33</v>
      </c>
      <c r="G4903" s="676">
        <v>950</v>
      </c>
      <c r="H4903" s="929">
        <v>0</v>
      </c>
      <c r="I4903" s="929">
        <v>949</v>
      </c>
      <c r="J4903" s="689">
        <f t="shared" si="77"/>
        <v>1</v>
      </c>
    </row>
    <row r="4904" spans="1:10" ht="12.75" customHeight="1" x14ac:dyDescent="0.2">
      <c r="A4904" s="681" t="s">
        <v>2372</v>
      </c>
      <c r="B4904" s="693" t="s">
        <v>7451</v>
      </c>
      <c r="C4904" s="672" t="s">
        <v>1019</v>
      </c>
      <c r="D4904" s="673">
        <v>41891</v>
      </c>
      <c r="E4904" s="674">
        <v>3</v>
      </c>
      <c r="F4904" s="675">
        <v>0.33</v>
      </c>
      <c r="G4904" s="676">
        <v>950</v>
      </c>
      <c r="H4904" s="929">
        <v>0</v>
      </c>
      <c r="I4904" s="929">
        <v>949</v>
      </c>
      <c r="J4904" s="689">
        <f t="shared" si="77"/>
        <v>1</v>
      </c>
    </row>
    <row r="4905" spans="1:10" ht="12.75" customHeight="1" x14ac:dyDescent="0.2">
      <c r="A4905" s="681" t="s">
        <v>2372</v>
      </c>
      <c r="B4905" s="693" t="s">
        <v>7452</v>
      </c>
      <c r="C4905" s="672" t="s">
        <v>1019</v>
      </c>
      <c r="D4905" s="673">
        <v>41891</v>
      </c>
      <c r="E4905" s="674">
        <v>3</v>
      </c>
      <c r="F4905" s="675">
        <v>0.33</v>
      </c>
      <c r="G4905" s="676">
        <v>950</v>
      </c>
      <c r="H4905" s="929">
        <v>0</v>
      </c>
      <c r="I4905" s="929">
        <v>949</v>
      </c>
      <c r="J4905" s="689">
        <f t="shared" si="77"/>
        <v>1</v>
      </c>
    </row>
    <row r="4906" spans="1:10" ht="12.75" customHeight="1" x14ac:dyDescent="0.2">
      <c r="A4906" s="681" t="s">
        <v>2372</v>
      </c>
      <c r="B4906" s="693" t="s">
        <v>7453</v>
      </c>
      <c r="C4906" s="672" t="s">
        <v>1019</v>
      </c>
      <c r="D4906" s="673">
        <v>41891</v>
      </c>
      <c r="E4906" s="674">
        <v>3</v>
      </c>
      <c r="F4906" s="675">
        <v>0.33</v>
      </c>
      <c r="G4906" s="676">
        <v>950</v>
      </c>
      <c r="H4906" s="929">
        <v>0</v>
      </c>
      <c r="I4906" s="929">
        <v>949</v>
      </c>
      <c r="J4906" s="689">
        <f t="shared" si="77"/>
        <v>1</v>
      </c>
    </row>
    <row r="4907" spans="1:10" ht="12.75" customHeight="1" x14ac:dyDescent="0.2">
      <c r="A4907" s="681" t="s">
        <v>2372</v>
      </c>
      <c r="B4907" s="693" t="s">
        <v>7454</v>
      </c>
      <c r="C4907" s="672" t="s">
        <v>1019</v>
      </c>
      <c r="D4907" s="673">
        <v>41891</v>
      </c>
      <c r="E4907" s="674">
        <v>3</v>
      </c>
      <c r="F4907" s="675">
        <v>0.33</v>
      </c>
      <c r="G4907" s="676">
        <v>950</v>
      </c>
      <c r="H4907" s="929">
        <v>0</v>
      </c>
      <c r="I4907" s="929">
        <v>949</v>
      </c>
      <c r="J4907" s="689">
        <f t="shared" si="77"/>
        <v>1</v>
      </c>
    </row>
    <row r="4908" spans="1:10" ht="12.75" customHeight="1" x14ac:dyDescent="0.2">
      <c r="A4908" s="681" t="s">
        <v>2372</v>
      </c>
      <c r="B4908" s="693" t="s">
        <v>7455</v>
      </c>
      <c r="C4908" s="672" t="s">
        <v>1019</v>
      </c>
      <c r="D4908" s="673">
        <v>41891</v>
      </c>
      <c r="E4908" s="674">
        <v>3</v>
      </c>
      <c r="F4908" s="675">
        <v>0.33</v>
      </c>
      <c r="G4908" s="676">
        <v>950</v>
      </c>
      <c r="H4908" s="929">
        <v>0</v>
      </c>
      <c r="I4908" s="929">
        <v>949</v>
      </c>
      <c r="J4908" s="689">
        <f t="shared" si="77"/>
        <v>1</v>
      </c>
    </row>
    <row r="4909" spans="1:10" ht="12.75" customHeight="1" x14ac:dyDescent="0.2">
      <c r="A4909" s="681" t="s">
        <v>2372</v>
      </c>
      <c r="B4909" s="693" t="s">
        <v>7456</v>
      </c>
      <c r="C4909" s="672" t="s">
        <v>1019</v>
      </c>
      <c r="D4909" s="673">
        <v>41891</v>
      </c>
      <c r="E4909" s="674">
        <v>3</v>
      </c>
      <c r="F4909" s="675">
        <v>0.33</v>
      </c>
      <c r="G4909" s="676">
        <v>950</v>
      </c>
      <c r="H4909" s="929">
        <v>0</v>
      </c>
      <c r="I4909" s="929">
        <v>949</v>
      </c>
      <c r="J4909" s="689">
        <f t="shared" si="77"/>
        <v>1</v>
      </c>
    </row>
    <row r="4910" spans="1:10" ht="12.75" customHeight="1" x14ac:dyDescent="0.2">
      <c r="A4910" s="681" t="s">
        <v>2372</v>
      </c>
      <c r="B4910" s="693" t="s">
        <v>7457</v>
      </c>
      <c r="C4910" s="672" t="s">
        <v>1019</v>
      </c>
      <c r="D4910" s="673">
        <v>41891</v>
      </c>
      <c r="E4910" s="674">
        <v>3</v>
      </c>
      <c r="F4910" s="675">
        <v>0.33</v>
      </c>
      <c r="G4910" s="676">
        <v>950</v>
      </c>
      <c r="H4910" s="929">
        <v>0</v>
      </c>
      <c r="I4910" s="929">
        <v>949</v>
      </c>
      <c r="J4910" s="689">
        <f t="shared" si="77"/>
        <v>1</v>
      </c>
    </row>
    <row r="4911" spans="1:10" ht="12.75" customHeight="1" x14ac:dyDescent="0.2">
      <c r="A4911" s="681" t="s">
        <v>2372</v>
      </c>
      <c r="B4911" s="693" t="s">
        <v>7458</v>
      </c>
      <c r="C4911" s="672" t="s">
        <v>1019</v>
      </c>
      <c r="D4911" s="673">
        <v>41891</v>
      </c>
      <c r="E4911" s="674">
        <v>3</v>
      </c>
      <c r="F4911" s="675">
        <v>0.33</v>
      </c>
      <c r="G4911" s="676">
        <v>950</v>
      </c>
      <c r="H4911" s="929">
        <v>0</v>
      </c>
      <c r="I4911" s="929">
        <v>949</v>
      </c>
      <c r="J4911" s="689">
        <f t="shared" si="77"/>
        <v>1</v>
      </c>
    </row>
    <row r="4912" spans="1:10" ht="12.75" customHeight="1" x14ac:dyDescent="0.2">
      <c r="A4912" s="681" t="s">
        <v>2372</v>
      </c>
      <c r="B4912" s="693" t="s">
        <v>7459</v>
      </c>
      <c r="C4912" s="672" t="s">
        <v>1019</v>
      </c>
      <c r="D4912" s="673">
        <v>41891</v>
      </c>
      <c r="E4912" s="674">
        <v>3</v>
      </c>
      <c r="F4912" s="675">
        <v>0.33</v>
      </c>
      <c r="G4912" s="676">
        <v>950</v>
      </c>
      <c r="H4912" s="929">
        <v>0</v>
      </c>
      <c r="I4912" s="929">
        <v>949</v>
      </c>
      <c r="J4912" s="689">
        <f t="shared" si="77"/>
        <v>1</v>
      </c>
    </row>
    <row r="4913" spans="1:10" ht="12.75" customHeight="1" x14ac:dyDescent="0.2">
      <c r="A4913" s="681" t="s">
        <v>2635</v>
      </c>
      <c r="B4913" s="693" t="s">
        <v>7460</v>
      </c>
      <c r="C4913" s="672" t="s">
        <v>865</v>
      </c>
      <c r="D4913" s="673">
        <v>41820</v>
      </c>
      <c r="E4913" s="674">
        <v>0</v>
      </c>
      <c r="F4913" s="675">
        <v>0</v>
      </c>
      <c r="G4913" s="676">
        <v>23200</v>
      </c>
      <c r="H4913" s="929">
        <v>0</v>
      </c>
      <c r="I4913" s="929">
        <v>0</v>
      </c>
      <c r="J4913" s="689">
        <f t="shared" si="77"/>
        <v>23200</v>
      </c>
    </row>
    <row r="4914" spans="1:10" ht="12.75" customHeight="1" x14ac:dyDescent="0.2">
      <c r="A4914" s="681"/>
      <c r="B4914" s="693"/>
      <c r="C4914" s="672"/>
      <c r="D4914" s="809"/>
      <c r="E4914" s="674"/>
      <c r="F4914" s="675"/>
      <c r="G4914" s="676"/>
      <c r="H4914" s="929"/>
      <c r="I4914" s="929"/>
      <c r="J4914" s="689"/>
    </row>
    <row r="4915" spans="1:10" ht="12.75" customHeight="1" x14ac:dyDescent="0.2">
      <c r="A4915" s="681"/>
      <c r="B4915" s="693"/>
      <c r="C4915" s="672"/>
      <c r="D4915" s="809"/>
      <c r="E4915" s="674"/>
      <c r="F4915" s="675"/>
      <c r="G4915" s="676"/>
      <c r="H4915" s="676"/>
      <c r="I4915" s="676"/>
      <c r="J4915" s="689"/>
    </row>
    <row r="4916" spans="1:10" ht="12.75" customHeight="1" x14ac:dyDescent="0.2">
      <c r="A4916" s="681"/>
      <c r="B4916" s="693"/>
      <c r="C4916" s="672"/>
      <c r="D4916" s="809"/>
      <c r="E4916" s="674"/>
      <c r="F4916" s="675"/>
      <c r="G4916" s="676"/>
      <c r="H4916" s="929"/>
      <c r="I4916" s="929"/>
      <c r="J4916" s="689"/>
    </row>
    <row r="4917" spans="1:10" ht="12.75" customHeight="1" x14ac:dyDescent="0.2">
      <c r="A4917" s="681"/>
      <c r="B4917" s="693"/>
      <c r="C4917" s="672"/>
      <c r="D4917" s="809"/>
      <c r="E4917" s="674"/>
      <c r="F4917" s="675"/>
      <c r="G4917" s="676"/>
      <c r="H4917" s="929"/>
      <c r="I4917" s="929"/>
      <c r="J4917" s="689"/>
    </row>
    <row r="4918" spans="1:10" ht="12.75" customHeight="1" x14ac:dyDescent="0.2">
      <c r="A4918" s="681">
        <v>1246</v>
      </c>
      <c r="B4918" s="693" t="s">
        <v>2090</v>
      </c>
      <c r="C4918" s="672" t="s">
        <v>989</v>
      </c>
      <c r="D4918" s="809">
        <v>2015</v>
      </c>
      <c r="E4918" s="674">
        <v>10</v>
      </c>
      <c r="F4918" s="675">
        <v>0.1</v>
      </c>
      <c r="G4918" s="676">
        <v>310740</v>
      </c>
      <c r="H4918" s="929">
        <v>31074</v>
      </c>
      <c r="I4918" s="929">
        <v>119117</v>
      </c>
      <c r="J4918" s="689">
        <f t="shared" si="77"/>
        <v>191623</v>
      </c>
    </row>
    <row r="4919" spans="1:10" ht="12.75" customHeight="1" x14ac:dyDescent="0.2">
      <c r="A4919" s="681">
        <v>1246</v>
      </c>
      <c r="B4919" s="693" t="s">
        <v>2089</v>
      </c>
      <c r="C4919" s="672" t="s">
        <v>989</v>
      </c>
      <c r="D4919" s="809">
        <v>2015</v>
      </c>
      <c r="E4919" s="674">
        <v>10</v>
      </c>
      <c r="F4919" s="675">
        <v>0.1</v>
      </c>
      <c r="G4919" s="676">
        <v>331430.40000000002</v>
      </c>
      <c r="H4919" s="929">
        <v>33143.039999999994</v>
      </c>
      <c r="I4919" s="929">
        <v>127048.31999999999</v>
      </c>
      <c r="J4919" s="689">
        <f t="shared" si="77"/>
        <v>204382.08000000002</v>
      </c>
    </row>
    <row r="4920" spans="1:10" ht="12.75" customHeight="1" x14ac:dyDescent="0.2">
      <c r="A4920" s="681">
        <v>1244</v>
      </c>
      <c r="B4920" s="693" t="s">
        <v>2101</v>
      </c>
      <c r="C4920" s="672" t="s">
        <v>2350</v>
      </c>
      <c r="D4920" s="809">
        <v>2015</v>
      </c>
      <c r="E4920" s="674">
        <v>5</v>
      </c>
      <c r="F4920" s="675">
        <v>0.2</v>
      </c>
      <c r="G4920" s="676">
        <v>556800</v>
      </c>
      <c r="H4920" s="929">
        <v>111360</v>
      </c>
      <c r="I4920" s="929">
        <v>426880</v>
      </c>
      <c r="J4920" s="689">
        <f t="shared" si="77"/>
        <v>129920</v>
      </c>
    </row>
    <row r="4921" spans="1:10" ht="12.75" customHeight="1" x14ac:dyDescent="0.2">
      <c r="A4921" s="681">
        <v>1241</v>
      </c>
      <c r="B4921" s="693" t="s">
        <v>2297</v>
      </c>
      <c r="C4921" s="672" t="s">
        <v>892</v>
      </c>
      <c r="D4921" s="809">
        <v>2015</v>
      </c>
      <c r="E4921" s="674">
        <v>3</v>
      </c>
      <c r="F4921" s="675">
        <v>0.33</v>
      </c>
      <c r="G4921" s="676">
        <v>5220</v>
      </c>
      <c r="H4921" s="929">
        <v>481.85</v>
      </c>
      <c r="I4921" s="929">
        <v>5219</v>
      </c>
      <c r="J4921" s="689">
        <f t="shared" si="77"/>
        <v>1</v>
      </c>
    </row>
    <row r="4922" spans="1:10" ht="12.75" customHeight="1" x14ac:dyDescent="0.2">
      <c r="A4922" s="681">
        <v>1241</v>
      </c>
      <c r="B4922" s="693" t="s">
        <v>2298</v>
      </c>
      <c r="C4922" s="672" t="s">
        <v>892</v>
      </c>
      <c r="D4922" s="809">
        <v>2015</v>
      </c>
      <c r="E4922" s="674">
        <v>3</v>
      </c>
      <c r="F4922" s="675">
        <v>0.33</v>
      </c>
      <c r="G4922" s="676">
        <v>5220</v>
      </c>
      <c r="H4922" s="929">
        <v>481.85</v>
      </c>
      <c r="I4922" s="929">
        <v>5219</v>
      </c>
      <c r="J4922" s="689">
        <f t="shared" si="77"/>
        <v>1</v>
      </c>
    </row>
    <row r="4923" spans="1:10" ht="12.75" customHeight="1" x14ac:dyDescent="0.2">
      <c r="A4923" s="681">
        <v>1241</v>
      </c>
      <c r="B4923" s="693" t="s">
        <v>2299</v>
      </c>
      <c r="C4923" s="672" t="s">
        <v>892</v>
      </c>
      <c r="D4923" s="809">
        <v>2015</v>
      </c>
      <c r="E4923" s="674">
        <v>3</v>
      </c>
      <c r="F4923" s="675">
        <v>0.33</v>
      </c>
      <c r="G4923" s="676">
        <v>5220</v>
      </c>
      <c r="H4923" s="929">
        <v>481.85</v>
      </c>
      <c r="I4923" s="929">
        <v>5219</v>
      </c>
      <c r="J4923" s="689">
        <f t="shared" si="77"/>
        <v>1</v>
      </c>
    </row>
    <row r="4924" spans="1:10" ht="12.75" customHeight="1" x14ac:dyDescent="0.2">
      <c r="A4924" s="681">
        <v>1241</v>
      </c>
      <c r="B4924" s="693" t="s">
        <v>2300</v>
      </c>
      <c r="C4924" s="672" t="s">
        <v>892</v>
      </c>
      <c r="D4924" s="809">
        <v>2015</v>
      </c>
      <c r="E4924" s="674">
        <v>3</v>
      </c>
      <c r="F4924" s="675">
        <v>0.33</v>
      </c>
      <c r="G4924" s="676">
        <v>5220</v>
      </c>
      <c r="H4924" s="929">
        <v>481.85</v>
      </c>
      <c r="I4924" s="929">
        <v>5219</v>
      </c>
      <c r="J4924" s="689">
        <f t="shared" si="77"/>
        <v>1</v>
      </c>
    </row>
    <row r="4925" spans="1:10" ht="12.75" customHeight="1" x14ac:dyDescent="0.2">
      <c r="A4925" s="681">
        <v>1241</v>
      </c>
      <c r="B4925" s="693" t="s">
        <v>2301</v>
      </c>
      <c r="C4925" s="672" t="s">
        <v>892</v>
      </c>
      <c r="D4925" s="809">
        <v>2015</v>
      </c>
      <c r="E4925" s="674">
        <v>3</v>
      </c>
      <c r="F4925" s="675">
        <v>0.33</v>
      </c>
      <c r="G4925" s="676">
        <v>5220</v>
      </c>
      <c r="H4925" s="929">
        <v>481.85</v>
      </c>
      <c r="I4925" s="929">
        <v>5219</v>
      </c>
      <c r="J4925" s="689">
        <f t="shared" si="77"/>
        <v>1</v>
      </c>
    </row>
    <row r="4926" spans="1:10" ht="12.75" customHeight="1" x14ac:dyDescent="0.2">
      <c r="A4926" s="681">
        <v>1241</v>
      </c>
      <c r="B4926" s="693" t="s">
        <v>2302</v>
      </c>
      <c r="C4926" s="672" t="s">
        <v>892</v>
      </c>
      <c r="D4926" s="809">
        <v>2015</v>
      </c>
      <c r="E4926" s="674">
        <v>3</v>
      </c>
      <c r="F4926" s="675">
        <v>0.33</v>
      </c>
      <c r="G4926" s="676">
        <v>5220</v>
      </c>
      <c r="H4926" s="929">
        <v>481.85</v>
      </c>
      <c r="I4926" s="929">
        <v>5219</v>
      </c>
      <c r="J4926" s="689">
        <f t="shared" si="77"/>
        <v>1</v>
      </c>
    </row>
    <row r="4927" spans="1:10" ht="12.75" customHeight="1" x14ac:dyDescent="0.2">
      <c r="A4927" s="681">
        <v>1241</v>
      </c>
      <c r="B4927" s="693" t="s">
        <v>2303</v>
      </c>
      <c r="C4927" s="672" t="s">
        <v>892</v>
      </c>
      <c r="D4927" s="809">
        <v>2015</v>
      </c>
      <c r="E4927" s="674">
        <v>3</v>
      </c>
      <c r="F4927" s="675">
        <v>0.33</v>
      </c>
      <c r="G4927" s="676">
        <v>5220</v>
      </c>
      <c r="H4927" s="929">
        <v>481.85</v>
      </c>
      <c r="I4927" s="929">
        <v>5219</v>
      </c>
      <c r="J4927" s="689">
        <f t="shared" si="77"/>
        <v>1</v>
      </c>
    </row>
    <row r="4928" spans="1:10" ht="12.75" customHeight="1" x14ac:dyDescent="0.2">
      <c r="A4928" s="681">
        <v>1241</v>
      </c>
      <c r="B4928" s="693" t="s">
        <v>2304</v>
      </c>
      <c r="C4928" s="672" t="s">
        <v>892</v>
      </c>
      <c r="D4928" s="809">
        <v>2015</v>
      </c>
      <c r="E4928" s="674">
        <v>3</v>
      </c>
      <c r="F4928" s="675">
        <v>0.33</v>
      </c>
      <c r="G4928" s="676">
        <v>5220</v>
      </c>
      <c r="H4928" s="929">
        <v>481.85</v>
      </c>
      <c r="I4928" s="929">
        <v>5219</v>
      </c>
      <c r="J4928" s="689">
        <f t="shared" si="77"/>
        <v>1</v>
      </c>
    </row>
    <row r="4929" spans="1:10" ht="12.75" customHeight="1" x14ac:dyDescent="0.2">
      <c r="A4929" s="681">
        <v>1241</v>
      </c>
      <c r="B4929" s="693" t="s">
        <v>2305</v>
      </c>
      <c r="C4929" s="672" t="s">
        <v>892</v>
      </c>
      <c r="D4929" s="809">
        <v>2015</v>
      </c>
      <c r="E4929" s="674">
        <v>3</v>
      </c>
      <c r="F4929" s="675">
        <v>0.33</v>
      </c>
      <c r="G4929" s="676">
        <v>5220</v>
      </c>
      <c r="H4929" s="929">
        <v>481.85</v>
      </c>
      <c r="I4929" s="929">
        <v>5219</v>
      </c>
      <c r="J4929" s="689">
        <f t="shared" si="77"/>
        <v>1</v>
      </c>
    </row>
    <row r="4930" spans="1:10" ht="12.75" customHeight="1" x14ac:dyDescent="0.2">
      <c r="A4930" s="681">
        <v>1241</v>
      </c>
      <c r="B4930" s="693" t="s">
        <v>2306</v>
      </c>
      <c r="C4930" s="672" t="s">
        <v>892</v>
      </c>
      <c r="D4930" s="809">
        <v>2015</v>
      </c>
      <c r="E4930" s="674">
        <v>3</v>
      </c>
      <c r="F4930" s="675">
        <v>0.33</v>
      </c>
      <c r="G4930" s="676">
        <v>5220</v>
      </c>
      <c r="H4930" s="929">
        <v>481.85</v>
      </c>
      <c r="I4930" s="929">
        <v>5219</v>
      </c>
      <c r="J4930" s="689">
        <f t="shared" si="77"/>
        <v>1</v>
      </c>
    </row>
    <row r="4931" spans="1:10" ht="12.75" customHeight="1" x14ac:dyDescent="0.2">
      <c r="A4931" s="681">
        <v>1241</v>
      </c>
      <c r="B4931" s="693" t="s">
        <v>2200</v>
      </c>
      <c r="C4931" s="672" t="s">
        <v>2354</v>
      </c>
      <c r="D4931" s="809">
        <v>2015</v>
      </c>
      <c r="E4931" s="674">
        <v>10</v>
      </c>
      <c r="F4931" s="675">
        <v>0.1</v>
      </c>
      <c r="G4931" s="676">
        <v>8555.9975999999988</v>
      </c>
      <c r="H4931" s="929">
        <v>855.59975999999995</v>
      </c>
      <c r="I4931" s="929">
        <v>3208.4991</v>
      </c>
      <c r="J4931" s="689">
        <f t="shared" si="77"/>
        <v>5347.4984999999988</v>
      </c>
    </row>
    <row r="4932" spans="1:10" ht="12.75" customHeight="1" x14ac:dyDescent="0.2">
      <c r="A4932" s="681">
        <v>1241</v>
      </c>
      <c r="B4932" s="693" t="s">
        <v>2180</v>
      </c>
      <c r="C4932" s="672" t="s">
        <v>2354</v>
      </c>
      <c r="D4932" s="809">
        <v>2015</v>
      </c>
      <c r="E4932" s="674">
        <v>10</v>
      </c>
      <c r="F4932" s="675">
        <v>0.1</v>
      </c>
      <c r="G4932" s="676">
        <v>12834.007999999998</v>
      </c>
      <c r="H4932" s="929">
        <v>1283.4007999999994</v>
      </c>
      <c r="I4932" s="929">
        <v>4812.7529999999988</v>
      </c>
      <c r="J4932" s="689">
        <f t="shared" si="77"/>
        <v>8021.2549999999992</v>
      </c>
    </row>
    <row r="4933" spans="1:10" ht="12.75" customHeight="1" x14ac:dyDescent="0.2">
      <c r="A4933" s="681">
        <v>1241</v>
      </c>
      <c r="B4933" s="693" t="s">
        <v>2150</v>
      </c>
      <c r="C4933" s="672" t="s">
        <v>2353</v>
      </c>
      <c r="D4933" s="809">
        <v>2015</v>
      </c>
      <c r="E4933" s="674">
        <v>3</v>
      </c>
      <c r="F4933" s="675">
        <v>0.33</v>
      </c>
      <c r="G4933" s="676">
        <v>16182</v>
      </c>
      <c r="H4933" s="929">
        <v>1495.8349999999998</v>
      </c>
      <c r="I4933" s="929">
        <v>16181</v>
      </c>
      <c r="J4933" s="689">
        <f t="shared" ref="J4933:J4996" si="78">G4933-I4933</f>
        <v>1</v>
      </c>
    </row>
    <row r="4934" spans="1:10" ht="12.75" customHeight="1" x14ac:dyDescent="0.2">
      <c r="A4934" s="681">
        <v>1241</v>
      </c>
      <c r="B4934" s="693" t="s">
        <v>2151</v>
      </c>
      <c r="C4934" s="672" t="s">
        <v>2353</v>
      </c>
      <c r="D4934" s="809">
        <v>2015</v>
      </c>
      <c r="E4934" s="674">
        <v>3</v>
      </c>
      <c r="F4934" s="675">
        <v>0.33</v>
      </c>
      <c r="G4934" s="676">
        <v>16182</v>
      </c>
      <c r="H4934" s="929">
        <v>1495.8349999999998</v>
      </c>
      <c r="I4934" s="929">
        <v>16181</v>
      </c>
      <c r="J4934" s="689">
        <f t="shared" si="78"/>
        <v>1</v>
      </c>
    </row>
    <row r="4935" spans="1:10" ht="12.75" customHeight="1" x14ac:dyDescent="0.2">
      <c r="A4935" s="681">
        <v>1241</v>
      </c>
      <c r="B4935" s="693" t="s">
        <v>2152</v>
      </c>
      <c r="C4935" s="672" t="s">
        <v>2353</v>
      </c>
      <c r="D4935" s="809">
        <v>2015</v>
      </c>
      <c r="E4935" s="674">
        <v>3</v>
      </c>
      <c r="F4935" s="675">
        <v>0.33</v>
      </c>
      <c r="G4935" s="676">
        <v>16182</v>
      </c>
      <c r="H4935" s="929">
        <v>1495.8349999999998</v>
      </c>
      <c r="I4935" s="929">
        <v>16181</v>
      </c>
      <c r="J4935" s="689">
        <f t="shared" si="78"/>
        <v>1</v>
      </c>
    </row>
    <row r="4936" spans="1:10" ht="12.75" customHeight="1" x14ac:dyDescent="0.2">
      <c r="A4936" s="681">
        <v>1241</v>
      </c>
      <c r="B4936" s="693" t="s">
        <v>2153</v>
      </c>
      <c r="C4936" s="672" t="s">
        <v>2353</v>
      </c>
      <c r="D4936" s="809">
        <v>2015</v>
      </c>
      <c r="E4936" s="674">
        <v>3</v>
      </c>
      <c r="F4936" s="675">
        <v>0.33</v>
      </c>
      <c r="G4936" s="676">
        <v>16182</v>
      </c>
      <c r="H4936" s="929">
        <v>1495.8349999999998</v>
      </c>
      <c r="I4936" s="929">
        <v>16181</v>
      </c>
      <c r="J4936" s="689">
        <f t="shared" si="78"/>
        <v>1</v>
      </c>
    </row>
    <row r="4937" spans="1:10" ht="12.75" customHeight="1" x14ac:dyDescent="0.2">
      <c r="A4937" s="681">
        <v>1246</v>
      </c>
      <c r="B4937" s="693" t="s">
        <v>2199</v>
      </c>
      <c r="C4937" s="672" t="s">
        <v>2357</v>
      </c>
      <c r="D4937" s="809">
        <v>2015</v>
      </c>
      <c r="E4937" s="674">
        <v>10</v>
      </c>
      <c r="F4937" s="675">
        <v>0.1</v>
      </c>
      <c r="G4937" s="676">
        <v>2775</v>
      </c>
      <c r="H4937" s="929">
        <v>277.5</v>
      </c>
      <c r="I4937" s="929">
        <v>1017.5</v>
      </c>
      <c r="J4937" s="689">
        <f t="shared" si="78"/>
        <v>1757.5</v>
      </c>
    </row>
    <row r="4938" spans="1:10" ht="12.75" customHeight="1" x14ac:dyDescent="0.2">
      <c r="A4938" s="681">
        <v>1241</v>
      </c>
      <c r="B4938" s="693" t="s">
        <v>2228</v>
      </c>
      <c r="C4938" s="672" t="s">
        <v>788</v>
      </c>
      <c r="D4938" s="809">
        <v>2015</v>
      </c>
      <c r="E4938" s="674">
        <v>10</v>
      </c>
      <c r="F4938" s="675">
        <v>0.1</v>
      </c>
      <c r="G4938" s="676">
        <v>3249.16</v>
      </c>
      <c r="H4938" s="929">
        <v>324.91599999999994</v>
      </c>
      <c r="I4938" s="929">
        <v>1191.3586666666665</v>
      </c>
      <c r="J4938" s="689">
        <f t="shared" si="78"/>
        <v>2057.8013333333333</v>
      </c>
    </row>
    <row r="4939" spans="1:10" ht="12.75" customHeight="1" x14ac:dyDescent="0.2">
      <c r="A4939" s="681">
        <v>1241</v>
      </c>
      <c r="B4939" s="693" t="s">
        <v>2229</v>
      </c>
      <c r="C4939" s="672" t="s">
        <v>788</v>
      </c>
      <c r="D4939" s="809">
        <v>2015</v>
      </c>
      <c r="E4939" s="674">
        <v>10</v>
      </c>
      <c r="F4939" s="675">
        <v>0.1</v>
      </c>
      <c r="G4939" s="676">
        <v>3249.16</v>
      </c>
      <c r="H4939" s="929">
        <v>324.91599999999994</v>
      </c>
      <c r="I4939" s="929">
        <v>1191.3586666666665</v>
      </c>
      <c r="J4939" s="689">
        <f t="shared" si="78"/>
        <v>2057.8013333333333</v>
      </c>
    </row>
    <row r="4940" spans="1:10" ht="12.75" customHeight="1" x14ac:dyDescent="0.2">
      <c r="A4940" s="681">
        <v>1241</v>
      </c>
      <c r="B4940" s="693" t="s">
        <v>2230</v>
      </c>
      <c r="C4940" s="672" t="s">
        <v>788</v>
      </c>
      <c r="D4940" s="809">
        <v>2015</v>
      </c>
      <c r="E4940" s="674">
        <v>10</v>
      </c>
      <c r="F4940" s="675">
        <v>0.1</v>
      </c>
      <c r="G4940" s="676">
        <v>3249.16</v>
      </c>
      <c r="H4940" s="929">
        <v>324.91599999999994</v>
      </c>
      <c r="I4940" s="929">
        <v>1191.3586666666665</v>
      </c>
      <c r="J4940" s="689">
        <f t="shared" si="78"/>
        <v>2057.8013333333333</v>
      </c>
    </row>
    <row r="4941" spans="1:10" ht="12.75" customHeight="1" x14ac:dyDescent="0.2">
      <c r="A4941" s="681">
        <v>1241</v>
      </c>
      <c r="B4941" s="693" t="s">
        <v>2231</v>
      </c>
      <c r="C4941" s="672" t="s">
        <v>788</v>
      </c>
      <c r="D4941" s="809">
        <v>2015</v>
      </c>
      <c r="E4941" s="674">
        <v>10</v>
      </c>
      <c r="F4941" s="675">
        <v>0.1</v>
      </c>
      <c r="G4941" s="676">
        <v>3249.16</v>
      </c>
      <c r="H4941" s="929">
        <v>324.91599999999994</v>
      </c>
      <c r="I4941" s="929">
        <v>1191.3586666666665</v>
      </c>
      <c r="J4941" s="689">
        <f t="shared" si="78"/>
        <v>2057.8013333333333</v>
      </c>
    </row>
    <row r="4942" spans="1:10" ht="12.75" customHeight="1" x14ac:dyDescent="0.2">
      <c r="A4942" s="681">
        <v>1241</v>
      </c>
      <c r="B4942" s="693" t="s">
        <v>2232</v>
      </c>
      <c r="C4942" s="672" t="s">
        <v>788</v>
      </c>
      <c r="D4942" s="809">
        <v>2015</v>
      </c>
      <c r="E4942" s="674">
        <v>10</v>
      </c>
      <c r="F4942" s="675">
        <v>0.1</v>
      </c>
      <c r="G4942" s="676">
        <v>3249.16</v>
      </c>
      <c r="H4942" s="929">
        <v>324.91599999999994</v>
      </c>
      <c r="I4942" s="929">
        <v>1191.3586666666665</v>
      </c>
      <c r="J4942" s="689">
        <f t="shared" si="78"/>
        <v>2057.8013333333333</v>
      </c>
    </row>
    <row r="4943" spans="1:10" ht="12.75" customHeight="1" x14ac:dyDescent="0.2">
      <c r="A4943" s="681">
        <v>1241</v>
      </c>
      <c r="B4943" s="693" t="s">
        <v>2233</v>
      </c>
      <c r="C4943" s="672" t="s">
        <v>788</v>
      </c>
      <c r="D4943" s="809">
        <v>2015</v>
      </c>
      <c r="E4943" s="674">
        <v>10</v>
      </c>
      <c r="F4943" s="675">
        <v>0.1</v>
      </c>
      <c r="G4943" s="676">
        <v>3249.16</v>
      </c>
      <c r="H4943" s="929">
        <v>324.91599999999994</v>
      </c>
      <c r="I4943" s="929">
        <v>1191.3586666666665</v>
      </c>
      <c r="J4943" s="689">
        <f t="shared" si="78"/>
        <v>2057.8013333333333</v>
      </c>
    </row>
    <row r="4944" spans="1:10" ht="12.75" customHeight="1" x14ac:dyDescent="0.2">
      <c r="A4944" s="681">
        <v>1241</v>
      </c>
      <c r="B4944" s="693" t="s">
        <v>2234</v>
      </c>
      <c r="C4944" s="672" t="s">
        <v>788</v>
      </c>
      <c r="D4944" s="809">
        <v>2015</v>
      </c>
      <c r="E4944" s="674">
        <v>10</v>
      </c>
      <c r="F4944" s="675">
        <v>0.1</v>
      </c>
      <c r="G4944" s="676">
        <v>3249.16</v>
      </c>
      <c r="H4944" s="929">
        <v>324.91599999999994</v>
      </c>
      <c r="I4944" s="929">
        <v>1191.3586666666665</v>
      </c>
      <c r="J4944" s="689">
        <f t="shared" si="78"/>
        <v>2057.8013333333333</v>
      </c>
    </row>
    <row r="4945" spans="1:10" ht="12.75" customHeight="1" x14ac:dyDescent="0.2">
      <c r="A4945" s="681">
        <v>1241</v>
      </c>
      <c r="B4945" s="693" t="s">
        <v>2235</v>
      </c>
      <c r="C4945" s="672" t="s">
        <v>788</v>
      </c>
      <c r="D4945" s="809">
        <v>2015</v>
      </c>
      <c r="E4945" s="674">
        <v>10</v>
      </c>
      <c r="F4945" s="675">
        <v>0.1</v>
      </c>
      <c r="G4945" s="676">
        <v>3249.16</v>
      </c>
      <c r="H4945" s="929">
        <v>324.91599999999994</v>
      </c>
      <c r="I4945" s="929">
        <v>1191.3586666666665</v>
      </c>
      <c r="J4945" s="689">
        <f t="shared" si="78"/>
        <v>2057.8013333333333</v>
      </c>
    </row>
    <row r="4946" spans="1:10" ht="12.75" customHeight="1" x14ac:dyDescent="0.2">
      <c r="A4946" s="681">
        <v>1241</v>
      </c>
      <c r="B4946" s="693" t="s">
        <v>2236</v>
      </c>
      <c r="C4946" s="672" t="s">
        <v>788</v>
      </c>
      <c r="D4946" s="809">
        <v>2015</v>
      </c>
      <c r="E4946" s="674">
        <v>10</v>
      </c>
      <c r="F4946" s="675">
        <v>0.1</v>
      </c>
      <c r="G4946" s="676">
        <v>3249.16</v>
      </c>
      <c r="H4946" s="929">
        <v>324.91599999999994</v>
      </c>
      <c r="I4946" s="929">
        <v>1191.3586666666665</v>
      </c>
      <c r="J4946" s="689">
        <f t="shared" si="78"/>
        <v>2057.8013333333333</v>
      </c>
    </row>
    <row r="4947" spans="1:10" ht="12.75" customHeight="1" x14ac:dyDescent="0.2">
      <c r="A4947" s="681">
        <v>1241</v>
      </c>
      <c r="B4947" s="693" t="s">
        <v>2237</v>
      </c>
      <c r="C4947" s="672" t="s">
        <v>788</v>
      </c>
      <c r="D4947" s="809">
        <v>2015</v>
      </c>
      <c r="E4947" s="674">
        <v>10</v>
      </c>
      <c r="F4947" s="675">
        <v>0.1</v>
      </c>
      <c r="G4947" s="676">
        <v>3249.16</v>
      </c>
      <c r="H4947" s="929">
        <v>324.91599999999994</v>
      </c>
      <c r="I4947" s="929">
        <v>1191.3586666666665</v>
      </c>
      <c r="J4947" s="689">
        <f t="shared" si="78"/>
        <v>2057.8013333333333</v>
      </c>
    </row>
    <row r="4948" spans="1:10" ht="12.75" customHeight="1" x14ac:dyDescent="0.2">
      <c r="A4948" s="681">
        <v>1246</v>
      </c>
      <c r="B4948" s="693" t="s">
        <v>2195</v>
      </c>
      <c r="C4948" s="672" t="s">
        <v>2356</v>
      </c>
      <c r="D4948" s="809">
        <v>2015</v>
      </c>
      <c r="E4948" s="674">
        <v>10</v>
      </c>
      <c r="F4948" s="675">
        <v>0.1</v>
      </c>
      <c r="G4948" s="676">
        <v>3825</v>
      </c>
      <c r="H4948" s="929">
        <v>382.5</v>
      </c>
      <c r="I4948" s="929">
        <v>1402.5</v>
      </c>
      <c r="J4948" s="689">
        <f t="shared" si="78"/>
        <v>2422.5</v>
      </c>
    </row>
    <row r="4949" spans="1:10" ht="12.75" customHeight="1" x14ac:dyDescent="0.2">
      <c r="A4949" s="681">
        <v>1241</v>
      </c>
      <c r="B4949" s="693" t="s">
        <v>2088</v>
      </c>
      <c r="C4949" s="672" t="s">
        <v>791</v>
      </c>
      <c r="D4949" s="809">
        <v>2015</v>
      </c>
      <c r="E4949" s="674">
        <v>10</v>
      </c>
      <c r="F4949" s="675">
        <v>0.1</v>
      </c>
      <c r="G4949" s="676">
        <v>4172.5200000000004</v>
      </c>
      <c r="H4949" s="929">
        <v>417.25200000000012</v>
      </c>
      <c r="I4949" s="929">
        <v>1529.9240000000004</v>
      </c>
      <c r="J4949" s="689">
        <f t="shared" si="78"/>
        <v>2642.596</v>
      </c>
    </row>
    <row r="4950" spans="1:10" ht="12.75" customHeight="1" x14ac:dyDescent="0.2">
      <c r="A4950" s="681">
        <v>1241</v>
      </c>
      <c r="B4950" s="693" t="s">
        <v>2224</v>
      </c>
      <c r="C4950" s="672" t="s">
        <v>788</v>
      </c>
      <c r="D4950" s="809">
        <v>2015</v>
      </c>
      <c r="E4950" s="674">
        <v>10</v>
      </c>
      <c r="F4950" s="675">
        <v>0.1</v>
      </c>
      <c r="G4950" s="676">
        <v>4367.3999999999996</v>
      </c>
      <c r="H4950" s="929">
        <v>436.73999999999984</v>
      </c>
      <c r="I4950" s="929">
        <v>1601.3799999999997</v>
      </c>
      <c r="J4950" s="689">
        <f t="shared" si="78"/>
        <v>2766.02</v>
      </c>
    </row>
    <row r="4951" spans="1:10" ht="12.75" customHeight="1" x14ac:dyDescent="0.2">
      <c r="A4951" s="681">
        <v>1241</v>
      </c>
      <c r="B4951" s="693" t="s">
        <v>2220</v>
      </c>
      <c r="C4951" s="672" t="s">
        <v>788</v>
      </c>
      <c r="D4951" s="809">
        <v>2015</v>
      </c>
      <c r="E4951" s="674">
        <v>10</v>
      </c>
      <c r="F4951" s="675">
        <v>0.1</v>
      </c>
      <c r="G4951" s="676">
        <v>6934.48</v>
      </c>
      <c r="H4951" s="929">
        <v>693.44799999999998</v>
      </c>
      <c r="I4951" s="929">
        <v>2542.6426666666666</v>
      </c>
      <c r="J4951" s="689">
        <f t="shared" si="78"/>
        <v>4391.8373333333329</v>
      </c>
    </row>
    <row r="4952" spans="1:10" ht="12.75" customHeight="1" x14ac:dyDescent="0.2">
      <c r="A4952" s="681">
        <v>1241</v>
      </c>
      <c r="B4952" s="693" t="s">
        <v>2221</v>
      </c>
      <c r="C4952" s="672" t="s">
        <v>788</v>
      </c>
      <c r="D4952" s="809">
        <v>2015</v>
      </c>
      <c r="E4952" s="674">
        <v>10</v>
      </c>
      <c r="F4952" s="675">
        <v>0.1</v>
      </c>
      <c r="G4952" s="676">
        <v>6934.48</v>
      </c>
      <c r="H4952" s="929">
        <v>693.44799999999998</v>
      </c>
      <c r="I4952" s="929">
        <v>2542.6426666666666</v>
      </c>
      <c r="J4952" s="689">
        <f t="shared" si="78"/>
        <v>4391.8373333333329</v>
      </c>
    </row>
    <row r="4953" spans="1:10" ht="12.75" customHeight="1" x14ac:dyDescent="0.2">
      <c r="A4953" s="681">
        <v>1241</v>
      </c>
      <c r="B4953" s="693" t="s">
        <v>2222</v>
      </c>
      <c r="C4953" s="672" t="s">
        <v>788</v>
      </c>
      <c r="D4953" s="809">
        <v>2015</v>
      </c>
      <c r="E4953" s="674">
        <v>10</v>
      </c>
      <c r="F4953" s="675">
        <v>0.1</v>
      </c>
      <c r="G4953" s="676">
        <v>6934.48</v>
      </c>
      <c r="H4953" s="929">
        <v>693.44799999999998</v>
      </c>
      <c r="I4953" s="929">
        <v>2542.6426666666666</v>
      </c>
      <c r="J4953" s="689">
        <f t="shared" si="78"/>
        <v>4391.8373333333329</v>
      </c>
    </row>
    <row r="4954" spans="1:10" ht="12.75" customHeight="1" x14ac:dyDescent="0.2">
      <c r="A4954" s="681">
        <v>1241</v>
      </c>
      <c r="B4954" s="693" t="s">
        <v>2194</v>
      </c>
      <c r="C4954" s="672" t="s">
        <v>738</v>
      </c>
      <c r="D4954" s="809">
        <v>2015</v>
      </c>
      <c r="E4954" s="674">
        <v>3</v>
      </c>
      <c r="F4954" s="675">
        <v>0.33</v>
      </c>
      <c r="G4954" s="676">
        <v>7175.97</v>
      </c>
      <c r="H4954" s="929">
        <v>860.11639999999966</v>
      </c>
      <c r="I4954" s="929">
        <v>7174.97</v>
      </c>
      <c r="J4954" s="689">
        <f t="shared" si="78"/>
        <v>1</v>
      </c>
    </row>
    <row r="4955" spans="1:10" ht="12.75" customHeight="1" x14ac:dyDescent="0.2">
      <c r="A4955" s="681">
        <v>1241</v>
      </c>
      <c r="B4955" s="693" t="s">
        <v>2198</v>
      </c>
      <c r="C4955" s="672" t="s">
        <v>738</v>
      </c>
      <c r="D4955" s="809">
        <v>2015</v>
      </c>
      <c r="E4955" s="674">
        <v>3</v>
      </c>
      <c r="F4955" s="675">
        <v>0.33</v>
      </c>
      <c r="G4955" s="676">
        <v>9099.1</v>
      </c>
      <c r="H4955" s="929">
        <v>1090.8920000000001</v>
      </c>
      <c r="I4955" s="929">
        <v>9098.1</v>
      </c>
      <c r="J4955" s="689">
        <f t="shared" si="78"/>
        <v>1</v>
      </c>
    </row>
    <row r="4956" spans="1:10" ht="12.75" customHeight="1" x14ac:dyDescent="0.2">
      <c r="A4956" s="681">
        <v>1241</v>
      </c>
      <c r="B4956" s="693" t="s">
        <v>2076</v>
      </c>
      <c r="C4956" s="672" t="s">
        <v>2348</v>
      </c>
      <c r="D4956" s="809">
        <v>2015</v>
      </c>
      <c r="E4956" s="674">
        <v>3</v>
      </c>
      <c r="F4956" s="675">
        <v>0.33</v>
      </c>
      <c r="G4956" s="676">
        <v>10328.61</v>
      </c>
      <c r="H4956" s="929">
        <v>1238.4331999999995</v>
      </c>
      <c r="I4956" s="929">
        <v>10327.61</v>
      </c>
      <c r="J4956" s="689">
        <f t="shared" si="78"/>
        <v>1</v>
      </c>
    </row>
    <row r="4957" spans="1:10" ht="12.75" customHeight="1" x14ac:dyDescent="0.2">
      <c r="A4957" s="681">
        <v>1241</v>
      </c>
      <c r="B4957" s="693" t="s">
        <v>2077</v>
      </c>
      <c r="C4957" s="672" t="s">
        <v>2348</v>
      </c>
      <c r="D4957" s="809">
        <v>2015</v>
      </c>
      <c r="E4957" s="674">
        <v>3</v>
      </c>
      <c r="F4957" s="675">
        <v>0.33</v>
      </c>
      <c r="G4957" s="676">
        <v>10328.61</v>
      </c>
      <c r="H4957" s="929">
        <v>1238.4331999999995</v>
      </c>
      <c r="I4957" s="929">
        <v>10327.61</v>
      </c>
      <c r="J4957" s="689">
        <f t="shared" si="78"/>
        <v>1</v>
      </c>
    </row>
    <row r="4958" spans="1:10" ht="12.75" customHeight="1" x14ac:dyDescent="0.2">
      <c r="A4958" s="681">
        <v>1241</v>
      </c>
      <c r="B4958" s="693" t="s">
        <v>2078</v>
      </c>
      <c r="C4958" s="672" t="s">
        <v>2348</v>
      </c>
      <c r="D4958" s="809">
        <v>2015</v>
      </c>
      <c r="E4958" s="674">
        <v>3</v>
      </c>
      <c r="F4958" s="675">
        <v>0.33</v>
      </c>
      <c r="G4958" s="676">
        <v>10328.61</v>
      </c>
      <c r="H4958" s="929">
        <v>1238.4331999999995</v>
      </c>
      <c r="I4958" s="929">
        <v>10327.61</v>
      </c>
      <c r="J4958" s="689">
        <f t="shared" si="78"/>
        <v>1</v>
      </c>
    </row>
    <row r="4959" spans="1:10" ht="12.75" customHeight="1" x14ac:dyDescent="0.2">
      <c r="A4959" s="681">
        <v>1241</v>
      </c>
      <c r="B4959" s="693" t="s">
        <v>2079</v>
      </c>
      <c r="C4959" s="672" t="s">
        <v>2348</v>
      </c>
      <c r="D4959" s="809">
        <v>2015</v>
      </c>
      <c r="E4959" s="674">
        <v>3</v>
      </c>
      <c r="F4959" s="675">
        <v>0.33</v>
      </c>
      <c r="G4959" s="676">
        <v>10328.61</v>
      </c>
      <c r="H4959" s="929">
        <v>1238.4331999999995</v>
      </c>
      <c r="I4959" s="929">
        <v>10327.61</v>
      </c>
      <c r="J4959" s="689">
        <f t="shared" si="78"/>
        <v>1</v>
      </c>
    </row>
    <row r="4960" spans="1:10" ht="12.75" customHeight="1" x14ac:dyDescent="0.2">
      <c r="A4960" s="681">
        <v>1241</v>
      </c>
      <c r="B4960" s="693" t="s">
        <v>2214</v>
      </c>
      <c r="C4960" s="672" t="s">
        <v>2360</v>
      </c>
      <c r="D4960" s="809">
        <v>2015</v>
      </c>
      <c r="E4960" s="674">
        <v>3</v>
      </c>
      <c r="F4960" s="675">
        <v>0.33</v>
      </c>
      <c r="G4960" s="676">
        <v>10999</v>
      </c>
      <c r="H4960" s="929">
        <v>1318.8799999999999</v>
      </c>
      <c r="I4960" s="929">
        <v>10998</v>
      </c>
      <c r="J4960" s="689">
        <f t="shared" si="78"/>
        <v>1</v>
      </c>
    </row>
    <row r="4961" spans="1:10" ht="12.75" customHeight="1" x14ac:dyDescent="0.2">
      <c r="A4961" s="681">
        <v>1241</v>
      </c>
      <c r="B4961" s="693" t="s">
        <v>2197</v>
      </c>
      <c r="C4961" s="672" t="s">
        <v>738</v>
      </c>
      <c r="D4961" s="809">
        <v>2015</v>
      </c>
      <c r="E4961" s="674">
        <v>3</v>
      </c>
      <c r="F4961" s="675">
        <v>0.33</v>
      </c>
      <c r="G4961" s="676">
        <v>44509.15</v>
      </c>
      <c r="H4961" s="929">
        <v>5340.0979999999954</v>
      </c>
      <c r="I4961" s="929">
        <v>44508.15</v>
      </c>
      <c r="J4961" s="689">
        <f t="shared" si="78"/>
        <v>1</v>
      </c>
    </row>
    <row r="4962" spans="1:10" ht="12.75" customHeight="1" x14ac:dyDescent="0.2">
      <c r="A4962" s="681">
        <v>1241</v>
      </c>
      <c r="B4962" s="693" t="s">
        <v>2196</v>
      </c>
      <c r="C4962" s="672" t="s">
        <v>738</v>
      </c>
      <c r="D4962" s="809">
        <v>2015</v>
      </c>
      <c r="E4962" s="674">
        <v>3</v>
      </c>
      <c r="F4962" s="675">
        <v>0.33</v>
      </c>
      <c r="G4962" s="676">
        <v>49168.18</v>
      </c>
      <c r="H4962" s="929">
        <v>5899.181599999999</v>
      </c>
      <c r="I4962" s="929">
        <v>49167.18</v>
      </c>
      <c r="J4962" s="689">
        <f t="shared" si="78"/>
        <v>1</v>
      </c>
    </row>
    <row r="4963" spans="1:10" ht="12.75" customHeight="1" x14ac:dyDescent="0.2">
      <c r="A4963" s="681">
        <v>1241</v>
      </c>
      <c r="B4963" s="693" t="s">
        <v>2183</v>
      </c>
      <c r="C4963" s="672" t="s">
        <v>2353</v>
      </c>
      <c r="D4963" s="809">
        <v>2015</v>
      </c>
      <c r="E4963" s="674">
        <v>3</v>
      </c>
      <c r="F4963" s="675">
        <v>0.33</v>
      </c>
      <c r="G4963" s="676">
        <v>16000</v>
      </c>
      <c r="H4963" s="929">
        <v>2359</v>
      </c>
      <c r="I4963" s="929">
        <v>15999</v>
      </c>
      <c r="J4963" s="689">
        <f t="shared" si="78"/>
        <v>1</v>
      </c>
    </row>
    <row r="4964" spans="1:10" ht="12.75" customHeight="1" x14ac:dyDescent="0.2">
      <c r="A4964" s="681">
        <v>1241</v>
      </c>
      <c r="B4964" s="693" t="s">
        <v>2184</v>
      </c>
      <c r="C4964" s="672" t="s">
        <v>2353</v>
      </c>
      <c r="D4964" s="809">
        <v>2015</v>
      </c>
      <c r="E4964" s="674">
        <v>3</v>
      </c>
      <c r="F4964" s="675">
        <v>0.33</v>
      </c>
      <c r="G4964" s="676">
        <v>16000</v>
      </c>
      <c r="H4964" s="929">
        <v>2359</v>
      </c>
      <c r="I4964" s="929">
        <v>15999</v>
      </c>
      <c r="J4964" s="689">
        <f t="shared" si="78"/>
        <v>1</v>
      </c>
    </row>
    <row r="4965" spans="1:10" ht="12.75" customHeight="1" x14ac:dyDescent="0.2">
      <c r="A4965" s="681">
        <v>1241</v>
      </c>
      <c r="B4965" s="693" t="s">
        <v>2185</v>
      </c>
      <c r="C4965" s="672" t="s">
        <v>2353</v>
      </c>
      <c r="D4965" s="809">
        <v>2015</v>
      </c>
      <c r="E4965" s="674">
        <v>3</v>
      </c>
      <c r="F4965" s="675">
        <v>0.33</v>
      </c>
      <c r="G4965" s="676">
        <v>16000</v>
      </c>
      <c r="H4965" s="929">
        <v>2359</v>
      </c>
      <c r="I4965" s="929">
        <v>15999</v>
      </c>
      <c r="J4965" s="689">
        <f t="shared" si="78"/>
        <v>1</v>
      </c>
    </row>
    <row r="4966" spans="1:10" ht="12.75" customHeight="1" x14ac:dyDescent="0.2">
      <c r="A4966" s="681">
        <v>1241</v>
      </c>
      <c r="B4966" s="693" t="s">
        <v>2186</v>
      </c>
      <c r="C4966" s="672" t="s">
        <v>2353</v>
      </c>
      <c r="D4966" s="809">
        <v>2015</v>
      </c>
      <c r="E4966" s="674">
        <v>3</v>
      </c>
      <c r="F4966" s="675">
        <v>0.33</v>
      </c>
      <c r="G4966" s="676">
        <v>16000</v>
      </c>
      <c r="H4966" s="929">
        <v>2359</v>
      </c>
      <c r="I4966" s="929">
        <v>15999</v>
      </c>
      <c r="J4966" s="689">
        <f t="shared" si="78"/>
        <v>1</v>
      </c>
    </row>
    <row r="4967" spans="1:10" ht="12.75" customHeight="1" x14ac:dyDescent="0.2">
      <c r="A4967" s="681">
        <v>1241</v>
      </c>
      <c r="B4967" s="693" t="s">
        <v>2104</v>
      </c>
      <c r="C4967" s="672" t="s">
        <v>2353</v>
      </c>
      <c r="D4967" s="809">
        <v>2015</v>
      </c>
      <c r="E4967" s="674">
        <v>3</v>
      </c>
      <c r="F4967" s="675">
        <v>0.33</v>
      </c>
      <c r="G4967" s="676">
        <v>16489</v>
      </c>
      <c r="H4967" s="929">
        <v>2431.1274999999978</v>
      </c>
      <c r="I4967" s="929">
        <v>16488</v>
      </c>
      <c r="J4967" s="689">
        <f t="shared" si="78"/>
        <v>1</v>
      </c>
    </row>
    <row r="4968" spans="1:10" ht="12.75" customHeight="1" x14ac:dyDescent="0.2">
      <c r="A4968" s="681">
        <v>1241</v>
      </c>
      <c r="B4968" s="693" t="s">
        <v>2105</v>
      </c>
      <c r="C4968" s="672" t="s">
        <v>2353</v>
      </c>
      <c r="D4968" s="809">
        <v>2015</v>
      </c>
      <c r="E4968" s="674">
        <v>3</v>
      </c>
      <c r="F4968" s="675">
        <v>0.33</v>
      </c>
      <c r="G4968" s="676">
        <v>16489</v>
      </c>
      <c r="H4968" s="929">
        <v>2431.1274999999978</v>
      </c>
      <c r="I4968" s="929">
        <v>16488</v>
      </c>
      <c r="J4968" s="689">
        <f t="shared" si="78"/>
        <v>1</v>
      </c>
    </row>
    <row r="4969" spans="1:10" ht="12.75" customHeight="1" x14ac:dyDescent="0.2">
      <c r="A4969" s="681">
        <v>1241</v>
      </c>
      <c r="B4969" s="693" t="s">
        <v>2106</v>
      </c>
      <c r="C4969" s="672" t="s">
        <v>2353</v>
      </c>
      <c r="D4969" s="809">
        <v>2015</v>
      </c>
      <c r="E4969" s="674">
        <v>3</v>
      </c>
      <c r="F4969" s="675">
        <v>0.33</v>
      </c>
      <c r="G4969" s="676">
        <v>16489</v>
      </c>
      <c r="H4969" s="929">
        <v>2431.1274999999978</v>
      </c>
      <c r="I4969" s="929">
        <v>16488</v>
      </c>
      <c r="J4969" s="689">
        <f t="shared" si="78"/>
        <v>1</v>
      </c>
    </row>
    <row r="4970" spans="1:10" ht="12.75" customHeight="1" x14ac:dyDescent="0.2">
      <c r="A4970" s="681">
        <v>1241</v>
      </c>
      <c r="B4970" s="693" t="s">
        <v>2107</v>
      </c>
      <c r="C4970" s="672" t="s">
        <v>2353</v>
      </c>
      <c r="D4970" s="809">
        <v>2015</v>
      </c>
      <c r="E4970" s="674">
        <v>3</v>
      </c>
      <c r="F4970" s="675">
        <v>0.33</v>
      </c>
      <c r="G4970" s="676">
        <v>16489</v>
      </c>
      <c r="H4970" s="929">
        <v>2431.1274999999978</v>
      </c>
      <c r="I4970" s="929">
        <v>16488</v>
      </c>
      <c r="J4970" s="689">
        <f t="shared" si="78"/>
        <v>1</v>
      </c>
    </row>
    <row r="4971" spans="1:10" ht="12.75" customHeight="1" x14ac:dyDescent="0.2">
      <c r="A4971" s="681">
        <v>1241</v>
      </c>
      <c r="B4971" s="693" t="s">
        <v>2108</v>
      </c>
      <c r="C4971" s="672" t="s">
        <v>2353</v>
      </c>
      <c r="D4971" s="809">
        <v>2015</v>
      </c>
      <c r="E4971" s="674">
        <v>3</v>
      </c>
      <c r="F4971" s="675">
        <v>0.33</v>
      </c>
      <c r="G4971" s="676">
        <v>16489</v>
      </c>
      <c r="H4971" s="929">
        <v>2431.1274999999978</v>
      </c>
      <c r="I4971" s="929">
        <v>16488</v>
      </c>
      <c r="J4971" s="689">
        <f t="shared" si="78"/>
        <v>1</v>
      </c>
    </row>
    <row r="4972" spans="1:10" ht="12.75" customHeight="1" x14ac:dyDescent="0.2">
      <c r="A4972" s="681">
        <v>1241</v>
      </c>
      <c r="B4972" s="693" t="s">
        <v>2109</v>
      </c>
      <c r="C4972" s="672" t="s">
        <v>2353</v>
      </c>
      <c r="D4972" s="809">
        <v>2015</v>
      </c>
      <c r="E4972" s="674">
        <v>3</v>
      </c>
      <c r="F4972" s="675">
        <v>0.33</v>
      </c>
      <c r="G4972" s="676">
        <v>16489</v>
      </c>
      <c r="H4972" s="929">
        <v>2431.1274999999978</v>
      </c>
      <c r="I4972" s="929">
        <v>16488</v>
      </c>
      <c r="J4972" s="689">
        <f t="shared" si="78"/>
        <v>1</v>
      </c>
    </row>
    <row r="4973" spans="1:10" ht="12.75" customHeight="1" x14ac:dyDescent="0.2">
      <c r="A4973" s="681">
        <v>1241</v>
      </c>
      <c r="B4973" s="693" t="s">
        <v>2110</v>
      </c>
      <c r="C4973" s="672" t="s">
        <v>2353</v>
      </c>
      <c r="D4973" s="809">
        <v>2015</v>
      </c>
      <c r="E4973" s="674">
        <v>3</v>
      </c>
      <c r="F4973" s="675">
        <v>0.33</v>
      </c>
      <c r="G4973" s="676">
        <v>16489</v>
      </c>
      <c r="H4973" s="929">
        <v>2431.1274999999978</v>
      </c>
      <c r="I4973" s="929">
        <v>16488</v>
      </c>
      <c r="J4973" s="689">
        <f t="shared" si="78"/>
        <v>1</v>
      </c>
    </row>
    <row r="4974" spans="1:10" ht="12.75" customHeight="1" x14ac:dyDescent="0.2">
      <c r="A4974" s="681">
        <v>1241</v>
      </c>
      <c r="B4974" s="693" t="s">
        <v>2111</v>
      </c>
      <c r="C4974" s="672" t="s">
        <v>2353</v>
      </c>
      <c r="D4974" s="809">
        <v>2015</v>
      </c>
      <c r="E4974" s="674">
        <v>3</v>
      </c>
      <c r="F4974" s="675">
        <v>0.33</v>
      </c>
      <c r="G4974" s="676">
        <v>16489</v>
      </c>
      <c r="H4974" s="929">
        <v>2431.1274999999978</v>
      </c>
      <c r="I4974" s="929">
        <v>16488</v>
      </c>
      <c r="J4974" s="689">
        <f t="shared" si="78"/>
        <v>1</v>
      </c>
    </row>
    <row r="4975" spans="1:10" ht="12.75" customHeight="1" x14ac:dyDescent="0.2">
      <c r="A4975" s="681">
        <v>1241</v>
      </c>
      <c r="B4975" s="693" t="s">
        <v>2112</v>
      </c>
      <c r="C4975" s="672" t="s">
        <v>2353</v>
      </c>
      <c r="D4975" s="809">
        <v>2015</v>
      </c>
      <c r="E4975" s="674">
        <v>3</v>
      </c>
      <c r="F4975" s="675">
        <v>0.33</v>
      </c>
      <c r="G4975" s="676">
        <v>16489</v>
      </c>
      <c r="H4975" s="929">
        <v>2431.1274999999978</v>
      </c>
      <c r="I4975" s="929">
        <v>16488</v>
      </c>
      <c r="J4975" s="689">
        <f t="shared" si="78"/>
        <v>1</v>
      </c>
    </row>
    <row r="4976" spans="1:10" ht="12.75" customHeight="1" x14ac:dyDescent="0.2">
      <c r="A4976" s="681">
        <v>1241</v>
      </c>
      <c r="B4976" s="693" t="s">
        <v>2113</v>
      </c>
      <c r="C4976" s="672" t="s">
        <v>2353</v>
      </c>
      <c r="D4976" s="809">
        <v>2015</v>
      </c>
      <c r="E4976" s="674">
        <v>3</v>
      </c>
      <c r="F4976" s="675">
        <v>0.33</v>
      </c>
      <c r="G4976" s="676">
        <v>16489</v>
      </c>
      <c r="H4976" s="929">
        <v>2431.1274999999978</v>
      </c>
      <c r="I4976" s="929">
        <v>16488</v>
      </c>
      <c r="J4976" s="689">
        <f t="shared" si="78"/>
        <v>1</v>
      </c>
    </row>
    <row r="4977" spans="1:10" ht="12.75" customHeight="1" x14ac:dyDescent="0.2">
      <c r="A4977" s="681">
        <v>1241</v>
      </c>
      <c r="B4977" s="693" t="s">
        <v>2114</v>
      </c>
      <c r="C4977" s="672" t="s">
        <v>2353</v>
      </c>
      <c r="D4977" s="809">
        <v>2015</v>
      </c>
      <c r="E4977" s="674">
        <v>3</v>
      </c>
      <c r="F4977" s="675">
        <v>0.33</v>
      </c>
      <c r="G4977" s="676">
        <v>16489</v>
      </c>
      <c r="H4977" s="929">
        <v>2431.1274999999978</v>
      </c>
      <c r="I4977" s="929">
        <v>16488</v>
      </c>
      <c r="J4977" s="689">
        <f t="shared" si="78"/>
        <v>1</v>
      </c>
    </row>
    <row r="4978" spans="1:10" ht="12.75" customHeight="1" x14ac:dyDescent="0.2">
      <c r="A4978" s="681">
        <v>1241</v>
      </c>
      <c r="B4978" s="693" t="s">
        <v>2115</v>
      </c>
      <c r="C4978" s="672" t="s">
        <v>2353</v>
      </c>
      <c r="D4978" s="809">
        <v>2015</v>
      </c>
      <c r="E4978" s="674">
        <v>3</v>
      </c>
      <c r="F4978" s="675">
        <v>0.33</v>
      </c>
      <c r="G4978" s="676">
        <v>16489</v>
      </c>
      <c r="H4978" s="929">
        <v>2431.1274999999978</v>
      </c>
      <c r="I4978" s="929">
        <v>16488</v>
      </c>
      <c r="J4978" s="689">
        <f t="shared" si="78"/>
        <v>1</v>
      </c>
    </row>
    <row r="4979" spans="1:10" ht="12.75" customHeight="1" x14ac:dyDescent="0.2">
      <c r="A4979" s="681">
        <v>1241</v>
      </c>
      <c r="B4979" s="693" t="s">
        <v>2116</v>
      </c>
      <c r="C4979" s="672" t="s">
        <v>2353</v>
      </c>
      <c r="D4979" s="809">
        <v>2015</v>
      </c>
      <c r="E4979" s="674">
        <v>3</v>
      </c>
      <c r="F4979" s="675">
        <v>0.33</v>
      </c>
      <c r="G4979" s="676">
        <v>16489</v>
      </c>
      <c r="H4979" s="929">
        <v>2431.1274999999978</v>
      </c>
      <c r="I4979" s="929">
        <v>16488</v>
      </c>
      <c r="J4979" s="689">
        <f t="shared" si="78"/>
        <v>1</v>
      </c>
    </row>
    <row r="4980" spans="1:10" ht="12.75" customHeight="1" x14ac:dyDescent="0.2">
      <c r="A4980" s="681">
        <v>1241</v>
      </c>
      <c r="B4980" s="693" t="s">
        <v>2117</v>
      </c>
      <c r="C4980" s="672" t="s">
        <v>2353</v>
      </c>
      <c r="D4980" s="809">
        <v>2015</v>
      </c>
      <c r="E4980" s="674">
        <v>3</v>
      </c>
      <c r="F4980" s="675">
        <v>0.33</v>
      </c>
      <c r="G4980" s="676">
        <v>16489</v>
      </c>
      <c r="H4980" s="929">
        <v>2431.1274999999978</v>
      </c>
      <c r="I4980" s="929">
        <v>16488</v>
      </c>
      <c r="J4980" s="689">
        <f t="shared" si="78"/>
        <v>1</v>
      </c>
    </row>
    <row r="4981" spans="1:10" ht="12.75" customHeight="1" x14ac:dyDescent="0.2">
      <c r="A4981" s="681">
        <v>1241</v>
      </c>
      <c r="B4981" s="693" t="s">
        <v>2223</v>
      </c>
      <c r="C4981" s="672" t="s">
        <v>788</v>
      </c>
      <c r="D4981" s="809">
        <v>2015</v>
      </c>
      <c r="E4981" s="674">
        <v>10</v>
      </c>
      <c r="F4981" s="675">
        <v>0.1</v>
      </c>
      <c r="G4981" s="676">
        <v>4297.8</v>
      </c>
      <c r="H4981" s="929">
        <v>429.78</v>
      </c>
      <c r="I4981" s="929">
        <v>1504.23</v>
      </c>
      <c r="J4981" s="689">
        <f t="shared" si="78"/>
        <v>2793.57</v>
      </c>
    </row>
    <row r="4982" spans="1:10" ht="12.75" customHeight="1" x14ac:dyDescent="0.2">
      <c r="A4982" s="681">
        <v>1246</v>
      </c>
      <c r="B4982" s="693" t="s">
        <v>2182</v>
      </c>
      <c r="C4982" s="672" t="s">
        <v>737</v>
      </c>
      <c r="D4982" s="809">
        <v>2015</v>
      </c>
      <c r="E4982" s="674">
        <v>10</v>
      </c>
      <c r="F4982" s="675">
        <v>0.1</v>
      </c>
      <c r="G4982" s="676">
        <v>4424.99</v>
      </c>
      <c r="H4982" s="929">
        <v>442.49899999999985</v>
      </c>
      <c r="I4982" s="929">
        <v>1548.7464999999997</v>
      </c>
      <c r="J4982" s="689">
        <f t="shared" si="78"/>
        <v>2876.2435</v>
      </c>
    </row>
    <row r="4983" spans="1:10" ht="12.75" customHeight="1" x14ac:dyDescent="0.2">
      <c r="A4983" s="681">
        <v>1246</v>
      </c>
      <c r="B4983" s="693" t="s">
        <v>2181</v>
      </c>
      <c r="C4983" s="672" t="s">
        <v>737</v>
      </c>
      <c r="D4983" s="809">
        <v>2015</v>
      </c>
      <c r="E4983" s="674">
        <v>10</v>
      </c>
      <c r="F4983" s="675">
        <v>0.1</v>
      </c>
      <c r="G4983" s="676">
        <v>5175</v>
      </c>
      <c r="H4983" s="929">
        <v>517.5</v>
      </c>
      <c r="I4983" s="929">
        <v>1811.25</v>
      </c>
      <c r="J4983" s="689">
        <f t="shared" si="78"/>
        <v>3363.75</v>
      </c>
    </row>
    <row r="4984" spans="1:10" ht="12.75" customHeight="1" x14ac:dyDescent="0.2">
      <c r="A4984" s="681">
        <v>1241</v>
      </c>
      <c r="B4984" s="693" t="s">
        <v>2225</v>
      </c>
      <c r="C4984" s="672" t="s">
        <v>788</v>
      </c>
      <c r="D4984" s="809">
        <v>2015</v>
      </c>
      <c r="E4984" s="674">
        <v>10</v>
      </c>
      <c r="F4984" s="675">
        <v>0.1</v>
      </c>
      <c r="G4984" s="676">
        <v>6934.48</v>
      </c>
      <c r="H4984" s="929">
        <v>693.44799999999998</v>
      </c>
      <c r="I4984" s="929">
        <v>2427.0679999999998</v>
      </c>
      <c r="J4984" s="689">
        <f t="shared" si="78"/>
        <v>4507.4120000000003</v>
      </c>
    </row>
    <row r="4985" spans="1:10" ht="12.75" customHeight="1" x14ac:dyDescent="0.2">
      <c r="A4985" s="681">
        <v>1241</v>
      </c>
      <c r="B4985" s="693" t="s">
        <v>2226</v>
      </c>
      <c r="C4985" s="672" t="s">
        <v>788</v>
      </c>
      <c r="D4985" s="809">
        <v>2015</v>
      </c>
      <c r="E4985" s="674">
        <v>10</v>
      </c>
      <c r="F4985" s="675">
        <v>0.1</v>
      </c>
      <c r="G4985" s="676">
        <v>6934.48</v>
      </c>
      <c r="H4985" s="929">
        <v>693.44799999999998</v>
      </c>
      <c r="I4985" s="929">
        <v>2427.0679999999998</v>
      </c>
      <c r="J4985" s="689">
        <f t="shared" si="78"/>
        <v>4507.4120000000003</v>
      </c>
    </row>
    <row r="4986" spans="1:10" ht="12.75" customHeight="1" x14ac:dyDescent="0.2">
      <c r="A4986" s="681">
        <v>1241</v>
      </c>
      <c r="B4986" s="693" t="s">
        <v>2227</v>
      </c>
      <c r="C4986" s="672" t="s">
        <v>788</v>
      </c>
      <c r="D4986" s="809">
        <v>2015</v>
      </c>
      <c r="E4986" s="674">
        <v>10</v>
      </c>
      <c r="F4986" s="675">
        <v>0.1</v>
      </c>
      <c r="G4986" s="676">
        <v>6934.48</v>
      </c>
      <c r="H4986" s="929">
        <v>693.44799999999998</v>
      </c>
      <c r="I4986" s="929">
        <v>2427.0679999999998</v>
      </c>
      <c r="J4986" s="689">
        <f t="shared" si="78"/>
        <v>4507.4120000000003</v>
      </c>
    </row>
    <row r="4987" spans="1:10" ht="12.75" customHeight="1" x14ac:dyDescent="0.2">
      <c r="A4987" s="681">
        <v>1241</v>
      </c>
      <c r="B4987" s="693" t="s">
        <v>2219</v>
      </c>
      <c r="C4987" s="672" t="s">
        <v>788</v>
      </c>
      <c r="D4987" s="809">
        <v>2015</v>
      </c>
      <c r="E4987" s="674">
        <v>10</v>
      </c>
      <c r="F4987" s="675">
        <v>0.1</v>
      </c>
      <c r="G4987" s="676">
        <v>8400.7199999999993</v>
      </c>
      <c r="H4987" s="929">
        <v>840.07199999999978</v>
      </c>
      <c r="I4987" s="929">
        <v>2940.2519999999995</v>
      </c>
      <c r="J4987" s="689">
        <f t="shared" si="78"/>
        <v>5460.4679999999998</v>
      </c>
    </row>
    <row r="4988" spans="1:10" ht="12.75" customHeight="1" x14ac:dyDescent="0.2">
      <c r="A4988" s="681">
        <v>1246</v>
      </c>
      <c r="B4988" s="693" t="s">
        <v>2307</v>
      </c>
      <c r="C4988" s="672" t="s">
        <v>2354</v>
      </c>
      <c r="D4988" s="809">
        <v>2015</v>
      </c>
      <c r="E4988" s="674">
        <v>10</v>
      </c>
      <c r="F4988" s="675">
        <v>0.1</v>
      </c>
      <c r="G4988" s="676">
        <v>9999.99</v>
      </c>
      <c r="H4988" s="929">
        <v>999.99900000000014</v>
      </c>
      <c r="I4988" s="929">
        <v>3499.9965000000007</v>
      </c>
      <c r="J4988" s="689">
        <f t="shared" si="78"/>
        <v>6499.9934999999987</v>
      </c>
    </row>
    <row r="4989" spans="1:10" ht="12.75" customHeight="1" x14ac:dyDescent="0.2">
      <c r="A4989" s="681">
        <v>1241</v>
      </c>
      <c r="B4989" s="693" t="s">
        <v>2338</v>
      </c>
      <c r="C4989" s="672" t="s">
        <v>2368</v>
      </c>
      <c r="D4989" s="809">
        <v>2015</v>
      </c>
      <c r="E4989" s="674">
        <v>10</v>
      </c>
      <c r="F4989" s="675">
        <v>0.1</v>
      </c>
      <c r="G4989" s="676">
        <v>12006</v>
      </c>
      <c r="H4989" s="929">
        <v>1200.5999999999997</v>
      </c>
      <c r="I4989" s="929">
        <v>4202.0999999999995</v>
      </c>
      <c r="J4989" s="689">
        <f t="shared" si="78"/>
        <v>7803.9000000000005</v>
      </c>
    </row>
    <row r="4990" spans="1:10" ht="12.75" customHeight="1" x14ac:dyDescent="0.2">
      <c r="A4990" s="681">
        <v>1241</v>
      </c>
      <c r="B4990" s="693" t="s">
        <v>2339</v>
      </c>
      <c r="C4990" s="672" t="s">
        <v>2368</v>
      </c>
      <c r="D4990" s="809">
        <v>2015</v>
      </c>
      <c r="E4990" s="674">
        <v>10</v>
      </c>
      <c r="F4990" s="675">
        <v>0.1</v>
      </c>
      <c r="G4990" s="676">
        <v>12006</v>
      </c>
      <c r="H4990" s="929">
        <v>1200.5999999999997</v>
      </c>
      <c r="I4990" s="929">
        <v>4202.0999999999995</v>
      </c>
      <c r="J4990" s="689">
        <f t="shared" si="78"/>
        <v>7803.9000000000005</v>
      </c>
    </row>
    <row r="4991" spans="1:10" ht="12.75" customHeight="1" x14ac:dyDescent="0.2">
      <c r="A4991" s="681">
        <v>1241</v>
      </c>
      <c r="B4991" s="693" t="s">
        <v>2340</v>
      </c>
      <c r="C4991" s="672" t="s">
        <v>2368</v>
      </c>
      <c r="D4991" s="809">
        <v>2015</v>
      </c>
      <c r="E4991" s="674">
        <v>10</v>
      </c>
      <c r="F4991" s="675">
        <v>0.1</v>
      </c>
      <c r="G4991" s="676">
        <v>12006</v>
      </c>
      <c r="H4991" s="929">
        <v>1200.5999999999997</v>
      </c>
      <c r="I4991" s="929">
        <v>4202.0999999999995</v>
      </c>
      <c r="J4991" s="689">
        <f t="shared" si="78"/>
        <v>7803.9000000000005</v>
      </c>
    </row>
    <row r="4992" spans="1:10" ht="12.75" customHeight="1" x14ac:dyDescent="0.2">
      <c r="A4992" s="681">
        <v>1241</v>
      </c>
      <c r="B4992" s="693" t="s">
        <v>2341</v>
      </c>
      <c r="C4992" s="672" t="s">
        <v>2368</v>
      </c>
      <c r="D4992" s="809">
        <v>2015</v>
      </c>
      <c r="E4992" s="674">
        <v>10</v>
      </c>
      <c r="F4992" s="675">
        <v>0.1</v>
      </c>
      <c r="G4992" s="676">
        <v>12006</v>
      </c>
      <c r="H4992" s="929">
        <v>1200.5999999999997</v>
      </c>
      <c r="I4992" s="929">
        <v>4202.0999999999995</v>
      </c>
      <c r="J4992" s="689">
        <f t="shared" si="78"/>
        <v>7803.9000000000005</v>
      </c>
    </row>
    <row r="4993" spans="1:10" ht="12.75" customHeight="1" x14ac:dyDescent="0.2">
      <c r="A4993" s="681">
        <v>1241</v>
      </c>
      <c r="B4993" s="693" t="s">
        <v>2342</v>
      </c>
      <c r="C4993" s="672" t="s">
        <v>2368</v>
      </c>
      <c r="D4993" s="809">
        <v>2015</v>
      </c>
      <c r="E4993" s="674">
        <v>10</v>
      </c>
      <c r="F4993" s="675">
        <v>0.1</v>
      </c>
      <c r="G4993" s="676">
        <v>12006</v>
      </c>
      <c r="H4993" s="929">
        <v>1200.5999999999997</v>
      </c>
      <c r="I4993" s="929">
        <v>4202.0999999999995</v>
      </c>
      <c r="J4993" s="689">
        <f t="shared" si="78"/>
        <v>7803.9000000000005</v>
      </c>
    </row>
    <row r="4994" spans="1:10" ht="12.75" customHeight="1" x14ac:dyDescent="0.2">
      <c r="A4994" s="681">
        <v>1241</v>
      </c>
      <c r="B4994" s="693" t="s">
        <v>2343</v>
      </c>
      <c r="C4994" s="672" t="s">
        <v>2368</v>
      </c>
      <c r="D4994" s="809">
        <v>2015</v>
      </c>
      <c r="E4994" s="674">
        <v>10</v>
      </c>
      <c r="F4994" s="675">
        <v>0.1</v>
      </c>
      <c r="G4994" s="676">
        <v>12006</v>
      </c>
      <c r="H4994" s="929">
        <v>1200.5999999999997</v>
      </c>
      <c r="I4994" s="929">
        <v>4202.0999999999995</v>
      </c>
      <c r="J4994" s="689">
        <f t="shared" si="78"/>
        <v>7803.9000000000005</v>
      </c>
    </row>
    <row r="4995" spans="1:10" ht="12.75" customHeight="1" x14ac:dyDescent="0.2">
      <c r="A4995" s="681">
        <v>1241</v>
      </c>
      <c r="B4995" s="693" t="s">
        <v>2218</v>
      </c>
      <c r="C4995" s="672" t="s">
        <v>788</v>
      </c>
      <c r="D4995" s="809">
        <v>2015</v>
      </c>
      <c r="E4995" s="674">
        <v>10</v>
      </c>
      <c r="F4995" s="675">
        <v>0.1</v>
      </c>
      <c r="G4995" s="676">
        <v>32419.68</v>
      </c>
      <c r="H4995" s="929">
        <v>3241.9679999999989</v>
      </c>
      <c r="I4995" s="929">
        <v>11346.887999999999</v>
      </c>
      <c r="J4995" s="689">
        <f t="shared" si="78"/>
        <v>21072.792000000001</v>
      </c>
    </row>
    <row r="4996" spans="1:10" ht="12.75" customHeight="1" x14ac:dyDescent="0.2">
      <c r="A4996" s="681">
        <v>1241</v>
      </c>
      <c r="B4996" s="693" t="s">
        <v>2103</v>
      </c>
      <c r="C4996" s="672" t="s">
        <v>2352</v>
      </c>
      <c r="D4996" s="809">
        <v>2015</v>
      </c>
      <c r="E4996" s="674">
        <v>10</v>
      </c>
      <c r="F4996" s="675">
        <v>0.1</v>
      </c>
      <c r="G4996" s="676">
        <v>4059.9999999999995</v>
      </c>
      <c r="H4996" s="929">
        <v>405.99999999999983</v>
      </c>
      <c r="I4996" s="929">
        <v>1319.4999999999995</v>
      </c>
      <c r="J4996" s="689">
        <f t="shared" si="78"/>
        <v>2740.5</v>
      </c>
    </row>
    <row r="4997" spans="1:10" ht="12.75" customHeight="1" x14ac:dyDescent="0.2">
      <c r="A4997" s="681">
        <v>1241</v>
      </c>
      <c r="B4997" s="693" t="s">
        <v>2080</v>
      </c>
      <c r="C4997" s="672" t="s">
        <v>2349</v>
      </c>
      <c r="D4997" s="809">
        <v>2015</v>
      </c>
      <c r="E4997" s="674">
        <v>3</v>
      </c>
      <c r="F4997" s="675">
        <v>0.33</v>
      </c>
      <c r="G4997" s="676">
        <v>4872</v>
      </c>
      <c r="H4997" s="929">
        <v>1253.54</v>
      </c>
      <c r="I4997" s="929">
        <v>4871</v>
      </c>
      <c r="J4997" s="689">
        <f t="shared" ref="J4997:J5060" si="79">G4997-I4997</f>
        <v>1</v>
      </c>
    </row>
    <row r="4998" spans="1:10" ht="12.75" customHeight="1" x14ac:dyDescent="0.2">
      <c r="A4998" s="681">
        <v>1241</v>
      </c>
      <c r="B4998" s="693" t="s">
        <v>2206</v>
      </c>
      <c r="C4998" s="672" t="s">
        <v>892</v>
      </c>
      <c r="D4998" s="809">
        <v>2015</v>
      </c>
      <c r="E4998" s="674">
        <v>3</v>
      </c>
      <c r="F4998" s="675">
        <v>0.33</v>
      </c>
      <c r="G4998" s="676">
        <v>2998.99</v>
      </c>
      <c r="H4998" s="929">
        <v>853.71224999999993</v>
      </c>
      <c r="I4998" s="929">
        <v>2997.9901</v>
      </c>
      <c r="J4998" s="689">
        <f t="shared" si="79"/>
        <v>0.99989999999979773</v>
      </c>
    </row>
    <row r="4999" spans="1:10" ht="12.75" customHeight="1" x14ac:dyDescent="0.2">
      <c r="A4999" s="681">
        <v>1241</v>
      </c>
      <c r="B4999" s="693" t="s">
        <v>2207</v>
      </c>
      <c r="C4999" s="672" t="s">
        <v>892</v>
      </c>
      <c r="D4999" s="809">
        <v>2015</v>
      </c>
      <c r="E4999" s="674">
        <v>3</v>
      </c>
      <c r="F4999" s="675">
        <v>0.33</v>
      </c>
      <c r="G4999" s="676">
        <v>2998.99</v>
      </c>
      <c r="H4999" s="929">
        <v>853.71224999999993</v>
      </c>
      <c r="I4999" s="929">
        <v>2997.9901</v>
      </c>
      <c r="J4999" s="689">
        <f t="shared" si="79"/>
        <v>0.99989999999979773</v>
      </c>
    </row>
    <row r="5000" spans="1:10" ht="12.75" customHeight="1" x14ac:dyDescent="0.2">
      <c r="A5000" s="681">
        <v>1241</v>
      </c>
      <c r="B5000" s="693" t="s">
        <v>2208</v>
      </c>
      <c r="C5000" s="672" t="s">
        <v>892</v>
      </c>
      <c r="D5000" s="809">
        <v>2015</v>
      </c>
      <c r="E5000" s="674">
        <v>3</v>
      </c>
      <c r="F5000" s="675">
        <v>0.33</v>
      </c>
      <c r="G5000" s="676">
        <v>2998.99</v>
      </c>
      <c r="H5000" s="929">
        <v>853.71224999999993</v>
      </c>
      <c r="I5000" s="929">
        <v>2997.9901</v>
      </c>
      <c r="J5000" s="689">
        <f t="shared" si="79"/>
        <v>0.99989999999979773</v>
      </c>
    </row>
    <row r="5001" spans="1:10" ht="12.75" customHeight="1" x14ac:dyDescent="0.2">
      <c r="A5001" s="681">
        <v>1241</v>
      </c>
      <c r="B5001" s="693" t="s">
        <v>2209</v>
      </c>
      <c r="C5001" s="672" t="s">
        <v>892</v>
      </c>
      <c r="D5001" s="809">
        <v>2015</v>
      </c>
      <c r="E5001" s="674">
        <v>3</v>
      </c>
      <c r="F5001" s="675">
        <v>0.33</v>
      </c>
      <c r="G5001" s="676">
        <v>2998.99</v>
      </c>
      <c r="H5001" s="929">
        <v>853.71224999999993</v>
      </c>
      <c r="I5001" s="929">
        <v>2997.9901</v>
      </c>
      <c r="J5001" s="689">
        <f t="shared" si="79"/>
        <v>0.99989999999979773</v>
      </c>
    </row>
    <row r="5002" spans="1:10" ht="12.75" customHeight="1" x14ac:dyDescent="0.2">
      <c r="A5002" s="681">
        <v>1241</v>
      </c>
      <c r="B5002" s="693" t="s">
        <v>2210</v>
      </c>
      <c r="C5002" s="672" t="s">
        <v>892</v>
      </c>
      <c r="D5002" s="809">
        <v>2015</v>
      </c>
      <c r="E5002" s="674">
        <v>3</v>
      </c>
      <c r="F5002" s="675">
        <v>0.33</v>
      </c>
      <c r="G5002" s="676">
        <v>2998.99</v>
      </c>
      <c r="H5002" s="929">
        <v>853.71224999999993</v>
      </c>
      <c r="I5002" s="929">
        <v>2997.9901</v>
      </c>
      <c r="J5002" s="689">
        <f t="shared" si="79"/>
        <v>0.99989999999979773</v>
      </c>
    </row>
    <row r="5003" spans="1:10" ht="12.75" customHeight="1" x14ac:dyDescent="0.2">
      <c r="A5003" s="681">
        <v>1241</v>
      </c>
      <c r="B5003" s="693" t="s">
        <v>2320</v>
      </c>
      <c r="C5003" s="672" t="s">
        <v>2364</v>
      </c>
      <c r="D5003" s="809">
        <v>2015</v>
      </c>
      <c r="E5003" s="674">
        <v>3</v>
      </c>
      <c r="F5003" s="675">
        <v>0.33</v>
      </c>
      <c r="G5003" s="676">
        <v>3499</v>
      </c>
      <c r="H5003" s="929">
        <v>996.2149999999998</v>
      </c>
      <c r="I5003" s="929">
        <v>3497.9999999999995</v>
      </c>
      <c r="J5003" s="689">
        <f t="shared" si="79"/>
        <v>1.0000000000004547</v>
      </c>
    </row>
    <row r="5004" spans="1:10" ht="12.75" customHeight="1" x14ac:dyDescent="0.2">
      <c r="A5004" s="681">
        <v>1241</v>
      </c>
      <c r="B5004" s="693" t="s">
        <v>2321</v>
      </c>
      <c r="C5004" s="672" t="s">
        <v>2364</v>
      </c>
      <c r="D5004" s="809">
        <v>2015</v>
      </c>
      <c r="E5004" s="674">
        <v>3</v>
      </c>
      <c r="F5004" s="675">
        <v>0.33</v>
      </c>
      <c r="G5004" s="676">
        <v>3499</v>
      </c>
      <c r="H5004" s="929">
        <v>996.2149999999998</v>
      </c>
      <c r="I5004" s="929">
        <v>3497.9999999999995</v>
      </c>
      <c r="J5004" s="689">
        <f t="shared" si="79"/>
        <v>1.0000000000004547</v>
      </c>
    </row>
    <row r="5005" spans="1:10" ht="12.75" customHeight="1" x14ac:dyDescent="0.2">
      <c r="A5005" s="681">
        <v>1241</v>
      </c>
      <c r="B5005" s="693" t="s">
        <v>2322</v>
      </c>
      <c r="C5005" s="672" t="s">
        <v>2364</v>
      </c>
      <c r="D5005" s="809">
        <v>2015</v>
      </c>
      <c r="E5005" s="674">
        <v>3</v>
      </c>
      <c r="F5005" s="675">
        <v>0.33</v>
      </c>
      <c r="G5005" s="676">
        <v>3499</v>
      </c>
      <c r="H5005" s="929">
        <v>996.2149999999998</v>
      </c>
      <c r="I5005" s="929">
        <v>3497.9999999999995</v>
      </c>
      <c r="J5005" s="689">
        <f t="shared" si="79"/>
        <v>1.0000000000004547</v>
      </c>
    </row>
    <row r="5006" spans="1:10" ht="12.75" customHeight="1" x14ac:dyDescent="0.2">
      <c r="A5006" s="681">
        <v>1241</v>
      </c>
      <c r="B5006" s="693" t="s">
        <v>2323</v>
      </c>
      <c r="C5006" s="672" t="s">
        <v>2364</v>
      </c>
      <c r="D5006" s="809">
        <v>2015</v>
      </c>
      <c r="E5006" s="674">
        <v>3</v>
      </c>
      <c r="F5006" s="675">
        <v>0.33</v>
      </c>
      <c r="G5006" s="676">
        <v>3499</v>
      </c>
      <c r="H5006" s="929">
        <v>996.2149999999998</v>
      </c>
      <c r="I5006" s="929">
        <v>3497.9999999999995</v>
      </c>
      <c r="J5006" s="689">
        <f t="shared" si="79"/>
        <v>1.0000000000004547</v>
      </c>
    </row>
    <row r="5007" spans="1:10" ht="12.75" customHeight="1" x14ac:dyDescent="0.2">
      <c r="A5007" s="681">
        <v>1241</v>
      </c>
      <c r="B5007" s="693" t="s">
        <v>2100</v>
      </c>
      <c r="C5007" s="672" t="s">
        <v>907</v>
      </c>
      <c r="D5007" s="809">
        <v>2015</v>
      </c>
      <c r="E5007" s="674">
        <v>3</v>
      </c>
      <c r="F5007" s="675">
        <v>0.33</v>
      </c>
      <c r="G5007" s="676">
        <v>3795</v>
      </c>
      <c r="H5007" s="929">
        <v>1081.5749999999998</v>
      </c>
      <c r="I5007" s="929">
        <v>3795</v>
      </c>
      <c r="J5007" s="689">
        <f t="shared" si="79"/>
        <v>0</v>
      </c>
    </row>
    <row r="5008" spans="1:10" ht="12.75" customHeight="1" x14ac:dyDescent="0.2">
      <c r="A5008" s="681">
        <v>1241</v>
      </c>
      <c r="B5008" s="693" t="s">
        <v>2091</v>
      </c>
      <c r="C5008" s="672" t="s">
        <v>907</v>
      </c>
      <c r="D5008" s="809">
        <v>2015</v>
      </c>
      <c r="E5008" s="674">
        <v>3</v>
      </c>
      <c r="F5008" s="675">
        <v>0.33</v>
      </c>
      <c r="G5008" s="676">
        <v>5800</v>
      </c>
      <c r="H5008" s="929">
        <v>1652</v>
      </c>
      <c r="I5008" s="929">
        <v>5799</v>
      </c>
      <c r="J5008" s="689">
        <f t="shared" si="79"/>
        <v>1</v>
      </c>
    </row>
    <row r="5009" spans="1:10" ht="12.75" customHeight="1" x14ac:dyDescent="0.2">
      <c r="A5009" s="681">
        <v>1241</v>
      </c>
      <c r="B5009" s="693" t="s">
        <v>2092</v>
      </c>
      <c r="C5009" s="672" t="s">
        <v>907</v>
      </c>
      <c r="D5009" s="809">
        <v>2015</v>
      </c>
      <c r="E5009" s="674">
        <v>3</v>
      </c>
      <c r="F5009" s="675">
        <v>0.33</v>
      </c>
      <c r="G5009" s="676">
        <v>5800</v>
      </c>
      <c r="H5009" s="929">
        <v>1652</v>
      </c>
      <c r="I5009" s="929">
        <v>5799</v>
      </c>
      <c r="J5009" s="689">
        <f t="shared" si="79"/>
        <v>1</v>
      </c>
    </row>
    <row r="5010" spans="1:10" ht="12.75" customHeight="1" x14ac:dyDescent="0.2">
      <c r="A5010" s="681">
        <v>1241</v>
      </c>
      <c r="B5010" s="693" t="s">
        <v>2093</v>
      </c>
      <c r="C5010" s="672" t="s">
        <v>907</v>
      </c>
      <c r="D5010" s="809">
        <v>2015</v>
      </c>
      <c r="E5010" s="674">
        <v>3</v>
      </c>
      <c r="F5010" s="675">
        <v>0.33</v>
      </c>
      <c r="G5010" s="676">
        <v>5800</v>
      </c>
      <c r="H5010" s="929">
        <v>1652</v>
      </c>
      <c r="I5010" s="929">
        <v>5799</v>
      </c>
      <c r="J5010" s="689">
        <f t="shared" si="79"/>
        <v>1</v>
      </c>
    </row>
    <row r="5011" spans="1:10" ht="12.75" customHeight="1" x14ac:dyDescent="0.2">
      <c r="A5011" s="681">
        <v>1241</v>
      </c>
      <c r="B5011" s="693" t="s">
        <v>2187</v>
      </c>
      <c r="C5011" s="672" t="s">
        <v>2353</v>
      </c>
      <c r="D5011" s="809">
        <v>2015</v>
      </c>
      <c r="E5011" s="674">
        <v>3</v>
      </c>
      <c r="F5011" s="675">
        <v>0.33</v>
      </c>
      <c r="G5011" s="676">
        <v>5999</v>
      </c>
      <c r="H5011" s="929">
        <v>1708.7150000000001</v>
      </c>
      <c r="I5011" s="929">
        <v>5998.0000000000009</v>
      </c>
      <c r="J5011" s="689">
        <f t="shared" si="79"/>
        <v>0.99999999999909051</v>
      </c>
    </row>
    <row r="5012" spans="1:10" ht="12.75" customHeight="1" x14ac:dyDescent="0.2">
      <c r="A5012" s="681">
        <v>1241</v>
      </c>
      <c r="B5012" s="693" t="s">
        <v>2188</v>
      </c>
      <c r="C5012" s="672" t="s">
        <v>2353</v>
      </c>
      <c r="D5012" s="809">
        <v>2015</v>
      </c>
      <c r="E5012" s="674">
        <v>3</v>
      </c>
      <c r="F5012" s="675">
        <v>0.33</v>
      </c>
      <c r="G5012" s="676">
        <v>5999</v>
      </c>
      <c r="H5012" s="929">
        <v>1708.7150000000001</v>
      </c>
      <c r="I5012" s="929">
        <v>5998.0000000000009</v>
      </c>
      <c r="J5012" s="689">
        <f t="shared" si="79"/>
        <v>0.99999999999909051</v>
      </c>
    </row>
    <row r="5013" spans="1:10" ht="12.75" customHeight="1" x14ac:dyDescent="0.2">
      <c r="A5013" s="681">
        <v>1241</v>
      </c>
      <c r="B5013" s="693" t="s">
        <v>2189</v>
      </c>
      <c r="C5013" s="672" t="s">
        <v>2353</v>
      </c>
      <c r="D5013" s="809">
        <v>2015</v>
      </c>
      <c r="E5013" s="674">
        <v>3</v>
      </c>
      <c r="F5013" s="675">
        <v>0.33</v>
      </c>
      <c r="G5013" s="676">
        <v>5999</v>
      </c>
      <c r="H5013" s="929">
        <v>1708.7150000000001</v>
      </c>
      <c r="I5013" s="929">
        <v>5998.0000000000009</v>
      </c>
      <c r="J5013" s="689">
        <f t="shared" si="79"/>
        <v>0.99999999999909051</v>
      </c>
    </row>
    <row r="5014" spans="1:10" ht="12.75" customHeight="1" x14ac:dyDescent="0.2">
      <c r="A5014" s="681">
        <v>1241</v>
      </c>
      <c r="B5014" s="693" t="s">
        <v>2190</v>
      </c>
      <c r="C5014" s="672" t="s">
        <v>2353</v>
      </c>
      <c r="D5014" s="809">
        <v>2015</v>
      </c>
      <c r="E5014" s="674">
        <v>3</v>
      </c>
      <c r="F5014" s="675">
        <v>0.33</v>
      </c>
      <c r="G5014" s="676">
        <v>5999</v>
      </c>
      <c r="H5014" s="929">
        <v>1708.7150000000001</v>
      </c>
      <c r="I5014" s="929">
        <v>5998.0000000000009</v>
      </c>
      <c r="J5014" s="689">
        <f t="shared" si="79"/>
        <v>0.99999999999909051</v>
      </c>
    </row>
    <row r="5015" spans="1:10" ht="12.75" customHeight="1" x14ac:dyDescent="0.2">
      <c r="A5015" s="681">
        <v>1241</v>
      </c>
      <c r="B5015" s="693" t="s">
        <v>2191</v>
      </c>
      <c r="C5015" s="672" t="s">
        <v>2353</v>
      </c>
      <c r="D5015" s="809">
        <v>2015</v>
      </c>
      <c r="E5015" s="674">
        <v>3</v>
      </c>
      <c r="F5015" s="675">
        <v>0.33</v>
      </c>
      <c r="G5015" s="676">
        <v>5999</v>
      </c>
      <c r="H5015" s="929">
        <v>1708.7150000000001</v>
      </c>
      <c r="I5015" s="929">
        <v>5998.0000000000009</v>
      </c>
      <c r="J5015" s="689">
        <f t="shared" si="79"/>
        <v>0.99999999999909051</v>
      </c>
    </row>
    <row r="5016" spans="1:10" ht="12.75" customHeight="1" x14ac:dyDescent="0.2">
      <c r="A5016" s="681">
        <v>1241</v>
      </c>
      <c r="B5016" s="693" t="s">
        <v>2192</v>
      </c>
      <c r="C5016" s="672" t="s">
        <v>2353</v>
      </c>
      <c r="D5016" s="809">
        <v>2015</v>
      </c>
      <c r="E5016" s="674">
        <v>3</v>
      </c>
      <c r="F5016" s="675">
        <v>0.33</v>
      </c>
      <c r="G5016" s="676">
        <v>5999</v>
      </c>
      <c r="H5016" s="929">
        <v>1708.7150000000001</v>
      </c>
      <c r="I5016" s="929">
        <v>5998.0000000000009</v>
      </c>
      <c r="J5016" s="689">
        <f t="shared" si="79"/>
        <v>0.99999999999909051</v>
      </c>
    </row>
    <row r="5017" spans="1:10" ht="12.75" customHeight="1" x14ac:dyDescent="0.2">
      <c r="A5017" s="681">
        <v>1241</v>
      </c>
      <c r="B5017" s="693" t="s">
        <v>2193</v>
      </c>
      <c r="C5017" s="672" t="s">
        <v>2353</v>
      </c>
      <c r="D5017" s="809">
        <v>2015</v>
      </c>
      <c r="E5017" s="674">
        <v>3</v>
      </c>
      <c r="F5017" s="675">
        <v>0.33</v>
      </c>
      <c r="G5017" s="676">
        <v>5999</v>
      </c>
      <c r="H5017" s="929">
        <v>1708.7150000000001</v>
      </c>
      <c r="I5017" s="929">
        <v>5998.0000000000009</v>
      </c>
      <c r="J5017" s="689">
        <f t="shared" si="79"/>
        <v>0.99999999999909051</v>
      </c>
    </row>
    <row r="5018" spans="1:10" ht="12.75" customHeight="1" x14ac:dyDescent="0.2">
      <c r="A5018" s="681">
        <v>1241</v>
      </c>
      <c r="B5018" s="693" t="s">
        <v>2094</v>
      </c>
      <c r="C5018" s="672" t="s">
        <v>907</v>
      </c>
      <c r="D5018" s="809">
        <v>2015</v>
      </c>
      <c r="E5018" s="674">
        <v>3</v>
      </c>
      <c r="F5018" s="675">
        <v>0.33</v>
      </c>
      <c r="G5018" s="676">
        <v>6500</v>
      </c>
      <c r="H5018" s="929">
        <v>1851.5</v>
      </c>
      <c r="I5018" s="929">
        <v>6499</v>
      </c>
      <c r="J5018" s="689">
        <f t="shared" si="79"/>
        <v>1</v>
      </c>
    </row>
    <row r="5019" spans="1:10" ht="12.75" customHeight="1" x14ac:dyDescent="0.2">
      <c r="A5019" s="681">
        <v>1241</v>
      </c>
      <c r="B5019" s="693" t="s">
        <v>2095</v>
      </c>
      <c r="C5019" s="672" t="s">
        <v>907</v>
      </c>
      <c r="D5019" s="809">
        <v>2015</v>
      </c>
      <c r="E5019" s="674">
        <v>3</v>
      </c>
      <c r="F5019" s="675">
        <v>0.33</v>
      </c>
      <c r="G5019" s="676">
        <v>6500</v>
      </c>
      <c r="H5019" s="929">
        <v>1851.5</v>
      </c>
      <c r="I5019" s="929">
        <v>6499</v>
      </c>
      <c r="J5019" s="689">
        <f t="shared" si="79"/>
        <v>1</v>
      </c>
    </row>
    <row r="5020" spans="1:10" ht="12.75" customHeight="1" x14ac:dyDescent="0.2">
      <c r="A5020" s="681">
        <v>1241</v>
      </c>
      <c r="B5020" s="693" t="s">
        <v>2096</v>
      </c>
      <c r="C5020" s="672" t="s">
        <v>907</v>
      </c>
      <c r="D5020" s="809">
        <v>2015</v>
      </c>
      <c r="E5020" s="674">
        <v>3</v>
      </c>
      <c r="F5020" s="675">
        <v>0.33</v>
      </c>
      <c r="G5020" s="676">
        <v>6500</v>
      </c>
      <c r="H5020" s="929">
        <v>1851.5</v>
      </c>
      <c r="I5020" s="929">
        <v>6499</v>
      </c>
      <c r="J5020" s="689">
        <f t="shared" si="79"/>
        <v>1</v>
      </c>
    </row>
    <row r="5021" spans="1:10" ht="12.75" customHeight="1" x14ac:dyDescent="0.2">
      <c r="A5021" s="681">
        <v>1241</v>
      </c>
      <c r="B5021" s="693" t="s">
        <v>2337</v>
      </c>
      <c r="C5021" s="672" t="s">
        <v>2367</v>
      </c>
      <c r="D5021" s="809">
        <v>2015</v>
      </c>
      <c r="E5021" s="674">
        <v>3</v>
      </c>
      <c r="F5021" s="675">
        <v>0.33</v>
      </c>
      <c r="G5021" s="676">
        <v>8517.69</v>
      </c>
      <c r="H5021" s="929">
        <v>2426.54475</v>
      </c>
      <c r="I5021" s="929">
        <v>8516.6931000000004</v>
      </c>
      <c r="J5021" s="689">
        <f t="shared" si="79"/>
        <v>0.99690000000009604</v>
      </c>
    </row>
    <row r="5022" spans="1:10" ht="12.75" customHeight="1" x14ac:dyDescent="0.2">
      <c r="A5022" s="681">
        <v>1246</v>
      </c>
      <c r="B5022" s="693" t="s">
        <v>2294</v>
      </c>
      <c r="C5022" s="672" t="s">
        <v>2354</v>
      </c>
      <c r="D5022" s="809">
        <v>2015</v>
      </c>
      <c r="E5022" s="674">
        <v>10</v>
      </c>
      <c r="F5022" s="675">
        <v>0.1</v>
      </c>
      <c r="G5022" s="676">
        <v>8700</v>
      </c>
      <c r="H5022" s="929">
        <v>870</v>
      </c>
      <c r="I5022" s="929">
        <v>2755</v>
      </c>
      <c r="J5022" s="689">
        <f t="shared" si="79"/>
        <v>5945</v>
      </c>
    </row>
    <row r="5023" spans="1:10" ht="12.75" customHeight="1" x14ac:dyDescent="0.2">
      <c r="A5023" s="681">
        <v>1246</v>
      </c>
      <c r="B5023" s="693" t="s">
        <v>2308</v>
      </c>
      <c r="C5023" s="672" t="s">
        <v>2354</v>
      </c>
      <c r="D5023" s="809">
        <v>2015</v>
      </c>
      <c r="E5023" s="674">
        <v>10</v>
      </c>
      <c r="F5023" s="675">
        <v>0.1</v>
      </c>
      <c r="G5023" s="676">
        <v>8700</v>
      </c>
      <c r="H5023" s="929">
        <v>870</v>
      </c>
      <c r="I5023" s="929">
        <v>2755</v>
      </c>
      <c r="J5023" s="689">
        <f t="shared" si="79"/>
        <v>5945</v>
      </c>
    </row>
    <row r="5024" spans="1:10" ht="12.75" customHeight="1" x14ac:dyDescent="0.2">
      <c r="A5024" s="681">
        <v>1246</v>
      </c>
      <c r="B5024" s="693" t="s">
        <v>2309</v>
      </c>
      <c r="C5024" s="672" t="s">
        <v>2354</v>
      </c>
      <c r="D5024" s="809">
        <v>2015</v>
      </c>
      <c r="E5024" s="674">
        <v>10</v>
      </c>
      <c r="F5024" s="675">
        <v>0.1</v>
      </c>
      <c r="G5024" s="676">
        <v>8700</v>
      </c>
      <c r="H5024" s="929">
        <v>870</v>
      </c>
      <c r="I5024" s="929">
        <v>2755</v>
      </c>
      <c r="J5024" s="689">
        <f t="shared" si="79"/>
        <v>5945</v>
      </c>
    </row>
    <row r="5025" spans="1:10" ht="12.75" customHeight="1" x14ac:dyDescent="0.2">
      <c r="A5025" s="681">
        <v>1246</v>
      </c>
      <c r="B5025" s="693" t="s">
        <v>2310</v>
      </c>
      <c r="C5025" s="672" t="s">
        <v>2354</v>
      </c>
      <c r="D5025" s="809">
        <v>2015</v>
      </c>
      <c r="E5025" s="674">
        <v>10</v>
      </c>
      <c r="F5025" s="675">
        <v>0.1</v>
      </c>
      <c r="G5025" s="676">
        <v>8700</v>
      </c>
      <c r="H5025" s="929">
        <v>870</v>
      </c>
      <c r="I5025" s="929">
        <v>2755</v>
      </c>
      <c r="J5025" s="689">
        <f t="shared" si="79"/>
        <v>5945</v>
      </c>
    </row>
    <row r="5026" spans="1:10" ht="12.75" customHeight="1" x14ac:dyDescent="0.2">
      <c r="A5026" s="681">
        <v>1246</v>
      </c>
      <c r="B5026" s="693" t="s">
        <v>2311</v>
      </c>
      <c r="C5026" s="672" t="s">
        <v>2354</v>
      </c>
      <c r="D5026" s="809">
        <v>2015</v>
      </c>
      <c r="E5026" s="674">
        <v>10</v>
      </c>
      <c r="F5026" s="675">
        <v>0.1</v>
      </c>
      <c r="G5026" s="676">
        <v>8700</v>
      </c>
      <c r="H5026" s="929">
        <v>870</v>
      </c>
      <c r="I5026" s="929">
        <v>2755</v>
      </c>
      <c r="J5026" s="689">
        <f t="shared" si="79"/>
        <v>5945</v>
      </c>
    </row>
    <row r="5027" spans="1:10" ht="12.75" customHeight="1" x14ac:dyDescent="0.2">
      <c r="A5027" s="681">
        <v>1246</v>
      </c>
      <c r="B5027" s="693" t="s">
        <v>2312</v>
      </c>
      <c r="C5027" s="672" t="s">
        <v>2354</v>
      </c>
      <c r="D5027" s="809">
        <v>2015</v>
      </c>
      <c r="E5027" s="674">
        <v>10</v>
      </c>
      <c r="F5027" s="675">
        <v>0.1</v>
      </c>
      <c r="G5027" s="676">
        <v>8700</v>
      </c>
      <c r="H5027" s="929">
        <v>870</v>
      </c>
      <c r="I5027" s="929">
        <v>2755</v>
      </c>
      <c r="J5027" s="689">
        <f t="shared" si="79"/>
        <v>5945</v>
      </c>
    </row>
    <row r="5028" spans="1:10" ht="12.75" customHeight="1" x14ac:dyDescent="0.2">
      <c r="A5028" s="681">
        <v>1246</v>
      </c>
      <c r="B5028" s="693" t="s">
        <v>2313</v>
      </c>
      <c r="C5028" s="672" t="s">
        <v>2354</v>
      </c>
      <c r="D5028" s="809">
        <v>2015</v>
      </c>
      <c r="E5028" s="674">
        <v>10</v>
      </c>
      <c r="F5028" s="675">
        <v>0.1</v>
      </c>
      <c r="G5028" s="676">
        <v>8700</v>
      </c>
      <c r="H5028" s="929">
        <v>870</v>
      </c>
      <c r="I5028" s="929">
        <v>2755</v>
      </c>
      <c r="J5028" s="689">
        <f t="shared" si="79"/>
        <v>5945</v>
      </c>
    </row>
    <row r="5029" spans="1:10" ht="12.75" customHeight="1" x14ac:dyDescent="0.2">
      <c r="A5029" s="681">
        <v>1246</v>
      </c>
      <c r="B5029" s="693" t="s">
        <v>2314</v>
      </c>
      <c r="C5029" s="672" t="s">
        <v>2354</v>
      </c>
      <c r="D5029" s="809">
        <v>2015</v>
      </c>
      <c r="E5029" s="674">
        <v>10</v>
      </c>
      <c r="F5029" s="675">
        <v>0.1</v>
      </c>
      <c r="G5029" s="676">
        <v>8700</v>
      </c>
      <c r="H5029" s="929">
        <v>870</v>
      </c>
      <c r="I5029" s="929">
        <v>2755</v>
      </c>
      <c r="J5029" s="689">
        <f t="shared" si="79"/>
        <v>5945</v>
      </c>
    </row>
    <row r="5030" spans="1:10" ht="12.75" customHeight="1" x14ac:dyDescent="0.2">
      <c r="A5030" s="681">
        <v>1241</v>
      </c>
      <c r="B5030" s="693" t="s">
        <v>2124</v>
      </c>
      <c r="C5030" s="672" t="s">
        <v>2353</v>
      </c>
      <c r="D5030" s="809">
        <v>2015</v>
      </c>
      <c r="E5030" s="674">
        <v>3</v>
      </c>
      <c r="F5030" s="675">
        <v>0.33</v>
      </c>
      <c r="G5030" s="676">
        <v>10781.53</v>
      </c>
      <c r="H5030" s="929">
        <v>3071.7407500000008</v>
      </c>
      <c r="I5030" s="929">
        <v>10780.534700000002</v>
      </c>
      <c r="J5030" s="689">
        <f t="shared" si="79"/>
        <v>0.99529999999867869</v>
      </c>
    </row>
    <row r="5031" spans="1:10" ht="12.75" customHeight="1" x14ac:dyDescent="0.2">
      <c r="A5031" s="681">
        <v>1241</v>
      </c>
      <c r="B5031" s="693" t="s">
        <v>2125</v>
      </c>
      <c r="C5031" s="672" t="s">
        <v>2353</v>
      </c>
      <c r="D5031" s="809">
        <v>2015</v>
      </c>
      <c r="E5031" s="674">
        <v>3</v>
      </c>
      <c r="F5031" s="675">
        <v>0.33</v>
      </c>
      <c r="G5031" s="676">
        <v>10781.53</v>
      </c>
      <c r="H5031" s="929">
        <v>3071.7407500000008</v>
      </c>
      <c r="I5031" s="929">
        <v>10780.534700000002</v>
      </c>
      <c r="J5031" s="689">
        <f t="shared" si="79"/>
        <v>0.99529999999867869</v>
      </c>
    </row>
    <row r="5032" spans="1:10" ht="12.75" customHeight="1" x14ac:dyDescent="0.2">
      <c r="A5032" s="681">
        <v>1241</v>
      </c>
      <c r="B5032" s="693" t="s">
        <v>2126</v>
      </c>
      <c r="C5032" s="672" t="s">
        <v>2353</v>
      </c>
      <c r="D5032" s="809">
        <v>2015</v>
      </c>
      <c r="E5032" s="674">
        <v>3</v>
      </c>
      <c r="F5032" s="675">
        <v>0.33</v>
      </c>
      <c r="G5032" s="676">
        <v>10781.53</v>
      </c>
      <c r="H5032" s="929">
        <v>3071.7407500000008</v>
      </c>
      <c r="I5032" s="929">
        <v>10780.534700000002</v>
      </c>
      <c r="J5032" s="689">
        <f t="shared" si="79"/>
        <v>0.99529999999867869</v>
      </c>
    </row>
    <row r="5033" spans="1:10" ht="12.75" customHeight="1" x14ac:dyDescent="0.2">
      <c r="A5033" s="681">
        <v>1241</v>
      </c>
      <c r="B5033" s="693" t="s">
        <v>2127</v>
      </c>
      <c r="C5033" s="672" t="s">
        <v>2353</v>
      </c>
      <c r="D5033" s="809">
        <v>2015</v>
      </c>
      <c r="E5033" s="674">
        <v>3</v>
      </c>
      <c r="F5033" s="675">
        <v>0.33</v>
      </c>
      <c r="G5033" s="676">
        <v>10781.53</v>
      </c>
      <c r="H5033" s="929">
        <v>3071.7407500000008</v>
      </c>
      <c r="I5033" s="929">
        <v>10780.534700000002</v>
      </c>
      <c r="J5033" s="689">
        <f t="shared" si="79"/>
        <v>0.99529999999867869</v>
      </c>
    </row>
    <row r="5034" spans="1:10" ht="12.75" customHeight="1" x14ac:dyDescent="0.2">
      <c r="A5034" s="681">
        <v>1241</v>
      </c>
      <c r="B5034" s="693" t="s">
        <v>2128</v>
      </c>
      <c r="C5034" s="672" t="s">
        <v>2353</v>
      </c>
      <c r="D5034" s="809">
        <v>2015</v>
      </c>
      <c r="E5034" s="674">
        <v>3</v>
      </c>
      <c r="F5034" s="675">
        <v>0.33</v>
      </c>
      <c r="G5034" s="676">
        <v>10781.53</v>
      </c>
      <c r="H5034" s="929">
        <v>3071.7407500000008</v>
      </c>
      <c r="I5034" s="929">
        <v>10780.534700000002</v>
      </c>
      <c r="J5034" s="689">
        <f t="shared" si="79"/>
        <v>0.99529999999867869</v>
      </c>
    </row>
    <row r="5035" spans="1:10" ht="12.75" customHeight="1" x14ac:dyDescent="0.2">
      <c r="A5035" s="681">
        <v>1241</v>
      </c>
      <c r="B5035" s="693" t="s">
        <v>2129</v>
      </c>
      <c r="C5035" s="672" t="s">
        <v>2353</v>
      </c>
      <c r="D5035" s="809">
        <v>2015</v>
      </c>
      <c r="E5035" s="674">
        <v>3</v>
      </c>
      <c r="F5035" s="675">
        <v>0.33</v>
      </c>
      <c r="G5035" s="676">
        <v>10781.53</v>
      </c>
      <c r="H5035" s="929">
        <v>3071.7407500000008</v>
      </c>
      <c r="I5035" s="929">
        <v>10780.534700000002</v>
      </c>
      <c r="J5035" s="689">
        <f t="shared" si="79"/>
        <v>0.99529999999867869</v>
      </c>
    </row>
    <row r="5036" spans="1:10" ht="12.75" customHeight="1" x14ac:dyDescent="0.2">
      <c r="A5036" s="681">
        <v>1241</v>
      </c>
      <c r="B5036" s="693" t="s">
        <v>2130</v>
      </c>
      <c r="C5036" s="672" t="s">
        <v>2353</v>
      </c>
      <c r="D5036" s="809">
        <v>2015</v>
      </c>
      <c r="E5036" s="674">
        <v>3</v>
      </c>
      <c r="F5036" s="675">
        <v>0.33</v>
      </c>
      <c r="G5036" s="676">
        <v>10781.53</v>
      </c>
      <c r="H5036" s="929">
        <v>3071.7407500000008</v>
      </c>
      <c r="I5036" s="929">
        <v>10780.534700000002</v>
      </c>
      <c r="J5036" s="689">
        <f t="shared" si="79"/>
        <v>0.99529999999867869</v>
      </c>
    </row>
    <row r="5037" spans="1:10" ht="12.75" customHeight="1" x14ac:dyDescent="0.2">
      <c r="A5037" s="681">
        <v>1241</v>
      </c>
      <c r="B5037" s="693" t="s">
        <v>2131</v>
      </c>
      <c r="C5037" s="672" t="s">
        <v>2353</v>
      </c>
      <c r="D5037" s="809">
        <v>2015</v>
      </c>
      <c r="E5037" s="674">
        <v>3</v>
      </c>
      <c r="F5037" s="675">
        <v>0.33</v>
      </c>
      <c r="G5037" s="676">
        <v>10781.53</v>
      </c>
      <c r="H5037" s="929">
        <v>3071.7407500000008</v>
      </c>
      <c r="I5037" s="929">
        <v>10780.534700000002</v>
      </c>
      <c r="J5037" s="689">
        <f t="shared" si="79"/>
        <v>0.99529999999867869</v>
      </c>
    </row>
    <row r="5038" spans="1:10" ht="12.75" customHeight="1" x14ac:dyDescent="0.2">
      <c r="A5038" s="681">
        <v>1241</v>
      </c>
      <c r="B5038" s="693" t="s">
        <v>2132</v>
      </c>
      <c r="C5038" s="672" t="s">
        <v>2353</v>
      </c>
      <c r="D5038" s="809">
        <v>2015</v>
      </c>
      <c r="E5038" s="674">
        <v>3</v>
      </c>
      <c r="F5038" s="675">
        <v>0.33</v>
      </c>
      <c r="G5038" s="676">
        <v>10781.53</v>
      </c>
      <c r="H5038" s="929">
        <v>3071.7407500000008</v>
      </c>
      <c r="I5038" s="929">
        <v>10780.534700000002</v>
      </c>
      <c r="J5038" s="689">
        <f t="shared" si="79"/>
        <v>0.99529999999867869</v>
      </c>
    </row>
    <row r="5039" spans="1:10" ht="12.75" customHeight="1" x14ac:dyDescent="0.2">
      <c r="A5039" s="681">
        <v>1241</v>
      </c>
      <c r="B5039" s="693" t="s">
        <v>2133</v>
      </c>
      <c r="C5039" s="672" t="s">
        <v>2353</v>
      </c>
      <c r="D5039" s="809">
        <v>2015</v>
      </c>
      <c r="E5039" s="674">
        <v>3</v>
      </c>
      <c r="F5039" s="675">
        <v>0.33</v>
      </c>
      <c r="G5039" s="676">
        <v>10781.53</v>
      </c>
      <c r="H5039" s="929">
        <v>3071.7407500000008</v>
      </c>
      <c r="I5039" s="929">
        <v>10780.534700000002</v>
      </c>
      <c r="J5039" s="689">
        <f t="shared" si="79"/>
        <v>0.99529999999867869</v>
      </c>
    </row>
    <row r="5040" spans="1:10" ht="12.75" customHeight="1" x14ac:dyDescent="0.2">
      <c r="A5040" s="681">
        <v>1241</v>
      </c>
      <c r="B5040" s="693" t="s">
        <v>2134</v>
      </c>
      <c r="C5040" s="672" t="s">
        <v>2353</v>
      </c>
      <c r="D5040" s="809">
        <v>2015</v>
      </c>
      <c r="E5040" s="674">
        <v>3</v>
      </c>
      <c r="F5040" s="675">
        <v>0.33</v>
      </c>
      <c r="G5040" s="676">
        <v>10781.53</v>
      </c>
      <c r="H5040" s="929">
        <v>3071.7407500000008</v>
      </c>
      <c r="I5040" s="929">
        <v>10780.534700000002</v>
      </c>
      <c r="J5040" s="689">
        <f t="shared" si="79"/>
        <v>0.99529999999867869</v>
      </c>
    </row>
    <row r="5041" spans="1:10" ht="12.75" customHeight="1" x14ac:dyDescent="0.2">
      <c r="A5041" s="681">
        <v>1241</v>
      </c>
      <c r="B5041" s="693" t="s">
        <v>2135</v>
      </c>
      <c r="C5041" s="672" t="s">
        <v>2353</v>
      </c>
      <c r="D5041" s="809">
        <v>2015</v>
      </c>
      <c r="E5041" s="674">
        <v>3</v>
      </c>
      <c r="F5041" s="675">
        <v>0.33</v>
      </c>
      <c r="G5041" s="676">
        <v>10781.53</v>
      </c>
      <c r="H5041" s="929">
        <v>3071.7407500000008</v>
      </c>
      <c r="I5041" s="929">
        <v>10780.534700000002</v>
      </c>
      <c r="J5041" s="689">
        <f t="shared" si="79"/>
        <v>0.99529999999867869</v>
      </c>
    </row>
    <row r="5042" spans="1:10" ht="12.75" customHeight="1" x14ac:dyDescent="0.2">
      <c r="A5042" s="681">
        <v>1241</v>
      </c>
      <c r="B5042" s="693" t="s">
        <v>2136</v>
      </c>
      <c r="C5042" s="672" t="s">
        <v>2353</v>
      </c>
      <c r="D5042" s="809">
        <v>2015</v>
      </c>
      <c r="E5042" s="674">
        <v>3</v>
      </c>
      <c r="F5042" s="675">
        <v>0.33</v>
      </c>
      <c r="G5042" s="676">
        <v>10781.53</v>
      </c>
      <c r="H5042" s="929">
        <v>3071.7407500000008</v>
      </c>
      <c r="I5042" s="929">
        <v>10780.534700000002</v>
      </c>
      <c r="J5042" s="689">
        <f t="shared" si="79"/>
        <v>0.99529999999867869</v>
      </c>
    </row>
    <row r="5043" spans="1:10" ht="12.75" customHeight="1" x14ac:dyDescent="0.2">
      <c r="A5043" s="681">
        <v>1241</v>
      </c>
      <c r="B5043" s="693" t="s">
        <v>2137</v>
      </c>
      <c r="C5043" s="672" t="s">
        <v>2353</v>
      </c>
      <c r="D5043" s="809">
        <v>2015</v>
      </c>
      <c r="E5043" s="674">
        <v>3</v>
      </c>
      <c r="F5043" s="675">
        <v>0.33</v>
      </c>
      <c r="G5043" s="676">
        <v>10781.53</v>
      </c>
      <c r="H5043" s="929">
        <v>3071.7407500000008</v>
      </c>
      <c r="I5043" s="929">
        <v>10780.534700000002</v>
      </c>
      <c r="J5043" s="689">
        <f t="shared" si="79"/>
        <v>0.99529999999867869</v>
      </c>
    </row>
    <row r="5044" spans="1:10" ht="12.75" customHeight="1" x14ac:dyDescent="0.2">
      <c r="A5044" s="681">
        <v>1241</v>
      </c>
      <c r="B5044" s="693" t="s">
        <v>2138</v>
      </c>
      <c r="C5044" s="672" t="s">
        <v>2353</v>
      </c>
      <c r="D5044" s="809">
        <v>2015</v>
      </c>
      <c r="E5044" s="674">
        <v>3</v>
      </c>
      <c r="F5044" s="675">
        <v>0.33</v>
      </c>
      <c r="G5044" s="676">
        <v>10781.53</v>
      </c>
      <c r="H5044" s="929">
        <v>3071.7407500000008</v>
      </c>
      <c r="I5044" s="929">
        <v>10780.534700000002</v>
      </c>
      <c r="J5044" s="689">
        <f t="shared" si="79"/>
        <v>0.99529999999867869</v>
      </c>
    </row>
    <row r="5045" spans="1:10" ht="12.75" customHeight="1" x14ac:dyDescent="0.2">
      <c r="A5045" s="681">
        <v>1241</v>
      </c>
      <c r="B5045" s="693" t="s">
        <v>2139</v>
      </c>
      <c r="C5045" s="672" t="s">
        <v>2353</v>
      </c>
      <c r="D5045" s="809">
        <v>2015</v>
      </c>
      <c r="E5045" s="674">
        <v>3</v>
      </c>
      <c r="F5045" s="675">
        <v>0.33</v>
      </c>
      <c r="G5045" s="676">
        <v>10781.53</v>
      </c>
      <c r="H5045" s="929">
        <v>3071.7407500000008</v>
      </c>
      <c r="I5045" s="929">
        <v>10780.534700000002</v>
      </c>
      <c r="J5045" s="689">
        <f t="shared" si="79"/>
        <v>0.99529999999867869</v>
      </c>
    </row>
    <row r="5046" spans="1:10" ht="12.75" customHeight="1" x14ac:dyDescent="0.2">
      <c r="A5046" s="681">
        <v>1241</v>
      </c>
      <c r="B5046" s="693" t="s">
        <v>2140</v>
      </c>
      <c r="C5046" s="672" t="s">
        <v>2353</v>
      </c>
      <c r="D5046" s="809">
        <v>2015</v>
      </c>
      <c r="E5046" s="674">
        <v>3</v>
      </c>
      <c r="F5046" s="675">
        <v>0.33</v>
      </c>
      <c r="G5046" s="676">
        <v>10781.53</v>
      </c>
      <c r="H5046" s="929">
        <v>3071.7407500000008</v>
      </c>
      <c r="I5046" s="929">
        <v>10780.534700000002</v>
      </c>
      <c r="J5046" s="689">
        <f t="shared" si="79"/>
        <v>0.99529999999867869</v>
      </c>
    </row>
    <row r="5047" spans="1:10" ht="12.75" customHeight="1" x14ac:dyDescent="0.2">
      <c r="A5047" s="681">
        <v>1241</v>
      </c>
      <c r="B5047" s="693" t="s">
        <v>2141</v>
      </c>
      <c r="C5047" s="672" t="s">
        <v>2353</v>
      </c>
      <c r="D5047" s="809">
        <v>2015</v>
      </c>
      <c r="E5047" s="674">
        <v>3</v>
      </c>
      <c r="F5047" s="675">
        <v>0.33</v>
      </c>
      <c r="G5047" s="676">
        <v>10781.53</v>
      </c>
      <c r="H5047" s="929">
        <v>3071.7407500000008</v>
      </c>
      <c r="I5047" s="929">
        <v>10780.534700000002</v>
      </c>
      <c r="J5047" s="689">
        <f t="shared" si="79"/>
        <v>0.99529999999867869</v>
      </c>
    </row>
    <row r="5048" spans="1:10" ht="12.75" customHeight="1" x14ac:dyDescent="0.2">
      <c r="A5048" s="681">
        <v>1241</v>
      </c>
      <c r="B5048" s="693" t="s">
        <v>2142</v>
      </c>
      <c r="C5048" s="672" t="s">
        <v>2353</v>
      </c>
      <c r="D5048" s="809">
        <v>2015</v>
      </c>
      <c r="E5048" s="674">
        <v>3</v>
      </c>
      <c r="F5048" s="675">
        <v>0.33</v>
      </c>
      <c r="G5048" s="676">
        <v>10781.53</v>
      </c>
      <c r="H5048" s="929">
        <v>3071.7407500000008</v>
      </c>
      <c r="I5048" s="929">
        <v>10780.534700000002</v>
      </c>
      <c r="J5048" s="689">
        <f t="shared" si="79"/>
        <v>0.99529999999867869</v>
      </c>
    </row>
    <row r="5049" spans="1:10" ht="12.75" customHeight="1" x14ac:dyDescent="0.2">
      <c r="A5049" s="681">
        <v>1241</v>
      </c>
      <c r="B5049" s="693" t="s">
        <v>2143</v>
      </c>
      <c r="C5049" s="672" t="s">
        <v>2353</v>
      </c>
      <c r="D5049" s="809">
        <v>2015</v>
      </c>
      <c r="E5049" s="674">
        <v>3</v>
      </c>
      <c r="F5049" s="675">
        <v>0.33</v>
      </c>
      <c r="G5049" s="676">
        <v>10781.53</v>
      </c>
      <c r="H5049" s="929">
        <v>3071.7407500000008</v>
      </c>
      <c r="I5049" s="929">
        <v>10780.534700000002</v>
      </c>
      <c r="J5049" s="689">
        <f t="shared" si="79"/>
        <v>0.99529999999867869</v>
      </c>
    </row>
    <row r="5050" spans="1:10" ht="12.75" customHeight="1" x14ac:dyDescent="0.2">
      <c r="A5050" s="681">
        <v>1241</v>
      </c>
      <c r="B5050" s="693" t="s">
        <v>2144</v>
      </c>
      <c r="C5050" s="672" t="s">
        <v>2353</v>
      </c>
      <c r="D5050" s="809">
        <v>2015</v>
      </c>
      <c r="E5050" s="674">
        <v>3</v>
      </c>
      <c r="F5050" s="675">
        <v>0.33</v>
      </c>
      <c r="G5050" s="676">
        <v>10781.53</v>
      </c>
      <c r="H5050" s="929">
        <v>3071.7407500000008</v>
      </c>
      <c r="I5050" s="929">
        <v>10780.534700000002</v>
      </c>
      <c r="J5050" s="689">
        <f t="shared" si="79"/>
        <v>0.99529999999867869</v>
      </c>
    </row>
    <row r="5051" spans="1:10" ht="12.75" customHeight="1" x14ac:dyDescent="0.2">
      <c r="A5051" s="681">
        <v>1241</v>
      </c>
      <c r="B5051" s="693" t="s">
        <v>2145</v>
      </c>
      <c r="C5051" s="672" t="s">
        <v>2353</v>
      </c>
      <c r="D5051" s="809">
        <v>2015</v>
      </c>
      <c r="E5051" s="674">
        <v>3</v>
      </c>
      <c r="F5051" s="675">
        <v>0.33</v>
      </c>
      <c r="G5051" s="676">
        <v>10781.53</v>
      </c>
      <c r="H5051" s="929">
        <v>3071.7407500000008</v>
      </c>
      <c r="I5051" s="929">
        <v>10780.534700000002</v>
      </c>
      <c r="J5051" s="689">
        <f t="shared" si="79"/>
        <v>0.99529999999867869</v>
      </c>
    </row>
    <row r="5052" spans="1:10" ht="12.75" customHeight="1" x14ac:dyDescent="0.2">
      <c r="A5052" s="681">
        <v>1241</v>
      </c>
      <c r="B5052" s="693" t="s">
        <v>2146</v>
      </c>
      <c r="C5052" s="672" t="s">
        <v>2353</v>
      </c>
      <c r="D5052" s="809">
        <v>2015</v>
      </c>
      <c r="E5052" s="674">
        <v>3</v>
      </c>
      <c r="F5052" s="675">
        <v>0.33</v>
      </c>
      <c r="G5052" s="676">
        <v>10781.53</v>
      </c>
      <c r="H5052" s="929">
        <v>3071.7407500000008</v>
      </c>
      <c r="I5052" s="929">
        <v>10780.534700000002</v>
      </c>
      <c r="J5052" s="689">
        <f t="shared" si="79"/>
        <v>0.99529999999867869</v>
      </c>
    </row>
    <row r="5053" spans="1:10" ht="12.75" customHeight="1" x14ac:dyDescent="0.2">
      <c r="A5053" s="681">
        <v>1241</v>
      </c>
      <c r="B5053" s="693" t="s">
        <v>2147</v>
      </c>
      <c r="C5053" s="672" t="s">
        <v>2353</v>
      </c>
      <c r="D5053" s="809">
        <v>2015</v>
      </c>
      <c r="E5053" s="674">
        <v>3</v>
      </c>
      <c r="F5053" s="675">
        <v>0.33</v>
      </c>
      <c r="G5053" s="676">
        <v>10781.53</v>
      </c>
      <c r="H5053" s="929">
        <v>3071.7407500000008</v>
      </c>
      <c r="I5053" s="929">
        <v>10780.534700000002</v>
      </c>
      <c r="J5053" s="689">
        <f t="shared" si="79"/>
        <v>0.99529999999867869</v>
      </c>
    </row>
    <row r="5054" spans="1:10" ht="12.75" customHeight="1" x14ac:dyDescent="0.2">
      <c r="A5054" s="681">
        <v>1241</v>
      </c>
      <c r="B5054" s="693" t="s">
        <v>2148</v>
      </c>
      <c r="C5054" s="672" t="s">
        <v>2353</v>
      </c>
      <c r="D5054" s="809">
        <v>2015</v>
      </c>
      <c r="E5054" s="674">
        <v>3</v>
      </c>
      <c r="F5054" s="675">
        <v>0.33</v>
      </c>
      <c r="G5054" s="676">
        <v>10781.53</v>
      </c>
      <c r="H5054" s="929">
        <v>3071.7407500000008</v>
      </c>
      <c r="I5054" s="929">
        <v>10780.534700000002</v>
      </c>
      <c r="J5054" s="689">
        <f t="shared" si="79"/>
        <v>0.99529999999867869</v>
      </c>
    </row>
    <row r="5055" spans="1:10" ht="12.75" customHeight="1" x14ac:dyDescent="0.2">
      <c r="A5055" s="681">
        <v>1241</v>
      </c>
      <c r="B5055" s="693" t="s">
        <v>2149</v>
      </c>
      <c r="C5055" s="672" t="s">
        <v>2353</v>
      </c>
      <c r="D5055" s="809">
        <v>2015</v>
      </c>
      <c r="E5055" s="674">
        <v>3</v>
      </c>
      <c r="F5055" s="675">
        <v>0.33</v>
      </c>
      <c r="G5055" s="676">
        <v>10781.53</v>
      </c>
      <c r="H5055" s="929">
        <v>3071.7407500000008</v>
      </c>
      <c r="I5055" s="929">
        <v>10780.534700000002</v>
      </c>
      <c r="J5055" s="689">
        <f t="shared" si="79"/>
        <v>0.99529999999867869</v>
      </c>
    </row>
    <row r="5056" spans="1:10" ht="12.75" customHeight="1" x14ac:dyDescent="0.2">
      <c r="A5056" s="681">
        <v>1241</v>
      </c>
      <c r="B5056" s="693" t="s">
        <v>2329</v>
      </c>
      <c r="C5056" s="672" t="s">
        <v>2365</v>
      </c>
      <c r="D5056" s="809">
        <v>2015</v>
      </c>
      <c r="E5056" s="674">
        <v>3</v>
      </c>
      <c r="F5056" s="675">
        <v>0.33</v>
      </c>
      <c r="G5056" s="676">
        <v>2132.29</v>
      </c>
      <c r="H5056" s="929">
        <v>665.33772499999998</v>
      </c>
      <c r="I5056" s="929">
        <v>2131.2871</v>
      </c>
      <c r="J5056" s="689">
        <f t="shared" si="79"/>
        <v>1.0028999999999542</v>
      </c>
    </row>
    <row r="5057" spans="1:10" ht="12.75" customHeight="1" x14ac:dyDescent="0.2">
      <c r="A5057" s="681">
        <v>1241</v>
      </c>
      <c r="B5057" s="693" t="s">
        <v>2330</v>
      </c>
      <c r="C5057" s="672" t="s">
        <v>2365</v>
      </c>
      <c r="D5057" s="809">
        <v>2015</v>
      </c>
      <c r="E5057" s="674">
        <v>3</v>
      </c>
      <c r="F5057" s="675">
        <v>0.33</v>
      </c>
      <c r="G5057" s="676">
        <v>2132.29</v>
      </c>
      <c r="H5057" s="929">
        <v>665.33772499999998</v>
      </c>
      <c r="I5057" s="929">
        <v>2131.2871</v>
      </c>
      <c r="J5057" s="689">
        <f t="shared" si="79"/>
        <v>1.0028999999999542</v>
      </c>
    </row>
    <row r="5058" spans="1:10" ht="12.75" customHeight="1" x14ac:dyDescent="0.2">
      <c r="A5058" s="681">
        <v>1241</v>
      </c>
      <c r="B5058" s="693" t="s">
        <v>2102</v>
      </c>
      <c r="C5058" s="672" t="s">
        <v>2351</v>
      </c>
      <c r="D5058" s="809">
        <v>2015</v>
      </c>
      <c r="E5058" s="674">
        <v>10</v>
      </c>
      <c r="F5058" s="675">
        <v>0.1</v>
      </c>
      <c r="G5058" s="676">
        <v>2157.6</v>
      </c>
      <c r="H5058" s="929">
        <v>215.75999999999996</v>
      </c>
      <c r="I5058" s="929">
        <v>665.25999999999988</v>
      </c>
      <c r="J5058" s="689">
        <f t="shared" si="79"/>
        <v>1492.3400000000001</v>
      </c>
    </row>
    <row r="5059" spans="1:10" ht="12.75" customHeight="1" x14ac:dyDescent="0.2">
      <c r="A5059" s="681">
        <v>1241</v>
      </c>
      <c r="B5059" s="693" t="s">
        <v>2201</v>
      </c>
      <c r="C5059" s="672" t="s">
        <v>2358</v>
      </c>
      <c r="D5059" s="809">
        <v>2015</v>
      </c>
      <c r="E5059" s="674">
        <v>10</v>
      </c>
      <c r="F5059" s="675">
        <v>0.1</v>
      </c>
      <c r="G5059" s="676">
        <v>2200.0100000000002</v>
      </c>
      <c r="H5059" s="929">
        <v>220.001</v>
      </c>
      <c r="I5059" s="929">
        <v>678.33641666666665</v>
      </c>
      <c r="J5059" s="689">
        <f t="shared" si="79"/>
        <v>1521.6735833333337</v>
      </c>
    </row>
    <row r="5060" spans="1:10" ht="12.75" customHeight="1" x14ac:dyDescent="0.2">
      <c r="A5060" s="681">
        <v>1241</v>
      </c>
      <c r="B5060" s="693" t="s">
        <v>2205</v>
      </c>
      <c r="C5060" s="672" t="s">
        <v>2359</v>
      </c>
      <c r="D5060" s="809">
        <v>2015</v>
      </c>
      <c r="E5060" s="674">
        <v>10</v>
      </c>
      <c r="F5060" s="675">
        <v>0.1</v>
      </c>
      <c r="G5060" s="676">
        <v>2795.65</v>
      </c>
      <c r="H5060" s="929">
        <v>279.56499999999994</v>
      </c>
      <c r="I5060" s="929">
        <v>861.9920833333332</v>
      </c>
      <c r="J5060" s="689">
        <f t="shared" si="79"/>
        <v>1933.657916666667</v>
      </c>
    </row>
    <row r="5061" spans="1:10" ht="12.75" customHeight="1" x14ac:dyDescent="0.2">
      <c r="A5061" s="681">
        <v>1241</v>
      </c>
      <c r="B5061" s="693" t="s">
        <v>2204</v>
      </c>
      <c r="C5061" s="672" t="s">
        <v>2359</v>
      </c>
      <c r="D5061" s="809">
        <v>2015</v>
      </c>
      <c r="E5061" s="674">
        <v>10</v>
      </c>
      <c r="F5061" s="675">
        <v>0.1</v>
      </c>
      <c r="G5061" s="676">
        <v>2795.93</v>
      </c>
      <c r="H5061" s="929">
        <v>279.59300000000002</v>
      </c>
      <c r="I5061" s="929">
        <v>862.07841666666673</v>
      </c>
      <c r="J5061" s="689">
        <f t="shared" ref="J5061:J5124" si="80">G5061-I5061</f>
        <v>1933.8515833333331</v>
      </c>
    </row>
    <row r="5062" spans="1:10" ht="12.75" customHeight="1" x14ac:dyDescent="0.2">
      <c r="A5062" s="681">
        <v>1241</v>
      </c>
      <c r="B5062" s="693" t="s">
        <v>2246</v>
      </c>
      <c r="C5062" s="672" t="s">
        <v>2361</v>
      </c>
      <c r="D5062" s="809">
        <v>2015</v>
      </c>
      <c r="E5062" s="674">
        <v>10</v>
      </c>
      <c r="F5062" s="675">
        <v>0.1</v>
      </c>
      <c r="G5062" s="676">
        <v>3600.03</v>
      </c>
      <c r="H5062" s="929">
        <v>360.00299999999999</v>
      </c>
      <c r="I5062" s="929">
        <v>1110.0092500000001</v>
      </c>
      <c r="J5062" s="689">
        <f t="shared" si="80"/>
        <v>2490.0207500000001</v>
      </c>
    </row>
    <row r="5063" spans="1:10" ht="12.75" customHeight="1" x14ac:dyDescent="0.2">
      <c r="A5063" s="681">
        <v>1241</v>
      </c>
      <c r="B5063" s="693" t="s">
        <v>2247</v>
      </c>
      <c r="C5063" s="672" t="s">
        <v>2361</v>
      </c>
      <c r="D5063" s="809">
        <v>2015</v>
      </c>
      <c r="E5063" s="674">
        <v>10</v>
      </c>
      <c r="F5063" s="675">
        <v>0.1</v>
      </c>
      <c r="G5063" s="676">
        <v>3600.03</v>
      </c>
      <c r="H5063" s="929">
        <v>360.00299999999999</v>
      </c>
      <c r="I5063" s="929">
        <v>1110.0092500000001</v>
      </c>
      <c r="J5063" s="689">
        <f t="shared" si="80"/>
        <v>2490.0207500000001</v>
      </c>
    </row>
    <row r="5064" spans="1:10" ht="12.75" customHeight="1" x14ac:dyDescent="0.2">
      <c r="A5064" s="681">
        <v>1241</v>
      </c>
      <c r="B5064" s="693" t="s">
        <v>2248</v>
      </c>
      <c r="C5064" s="672" t="s">
        <v>2361</v>
      </c>
      <c r="D5064" s="809">
        <v>2015</v>
      </c>
      <c r="E5064" s="674">
        <v>10</v>
      </c>
      <c r="F5064" s="675">
        <v>0.1</v>
      </c>
      <c r="G5064" s="676">
        <v>3600.03</v>
      </c>
      <c r="H5064" s="929">
        <v>360.00299999999999</v>
      </c>
      <c r="I5064" s="929">
        <v>1110.0092500000001</v>
      </c>
      <c r="J5064" s="689">
        <f t="shared" si="80"/>
        <v>2490.0207500000001</v>
      </c>
    </row>
    <row r="5065" spans="1:10" ht="12.75" customHeight="1" x14ac:dyDescent="0.2">
      <c r="A5065" s="681">
        <v>1241</v>
      </c>
      <c r="B5065" s="693" t="s">
        <v>2249</v>
      </c>
      <c r="C5065" s="672" t="s">
        <v>2361</v>
      </c>
      <c r="D5065" s="809">
        <v>2015</v>
      </c>
      <c r="E5065" s="674">
        <v>10</v>
      </c>
      <c r="F5065" s="675">
        <v>0.1</v>
      </c>
      <c r="G5065" s="676">
        <v>3600.03</v>
      </c>
      <c r="H5065" s="929">
        <v>360.00299999999999</v>
      </c>
      <c r="I5065" s="929">
        <v>1110.0092500000001</v>
      </c>
      <c r="J5065" s="689">
        <f t="shared" si="80"/>
        <v>2490.0207500000001</v>
      </c>
    </row>
    <row r="5066" spans="1:10" ht="12.75" customHeight="1" x14ac:dyDescent="0.2">
      <c r="A5066" s="681">
        <v>1241</v>
      </c>
      <c r="B5066" s="693" t="s">
        <v>2250</v>
      </c>
      <c r="C5066" s="672" t="s">
        <v>2361</v>
      </c>
      <c r="D5066" s="809">
        <v>2015</v>
      </c>
      <c r="E5066" s="674">
        <v>10</v>
      </c>
      <c r="F5066" s="675">
        <v>0.1</v>
      </c>
      <c r="G5066" s="676">
        <v>3600.03</v>
      </c>
      <c r="H5066" s="929">
        <v>360.00299999999999</v>
      </c>
      <c r="I5066" s="929">
        <v>1110.0092500000001</v>
      </c>
      <c r="J5066" s="689">
        <f t="shared" si="80"/>
        <v>2490.0207500000001</v>
      </c>
    </row>
    <row r="5067" spans="1:10" ht="12.75" customHeight="1" x14ac:dyDescent="0.2">
      <c r="A5067" s="681">
        <v>1241</v>
      </c>
      <c r="B5067" s="693" t="s">
        <v>2251</v>
      </c>
      <c r="C5067" s="672" t="s">
        <v>2361</v>
      </c>
      <c r="D5067" s="809">
        <v>2015</v>
      </c>
      <c r="E5067" s="674">
        <v>10</v>
      </c>
      <c r="F5067" s="675">
        <v>0.1</v>
      </c>
      <c r="G5067" s="676">
        <v>3600.03</v>
      </c>
      <c r="H5067" s="929">
        <v>360.00299999999999</v>
      </c>
      <c r="I5067" s="929">
        <v>1110.0092500000001</v>
      </c>
      <c r="J5067" s="689">
        <f t="shared" si="80"/>
        <v>2490.0207500000001</v>
      </c>
    </row>
    <row r="5068" spans="1:10" ht="12.75" customHeight="1" x14ac:dyDescent="0.2">
      <c r="A5068" s="681">
        <v>1241</v>
      </c>
      <c r="B5068" s="693" t="s">
        <v>2245</v>
      </c>
      <c r="C5068" s="672" t="s">
        <v>2361</v>
      </c>
      <c r="D5068" s="809">
        <v>2015</v>
      </c>
      <c r="E5068" s="674">
        <v>10</v>
      </c>
      <c r="F5068" s="675">
        <v>0.1</v>
      </c>
      <c r="G5068" s="676">
        <v>3600.04</v>
      </c>
      <c r="H5068" s="929">
        <v>360.00400000000008</v>
      </c>
      <c r="I5068" s="929">
        <v>1110.0123333333336</v>
      </c>
      <c r="J5068" s="689">
        <f t="shared" si="80"/>
        <v>2490.0276666666664</v>
      </c>
    </row>
    <row r="5069" spans="1:10" ht="12.75" customHeight="1" x14ac:dyDescent="0.2">
      <c r="A5069" s="681">
        <v>1241</v>
      </c>
      <c r="B5069" s="693" t="s">
        <v>2099</v>
      </c>
      <c r="C5069" s="672" t="s">
        <v>907</v>
      </c>
      <c r="D5069" s="809">
        <v>2015</v>
      </c>
      <c r="E5069" s="674">
        <v>3</v>
      </c>
      <c r="F5069" s="675">
        <v>0.33</v>
      </c>
      <c r="G5069" s="676">
        <v>3795</v>
      </c>
      <c r="H5069" s="929">
        <v>1184.9374999999998</v>
      </c>
      <c r="I5069" s="929">
        <v>3794</v>
      </c>
      <c r="J5069" s="689">
        <f t="shared" si="80"/>
        <v>1</v>
      </c>
    </row>
    <row r="5070" spans="1:10" ht="12.75" customHeight="1" x14ac:dyDescent="0.2">
      <c r="A5070" s="681">
        <v>1241</v>
      </c>
      <c r="B5070" s="693" t="s">
        <v>2082</v>
      </c>
      <c r="C5070" s="672" t="s">
        <v>791</v>
      </c>
      <c r="D5070" s="809">
        <v>2015</v>
      </c>
      <c r="E5070" s="674">
        <v>10</v>
      </c>
      <c r="F5070" s="675">
        <v>0.1</v>
      </c>
      <c r="G5070" s="676">
        <v>4036.8</v>
      </c>
      <c r="H5070" s="929">
        <v>403.67999999999989</v>
      </c>
      <c r="I5070" s="929">
        <v>1244.6799999999998</v>
      </c>
      <c r="J5070" s="689">
        <f t="shared" si="80"/>
        <v>2792.1200000000003</v>
      </c>
    </row>
    <row r="5071" spans="1:10" ht="12.75" customHeight="1" x14ac:dyDescent="0.2">
      <c r="A5071" s="681">
        <v>1241</v>
      </c>
      <c r="B5071" s="693" t="s">
        <v>2083</v>
      </c>
      <c r="C5071" s="672" t="s">
        <v>791</v>
      </c>
      <c r="D5071" s="809">
        <v>2015</v>
      </c>
      <c r="E5071" s="674">
        <v>10</v>
      </c>
      <c r="F5071" s="675">
        <v>0.1</v>
      </c>
      <c r="G5071" s="676">
        <v>4036.8</v>
      </c>
      <c r="H5071" s="929">
        <v>403.67999999999989</v>
      </c>
      <c r="I5071" s="929">
        <v>1244.6799999999998</v>
      </c>
      <c r="J5071" s="689">
        <f t="shared" si="80"/>
        <v>2792.1200000000003</v>
      </c>
    </row>
    <row r="5072" spans="1:10" ht="12.75" customHeight="1" x14ac:dyDescent="0.2">
      <c r="A5072" s="681">
        <v>1241</v>
      </c>
      <c r="B5072" s="693" t="s">
        <v>2084</v>
      </c>
      <c r="C5072" s="672" t="s">
        <v>791</v>
      </c>
      <c r="D5072" s="809">
        <v>2015</v>
      </c>
      <c r="E5072" s="674">
        <v>10</v>
      </c>
      <c r="F5072" s="675">
        <v>0.1</v>
      </c>
      <c r="G5072" s="676">
        <v>4036.8</v>
      </c>
      <c r="H5072" s="929">
        <v>403.67999999999989</v>
      </c>
      <c r="I5072" s="929">
        <v>1244.6799999999998</v>
      </c>
      <c r="J5072" s="689">
        <f t="shared" si="80"/>
        <v>2792.1200000000003</v>
      </c>
    </row>
    <row r="5073" spans="1:10" ht="12.75" customHeight="1" x14ac:dyDescent="0.2">
      <c r="A5073" s="681">
        <v>1241</v>
      </c>
      <c r="B5073" s="693" t="s">
        <v>2085</v>
      </c>
      <c r="C5073" s="672" t="s">
        <v>791</v>
      </c>
      <c r="D5073" s="809">
        <v>2015</v>
      </c>
      <c r="E5073" s="674">
        <v>10</v>
      </c>
      <c r="F5073" s="675">
        <v>0.1</v>
      </c>
      <c r="G5073" s="676">
        <v>4036.8</v>
      </c>
      <c r="H5073" s="929">
        <v>403.67999999999989</v>
      </c>
      <c r="I5073" s="929">
        <v>1244.6799999999998</v>
      </c>
      <c r="J5073" s="689">
        <f t="shared" si="80"/>
        <v>2792.1200000000003</v>
      </c>
    </row>
    <row r="5074" spans="1:10" ht="12.75" customHeight="1" x14ac:dyDescent="0.2">
      <c r="A5074" s="681">
        <v>1241</v>
      </c>
      <c r="B5074" s="693" t="s">
        <v>2086</v>
      </c>
      <c r="C5074" s="672" t="s">
        <v>791</v>
      </c>
      <c r="D5074" s="809">
        <v>2015</v>
      </c>
      <c r="E5074" s="674">
        <v>10</v>
      </c>
      <c r="F5074" s="675">
        <v>0.1</v>
      </c>
      <c r="G5074" s="676">
        <v>4036.8</v>
      </c>
      <c r="H5074" s="929">
        <v>403.67999999999989</v>
      </c>
      <c r="I5074" s="929">
        <v>1244.6799999999998</v>
      </c>
      <c r="J5074" s="689">
        <f t="shared" si="80"/>
        <v>2792.1200000000003</v>
      </c>
    </row>
    <row r="5075" spans="1:10" ht="12.75" customHeight="1" x14ac:dyDescent="0.2">
      <c r="A5075" s="681">
        <v>1241</v>
      </c>
      <c r="B5075" s="693" t="s">
        <v>2087</v>
      </c>
      <c r="C5075" s="672" t="s">
        <v>791</v>
      </c>
      <c r="D5075" s="809">
        <v>2015</v>
      </c>
      <c r="E5075" s="674">
        <v>10</v>
      </c>
      <c r="F5075" s="675">
        <v>0.1</v>
      </c>
      <c r="G5075" s="676">
        <v>4036.8</v>
      </c>
      <c r="H5075" s="929">
        <v>403.67999999999989</v>
      </c>
      <c r="I5075" s="929">
        <v>1244.6799999999998</v>
      </c>
      <c r="J5075" s="689">
        <f t="shared" si="80"/>
        <v>2792.1200000000003</v>
      </c>
    </row>
    <row r="5076" spans="1:10" ht="12.75" customHeight="1" x14ac:dyDescent="0.2">
      <c r="A5076" s="681">
        <v>1241</v>
      </c>
      <c r="B5076" s="693" t="s">
        <v>2212</v>
      </c>
      <c r="C5076" s="672" t="s">
        <v>892</v>
      </c>
      <c r="D5076" s="809">
        <v>2015</v>
      </c>
      <c r="E5076" s="674">
        <v>3</v>
      </c>
      <c r="F5076" s="675">
        <v>0.33</v>
      </c>
      <c r="G5076" s="676">
        <v>4229.21</v>
      </c>
      <c r="H5076" s="929">
        <v>1320.626025</v>
      </c>
      <c r="I5076" s="929">
        <v>4228.2078999999994</v>
      </c>
      <c r="J5076" s="689">
        <f t="shared" si="80"/>
        <v>1.0021000000006097</v>
      </c>
    </row>
    <row r="5077" spans="1:10" ht="12.75" customHeight="1" x14ac:dyDescent="0.2">
      <c r="A5077" s="681">
        <v>1241</v>
      </c>
      <c r="B5077" s="693" t="s">
        <v>2274</v>
      </c>
      <c r="C5077" s="672" t="s">
        <v>877</v>
      </c>
      <c r="D5077" s="809">
        <v>2015</v>
      </c>
      <c r="E5077" s="674">
        <v>10</v>
      </c>
      <c r="F5077" s="675">
        <v>0.1</v>
      </c>
      <c r="G5077" s="676">
        <v>4268.8</v>
      </c>
      <c r="H5077" s="929">
        <v>426.87999999999994</v>
      </c>
      <c r="I5077" s="929">
        <v>1316.2133333333331</v>
      </c>
      <c r="J5077" s="689">
        <f t="shared" si="80"/>
        <v>2952.586666666667</v>
      </c>
    </row>
    <row r="5078" spans="1:10" ht="12.75" customHeight="1" x14ac:dyDescent="0.2">
      <c r="A5078" s="681">
        <v>1241</v>
      </c>
      <c r="B5078" s="693" t="s">
        <v>2333</v>
      </c>
      <c r="C5078" s="672" t="s">
        <v>2366</v>
      </c>
      <c r="D5078" s="809">
        <v>2015</v>
      </c>
      <c r="E5078" s="674">
        <v>10</v>
      </c>
      <c r="F5078" s="675">
        <v>0.1</v>
      </c>
      <c r="G5078" s="676">
        <v>4524</v>
      </c>
      <c r="H5078" s="929">
        <v>452.39999999999992</v>
      </c>
      <c r="I5078" s="929">
        <v>1394.8999999999999</v>
      </c>
      <c r="J5078" s="689">
        <f t="shared" si="80"/>
        <v>3129.1000000000004</v>
      </c>
    </row>
    <row r="5079" spans="1:10" ht="12.75" customHeight="1" x14ac:dyDescent="0.2">
      <c r="A5079" s="681">
        <v>1241</v>
      </c>
      <c r="B5079" s="693" t="s">
        <v>2334</v>
      </c>
      <c r="C5079" s="672" t="s">
        <v>2366</v>
      </c>
      <c r="D5079" s="809">
        <v>2015</v>
      </c>
      <c r="E5079" s="674">
        <v>10</v>
      </c>
      <c r="F5079" s="675">
        <v>0.1</v>
      </c>
      <c r="G5079" s="676">
        <v>4524</v>
      </c>
      <c r="H5079" s="929">
        <v>452.39999999999992</v>
      </c>
      <c r="I5079" s="929">
        <v>1394.8999999999999</v>
      </c>
      <c r="J5079" s="689">
        <f t="shared" si="80"/>
        <v>3129.1000000000004</v>
      </c>
    </row>
    <row r="5080" spans="1:10" ht="12.75" customHeight="1" x14ac:dyDescent="0.2">
      <c r="A5080" s="681">
        <v>1241</v>
      </c>
      <c r="B5080" s="693" t="s">
        <v>2318</v>
      </c>
      <c r="C5080" s="672" t="s">
        <v>2363</v>
      </c>
      <c r="D5080" s="809">
        <v>2015</v>
      </c>
      <c r="E5080" s="674">
        <v>10</v>
      </c>
      <c r="F5080" s="675">
        <v>0.1</v>
      </c>
      <c r="G5080" s="676">
        <v>6008.8</v>
      </c>
      <c r="H5080" s="929">
        <v>600.88</v>
      </c>
      <c r="I5080" s="929">
        <v>1852.7133333333336</v>
      </c>
      <c r="J5080" s="689">
        <f t="shared" si="80"/>
        <v>4156.0866666666661</v>
      </c>
    </row>
    <row r="5081" spans="1:10" ht="12.75" customHeight="1" x14ac:dyDescent="0.2">
      <c r="A5081" s="681">
        <v>1241</v>
      </c>
      <c r="B5081" s="693" t="s">
        <v>2319</v>
      </c>
      <c r="C5081" s="672" t="s">
        <v>2363</v>
      </c>
      <c r="D5081" s="809">
        <v>2015</v>
      </c>
      <c r="E5081" s="674">
        <v>10</v>
      </c>
      <c r="F5081" s="675">
        <v>0.1</v>
      </c>
      <c r="G5081" s="676">
        <v>6008.8</v>
      </c>
      <c r="H5081" s="929">
        <v>600.88</v>
      </c>
      <c r="I5081" s="929">
        <v>1852.7133333333336</v>
      </c>
      <c r="J5081" s="689">
        <f t="shared" si="80"/>
        <v>4156.0866666666661</v>
      </c>
    </row>
    <row r="5082" spans="1:10" ht="12.75" customHeight="1" x14ac:dyDescent="0.2">
      <c r="A5082" s="681">
        <v>1241</v>
      </c>
      <c r="B5082" s="693" t="s">
        <v>2259</v>
      </c>
      <c r="C5082" s="672" t="s">
        <v>877</v>
      </c>
      <c r="D5082" s="809">
        <v>2015</v>
      </c>
      <c r="E5082" s="674">
        <v>10</v>
      </c>
      <c r="F5082" s="675">
        <v>0.1</v>
      </c>
      <c r="G5082" s="676">
        <v>6878.8</v>
      </c>
      <c r="H5082" s="929">
        <v>687.88000000000011</v>
      </c>
      <c r="I5082" s="929">
        <v>2120.9633333333336</v>
      </c>
      <c r="J5082" s="689">
        <f t="shared" si="80"/>
        <v>4757.8366666666661</v>
      </c>
    </row>
    <row r="5083" spans="1:10" ht="12.75" customHeight="1" x14ac:dyDescent="0.2">
      <c r="A5083" s="681">
        <v>1241</v>
      </c>
      <c r="B5083" s="693" t="s">
        <v>2260</v>
      </c>
      <c r="C5083" s="672" t="s">
        <v>877</v>
      </c>
      <c r="D5083" s="809">
        <v>2015</v>
      </c>
      <c r="E5083" s="674">
        <v>10</v>
      </c>
      <c r="F5083" s="675">
        <v>0.1</v>
      </c>
      <c r="G5083" s="676">
        <v>6878.8</v>
      </c>
      <c r="H5083" s="929">
        <v>687.88000000000011</v>
      </c>
      <c r="I5083" s="929">
        <v>2120.9633333333336</v>
      </c>
      <c r="J5083" s="689">
        <f t="shared" si="80"/>
        <v>4757.8366666666661</v>
      </c>
    </row>
    <row r="5084" spans="1:10" ht="12.75" customHeight="1" x14ac:dyDescent="0.2">
      <c r="A5084" s="681">
        <v>1241</v>
      </c>
      <c r="B5084" s="693" t="s">
        <v>2261</v>
      </c>
      <c r="C5084" s="672" t="s">
        <v>877</v>
      </c>
      <c r="D5084" s="809">
        <v>2015</v>
      </c>
      <c r="E5084" s="674">
        <v>10</v>
      </c>
      <c r="F5084" s="675">
        <v>0.1</v>
      </c>
      <c r="G5084" s="676">
        <v>6878.8</v>
      </c>
      <c r="H5084" s="929">
        <v>687.88000000000011</v>
      </c>
      <c r="I5084" s="929">
        <v>2120.9633333333336</v>
      </c>
      <c r="J5084" s="689">
        <f t="shared" si="80"/>
        <v>4757.8366666666661</v>
      </c>
    </row>
    <row r="5085" spans="1:10" ht="12.75" customHeight="1" x14ac:dyDescent="0.2">
      <c r="A5085" s="681">
        <v>1241</v>
      </c>
      <c r="B5085" s="693" t="s">
        <v>2262</v>
      </c>
      <c r="C5085" s="672" t="s">
        <v>877</v>
      </c>
      <c r="D5085" s="809">
        <v>2015</v>
      </c>
      <c r="E5085" s="674">
        <v>10</v>
      </c>
      <c r="F5085" s="675">
        <v>0.1</v>
      </c>
      <c r="G5085" s="676">
        <v>6878.8</v>
      </c>
      <c r="H5085" s="929">
        <v>687.88000000000011</v>
      </c>
      <c r="I5085" s="929">
        <v>2120.9633333333336</v>
      </c>
      <c r="J5085" s="689">
        <f t="shared" si="80"/>
        <v>4757.8366666666661</v>
      </c>
    </row>
    <row r="5086" spans="1:10" ht="12.75" customHeight="1" x14ac:dyDescent="0.2">
      <c r="A5086" s="681">
        <v>1241</v>
      </c>
      <c r="B5086" s="693" t="s">
        <v>2263</v>
      </c>
      <c r="C5086" s="672" t="s">
        <v>877</v>
      </c>
      <c r="D5086" s="809">
        <v>2015</v>
      </c>
      <c r="E5086" s="674">
        <v>10</v>
      </c>
      <c r="F5086" s="675">
        <v>0.1</v>
      </c>
      <c r="G5086" s="676">
        <v>6878.8</v>
      </c>
      <c r="H5086" s="929">
        <v>687.88000000000011</v>
      </c>
      <c r="I5086" s="929">
        <v>2120.9633333333336</v>
      </c>
      <c r="J5086" s="689">
        <f t="shared" si="80"/>
        <v>4757.8366666666661</v>
      </c>
    </row>
    <row r="5087" spans="1:10" ht="12.75" customHeight="1" x14ac:dyDescent="0.2">
      <c r="A5087" s="681">
        <v>1241</v>
      </c>
      <c r="B5087" s="693" t="s">
        <v>2264</v>
      </c>
      <c r="C5087" s="672" t="s">
        <v>877</v>
      </c>
      <c r="D5087" s="809">
        <v>2015</v>
      </c>
      <c r="E5087" s="674">
        <v>10</v>
      </c>
      <c r="F5087" s="675">
        <v>0.1</v>
      </c>
      <c r="G5087" s="676">
        <v>6878.8</v>
      </c>
      <c r="H5087" s="929">
        <v>687.88000000000011</v>
      </c>
      <c r="I5087" s="929">
        <v>2120.9633333333336</v>
      </c>
      <c r="J5087" s="689">
        <f t="shared" si="80"/>
        <v>4757.8366666666661</v>
      </c>
    </row>
    <row r="5088" spans="1:10" ht="12.75" customHeight="1" x14ac:dyDescent="0.2">
      <c r="A5088" s="681">
        <v>1241</v>
      </c>
      <c r="B5088" s="693" t="s">
        <v>2202</v>
      </c>
      <c r="C5088" s="672" t="s">
        <v>2359</v>
      </c>
      <c r="D5088" s="809">
        <v>2015</v>
      </c>
      <c r="E5088" s="674">
        <v>10</v>
      </c>
      <c r="F5088" s="675">
        <v>0.1</v>
      </c>
      <c r="G5088" s="676">
        <v>7748.8</v>
      </c>
      <c r="H5088" s="929">
        <v>774.88000000000022</v>
      </c>
      <c r="I5088" s="929">
        <v>2389.213333333334</v>
      </c>
      <c r="J5088" s="689">
        <f t="shared" si="80"/>
        <v>5359.5866666666661</v>
      </c>
    </row>
    <row r="5089" spans="1:10" ht="12.75" customHeight="1" x14ac:dyDescent="0.2">
      <c r="A5089" s="681">
        <v>1241</v>
      </c>
      <c r="B5089" s="693" t="s">
        <v>2203</v>
      </c>
      <c r="C5089" s="672" t="s">
        <v>2359</v>
      </c>
      <c r="D5089" s="809">
        <v>2015</v>
      </c>
      <c r="E5089" s="674">
        <v>10</v>
      </c>
      <c r="F5089" s="675">
        <v>0.1</v>
      </c>
      <c r="G5089" s="676">
        <v>7748.8</v>
      </c>
      <c r="H5089" s="929">
        <v>774.88000000000022</v>
      </c>
      <c r="I5089" s="929">
        <v>2389.213333333334</v>
      </c>
      <c r="J5089" s="689">
        <f t="shared" si="80"/>
        <v>5359.5866666666661</v>
      </c>
    </row>
    <row r="5090" spans="1:10" ht="12.75" customHeight="1" x14ac:dyDescent="0.2">
      <c r="A5090" s="681">
        <v>1241</v>
      </c>
      <c r="B5090" s="693" t="s">
        <v>2276</v>
      </c>
      <c r="C5090" s="672" t="s">
        <v>2362</v>
      </c>
      <c r="D5090" s="809">
        <v>2015</v>
      </c>
      <c r="E5090" s="674">
        <v>10</v>
      </c>
      <c r="F5090" s="675">
        <v>0.1</v>
      </c>
      <c r="G5090" s="676">
        <v>7748.8</v>
      </c>
      <c r="H5090" s="929">
        <v>774.88000000000022</v>
      </c>
      <c r="I5090" s="929">
        <v>2389.213333333334</v>
      </c>
      <c r="J5090" s="689">
        <f t="shared" si="80"/>
        <v>5359.5866666666661</v>
      </c>
    </row>
    <row r="5091" spans="1:10" ht="12.75" customHeight="1" x14ac:dyDescent="0.2">
      <c r="A5091" s="681">
        <v>1241</v>
      </c>
      <c r="B5091" s="693" t="s">
        <v>2277</v>
      </c>
      <c r="C5091" s="672" t="s">
        <v>2362</v>
      </c>
      <c r="D5091" s="809">
        <v>2015</v>
      </c>
      <c r="E5091" s="674">
        <v>10</v>
      </c>
      <c r="F5091" s="675">
        <v>0.1</v>
      </c>
      <c r="G5091" s="676">
        <v>7748.8</v>
      </c>
      <c r="H5091" s="929">
        <v>774.88000000000022</v>
      </c>
      <c r="I5091" s="929">
        <v>2389.213333333334</v>
      </c>
      <c r="J5091" s="689">
        <f t="shared" si="80"/>
        <v>5359.5866666666661</v>
      </c>
    </row>
    <row r="5092" spans="1:10" ht="12.75" customHeight="1" x14ac:dyDescent="0.2">
      <c r="A5092" s="681">
        <v>1241</v>
      </c>
      <c r="B5092" s="693" t="s">
        <v>2278</v>
      </c>
      <c r="C5092" s="672" t="s">
        <v>2362</v>
      </c>
      <c r="D5092" s="809">
        <v>2015</v>
      </c>
      <c r="E5092" s="674">
        <v>10</v>
      </c>
      <c r="F5092" s="675">
        <v>0.1</v>
      </c>
      <c r="G5092" s="676">
        <v>7748.8</v>
      </c>
      <c r="H5092" s="929">
        <v>774.88000000000022</v>
      </c>
      <c r="I5092" s="929">
        <v>2389.213333333334</v>
      </c>
      <c r="J5092" s="689">
        <f t="shared" si="80"/>
        <v>5359.5866666666661</v>
      </c>
    </row>
    <row r="5093" spans="1:10" ht="12.75" customHeight="1" x14ac:dyDescent="0.2">
      <c r="A5093" s="681">
        <v>1241</v>
      </c>
      <c r="B5093" s="693" t="s">
        <v>2279</v>
      </c>
      <c r="C5093" s="672" t="s">
        <v>2362</v>
      </c>
      <c r="D5093" s="809">
        <v>2015</v>
      </c>
      <c r="E5093" s="674">
        <v>10</v>
      </c>
      <c r="F5093" s="675">
        <v>0.1</v>
      </c>
      <c r="G5093" s="676">
        <v>7748.8</v>
      </c>
      <c r="H5093" s="929">
        <v>774.88000000000022</v>
      </c>
      <c r="I5093" s="929">
        <v>2389.213333333334</v>
      </c>
      <c r="J5093" s="689">
        <f t="shared" si="80"/>
        <v>5359.5866666666661</v>
      </c>
    </row>
    <row r="5094" spans="1:10" ht="12.75" customHeight="1" x14ac:dyDescent="0.2">
      <c r="A5094" s="681">
        <v>1241</v>
      </c>
      <c r="B5094" s="693" t="s">
        <v>2280</v>
      </c>
      <c r="C5094" s="672" t="s">
        <v>2362</v>
      </c>
      <c r="D5094" s="809">
        <v>2015</v>
      </c>
      <c r="E5094" s="674">
        <v>10</v>
      </c>
      <c r="F5094" s="675">
        <v>0.1</v>
      </c>
      <c r="G5094" s="676">
        <v>7748.8</v>
      </c>
      <c r="H5094" s="929">
        <v>774.88000000000022</v>
      </c>
      <c r="I5094" s="929">
        <v>2389.213333333334</v>
      </c>
      <c r="J5094" s="689">
        <f t="shared" si="80"/>
        <v>5359.5866666666661</v>
      </c>
    </row>
    <row r="5095" spans="1:10" ht="12.75" customHeight="1" x14ac:dyDescent="0.2">
      <c r="A5095" s="681">
        <v>1241</v>
      </c>
      <c r="B5095" s="693" t="s">
        <v>2281</v>
      </c>
      <c r="C5095" s="672" t="s">
        <v>2362</v>
      </c>
      <c r="D5095" s="809">
        <v>2015</v>
      </c>
      <c r="E5095" s="674">
        <v>10</v>
      </c>
      <c r="F5095" s="675">
        <v>0.1</v>
      </c>
      <c r="G5095" s="676">
        <v>7748.8</v>
      </c>
      <c r="H5095" s="929">
        <v>774.88000000000022</v>
      </c>
      <c r="I5095" s="929">
        <v>2389.213333333334</v>
      </c>
      <c r="J5095" s="689">
        <f t="shared" si="80"/>
        <v>5359.5866666666661</v>
      </c>
    </row>
    <row r="5096" spans="1:10" ht="12.75" customHeight="1" x14ac:dyDescent="0.2">
      <c r="A5096" s="681">
        <v>1241</v>
      </c>
      <c r="B5096" s="693" t="s">
        <v>2282</v>
      </c>
      <c r="C5096" s="672" t="s">
        <v>2362</v>
      </c>
      <c r="D5096" s="809">
        <v>2015</v>
      </c>
      <c r="E5096" s="674">
        <v>10</v>
      </c>
      <c r="F5096" s="675">
        <v>0.1</v>
      </c>
      <c r="G5096" s="676">
        <v>7748.8</v>
      </c>
      <c r="H5096" s="929">
        <v>774.88000000000022</v>
      </c>
      <c r="I5096" s="929">
        <v>2389.213333333334</v>
      </c>
      <c r="J5096" s="689">
        <f t="shared" si="80"/>
        <v>5359.5866666666661</v>
      </c>
    </row>
    <row r="5097" spans="1:10" ht="12.75" customHeight="1" x14ac:dyDescent="0.2">
      <c r="A5097" s="681">
        <v>1241</v>
      </c>
      <c r="B5097" s="693" t="s">
        <v>2283</v>
      </c>
      <c r="C5097" s="672" t="s">
        <v>2362</v>
      </c>
      <c r="D5097" s="809">
        <v>2015</v>
      </c>
      <c r="E5097" s="674">
        <v>10</v>
      </c>
      <c r="F5097" s="675">
        <v>0.1</v>
      </c>
      <c r="G5097" s="676">
        <v>7748.8</v>
      </c>
      <c r="H5097" s="929">
        <v>774.88000000000022</v>
      </c>
      <c r="I5097" s="929">
        <v>2389.213333333334</v>
      </c>
      <c r="J5097" s="689">
        <f t="shared" si="80"/>
        <v>5359.5866666666661</v>
      </c>
    </row>
    <row r="5098" spans="1:10" ht="12.75" customHeight="1" x14ac:dyDescent="0.2">
      <c r="A5098" s="681">
        <v>1242</v>
      </c>
      <c r="B5098" s="693" t="s">
        <v>2285</v>
      </c>
      <c r="C5098" s="672" t="s">
        <v>2354</v>
      </c>
      <c r="D5098" s="809">
        <v>2015</v>
      </c>
      <c r="E5098" s="674">
        <v>10</v>
      </c>
      <c r="F5098" s="675">
        <v>0.1</v>
      </c>
      <c r="G5098" s="676">
        <v>8700</v>
      </c>
      <c r="H5098" s="929">
        <v>870</v>
      </c>
      <c r="I5098" s="929">
        <v>2682.5</v>
      </c>
      <c r="J5098" s="689">
        <f t="shared" si="80"/>
        <v>6017.5</v>
      </c>
    </row>
    <row r="5099" spans="1:10" ht="12.75" customHeight="1" x14ac:dyDescent="0.2">
      <c r="A5099" s="681">
        <v>1242</v>
      </c>
      <c r="B5099" s="693" t="s">
        <v>2286</v>
      </c>
      <c r="C5099" s="672" t="s">
        <v>2354</v>
      </c>
      <c r="D5099" s="809">
        <v>2015</v>
      </c>
      <c r="E5099" s="674">
        <v>10</v>
      </c>
      <c r="F5099" s="675">
        <v>0.1</v>
      </c>
      <c r="G5099" s="676">
        <v>8700</v>
      </c>
      <c r="H5099" s="929">
        <v>870</v>
      </c>
      <c r="I5099" s="929">
        <v>2682.5</v>
      </c>
      <c r="J5099" s="689">
        <f t="shared" si="80"/>
        <v>6017.5</v>
      </c>
    </row>
    <row r="5100" spans="1:10" ht="12.75" customHeight="1" x14ac:dyDescent="0.2">
      <c r="A5100" s="681">
        <v>1246</v>
      </c>
      <c r="B5100" s="693" t="s">
        <v>2290</v>
      </c>
      <c r="C5100" s="672" t="s">
        <v>2354</v>
      </c>
      <c r="D5100" s="809">
        <v>2015</v>
      </c>
      <c r="E5100" s="674">
        <v>10</v>
      </c>
      <c r="F5100" s="675">
        <v>0.1</v>
      </c>
      <c r="G5100" s="676">
        <v>8700</v>
      </c>
      <c r="H5100" s="929">
        <v>870</v>
      </c>
      <c r="I5100" s="929">
        <v>2682.5</v>
      </c>
      <c r="J5100" s="689">
        <f t="shared" si="80"/>
        <v>6017.5</v>
      </c>
    </row>
    <row r="5101" spans="1:10" ht="12.75" customHeight="1" x14ac:dyDescent="0.2">
      <c r="A5101" s="681">
        <v>1246</v>
      </c>
      <c r="B5101" s="693" t="s">
        <v>2291</v>
      </c>
      <c r="C5101" s="672" t="s">
        <v>2354</v>
      </c>
      <c r="D5101" s="809">
        <v>2015</v>
      </c>
      <c r="E5101" s="674">
        <v>10</v>
      </c>
      <c r="F5101" s="675">
        <v>0.1</v>
      </c>
      <c r="G5101" s="676">
        <v>8700</v>
      </c>
      <c r="H5101" s="929">
        <v>870</v>
      </c>
      <c r="I5101" s="929">
        <v>2682.5</v>
      </c>
      <c r="J5101" s="689">
        <f t="shared" si="80"/>
        <v>6017.5</v>
      </c>
    </row>
    <row r="5102" spans="1:10" ht="12.75" customHeight="1" x14ac:dyDescent="0.2">
      <c r="A5102" s="681">
        <v>1246</v>
      </c>
      <c r="B5102" s="693" t="s">
        <v>2292</v>
      </c>
      <c r="C5102" s="672" t="s">
        <v>2354</v>
      </c>
      <c r="D5102" s="809">
        <v>2015</v>
      </c>
      <c r="E5102" s="674">
        <v>10</v>
      </c>
      <c r="F5102" s="675">
        <v>0.1</v>
      </c>
      <c r="G5102" s="676">
        <v>8700</v>
      </c>
      <c r="H5102" s="929">
        <v>870</v>
      </c>
      <c r="I5102" s="929">
        <v>2682.5</v>
      </c>
      <c r="J5102" s="689">
        <f t="shared" si="80"/>
        <v>6017.5</v>
      </c>
    </row>
    <row r="5103" spans="1:10" ht="12.75" customHeight="1" x14ac:dyDescent="0.2">
      <c r="A5103" s="681">
        <v>1246</v>
      </c>
      <c r="B5103" s="693" t="s">
        <v>2293</v>
      </c>
      <c r="C5103" s="672" t="s">
        <v>2354</v>
      </c>
      <c r="D5103" s="809">
        <v>2015</v>
      </c>
      <c r="E5103" s="674">
        <v>10</v>
      </c>
      <c r="F5103" s="675">
        <v>0.1</v>
      </c>
      <c r="G5103" s="676">
        <v>8700</v>
      </c>
      <c r="H5103" s="929">
        <v>870</v>
      </c>
      <c r="I5103" s="929">
        <v>2682.5</v>
      </c>
      <c r="J5103" s="689">
        <f t="shared" si="80"/>
        <v>6017.5</v>
      </c>
    </row>
    <row r="5104" spans="1:10" ht="12.75" customHeight="1" x14ac:dyDescent="0.2">
      <c r="A5104" s="681">
        <v>1241</v>
      </c>
      <c r="B5104" s="693" t="s">
        <v>2269</v>
      </c>
      <c r="C5104" s="672" t="s">
        <v>877</v>
      </c>
      <c r="D5104" s="809">
        <v>2015</v>
      </c>
      <c r="E5104" s="674">
        <v>10</v>
      </c>
      <c r="F5104" s="675">
        <v>0.1</v>
      </c>
      <c r="G5104" s="676">
        <v>10672</v>
      </c>
      <c r="H5104" s="929">
        <v>1067.2000000000003</v>
      </c>
      <c r="I5104" s="929">
        <v>3290.5333333333342</v>
      </c>
      <c r="J5104" s="689">
        <f t="shared" si="80"/>
        <v>7381.4666666666653</v>
      </c>
    </row>
    <row r="5105" spans="1:10" ht="12.75" customHeight="1" x14ac:dyDescent="0.2">
      <c r="A5105" s="681">
        <v>1241</v>
      </c>
      <c r="B5105" s="693" t="s">
        <v>2270</v>
      </c>
      <c r="C5105" s="672" t="s">
        <v>877</v>
      </c>
      <c r="D5105" s="809">
        <v>2015</v>
      </c>
      <c r="E5105" s="674">
        <v>10</v>
      </c>
      <c r="F5105" s="675">
        <v>0.1</v>
      </c>
      <c r="G5105" s="676">
        <v>10672</v>
      </c>
      <c r="H5105" s="929">
        <v>1067.2000000000003</v>
      </c>
      <c r="I5105" s="929">
        <v>3290.5333333333342</v>
      </c>
      <c r="J5105" s="689">
        <f t="shared" si="80"/>
        <v>7381.4666666666653</v>
      </c>
    </row>
    <row r="5106" spans="1:10" ht="12.75" customHeight="1" x14ac:dyDescent="0.2">
      <c r="A5106" s="681">
        <v>1241</v>
      </c>
      <c r="B5106" s="693" t="s">
        <v>2271</v>
      </c>
      <c r="C5106" s="672" t="s">
        <v>877</v>
      </c>
      <c r="D5106" s="809">
        <v>2015</v>
      </c>
      <c r="E5106" s="674">
        <v>10</v>
      </c>
      <c r="F5106" s="675">
        <v>0.1</v>
      </c>
      <c r="G5106" s="676">
        <v>10672</v>
      </c>
      <c r="H5106" s="929">
        <v>1067.2000000000003</v>
      </c>
      <c r="I5106" s="929">
        <v>3290.5333333333342</v>
      </c>
      <c r="J5106" s="689">
        <f t="shared" si="80"/>
        <v>7381.4666666666653</v>
      </c>
    </row>
    <row r="5107" spans="1:10" ht="12.75" customHeight="1" x14ac:dyDescent="0.2">
      <c r="A5107" s="681">
        <v>1241</v>
      </c>
      <c r="B5107" s="693" t="s">
        <v>2272</v>
      </c>
      <c r="C5107" s="672" t="s">
        <v>877</v>
      </c>
      <c r="D5107" s="809">
        <v>2015</v>
      </c>
      <c r="E5107" s="674">
        <v>10</v>
      </c>
      <c r="F5107" s="675">
        <v>0.1</v>
      </c>
      <c r="G5107" s="676">
        <v>10672</v>
      </c>
      <c r="H5107" s="929">
        <v>1067.2000000000003</v>
      </c>
      <c r="I5107" s="929">
        <v>3290.5333333333342</v>
      </c>
      <c r="J5107" s="689">
        <f t="shared" si="80"/>
        <v>7381.4666666666653</v>
      </c>
    </row>
    <row r="5108" spans="1:10" ht="12.75" customHeight="1" x14ac:dyDescent="0.2">
      <c r="A5108" s="681">
        <v>1241</v>
      </c>
      <c r="B5108" s="693" t="s">
        <v>2273</v>
      </c>
      <c r="C5108" s="672" t="s">
        <v>877</v>
      </c>
      <c r="D5108" s="809">
        <v>2015</v>
      </c>
      <c r="E5108" s="674">
        <v>10</v>
      </c>
      <c r="F5108" s="675">
        <v>0.1</v>
      </c>
      <c r="G5108" s="676">
        <v>10672</v>
      </c>
      <c r="H5108" s="929">
        <v>1067.2000000000003</v>
      </c>
      <c r="I5108" s="929">
        <v>3290.5333333333342</v>
      </c>
      <c r="J5108" s="689">
        <f t="shared" si="80"/>
        <v>7381.4666666666653</v>
      </c>
    </row>
    <row r="5109" spans="1:10" ht="12.75" customHeight="1" x14ac:dyDescent="0.2">
      <c r="A5109" s="681">
        <v>1246</v>
      </c>
      <c r="B5109" s="693" t="s">
        <v>2295</v>
      </c>
      <c r="C5109" s="672" t="s">
        <v>2354</v>
      </c>
      <c r="D5109" s="809">
        <v>2015</v>
      </c>
      <c r="E5109" s="674">
        <v>10</v>
      </c>
      <c r="F5109" s="675">
        <v>0.1</v>
      </c>
      <c r="G5109" s="676">
        <v>12000</v>
      </c>
      <c r="H5109" s="929">
        <v>1200</v>
      </c>
      <c r="I5109" s="929">
        <v>3700</v>
      </c>
      <c r="J5109" s="689">
        <f t="shared" si="80"/>
        <v>8300</v>
      </c>
    </row>
    <row r="5110" spans="1:10" ht="12.75" customHeight="1" x14ac:dyDescent="0.2">
      <c r="A5110" s="681">
        <v>1246</v>
      </c>
      <c r="B5110" s="693" t="s">
        <v>2296</v>
      </c>
      <c r="C5110" s="672" t="s">
        <v>2354</v>
      </c>
      <c r="D5110" s="809">
        <v>2015</v>
      </c>
      <c r="E5110" s="674">
        <v>10</v>
      </c>
      <c r="F5110" s="675">
        <v>0.1</v>
      </c>
      <c r="G5110" s="676">
        <v>12000</v>
      </c>
      <c r="H5110" s="929">
        <v>1200</v>
      </c>
      <c r="I5110" s="929">
        <v>3700</v>
      </c>
      <c r="J5110" s="689">
        <f t="shared" si="80"/>
        <v>8300</v>
      </c>
    </row>
    <row r="5111" spans="1:10" ht="12.75" customHeight="1" x14ac:dyDescent="0.2">
      <c r="A5111" s="681">
        <v>1241</v>
      </c>
      <c r="B5111" s="693" t="s">
        <v>2118</v>
      </c>
      <c r="C5111" s="672" t="s">
        <v>2353</v>
      </c>
      <c r="D5111" s="809">
        <v>2015</v>
      </c>
      <c r="E5111" s="674">
        <v>3</v>
      </c>
      <c r="F5111" s="675">
        <v>0.33</v>
      </c>
      <c r="G5111" s="676">
        <v>16472</v>
      </c>
      <c r="H5111" s="929">
        <v>5146.5000000000009</v>
      </c>
      <c r="I5111" s="929">
        <v>16471</v>
      </c>
      <c r="J5111" s="689">
        <f t="shared" si="80"/>
        <v>1</v>
      </c>
    </row>
    <row r="5112" spans="1:10" ht="12.75" customHeight="1" x14ac:dyDescent="0.2">
      <c r="A5112" s="681">
        <v>1241</v>
      </c>
      <c r="B5112" s="693" t="s">
        <v>2119</v>
      </c>
      <c r="C5112" s="672" t="s">
        <v>2353</v>
      </c>
      <c r="D5112" s="809">
        <v>2015</v>
      </c>
      <c r="E5112" s="674">
        <v>3</v>
      </c>
      <c r="F5112" s="675">
        <v>0.33</v>
      </c>
      <c r="G5112" s="676">
        <v>16472</v>
      </c>
      <c r="H5112" s="929">
        <v>5146.5000000000009</v>
      </c>
      <c r="I5112" s="929">
        <v>16471</v>
      </c>
      <c r="J5112" s="689">
        <f t="shared" si="80"/>
        <v>1</v>
      </c>
    </row>
    <row r="5113" spans="1:10" ht="12.75" customHeight="1" x14ac:dyDescent="0.2">
      <c r="A5113" s="681">
        <v>1241</v>
      </c>
      <c r="B5113" s="693" t="s">
        <v>2120</v>
      </c>
      <c r="C5113" s="672" t="s">
        <v>2353</v>
      </c>
      <c r="D5113" s="809">
        <v>2015</v>
      </c>
      <c r="E5113" s="674">
        <v>3</v>
      </c>
      <c r="F5113" s="675">
        <v>0.33</v>
      </c>
      <c r="G5113" s="676">
        <v>16472</v>
      </c>
      <c r="H5113" s="929">
        <v>5146.5000000000009</v>
      </c>
      <c r="I5113" s="929">
        <v>16471</v>
      </c>
      <c r="J5113" s="689">
        <f t="shared" si="80"/>
        <v>1</v>
      </c>
    </row>
    <row r="5114" spans="1:10" ht="12.75" customHeight="1" x14ac:dyDescent="0.2">
      <c r="A5114" s="681">
        <v>1241</v>
      </c>
      <c r="B5114" s="693" t="s">
        <v>2121</v>
      </c>
      <c r="C5114" s="672" t="s">
        <v>2353</v>
      </c>
      <c r="D5114" s="809">
        <v>2015</v>
      </c>
      <c r="E5114" s="674">
        <v>3</v>
      </c>
      <c r="F5114" s="675">
        <v>0.33</v>
      </c>
      <c r="G5114" s="676">
        <v>16472</v>
      </c>
      <c r="H5114" s="929">
        <v>5146.5000000000009</v>
      </c>
      <c r="I5114" s="929">
        <v>16471</v>
      </c>
      <c r="J5114" s="689">
        <f t="shared" si="80"/>
        <v>1</v>
      </c>
    </row>
    <row r="5115" spans="1:10" ht="12.75" customHeight="1" x14ac:dyDescent="0.2">
      <c r="A5115" s="681">
        <v>1241</v>
      </c>
      <c r="B5115" s="693" t="s">
        <v>2122</v>
      </c>
      <c r="C5115" s="672" t="s">
        <v>2353</v>
      </c>
      <c r="D5115" s="809">
        <v>2015</v>
      </c>
      <c r="E5115" s="674">
        <v>3</v>
      </c>
      <c r="F5115" s="675">
        <v>0.33</v>
      </c>
      <c r="G5115" s="676">
        <v>16472</v>
      </c>
      <c r="H5115" s="929">
        <v>5146.5000000000009</v>
      </c>
      <c r="I5115" s="929">
        <v>16471</v>
      </c>
      <c r="J5115" s="689">
        <f t="shared" si="80"/>
        <v>1</v>
      </c>
    </row>
    <row r="5116" spans="1:10" ht="12.75" customHeight="1" x14ac:dyDescent="0.2">
      <c r="A5116" s="681">
        <v>1241</v>
      </c>
      <c r="B5116" s="693" t="s">
        <v>2123</v>
      </c>
      <c r="C5116" s="672" t="s">
        <v>2353</v>
      </c>
      <c r="D5116" s="809">
        <v>2015</v>
      </c>
      <c r="E5116" s="674">
        <v>3</v>
      </c>
      <c r="F5116" s="675">
        <v>0.33</v>
      </c>
      <c r="G5116" s="676">
        <v>16472</v>
      </c>
      <c r="H5116" s="929">
        <v>5146.5000000000009</v>
      </c>
      <c r="I5116" s="929">
        <v>16471</v>
      </c>
      <c r="J5116" s="689">
        <f t="shared" si="80"/>
        <v>1</v>
      </c>
    </row>
    <row r="5117" spans="1:10" ht="12.75" customHeight="1" x14ac:dyDescent="0.2">
      <c r="A5117" s="681">
        <v>1241</v>
      </c>
      <c r="B5117" s="693" t="s">
        <v>2335</v>
      </c>
      <c r="C5117" s="672" t="s">
        <v>899</v>
      </c>
      <c r="D5117" s="809">
        <v>2015</v>
      </c>
      <c r="E5117" s="674">
        <v>3</v>
      </c>
      <c r="F5117" s="675">
        <v>0.33</v>
      </c>
      <c r="G5117" s="676">
        <v>36380</v>
      </c>
      <c r="H5117" s="929">
        <v>11367.75</v>
      </c>
      <c r="I5117" s="929">
        <v>36379</v>
      </c>
      <c r="J5117" s="689">
        <f t="shared" si="80"/>
        <v>1</v>
      </c>
    </row>
    <row r="5118" spans="1:10" ht="12.75" customHeight="1" x14ac:dyDescent="0.2">
      <c r="A5118" s="681">
        <v>1246</v>
      </c>
      <c r="B5118" s="693">
        <v>90001</v>
      </c>
      <c r="C5118" s="672" t="s">
        <v>2369</v>
      </c>
      <c r="D5118" s="809">
        <v>2015</v>
      </c>
      <c r="E5118" s="674">
        <v>10</v>
      </c>
      <c r="F5118" s="675">
        <v>0.1</v>
      </c>
      <c r="G5118" s="676">
        <v>1893.11</v>
      </c>
      <c r="H5118" s="929">
        <v>189.31099999999995</v>
      </c>
      <c r="I5118" s="929">
        <v>378.6219999999999</v>
      </c>
      <c r="J5118" s="689">
        <f t="shared" si="80"/>
        <v>1514.4880000000001</v>
      </c>
    </row>
    <row r="5119" spans="1:10" ht="12.75" customHeight="1" x14ac:dyDescent="0.2">
      <c r="A5119" s="681">
        <v>1241</v>
      </c>
      <c r="B5119" s="693" t="s">
        <v>2327</v>
      </c>
      <c r="C5119" s="672" t="s">
        <v>2365</v>
      </c>
      <c r="D5119" s="809">
        <v>2015</v>
      </c>
      <c r="E5119" s="674">
        <v>3</v>
      </c>
      <c r="F5119" s="675">
        <v>0.33</v>
      </c>
      <c r="G5119" s="676">
        <v>2132.29</v>
      </c>
      <c r="H5119" s="929">
        <v>703.65569999999991</v>
      </c>
      <c r="I5119" s="929">
        <v>2110.9670999999998</v>
      </c>
      <c r="J5119" s="689">
        <f t="shared" si="80"/>
        <v>21.322900000000118</v>
      </c>
    </row>
    <row r="5120" spans="1:10" ht="12.75" customHeight="1" x14ac:dyDescent="0.2">
      <c r="A5120" s="681">
        <v>1241</v>
      </c>
      <c r="B5120" s="693" t="s">
        <v>2328</v>
      </c>
      <c r="C5120" s="672" t="s">
        <v>2365</v>
      </c>
      <c r="D5120" s="809">
        <v>2015</v>
      </c>
      <c r="E5120" s="674">
        <v>3</v>
      </c>
      <c r="F5120" s="675">
        <v>0.33</v>
      </c>
      <c r="G5120" s="676">
        <v>2132.29</v>
      </c>
      <c r="H5120" s="929">
        <v>703.65569999999991</v>
      </c>
      <c r="I5120" s="929">
        <v>2110.9670999999998</v>
      </c>
      <c r="J5120" s="689">
        <f t="shared" si="80"/>
        <v>21.322900000000118</v>
      </c>
    </row>
    <row r="5121" spans="1:10" ht="12.75" customHeight="1" x14ac:dyDescent="0.2">
      <c r="A5121" s="681">
        <v>1246</v>
      </c>
      <c r="B5121" s="693">
        <v>90002</v>
      </c>
      <c r="C5121" s="672" t="s">
        <v>2369</v>
      </c>
      <c r="D5121" s="809">
        <v>2015</v>
      </c>
      <c r="E5121" s="674">
        <v>10</v>
      </c>
      <c r="F5121" s="675">
        <v>0.1</v>
      </c>
      <c r="G5121" s="676">
        <v>2839.69</v>
      </c>
      <c r="H5121" s="929">
        <v>283.96899999999999</v>
      </c>
      <c r="I5121" s="929">
        <v>567.93799999999999</v>
      </c>
      <c r="J5121" s="689">
        <f t="shared" si="80"/>
        <v>2271.752</v>
      </c>
    </row>
    <row r="5122" spans="1:10" ht="12.75" customHeight="1" x14ac:dyDescent="0.2">
      <c r="A5122" s="681">
        <v>1241</v>
      </c>
      <c r="B5122" s="693" t="s">
        <v>2324</v>
      </c>
      <c r="C5122" s="672" t="s">
        <v>2364</v>
      </c>
      <c r="D5122" s="809">
        <v>2015</v>
      </c>
      <c r="E5122" s="674">
        <v>3</v>
      </c>
      <c r="F5122" s="675">
        <v>0.33</v>
      </c>
      <c r="G5122" s="676">
        <v>3480</v>
      </c>
      <c r="H5122" s="929">
        <v>1148.4000000000003</v>
      </c>
      <c r="I5122" s="929">
        <v>3445.2000000000007</v>
      </c>
      <c r="J5122" s="689">
        <f t="shared" si="80"/>
        <v>34.799999999999272</v>
      </c>
    </row>
    <row r="5123" spans="1:10" ht="12.75" customHeight="1" x14ac:dyDescent="0.2">
      <c r="A5123" s="681">
        <v>1241</v>
      </c>
      <c r="B5123" s="693" t="s">
        <v>2325</v>
      </c>
      <c r="C5123" s="672" t="s">
        <v>2364</v>
      </c>
      <c r="D5123" s="809">
        <v>2015</v>
      </c>
      <c r="E5123" s="674">
        <v>3</v>
      </c>
      <c r="F5123" s="675">
        <v>0.33</v>
      </c>
      <c r="G5123" s="676">
        <v>3480</v>
      </c>
      <c r="H5123" s="929">
        <v>1148.4000000000003</v>
      </c>
      <c r="I5123" s="929">
        <v>3445.2000000000007</v>
      </c>
      <c r="J5123" s="689">
        <f t="shared" si="80"/>
        <v>34.799999999999272</v>
      </c>
    </row>
    <row r="5124" spans="1:10" ht="12.75" customHeight="1" x14ac:dyDescent="0.2">
      <c r="A5124" s="681">
        <v>1241</v>
      </c>
      <c r="B5124" s="693" t="s">
        <v>2326</v>
      </c>
      <c r="C5124" s="672" t="s">
        <v>2364</v>
      </c>
      <c r="D5124" s="809">
        <v>2015</v>
      </c>
      <c r="E5124" s="674">
        <v>3</v>
      </c>
      <c r="F5124" s="675">
        <v>0.33</v>
      </c>
      <c r="G5124" s="676">
        <v>3480</v>
      </c>
      <c r="H5124" s="929">
        <v>1148.4000000000003</v>
      </c>
      <c r="I5124" s="929">
        <v>3445.2000000000007</v>
      </c>
      <c r="J5124" s="689">
        <f t="shared" si="80"/>
        <v>34.799999999999272</v>
      </c>
    </row>
    <row r="5125" spans="1:10" ht="12.75" customHeight="1" x14ac:dyDescent="0.2">
      <c r="A5125" s="681">
        <v>1241</v>
      </c>
      <c r="B5125" s="693" t="s">
        <v>2238</v>
      </c>
      <c r="C5125" s="672" t="s">
        <v>2361</v>
      </c>
      <c r="D5125" s="809">
        <v>2015</v>
      </c>
      <c r="E5125" s="674">
        <v>10</v>
      </c>
      <c r="F5125" s="675">
        <v>0.1</v>
      </c>
      <c r="G5125" s="676">
        <v>3600.04</v>
      </c>
      <c r="H5125" s="929">
        <v>360.00400000000008</v>
      </c>
      <c r="I5125" s="929">
        <v>1080.0120000000002</v>
      </c>
      <c r="J5125" s="689">
        <f t="shared" ref="J5125:J5187" si="81">G5125-I5125</f>
        <v>2520.0279999999998</v>
      </c>
    </row>
    <row r="5126" spans="1:10" ht="12.75" customHeight="1" x14ac:dyDescent="0.2">
      <c r="A5126" s="681">
        <v>1241</v>
      </c>
      <c r="B5126" s="693" t="s">
        <v>2239</v>
      </c>
      <c r="C5126" s="672" t="s">
        <v>2361</v>
      </c>
      <c r="D5126" s="809">
        <v>2015</v>
      </c>
      <c r="E5126" s="674">
        <v>10</v>
      </c>
      <c r="F5126" s="675">
        <v>0.1</v>
      </c>
      <c r="G5126" s="676">
        <v>3600.04</v>
      </c>
      <c r="H5126" s="929">
        <v>360.00400000000008</v>
      </c>
      <c r="I5126" s="929">
        <v>1080.0120000000002</v>
      </c>
      <c r="J5126" s="689">
        <f t="shared" si="81"/>
        <v>2520.0279999999998</v>
      </c>
    </row>
    <row r="5127" spans="1:10" ht="12.75" customHeight="1" x14ac:dyDescent="0.2">
      <c r="A5127" s="681">
        <v>1241</v>
      </c>
      <c r="B5127" s="693" t="s">
        <v>2240</v>
      </c>
      <c r="C5127" s="672" t="s">
        <v>2361</v>
      </c>
      <c r="D5127" s="809">
        <v>2015</v>
      </c>
      <c r="E5127" s="674">
        <v>10</v>
      </c>
      <c r="F5127" s="675">
        <v>0.1</v>
      </c>
      <c r="G5127" s="676">
        <v>3600.04</v>
      </c>
      <c r="H5127" s="929">
        <v>360.00400000000008</v>
      </c>
      <c r="I5127" s="929">
        <v>1080.0120000000002</v>
      </c>
      <c r="J5127" s="689">
        <f t="shared" si="81"/>
        <v>2520.0279999999998</v>
      </c>
    </row>
    <row r="5128" spans="1:10" ht="12.75" customHeight="1" x14ac:dyDescent="0.2">
      <c r="A5128" s="681">
        <v>1241</v>
      </c>
      <c r="B5128" s="693" t="s">
        <v>2241</v>
      </c>
      <c r="C5128" s="672" t="s">
        <v>2361</v>
      </c>
      <c r="D5128" s="809">
        <v>2015</v>
      </c>
      <c r="E5128" s="674">
        <v>10</v>
      </c>
      <c r="F5128" s="675">
        <v>0.1</v>
      </c>
      <c r="G5128" s="676">
        <v>3600.04</v>
      </c>
      <c r="H5128" s="929">
        <v>360.00400000000008</v>
      </c>
      <c r="I5128" s="929">
        <v>1080.0120000000002</v>
      </c>
      <c r="J5128" s="689">
        <f t="shared" si="81"/>
        <v>2520.0279999999998</v>
      </c>
    </row>
    <row r="5129" spans="1:10" ht="12.75" customHeight="1" x14ac:dyDescent="0.2">
      <c r="A5129" s="681">
        <v>1241</v>
      </c>
      <c r="B5129" s="693" t="s">
        <v>2242</v>
      </c>
      <c r="C5129" s="672" t="s">
        <v>2361</v>
      </c>
      <c r="D5129" s="809">
        <v>2015</v>
      </c>
      <c r="E5129" s="674">
        <v>10</v>
      </c>
      <c r="F5129" s="675">
        <v>0.1</v>
      </c>
      <c r="G5129" s="676">
        <v>3600.04</v>
      </c>
      <c r="H5129" s="929">
        <v>360.00400000000008</v>
      </c>
      <c r="I5129" s="929">
        <v>1080.0120000000002</v>
      </c>
      <c r="J5129" s="689">
        <f t="shared" si="81"/>
        <v>2520.0279999999998</v>
      </c>
    </row>
    <row r="5130" spans="1:10" ht="12.75" customHeight="1" x14ac:dyDescent="0.2">
      <c r="A5130" s="681">
        <v>1241</v>
      </c>
      <c r="B5130" s="693" t="s">
        <v>2243</v>
      </c>
      <c r="C5130" s="672" t="s">
        <v>2361</v>
      </c>
      <c r="D5130" s="809">
        <v>2015</v>
      </c>
      <c r="E5130" s="674">
        <v>10</v>
      </c>
      <c r="F5130" s="675">
        <v>0.1</v>
      </c>
      <c r="G5130" s="676">
        <v>3600.04</v>
      </c>
      <c r="H5130" s="929">
        <v>360.00400000000008</v>
      </c>
      <c r="I5130" s="929">
        <v>1080.0120000000002</v>
      </c>
      <c r="J5130" s="689">
        <f t="shared" si="81"/>
        <v>2520.0279999999998</v>
      </c>
    </row>
    <row r="5131" spans="1:10" ht="12.75" customHeight="1" x14ac:dyDescent="0.2">
      <c r="A5131" s="681">
        <v>1241</v>
      </c>
      <c r="B5131" s="693" t="s">
        <v>2244</v>
      </c>
      <c r="C5131" s="672" t="s">
        <v>2361</v>
      </c>
      <c r="D5131" s="809">
        <v>2015</v>
      </c>
      <c r="E5131" s="674">
        <v>10</v>
      </c>
      <c r="F5131" s="675">
        <v>0.1</v>
      </c>
      <c r="G5131" s="676">
        <v>3600.04</v>
      </c>
      <c r="H5131" s="929">
        <v>360.00400000000008</v>
      </c>
      <c r="I5131" s="929">
        <v>1080.0120000000002</v>
      </c>
      <c r="J5131" s="689">
        <f t="shared" si="81"/>
        <v>2520.0279999999998</v>
      </c>
    </row>
    <row r="5132" spans="1:10" ht="12.75" customHeight="1" x14ac:dyDescent="0.2">
      <c r="A5132" s="681">
        <v>1241</v>
      </c>
      <c r="B5132" s="693" t="s">
        <v>2097</v>
      </c>
      <c r="C5132" s="672" t="s">
        <v>907</v>
      </c>
      <c r="D5132" s="809">
        <v>2015</v>
      </c>
      <c r="E5132" s="674">
        <v>3</v>
      </c>
      <c r="F5132" s="675">
        <v>0.33</v>
      </c>
      <c r="G5132" s="676">
        <v>3795</v>
      </c>
      <c r="H5132" s="929">
        <v>1252.3499999999997</v>
      </c>
      <c r="I5132" s="929">
        <v>3757.0499999999993</v>
      </c>
      <c r="J5132" s="689">
        <f t="shared" si="81"/>
        <v>37.950000000000728</v>
      </c>
    </row>
    <row r="5133" spans="1:10" ht="12.75" customHeight="1" x14ac:dyDescent="0.2">
      <c r="A5133" s="681">
        <v>1241</v>
      </c>
      <c r="B5133" s="693" t="s">
        <v>2098</v>
      </c>
      <c r="C5133" s="672" t="s">
        <v>907</v>
      </c>
      <c r="D5133" s="809">
        <v>2015</v>
      </c>
      <c r="E5133" s="674">
        <v>3</v>
      </c>
      <c r="F5133" s="675">
        <v>0.33</v>
      </c>
      <c r="G5133" s="676">
        <v>3795</v>
      </c>
      <c r="H5133" s="929">
        <v>1252.3499999999997</v>
      </c>
      <c r="I5133" s="929">
        <v>3757.0499999999993</v>
      </c>
      <c r="J5133" s="689">
        <f t="shared" si="81"/>
        <v>37.950000000000728</v>
      </c>
    </row>
    <row r="5134" spans="1:10" ht="12.75" customHeight="1" x14ac:dyDescent="0.2">
      <c r="A5134" s="681">
        <v>1241</v>
      </c>
      <c r="B5134" s="693" t="s">
        <v>2211</v>
      </c>
      <c r="C5134" s="672" t="s">
        <v>892</v>
      </c>
      <c r="D5134" s="809">
        <v>2015</v>
      </c>
      <c r="E5134" s="674">
        <v>3</v>
      </c>
      <c r="F5134" s="675">
        <v>0.33</v>
      </c>
      <c r="G5134" s="676">
        <v>4229.21</v>
      </c>
      <c r="H5134" s="929">
        <v>1395.6393</v>
      </c>
      <c r="I5134" s="929">
        <v>4186.9179000000004</v>
      </c>
      <c r="J5134" s="689">
        <f t="shared" si="81"/>
        <v>42.292099999999664</v>
      </c>
    </row>
    <row r="5135" spans="1:10" ht="12.75" customHeight="1" x14ac:dyDescent="0.2">
      <c r="A5135" s="681">
        <v>1241</v>
      </c>
      <c r="B5135" s="693" t="s">
        <v>2331</v>
      </c>
      <c r="C5135" s="672" t="s">
        <v>2366</v>
      </c>
      <c r="D5135" s="809">
        <v>2015</v>
      </c>
      <c r="E5135" s="674">
        <v>10</v>
      </c>
      <c r="F5135" s="675">
        <v>0.1</v>
      </c>
      <c r="G5135" s="676">
        <v>4524</v>
      </c>
      <c r="H5135" s="929">
        <v>452.39999999999992</v>
      </c>
      <c r="I5135" s="929">
        <v>1357.1999999999998</v>
      </c>
      <c r="J5135" s="689">
        <f t="shared" si="81"/>
        <v>3166.8</v>
      </c>
    </row>
    <row r="5136" spans="1:10" ht="12.75" customHeight="1" x14ac:dyDescent="0.2">
      <c r="A5136" s="681">
        <v>1241</v>
      </c>
      <c r="B5136" s="693" t="s">
        <v>2332</v>
      </c>
      <c r="C5136" s="672" t="s">
        <v>2366</v>
      </c>
      <c r="D5136" s="809">
        <v>2015</v>
      </c>
      <c r="E5136" s="674">
        <v>10</v>
      </c>
      <c r="F5136" s="675">
        <v>0.1</v>
      </c>
      <c r="G5136" s="676">
        <v>4524</v>
      </c>
      <c r="H5136" s="929">
        <v>452.39999999999992</v>
      </c>
      <c r="I5136" s="929">
        <v>1357.1999999999998</v>
      </c>
      <c r="J5136" s="689">
        <f t="shared" si="81"/>
        <v>3166.8</v>
      </c>
    </row>
    <row r="5137" spans="1:10" ht="12.75" customHeight="1" x14ac:dyDescent="0.2">
      <c r="A5137" s="681">
        <v>1241</v>
      </c>
      <c r="B5137" s="693" t="s">
        <v>2213</v>
      </c>
      <c r="C5137" s="672" t="s">
        <v>892</v>
      </c>
      <c r="D5137" s="809">
        <v>2015</v>
      </c>
      <c r="E5137" s="674">
        <v>3</v>
      </c>
      <c r="F5137" s="675">
        <v>0.33</v>
      </c>
      <c r="G5137" s="676">
        <v>6090</v>
      </c>
      <c r="H5137" s="929">
        <v>2009.6999999999996</v>
      </c>
      <c r="I5137" s="929">
        <v>6029.0999999999995</v>
      </c>
      <c r="J5137" s="689">
        <f t="shared" si="81"/>
        <v>60.900000000000546</v>
      </c>
    </row>
    <row r="5138" spans="1:10" ht="12.75" customHeight="1" x14ac:dyDescent="0.2">
      <c r="A5138" s="681">
        <v>1241</v>
      </c>
      <c r="B5138" s="693" t="s">
        <v>2257</v>
      </c>
      <c r="C5138" s="672" t="s">
        <v>877</v>
      </c>
      <c r="D5138" s="809">
        <v>2015</v>
      </c>
      <c r="E5138" s="674">
        <v>10</v>
      </c>
      <c r="F5138" s="675">
        <v>0.1</v>
      </c>
      <c r="G5138" s="676">
        <v>6728</v>
      </c>
      <c r="H5138" s="929">
        <v>672.8</v>
      </c>
      <c r="I5138" s="929">
        <v>2018.3999999999999</v>
      </c>
      <c r="J5138" s="689">
        <f t="shared" si="81"/>
        <v>4709.6000000000004</v>
      </c>
    </row>
    <row r="5139" spans="1:10" ht="12.75" customHeight="1" x14ac:dyDescent="0.2">
      <c r="A5139" s="681">
        <v>1241</v>
      </c>
      <c r="B5139" s="693" t="s">
        <v>2258</v>
      </c>
      <c r="C5139" s="672" t="s">
        <v>877</v>
      </c>
      <c r="D5139" s="809">
        <v>2015</v>
      </c>
      <c r="E5139" s="674">
        <v>10</v>
      </c>
      <c r="F5139" s="675">
        <v>0.1</v>
      </c>
      <c r="G5139" s="676">
        <v>6728</v>
      </c>
      <c r="H5139" s="929">
        <v>672.8</v>
      </c>
      <c r="I5139" s="929">
        <v>2018.3999999999999</v>
      </c>
      <c r="J5139" s="689">
        <f t="shared" si="81"/>
        <v>4709.6000000000004</v>
      </c>
    </row>
    <row r="5140" spans="1:10" ht="12.75" customHeight="1" x14ac:dyDescent="0.2">
      <c r="A5140" s="681">
        <v>1241</v>
      </c>
      <c r="B5140" s="693" t="s">
        <v>2265</v>
      </c>
      <c r="C5140" s="672" t="s">
        <v>877</v>
      </c>
      <c r="D5140" s="809">
        <v>2015</v>
      </c>
      <c r="E5140" s="674">
        <v>10</v>
      </c>
      <c r="F5140" s="675">
        <v>0.1</v>
      </c>
      <c r="G5140" s="676">
        <v>6728</v>
      </c>
      <c r="H5140" s="929">
        <v>672.8</v>
      </c>
      <c r="I5140" s="929">
        <v>2018.3999999999999</v>
      </c>
      <c r="J5140" s="689">
        <f t="shared" si="81"/>
        <v>4709.6000000000004</v>
      </c>
    </row>
    <row r="5141" spans="1:10" ht="12.75" customHeight="1" x14ac:dyDescent="0.2">
      <c r="A5141" s="681">
        <v>1241</v>
      </c>
      <c r="B5141" s="693" t="s">
        <v>2266</v>
      </c>
      <c r="C5141" s="672" t="s">
        <v>877</v>
      </c>
      <c r="D5141" s="809">
        <v>2015</v>
      </c>
      <c r="E5141" s="674">
        <v>10</v>
      </c>
      <c r="F5141" s="675">
        <v>0.1</v>
      </c>
      <c r="G5141" s="676">
        <v>6728</v>
      </c>
      <c r="H5141" s="929">
        <v>672.8</v>
      </c>
      <c r="I5141" s="929">
        <v>2018.3999999999999</v>
      </c>
      <c r="J5141" s="689">
        <f t="shared" si="81"/>
        <v>4709.6000000000004</v>
      </c>
    </row>
    <row r="5142" spans="1:10" ht="12.75" customHeight="1" x14ac:dyDescent="0.2">
      <c r="A5142" s="681">
        <v>1241</v>
      </c>
      <c r="B5142" s="693" t="s">
        <v>2267</v>
      </c>
      <c r="C5142" s="672" t="s">
        <v>877</v>
      </c>
      <c r="D5142" s="809">
        <v>2015</v>
      </c>
      <c r="E5142" s="674">
        <v>10</v>
      </c>
      <c r="F5142" s="675">
        <v>0.1</v>
      </c>
      <c r="G5142" s="676">
        <v>6728</v>
      </c>
      <c r="H5142" s="929">
        <v>672.8</v>
      </c>
      <c r="I5142" s="929">
        <v>2018.3999999999999</v>
      </c>
      <c r="J5142" s="689">
        <f t="shared" si="81"/>
        <v>4709.6000000000004</v>
      </c>
    </row>
    <row r="5143" spans="1:10" ht="12.75" customHeight="1" x14ac:dyDescent="0.2">
      <c r="A5143" s="681">
        <v>1241</v>
      </c>
      <c r="B5143" s="693" t="s">
        <v>2268</v>
      </c>
      <c r="C5143" s="672" t="s">
        <v>877</v>
      </c>
      <c r="D5143" s="809">
        <v>2015</v>
      </c>
      <c r="E5143" s="674">
        <v>10</v>
      </c>
      <c r="F5143" s="675">
        <v>0.1</v>
      </c>
      <c r="G5143" s="676">
        <v>6728</v>
      </c>
      <c r="H5143" s="929">
        <v>672.8</v>
      </c>
      <c r="I5143" s="929">
        <v>2018.3999999999999</v>
      </c>
      <c r="J5143" s="689">
        <f t="shared" si="81"/>
        <v>4709.6000000000004</v>
      </c>
    </row>
    <row r="5144" spans="1:10" ht="12.75" customHeight="1" x14ac:dyDescent="0.2">
      <c r="A5144" s="681">
        <v>1241</v>
      </c>
      <c r="B5144" s="693" t="s">
        <v>2336</v>
      </c>
      <c r="C5144" s="672" t="s">
        <v>2367</v>
      </c>
      <c r="D5144" s="809">
        <v>2015</v>
      </c>
      <c r="E5144" s="674">
        <v>3</v>
      </c>
      <c r="F5144" s="675">
        <v>0.33</v>
      </c>
      <c r="G5144" s="676">
        <v>8517.69</v>
      </c>
      <c r="H5144" s="929">
        <v>2810.8377000000005</v>
      </c>
      <c r="I5144" s="929">
        <v>8432.5131000000019</v>
      </c>
      <c r="J5144" s="689">
        <f t="shared" si="81"/>
        <v>85.176899999998568</v>
      </c>
    </row>
    <row r="5145" spans="1:10" ht="12.75" customHeight="1" x14ac:dyDescent="0.2">
      <c r="A5145" s="681">
        <v>1241</v>
      </c>
      <c r="B5145" s="693" t="s">
        <v>2154</v>
      </c>
      <c r="C5145" s="672" t="s">
        <v>2353</v>
      </c>
      <c r="D5145" s="809">
        <v>2015</v>
      </c>
      <c r="E5145" s="674">
        <v>3</v>
      </c>
      <c r="F5145" s="675">
        <v>0.33</v>
      </c>
      <c r="G5145" s="676">
        <v>8530.06</v>
      </c>
      <c r="H5145" s="929">
        <v>2814.9198000000001</v>
      </c>
      <c r="I5145" s="929">
        <v>8444.7594000000008</v>
      </c>
      <c r="J5145" s="689">
        <f t="shared" si="81"/>
        <v>85.300599999998667</v>
      </c>
    </row>
    <row r="5146" spans="1:10" ht="12.75" customHeight="1" x14ac:dyDescent="0.2">
      <c r="A5146" s="681">
        <v>1241</v>
      </c>
      <c r="B5146" s="693" t="s">
        <v>2155</v>
      </c>
      <c r="C5146" s="672" t="s">
        <v>2353</v>
      </c>
      <c r="D5146" s="809">
        <v>2015</v>
      </c>
      <c r="E5146" s="674">
        <v>3</v>
      </c>
      <c r="F5146" s="675">
        <v>0.33</v>
      </c>
      <c r="G5146" s="676">
        <v>8530.06</v>
      </c>
      <c r="H5146" s="929">
        <v>2814.9198000000001</v>
      </c>
      <c r="I5146" s="929">
        <v>8444.7594000000008</v>
      </c>
      <c r="J5146" s="689">
        <f t="shared" si="81"/>
        <v>85.300599999998667</v>
      </c>
    </row>
    <row r="5147" spans="1:10" ht="12.75" customHeight="1" x14ac:dyDescent="0.2">
      <c r="A5147" s="681">
        <v>1241</v>
      </c>
      <c r="B5147" s="693" t="s">
        <v>2156</v>
      </c>
      <c r="C5147" s="672" t="s">
        <v>2353</v>
      </c>
      <c r="D5147" s="809">
        <v>2015</v>
      </c>
      <c r="E5147" s="674">
        <v>3</v>
      </c>
      <c r="F5147" s="675">
        <v>0.33</v>
      </c>
      <c r="G5147" s="676">
        <v>8530.06</v>
      </c>
      <c r="H5147" s="929">
        <v>2814.9198000000001</v>
      </c>
      <c r="I5147" s="929">
        <v>8444.7594000000008</v>
      </c>
      <c r="J5147" s="689">
        <f t="shared" si="81"/>
        <v>85.300599999998667</v>
      </c>
    </row>
    <row r="5148" spans="1:10" ht="12.75" customHeight="1" x14ac:dyDescent="0.2">
      <c r="A5148" s="681">
        <v>1241</v>
      </c>
      <c r="B5148" s="693" t="s">
        <v>2157</v>
      </c>
      <c r="C5148" s="672" t="s">
        <v>2353</v>
      </c>
      <c r="D5148" s="809">
        <v>2015</v>
      </c>
      <c r="E5148" s="674">
        <v>3</v>
      </c>
      <c r="F5148" s="675">
        <v>0.33</v>
      </c>
      <c r="G5148" s="676">
        <v>8530.06</v>
      </c>
      <c r="H5148" s="929">
        <v>2814.9198000000001</v>
      </c>
      <c r="I5148" s="929">
        <v>8444.7594000000008</v>
      </c>
      <c r="J5148" s="689">
        <f t="shared" si="81"/>
        <v>85.300599999998667</v>
      </c>
    </row>
    <row r="5149" spans="1:10" ht="12.75" customHeight="1" x14ac:dyDescent="0.2">
      <c r="A5149" s="681">
        <v>1241</v>
      </c>
      <c r="B5149" s="693" t="s">
        <v>2158</v>
      </c>
      <c r="C5149" s="672" t="s">
        <v>2353</v>
      </c>
      <c r="D5149" s="809">
        <v>2015</v>
      </c>
      <c r="E5149" s="674">
        <v>3</v>
      </c>
      <c r="F5149" s="675">
        <v>0.33</v>
      </c>
      <c r="G5149" s="676">
        <v>8530.06</v>
      </c>
      <c r="H5149" s="929">
        <v>2814.9198000000001</v>
      </c>
      <c r="I5149" s="929">
        <v>8444.7594000000008</v>
      </c>
      <c r="J5149" s="689">
        <f t="shared" si="81"/>
        <v>85.300599999998667</v>
      </c>
    </row>
    <row r="5150" spans="1:10" ht="12.75" customHeight="1" x14ac:dyDescent="0.2">
      <c r="A5150" s="681">
        <v>1241</v>
      </c>
      <c r="B5150" s="693" t="s">
        <v>2159</v>
      </c>
      <c r="C5150" s="672" t="s">
        <v>2353</v>
      </c>
      <c r="D5150" s="809">
        <v>2015</v>
      </c>
      <c r="E5150" s="674">
        <v>3</v>
      </c>
      <c r="F5150" s="675">
        <v>0.33</v>
      </c>
      <c r="G5150" s="676">
        <v>8530.06</v>
      </c>
      <c r="H5150" s="929">
        <v>2814.9198000000001</v>
      </c>
      <c r="I5150" s="929">
        <v>8444.7594000000008</v>
      </c>
      <c r="J5150" s="689">
        <f t="shared" si="81"/>
        <v>85.300599999998667</v>
      </c>
    </row>
    <row r="5151" spans="1:10" ht="12.75" customHeight="1" x14ac:dyDescent="0.2">
      <c r="A5151" s="681">
        <v>1241</v>
      </c>
      <c r="B5151" s="693" t="s">
        <v>2160</v>
      </c>
      <c r="C5151" s="672" t="s">
        <v>2353</v>
      </c>
      <c r="D5151" s="809">
        <v>2015</v>
      </c>
      <c r="E5151" s="674">
        <v>3</v>
      </c>
      <c r="F5151" s="675">
        <v>0.33</v>
      </c>
      <c r="G5151" s="676">
        <v>8530.06</v>
      </c>
      <c r="H5151" s="929">
        <v>2814.9198000000001</v>
      </c>
      <c r="I5151" s="929">
        <v>8444.7594000000008</v>
      </c>
      <c r="J5151" s="689">
        <f t="shared" si="81"/>
        <v>85.300599999998667</v>
      </c>
    </row>
    <row r="5152" spans="1:10" ht="12.75" customHeight="1" x14ac:dyDescent="0.2">
      <c r="A5152" s="681">
        <v>1241</v>
      </c>
      <c r="B5152" s="693" t="s">
        <v>2161</v>
      </c>
      <c r="C5152" s="672" t="s">
        <v>2353</v>
      </c>
      <c r="D5152" s="809">
        <v>2015</v>
      </c>
      <c r="E5152" s="674">
        <v>3</v>
      </c>
      <c r="F5152" s="675">
        <v>0.33</v>
      </c>
      <c r="G5152" s="676">
        <v>8530.06</v>
      </c>
      <c r="H5152" s="929">
        <v>2814.9198000000001</v>
      </c>
      <c r="I5152" s="929">
        <v>8444.7594000000008</v>
      </c>
      <c r="J5152" s="689">
        <f t="shared" si="81"/>
        <v>85.300599999998667</v>
      </c>
    </row>
    <row r="5153" spans="1:10" ht="12.75" customHeight="1" x14ac:dyDescent="0.2">
      <c r="A5153" s="681">
        <v>1241</v>
      </c>
      <c r="B5153" s="693" t="s">
        <v>2162</v>
      </c>
      <c r="C5153" s="672" t="s">
        <v>2353</v>
      </c>
      <c r="D5153" s="809">
        <v>2015</v>
      </c>
      <c r="E5153" s="674">
        <v>3</v>
      </c>
      <c r="F5153" s="675">
        <v>0.33</v>
      </c>
      <c r="G5153" s="676">
        <v>8530.06</v>
      </c>
      <c r="H5153" s="929">
        <v>2814.9198000000001</v>
      </c>
      <c r="I5153" s="929">
        <v>8444.7594000000008</v>
      </c>
      <c r="J5153" s="689">
        <f t="shared" si="81"/>
        <v>85.300599999998667</v>
      </c>
    </row>
    <row r="5154" spans="1:10" ht="12.75" customHeight="1" x14ac:dyDescent="0.2">
      <c r="A5154" s="681">
        <v>1241</v>
      </c>
      <c r="B5154" s="693" t="s">
        <v>2163</v>
      </c>
      <c r="C5154" s="672" t="s">
        <v>2353</v>
      </c>
      <c r="D5154" s="809">
        <v>2015</v>
      </c>
      <c r="E5154" s="674">
        <v>3</v>
      </c>
      <c r="F5154" s="675">
        <v>0.33</v>
      </c>
      <c r="G5154" s="676">
        <v>8530.06</v>
      </c>
      <c r="H5154" s="929">
        <v>2814.9198000000001</v>
      </c>
      <c r="I5154" s="929">
        <v>8444.7594000000008</v>
      </c>
      <c r="J5154" s="689">
        <f t="shared" si="81"/>
        <v>85.300599999998667</v>
      </c>
    </row>
    <row r="5155" spans="1:10" ht="12.75" customHeight="1" x14ac:dyDescent="0.2">
      <c r="A5155" s="681">
        <v>1241</v>
      </c>
      <c r="B5155" s="693" t="s">
        <v>2164</v>
      </c>
      <c r="C5155" s="672" t="s">
        <v>2353</v>
      </c>
      <c r="D5155" s="809">
        <v>2015</v>
      </c>
      <c r="E5155" s="674">
        <v>3</v>
      </c>
      <c r="F5155" s="675">
        <v>0.33</v>
      </c>
      <c r="G5155" s="676">
        <v>8530.06</v>
      </c>
      <c r="H5155" s="929">
        <v>2814.9198000000001</v>
      </c>
      <c r="I5155" s="929">
        <v>8444.7594000000008</v>
      </c>
      <c r="J5155" s="689">
        <f t="shared" si="81"/>
        <v>85.300599999998667</v>
      </c>
    </row>
    <row r="5156" spans="1:10" ht="12.75" customHeight="1" x14ac:dyDescent="0.2">
      <c r="A5156" s="681">
        <v>1241</v>
      </c>
      <c r="B5156" s="693" t="s">
        <v>2165</v>
      </c>
      <c r="C5156" s="672" t="s">
        <v>2353</v>
      </c>
      <c r="D5156" s="809">
        <v>2015</v>
      </c>
      <c r="E5156" s="674">
        <v>3</v>
      </c>
      <c r="F5156" s="675">
        <v>0.33</v>
      </c>
      <c r="G5156" s="676">
        <v>8530.06</v>
      </c>
      <c r="H5156" s="929">
        <v>2814.9198000000001</v>
      </c>
      <c r="I5156" s="929">
        <v>8444.7594000000008</v>
      </c>
      <c r="J5156" s="689">
        <f t="shared" si="81"/>
        <v>85.300599999998667</v>
      </c>
    </row>
    <row r="5157" spans="1:10" ht="12.75" customHeight="1" x14ac:dyDescent="0.2">
      <c r="A5157" s="681">
        <v>1241</v>
      </c>
      <c r="B5157" s="693" t="s">
        <v>2166</v>
      </c>
      <c r="C5157" s="672" t="s">
        <v>2353</v>
      </c>
      <c r="D5157" s="809">
        <v>2015</v>
      </c>
      <c r="E5157" s="674">
        <v>3</v>
      </c>
      <c r="F5157" s="675">
        <v>0.33</v>
      </c>
      <c r="G5157" s="676">
        <v>8530.06</v>
      </c>
      <c r="H5157" s="929">
        <v>2814.9198000000001</v>
      </c>
      <c r="I5157" s="929">
        <v>8444.7594000000008</v>
      </c>
      <c r="J5157" s="689">
        <f t="shared" si="81"/>
        <v>85.300599999998667</v>
      </c>
    </row>
    <row r="5158" spans="1:10" ht="12.75" customHeight="1" x14ac:dyDescent="0.2">
      <c r="A5158" s="681">
        <v>1241</v>
      </c>
      <c r="B5158" s="693" t="s">
        <v>2167</v>
      </c>
      <c r="C5158" s="672" t="s">
        <v>2353</v>
      </c>
      <c r="D5158" s="809">
        <v>2015</v>
      </c>
      <c r="E5158" s="674">
        <v>3</v>
      </c>
      <c r="F5158" s="675">
        <v>0.33</v>
      </c>
      <c r="G5158" s="676">
        <v>8530.06</v>
      </c>
      <c r="H5158" s="929">
        <v>2814.9198000000001</v>
      </c>
      <c r="I5158" s="929">
        <v>8444.7594000000008</v>
      </c>
      <c r="J5158" s="689">
        <f t="shared" si="81"/>
        <v>85.300599999998667</v>
      </c>
    </row>
    <row r="5159" spans="1:10" ht="12.75" customHeight="1" x14ac:dyDescent="0.2">
      <c r="A5159" s="681">
        <v>1241</v>
      </c>
      <c r="B5159" s="693" t="s">
        <v>2168</v>
      </c>
      <c r="C5159" s="672" t="s">
        <v>2353</v>
      </c>
      <c r="D5159" s="809">
        <v>2015</v>
      </c>
      <c r="E5159" s="674">
        <v>3</v>
      </c>
      <c r="F5159" s="675">
        <v>0.33</v>
      </c>
      <c r="G5159" s="676">
        <v>8530.06</v>
      </c>
      <c r="H5159" s="929">
        <v>2814.9198000000001</v>
      </c>
      <c r="I5159" s="929">
        <v>8444.7594000000008</v>
      </c>
      <c r="J5159" s="689">
        <f t="shared" si="81"/>
        <v>85.300599999998667</v>
      </c>
    </row>
    <row r="5160" spans="1:10" ht="12.75" customHeight="1" x14ac:dyDescent="0.2">
      <c r="A5160" s="681">
        <v>1241</v>
      </c>
      <c r="B5160" s="693" t="s">
        <v>2169</v>
      </c>
      <c r="C5160" s="672" t="s">
        <v>2353</v>
      </c>
      <c r="D5160" s="809">
        <v>2015</v>
      </c>
      <c r="E5160" s="674">
        <v>3</v>
      </c>
      <c r="F5160" s="675">
        <v>0.33</v>
      </c>
      <c r="G5160" s="676">
        <v>8530.06</v>
      </c>
      <c r="H5160" s="929">
        <v>2814.9198000000001</v>
      </c>
      <c r="I5160" s="929">
        <v>8444.7594000000008</v>
      </c>
      <c r="J5160" s="689">
        <f t="shared" si="81"/>
        <v>85.300599999998667</v>
      </c>
    </row>
    <row r="5161" spans="1:10" ht="12.75" customHeight="1" x14ac:dyDescent="0.2">
      <c r="A5161" s="681">
        <v>1241</v>
      </c>
      <c r="B5161" s="693" t="s">
        <v>2170</v>
      </c>
      <c r="C5161" s="672" t="s">
        <v>2353</v>
      </c>
      <c r="D5161" s="809">
        <v>2015</v>
      </c>
      <c r="E5161" s="674">
        <v>3</v>
      </c>
      <c r="F5161" s="675">
        <v>0.33</v>
      </c>
      <c r="G5161" s="676">
        <v>8530.06</v>
      </c>
      <c r="H5161" s="929">
        <v>2814.9198000000001</v>
      </c>
      <c r="I5161" s="929">
        <v>8444.7594000000008</v>
      </c>
      <c r="J5161" s="689">
        <f t="shared" si="81"/>
        <v>85.300599999998667</v>
      </c>
    </row>
    <row r="5162" spans="1:10" ht="12.75" customHeight="1" x14ac:dyDescent="0.2">
      <c r="A5162" s="681">
        <v>1241</v>
      </c>
      <c r="B5162" s="693" t="s">
        <v>2171</v>
      </c>
      <c r="C5162" s="672" t="s">
        <v>2353</v>
      </c>
      <c r="D5162" s="809">
        <v>2015</v>
      </c>
      <c r="E5162" s="674">
        <v>3</v>
      </c>
      <c r="F5162" s="675">
        <v>0.33</v>
      </c>
      <c r="G5162" s="676">
        <v>8530.06</v>
      </c>
      <c r="H5162" s="929">
        <v>2814.9198000000001</v>
      </c>
      <c r="I5162" s="929">
        <v>8444.7594000000008</v>
      </c>
      <c r="J5162" s="689">
        <f t="shared" si="81"/>
        <v>85.300599999998667</v>
      </c>
    </row>
    <row r="5163" spans="1:10" ht="12.75" customHeight="1" x14ac:dyDescent="0.2">
      <c r="A5163" s="681">
        <v>1241</v>
      </c>
      <c r="B5163" s="693" t="s">
        <v>2172</v>
      </c>
      <c r="C5163" s="672" t="s">
        <v>2353</v>
      </c>
      <c r="D5163" s="809">
        <v>2015</v>
      </c>
      <c r="E5163" s="674">
        <v>3</v>
      </c>
      <c r="F5163" s="675">
        <v>0.33</v>
      </c>
      <c r="G5163" s="676">
        <v>8530.06</v>
      </c>
      <c r="H5163" s="929">
        <v>2814.9198000000001</v>
      </c>
      <c r="I5163" s="929">
        <v>8444.7594000000008</v>
      </c>
      <c r="J5163" s="689">
        <f t="shared" si="81"/>
        <v>85.300599999998667</v>
      </c>
    </row>
    <row r="5164" spans="1:10" ht="12.75" customHeight="1" x14ac:dyDescent="0.2">
      <c r="A5164" s="681">
        <v>1241</v>
      </c>
      <c r="B5164" s="693" t="s">
        <v>2173</v>
      </c>
      <c r="C5164" s="672" t="s">
        <v>2353</v>
      </c>
      <c r="D5164" s="809">
        <v>2015</v>
      </c>
      <c r="E5164" s="674">
        <v>3</v>
      </c>
      <c r="F5164" s="675">
        <v>0.33</v>
      </c>
      <c r="G5164" s="676">
        <v>8530.06</v>
      </c>
      <c r="H5164" s="929">
        <v>2814.9198000000001</v>
      </c>
      <c r="I5164" s="929">
        <v>8444.7594000000008</v>
      </c>
      <c r="J5164" s="689">
        <f t="shared" si="81"/>
        <v>85.300599999998667</v>
      </c>
    </row>
    <row r="5165" spans="1:10" ht="12.75" customHeight="1" x14ac:dyDescent="0.2">
      <c r="A5165" s="681">
        <v>1241</v>
      </c>
      <c r="B5165" s="693" t="s">
        <v>2174</v>
      </c>
      <c r="C5165" s="672" t="s">
        <v>2353</v>
      </c>
      <c r="D5165" s="809">
        <v>2015</v>
      </c>
      <c r="E5165" s="674">
        <v>3</v>
      </c>
      <c r="F5165" s="675">
        <v>0.33</v>
      </c>
      <c r="G5165" s="676">
        <v>8530.06</v>
      </c>
      <c r="H5165" s="929">
        <v>2814.9198000000001</v>
      </c>
      <c r="I5165" s="929">
        <v>8444.7594000000008</v>
      </c>
      <c r="J5165" s="689">
        <f t="shared" si="81"/>
        <v>85.300599999998667</v>
      </c>
    </row>
    <row r="5166" spans="1:10" ht="12.75" customHeight="1" x14ac:dyDescent="0.2">
      <c r="A5166" s="681">
        <v>1241</v>
      </c>
      <c r="B5166" s="693" t="s">
        <v>2175</v>
      </c>
      <c r="C5166" s="672" t="s">
        <v>2353</v>
      </c>
      <c r="D5166" s="809">
        <v>2015</v>
      </c>
      <c r="E5166" s="674">
        <v>3</v>
      </c>
      <c r="F5166" s="675">
        <v>0.33</v>
      </c>
      <c r="G5166" s="676">
        <v>8530.06</v>
      </c>
      <c r="H5166" s="929">
        <v>2814.9198000000001</v>
      </c>
      <c r="I5166" s="929">
        <v>8444.7594000000008</v>
      </c>
      <c r="J5166" s="689">
        <f t="shared" si="81"/>
        <v>85.300599999998667</v>
      </c>
    </row>
    <row r="5167" spans="1:10" ht="12.75" customHeight="1" x14ac:dyDescent="0.2">
      <c r="A5167" s="681">
        <v>1241</v>
      </c>
      <c r="B5167" s="693" t="s">
        <v>2176</v>
      </c>
      <c r="C5167" s="672" t="s">
        <v>2353</v>
      </c>
      <c r="D5167" s="809">
        <v>2015</v>
      </c>
      <c r="E5167" s="674">
        <v>3</v>
      </c>
      <c r="F5167" s="675">
        <v>0.33</v>
      </c>
      <c r="G5167" s="676">
        <v>8530.06</v>
      </c>
      <c r="H5167" s="929">
        <v>2814.9198000000001</v>
      </c>
      <c r="I5167" s="929">
        <v>8444.7594000000008</v>
      </c>
      <c r="J5167" s="689">
        <f t="shared" si="81"/>
        <v>85.300599999998667</v>
      </c>
    </row>
    <row r="5168" spans="1:10" ht="12.75" customHeight="1" x14ac:dyDescent="0.2">
      <c r="A5168" s="681">
        <v>1241</v>
      </c>
      <c r="B5168" s="693" t="s">
        <v>2177</v>
      </c>
      <c r="C5168" s="672" t="s">
        <v>2353</v>
      </c>
      <c r="D5168" s="809">
        <v>2015</v>
      </c>
      <c r="E5168" s="674">
        <v>3</v>
      </c>
      <c r="F5168" s="675">
        <v>0.33</v>
      </c>
      <c r="G5168" s="676">
        <v>8530.06</v>
      </c>
      <c r="H5168" s="929">
        <v>2814.9198000000001</v>
      </c>
      <c r="I5168" s="929">
        <v>8444.7594000000008</v>
      </c>
      <c r="J5168" s="689">
        <f t="shared" si="81"/>
        <v>85.300599999998667</v>
      </c>
    </row>
    <row r="5169" spans="1:10" ht="12.75" customHeight="1" x14ac:dyDescent="0.2">
      <c r="A5169" s="681">
        <v>1241</v>
      </c>
      <c r="B5169" s="693" t="s">
        <v>2178</v>
      </c>
      <c r="C5169" s="672" t="s">
        <v>2353</v>
      </c>
      <c r="D5169" s="809">
        <v>2015</v>
      </c>
      <c r="E5169" s="674">
        <v>3</v>
      </c>
      <c r="F5169" s="675">
        <v>0.33</v>
      </c>
      <c r="G5169" s="676">
        <v>8530.06</v>
      </c>
      <c r="H5169" s="929">
        <v>2814.9198000000001</v>
      </c>
      <c r="I5169" s="929">
        <v>8444.7594000000008</v>
      </c>
      <c r="J5169" s="689">
        <f t="shared" si="81"/>
        <v>85.300599999998667</v>
      </c>
    </row>
    <row r="5170" spans="1:10" ht="12.75" customHeight="1" x14ac:dyDescent="0.2">
      <c r="A5170" s="681">
        <v>1241</v>
      </c>
      <c r="B5170" s="693" t="s">
        <v>2179</v>
      </c>
      <c r="C5170" s="672" t="s">
        <v>2353</v>
      </c>
      <c r="D5170" s="809">
        <v>2015</v>
      </c>
      <c r="E5170" s="674">
        <v>3</v>
      </c>
      <c r="F5170" s="675">
        <v>0.33</v>
      </c>
      <c r="G5170" s="676">
        <v>8530.06</v>
      </c>
      <c r="H5170" s="929">
        <v>2814.9198000000001</v>
      </c>
      <c r="I5170" s="929">
        <v>8444.7594000000008</v>
      </c>
      <c r="J5170" s="689">
        <f t="shared" si="81"/>
        <v>85.300599999998667</v>
      </c>
    </row>
    <row r="5171" spans="1:10" ht="12.75" customHeight="1" x14ac:dyDescent="0.2">
      <c r="A5171" s="681">
        <v>1241</v>
      </c>
      <c r="B5171" s="693" t="s">
        <v>2081</v>
      </c>
      <c r="C5171" s="672" t="s">
        <v>1007</v>
      </c>
      <c r="D5171" s="809">
        <v>2015</v>
      </c>
      <c r="E5171" s="674">
        <v>10</v>
      </c>
      <c r="F5171" s="675">
        <v>0.1</v>
      </c>
      <c r="G5171" s="676">
        <v>8700</v>
      </c>
      <c r="H5171" s="929">
        <v>870</v>
      </c>
      <c r="I5171" s="929">
        <v>2610</v>
      </c>
      <c r="J5171" s="689">
        <f t="shared" si="81"/>
        <v>6090</v>
      </c>
    </row>
    <row r="5172" spans="1:10" ht="12.75" customHeight="1" x14ac:dyDescent="0.2">
      <c r="A5172" s="681">
        <v>1241</v>
      </c>
      <c r="B5172" s="693" t="s">
        <v>2284</v>
      </c>
      <c r="C5172" s="672" t="s">
        <v>2354</v>
      </c>
      <c r="D5172" s="809">
        <v>2015</v>
      </c>
      <c r="E5172" s="674">
        <v>10</v>
      </c>
      <c r="F5172" s="675">
        <v>0.1</v>
      </c>
      <c r="G5172" s="676">
        <v>8700</v>
      </c>
      <c r="H5172" s="929">
        <v>870</v>
      </c>
      <c r="I5172" s="929">
        <v>2610</v>
      </c>
      <c r="J5172" s="689">
        <f t="shared" si="81"/>
        <v>6090</v>
      </c>
    </row>
    <row r="5173" spans="1:10" ht="12.75" customHeight="1" x14ac:dyDescent="0.2">
      <c r="A5173" s="681">
        <v>1246</v>
      </c>
      <c r="B5173" s="693" t="s">
        <v>2287</v>
      </c>
      <c r="C5173" s="672" t="s">
        <v>2354</v>
      </c>
      <c r="D5173" s="809">
        <v>2015</v>
      </c>
      <c r="E5173" s="674">
        <v>10</v>
      </c>
      <c r="F5173" s="675">
        <v>0.1</v>
      </c>
      <c r="G5173" s="676">
        <v>8700</v>
      </c>
      <c r="H5173" s="929">
        <v>870</v>
      </c>
      <c r="I5173" s="929">
        <v>2610</v>
      </c>
      <c r="J5173" s="689">
        <f t="shared" si="81"/>
        <v>6090</v>
      </c>
    </row>
    <row r="5174" spans="1:10" ht="12.75" customHeight="1" x14ac:dyDescent="0.2">
      <c r="A5174" s="681">
        <v>1246</v>
      </c>
      <c r="B5174" s="693" t="s">
        <v>2288</v>
      </c>
      <c r="C5174" s="672" t="s">
        <v>2354</v>
      </c>
      <c r="D5174" s="809">
        <v>2015</v>
      </c>
      <c r="E5174" s="674">
        <v>10</v>
      </c>
      <c r="F5174" s="675">
        <v>0.1</v>
      </c>
      <c r="G5174" s="676">
        <v>8700</v>
      </c>
      <c r="H5174" s="929">
        <v>870</v>
      </c>
      <c r="I5174" s="929">
        <v>2610</v>
      </c>
      <c r="J5174" s="689">
        <f t="shared" si="81"/>
        <v>6090</v>
      </c>
    </row>
    <row r="5175" spans="1:10" ht="12.75" customHeight="1" x14ac:dyDescent="0.2">
      <c r="A5175" s="681">
        <v>1246</v>
      </c>
      <c r="B5175" s="693" t="s">
        <v>2289</v>
      </c>
      <c r="C5175" s="672" t="s">
        <v>2354</v>
      </c>
      <c r="D5175" s="809">
        <v>2015</v>
      </c>
      <c r="E5175" s="674">
        <v>10</v>
      </c>
      <c r="F5175" s="675">
        <v>0.1</v>
      </c>
      <c r="G5175" s="676">
        <v>8700</v>
      </c>
      <c r="H5175" s="929">
        <v>870</v>
      </c>
      <c r="I5175" s="929">
        <v>2610</v>
      </c>
      <c r="J5175" s="689">
        <f t="shared" si="81"/>
        <v>6090</v>
      </c>
    </row>
    <row r="5176" spans="1:10" ht="12.75" customHeight="1" x14ac:dyDescent="0.2">
      <c r="A5176" s="681">
        <v>1246</v>
      </c>
      <c r="B5176" s="693" t="s">
        <v>2346</v>
      </c>
      <c r="C5176" s="672" t="s">
        <v>969</v>
      </c>
      <c r="D5176" s="809">
        <v>2015</v>
      </c>
      <c r="E5176" s="674">
        <v>10</v>
      </c>
      <c r="F5176" s="675">
        <v>0.1</v>
      </c>
      <c r="G5176" s="676">
        <v>8700</v>
      </c>
      <c r="H5176" s="929">
        <v>870</v>
      </c>
      <c r="I5176" s="929">
        <v>2610</v>
      </c>
      <c r="J5176" s="689">
        <f t="shared" si="81"/>
        <v>6090</v>
      </c>
    </row>
    <row r="5177" spans="1:10" ht="12.75" customHeight="1" x14ac:dyDescent="0.2">
      <c r="A5177" s="681">
        <v>1246</v>
      </c>
      <c r="B5177" s="693" t="s">
        <v>2347</v>
      </c>
      <c r="C5177" s="672" t="s">
        <v>969</v>
      </c>
      <c r="D5177" s="809">
        <v>2015</v>
      </c>
      <c r="E5177" s="674">
        <v>10</v>
      </c>
      <c r="F5177" s="675">
        <v>0.1</v>
      </c>
      <c r="G5177" s="676">
        <v>8700</v>
      </c>
      <c r="H5177" s="929">
        <v>870</v>
      </c>
      <c r="I5177" s="929">
        <v>2610</v>
      </c>
      <c r="J5177" s="689">
        <f t="shared" si="81"/>
        <v>6090</v>
      </c>
    </row>
    <row r="5178" spans="1:10" ht="12.75" customHeight="1" x14ac:dyDescent="0.2">
      <c r="A5178" s="681">
        <v>1241</v>
      </c>
      <c r="B5178" s="693" t="s">
        <v>2252</v>
      </c>
      <c r="C5178" s="672" t="s">
        <v>877</v>
      </c>
      <c r="D5178" s="809">
        <v>2015</v>
      </c>
      <c r="E5178" s="674">
        <v>10</v>
      </c>
      <c r="F5178" s="675">
        <v>0.1</v>
      </c>
      <c r="G5178" s="676">
        <v>9338</v>
      </c>
      <c r="H5178" s="929">
        <v>933.79999999999973</v>
      </c>
      <c r="I5178" s="929">
        <v>2801.3999999999996</v>
      </c>
      <c r="J5178" s="689">
        <f t="shared" si="81"/>
        <v>6536.6</v>
      </c>
    </row>
    <row r="5179" spans="1:10" ht="12.75" customHeight="1" x14ac:dyDescent="0.2">
      <c r="A5179" s="681">
        <v>1241</v>
      </c>
      <c r="B5179" s="693" t="s">
        <v>2253</v>
      </c>
      <c r="C5179" s="672" t="s">
        <v>877</v>
      </c>
      <c r="D5179" s="809">
        <v>2015</v>
      </c>
      <c r="E5179" s="674">
        <v>10</v>
      </c>
      <c r="F5179" s="675">
        <v>0.1</v>
      </c>
      <c r="G5179" s="676">
        <v>9338</v>
      </c>
      <c r="H5179" s="929">
        <v>933.79999999999973</v>
      </c>
      <c r="I5179" s="929">
        <v>2801.3999999999996</v>
      </c>
      <c r="J5179" s="689">
        <f t="shared" si="81"/>
        <v>6536.6</v>
      </c>
    </row>
    <row r="5180" spans="1:10" ht="12.75" customHeight="1" x14ac:dyDescent="0.2">
      <c r="A5180" s="681">
        <v>1241</v>
      </c>
      <c r="B5180" s="693" t="s">
        <v>2254</v>
      </c>
      <c r="C5180" s="672" t="s">
        <v>877</v>
      </c>
      <c r="D5180" s="809">
        <v>2015</v>
      </c>
      <c r="E5180" s="674">
        <v>10</v>
      </c>
      <c r="F5180" s="675">
        <v>0.1</v>
      </c>
      <c r="G5180" s="676">
        <v>9338</v>
      </c>
      <c r="H5180" s="929">
        <v>933.79999999999973</v>
      </c>
      <c r="I5180" s="929">
        <v>2801.3999999999996</v>
      </c>
      <c r="J5180" s="689">
        <f t="shared" si="81"/>
        <v>6536.6</v>
      </c>
    </row>
    <row r="5181" spans="1:10" ht="12.75" customHeight="1" x14ac:dyDescent="0.2">
      <c r="A5181" s="681">
        <v>1241</v>
      </c>
      <c r="B5181" s="693" t="s">
        <v>2255</v>
      </c>
      <c r="C5181" s="672" t="s">
        <v>877</v>
      </c>
      <c r="D5181" s="809">
        <v>2015</v>
      </c>
      <c r="E5181" s="674">
        <v>10</v>
      </c>
      <c r="F5181" s="675">
        <v>0.1</v>
      </c>
      <c r="G5181" s="676">
        <v>9338</v>
      </c>
      <c r="H5181" s="929">
        <v>933.79999999999973</v>
      </c>
      <c r="I5181" s="929">
        <v>2801.3999999999996</v>
      </c>
      <c r="J5181" s="689">
        <f t="shared" si="81"/>
        <v>6536.6</v>
      </c>
    </row>
    <row r="5182" spans="1:10" ht="12.75" customHeight="1" x14ac:dyDescent="0.2">
      <c r="A5182" s="681">
        <v>1241</v>
      </c>
      <c r="B5182" s="693" t="s">
        <v>2256</v>
      </c>
      <c r="C5182" s="672" t="s">
        <v>877</v>
      </c>
      <c r="D5182" s="809">
        <v>2015</v>
      </c>
      <c r="E5182" s="674">
        <v>10</v>
      </c>
      <c r="F5182" s="675">
        <v>0.1</v>
      </c>
      <c r="G5182" s="676">
        <v>9338</v>
      </c>
      <c r="H5182" s="929">
        <v>933.79999999999973</v>
      </c>
      <c r="I5182" s="929">
        <v>2801.3999999999996</v>
      </c>
      <c r="J5182" s="689">
        <f t="shared" si="81"/>
        <v>6536.6</v>
      </c>
    </row>
    <row r="5183" spans="1:10" ht="12.75" customHeight="1" x14ac:dyDescent="0.2">
      <c r="A5183" s="681">
        <v>1241</v>
      </c>
      <c r="B5183" s="693" t="s">
        <v>2275</v>
      </c>
      <c r="C5183" s="672" t="s">
        <v>877</v>
      </c>
      <c r="D5183" s="809">
        <v>2015</v>
      </c>
      <c r="E5183" s="674">
        <v>10</v>
      </c>
      <c r="F5183" s="675">
        <v>0.1</v>
      </c>
      <c r="G5183" s="676">
        <v>9338</v>
      </c>
      <c r="H5183" s="929">
        <v>933.79999999999973</v>
      </c>
      <c r="I5183" s="929">
        <v>2801.3999999999996</v>
      </c>
      <c r="J5183" s="689">
        <f t="shared" si="81"/>
        <v>6536.6</v>
      </c>
    </row>
    <row r="5184" spans="1:10" ht="12.75" customHeight="1" x14ac:dyDescent="0.2">
      <c r="A5184" s="681">
        <v>1241</v>
      </c>
      <c r="B5184" s="693" t="s">
        <v>2344</v>
      </c>
      <c r="C5184" s="672" t="s">
        <v>969</v>
      </c>
      <c r="D5184" s="809">
        <v>2015</v>
      </c>
      <c r="E5184" s="674">
        <v>10</v>
      </c>
      <c r="F5184" s="675">
        <v>0.1</v>
      </c>
      <c r="G5184" s="676">
        <v>10353.58</v>
      </c>
      <c r="H5184" s="929">
        <v>1035.3579999999997</v>
      </c>
      <c r="I5184" s="929">
        <v>3106.0739999999992</v>
      </c>
      <c r="J5184" s="689">
        <f t="shared" si="81"/>
        <v>7247.5060000000012</v>
      </c>
    </row>
    <row r="5185" spans="1:10" ht="12.75" customHeight="1" x14ac:dyDescent="0.2">
      <c r="A5185" s="681">
        <v>1241</v>
      </c>
      <c r="B5185" s="693" t="s">
        <v>2345</v>
      </c>
      <c r="C5185" s="672" t="s">
        <v>969</v>
      </c>
      <c r="D5185" s="809">
        <v>2015</v>
      </c>
      <c r="E5185" s="674">
        <v>10</v>
      </c>
      <c r="F5185" s="675">
        <v>0.1</v>
      </c>
      <c r="G5185" s="676">
        <v>10353.58</v>
      </c>
      <c r="H5185" s="929">
        <v>1035.3579999999997</v>
      </c>
      <c r="I5185" s="929">
        <v>3106.0739999999992</v>
      </c>
      <c r="J5185" s="689">
        <f t="shared" si="81"/>
        <v>7247.5060000000012</v>
      </c>
    </row>
    <row r="5186" spans="1:10" ht="12.75" customHeight="1" x14ac:dyDescent="0.2">
      <c r="A5186" s="681">
        <v>1246</v>
      </c>
      <c r="B5186" s="693" t="s">
        <v>2317</v>
      </c>
      <c r="C5186" s="672" t="s">
        <v>2354</v>
      </c>
      <c r="D5186" s="809">
        <v>2015</v>
      </c>
      <c r="E5186" s="674">
        <v>10</v>
      </c>
      <c r="F5186" s="675">
        <v>0.1</v>
      </c>
      <c r="G5186" s="676">
        <v>11200</v>
      </c>
      <c r="H5186" s="929">
        <v>1120</v>
      </c>
      <c r="I5186" s="929">
        <v>3360</v>
      </c>
      <c r="J5186" s="689">
        <f t="shared" si="81"/>
        <v>7840</v>
      </c>
    </row>
    <row r="5187" spans="1:10" ht="12.75" customHeight="1" x14ac:dyDescent="0.2">
      <c r="A5187" s="681">
        <v>1246</v>
      </c>
      <c r="B5187" s="693" t="s">
        <v>2315</v>
      </c>
      <c r="C5187" s="672" t="s">
        <v>2354</v>
      </c>
      <c r="D5187" s="809">
        <v>2015</v>
      </c>
      <c r="E5187" s="674">
        <v>10</v>
      </c>
      <c r="F5187" s="675">
        <v>0.1</v>
      </c>
      <c r="G5187" s="676">
        <v>11999.99</v>
      </c>
      <c r="H5187" s="929">
        <v>1199.999</v>
      </c>
      <c r="I5187" s="929">
        <v>3599.9970000000003</v>
      </c>
      <c r="J5187" s="689">
        <f t="shared" si="81"/>
        <v>8399.9929999999986</v>
      </c>
    </row>
    <row r="5188" spans="1:10" ht="12.75" customHeight="1" x14ac:dyDescent="0.2">
      <c r="A5188" s="681">
        <v>1246</v>
      </c>
      <c r="B5188" s="693" t="s">
        <v>2316</v>
      </c>
      <c r="C5188" s="672" t="s">
        <v>2354</v>
      </c>
      <c r="D5188" s="809">
        <v>2015</v>
      </c>
      <c r="E5188" s="674">
        <v>10</v>
      </c>
      <c r="F5188" s="675">
        <v>0.1</v>
      </c>
      <c r="G5188" s="676">
        <v>11999.99</v>
      </c>
      <c r="H5188" s="929">
        <v>1199.999</v>
      </c>
      <c r="I5188" s="929">
        <v>3599.9970000000003</v>
      </c>
      <c r="J5188" s="689">
        <f t="shared" ref="J5188:J5250" si="82">G5188-I5188</f>
        <v>8399.9929999999986</v>
      </c>
    </row>
    <row r="5189" spans="1:10" ht="12.75" customHeight="1" x14ac:dyDescent="0.2">
      <c r="A5189" s="681">
        <v>1241</v>
      </c>
      <c r="B5189" s="693" t="s">
        <v>2215</v>
      </c>
      <c r="C5189" s="672" t="s">
        <v>2360</v>
      </c>
      <c r="D5189" s="809">
        <v>2015</v>
      </c>
      <c r="E5189" s="674">
        <v>3</v>
      </c>
      <c r="F5189" s="675">
        <v>0.33</v>
      </c>
      <c r="G5189" s="676">
        <v>13688</v>
      </c>
      <c r="H5189" s="929">
        <v>4517.04</v>
      </c>
      <c r="I5189" s="929">
        <v>13551.119999999999</v>
      </c>
      <c r="J5189" s="689">
        <f t="shared" si="82"/>
        <v>136.88000000000102</v>
      </c>
    </row>
    <row r="5190" spans="1:10" ht="12.75" customHeight="1" x14ac:dyDescent="0.2">
      <c r="A5190" s="681">
        <v>1241</v>
      </c>
      <c r="B5190" s="693" t="s">
        <v>2216</v>
      </c>
      <c r="C5190" s="672" t="s">
        <v>2360</v>
      </c>
      <c r="D5190" s="809">
        <v>2015</v>
      </c>
      <c r="E5190" s="674">
        <v>3</v>
      </c>
      <c r="F5190" s="675">
        <v>0.33</v>
      </c>
      <c r="G5190" s="676">
        <v>13688</v>
      </c>
      <c r="H5190" s="929">
        <v>4517.04</v>
      </c>
      <c r="I5190" s="929">
        <v>13551.119999999999</v>
      </c>
      <c r="J5190" s="689">
        <f t="shared" si="82"/>
        <v>136.88000000000102</v>
      </c>
    </row>
    <row r="5191" spans="1:10" ht="12.75" customHeight="1" x14ac:dyDescent="0.2">
      <c r="A5191" s="681">
        <v>1241</v>
      </c>
      <c r="B5191" s="693" t="s">
        <v>2217</v>
      </c>
      <c r="C5191" s="672" t="s">
        <v>2360</v>
      </c>
      <c r="D5191" s="809">
        <v>2015</v>
      </c>
      <c r="E5191" s="674">
        <v>3</v>
      </c>
      <c r="F5191" s="675">
        <v>0.33</v>
      </c>
      <c r="G5191" s="676">
        <v>13688</v>
      </c>
      <c r="H5191" s="929">
        <v>4517.04</v>
      </c>
      <c r="I5191" s="929">
        <v>13551.119999999999</v>
      </c>
      <c r="J5191" s="689">
        <f t="shared" si="82"/>
        <v>136.88000000000102</v>
      </c>
    </row>
    <row r="5192" spans="1:10" ht="12.75" customHeight="1" x14ac:dyDescent="0.2">
      <c r="A5192" s="681"/>
      <c r="B5192" s="693"/>
      <c r="C5192" s="672"/>
      <c r="D5192" s="809"/>
      <c r="E5192" s="674"/>
      <c r="F5192" s="675"/>
      <c r="G5192" s="676"/>
      <c r="H5192" s="929"/>
      <c r="I5192" s="929"/>
      <c r="J5192" s="689"/>
    </row>
    <row r="5193" spans="1:10" ht="12.75" customHeight="1" x14ac:dyDescent="0.2">
      <c r="A5193" s="681"/>
      <c r="B5193" s="693"/>
      <c r="C5193" s="672"/>
      <c r="D5193" s="809"/>
      <c r="E5193" s="674"/>
      <c r="F5193" s="675"/>
      <c r="G5193" s="676"/>
      <c r="H5193" s="676"/>
      <c r="I5193" s="676"/>
      <c r="J5193" s="689"/>
    </row>
    <row r="5194" spans="1:10" ht="12.75" customHeight="1" x14ac:dyDescent="0.2">
      <c r="A5194" s="681"/>
      <c r="B5194" s="693"/>
      <c r="C5194" s="672"/>
      <c r="D5194" s="809"/>
      <c r="E5194" s="674"/>
      <c r="F5194" s="675"/>
      <c r="G5194" s="676"/>
      <c r="H5194" s="929"/>
      <c r="I5194" s="929"/>
      <c r="J5194" s="689"/>
    </row>
    <row r="5195" spans="1:10" ht="12.75" customHeight="1" x14ac:dyDescent="0.2">
      <c r="A5195" s="681">
        <v>1244</v>
      </c>
      <c r="B5195" s="693">
        <v>5410090043</v>
      </c>
      <c r="C5195" s="672" t="s">
        <v>2475</v>
      </c>
      <c r="D5195" s="809">
        <v>2016</v>
      </c>
      <c r="E5195" s="674">
        <v>5</v>
      </c>
      <c r="F5195" s="675">
        <v>0.2</v>
      </c>
      <c r="G5195" s="676">
        <v>34720.97</v>
      </c>
      <c r="H5195" s="929">
        <v>0</v>
      </c>
      <c r="I5195" s="929">
        <v>34719.97</v>
      </c>
      <c r="J5195" s="689">
        <f t="shared" si="82"/>
        <v>1</v>
      </c>
    </row>
    <row r="5196" spans="1:10" ht="12.75" customHeight="1" x14ac:dyDescent="0.2">
      <c r="A5196" s="681">
        <v>1244</v>
      </c>
      <c r="B5196" s="693">
        <v>5410090024</v>
      </c>
      <c r="C5196" s="672" t="s">
        <v>2476</v>
      </c>
      <c r="D5196" s="809">
        <v>2016</v>
      </c>
      <c r="E5196" s="674">
        <v>5</v>
      </c>
      <c r="F5196" s="675">
        <v>0.2</v>
      </c>
      <c r="G5196" s="676">
        <v>559000</v>
      </c>
      <c r="H5196" s="929">
        <v>0</v>
      </c>
      <c r="I5196" s="929">
        <v>558999</v>
      </c>
      <c r="J5196" s="689">
        <f t="shared" si="82"/>
        <v>1</v>
      </c>
    </row>
    <row r="5197" spans="1:10" ht="12.75" customHeight="1" x14ac:dyDescent="0.2">
      <c r="A5197" s="681">
        <v>1244</v>
      </c>
      <c r="B5197" s="693">
        <v>5410230055</v>
      </c>
      <c r="C5197" s="672" t="s">
        <v>2477</v>
      </c>
      <c r="D5197" s="809">
        <v>2016</v>
      </c>
      <c r="E5197" s="674">
        <v>5</v>
      </c>
      <c r="F5197" s="675">
        <v>0.2</v>
      </c>
      <c r="G5197" s="676">
        <v>97400</v>
      </c>
      <c r="H5197" s="929">
        <v>0</v>
      </c>
      <c r="I5197" s="929">
        <v>97399</v>
      </c>
      <c r="J5197" s="689">
        <f t="shared" si="82"/>
        <v>1</v>
      </c>
    </row>
    <row r="5198" spans="1:10" ht="12.75" customHeight="1" x14ac:dyDescent="0.2">
      <c r="A5198" s="681">
        <v>1244</v>
      </c>
      <c r="B5198" s="693">
        <v>5410430001</v>
      </c>
      <c r="C5198" s="672" t="s">
        <v>2478</v>
      </c>
      <c r="D5198" s="809">
        <v>2016</v>
      </c>
      <c r="E5198" s="674">
        <v>5</v>
      </c>
      <c r="F5198" s="675">
        <v>0.2</v>
      </c>
      <c r="G5198" s="676">
        <v>30000</v>
      </c>
      <c r="H5198" s="929">
        <v>0</v>
      </c>
      <c r="I5198" s="929">
        <v>29999</v>
      </c>
      <c r="J5198" s="689">
        <f t="shared" si="82"/>
        <v>1</v>
      </c>
    </row>
    <row r="5199" spans="1:10" ht="12.75" customHeight="1" x14ac:dyDescent="0.2">
      <c r="A5199" s="681">
        <v>1244</v>
      </c>
      <c r="B5199" s="693">
        <v>5410090019</v>
      </c>
      <c r="C5199" s="672" t="s">
        <v>2479</v>
      </c>
      <c r="D5199" s="809">
        <v>2016</v>
      </c>
      <c r="E5199" s="674">
        <v>5</v>
      </c>
      <c r="F5199" s="675">
        <v>0.2</v>
      </c>
      <c r="G5199" s="676">
        <v>33934</v>
      </c>
      <c r="H5199" s="929">
        <v>0</v>
      </c>
      <c r="I5199" s="929">
        <v>33933</v>
      </c>
      <c r="J5199" s="689">
        <f t="shared" si="82"/>
        <v>1</v>
      </c>
    </row>
    <row r="5200" spans="1:10" ht="12.75" customHeight="1" x14ac:dyDescent="0.2">
      <c r="A5200" s="681">
        <v>1244</v>
      </c>
      <c r="B5200" s="693">
        <v>5410090020</v>
      </c>
      <c r="C5200" s="672" t="s">
        <v>2479</v>
      </c>
      <c r="D5200" s="809">
        <v>2016</v>
      </c>
      <c r="E5200" s="674">
        <v>5</v>
      </c>
      <c r="F5200" s="675">
        <v>0.2</v>
      </c>
      <c r="G5200" s="676">
        <v>218500</v>
      </c>
      <c r="H5200" s="929">
        <v>0</v>
      </c>
      <c r="I5200" s="929">
        <v>218499</v>
      </c>
      <c r="J5200" s="689">
        <f t="shared" si="82"/>
        <v>1</v>
      </c>
    </row>
    <row r="5201" spans="1:10" ht="12.75" customHeight="1" x14ac:dyDescent="0.2">
      <c r="A5201" s="681">
        <v>1244</v>
      </c>
      <c r="B5201" s="693">
        <v>5410120001</v>
      </c>
      <c r="C5201" s="672" t="s">
        <v>2481</v>
      </c>
      <c r="D5201" s="809">
        <v>2016</v>
      </c>
      <c r="E5201" s="674">
        <v>5</v>
      </c>
      <c r="F5201" s="675">
        <v>0.2</v>
      </c>
      <c r="G5201" s="676">
        <v>20000</v>
      </c>
      <c r="H5201" s="929">
        <v>0</v>
      </c>
      <c r="I5201" s="929">
        <v>19999</v>
      </c>
      <c r="J5201" s="689">
        <f t="shared" si="82"/>
        <v>1</v>
      </c>
    </row>
    <row r="5202" spans="1:10" ht="12.75" customHeight="1" x14ac:dyDescent="0.2">
      <c r="A5202" s="681">
        <v>1244</v>
      </c>
      <c r="B5202" s="693">
        <v>5410090023</v>
      </c>
      <c r="C5202" s="672" t="s">
        <v>2479</v>
      </c>
      <c r="D5202" s="809">
        <v>2016</v>
      </c>
      <c r="E5202" s="674">
        <v>5</v>
      </c>
      <c r="F5202" s="675">
        <v>0.2</v>
      </c>
      <c r="G5202" s="676">
        <v>154000</v>
      </c>
      <c r="H5202" s="929">
        <v>0</v>
      </c>
      <c r="I5202" s="929">
        <v>153999</v>
      </c>
      <c r="J5202" s="689">
        <f t="shared" si="82"/>
        <v>1</v>
      </c>
    </row>
    <row r="5203" spans="1:10" ht="12.75" customHeight="1" x14ac:dyDescent="0.2">
      <c r="A5203" s="681">
        <v>1244</v>
      </c>
      <c r="B5203" s="693">
        <v>5410450001</v>
      </c>
      <c r="C5203" s="672" t="s">
        <v>2478</v>
      </c>
      <c r="D5203" s="809">
        <v>2016</v>
      </c>
      <c r="E5203" s="674">
        <v>5</v>
      </c>
      <c r="F5203" s="675">
        <v>0.2</v>
      </c>
      <c r="G5203" s="676">
        <v>19000</v>
      </c>
      <c r="H5203" s="929">
        <v>0</v>
      </c>
      <c r="I5203" s="929">
        <v>18999</v>
      </c>
      <c r="J5203" s="689">
        <f t="shared" si="82"/>
        <v>1</v>
      </c>
    </row>
    <row r="5204" spans="1:10" ht="12.75" customHeight="1" x14ac:dyDescent="0.2">
      <c r="A5204" s="681">
        <v>1244</v>
      </c>
      <c r="B5204" s="693">
        <v>5410250042</v>
      </c>
      <c r="C5204" s="672" t="s">
        <v>988</v>
      </c>
      <c r="D5204" s="809">
        <v>2016</v>
      </c>
      <c r="E5204" s="674">
        <v>5</v>
      </c>
      <c r="F5204" s="675">
        <v>0.2</v>
      </c>
      <c r="G5204" s="676">
        <v>1.1000000000000001</v>
      </c>
      <c r="H5204" s="929">
        <v>0</v>
      </c>
      <c r="I5204" s="929">
        <v>0.10000000000000009</v>
      </c>
      <c r="J5204" s="689">
        <f t="shared" si="82"/>
        <v>1</v>
      </c>
    </row>
    <row r="5205" spans="1:10" ht="12.75" customHeight="1" x14ac:dyDescent="0.2">
      <c r="A5205" s="681">
        <v>1244</v>
      </c>
      <c r="B5205" s="693">
        <v>5410250043</v>
      </c>
      <c r="C5205" s="672" t="s">
        <v>988</v>
      </c>
      <c r="D5205" s="809">
        <v>2016</v>
      </c>
      <c r="E5205" s="674">
        <v>5</v>
      </c>
      <c r="F5205" s="675">
        <v>0.2</v>
      </c>
      <c r="G5205" s="676">
        <v>1.1000000000000001</v>
      </c>
      <c r="H5205" s="929">
        <v>0</v>
      </c>
      <c r="I5205" s="929">
        <v>0.10000000000000009</v>
      </c>
      <c r="J5205" s="689">
        <f t="shared" si="82"/>
        <v>1</v>
      </c>
    </row>
    <row r="5206" spans="1:10" ht="12.75" customHeight="1" x14ac:dyDescent="0.2">
      <c r="A5206" s="681">
        <v>1244</v>
      </c>
      <c r="B5206" s="693">
        <v>5410090035</v>
      </c>
      <c r="C5206" s="672" t="s">
        <v>2476</v>
      </c>
      <c r="D5206" s="809">
        <v>2016</v>
      </c>
      <c r="E5206" s="674">
        <v>5</v>
      </c>
      <c r="F5206" s="675">
        <v>0.2</v>
      </c>
      <c r="G5206" s="676">
        <v>559000</v>
      </c>
      <c r="H5206" s="929">
        <v>0</v>
      </c>
      <c r="I5206" s="929">
        <v>558999</v>
      </c>
      <c r="J5206" s="689">
        <f t="shared" si="82"/>
        <v>1</v>
      </c>
    </row>
    <row r="5207" spans="1:10" ht="12.75" customHeight="1" x14ac:dyDescent="0.2">
      <c r="A5207" s="681">
        <v>1244</v>
      </c>
      <c r="B5207" s="693">
        <v>5410090029</v>
      </c>
      <c r="C5207" s="672" t="s">
        <v>2482</v>
      </c>
      <c r="D5207" s="809">
        <v>2016</v>
      </c>
      <c r="E5207" s="674">
        <v>5</v>
      </c>
      <c r="F5207" s="675">
        <v>0.2</v>
      </c>
      <c r="G5207" s="676">
        <v>176180</v>
      </c>
      <c r="H5207" s="929">
        <v>0</v>
      </c>
      <c r="I5207" s="929">
        <v>176179</v>
      </c>
      <c r="J5207" s="689">
        <f t="shared" si="82"/>
        <v>1</v>
      </c>
    </row>
    <row r="5208" spans="1:10" ht="12.75" customHeight="1" x14ac:dyDescent="0.2">
      <c r="A5208" s="681">
        <v>1244</v>
      </c>
      <c r="B5208" s="693">
        <v>5410090036</v>
      </c>
      <c r="C5208" s="672" t="s">
        <v>2483</v>
      </c>
      <c r="D5208" s="809">
        <v>2016</v>
      </c>
      <c r="E5208" s="674">
        <v>5</v>
      </c>
      <c r="F5208" s="675">
        <v>0.2</v>
      </c>
      <c r="G5208" s="676">
        <v>116319.73</v>
      </c>
      <c r="H5208" s="929">
        <v>0</v>
      </c>
      <c r="I5208" s="929">
        <v>116318.73</v>
      </c>
      <c r="J5208" s="689">
        <f t="shared" si="82"/>
        <v>1</v>
      </c>
    </row>
    <row r="5209" spans="1:10" ht="12.75" customHeight="1" x14ac:dyDescent="0.2">
      <c r="A5209" s="681">
        <v>1244</v>
      </c>
      <c r="B5209" s="693">
        <v>5410090042</v>
      </c>
      <c r="C5209" s="672" t="s">
        <v>2482</v>
      </c>
      <c r="D5209" s="809">
        <v>2016</v>
      </c>
      <c r="E5209" s="674">
        <v>5</v>
      </c>
      <c r="F5209" s="675">
        <v>0.2</v>
      </c>
      <c r="G5209" s="676">
        <v>176180</v>
      </c>
      <c r="H5209" s="929">
        <v>0</v>
      </c>
      <c r="I5209" s="929">
        <v>176179</v>
      </c>
      <c r="J5209" s="689">
        <f t="shared" si="82"/>
        <v>1</v>
      </c>
    </row>
    <row r="5210" spans="1:10" ht="12.75" customHeight="1" x14ac:dyDescent="0.2">
      <c r="A5210" s="681">
        <v>1244</v>
      </c>
      <c r="B5210" s="693">
        <v>5410090027</v>
      </c>
      <c r="C5210" s="672" t="s">
        <v>2482</v>
      </c>
      <c r="D5210" s="809">
        <v>2016</v>
      </c>
      <c r="E5210" s="674">
        <v>5</v>
      </c>
      <c r="F5210" s="675">
        <v>0.2</v>
      </c>
      <c r="G5210" s="676">
        <v>176180</v>
      </c>
      <c r="H5210" s="929">
        <v>0</v>
      </c>
      <c r="I5210" s="929">
        <v>176179</v>
      </c>
      <c r="J5210" s="689">
        <f t="shared" si="82"/>
        <v>1</v>
      </c>
    </row>
    <row r="5211" spans="1:10" ht="12.75" customHeight="1" x14ac:dyDescent="0.2">
      <c r="A5211" s="681">
        <v>1244</v>
      </c>
      <c r="B5211" s="693">
        <v>5410230054</v>
      </c>
      <c r="C5211" s="672" t="s">
        <v>2479</v>
      </c>
      <c r="D5211" s="809">
        <v>2016</v>
      </c>
      <c r="E5211" s="674">
        <v>5</v>
      </c>
      <c r="F5211" s="675">
        <v>0.2</v>
      </c>
      <c r="G5211" s="676">
        <v>141908.85</v>
      </c>
      <c r="H5211" s="929">
        <v>0</v>
      </c>
      <c r="I5211" s="929">
        <v>141907.85</v>
      </c>
      <c r="J5211" s="689">
        <f t="shared" si="82"/>
        <v>1</v>
      </c>
    </row>
    <row r="5212" spans="1:10" ht="12.75" customHeight="1" x14ac:dyDescent="0.2">
      <c r="A5212" s="681">
        <v>1244</v>
      </c>
      <c r="B5212" s="693">
        <v>5410090025</v>
      </c>
      <c r="C5212" s="672" t="s">
        <v>2482</v>
      </c>
      <c r="D5212" s="809">
        <v>2016</v>
      </c>
      <c r="E5212" s="674">
        <v>5</v>
      </c>
      <c r="F5212" s="675">
        <v>0.2</v>
      </c>
      <c r="G5212" s="676">
        <v>176180</v>
      </c>
      <c r="H5212" s="929">
        <v>0</v>
      </c>
      <c r="I5212" s="929">
        <v>176179</v>
      </c>
      <c r="J5212" s="689">
        <f t="shared" si="82"/>
        <v>1</v>
      </c>
    </row>
    <row r="5213" spans="1:10" ht="12.75" customHeight="1" x14ac:dyDescent="0.2">
      <c r="A5213" s="681">
        <v>1244</v>
      </c>
      <c r="B5213" s="693">
        <v>5410090026</v>
      </c>
      <c r="C5213" s="672" t="s">
        <v>2483</v>
      </c>
      <c r="D5213" s="809">
        <v>2016</v>
      </c>
      <c r="E5213" s="674">
        <v>5</v>
      </c>
      <c r="F5213" s="675">
        <v>0.2</v>
      </c>
      <c r="G5213" s="676">
        <v>116319.73</v>
      </c>
      <c r="H5213" s="929">
        <v>0</v>
      </c>
      <c r="I5213" s="929">
        <v>116318.73</v>
      </c>
      <c r="J5213" s="689">
        <f t="shared" si="82"/>
        <v>1</v>
      </c>
    </row>
    <row r="5214" spans="1:10" ht="12.75" customHeight="1" x14ac:dyDescent="0.2">
      <c r="A5214" s="681">
        <v>1244</v>
      </c>
      <c r="B5214" s="693">
        <v>5410090030</v>
      </c>
      <c r="C5214" s="672" t="s">
        <v>2484</v>
      </c>
      <c r="D5214" s="809">
        <v>2016</v>
      </c>
      <c r="E5214" s="674">
        <v>5</v>
      </c>
      <c r="F5214" s="675">
        <v>0.2</v>
      </c>
      <c r="G5214" s="676">
        <v>356500</v>
      </c>
      <c r="H5214" s="929">
        <v>0</v>
      </c>
      <c r="I5214" s="929">
        <v>356499</v>
      </c>
      <c r="J5214" s="689">
        <f t="shared" si="82"/>
        <v>1</v>
      </c>
    </row>
    <row r="5215" spans="1:10" ht="12.75" customHeight="1" x14ac:dyDescent="0.2">
      <c r="A5215" s="681">
        <v>1244</v>
      </c>
      <c r="B5215" s="693">
        <v>5410090031</v>
      </c>
      <c r="C5215" s="672" t="s">
        <v>2484</v>
      </c>
      <c r="D5215" s="809">
        <v>2016</v>
      </c>
      <c r="E5215" s="674">
        <v>5</v>
      </c>
      <c r="F5215" s="675">
        <v>0.2</v>
      </c>
      <c r="G5215" s="676">
        <v>499728</v>
      </c>
      <c r="H5215" s="929">
        <v>0</v>
      </c>
      <c r="I5215" s="929">
        <v>499727</v>
      </c>
      <c r="J5215" s="689">
        <f t="shared" si="82"/>
        <v>1</v>
      </c>
    </row>
    <row r="5216" spans="1:10" ht="12.75" customHeight="1" x14ac:dyDescent="0.2">
      <c r="A5216" s="681">
        <v>1244</v>
      </c>
      <c r="B5216" s="693">
        <v>5410090032</v>
      </c>
      <c r="C5216" s="672" t="s">
        <v>2485</v>
      </c>
      <c r="D5216" s="809">
        <v>2016</v>
      </c>
      <c r="E5216" s="674">
        <v>5</v>
      </c>
      <c r="F5216" s="675">
        <v>0.2</v>
      </c>
      <c r="G5216" s="676">
        <v>392542</v>
      </c>
      <c r="H5216" s="929">
        <v>0</v>
      </c>
      <c r="I5216" s="929">
        <v>392541</v>
      </c>
      <c r="J5216" s="689">
        <f t="shared" si="82"/>
        <v>1</v>
      </c>
    </row>
    <row r="5217" spans="1:10" ht="12.75" customHeight="1" x14ac:dyDescent="0.2">
      <c r="A5217" s="681">
        <v>1244</v>
      </c>
      <c r="B5217" s="693">
        <v>5410090041</v>
      </c>
      <c r="C5217" s="672" t="s">
        <v>2476</v>
      </c>
      <c r="D5217" s="809">
        <v>2016</v>
      </c>
      <c r="E5217" s="674">
        <v>5</v>
      </c>
      <c r="F5217" s="675">
        <v>0.2</v>
      </c>
      <c r="G5217" s="676">
        <v>424235</v>
      </c>
      <c r="H5217" s="929">
        <v>0</v>
      </c>
      <c r="I5217" s="929">
        <v>424234</v>
      </c>
      <c r="J5217" s="689">
        <f t="shared" si="82"/>
        <v>1</v>
      </c>
    </row>
    <row r="5218" spans="1:10" ht="12.75" customHeight="1" x14ac:dyDescent="0.2">
      <c r="A5218" s="681">
        <v>1244</v>
      </c>
      <c r="B5218" s="693">
        <v>5410090034</v>
      </c>
      <c r="C5218" s="672" t="s">
        <v>2479</v>
      </c>
      <c r="D5218" s="809">
        <v>2016</v>
      </c>
      <c r="E5218" s="674">
        <v>5</v>
      </c>
      <c r="F5218" s="675">
        <v>0.2</v>
      </c>
      <c r="G5218" s="676">
        <v>144865.5</v>
      </c>
      <c r="H5218" s="929">
        <v>0</v>
      </c>
      <c r="I5218" s="929">
        <v>144864.5</v>
      </c>
      <c r="J5218" s="689">
        <f t="shared" si="82"/>
        <v>1</v>
      </c>
    </row>
    <row r="5219" spans="1:10" ht="12.75" customHeight="1" x14ac:dyDescent="0.2">
      <c r="A5219" s="681">
        <v>1244</v>
      </c>
      <c r="B5219" s="693">
        <v>5410090037</v>
      </c>
      <c r="C5219" s="672" t="s">
        <v>2486</v>
      </c>
      <c r="D5219" s="809">
        <v>2016</v>
      </c>
      <c r="E5219" s="674">
        <v>5</v>
      </c>
      <c r="F5219" s="675">
        <v>0.2</v>
      </c>
      <c r="G5219" s="676">
        <v>406870</v>
      </c>
      <c r="H5219" s="929">
        <v>0</v>
      </c>
      <c r="I5219" s="929">
        <v>406869</v>
      </c>
      <c r="J5219" s="689">
        <f t="shared" si="82"/>
        <v>1</v>
      </c>
    </row>
    <row r="5220" spans="1:10" ht="12.75" customHeight="1" x14ac:dyDescent="0.2">
      <c r="A5220" s="681">
        <v>1244</v>
      </c>
      <c r="B5220" s="693">
        <v>5410090038</v>
      </c>
      <c r="C5220" s="672" t="s">
        <v>2479</v>
      </c>
      <c r="D5220" s="809">
        <v>2016</v>
      </c>
      <c r="E5220" s="674">
        <v>5</v>
      </c>
      <c r="F5220" s="675">
        <v>0.2</v>
      </c>
      <c r="G5220" s="676">
        <v>109800</v>
      </c>
      <c r="H5220" s="929">
        <v>0</v>
      </c>
      <c r="I5220" s="929">
        <v>109799</v>
      </c>
      <c r="J5220" s="689">
        <f t="shared" si="82"/>
        <v>1</v>
      </c>
    </row>
    <row r="5221" spans="1:10" ht="12.75" customHeight="1" x14ac:dyDescent="0.2">
      <c r="A5221" s="681">
        <v>1244</v>
      </c>
      <c r="B5221" s="693">
        <v>5410090039</v>
      </c>
      <c r="C5221" s="672" t="s">
        <v>2479</v>
      </c>
      <c r="D5221" s="809">
        <v>2016</v>
      </c>
      <c r="E5221" s="674">
        <v>5</v>
      </c>
      <c r="F5221" s="675">
        <v>0.2</v>
      </c>
      <c r="G5221" s="676">
        <v>158740</v>
      </c>
      <c r="H5221" s="929">
        <v>0</v>
      </c>
      <c r="I5221" s="929">
        <v>158739</v>
      </c>
      <c r="J5221" s="689">
        <f t="shared" si="82"/>
        <v>1</v>
      </c>
    </row>
    <row r="5222" spans="1:10" ht="12.75" customHeight="1" x14ac:dyDescent="0.2">
      <c r="A5222" s="681">
        <v>1244</v>
      </c>
      <c r="B5222" s="693">
        <v>5410090028</v>
      </c>
      <c r="C5222" s="672" t="s">
        <v>2482</v>
      </c>
      <c r="D5222" s="809">
        <v>2016</v>
      </c>
      <c r="E5222" s="674">
        <v>5</v>
      </c>
      <c r="F5222" s="675">
        <v>0.2</v>
      </c>
      <c r="G5222" s="676">
        <v>176180</v>
      </c>
      <c r="H5222" s="929">
        <v>0</v>
      </c>
      <c r="I5222" s="929">
        <v>176179</v>
      </c>
      <c r="J5222" s="689">
        <f t="shared" si="82"/>
        <v>1</v>
      </c>
    </row>
    <row r="5223" spans="1:10" ht="12.75" customHeight="1" x14ac:dyDescent="0.2">
      <c r="A5223" s="681">
        <v>1244</v>
      </c>
      <c r="B5223" s="693">
        <v>5410480001</v>
      </c>
      <c r="C5223" s="672" t="s">
        <v>1000</v>
      </c>
      <c r="D5223" s="809">
        <v>2016</v>
      </c>
      <c r="E5223" s="674">
        <v>5</v>
      </c>
      <c r="F5223" s="675">
        <v>0.2</v>
      </c>
      <c r="G5223" s="676">
        <v>106672.01</v>
      </c>
      <c r="H5223" s="929">
        <v>0</v>
      </c>
      <c r="I5223" s="929">
        <v>106671.01</v>
      </c>
      <c r="J5223" s="689">
        <f t="shared" si="82"/>
        <v>1</v>
      </c>
    </row>
    <row r="5224" spans="1:10" ht="12.75" customHeight="1" x14ac:dyDescent="0.2">
      <c r="A5224" s="681">
        <v>1244</v>
      </c>
      <c r="B5224" s="693">
        <v>5410480002</v>
      </c>
      <c r="C5224" s="672" t="s">
        <v>1000</v>
      </c>
      <c r="D5224" s="809">
        <v>2016</v>
      </c>
      <c r="E5224" s="674">
        <v>5</v>
      </c>
      <c r="F5224" s="675">
        <v>0.2</v>
      </c>
      <c r="G5224" s="676">
        <v>106672.01</v>
      </c>
      <c r="H5224" s="929">
        <v>0</v>
      </c>
      <c r="I5224" s="929">
        <v>106671.01</v>
      </c>
      <c r="J5224" s="689">
        <f t="shared" si="82"/>
        <v>1</v>
      </c>
    </row>
    <row r="5225" spans="1:10" ht="12.75" customHeight="1" x14ac:dyDescent="0.2">
      <c r="A5225" s="681">
        <v>1246</v>
      </c>
      <c r="B5225" s="693">
        <v>5410500001</v>
      </c>
      <c r="C5225" s="672" t="s">
        <v>2487</v>
      </c>
      <c r="D5225" s="809">
        <v>2016</v>
      </c>
      <c r="E5225" s="674">
        <v>10</v>
      </c>
      <c r="F5225" s="675">
        <v>0.1</v>
      </c>
      <c r="G5225" s="676">
        <v>30000</v>
      </c>
      <c r="H5225" s="929">
        <v>0</v>
      </c>
      <c r="I5225" s="929">
        <v>29999</v>
      </c>
      <c r="J5225" s="689">
        <f t="shared" si="82"/>
        <v>1</v>
      </c>
    </row>
    <row r="5226" spans="1:10" ht="12.75" customHeight="1" x14ac:dyDescent="0.2">
      <c r="A5226" s="681">
        <v>1244</v>
      </c>
      <c r="B5226" s="693">
        <v>5410250044</v>
      </c>
      <c r="C5226" s="672" t="s">
        <v>988</v>
      </c>
      <c r="D5226" s="809">
        <v>2016</v>
      </c>
      <c r="E5226" s="674">
        <v>5</v>
      </c>
      <c r="F5226" s="675">
        <v>0.2</v>
      </c>
      <c r="G5226" s="676">
        <v>205825</v>
      </c>
      <c r="H5226" s="929">
        <v>0</v>
      </c>
      <c r="I5226" s="929">
        <v>205824</v>
      </c>
      <c r="J5226" s="689">
        <f t="shared" si="82"/>
        <v>1</v>
      </c>
    </row>
    <row r="5227" spans="1:10" ht="12.75" customHeight="1" x14ac:dyDescent="0.2">
      <c r="A5227" s="681">
        <v>1244</v>
      </c>
      <c r="B5227" s="693">
        <v>5410250045</v>
      </c>
      <c r="C5227" s="672" t="s">
        <v>988</v>
      </c>
      <c r="D5227" s="809">
        <v>2016</v>
      </c>
      <c r="E5227" s="674">
        <v>5</v>
      </c>
      <c r="F5227" s="675">
        <v>0.2</v>
      </c>
      <c r="G5227" s="676">
        <v>251242</v>
      </c>
      <c r="H5227" s="929">
        <v>0</v>
      </c>
      <c r="I5227" s="929">
        <v>251241</v>
      </c>
      <c r="J5227" s="689">
        <f t="shared" si="82"/>
        <v>1</v>
      </c>
    </row>
    <row r="5228" spans="1:10" ht="12.75" customHeight="1" x14ac:dyDescent="0.2">
      <c r="A5228" s="681">
        <v>1244</v>
      </c>
      <c r="B5228" s="693">
        <v>5410310008</v>
      </c>
      <c r="C5228" s="672" t="s">
        <v>988</v>
      </c>
      <c r="D5228" s="809">
        <v>2016</v>
      </c>
      <c r="E5228" s="674">
        <v>5</v>
      </c>
      <c r="F5228" s="675">
        <v>0.2</v>
      </c>
      <c r="G5228" s="676">
        <v>26117</v>
      </c>
      <c r="H5228" s="929">
        <v>0</v>
      </c>
      <c r="I5228" s="929">
        <v>26116</v>
      </c>
      <c r="J5228" s="689">
        <f t="shared" si="82"/>
        <v>1</v>
      </c>
    </row>
    <row r="5229" spans="1:10" ht="12.75" customHeight="1" x14ac:dyDescent="0.2">
      <c r="A5229" s="681">
        <v>1244</v>
      </c>
      <c r="B5229" s="693">
        <v>5410310007</v>
      </c>
      <c r="C5229" s="672" t="s">
        <v>2481</v>
      </c>
      <c r="D5229" s="809">
        <v>2016</v>
      </c>
      <c r="E5229" s="674">
        <v>5</v>
      </c>
      <c r="F5229" s="675">
        <v>0.2</v>
      </c>
      <c r="G5229" s="676">
        <v>80000</v>
      </c>
      <c r="H5229" s="929">
        <v>0</v>
      </c>
      <c r="I5229" s="929">
        <v>79999</v>
      </c>
      <c r="J5229" s="689">
        <f t="shared" si="82"/>
        <v>1</v>
      </c>
    </row>
    <row r="5230" spans="1:10" ht="12.75" customHeight="1" x14ac:dyDescent="0.2">
      <c r="A5230" s="681">
        <v>1244</v>
      </c>
      <c r="B5230" s="693">
        <v>5410150011</v>
      </c>
      <c r="C5230" s="672" t="s">
        <v>2491</v>
      </c>
      <c r="D5230" s="809">
        <v>2016</v>
      </c>
      <c r="E5230" s="674">
        <v>5</v>
      </c>
      <c r="F5230" s="675">
        <v>0.2</v>
      </c>
      <c r="G5230" s="676">
        <v>50000</v>
      </c>
      <c r="H5230" s="929">
        <v>0</v>
      </c>
      <c r="I5230" s="929">
        <v>49999</v>
      </c>
      <c r="J5230" s="689">
        <f t="shared" si="82"/>
        <v>1</v>
      </c>
    </row>
    <row r="5231" spans="1:10" ht="12.75" customHeight="1" x14ac:dyDescent="0.2">
      <c r="A5231" s="681">
        <v>1244</v>
      </c>
      <c r="B5231" s="693">
        <v>5410060152</v>
      </c>
      <c r="C5231" s="672" t="s">
        <v>2484</v>
      </c>
      <c r="D5231" s="809">
        <v>2016</v>
      </c>
      <c r="E5231" s="674">
        <v>5</v>
      </c>
      <c r="F5231" s="675">
        <v>0.2</v>
      </c>
      <c r="G5231" s="676">
        <v>50000</v>
      </c>
      <c r="H5231" s="929">
        <v>0</v>
      </c>
      <c r="I5231" s="929">
        <v>49999</v>
      </c>
      <c r="J5231" s="689">
        <f t="shared" si="82"/>
        <v>1</v>
      </c>
    </row>
    <row r="5232" spans="1:10" ht="12.75" customHeight="1" x14ac:dyDescent="0.2">
      <c r="A5232" s="681">
        <v>1244</v>
      </c>
      <c r="B5232" s="693">
        <v>5410480004</v>
      </c>
      <c r="C5232" s="672" t="s">
        <v>1000</v>
      </c>
      <c r="D5232" s="809">
        <v>2016</v>
      </c>
      <c r="E5232" s="674">
        <v>5</v>
      </c>
      <c r="F5232" s="675">
        <v>0.2</v>
      </c>
      <c r="G5232" s="676">
        <v>139200</v>
      </c>
      <c r="H5232" s="929">
        <v>0</v>
      </c>
      <c r="I5232" s="929">
        <v>139199</v>
      </c>
      <c r="J5232" s="689">
        <f t="shared" si="82"/>
        <v>1</v>
      </c>
    </row>
    <row r="5233" spans="1:10" ht="12.75" customHeight="1" x14ac:dyDescent="0.2">
      <c r="A5233" s="681">
        <v>1244</v>
      </c>
      <c r="B5233" s="693">
        <v>5410480003</v>
      </c>
      <c r="C5233" s="672" t="s">
        <v>1000</v>
      </c>
      <c r="D5233" s="809">
        <v>2016</v>
      </c>
      <c r="E5233" s="674">
        <v>5</v>
      </c>
      <c r="F5233" s="675">
        <v>0.2</v>
      </c>
      <c r="G5233" s="676">
        <v>139200</v>
      </c>
      <c r="H5233" s="929">
        <v>0</v>
      </c>
      <c r="I5233" s="929">
        <v>139199</v>
      </c>
      <c r="J5233" s="689">
        <f t="shared" si="82"/>
        <v>1</v>
      </c>
    </row>
    <row r="5234" spans="1:10" ht="12.75" customHeight="1" x14ac:dyDescent="0.2">
      <c r="A5234" s="681">
        <v>1244</v>
      </c>
      <c r="B5234" s="693">
        <v>5410480006</v>
      </c>
      <c r="C5234" s="672" t="s">
        <v>1000</v>
      </c>
      <c r="D5234" s="809">
        <v>2016</v>
      </c>
      <c r="E5234" s="674">
        <v>5</v>
      </c>
      <c r="F5234" s="675">
        <v>0.2</v>
      </c>
      <c r="G5234" s="676">
        <v>50000</v>
      </c>
      <c r="H5234" s="929">
        <v>0</v>
      </c>
      <c r="I5234" s="929">
        <v>49999</v>
      </c>
      <c r="J5234" s="689">
        <f t="shared" si="82"/>
        <v>1</v>
      </c>
    </row>
    <row r="5235" spans="1:10" ht="12.75" customHeight="1" x14ac:dyDescent="0.2">
      <c r="A5235" s="681">
        <v>1244</v>
      </c>
      <c r="B5235" s="693">
        <v>5410480011</v>
      </c>
      <c r="C5235" s="672" t="s">
        <v>1000</v>
      </c>
      <c r="D5235" s="809">
        <v>2016</v>
      </c>
      <c r="E5235" s="674">
        <v>5</v>
      </c>
      <c r="F5235" s="675">
        <v>0.2</v>
      </c>
      <c r="G5235" s="676">
        <v>50000</v>
      </c>
      <c r="H5235" s="929">
        <v>0</v>
      </c>
      <c r="I5235" s="929">
        <v>49999</v>
      </c>
      <c r="J5235" s="689">
        <f t="shared" si="82"/>
        <v>1</v>
      </c>
    </row>
    <row r="5236" spans="1:10" ht="12.75" customHeight="1" x14ac:dyDescent="0.2">
      <c r="A5236" s="681">
        <v>1244</v>
      </c>
      <c r="B5236" s="693">
        <v>5410480008</v>
      </c>
      <c r="C5236" s="672" t="s">
        <v>1000</v>
      </c>
      <c r="D5236" s="809">
        <v>2016</v>
      </c>
      <c r="E5236" s="674">
        <v>5</v>
      </c>
      <c r="F5236" s="675">
        <v>0.2</v>
      </c>
      <c r="G5236" s="676">
        <v>50000</v>
      </c>
      <c r="H5236" s="929">
        <v>0</v>
      </c>
      <c r="I5236" s="929">
        <v>49999</v>
      </c>
      <c r="J5236" s="689">
        <f t="shared" si="82"/>
        <v>1</v>
      </c>
    </row>
    <row r="5237" spans="1:10" ht="12.75" customHeight="1" x14ac:dyDescent="0.2">
      <c r="A5237" s="681">
        <v>1244</v>
      </c>
      <c r="B5237" s="693">
        <v>5410480009</v>
      </c>
      <c r="C5237" s="672" t="s">
        <v>1000</v>
      </c>
      <c r="D5237" s="809">
        <v>2016</v>
      </c>
      <c r="E5237" s="674">
        <v>5</v>
      </c>
      <c r="F5237" s="675">
        <v>0.2</v>
      </c>
      <c r="G5237" s="676">
        <v>50000</v>
      </c>
      <c r="H5237" s="929">
        <v>0</v>
      </c>
      <c r="I5237" s="929">
        <v>49999</v>
      </c>
      <c r="J5237" s="689">
        <f t="shared" si="82"/>
        <v>1</v>
      </c>
    </row>
    <row r="5238" spans="1:10" ht="12.75" customHeight="1" x14ac:dyDescent="0.2">
      <c r="A5238" s="681">
        <v>1244</v>
      </c>
      <c r="B5238" s="693">
        <v>5410480007</v>
      </c>
      <c r="C5238" s="672" t="s">
        <v>1000</v>
      </c>
      <c r="D5238" s="809">
        <v>2016</v>
      </c>
      <c r="E5238" s="674">
        <v>5</v>
      </c>
      <c r="F5238" s="675">
        <v>0.2</v>
      </c>
      <c r="G5238" s="676">
        <v>50000</v>
      </c>
      <c r="H5238" s="929">
        <v>0</v>
      </c>
      <c r="I5238" s="929">
        <v>49999</v>
      </c>
      <c r="J5238" s="689">
        <f t="shared" si="82"/>
        <v>1</v>
      </c>
    </row>
    <row r="5239" spans="1:10" ht="12.75" customHeight="1" x14ac:dyDescent="0.2">
      <c r="A5239" s="681">
        <v>1244</v>
      </c>
      <c r="B5239" s="693">
        <v>5410480010</v>
      </c>
      <c r="C5239" s="672" t="s">
        <v>1000</v>
      </c>
      <c r="D5239" s="809">
        <v>2016</v>
      </c>
      <c r="E5239" s="674">
        <v>5</v>
      </c>
      <c r="F5239" s="675">
        <v>0.2</v>
      </c>
      <c r="G5239" s="676">
        <v>139200</v>
      </c>
      <c r="H5239" s="929">
        <v>0</v>
      </c>
      <c r="I5239" s="929">
        <v>139199</v>
      </c>
      <c r="J5239" s="689">
        <f t="shared" si="82"/>
        <v>1</v>
      </c>
    </row>
    <row r="5240" spans="1:10" ht="12.75" customHeight="1" x14ac:dyDescent="0.2">
      <c r="A5240" s="681">
        <v>1244</v>
      </c>
      <c r="B5240" s="693">
        <v>5410480005</v>
      </c>
      <c r="C5240" s="672" t="s">
        <v>1000</v>
      </c>
      <c r="D5240" s="809">
        <v>2016</v>
      </c>
      <c r="E5240" s="674">
        <v>5</v>
      </c>
      <c r="F5240" s="675">
        <v>0.2</v>
      </c>
      <c r="G5240" s="676">
        <v>50000</v>
      </c>
      <c r="H5240" s="929">
        <v>0</v>
      </c>
      <c r="I5240" s="929">
        <v>49999</v>
      </c>
      <c r="J5240" s="689">
        <f t="shared" si="82"/>
        <v>1</v>
      </c>
    </row>
    <row r="5241" spans="1:10" ht="12.75" customHeight="1" x14ac:dyDescent="0.2">
      <c r="A5241" s="681"/>
      <c r="B5241" s="693"/>
      <c r="C5241" s="672"/>
      <c r="D5241" s="809"/>
      <c r="E5241" s="674"/>
      <c r="F5241" s="675"/>
      <c r="G5241" s="676"/>
      <c r="H5241" s="929"/>
      <c r="I5241" s="929"/>
      <c r="J5241" s="689"/>
    </row>
    <row r="5242" spans="1:10" ht="12.75" customHeight="1" x14ac:dyDescent="0.2">
      <c r="A5242" s="681"/>
      <c r="B5242" s="693"/>
      <c r="C5242" s="672"/>
      <c r="D5242" s="809"/>
      <c r="E5242" s="674"/>
      <c r="F5242" s="675"/>
      <c r="G5242" s="676"/>
      <c r="H5242" s="929"/>
      <c r="I5242" s="929"/>
      <c r="J5242" s="689"/>
    </row>
    <row r="5243" spans="1:10" ht="12.75" customHeight="1" x14ac:dyDescent="0.2">
      <c r="A5243" s="681">
        <v>1246</v>
      </c>
      <c r="B5243" s="693">
        <v>5410500002</v>
      </c>
      <c r="C5243" s="672" t="s">
        <v>2488</v>
      </c>
      <c r="D5243" s="809">
        <v>2016</v>
      </c>
      <c r="E5243" s="674">
        <v>10</v>
      </c>
      <c r="F5243" s="675">
        <v>0.1</v>
      </c>
      <c r="G5243" s="676">
        <v>6938250</v>
      </c>
      <c r="H5243" s="929">
        <v>693825</v>
      </c>
      <c r="I5243" s="929">
        <v>3584763.13</v>
      </c>
      <c r="J5243" s="689">
        <f t="shared" si="82"/>
        <v>3353486.87</v>
      </c>
    </row>
    <row r="5244" spans="1:10" ht="12.75" customHeight="1" x14ac:dyDescent="0.2">
      <c r="A5244" s="681">
        <v>1241</v>
      </c>
      <c r="B5244" s="693">
        <v>5151300002</v>
      </c>
      <c r="C5244" s="672" t="s">
        <v>2489</v>
      </c>
      <c r="D5244" s="809">
        <v>2016</v>
      </c>
      <c r="E5244" s="674">
        <v>3</v>
      </c>
      <c r="F5244" s="675">
        <v>0.33</v>
      </c>
      <c r="G5244" s="676">
        <v>18792</v>
      </c>
      <c r="H5244" s="929">
        <v>6201.3599999999979</v>
      </c>
      <c r="I5244" s="929">
        <v>16020.179999999997</v>
      </c>
      <c r="J5244" s="689">
        <f t="shared" si="82"/>
        <v>2771.8200000000033</v>
      </c>
    </row>
    <row r="5245" spans="1:10" ht="12.75" customHeight="1" x14ac:dyDescent="0.2">
      <c r="A5245" s="681">
        <v>1246</v>
      </c>
      <c r="B5245" s="693">
        <v>5111050041</v>
      </c>
      <c r="C5245" s="672" t="s">
        <v>2490</v>
      </c>
      <c r="D5245" s="809">
        <v>2016</v>
      </c>
      <c r="E5245" s="674">
        <v>10</v>
      </c>
      <c r="F5245" s="675">
        <v>0.1</v>
      </c>
      <c r="G5245" s="676">
        <v>9999</v>
      </c>
      <c r="H5245" s="929">
        <v>999.9000000000002</v>
      </c>
      <c r="I5245" s="929">
        <v>3924.6075000000005</v>
      </c>
      <c r="J5245" s="689">
        <f t="shared" si="82"/>
        <v>6074.3924999999999</v>
      </c>
    </row>
    <row r="5246" spans="1:10" ht="12.75" customHeight="1" x14ac:dyDescent="0.2">
      <c r="A5246" s="681">
        <v>1246</v>
      </c>
      <c r="B5246" s="693">
        <v>5111620012</v>
      </c>
      <c r="C5246" s="672" t="s">
        <v>921</v>
      </c>
      <c r="D5246" s="809">
        <v>2016</v>
      </c>
      <c r="E5246" s="674">
        <v>10</v>
      </c>
      <c r="F5246" s="675">
        <v>0.1</v>
      </c>
      <c r="G5246" s="676">
        <v>2740.49</v>
      </c>
      <c r="H5246" s="929">
        <v>274.04899999999992</v>
      </c>
      <c r="I5246" s="929">
        <v>1075.642325</v>
      </c>
      <c r="J5246" s="689">
        <f t="shared" si="82"/>
        <v>1664.8476749999998</v>
      </c>
    </row>
    <row r="5247" spans="1:10" ht="12.75" customHeight="1" x14ac:dyDescent="0.2">
      <c r="A5247" s="681">
        <v>1246</v>
      </c>
      <c r="B5247" s="693">
        <v>5111620013</v>
      </c>
      <c r="C5247" s="672" t="s">
        <v>921</v>
      </c>
      <c r="D5247" s="809">
        <v>2016</v>
      </c>
      <c r="E5247" s="674">
        <v>10</v>
      </c>
      <c r="F5247" s="675">
        <v>0.1</v>
      </c>
      <c r="G5247" s="676">
        <v>3206.24</v>
      </c>
      <c r="H5247" s="929">
        <v>320.62399999999985</v>
      </c>
      <c r="I5247" s="929">
        <v>1258.4491999999998</v>
      </c>
      <c r="J5247" s="689">
        <f t="shared" si="82"/>
        <v>1947.7908</v>
      </c>
    </row>
    <row r="5248" spans="1:10" ht="12.75" customHeight="1" x14ac:dyDescent="0.2">
      <c r="A5248" s="681">
        <v>1246</v>
      </c>
      <c r="B5248" s="693">
        <v>5111200003</v>
      </c>
      <c r="C5248" s="672" t="s">
        <v>1003</v>
      </c>
      <c r="D5248" s="809">
        <v>2016</v>
      </c>
      <c r="E5248" s="674">
        <v>10</v>
      </c>
      <c r="F5248" s="675">
        <v>0.1</v>
      </c>
      <c r="G5248" s="676">
        <v>3243.63</v>
      </c>
      <c r="H5248" s="929">
        <v>324.36300000000006</v>
      </c>
      <c r="I5248" s="929">
        <v>1273.1247750000002</v>
      </c>
      <c r="J5248" s="689">
        <f t="shared" si="82"/>
        <v>1970.5052249999999</v>
      </c>
    </row>
    <row r="5249" spans="1:10" ht="12.75" customHeight="1" x14ac:dyDescent="0.2">
      <c r="A5249" s="681">
        <v>1246</v>
      </c>
      <c r="B5249" s="693">
        <v>5112800002</v>
      </c>
      <c r="C5249" s="672" t="s">
        <v>2474</v>
      </c>
      <c r="D5249" s="809">
        <v>2016</v>
      </c>
      <c r="E5249" s="674">
        <v>10</v>
      </c>
      <c r="F5249" s="675">
        <v>0.1</v>
      </c>
      <c r="G5249" s="676">
        <v>41620.800000000003</v>
      </c>
      <c r="H5249" s="929">
        <v>4162.0800000000008</v>
      </c>
      <c r="I5249" s="929">
        <v>12139.400000000001</v>
      </c>
      <c r="J5249" s="689">
        <f t="shared" si="82"/>
        <v>29481.4</v>
      </c>
    </row>
    <row r="5250" spans="1:10" ht="12.75" customHeight="1" x14ac:dyDescent="0.2">
      <c r="A5250" s="681">
        <v>1241</v>
      </c>
      <c r="B5250" s="693">
        <v>5112030049</v>
      </c>
      <c r="C5250" s="672" t="s">
        <v>798</v>
      </c>
      <c r="D5250" s="809">
        <v>2016</v>
      </c>
      <c r="E5250" s="674">
        <v>10</v>
      </c>
      <c r="F5250" s="675">
        <v>0.1</v>
      </c>
      <c r="G5250" s="676">
        <v>2099</v>
      </c>
      <c r="H5250" s="929">
        <v>209.90000000000006</v>
      </c>
      <c r="I5250" s="929">
        <v>594.71666666666681</v>
      </c>
      <c r="J5250" s="689">
        <f t="shared" si="82"/>
        <v>1504.2833333333333</v>
      </c>
    </row>
    <row r="5251" spans="1:10" ht="12.75" customHeight="1" x14ac:dyDescent="0.2">
      <c r="A5251" s="681">
        <v>1241</v>
      </c>
      <c r="B5251" s="693">
        <v>5151130003</v>
      </c>
      <c r="C5251" s="672" t="s">
        <v>898</v>
      </c>
      <c r="D5251" s="809">
        <v>2016</v>
      </c>
      <c r="E5251" s="674">
        <v>3</v>
      </c>
      <c r="F5251" s="675">
        <v>0.33</v>
      </c>
      <c r="G5251" s="676">
        <v>2393.9499999999998</v>
      </c>
      <c r="H5251" s="929">
        <v>790.00349999999992</v>
      </c>
      <c r="I5251" s="929">
        <v>2172.5096249999997</v>
      </c>
      <c r="J5251" s="689">
        <f t="shared" ref="J5251:J5314" si="83">G5251-I5251</f>
        <v>221.44037500000013</v>
      </c>
    </row>
    <row r="5252" spans="1:10" ht="12.75" customHeight="1" x14ac:dyDescent="0.2">
      <c r="A5252" s="681">
        <v>1244</v>
      </c>
      <c r="B5252" s="693">
        <v>5410140001</v>
      </c>
      <c r="C5252" s="672" t="s">
        <v>2480</v>
      </c>
      <c r="D5252" s="809">
        <v>2016</v>
      </c>
      <c r="E5252" s="674">
        <v>10</v>
      </c>
      <c r="F5252" s="675">
        <v>0.1</v>
      </c>
      <c r="G5252" s="676">
        <v>829250</v>
      </c>
      <c r="H5252" s="929">
        <v>82925</v>
      </c>
      <c r="I5252" s="929">
        <v>426973.33333333337</v>
      </c>
      <c r="J5252" s="689">
        <f t="shared" si="83"/>
        <v>402276.66666666663</v>
      </c>
    </row>
    <row r="5253" spans="1:10" ht="12.75" customHeight="1" x14ac:dyDescent="0.2">
      <c r="A5253" s="681">
        <v>1244</v>
      </c>
      <c r="B5253" s="693">
        <v>5410090021</v>
      </c>
      <c r="C5253" s="672" t="s">
        <v>2480</v>
      </c>
      <c r="D5253" s="809">
        <v>2016</v>
      </c>
      <c r="E5253" s="674">
        <v>10</v>
      </c>
      <c r="F5253" s="675">
        <v>0.1</v>
      </c>
      <c r="G5253" s="676">
        <v>829250</v>
      </c>
      <c r="H5253" s="929">
        <v>82925</v>
      </c>
      <c r="I5253" s="929">
        <v>426973.33333333337</v>
      </c>
      <c r="J5253" s="689">
        <f t="shared" si="83"/>
        <v>402276.66666666663</v>
      </c>
    </row>
    <row r="5254" spans="1:10" ht="12.75" customHeight="1" x14ac:dyDescent="0.2">
      <c r="A5254" s="681">
        <v>1244</v>
      </c>
      <c r="B5254" s="693">
        <v>5410470002</v>
      </c>
      <c r="C5254" s="672" t="s">
        <v>988</v>
      </c>
      <c r="D5254" s="809">
        <v>2016</v>
      </c>
      <c r="E5254" s="674">
        <v>5</v>
      </c>
      <c r="F5254" s="675">
        <v>0.2</v>
      </c>
      <c r="G5254" s="676">
        <v>1230000</v>
      </c>
      <c r="H5254" s="929">
        <v>246000</v>
      </c>
      <c r="I5254" s="929">
        <v>881499</v>
      </c>
      <c r="J5254" s="689">
        <f t="shared" si="83"/>
        <v>348501</v>
      </c>
    </row>
    <row r="5255" spans="1:10" ht="12.75" customHeight="1" x14ac:dyDescent="0.2">
      <c r="A5255" s="681">
        <v>1246</v>
      </c>
      <c r="B5255" s="693">
        <v>5112270010</v>
      </c>
      <c r="C5255" s="672" t="s">
        <v>1056</v>
      </c>
      <c r="D5255" s="809">
        <v>2016</v>
      </c>
      <c r="E5255" s="674">
        <v>10</v>
      </c>
      <c r="F5255" s="675">
        <v>0.1</v>
      </c>
      <c r="G5255" s="676">
        <v>6200</v>
      </c>
      <c r="H5255" s="929">
        <v>620</v>
      </c>
      <c r="I5255" s="929">
        <v>1550</v>
      </c>
      <c r="J5255" s="689">
        <f t="shared" si="83"/>
        <v>4650</v>
      </c>
    </row>
    <row r="5256" spans="1:10" ht="12.75" customHeight="1" x14ac:dyDescent="0.2">
      <c r="A5256" s="681">
        <v>1246</v>
      </c>
      <c r="B5256" s="693">
        <v>5112270009</v>
      </c>
      <c r="C5256" s="672" t="s">
        <v>1056</v>
      </c>
      <c r="D5256" s="809">
        <v>2016</v>
      </c>
      <c r="E5256" s="674">
        <v>10</v>
      </c>
      <c r="F5256" s="675">
        <v>0.1</v>
      </c>
      <c r="G5256" s="676">
        <v>8350</v>
      </c>
      <c r="H5256" s="929">
        <v>835.00000000000011</v>
      </c>
      <c r="I5256" s="929">
        <v>2087.5</v>
      </c>
      <c r="J5256" s="689">
        <f t="shared" si="83"/>
        <v>6262.5</v>
      </c>
    </row>
    <row r="5257" spans="1:10" ht="12.75" customHeight="1" x14ac:dyDescent="0.2">
      <c r="A5257" s="681">
        <v>1246</v>
      </c>
      <c r="B5257" s="693">
        <v>5111490017</v>
      </c>
      <c r="C5257" s="672" t="s">
        <v>737</v>
      </c>
      <c r="D5257" s="809">
        <v>2016</v>
      </c>
      <c r="E5257" s="674">
        <v>10</v>
      </c>
      <c r="F5257" s="675">
        <v>0.1</v>
      </c>
      <c r="G5257" s="676">
        <v>17064.54</v>
      </c>
      <c r="H5257" s="929">
        <v>1706.4540000000004</v>
      </c>
      <c r="I5257" s="929">
        <v>4266.1350000000011</v>
      </c>
      <c r="J5257" s="689">
        <f t="shared" si="83"/>
        <v>12798.404999999999</v>
      </c>
    </row>
    <row r="5258" spans="1:10" ht="12.75" customHeight="1" x14ac:dyDescent="0.2">
      <c r="A5258" s="681">
        <v>1246</v>
      </c>
      <c r="B5258" s="693">
        <v>5111490018</v>
      </c>
      <c r="C5258" s="672" t="s">
        <v>737</v>
      </c>
      <c r="D5258" s="809">
        <v>2016</v>
      </c>
      <c r="E5258" s="674">
        <v>10</v>
      </c>
      <c r="F5258" s="675">
        <v>0.1</v>
      </c>
      <c r="G5258" s="676">
        <v>17064.54</v>
      </c>
      <c r="H5258" s="929">
        <v>1706.4540000000004</v>
      </c>
      <c r="I5258" s="929">
        <v>4266.1350000000011</v>
      </c>
      <c r="J5258" s="689">
        <f t="shared" si="83"/>
        <v>12798.404999999999</v>
      </c>
    </row>
    <row r="5259" spans="1:10" ht="12.75" customHeight="1" x14ac:dyDescent="0.2">
      <c r="A5259" s="681">
        <v>1246</v>
      </c>
      <c r="B5259" s="693">
        <v>5111490019</v>
      </c>
      <c r="C5259" s="672" t="s">
        <v>737</v>
      </c>
      <c r="D5259" s="809">
        <v>2016</v>
      </c>
      <c r="E5259" s="674">
        <v>10</v>
      </c>
      <c r="F5259" s="675">
        <v>0.1</v>
      </c>
      <c r="G5259" s="676">
        <v>17064.54</v>
      </c>
      <c r="H5259" s="929">
        <v>1706.4540000000004</v>
      </c>
      <c r="I5259" s="929">
        <v>4266.1350000000011</v>
      </c>
      <c r="J5259" s="689">
        <f t="shared" si="83"/>
        <v>12798.404999999999</v>
      </c>
    </row>
    <row r="5260" spans="1:10" ht="12.75" customHeight="1" x14ac:dyDescent="0.2">
      <c r="A5260" s="681">
        <v>1246</v>
      </c>
      <c r="B5260" s="693">
        <v>5111490020</v>
      </c>
      <c r="C5260" s="672" t="s">
        <v>737</v>
      </c>
      <c r="D5260" s="809">
        <v>2016</v>
      </c>
      <c r="E5260" s="674">
        <v>10</v>
      </c>
      <c r="F5260" s="675">
        <v>0.1</v>
      </c>
      <c r="G5260" s="676">
        <v>17064.54</v>
      </c>
      <c r="H5260" s="929">
        <v>1706.4540000000004</v>
      </c>
      <c r="I5260" s="929">
        <v>4266.1350000000011</v>
      </c>
      <c r="J5260" s="689">
        <f t="shared" si="83"/>
        <v>12798.404999999999</v>
      </c>
    </row>
    <row r="5261" spans="1:10" ht="12.75" customHeight="1" x14ac:dyDescent="0.2">
      <c r="A5261" s="681">
        <v>1246</v>
      </c>
      <c r="B5261" s="693">
        <v>5111490021</v>
      </c>
      <c r="C5261" s="672" t="s">
        <v>737</v>
      </c>
      <c r="D5261" s="809">
        <v>2016</v>
      </c>
      <c r="E5261" s="674">
        <v>10</v>
      </c>
      <c r="F5261" s="675">
        <v>0.1</v>
      </c>
      <c r="G5261" s="676">
        <v>17064.54</v>
      </c>
      <c r="H5261" s="929">
        <v>1706.4540000000004</v>
      </c>
      <c r="I5261" s="929">
        <v>4266.1350000000011</v>
      </c>
      <c r="J5261" s="689">
        <f t="shared" si="83"/>
        <v>12798.404999999999</v>
      </c>
    </row>
    <row r="5262" spans="1:10" ht="12.75" customHeight="1" x14ac:dyDescent="0.2">
      <c r="A5262" s="681">
        <v>1246</v>
      </c>
      <c r="B5262" s="693">
        <v>5111490022</v>
      </c>
      <c r="C5262" s="672" t="s">
        <v>737</v>
      </c>
      <c r="D5262" s="809">
        <v>2016</v>
      </c>
      <c r="E5262" s="674">
        <v>10</v>
      </c>
      <c r="F5262" s="675">
        <v>0.1</v>
      </c>
      <c r="G5262" s="676">
        <v>17064.54</v>
      </c>
      <c r="H5262" s="929">
        <v>1706.4540000000004</v>
      </c>
      <c r="I5262" s="929">
        <v>4266.1350000000011</v>
      </c>
      <c r="J5262" s="689">
        <f t="shared" si="83"/>
        <v>12798.404999999999</v>
      </c>
    </row>
    <row r="5263" spans="1:10" ht="12.75" customHeight="1" x14ac:dyDescent="0.2">
      <c r="A5263" s="681">
        <v>1246</v>
      </c>
      <c r="B5263" s="693">
        <v>5111490023</v>
      </c>
      <c r="C5263" s="672" t="s">
        <v>737</v>
      </c>
      <c r="D5263" s="809">
        <v>2016</v>
      </c>
      <c r="E5263" s="674">
        <v>10</v>
      </c>
      <c r="F5263" s="675">
        <v>0.1</v>
      </c>
      <c r="G5263" s="676">
        <v>17064.54</v>
      </c>
      <c r="H5263" s="929">
        <v>1706.4540000000004</v>
      </c>
      <c r="I5263" s="929">
        <v>4266.1350000000011</v>
      </c>
      <c r="J5263" s="689">
        <f t="shared" si="83"/>
        <v>12798.404999999999</v>
      </c>
    </row>
    <row r="5264" spans="1:10" ht="12.75" customHeight="1" x14ac:dyDescent="0.2">
      <c r="A5264" s="681">
        <v>1246</v>
      </c>
      <c r="B5264" s="693">
        <v>5111490024</v>
      </c>
      <c r="C5264" s="672" t="s">
        <v>737</v>
      </c>
      <c r="D5264" s="809">
        <v>2016</v>
      </c>
      <c r="E5264" s="674">
        <v>10</v>
      </c>
      <c r="F5264" s="675">
        <v>0.1</v>
      </c>
      <c r="G5264" s="676">
        <v>17064.54</v>
      </c>
      <c r="H5264" s="929">
        <v>1706.4540000000004</v>
      </c>
      <c r="I5264" s="929">
        <v>4266.1350000000011</v>
      </c>
      <c r="J5264" s="689">
        <f t="shared" si="83"/>
        <v>12798.404999999999</v>
      </c>
    </row>
    <row r="5265" spans="1:10" ht="12.75" customHeight="1" x14ac:dyDescent="0.2">
      <c r="A5265" s="681">
        <v>1246</v>
      </c>
      <c r="B5265" s="693">
        <v>5111490025</v>
      </c>
      <c r="C5265" s="672" t="s">
        <v>737</v>
      </c>
      <c r="D5265" s="809">
        <v>2016</v>
      </c>
      <c r="E5265" s="674">
        <v>10</v>
      </c>
      <c r="F5265" s="675">
        <v>0.1</v>
      </c>
      <c r="G5265" s="676">
        <v>17064.54</v>
      </c>
      <c r="H5265" s="929">
        <v>1706.4540000000004</v>
      </c>
      <c r="I5265" s="929">
        <v>4266.1350000000011</v>
      </c>
      <c r="J5265" s="689">
        <f t="shared" si="83"/>
        <v>12798.404999999999</v>
      </c>
    </row>
    <row r="5266" spans="1:10" ht="12.75" customHeight="1" x14ac:dyDescent="0.2">
      <c r="A5266" s="681">
        <v>1246</v>
      </c>
      <c r="B5266" s="693">
        <v>5111490026</v>
      </c>
      <c r="C5266" s="672" t="s">
        <v>737</v>
      </c>
      <c r="D5266" s="809">
        <v>2016</v>
      </c>
      <c r="E5266" s="674">
        <v>10</v>
      </c>
      <c r="F5266" s="675">
        <v>0.1</v>
      </c>
      <c r="G5266" s="676">
        <v>17064.54</v>
      </c>
      <c r="H5266" s="929">
        <v>1706.4540000000004</v>
      </c>
      <c r="I5266" s="929">
        <v>4266.1350000000011</v>
      </c>
      <c r="J5266" s="689">
        <f t="shared" si="83"/>
        <v>12798.404999999999</v>
      </c>
    </row>
    <row r="5267" spans="1:10" ht="12.75" customHeight="1" x14ac:dyDescent="0.2">
      <c r="A5267" s="681">
        <v>1246</v>
      </c>
      <c r="B5267" s="693">
        <v>5111490027</v>
      </c>
      <c r="C5267" s="672" t="s">
        <v>737</v>
      </c>
      <c r="D5267" s="809">
        <v>2016</v>
      </c>
      <c r="E5267" s="674">
        <v>10</v>
      </c>
      <c r="F5267" s="675">
        <v>0.1</v>
      </c>
      <c r="G5267" s="676">
        <v>17064.54</v>
      </c>
      <c r="H5267" s="929">
        <v>1706.4540000000004</v>
      </c>
      <c r="I5267" s="929">
        <v>4266.1350000000011</v>
      </c>
      <c r="J5267" s="689">
        <f t="shared" si="83"/>
        <v>12798.404999999999</v>
      </c>
    </row>
    <row r="5268" spans="1:10" ht="12.75" customHeight="1" x14ac:dyDescent="0.2">
      <c r="A5268" s="681">
        <v>1246</v>
      </c>
      <c r="B5268" s="693">
        <v>5111490028</v>
      </c>
      <c r="C5268" s="672" t="s">
        <v>737</v>
      </c>
      <c r="D5268" s="809">
        <v>2016</v>
      </c>
      <c r="E5268" s="674">
        <v>10</v>
      </c>
      <c r="F5268" s="675">
        <v>0.1</v>
      </c>
      <c r="G5268" s="676">
        <v>17064.54</v>
      </c>
      <c r="H5268" s="929">
        <v>1706.4540000000004</v>
      </c>
      <c r="I5268" s="929">
        <v>4266.1350000000011</v>
      </c>
      <c r="J5268" s="689">
        <f t="shared" si="83"/>
        <v>12798.404999999999</v>
      </c>
    </row>
    <row r="5269" spans="1:10" ht="12.75" customHeight="1" x14ac:dyDescent="0.2">
      <c r="A5269" s="681">
        <v>1246</v>
      </c>
      <c r="B5269" s="693">
        <v>5111490029</v>
      </c>
      <c r="C5269" s="672" t="s">
        <v>737</v>
      </c>
      <c r="D5269" s="809">
        <v>2016</v>
      </c>
      <c r="E5269" s="674">
        <v>10</v>
      </c>
      <c r="F5269" s="675">
        <v>0.1</v>
      </c>
      <c r="G5269" s="676">
        <v>17064.54</v>
      </c>
      <c r="H5269" s="929">
        <v>1706.4540000000004</v>
      </c>
      <c r="I5269" s="929">
        <v>4266.1350000000011</v>
      </c>
      <c r="J5269" s="689">
        <f t="shared" si="83"/>
        <v>12798.404999999999</v>
      </c>
    </row>
    <row r="5270" spans="1:10" ht="12.75" customHeight="1" x14ac:dyDescent="0.2">
      <c r="A5270" s="681">
        <v>1241</v>
      </c>
      <c r="B5270" s="693">
        <v>5110232169</v>
      </c>
      <c r="C5270" s="672" t="s">
        <v>2492</v>
      </c>
      <c r="D5270" s="809">
        <v>2016</v>
      </c>
      <c r="E5270" s="674">
        <v>10</v>
      </c>
      <c r="F5270" s="675">
        <v>0.1</v>
      </c>
      <c r="G5270" s="676">
        <v>2676.4</v>
      </c>
      <c r="H5270" s="929">
        <v>267.64000000000004</v>
      </c>
      <c r="I5270" s="929">
        <v>646.79666666666685</v>
      </c>
      <c r="J5270" s="689">
        <f t="shared" si="83"/>
        <v>2029.6033333333332</v>
      </c>
    </row>
    <row r="5271" spans="1:10" ht="12.75" customHeight="1" x14ac:dyDescent="0.2">
      <c r="A5271" s="681">
        <v>1241</v>
      </c>
      <c r="B5271" s="693">
        <v>5112670002</v>
      </c>
      <c r="C5271" s="672" t="s">
        <v>812</v>
      </c>
      <c r="D5271" s="809">
        <v>2016</v>
      </c>
      <c r="E5271" s="674">
        <v>10</v>
      </c>
      <c r="F5271" s="675">
        <v>0.1</v>
      </c>
      <c r="G5271" s="676">
        <v>2799.98</v>
      </c>
      <c r="H5271" s="929">
        <v>279.99799999999999</v>
      </c>
      <c r="I5271" s="929">
        <v>676.66183333333333</v>
      </c>
      <c r="J5271" s="689">
        <f t="shared" si="83"/>
        <v>2123.3181666666669</v>
      </c>
    </row>
    <row r="5272" spans="1:10" ht="12.75" customHeight="1" x14ac:dyDescent="0.2">
      <c r="A5272" s="681">
        <v>1241</v>
      </c>
      <c r="B5272" s="693">
        <v>5110360048</v>
      </c>
      <c r="C5272" s="672" t="s">
        <v>787</v>
      </c>
      <c r="D5272" s="809">
        <v>2016</v>
      </c>
      <c r="E5272" s="674">
        <v>10</v>
      </c>
      <c r="F5272" s="675">
        <v>0.1</v>
      </c>
      <c r="G5272" s="676">
        <v>4153.87</v>
      </c>
      <c r="H5272" s="929">
        <v>415.38700000000011</v>
      </c>
      <c r="I5272" s="929">
        <v>1003.851916666667</v>
      </c>
      <c r="J5272" s="689">
        <f t="shared" si="83"/>
        <v>3150.0180833333329</v>
      </c>
    </row>
    <row r="5273" spans="1:10" ht="12.75" customHeight="1" x14ac:dyDescent="0.2">
      <c r="A5273" s="681">
        <v>1241</v>
      </c>
      <c r="B5273" s="693">
        <v>5110360049</v>
      </c>
      <c r="C5273" s="672" t="s">
        <v>787</v>
      </c>
      <c r="D5273" s="809">
        <v>2016</v>
      </c>
      <c r="E5273" s="674">
        <v>10</v>
      </c>
      <c r="F5273" s="675">
        <v>0.1</v>
      </c>
      <c r="G5273" s="676">
        <v>4153.87</v>
      </c>
      <c r="H5273" s="929">
        <v>415.38700000000011</v>
      </c>
      <c r="I5273" s="929">
        <v>1003.851916666667</v>
      </c>
      <c r="J5273" s="689">
        <f t="shared" si="83"/>
        <v>3150.0180833333329</v>
      </c>
    </row>
    <row r="5274" spans="1:10" ht="12.75" customHeight="1" x14ac:dyDescent="0.2">
      <c r="A5274" s="681">
        <v>1241</v>
      </c>
      <c r="B5274" s="693">
        <v>5111040007</v>
      </c>
      <c r="C5274" s="672" t="s">
        <v>2492</v>
      </c>
      <c r="D5274" s="809">
        <v>2016</v>
      </c>
      <c r="E5274" s="674">
        <v>10</v>
      </c>
      <c r="F5274" s="675">
        <v>0.1</v>
      </c>
      <c r="G5274" s="676">
        <v>3545</v>
      </c>
      <c r="H5274" s="929">
        <v>354.50000000000006</v>
      </c>
      <c r="I5274" s="929">
        <v>856.70833333333348</v>
      </c>
      <c r="J5274" s="689">
        <f t="shared" si="83"/>
        <v>2688.2916666666665</v>
      </c>
    </row>
    <row r="5275" spans="1:10" ht="12.75" customHeight="1" x14ac:dyDescent="0.2">
      <c r="A5275" s="681">
        <v>1241</v>
      </c>
      <c r="B5275" s="693">
        <v>5111100015</v>
      </c>
      <c r="C5275" s="672" t="s">
        <v>2492</v>
      </c>
      <c r="D5275" s="809">
        <v>2016</v>
      </c>
      <c r="E5275" s="674">
        <v>10</v>
      </c>
      <c r="F5275" s="675">
        <v>0.1</v>
      </c>
      <c r="G5275" s="676">
        <v>3545</v>
      </c>
      <c r="H5275" s="929">
        <v>354.50000000000006</v>
      </c>
      <c r="I5275" s="929">
        <v>856.70833333333348</v>
      </c>
      <c r="J5275" s="689">
        <f t="shared" si="83"/>
        <v>2688.2916666666665</v>
      </c>
    </row>
    <row r="5276" spans="1:10" ht="12.75" customHeight="1" x14ac:dyDescent="0.2">
      <c r="A5276" s="681">
        <v>1241</v>
      </c>
      <c r="B5276" s="693">
        <v>5111100017</v>
      </c>
      <c r="C5276" s="672" t="s">
        <v>2492</v>
      </c>
      <c r="D5276" s="809">
        <v>2016</v>
      </c>
      <c r="E5276" s="674">
        <v>10</v>
      </c>
      <c r="F5276" s="675">
        <v>0.1</v>
      </c>
      <c r="G5276" s="676">
        <v>3545</v>
      </c>
      <c r="H5276" s="929">
        <v>354.50000000000006</v>
      </c>
      <c r="I5276" s="929">
        <v>856.70833333333348</v>
      </c>
      <c r="J5276" s="689">
        <f t="shared" si="83"/>
        <v>2688.2916666666665</v>
      </c>
    </row>
    <row r="5277" spans="1:10" ht="12.75" customHeight="1" x14ac:dyDescent="0.2">
      <c r="A5277" s="681">
        <v>1241</v>
      </c>
      <c r="B5277" s="693">
        <v>5111100018</v>
      </c>
      <c r="C5277" s="672" t="s">
        <v>2492</v>
      </c>
      <c r="D5277" s="809">
        <v>2016</v>
      </c>
      <c r="E5277" s="674">
        <v>10</v>
      </c>
      <c r="F5277" s="675">
        <v>0.1</v>
      </c>
      <c r="G5277" s="676">
        <v>3545</v>
      </c>
      <c r="H5277" s="929">
        <v>354.50000000000006</v>
      </c>
      <c r="I5277" s="929">
        <v>856.70833333333348</v>
      </c>
      <c r="J5277" s="689">
        <f t="shared" si="83"/>
        <v>2688.2916666666665</v>
      </c>
    </row>
    <row r="5278" spans="1:10" ht="12.75" customHeight="1" x14ac:dyDescent="0.2">
      <c r="A5278" s="681">
        <v>1241</v>
      </c>
      <c r="B5278" s="693">
        <v>5111100014</v>
      </c>
      <c r="C5278" s="672" t="s">
        <v>2492</v>
      </c>
      <c r="D5278" s="809">
        <v>2016</v>
      </c>
      <c r="E5278" s="674">
        <v>10</v>
      </c>
      <c r="F5278" s="675">
        <v>0.1</v>
      </c>
      <c r="G5278" s="676">
        <v>3545</v>
      </c>
      <c r="H5278" s="929">
        <v>354.50000000000006</v>
      </c>
      <c r="I5278" s="929">
        <v>856.70833333333348</v>
      </c>
      <c r="J5278" s="689">
        <f t="shared" si="83"/>
        <v>2688.2916666666665</v>
      </c>
    </row>
    <row r="5279" spans="1:10" ht="12.75" customHeight="1" x14ac:dyDescent="0.2">
      <c r="A5279" s="681">
        <v>1241</v>
      </c>
      <c r="B5279" s="693">
        <v>5111100016</v>
      </c>
      <c r="C5279" s="672" t="s">
        <v>2492</v>
      </c>
      <c r="D5279" s="809">
        <v>2016</v>
      </c>
      <c r="E5279" s="674">
        <v>10</v>
      </c>
      <c r="F5279" s="675">
        <v>0.1</v>
      </c>
      <c r="G5279" s="676">
        <v>3545</v>
      </c>
      <c r="H5279" s="929">
        <v>354.50000000000006</v>
      </c>
      <c r="I5279" s="929">
        <v>856.70833333333348</v>
      </c>
      <c r="J5279" s="689">
        <f t="shared" si="83"/>
        <v>2688.2916666666665</v>
      </c>
    </row>
    <row r="5280" spans="1:10" ht="12.75" customHeight="1" x14ac:dyDescent="0.2">
      <c r="A5280" s="681">
        <v>1241</v>
      </c>
      <c r="B5280" s="693">
        <v>5110320001</v>
      </c>
      <c r="C5280" s="672" t="s">
        <v>2493</v>
      </c>
      <c r="D5280" s="809">
        <v>2016</v>
      </c>
      <c r="E5280" s="674">
        <v>10</v>
      </c>
      <c r="F5280" s="675">
        <v>0.1</v>
      </c>
      <c r="G5280" s="676">
        <v>4400</v>
      </c>
      <c r="H5280" s="929">
        <v>440.00000000000006</v>
      </c>
      <c r="I5280" s="929">
        <v>1063.3333333333335</v>
      </c>
      <c r="J5280" s="689">
        <f t="shared" si="83"/>
        <v>3336.6666666666665</v>
      </c>
    </row>
    <row r="5281" spans="1:10" ht="12.75" customHeight="1" x14ac:dyDescent="0.2">
      <c r="A5281" s="681">
        <v>1241</v>
      </c>
      <c r="B5281" s="693">
        <v>5112650080</v>
      </c>
      <c r="C5281" s="672" t="s">
        <v>2494</v>
      </c>
      <c r="D5281" s="809">
        <v>2016</v>
      </c>
      <c r="E5281" s="674">
        <v>10</v>
      </c>
      <c r="F5281" s="675">
        <v>0.1</v>
      </c>
      <c r="G5281" s="676">
        <v>1119</v>
      </c>
      <c r="H5281" s="929">
        <v>111.90000000000002</v>
      </c>
      <c r="I5281" s="929">
        <v>270.42500000000007</v>
      </c>
      <c r="J5281" s="689">
        <f t="shared" si="83"/>
        <v>848.57499999999993</v>
      </c>
    </row>
    <row r="5282" spans="1:10" ht="12.75" customHeight="1" x14ac:dyDescent="0.2">
      <c r="A5282" s="681">
        <v>1241</v>
      </c>
      <c r="B5282" s="693">
        <v>5112650081</v>
      </c>
      <c r="C5282" s="672" t="s">
        <v>2494</v>
      </c>
      <c r="D5282" s="809">
        <v>2016</v>
      </c>
      <c r="E5282" s="674">
        <v>10</v>
      </c>
      <c r="F5282" s="675">
        <v>0.1</v>
      </c>
      <c r="G5282" s="676">
        <v>1119</v>
      </c>
      <c r="H5282" s="929">
        <v>111.90000000000002</v>
      </c>
      <c r="I5282" s="929">
        <v>270.42500000000007</v>
      </c>
      <c r="J5282" s="689">
        <f t="shared" si="83"/>
        <v>848.57499999999993</v>
      </c>
    </row>
    <row r="5283" spans="1:10" ht="12.75" customHeight="1" x14ac:dyDescent="0.2">
      <c r="A5283" s="681">
        <v>1241</v>
      </c>
      <c r="B5283" s="693">
        <v>5112650082</v>
      </c>
      <c r="C5283" s="672" t="s">
        <v>2494</v>
      </c>
      <c r="D5283" s="809">
        <v>2016</v>
      </c>
      <c r="E5283" s="674">
        <v>10</v>
      </c>
      <c r="F5283" s="675">
        <v>0.1</v>
      </c>
      <c r="G5283" s="676">
        <v>1119</v>
      </c>
      <c r="H5283" s="929">
        <v>111.90000000000002</v>
      </c>
      <c r="I5283" s="929">
        <v>270.42500000000007</v>
      </c>
      <c r="J5283" s="689">
        <f t="shared" si="83"/>
        <v>848.57499999999993</v>
      </c>
    </row>
    <row r="5284" spans="1:10" ht="12.75" customHeight="1" x14ac:dyDescent="0.2">
      <c r="A5284" s="681">
        <v>1241</v>
      </c>
      <c r="B5284" s="693">
        <v>5112650083</v>
      </c>
      <c r="C5284" s="672" t="s">
        <v>2494</v>
      </c>
      <c r="D5284" s="809">
        <v>2016</v>
      </c>
      <c r="E5284" s="674">
        <v>10</v>
      </c>
      <c r="F5284" s="675">
        <v>0.1</v>
      </c>
      <c r="G5284" s="676">
        <v>1119</v>
      </c>
      <c r="H5284" s="929">
        <v>111.90000000000002</v>
      </c>
      <c r="I5284" s="929">
        <v>270.42500000000007</v>
      </c>
      <c r="J5284" s="689">
        <f t="shared" si="83"/>
        <v>848.57499999999993</v>
      </c>
    </row>
    <row r="5285" spans="1:10" ht="12.75" customHeight="1" x14ac:dyDescent="0.2">
      <c r="A5285" s="681">
        <v>1241</v>
      </c>
      <c r="B5285" s="693">
        <v>5112650085</v>
      </c>
      <c r="C5285" s="672" t="s">
        <v>2494</v>
      </c>
      <c r="D5285" s="809">
        <v>2016</v>
      </c>
      <c r="E5285" s="674">
        <v>10</v>
      </c>
      <c r="F5285" s="675">
        <v>0.1</v>
      </c>
      <c r="G5285" s="676">
        <v>1119</v>
      </c>
      <c r="H5285" s="929">
        <v>111.90000000000002</v>
      </c>
      <c r="I5285" s="929">
        <v>270.42500000000007</v>
      </c>
      <c r="J5285" s="689">
        <f t="shared" si="83"/>
        <v>848.57499999999993</v>
      </c>
    </row>
    <row r="5286" spans="1:10" ht="12.75" customHeight="1" x14ac:dyDescent="0.2">
      <c r="A5286" s="681">
        <v>1241</v>
      </c>
      <c r="B5286" s="693">
        <v>5112650086</v>
      </c>
      <c r="C5286" s="672" t="s">
        <v>2494</v>
      </c>
      <c r="D5286" s="809">
        <v>2016</v>
      </c>
      <c r="E5286" s="674">
        <v>10</v>
      </c>
      <c r="F5286" s="675">
        <v>0.1</v>
      </c>
      <c r="G5286" s="676">
        <v>1119</v>
      </c>
      <c r="H5286" s="929">
        <v>111.90000000000002</v>
      </c>
      <c r="I5286" s="929">
        <v>270.42500000000007</v>
      </c>
      <c r="J5286" s="689">
        <f t="shared" si="83"/>
        <v>848.57499999999993</v>
      </c>
    </row>
    <row r="5287" spans="1:10" ht="12.75" customHeight="1" x14ac:dyDescent="0.2">
      <c r="A5287" s="681">
        <v>1241</v>
      </c>
      <c r="B5287" s="693">
        <v>5112650084</v>
      </c>
      <c r="C5287" s="672" t="s">
        <v>2494</v>
      </c>
      <c r="D5287" s="809">
        <v>2016</v>
      </c>
      <c r="E5287" s="674">
        <v>10</v>
      </c>
      <c r="F5287" s="675">
        <v>0.1</v>
      </c>
      <c r="G5287" s="676">
        <v>1119</v>
      </c>
      <c r="H5287" s="929">
        <v>111.90000000000002</v>
      </c>
      <c r="I5287" s="929">
        <v>270.42500000000007</v>
      </c>
      <c r="J5287" s="689">
        <f t="shared" si="83"/>
        <v>848.57499999999993</v>
      </c>
    </row>
    <row r="5288" spans="1:10" ht="12.75" customHeight="1" x14ac:dyDescent="0.2">
      <c r="A5288" s="681">
        <v>1241</v>
      </c>
      <c r="B5288" s="693">
        <v>5111630041</v>
      </c>
      <c r="C5288" s="672" t="s">
        <v>787</v>
      </c>
      <c r="D5288" s="809">
        <v>2016</v>
      </c>
      <c r="E5288" s="674">
        <v>10</v>
      </c>
      <c r="F5288" s="675">
        <v>0.1</v>
      </c>
      <c r="G5288" s="676">
        <v>2546</v>
      </c>
      <c r="H5288" s="929">
        <v>254.6</v>
      </c>
      <c r="I5288" s="929">
        <v>615.2833333333333</v>
      </c>
      <c r="J5288" s="689">
        <f t="shared" si="83"/>
        <v>1930.7166666666667</v>
      </c>
    </row>
    <row r="5289" spans="1:10" ht="12.75" customHeight="1" x14ac:dyDescent="0.2">
      <c r="A5289" s="681">
        <v>1241</v>
      </c>
      <c r="B5289" s="693">
        <v>5111630042</v>
      </c>
      <c r="C5289" s="672" t="s">
        <v>787</v>
      </c>
      <c r="D5289" s="809">
        <v>2016</v>
      </c>
      <c r="E5289" s="674">
        <v>10</v>
      </c>
      <c r="F5289" s="675">
        <v>0.1</v>
      </c>
      <c r="G5289" s="676">
        <v>2546</v>
      </c>
      <c r="H5289" s="929">
        <v>254.6</v>
      </c>
      <c r="I5289" s="929">
        <v>615.2833333333333</v>
      </c>
      <c r="J5289" s="689">
        <f t="shared" si="83"/>
        <v>1930.7166666666667</v>
      </c>
    </row>
    <row r="5290" spans="1:10" ht="12.75" customHeight="1" x14ac:dyDescent="0.2">
      <c r="A5290" s="681">
        <v>1241</v>
      </c>
      <c r="B5290" s="693">
        <v>5111040008</v>
      </c>
      <c r="C5290" s="672" t="s">
        <v>787</v>
      </c>
      <c r="D5290" s="809">
        <v>2016</v>
      </c>
      <c r="E5290" s="674">
        <v>10</v>
      </c>
      <c r="F5290" s="675">
        <v>0.1</v>
      </c>
      <c r="G5290" s="676">
        <v>2546</v>
      </c>
      <c r="H5290" s="929">
        <v>254.6</v>
      </c>
      <c r="I5290" s="929">
        <v>615.2833333333333</v>
      </c>
      <c r="J5290" s="689">
        <f t="shared" si="83"/>
        <v>1930.7166666666667</v>
      </c>
    </row>
    <row r="5291" spans="1:10" ht="12.75" customHeight="1" x14ac:dyDescent="0.2">
      <c r="A5291" s="681">
        <v>1241</v>
      </c>
      <c r="B5291" s="693">
        <v>5111630043</v>
      </c>
      <c r="C5291" s="672" t="s">
        <v>787</v>
      </c>
      <c r="D5291" s="809">
        <v>2016</v>
      </c>
      <c r="E5291" s="674">
        <v>10</v>
      </c>
      <c r="F5291" s="675">
        <v>0.1</v>
      </c>
      <c r="G5291" s="676">
        <v>2546</v>
      </c>
      <c r="H5291" s="929">
        <v>254.6</v>
      </c>
      <c r="I5291" s="929">
        <v>615.2833333333333</v>
      </c>
      <c r="J5291" s="689">
        <f t="shared" si="83"/>
        <v>1930.7166666666667</v>
      </c>
    </row>
    <row r="5292" spans="1:10" ht="12.75" customHeight="1" x14ac:dyDescent="0.2">
      <c r="A5292" s="681">
        <v>1241</v>
      </c>
      <c r="B5292" s="693">
        <v>5110360047</v>
      </c>
      <c r="C5292" s="672" t="s">
        <v>787</v>
      </c>
      <c r="D5292" s="809">
        <v>2016</v>
      </c>
      <c r="E5292" s="674">
        <v>10</v>
      </c>
      <c r="F5292" s="675">
        <v>0.1</v>
      </c>
      <c r="G5292" s="676">
        <v>2546</v>
      </c>
      <c r="H5292" s="929">
        <v>254.6</v>
      </c>
      <c r="I5292" s="929">
        <v>615.2833333333333</v>
      </c>
      <c r="J5292" s="689">
        <f t="shared" si="83"/>
        <v>1930.7166666666667</v>
      </c>
    </row>
    <row r="5293" spans="1:10" ht="12.75" customHeight="1" x14ac:dyDescent="0.2">
      <c r="A5293" s="681">
        <v>1241</v>
      </c>
      <c r="B5293" s="693">
        <v>5111630044</v>
      </c>
      <c r="C5293" s="672" t="s">
        <v>787</v>
      </c>
      <c r="D5293" s="809">
        <v>2016</v>
      </c>
      <c r="E5293" s="674">
        <v>10</v>
      </c>
      <c r="F5293" s="675">
        <v>0.1</v>
      </c>
      <c r="G5293" s="676">
        <v>2546</v>
      </c>
      <c r="H5293" s="929">
        <v>254.6</v>
      </c>
      <c r="I5293" s="929">
        <v>615.2833333333333</v>
      </c>
      <c r="J5293" s="689">
        <f t="shared" si="83"/>
        <v>1930.7166666666667</v>
      </c>
    </row>
    <row r="5294" spans="1:10" ht="12.75" customHeight="1" x14ac:dyDescent="0.2">
      <c r="A5294" s="681">
        <v>1241</v>
      </c>
      <c r="B5294" s="693">
        <v>5111630045</v>
      </c>
      <c r="C5294" s="672" t="s">
        <v>787</v>
      </c>
      <c r="D5294" s="809">
        <v>2016</v>
      </c>
      <c r="E5294" s="674">
        <v>10</v>
      </c>
      <c r="F5294" s="675">
        <v>0.1</v>
      </c>
      <c r="G5294" s="676">
        <v>2546</v>
      </c>
      <c r="H5294" s="929">
        <v>254.6</v>
      </c>
      <c r="I5294" s="929">
        <v>615.2833333333333</v>
      </c>
      <c r="J5294" s="689">
        <f t="shared" si="83"/>
        <v>1930.7166666666667</v>
      </c>
    </row>
    <row r="5295" spans="1:10" ht="12.75" customHeight="1" x14ac:dyDescent="0.2">
      <c r="A5295" s="681">
        <v>1241</v>
      </c>
      <c r="B5295" s="693">
        <v>5111630036</v>
      </c>
      <c r="C5295" s="672" t="s">
        <v>787</v>
      </c>
      <c r="D5295" s="809">
        <v>2016</v>
      </c>
      <c r="E5295" s="674">
        <v>10</v>
      </c>
      <c r="F5295" s="675">
        <v>0.1</v>
      </c>
      <c r="G5295" s="676">
        <v>2300</v>
      </c>
      <c r="H5295" s="929">
        <v>229.99999999999997</v>
      </c>
      <c r="I5295" s="929">
        <v>555.83333333333326</v>
      </c>
      <c r="J5295" s="689">
        <f t="shared" si="83"/>
        <v>1744.1666666666667</v>
      </c>
    </row>
    <row r="5296" spans="1:10" ht="12.75" customHeight="1" x14ac:dyDescent="0.2">
      <c r="A5296" s="681">
        <v>1241</v>
      </c>
      <c r="B5296" s="693">
        <v>5110360045</v>
      </c>
      <c r="C5296" s="672" t="s">
        <v>787</v>
      </c>
      <c r="D5296" s="809">
        <v>2016</v>
      </c>
      <c r="E5296" s="674">
        <v>10</v>
      </c>
      <c r="F5296" s="675">
        <v>0.1</v>
      </c>
      <c r="G5296" s="676">
        <v>2300</v>
      </c>
      <c r="H5296" s="929">
        <v>229.99999999999997</v>
      </c>
      <c r="I5296" s="929">
        <v>555.83333333333326</v>
      </c>
      <c r="J5296" s="689">
        <f t="shared" si="83"/>
        <v>1744.1666666666667</v>
      </c>
    </row>
    <row r="5297" spans="1:10" ht="12.75" customHeight="1" x14ac:dyDescent="0.2">
      <c r="A5297" s="681">
        <v>1241</v>
      </c>
      <c r="B5297" s="693">
        <v>5110360046</v>
      </c>
      <c r="C5297" s="672" t="s">
        <v>787</v>
      </c>
      <c r="D5297" s="809">
        <v>2016</v>
      </c>
      <c r="E5297" s="674">
        <v>10</v>
      </c>
      <c r="F5297" s="675">
        <v>0.1</v>
      </c>
      <c r="G5297" s="676">
        <v>2300</v>
      </c>
      <c r="H5297" s="929">
        <v>229.99999999999997</v>
      </c>
      <c r="I5297" s="929">
        <v>555.83333333333326</v>
      </c>
      <c r="J5297" s="689">
        <f t="shared" si="83"/>
        <v>1744.1666666666667</v>
      </c>
    </row>
    <row r="5298" spans="1:10" ht="12.75" customHeight="1" x14ac:dyDescent="0.2">
      <c r="A5298" s="681">
        <v>1241</v>
      </c>
      <c r="B5298" s="693">
        <v>5111630038</v>
      </c>
      <c r="C5298" s="672" t="s">
        <v>787</v>
      </c>
      <c r="D5298" s="809">
        <v>2016</v>
      </c>
      <c r="E5298" s="674">
        <v>10</v>
      </c>
      <c r="F5298" s="675">
        <v>0.1</v>
      </c>
      <c r="G5298" s="676">
        <v>2300</v>
      </c>
      <c r="H5298" s="929">
        <v>229.99999999999997</v>
      </c>
      <c r="I5298" s="929">
        <v>555.83333333333326</v>
      </c>
      <c r="J5298" s="689">
        <f t="shared" si="83"/>
        <v>1744.1666666666667</v>
      </c>
    </row>
    <row r="5299" spans="1:10" ht="12.75" customHeight="1" x14ac:dyDescent="0.2">
      <c r="A5299" s="681">
        <v>1241</v>
      </c>
      <c r="B5299" s="693">
        <v>5111630039</v>
      </c>
      <c r="C5299" s="672" t="s">
        <v>787</v>
      </c>
      <c r="D5299" s="809">
        <v>2016</v>
      </c>
      <c r="E5299" s="674">
        <v>10</v>
      </c>
      <c r="F5299" s="675">
        <v>0.1</v>
      </c>
      <c r="G5299" s="676">
        <v>2300</v>
      </c>
      <c r="H5299" s="929">
        <v>229.99999999999997</v>
      </c>
      <c r="I5299" s="929">
        <v>555.83333333333326</v>
      </c>
      <c r="J5299" s="689">
        <f t="shared" si="83"/>
        <v>1744.1666666666667</v>
      </c>
    </row>
    <row r="5300" spans="1:10" ht="12.75" customHeight="1" x14ac:dyDescent="0.2">
      <c r="A5300" s="681">
        <v>1241</v>
      </c>
      <c r="B5300" s="693">
        <v>5111630037</v>
      </c>
      <c r="C5300" s="672" t="s">
        <v>787</v>
      </c>
      <c r="D5300" s="809">
        <v>2016</v>
      </c>
      <c r="E5300" s="674">
        <v>10</v>
      </c>
      <c r="F5300" s="675">
        <v>0.1</v>
      </c>
      <c r="G5300" s="676">
        <v>2300</v>
      </c>
      <c r="H5300" s="929">
        <v>229.99999999999997</v>
      </c>
      <c r="I5300" s="929">
        <v>555.83333333333326</v>
      </c>
      <c r="J5300" s="689">
        <f t="shared" si="83"/>
        <v>1744.1666666666667</v>
      </c>
    </row>
    <row r="5301" spans="1:10" ht="12.75" customHeight="1" x14ac:dyDescent="0.2">
      <c r="A5301" s="681">
        <v>1241</v>
      </c>
      <c r="B5301" s="693">
        <v>5111630040</v>
      </c>
      <c r="C5301" s="672" t="s">
        <v>787</v>
      </c>
      <c r="D5301" s="809">
        <v>2016</v>
      </c>
      <c r="E5301" s="674">
        <v>10</v>
      </c>
      <c r="F5301" s="675">
        <v>0.1</v>
      </c>
      <c r="G5301" s="676">
        <v>2300</v>
      </c>
      <c r="H5301" s="929">
        <v>229.99999999999997</v>
      </c>
      <c r="I5301" s="929">
        <v>555.83333333333326</v>
      </c>
      <c r="J5301" s="689">
        <f t="shared" si="83"/>
        <v>1744.1666666666667</v>
      </c>
    </row>
    <row r="5302" spans="1:10" ht="12.75" customHeight="1" x14ac:dyDescent="0.2">
      <c r="A5302" s="681">
        <v>1241</v>
      </c>
      <c r="B5302" s="693">
        <v>5151100005</v>
      </c>
      <c r="C5302" s="672" t="s">
        <v>2360</v>
      </c>
      <c r="D5302" s="809">
        <v>2016</v>
      </c>
      <c r="E5302" s="674">
        <v>3</v>
      </c>
      <c r="F5302" s="675">
        <v>0.33</v>
      </c>
      <c r="G5302" s="676">
        <v>5510</v>
      </c>
      <c r="H5302" s="929">
        <v>1818.3000000000004</v>
      </c>
      <c r="I5302" s="929">
        <v>4394.2250000000013</v>
      </c>
      <c r="J5302" s="689">
        <f t="shared" si="83"/>
        <v>1115.7749999999987</v>
      </c>
    </row>
    <row r="5303" spans="1:10" ht="12.75" customHeight="1" x14ac:dyDescent="0.2">
      <c r="A5303" s="681">
        <v>1241</v>
      </c>
      <c r="B5303" s="693">
        <v>5151390034</v>
      </c>
      <c r="C5303" s="672" t="s">
        <v>2353</v>
      </c>
      <c r="D5303" s="809">
        <v>2016</v>
      </c>
      <c r="E5303" s="674">
        <v>3</v>
      </c>
      <c r="F5303" s="675">
        <v>0.33</v>
      </c>
      <c r="G5303" s="676">
        <v>5997.2</v>
      </c>
      <c r="H5303" s="929">
        <v>1979.076</v>
      </c>
      <c r="I5303" s="929">
        <v>4782.7669999999998</v>
      </c>
      <c r="J5303" s="689">
        <f t="shared" si="83"/>
        <v>1214.433</v>
      </c>
    </row>
    <row r="5304" spans="1:10" ht="12.75" customHeight="1" x14ac:dyDescent="0.2">
      <c r="A5304" s="681">
        <v>1242</v>
      </c>
      <c r="B5304" s="693">
        <v>5652700007</v>
      </c>
      <c r="C5304" s="672" t="s">
        <v>891</v>
      </c>
      <c r="D5304" s="809">
        <v>2016</v>
      </c>
      <c r="E5304" s="674">
        <v>3</v>
      </c>
      <c r="F5304" s="675">
        <v>0.33</v>
      </c>
      <c r="G5304" s="676">
        <v>8468</v>
      </c>
      <c r="H5304" s="929">
        <v>2794.4399999999991</v>
      </c>
      <c r="I5304" s="929">
        <v>6753.2299999999977</v>
      </c>
      <c r="J5304" s="689">
        <f t="shared" si="83"/>
        <v>1714.7700000000023</v>
      </c>
    </row>
    <row r="5305" spans="1:10" ht="12.75" customHeight="1" x14ac:dyDescent="0.2">
      <c r="A5305" s="681">
        <v>1244</v>
      </c>
      <c r="B5305" s="693">
        <v>5410150013</v>
      </c>
      <c r="C5305" s="672" t="s">
        <v>2491</v>
      </c>
      <c r="D5305" s="809">
        <v>2016</v>
      </c>
      <c r="E5305" s="674">
        <v>10</v>
      </c>
      <c r="F5305" s="675">
        <v>0.1</v>
      </c>
      <c r="G5305" s="676">
        <v>108808</v>
      </c>
      <c r="H5305" s="929">
        <v>10880.800000000001</v>
      </c>
      <c r="I5305" s="929">
        <v>26295.26666666667</v>
      </c>
      <c r="J5305" s="689">
        <f t="shared" si="83"/>
        <v>82512.733333333337</v>
      </c>
    </row>
    <row r="5306" spans="1:10" ht="12.75" customHeight="1" x14ac:dyDescent="0.2">
      <c r="A5306" s="681">
        <v>1244</v>
      </c>
      <c r="B5306" s="693">
        <v>5410150012</v>
      </c>
      <c r="C5306" s="672" t="s">
        <v>2495</v>
      </c>
      <c r="D5306" s="809">
        <v>2016</v>
      </c>
      <c r="E5306" s="674">
        <v>10</v>
      </c>
      <c r="F5306" s="675">
        <v>0.1</v>
      </c>
      <c r="G5306" s="676">
        <v>64148</v>
      </c>
      <c r="H5306" s="929">
        <v>6414.7999999999993</v>
      </c>
      <c r="I5306" s="929">
        <v>15502.433333333332</v>
      </c>
      <c r="J5306" s="689">
        <f t="shared" si="83"/>
        <v>48645.566666666666</v>
      </c>
    </row>
    <row r="5307" spans="1:10" ht="12.75" customHeight="1" x14ac:dyDescent="0.2">
      <c r="A5307" s="681">
        <v>1241</v>
      </c>
      <c r="B5307" s="693">
        <v>5112930001</v>
      </c>
      <c r="C5307" s="672" t="s">
        <v>2496</v>
      </c>
      <c r="D5307" s="809">
        <v>2016</v>
      </c>
      <c r="E5307" s="674">
        <v>10</v>
      </c>
      <c r="F5307" s="675">
        <v>0.1</v>
      </c>
      <c r="G5307" s="676">
        <v>3590</v>
      </c>
      <c r="H5307" s="929">
        <v>359.00000000000006</v>
      </c>
      <c r="I5307" s="929">
        <v>807.75000000000011</v>
      </c>
      <c r="J5307" s="689">
        <f t="shared" si="83"/>
        <v>2782.25</v>
      </c>
    </row>
    <row r="5308" spans="1:10" ht="12.75" customHeight="1" x14ac:dyDescent="0.2">
      <c r="A5308" s="681">
        <v>1241</v>
      </c>
      <c r="B5308" s="693">
        <v>5112930002</v>
      </c>
      <c r="C5308" s="672" t="s">
        <v>2496</v>
      </c>
      <c r="D5308" s="809">
        <v>2016</v>
      </c>
      <c r="E5308" s="674">
        <v>10</v>
      </c>
      <c r="F5308" s="675">
        <v>0.1</v>
      </c>
      <c r="G5308" s="676">
        <v>3590</v>
      </c>
      <c r="H5308" s="929">
        <v>359.00000000000006</v>
      </c>
      <c r="I5308" s="929">
        <v>807.75000000000011</v>
      </c>
      <c r="J5308" s="689">
        <f t="shared" si="83"/>
        <v>2782.25</v>
      </c>
    </row>
    <row r="5309" spans="1:10" ht="12.75" customHeight="1" x14ac:dyDescent="0.2">
      <c r="A5309" s="681">
        <v>1241</v>
      </c>
      <c r="B5309" s="693">
        <v>5112930003</v>
      </c>
      <c r="C5309" s="672" t="s">
        <v>2496</v>
      </c>
      <c r="D5309" s="809">
        <v>2016</v>
      </c>
      <c r="E5309" s="674">
        <v>10</v>
      </c>
      <c r="F5309" s="675">
        <v>0.1</v>
      </c>
      <c r="G5309" s="676">
        <v>3590</v>
      </c>
      <c r="H5309" s="929">
        <v>359.00000000000006</v>
      </c>
      <c r="I5309" s="929">
        <v>807.75000000000011</v>
      </c>
      <c r="J5309" s="689">
        <f t="shared" si="83"/>
        <v>2782.25</v>
      </c>
    </row>
    <row r="5310" spans="1:10" ht="12.75" customHeight="1" x14ac:dyDescent="0.2">
      <c r="A5310" s="681">
        <v>1241</v>
      </c>
      <c r="B5310" s="693">
        <v>5112930004</v>
      </c>
      <c r="C5310" s="672" t="s">
        <v>2496</v>
      </c>
      <c r="D5310" s="809">
        <v>2016</v>
      </c>
      <c r="E5310" s="674">
        <v>10</v>
      </c>
      <c r="F5310" s="675">
        <v>0.1</v>
      </c>
      <c r="G5310" s="676">
        <v>3590</v>
      </c>
      <c r="H5310" s="929">
        <v>359.00000000000006</v>
      </c>
      <c r="I5310" s="929">
        <v>807.75000000000011</v>
      </c>
      <c r="J5310" s="689">
        <f t="shared" si="83"/>
        <v>2782.25</v>
      </c>
    </row>
    <row r="5311" spans="1:10" ht="12.75" customHeight="1" x14ac:dyDescent="0.2">
      <c r="A5311" s="681">
        <v>1241</v>
      </c>
      <c r="B5311" s="693">
        <v>5112930005</v>
      </c>
      <c r="C5311" s="672" t="s">
        <v>2496</v>
      </c>
      <c r="D5311" s="809">
        <v>2016</v>
      </c>
      <c r="E5311" s="674">
        <v>10</v>
      </c>
      <c r="F5311" s="675">
        <v>0.1</v>
      </c>
      <c r="G5311" s="676">
        <v>3590</v>
      </c>
      <c r="H5311" s="929">
        <v>359.00000000000006</v>
      </c>
      <c r="I5311" s="929">
        <v>807.75000000000011</v>
      </c>
      <c r="J5311" s="689">
        <f t="shared" si="83"/>
        <v>2782.25</v>
      </c>
    </row>
    <row r="5312" spans="1:10" ht="12.75" customHeight="1" x14ac:dyDescent="0.2">
      <c r="A5312" s="681">
        <v>1241</v>
      </c>
      <c r="B5312" s="693">
        <v>5112930006</v>
      </c>
      <c r="C5312" s="672" t="s">
        <v>2496</v>
      </c>
      <c r="D5312" s="809">
        <v>2016</v>
      </c>
      <c r="E5312" s="674">
        <v>10</v>
      </c>
      <c r="F5312" s="675">
        <v>0.1</v>
      </c>
      <c r="G5312" s="676">
        <v>3590</v>
      </c>
      <c r="H5312" s="929">
        <v>359.00000000000006</v>
      </c>
      <c r="I5312" s="929">
        <v>807.75000000000011</v>
      </c>
      <c r="J5312" s="689">
        <f t="shared" si="83"/>
        <v>2782.25</v>
      </c>
    </row>
    <row r="5313" spans="1:10" ht="12.75" customHeight="1" x14ac:dyDescent="0.2">
      <c r="A5313" s="681">
        <v>1246</v>
      </c>
      <c r="B5313" s="693">
        <v>5111200004</v>
      </c>
      <c r="C5313" s="672" t="s">
        <v>1003</v>
      </c>
      <c r="D5313" s="809">
        <v>2016</v>
      </c>
      <c r="E5313" s="674">
        <v>10</v>
      </c>
      <c r="F5313" s="675">
        <v>0.1</v>
      </c>
      <c r="G5313" s="676">
        <v>77600</v>
      </c>
      <c r="H5313" s="929">
        <v>7760.0000000000009</v>
      </c>
      <c r="I5313" s="929">
        <v>17460</v>
      </c>
      <c r="J5313" s="689">
        <f t="shared" si="83"/>
        <v>60140</v>
      </c>
    </row>
    <row r="5314" spans="1:10" ht="12.75" customHeight="1" x14ac:dyDescent="0.2">
      <c r="A5314" s="681">
        <v>1246</v>
      </c>
      <c r="B5314" s="693">
        <v>5112270011</v>
      </c>
      <c r="C5314" s="672" t="s">
        <v>1056</v>
      </c>
      <c r="D5314" s="809">
        <v>2016</v>
      </c>
      <c r="E5314" s="674">
        <v>10</v>
      </c>
      <c r="F5314" s="675">
        <v>0.1</v>
      </c>
      <c r="G5314" s="676">
        <v>8150</v>
      </c>
      <c r="H5314" s="929">
        <v>814.99999999999989</v>
      </c>
      <c r="I5314" s="929">
        <v>1833.7499999999998</v>
      </c>
      <c r="J5314" s="689">
        <f t="shared" si="83"/>
        <v>6316.25</v>
      </c>
    </row>
    <row r="5315" spans="1:10" ht="12.75" customHeight="1" x14ac:dyDescent="0.2">
      <c r="A5315" s="681">
        <v>1246</v>
      </c>
      <c r="B5315" s="693">
        <v>5112270012</v>
      </c>
      <c r="C5315" s="672" t="s">
        <v>1056</v>
      </c>
      <c r="D5315" s="809">
        <v>2016</v>
      </c>
      <c r="E5315" s="674">
        <v>10</v>
      </c>
      <c r="F5315" s="675">
        <v>0.1</v>
      </c>
      <c r="G5315" s="676">
        <v>8150</v>
      </c>
      <c r="H5315" s="929">
        <v>814.99999999999989</v>
      </c>
      <c r="I5315" s="929">
        <v>1833.7499999999998</v>
      </c>
      <c r="J5315" s="689">
        <f t="shared" ref="J5315:J5378" si="84">G5315-I5315</f>
        <v>6316.25</v>
      </c>
    </row>
    <row r="5316" spans="1:10" ht="12.75" customHeight="1" x14ac:dyDescent="0.2">
      <c r="A5316" s="681">
        <v>1246</v>
      </c>
      <c r="B5316" s="693">
        <v>5112270013</v>
      </c>
      <c r="C5316" s="672" t="s">
        <v>1056</v>
      </c>
      <c r="D5316" s="809">
        <v>2016</v>
      </c>
      <c r="E5316" s="674">
        <v>10</v>
      </c>
      <c r="F5316" s="675">
        <v>0.1</v>
      </c>
      <c r="G5316" s="676">
        <v>8150</v>
      </c>
      <c r="H5316" s="929">
        <v>814.99999999999989</v>
      </c>
      <c r="I5316" s="929">
        <v>1833.7499999999998</v>
      </c>
      <c r="J5316" s="689">
        <f t="shared" si="84"/>
        <v>6316.25</v>
      </c>
    </row>
    <row r="5317" spans="1:10" ht="12.75" customHeight="1" x14ac:dyDescent="0.2">
      <c r="A5317" s="681">
        <v>1246</v>
      </c>
      <c r="B5317" s="693">
        <v>5111490006</v>
      </c>
      <c r="C5317" s="672" t="s">
        <v>737</v>
      </c>
      <c r="D5317" s="809">
        <v>2016</v>
      </c>
      <c r="E5317" s="674">
        <v>10</v>
      </c>
      <c r="F5317" s="675">
        <v>0.1</v>
      </c>
      <c r="G5317" s="676">
        <v>17064.54</v>
      </c>
      <c r="H5317" s="929">
        <v>1706.4540000000004</v>
      </c>
      <c r="I5317" s="929">
        <v>3839.5215000000007</v>
      </c>
      <c r="J5317" s="689">
        <f t="shared" si="84"/>
        <v>13225.0185</v>
      </c>
    </row>
    <row r="5318" spans="1:10" ht="12.75" customHeight="1" x14ac:dyDescent="0.2">
      <c r="A5318" s="681">
        <v>1246</v>
      </c>
      <c r="B5318" s="693">
        <v>5111490007</v>
      </c>
      <c r="C5318" s="672" t="s">
        <v>737</v>
      </c>
      <c r="D5318" s="809">
        <v>2016</v>
      </c>
      <c r="E5318" s="674">
        <v>10</v>
      </c>
      <c r="F5318" s="675">
        <v>0.1</v>
      </c>
      <c r="G5318" s="676">
        <v>17064.54</v>
      </c>
      <c r="H5318" s="929">
        <v>1706.4540000000004</v>
      </c>
      <c r="I5318" s="929">
        <v>3839.5215000000007</v>
      </c>
      <c r="J5318" s="689">
        <f t="shared" si="84"/>
        <v>13225.0185</v>
      </c>
    </row>
    <row r="5319" spans="1:10" ht="12.75" customHeight="1" x14ac:dyDescent="0.2">
      <c r="A5319" s="681">
        <v>1246</v>
      </c>
      <c r="B5319" s="693">
        <v>5111490008</v>
      </c>
      <c r="C5319" s="672" t="s">
        <v>737</v>
      </c>
      <c r="D5319" s="809">
        <v>2016</v>
      </c>
      <c r="E5319" s="674">
        <v>10</v>
      </c>
      <c r="F5319" s="675">
        <v>0.1</v>
      </c>
      <c r="G5319" s="676">
        <v>17064.54</v>
      </c>
      <c r="H5319" s="929">
        <v>1706.4540000000004</v>
      </c>
      <c r="I5319" s="929">
        <v>3839.5215000000007</v>
      </c>
      <c r="J5319" s="689">
        <f t="shared" si="84"/>
        <v>13225.0185</v>
      </c>
    </row>
    <row r="5320" spans="1:10" ht="12.75" customHeight="1" x14ac:dyDescent="0.2">
      <c r="A5320" s="681">
        <v>1246</v>
      </c>
      <c r="B5320" s="693">
        <v>5111490009</v>
      </c>
      <c r="C5320" s="672" t="s">
        <v>737</v>
      </c>
      <c r="D5320" s="809">
        <v>2016</v>
      </c>
      <c r="E5320" s="674">
        <v>10</v>
      </c>
      <c r="F5320" s="675">
        <v>0.1</v>
      </c>
      <c r="G5320" s="676">
        <v>17064.54</v>
      </c>
      <c r="H5320" s="929">
        <v>1706.4540000000004</v>
      </c>
      <c r="I5320" s="929">
        <v>3839.5215000000007</v>
      </c>
      <c r="J5320" s="689">
        <f t="shared" si="84"/>
        <v>13225.0185</v>
      </c>
    </row>
    <row r="5321" spans="1:10" ht="12.75" customHeight="1" x14ac:dyDescent="0.2">
      <c r="A5321" s="681">
        <v>1246</v>
      </c>
      <c r="B5321" s="693">
        <v>5111490010</v>
      </c>
      <c r="C5321" s="672" t="s">
        <v>737</v>
      </c>
      <c r="D5321" s="809">
        <v>2016</v>
      </c>
      <c r="E5321" s="674">
        <v>10</v>
      </c>
      <c r="F5321" s="675">
        <v>0.1</v>
      </c>
      <c r="G5321" s="676">
        <v>17064.54</v>
      </c>
      <c r="H5321" s="929">
        <v>1706.4540000000004</v>
      </c>
      <c r="I5321" s="929">
        <v>3839.5215000000007</v>
      </c>
      <c r="J5321" s="689">
        <f t="shared" si="84"/>
        <v>13225.0185</v>
      </c>
    </row>
    <row r="5322" spans="1:10" ht="12.75" customHeight="1" x14ac:dyDescent="0.2">
      <c r="A5322" s="681">
        <v>1246</v>
      </c>
      <c r="B5322" s="693">
        <v>5111490011</v>
      </c>
      <c r="C5322" s="672" t="s">
        <v>737</v>
      </c>
      <c r="D5322" s="809">
        <v>2016</v>
      </c>
      <c r="E5322" s="674">
        <v>10</v>
      </c>
      <c r="F5322" s="675">
        <v>0.1</v>
      </c>
      <c r="G5322" s="676">
        <v>17064.54</v>
      </c>
      <c r="H5322" s="929">
        <v>1706.4540000000004</v>
      </c>
      <c r="I5322" s="929">
        <v>3839.5215000000007</v>
      </c>
      <c r="J5322" s="689">
        <f t="shared" si="84"/>
        <v>13225.0185</v>
      </c>
    </row>
    <row r="5323" spans="1:10" ht="12.75" customHeight="1" x14ac:dyDescent="0.2">
      <c r="A5323" s="681">
        <v>1246</v>
      </c>
      <c r="B5323" s="693">
        <v>5111490012</v>
      </c>
      <c r="C5323" s="672" t="s">
        <v>737</v>
      </c>
      <c r="D5323" s="809">
        <v>2016</v>
      </c>
      <c r="E5323" s="674">
        <v>10</v>
      </c>
      <c r="F5323" s="675">
        <v>0.1</v>
      </c>
      <c r="G5323" s="676">
        <v>17064.54</v>
      </c>
      <c r="H5323" s="929">
        <v>1706.4540000000004</v>
      </c>
      <c r="I5323" s="929">
        <v>3839.5215000000007</v>
      </c>
      <c r="J5323" s="689">
        <f t="shared" si="84"/>
        <v>13225.0185</v>
      </c>
    </row>
    <row r="5324" spans="1:10" ht="12.75" customHeight="1" x14ac:dyDescent="0.2">
      <c r="A5324" s="681">
        <v>1246</v>
      </c>
      <c r="B5324" s="693">
        <v>5111490013</v>
      </c>
      <c r="C5324" s="672" t="s">
        <v>737</v>
      </c>
      <c r="D5324" s="809">
        <v>2016</v>
      </c>
      <c r="E5324" s="674">
        <v>10</v>
      </c>
      <c r="F5324" s="675">
        <v>0.1</v>
      </c>
      <c r="G5324" s="676">
        <v>17064.54</v>
      </c>
      <c r="H5324" s="929">
        <v>1706.4540000000004</v>
      </c>
      <c r="I5324" s="929">
        <v>3839.5215000000007</v>
      </c>
      <c r="J5324" s="689">
        <f t="shared" si="84"/>
        <v>13225.0185</v>
      </c>
    </row>
    <row r="5325" spans="1:10" ht="12.75" customHeight="1" x14ac:dyDescent="0.2">
      <c r="A5325" s="681">
        <v>1246</v>
      </c>
      <c r="B5325" s="693">
        <v>5111490014</v>
      </c>
      <c r="C5325" s="672" t="s">
        <v>737</v>
      </c>
      <c r="D5325" s="809">
        <v>2016</v>
      </c>
      <c r="E5325" s="674">
        <v>10</v>
      </c>
      <c r="F5325" s="675">
        <v>0.1</v>
      </c>
      <c r="G5325" s="676">
        <v>17064.54</v>
      </c>
      <c r="H5325" s="929">
        <v>1706.4540000000004</v>
      </c>
      <c r="I5325" s="929">
        <v>3839.5215000000007</v>
      </c>
      <c r="J5325" s="689">
        <f t="shared" si="84"/>
        <v>13225.0185</v>
      </c>
    </row>
    <row r="5326" spans="1:10" ht="12.75" customHeight="1" x14ac:dyDescent="0.2">
      <c r="A5326" s="681">
        <v>1246</v>
      </c>
      <c r="B5326" s="693">
        <v>5111490015</v>
      </c>
      <c r="C5326" s="672" t="s">
        <v>737</v>
      </c>
      <c r="D5326" s="809">
        <v>2016</v>
      </c>
      <c r="E5326" s="674">
        <v>10</v>
      </c>
      <c r="F5326" s="675">
        <v>0.1</v>
      </c>
      <c r="G5326" s="676">
        <v>17064.54</v>
      </c>
      <c r="H5326" s="929">
        <v>1706.4540000000004</v>
      </c>
      <c r="I5326" s="929">
        <v>3839.5215000000007</v>
      </c>
      <c r="J5326" s="689">
        <f t="shared" si="84"/>
        <v>13225.0185</v>
      </c>
    </row>
    <row r="5327" spans="1:10" ht="12.75" customHeight="1" x14ac:dyDescent="0.2">
      <c r="A5327" s="681">
        <v>1246</v>
      </c>
      <c r="B5327" s="693">
        <v>5111490016</v>
      </c>
      <c r="C5327" s="672" t="s">
        <v>737</v>
      </c>
      <c r="D5327" s="809">
        <v>2016</v>
      </c>
      <c r="E5327" s="674">
        <v>10</v>
      </c>
      <c r="F5327" s="675">
        <v>0.1</v>
      </c>
      <c r="G5327" s="676">
        <v>17064.54</v>
      </c>
      <c r="H5327" s="929">
        <v>1706.4540000000004</v>
      </c>
      <c r="I5327" s="929">
        <v>3839.5215000000007</v>
      </c>
      <c r="J5327" s="689">
        <f t="shared" si="84"/>
        <v>13225.0185</v>
      </c>
    </row>
    <row r="5328" spans="1:10" ht="12.75" customHeight="1" x14ac:dyDescent="0.2">
      <c r="A5328" s="681">
        <v>1246</v>
      </c>
      <c r="B5328" s="693">
        <v>5111490004</v>
      </c>
      <c r="C5328" s="672" t="s">
        <v>737</v>
      </c>
      <c r="D5328" s="809">
        <v>2016</v>
      </c>
      <c r="E5328" s="674">
        <v>10</v>
      </c>
      <c r="F5328" s="675">
        <v>0.1</v>
      </c>
      <c r="G5328" s="676">
        <v>17064.54</v>
      </c>
      <c r="H5328" s="929">
        <v>1706.4540000000004</v>
      </c>
      <c r="I5328" s="929">
        <v>3839.5215000000007</v>
      </c>
      <c r="J5328" s="689">
        <f t="shared" si="84"/>
        <v>13225.0185</v>
      </c>
    </row>
    <row r="5329" spans="1:10" ht="12.75" customHeight="1" x14ac:dyDescent="0.2">
      <c r="A5329" s="681">
        <v>1246</v>
      </c>
      <c r="B5329" s="693">
        <v>5111490005</v>
      </c>
      <c r="C5329" s="672" t="s">
        <v>737</v>
      </c>
      <c r="D5329" s="809">
        <v>2016</v>
      </c>
      <c r="E5329" s="674">
        <v>10</v>
      </c>
      <c r="F5329" s="675">
        <v>0.1</v>
      </c>
      <c r="G5329" s="676">
        <v>17064.54</v>
      </c>
      <c r="H5329" s="929">
        <v>1706.4540000000004</v>
      </c>
      <c r="I5329" s="929">
        <v>3839.5215000000007</v>
      </c>
      <c r="J5329" s="689">
        <f t="shared" si="84"/>
        <v>13225.0185</v>
      </c>
    </row>
    <row r="5330" spans="1:10" ht="12.75" customHeight="1" x14ac:dyDescent="0.2">
      <c r="A5330" s="681">
        <v>1241</v>
      </c>
      <c r="B5330" s="693">
        <v>5150640002</v>
      </c>
      <c r="C5330" s="672" t="s">
        <v>2497</v>
      </c>
      <c r="D5330" s="809">
        <v>2016</v>
      </c>
      <c r="E5330" s="674">
        <v>3</v>
      </c>
      <c r="F5330" s="675">
        <v>0.33</v>
      </c>
      <c r="G5330" s="676">
        <v>23142</v>
      </c>
      <c r="H5330" s="929">
        <v>7636.8599999999979</v>
      </c>
      <c r="I5330" s="929">
        <v>16546.529999999995</v>
      </c>
      <c r="J5330" s="689">
        <f t="shared" si="84"/>
        <v>6595.4700000000048</v>
      </c>
    </row>
    <row r="5331" spans="1:10" ht="12.75" customHeight="1" x14ac:dyDescent="0.2">
      <c r="A5331" s="681">
        <v>1241</v>
      </c>
      <c r="B5331" s="693">
        <v>5150640003</v>
      </c>
      <c r="C5331" s="672" t="s">
        <v>2497</v>
      </c>
      <c r="D5331" s="809">
        <v>2016</v>
      </c>
      <c r="E5331" s="674">
        <v>3</v>
      </c>
      <c r="F5331" s="675">
        <v>0.33</v>
      </c>
      <c r="G5331" s="676">
        <v>27776.2</v>
      </c>
      <c r="H5331" s="929">
        <v>9166.1460000000006</v>
      </c>
      <c r="I5331" s="929">
        <v>19096.137500000001</v>
      </c>
      <c r="J5331" s="689">
        <f t="shared" si="84"/>
        <v>8680.0625</v>
      </c>
    </row>
    <row r="5332" spans="1:10" ht="12.75" customHeight="1" x14ac:dyDescent="0.2">
      <c r="A5332" s="681">
        <v>1241</v>
      </c>
      <c r="B5332" s="693">
        <v>5151170009</v>
      </c>
      <c r="C5332" s="672" t="s">
        <v>2498</v>
      </c>
      <c r="D5332" s="809">
        <v>2016</v>
      </c>
      <c r="E5332" s="674">
        <v>3</v>
      </c>
      <c r="F5332" s="675">
        <v>0.33</v>
      </c>
      <c r="G5332" s="676">
        <v>6554</v>
      </c>
      <c r="H5332" s="929">
        <v>2162.8200000000006</v>
      </c>
      <c r="I5332" s="929">
        <v>4505.8750000000018</v>
      </c>
      <c r="J5332" s="689">
        <f t="shared" si="84"/>
        <v>2048.1249999999982</v>
      </c>
    </row>
    <row r="5333" spans="1:10" ht="12.75" customHeight="1" x14ac:dyDescent="0.2">
      <c r="A5333" s="681">
        <v>1241</v>
      </c>
      <c r="B5333" s="693">
        <v>5150640004</v>
      </c>
      <c r="C5333" s="672" t="s">
        <v>899</v>
      </c>
      <c r="D5333" s="809">
        <v>2016</v>
      </c>
      <c r="E5333" s="674">
        <v>3</v>
      </c>
      <c r="F5333" s="675">
        <v>0.33</v>
      </c>
      <c r="G5333" s="676">
        <v>20822</v>
      </c>
      <c r="H5333" s="929">
        <v>6871.2599999999984</v>
      </c>
      <c r="I5333" s="929">
        <v>14315.124999999996</v>
      </c>
      <c r="J5333" s="689">
        <f t="shared" si="84"/>
        <v>6506.8750000000036</v>
      </c>
    </row>
    <row r="5334" spans="1:10" ht="12.75" customHeight="1" x14ac:dyDescent="0.2">
      <c r="A5334" s="681">
        <v>1241</v>
      </c>
      <c r="B5334" s="693">
        <v>5151260020</v>
      </c>
      <c r="C5334" s="672" t="s">
        <v>2499</v>
      </c>
      <c r="D5334" s="809">
        <v>2016</v>
      </c>
      <c r="E5334" s="674">
        <v>3</v>
      </c>
      <c r="F5334" s="675">
        <v>0.33</v>
      </c>
      <c r="G5334" s="676">
        <v>16472</v>
      </c>
      <c r="H5334" s="929">
        <v>5435.76</v>
      </c>
      <c r="I5334" s="929">
        <v>11324.5</v>
      </c>
      <c r="J5334" s="689">
        <f t="shared" si="84"/>
        <v>5147.5</v>
      </c>
    </row>
    <row r="5335" spans="1:10" ht="12.75" customHeight="1" x14ac:dyDescent="0.2">
      <c r="A5335" s="681">
        <v>1241</v>
      </c>
      <c r="B5335" s="693">
        <v>5151260031</v>
      </c>
      <c r="C5335" s="672" t="s">
        <v>2499</v>
      </c>
      <c r="D5335" s="809">
        <v>2016</v>
      </c>
      <c r="E5335" s="674">
        <v>3</v>
      </c>
      <c r="F5335" s="675">
        <v>0.33</v>
      </c>
      <c r="G5335" s="676">
        <v>16472</v>
      </c>
      <c r="H5335" s="929">
        <v>5435.76</v>
      </c>
      <c r="I5335" s="929">
        <v>11324.5</v>
      </c>
      <c r="J5335" s="689">
        <f t="shared" si="84"/>
        <v>5147.5</v>
      </c>
    </row>
    <row r="5336" spans="1:10" ht="12.75" customHeight="1" x14ac:dyDescent="0.2">
      <c r="A5336" s="681">
        <v>1241</v>
      </c>
      <c r="B5336" s="693">
        <v>5151260022</v>
      </c>
      <c r="C5336" s="672" t="s">
        <v>2499</v>
      </c>
      <c r="D5336" s="809">
        <v>2016</v>
      </c>
      <c r="E5336" s="674">
        <v>3</v>
      </c>
      <c r="F5336" s="675">
        <v>0.33</v>
      </c>
      <c r="G5336" s="676">
        <v>16472</v>
      </c>
      <c r="H5336" s="929">
        <v>5435.76</v>
      </c>
      <c r="I5336" s="929">
        <v>11324.5</v>
      </c>
      <c r="J5336" s="689">
        <f t="shared" si="84"/>
        <v>5147.5</v>
      </c>
    </row>
    <row r="5337" spans="1:10" ht="12.75" customHeight="1" x14ac:dyDescent="0.2">
      <c r="A5337" s="681">
        <v>1241</v>
      </c>
      <c r="B5337" s="693">
        <v>5151260023</v>
      </c>
      <c r="C5337" s="672" t="s">
        <v>2499</v>
      </c>
      <c r="D5337" s="809">
        <v>2016</v>
      </c>
      <c r="E5337" s="674">
        <v>3</v>
      </c>
      <c r="F5337" s="675">
        <v>0.33</v>
      </c>
      <c r="G5337" s="676">
        <v>16472</v>
      </c>
      <c r="H5337" s="929">
        <v>5435.76</v>
      </c>
      <c r="I5337" s="929">
        <v>11324.5</v>
      </c>
      <c r="J5337" s="689">
        <f t="shared" si="84"/>
        <v>5147.5</v>
      </c>
    </row>
    <row r="5338" spans="1:10" ht="12.75" customHeight="1" x14ac:dyDescent="0.2">
      <c r="A5338" s="681">
        <v>1241</v>
      </c>
      <c r="B5338" s="693">
        <v>5151260024</v>
      </c>
      <c r="C5338" s="672" t="s">
        <v>2499</v>
      </c>
      <c r="D5338" s="809">
        <v>2016</v>
      </c>
      <c r="E5338" s="674">
        <v>3</v>
      </c>
      <c r="F5338" s="675">
        <v>0.33</v>
      </c>
      <c r="G5338" s="676">
        <v>16472</v>
      </c>
      <c r="H5338" s="929">
        <v>5435.76</v>
      </c>
      <c r="I5338" s="929">
        <v>11324.5</v>
      </c>
      <c r="J5338" s="689">
        <f t="shared" si="84"/>
        <v>5147.5</v>
      </c>
    </row>
    <row r="5339" spans="1:10" ht="12.75" customHeight="1" x14ac:dyDescent="0.2">
      <c r="A5339" s="681">
        <v>1241</v>
      </c>
      <c r="B5339" s="693">
        <v>5151260025</v>
      </c>
      <c r="C5339" s="672" t="s">
        <v>2499</v>
      </c>
      <c r="D5339" s="809">
        <v>2016</v>
      </c>
      <c r="E5339" s="674">
        <v>3</v>
      </c>
      <c r="F5339" s="675">
        <v>0.33</v>
      </c>
      <c r="G5339" s="676">
        <v>16472</v>
      </c>
      <c r="H5339" s="929">
        <v>5435.76</v>
      </c>
      <c r="I5339" s="929">
        <v>11324.5</v>
      </c>
      <c r="J5339" s="689">
        <f t="shared" si="84"/>
        <v>5147.5</v>
      </c>
    </row>
    <row r="5340" spans="1:10" ht="12.75" customHeight="1" x14ac:dyDescent="0.2">
      <c r="A5340" s="681">
        <v>1241</v>
      </c>
      <c r="B5340" s="693">
        <v>5151260026</v>
      </c>
      <c r="C5340" s="672" t="s">
        <v>2499</v>
      </c>
      <c r="D5340" s="809">
        <v>2016</v>
      </c>
      <c r="E5340" s="674">
        <v>3</v>
      </c>
      <c r="F5340" s="675">
        <v>0.33</v>
      </c>
      <c r="G5340" s="676">
        <v>16472</v>
      </c>
      <c r="H5340" s="929">
        <v>5435.76</v>
      </c>
      <c r="I5340" s="929">
        <v>11324.5</v>
      </c>
      <c r="J5340" s="689">
        <f t="shared" si="84"/>
        <v>5147.5</v>
      </c>
    </row>
    <row r="5341" spans="1:10" ht="12.75" customHeight="1" x14ac:dyDescent="0.2">
      <c r="A5341" s="681">
        <v>1241</v>
      </c>
      <c r="B5341" s="693">
        <v>5151260027</v>
      </c>
      <c r="C5341" s="672" t="s">
        <v>2499</v>
      </c>
      <c r="D5341" s="809">
        <v>2016</v>
      </c>
      <c r="E5341" s="674">
        <v>3</v>
      </c>
      <c r="F5341" s="675">
        <v>0.33</v>
      </c>
      <c r="G5341" s="676">
        <v>16472</v>
      </c>
      <c r="H5341" s="929">
        <v>5435.76</v>
      </c>
      <c r="I5341" s="929">
        <v>11324.5</v>
      </c>
      <c r="J5341" s="689">
        <f t="shared" si="84"/>
        <v>5147.5</v>
      </c>
    </row>
    <row r="5342" spans="1:10" ht="12.75" customHeight="1" x14ac:dyDescent="0.2">
      <c r="A5342" s="681">
        <v>1241</v>
      </c>
      <c r="B5342" s="693">
        <v>5151260028</v>
      </c>
      <c r="C5342" s="672" t="s">
        <v>2499</v>
      </c>
      <c r="D5342" s="809">
        <v>2016</v>
      </c>
      <c r="E5342" s="674">
        <v>3</v>
      </c>
      <c r="F5342" s="675">
        <v>0.33</v>
      </c>
      <c r="G5342" s="676">
        <v>16472</v>
      </c>
      <c r="H5342" s="929">
        <v>5435.76</v>
      </c>
      <c r="I5342" s="929">
        <v>11324.5</v>
      </c>
      <c r="J5342" s="689">
        <f t="shared" si="84"/>
        <v>5147.5</v>
      </c>
    </row>
    <row r="5343" spans="1:10" ht="12.75" customHeight="1" x14ac:dyDescent="0.2">
      <c r="A5343" s="681">
        <v>1241</v>
      </c>
      <c r="B5343" s="693">
        <v>5151260029</v>
      </c>
      <c r="C5343" s="672" t="s">
        <v>2499</v>
      </c>
      <c r="D5343" s="809">
        <v>2016</v>
      </c>
      <c r="E5343" s="674">
        <v>3</v>
      </c>
      <c r="F5343" s="675">
        <v>0.33</v>
      </c>
      <c r="G5343" s="676">
        <v>16472</v>
      </c>
      <c r="H5343" s="929">
        <v>5435.76</v>
      </c>
      <c r="I5343" s="929">
        <v>11324.5</v>
      </c>
      <c r="J5343" s="689">
        <f t="shared" si="84"/>
        <v>5147.5</v>
      </c>
    </row>
    <row r="5344" spans="1:10" ht="12.75" customHeight="1" x14ac:dyDescent="0.2">
      <c r="A5344" s="681">
        <v>1241</v>
      </c>
      <c r="B5344" s="693">
        <v>5112030050</v>
      </c>
      <c r="C5344" s="672" t="s">
        <v>2500</v>
      </c>
      <c r="D5344" s="809">
        <v>2016</v>
      </c>
      <c r="E5344" s="674">
        <v>3</v>
      </c>
      <c r="F5344" s="675">
        <v>0.33</v>
      </c>
      <c r="G5344" s="676">
        <v>4878.7299999999996</v>
      </c>
      <c r="H5344" s="929">
        <v>1609.9808999999996</v>
      </c>
      <c r="I5344" s="929">
        <v>3354.126874999999</v>
      </c>
      <c r="J5344" s="689">
        <f t="shared" si="84"/>
        <v>1524.6031250000005</v>
      </c>
    </row>
    <row r="5345" spans="1:10" ht="12.75" customHeight="1" x14ac:dyDescent="0.2">
      <c r="A5345" s="681">
        <v>1241</v>
      </c>
      <c r="B5345" s="693">
        <v>5112540002</v>
      </c>
      <c r="C5345" s="672" t="s">
        <v>936</v>
      </c>
      <c r="D5345" s="809">
        <v>2016</v>
      </c>
      <c r="E5345" s="674">
        <v>10</v>
      </c>
      <c r="F5345" s="675">
        <v>0.1</v>
      </c>
      <c r="G5345" s="676">
        <v>10297.780000000001</v>
      </c>
      <c r="H5345" s="929">
        <v>1029.778</v>
      </c>
      <c r="I5345" s="929">
        <v>2059.556</v>
      </c>
      <c r="J5345" s="689">
        <f t="shared" si="84"/>
        <v>8238.2240000000002</v>
      </c>
    </row>
    <row r="5346" spans="1:10" ht="12.75" customHeight="1" x14ac:dyDescent="0.2">
      <c r="A5346" s="681">
        <v>1242</v>
      </c>
      <c r="B5346" s="693">
        <v>5652550006</v>
      </c>
      <c r="C5346" s="672" t="s">
        <v>2501</v>
      </c>
      <c r="D5346" s="809">
        <v>2016</v>
      </c>
      <c r="E5346" s="674">
        <v>3</v>
      </c>
      <c r="F5346" s="675">
        <v>0.33</v>
      </c>
      <c r="G5346" s="676">
        <v>105560</v>
      </c>
      <c r="H5346" s="929">
        <v>34834.80000000001</v>
      </c>
      <c r="I5346" s="929">
        <v>69669.60000000002</v>
      </c>
      <c r="J5346" s="689">
        <f t="shared" si="84"/>
        <v>35890.39999999998</v>
      </c>
    </row>
    <row r="5347" spans="1:10" ht="12.75" customHeight="1" x14ac:dyDescent="0.2">
      <c r="A5347" s="681">
        <v>1244</v>
      </c>
      <c r="B5347" s="693">
        <v>5410250040</v>
      </c>
      <c r="C5347" s="672" t="s">
        <v>2502</v>
      </c>
      <c r="D5347" s="809">
        <v>2016</v>
      </c>
      <c r="E5347" s="674">
        <v>5</v>
      </c>
      <c r="F5347" s="675">
        <v>0.2</v>
      </c>
      <c r="G5347" s="676">
        <v>1650000.01</v>
      </c>
      <c r="H5347" s="929">
        <v>330000.00199999998</v>
      </c>
      <c r="I5347" s="929">
        <v>660000.00399999996</v>
      </c>
      <c r="J5347" s="689">
        <f t="shared" si="84"/>
        <v>990000.00600000005</v>
      </c>
    </row>
    <row r="5348" spans="1:10" ht="12.75" customHeight="1" x14ac:dyDescent="0.2">
      <c r="A5348" s="681">
        <v>1244</v>
      </c>
      <c r="B5348" s="693">
        <v>5410250046</v>
      </c>
      <c r="C5348" s="672" t="s">
        <v>2502</v>
      </c>
      <c r="D5348" s="809">
        <v>2016</v>
      </c>
      <c r="E5348" s="674">
        <v>5</v>
      </c>
      <c r="F5348" s="675">
        <v>0.2</v>
      </c>
      <c r="G5348" s="676">
        <v>1650000.01</v>
      </c>
      <c r="H5348" s="929">
        <v>330000.00199999998</v>
      </c>
      <c r="I5348" s="929">
        <v>660000.00399999996</v>
      </c>
      <c r="J5348" s="689">
        <f t="shared" si="84"/>
        <v>990000.00600000005</v>
      </c>
    </row>
    <row r="5349" spans="1:10" ht="12.75" customHeight="1" x14ac:dyDescent="0.2">
      <c r="A5349" s="681">
        <v>1244</v>
      </c>
      <c r="B5349" s="693">
        <v>5410250047</v>
      </c>
      <c r="C5349" s="672" t="s">
        <v>2502</v>
      </c>
      <c r="D5349" s="809">
        <v>2016</v>
      </c>
      <c r="E5349" s="674">
        <v>5</v>
      </c>
      <c r="F5349" s="675">
        <v>0.2</v>
      </c>
      <c r="G5349" s="676">
        <v>1650000.01</v>
      </c>
      <c r="H5349" s="929">
        <v>330000.00199999998</v>
      </c>
      <c r="I5349" s="929">
        <v>660000.00399999996</v>
      </c>
      <c r="J5349" s="689">
        <f t="shared" si="84"/>
        <v>990000.00600000005</v>
      </c>
    </row>
    <row r="5350" spans="1:10" ht="12.75" customHeight="1" x14ac:dyDescent="0.2">
      <c r="A5350" s="681">
        <v>1244</v>
      </c>
      <c r="B5350" s="693">
        <v>5410250048</v>
      </c>
      <c r="C5350" s="672" t="s">
        <v>2502</v>
      </c>
      <c r="D5350" s="809">
        <v>2016</v>
      </c>
      <c r="E5350" s="674">
        <v>5</v>
      </c>
      <c r="F5350" s="675">
        <v>0.2</v>
      </c>
      <c r="G5350" s="676">
        <v>825000</v>
      </c>
      <c r="H5350" s="929">
        <v>165000</v>
      </c>
      <c r="I5350" s="929">
        <v>330000</v>
      </c>
      <c r="J5350" s="689">
        <f t="shared" si="84"/>
        <v>495000</v>
      </c>
    </row>
    <row r="5351" spans="1:10" ht="12.75" customHeight="1" x14ac:dyDescent="0.2">
      <c r="A5351" s="681">
        <v>1244</v>
      </c>
      <c r="B5351" s="693">
        <v>5410250049</v>
      </c>
      <c r="C5351" s="672" t="s">
        <v>2502</v>
      </c>
      <c r="D5351" s="809">
        <v>2016</v>
      </c>
      <c r="E5351" s="674">
        <v>5</v>
      </c>
      <c r="F5351" s="675">
        <v>0.2</v>
      </c>
      <c r="G5351" s="676">
        <v>825000</v>
      </c>
      <c r="H5351" s="929">
        <v>165000</v>
      </c>
      <c r="I5351" s="929">
        <v>330000</v>
      </c>
      <c r="J5351" s="689">
        <f t="shared" si="84"/>
        <v>495000</v>
      </c>
    </row>
    <row r="5352" spans="1:10" ht="12.75" customHeight="1" x14ac:dyDescent="0.2">
      <c r="A5352" s="681">
        <v>1244</v>
      </c>
      <c r="B5352" s="693">
        <v>5410250050</v>
      </c>
      <c r="C5352" s="672" t="s">
        <v>2502</v>
      </c>
      <c r="D5352" s="809">
        <v>2016</v>
      </c>
      <c r="E5352" s="674">
        <v>5</v>
      </c>
      <c r="F5352" s="675">
        <v>0.2</v>
      </c>
      <c r="G5352" s="676">
        <v>825000</v>
      </c>
      <c r="H5352" s="929">
        <v>165000</v>
      </c>
      <c r="I5352" s="929">
        <v>330000</v>
      </c>
      <c r="J5352" s="689">
        <f t="shared" si="84"/>
        <v>495000</v>
      </c>
    </row>
    <row r="5353" spans="1:10" ht="12.75" customHeight="1" x14ac:dyDescent="0.2">
      <c r="A5353" s="681">
        <v>1244</v>
      </c>
      <c r="B5353" s="693">
        <v>5410250051</v>
      </c>
      <c r="C5353" s="672" t="s">
        <v>2502</v>
      </c>
      <c r="D5353" s="809">
        <v>2016</v>
      </c>
      <c r="E5353" s="674">
        <v>5</v>
      </c>
      <c r="F5353" s="675">
        <v>0.2</v>
      </c>
      <c r="G5353" s="676">
        <v>825000</v>
      </c>
      <c r="H5353" s="929">
        <v>165000</v>
      </c>
      <c r="I5353" s="929">
        <v>330000</v>
      </c>
      <c r="J5353" s="689">
        <f t="shared" si="84"/>
        <v>495000</v>
      </c>
    </row>
    <row r="5354" spans="1:10" ht="12.75" customHeight="1" x14ac:dyDescent="0.2">
      <c r="A5354" s="681">
        <v>1244</v>
      </c>
      <c r="B5354" s="693">
        <v>5410250051</v>
      </c>
      <c r="C5354" s="672" t="s">
        <v>2502</v>
      </c>
      <c r="D5354" s="809">
        <v>2016</v>
      </c>
      <c r="E5354" s="674">
        <v>5</v>
      </c>
      <c r="F5354" s="675">
        <v>0.2</v>
      </c>
      <c r="G5354" s="676">
        <v>1650000.01</v>
      </c>
      <c r="H5354" s="929">
        <v>330000.00199999998</v>
      </c>
      <c r="I5354" s="929">
        <v>660000.00399999996</v>
      </c>
      <c r="J5354" s="689">
        <f t="shared" si="84"/>
        <v>990000.00600000005</v>
      </c>
    </row>
    <row r="5355" spans="1:10" ht="12.75" customHeight="1" x14ac:dyDescent="0.2">
      <c r="A5355" s="681">
        <v>1244</v>
      </c>
      <c r="B5355" s="693">
        <v>5410250052</v>
      </c>
      <c r="C5355" s="672" t="s">
        <v>2502</v>
      </c>
      <c r="D5355" s="809">
        <v>2016</v>
      </c>
      <c r="E5355" s="674">
        <v>5</v>
      </c>
      <c r="F5355" s="675">
        <v>0.2</v>
      </c>
      <c r="G5355" s="676">
        <v>1650000.01</v>
      </c>
      <c r="H5355" s="929">
        <v>330000.00199999998</v>
      </c>
      <c r="I5355" s="929">
        <v>660000.00399999996</v>
      </c>
      <c r="J5355" s="689">
        <f t="shared" si="84"/>
        <v>990000.00600000005</v>
      </c>
    </row>
    <row r="5356" spans="1:10" ht="12.75" customHeight="1" x14ac:dyDescent="0.2">
      <c r="A5356" s="681">
        <v>1244</v>
      </c>
      <c r="B5356" s="693">
        <v>5410250053</v>
      </c>
      <c r="C5356" s="672" t="s">
        <v>2502</v>
      </c>
      <c r="D5356" s="809">
        <v>2016</v>
      </c>
      <c r="E5356" s="674">
        <v>5</v>
      </c>
      <c r="F5356" s="675">
        <v>0.2</v>
      </c>
      <c r="G5356" s="676">
        <v>1650000.01</v>
      </c>
      <c r="H5356" s="929">
        <v>330000.00199999998</v>
      </c>
      <c r="I5356" s="929">
        <v>660000.00399999996</v>
      </c>
      <c r="J5356" s="689">
        <f t="shared" si="84"/>
        <v>990000.00600000005</v>
      </c>
    </row>
    <row r="5357" spans="1:10" ht="12.75" customHeight="1" x14ac:dyDescent="0.2">
      <c r="A5357" s="681">
        <v>1244</v>
      </c>
      <c r="B5357" s="693">
        <v>5410250054</v>
      </c>
      <c r="C5357" s="672" t="s">
        <v>2502</v>
      </c>
      <c r="D5357" s="809">
        <v>2016</v>
      </c>
      <c r="E5357" s="674">
        <v>5</v>
      </c>
      <c r="F5357" s="675">
        <v>0.2</v>
      </c>
      <c r="G5357" s="676">
        <v>825000</v>
      </c>
      <c r="H5357" s="929">
        <v>165000</v>
      </c>
      <c r="I5357" s="929">
        <v>330000</v>
      </c>
      <c r="J5357" s="689">
        <f t="shared" si="84"/>
        <v>495000</v>
      </c>
    </row>
    <row r="5358" spans="1:10" ht="12.75" customHeight="1" x14ac:dyDescent="0.2">
      <c r="A5358" s="681">
        <v>1241</v>
      </c>
      <c r="B5358" s="693">
        <v>5410250055</v>
      </c>
      <c r="C5358" s="672" t="s">
        <v>2502</v>
      </c>
      <c r="D5358" s="809">
        <v>2016</v>
      </c>
      <c r="E5358" s="674">
        <v>5</v>
      </c>
      <c r="F5358" s="675">
        <v>0.2</v>
      </c>
      <c r="G5358" s="676">
        <v>825000</v>
      </c>
      <c r="H5358" s="929">
        <v>165000</v>
      </c>
      <c r="I5358" s="929">
        <v>330000</v>
      </c>
      <c r="J5358" s="689">
        <f t="shared" si="84"/>
        <v>495000</v>
      </c>
    </row>
    <row r="5359" spans="1:10" ht="12.75" customHeight="1" x14ac:dyDescent="0.2">
      <c r="A5359" s="681">
        <v>1244</v>
      </c>
      <c r="B5359" s="693">
        <v>5410250056</v>
      </c>
      <c r="C5359" s="672" t="s">
        <v>2502</v>
      </c>
      <c r="D5359" s="809">
        <v>2016</v>
      </c>
      <c r="E5359" s="674">
        <v>5</v>
      </c>
      <c r="F5359" s="675">
        <v>0.2</v>
      </c>
      <c r="G5359" s="676">
        <v>1650000.01</v>
      </c>
      <c r="H5359" s="929">
        <v>330000.00199999998</v>
      </c>
      <c r="I5359" s="929">
        <v>660000.00399999996</v>
      </c>
      <c r="J5359" s="689">
        <f t="shared" si="84"/>
        <v>990000.00600000005</v>
      </c>
    </row>
    <row r="5360" spans="1:10" ht="12.75" customHeight="1" x14ac:dyDescent="0.2">
      <c r="A5360" s="681">
        <v>1241</v>
      </c>
      <c r="B5360" s="693">
        <v>5410250057</v>
      </c>
      <c r="C5360" s="672" t="s">
        <v>2502</v>
      </c>
      <c r="D5360" s="809">
        <v>2016</v>
      </c>
      <c r="E5360" s="674">
        <v>5</v>
      </c>
      <c r="F5360" s="675">
        <v>0.2</v>
      </c>
      <c r="G5360" s="676">
        <v>1650000.01</v>
      </c>
      <c r="H5360" s="929">
        <v>330000.00199999998</v>
      </c>
      <c r="I5360" s="929">
        <v>660000.00399999996</v>
      </c>
      <c r="J5360" s="689">
        <f t="shared" si="84"/>
        <v>990000.00600000005</v>
      </c>
    </row>
    <row r="5361" spans="1:10" ht="12.75" customHeight="1" x14ac:dyDescent="0.2">
      <c r="A5361" s="681">
        <v>1241</v>
      </c>
      <c r="B5361" s="693">
        <v>5410250058</v>
      </c>
      <c r="C5361" s="672" t="s">
        <v>2502</v>
      </c>
      <c r="D5361" s="809">
        <v>2016</v>
      </c>
      <c r="E5361" s="674">
        <v>5</v>
      </c>
      <c r="F5361" s="675">
        <v>0.2</v>
      </c>
      <c r="G5361" s="676">
        <v>825000</v>
      </c>
      <c r="H5361" s="929">
        <v>165000</v>
      </c>
      <c r="I5361" s="929">
        <v>330000</v>
      </c>
      <c r="J5361" s="689">
        <f t="shared" si="84"/>
        <v>495000</v>
      </c>
    </row>
    <row r="5362" spans="1:10" ht="12.75" customHeight="1" x14ac:dyDescent="0.2">
      <c r="A5362" s="681">
        <v>1241</v>
      </c>
      <c r="B5362" s="693">
        <v>5410250059</v>
      </c>
      <c r="C5362" s="672" t="s">
        <v>2502</v>
      </c>
      <c r="D5362" s="809">
        <v>2016</v>
      </c>
      <c r="E5362" s="674">
        <v>5</v>
      </c>
      <c r="F5362" s="675">
        <v>0.2</v>
      </c>
      <c r="G5362" s="676">
        <v>1650000.01</v>
      </c>
      <c r="H5362" s="929">
        <v>330000.00199999998</v>
      </c>
      <c r="I5362" s="929">
        <v>660000.00399999996</v>
      </c>
      <c r="J5362" s="689">
        <f t="shared" si="84"/>
        <v>990000.00600000005</v>
      </c>
    </row>
    <row r="5363" spans="1:10" ht="12.75" customHeight="1" x14ac:dyDescent="0.2">
      <c r="A5363" s="681">
        <v>1241</v>
      </c>
      <c r="B5363" s="693">
        <v>5410250060</v>
      </c>
      <c r="C5363" s="672" t="s">
        <v>2502</v>
      </c>
      <c r="D5363" s="809">
        <v>2016</v>
      </c>
      <c r="E5363" s="674">
        <v>5</v>
      </c>
      <c r="F5363" s="675">
        <v>0.2</v>
      </c>
      <c r="G5363" s="676">
        <v>1650000.01</v>
      </c>
      <c r="H5363" s="929">
        <v>330000.00199999998</v>
      </c>
      <c r="I5363" s="929">
        <v>660000.00399999996</v>
      </c>
      <c r="J5363" s="689">
        <f t="shared" si="84"/>
        <v>990000.00600000005</v>
      </c>
    </row>
    <row r="5364" spans="1:10" ht="12.75" customHeight="1" x14ac:dyDescent="0.2">
      <c r="A5364" s="681">
        <v>1241</v>
      </c>
      <c r="B5364" s="693">
        <v>5410250062</v>
      </c>
      <c r="C5364" s="672" t="s">
        <v>2502</v>
      </c>
      <c r="D5364" s="809">
        <v>2016</v>
      </c>
      <c r="E5364" s="674">
        <v>5</v>
      </c>
      <c r="F5364" s="675">
        <v>0.2</v>
      </c>
      <c r="G5364" s="676">
        <v>825000</v>
      </c>
      <c r="H5364" s="929">
        <v>165000</v>
      </c>
      <c r="I5364" s="929">
        <v>330000</v>
      </c>
      <c r="J5364" s="689">
        <f t="shared" si="84"/>
        <v>495000</v>
      </c>
    </row>
    <row r="5365" spans="1:10" ht="12.75" customHeight="1" x14ac:dyDescent="0.2">
      <c r="A5365" s="681">
        <v>1241</v>
      </c>
      <c r="B5365" s="693">
        <v>5410250063</v>
      </c>
      <c r="C5365" s="672" t="s">
        <v>2502</v>
      </c>
      <c r="D5365" s="809">
        <v>2016</v>
      </c>
      <c r="E5365" s="674">
        <v>5</v>
      </c>
      <c r="F5365" s="675">
        <v>0.2</v>
      </c>
      <c r="G5365" s="676">
        <v>1650000.01</v>
      </c>
      <c r="H5365" s="929">
        <v>330000.00199999998</v>
      </c>
      <c r="I5365" s="929">
        <v>660000.00399999996</v>
      </c>
      <c r="J5365" s="689">
        <f t="shared" si="84"/>
        <v>990000.00600000005</v>
      </c>
    </row>
    <row r="5366" spans="1:10" ht="12.75" customHeight="1" x14ac:dyDescent="0.2">
      <c r="A5366" s="681">
        <v>1241</v>
      </c>
      <c r="B5366" s="693">
        <v>5410250064</v>
      </c>
      <c r="C5366" s="672" t="s">
        <v>2502</v>
      </c>
      <c r="D5366" s="809">
        <v>2016</v>
      </c>
      <c r="E5366" s="674">
        <v>5</v>
      </c>
      <c r="F5366" s="675">
        <v>0.2</v>
      </c>
      <c r="G5366" s="676">
        <v>1650000.01</v>
      </c>
      <c r="H5366" s="929">
        <v>330000.00199999998</v>
      </c>
      <c r="I5366" s="929">
        <v>660000.00399999996</v>
      </c>
      <c r="J5366" s="689">
        <f t="shared" si="84"/>
        <v>990000.00600000005</v>
      </c>
    </row>
    <row r="5367" spans="1:10" ht="12.75" customHeight="1" x14ac:dyDescent="0.2">
      <c r="A5367" s="681">
        <v>1241</v>
      </c>
      <c r="B5367" s="693">
        <v>5410250065</v>
      </c>
      <c r="C5367" s="672" t="s">
        <v>2502</v>
      </c>
      <c r="D5367" s="809">
        <v>2016</v>
      </c>
      <c r="E5367" s="674">
        <v>5</v>
      </c>
      <c r="F5367" s="675">
        <v>0.2</v>
      </c>
      <c r="G5367" s="676">
        <v>1650000.01</v>
      </c>
      <c r="H5367" s="929">
        <v>330000.00199999998</v>
      </c>
      <c r="I5367" s="929">
        <v>660000.00399999996</v>
      </c>
      <c r="J5367" s="689">
        <f t="shared" si="84"/>
        <v>990000.00600000005</v>
      </c>
    </row>
    <row r="5368" spans="1:10" ht="12.75" customHeight="1" x14ac:dyDescent="0.2">
      <c r="A5368" s="681">
        <v>1241</v>
      </c>
      <c r="B5368" s="693">
        <v>5410250066</v>
      </c>
      <c r="C5368" s="672" t="s">
        <v>2502</v>
      </c>
      <c r="D5368" s="809">
        <v>2016</v>
      </c>
      <c r="E5368" s="674">
        <v>5</v>
      </c>
      <c r="F5368" s="675">
        <v>0.2</v>
      </c>
      <c r="G5368" s="676">
        <v>1650000.01</v>
      </c>
      <c r="H5368" s="929">
        <v>330000.00199999998</v>
      </c>
      <c r="I5368" s="929">
        <v>660000.00399999996</v>
      </c>
      <c r="J5368" s="689">
        <f t="shared" si="84"/>
        <v>990000.00600000005</v>
      </c>
    </row>
    <row r="5369" spans="1:10" ht="12.75" customHeight="1" x14ac:dyDescent="0.2">
      <c r="A5369" s="681">
        <v>1241</v>
      </c>
      <c r="B5369" s="693">
        <v>5410250067</v>
      </c>
      <c r="C5369" s="672" t="s">
        <v>2502</v>
      </c>
      <c r="D5369" s="809">
        <v>2016</v>
      </c>
      <c r="E5369" s="674">
        <v>5</v>
      </c>
      <c r="F5369" s="675">
        <v>0.2</v>
      </c>
      <c r="G5369" s="676">
        <v>825000</v>
      </c>
      <c r="H5369" s="929">
        <v>165000</v>
      </c>
      <c r="I5369" s="929">
        <v>330000</v>
      </c>
      <c r="J5369" s="689">
        <f t="shared" si="84"/>
        <v>495000</v>
      </c>
    </row>
    <row r="5370" spans="1:10" ht="12.75" customHeight="1" x14ac:dyDescent="0.2">
      <c r="A5370" s="681">
        <v>1241</v>
      </c>
      <c r="B5370" s="693">
        <v>5410250068</v>
      </c>
      <c r="C5370" s="672" t="s">
        <v>2502</v>
      </c>
      <c r="D5370" s="809">
        <v>2016</v>
      </c>
      <c r="E5370" s="674">
        <v>5</v>
      </c>
      <c r="F5370" s="675">
        <v>0.2</v>
      </c>
      <c r="G5370" s="676">
        <v>1650000.01</v>
      </c>
      <c r="H5370" s="929">
        <v>330000.00199999998</v>
      </c>
      <c r="I5370" s="929">
        <v>660000.00399999996</v>
      </c>
      <c r="J5370" s="689">
        <f t="shared" si="84"/>
        <v>990000.00600000005</v>
      </c>
    </row>
    <row r="5371" spans="1:10" ht="12.75" customHeight="1" x14ac:dyDescent="0.2">
      <c r="A5371" s="681">
        <v>1241</v>
      </c>
      <c r="B5371" s="693">
        <v>5410250069</v>
      </c>
      <c r="C5371" s="672" t="s">
        <v>2502</v>
      </c>
      <c r="D5371" s="809">
        <v>2016</v>
      </c>
      <c r="E5371" s="674">
        <v>5</v>
      </c>
      <c r="F5371" s="675">
        <v>0.2</v>
      </c>
      <c r="G5371" s="676">
        <v>825000</v>
      </c>
      <c r="H5371" s="929">
        <v>165000</v>
      </c>
      <c r="I5371" s="929">
        <v>330000</v>
      </c>
      <c r="J5371" s="689">
        <f t="shared" si="84"/>
        <v>495000</v>
      </c>
    </row>
    <row r="5372" spans="1:10" ht="12.75" customHeight="1" x14ac:dyDescent="0.2">
      <c r="A5372" s="681">
        <v>1241</v>
      </c>
      <c r="B5372" s="693">
        <v>5111810001</v>
      </c>
      <c r="C5372" s="672" t="s">
        <v>1006</v>
      </c>
      <c r="D5372" s="809">
        <v>2016</v>
      </c>
      <c r="E5372" s="674">
        <v>10</v>
      </c>
      <c r="F5372" s="675">
        <v>0.1</v>
      </c>
      <c r="G5372" s="676">
        <v>31499.99</v>
      </c>
      <c r="H5372" s="929">
        <v>3149.9989999999998</v>
      </c>
      <c r="I5372" s="929">
        <v>6299.9979999999996</v>
      </c>
      <c r="J5372" s="689">
        <f t="shared" si="84"/>
        <v>25199.992000000002</v>
      </c>
    </row>
    <row r="5373" spans="1:10" ht="12.75" customHeight="1" x14ac:dyDescent="0.2">
      <c r="A5373" s="681">
        <v>1241</v>
      </c>
      <c r="B5373" s="693">
        <v>5112940001</v>
      </c>
      <c r="C5373" s="672" t="s">
        <v>2503</v>
      </c>
      <c r="D5373" s="809">
        <v>2016</v>
      </c>
      <c r="E5373" s="674">
        <v>10</v>
      </c>
      <c r="F5373" s="675">
        <v>0.1</v>
      </c>
      <c r="G5373" s="676">
        <v>3410.9335999999998</v>
      </c>
      <c r="H5373" s="929">
        <v>341.0933599999999</v>
      </c>
      <c r="I5373" s="929">
        <v>682.18671999999981</v>
      </c>
      <c r="J5373" s="689">
        <f t="shared" si="84"/>
        <v>2728.7468800000001</v>
      </c>
    </row>
    <row r="5374" spans="1:10" ht="12.75" customHeight="1" x14ac:dyDescent="0.2">
      <c r="A5374" s="681">
        <v>1241</v>
      </c>
      <c r="B5374" s="693">
        <v>5112950001</v>
      </c>
      <c r="C5374" s="672" t="s">
        <v>2504</v>
      </c>
      <c r="D5374" s="809">
        <v>2016</v>
      </c>
      <c r="E5374" s="674">
        <v>3</v>
      </c>
      <c r="F5374" s="675">
        <v>0.33</v>
      </c>
      <c r="G5374" s="676">
        <v>7775.7003999999988</v>
      </c>
      <c r="H5374" s="929">
        <v>2565.9811319999994</v>
      </c>
      <c r="I5374" s="929">
        <v>5131.9622639999989</v>
      </c>
      <c r="J5374" s="689">
        <f t="shared" si="84"/>
        <v>2643.7381359999999</v>
      </c>
    </row>
    <row r="5375" spans="1:10" ht="12.75" customHeight="1" x14ac:dyDescent="0.2">
      <c r="A5375" s="681">
        <v>1246</v>
      </c>
      <c r="B5375" s="693">
        <v>5111050043</v>
      </c>
      <c r="C5375" s="672" t="s">
        <v>1007</v>
      </c>
      <c r="D5375" s="809">
        <v>2016</v>
      </c>
      <c r="E5375" s="674">
        <v>10</v>
      </c>
      <c r="F5375" s="675">
        <v>0.1</v>
      </c>
      <c r="G5375" s="676">
        <v>6399</v>
      </c>
      <c r="H5375" s="929">
        <v>639.90000000000009</v>
      </c>
      <c r="I5375" s="929">
        <v>4319.3250000000007</v>
      </c>
      <c r="J5375" s="689">
        <f t="shared" si="84"/>
        <v>2079.6749999999993</v>
      </c>
    </row>
    <row r="5376" spans="1:10" ht="12.75" customHeight="1" x14ac:dyDescent="0.2">
      <c r="A5376" s="681">
        <v>1246</v>
      </c>
      <c r="B5376" s="693">
        <v>5111050044</v>
      </c>
      <c r="C5376" s="672" t="s">
        <v>1007</v>
      </c>
      <c r="D5376" s="809">
        <v>2016</v>
      </c>
      <c r="E5376" s="674">
        <v>10</v>
      </c>
      <c r="F5376" s="675">
        <v>0.1</v>
      </c>
      <c r="G5376" s="676">
        <v>6905</v>
      </c>
      <c r="H5376" s="929">
        <v>690.49999999999989</v>
      </c>
      <c r="I5376" s="929">
        <v>4660.875</v>
      </c>
      <c r="J5376" s="689">
        <f t="shared" si="84"/>
        <v>2244.125</v>
      </c>
    </row>
    <row r="5377" spans="1:10" ht="12.75" customHeight="1" x14ac:dyDescent="0.2">
      <c r="A5377" s="681">
        <v>1246</v>
      </c>
      <c r="B5377" s="693">
        <v>5111050045</v>
      </c>
      <c r="C5377" s="672" t="s">
        <v>1007</v>
      </c>
      <c r="D5377" s="809">
        <v>2016</v>
      </c>
      <c r="E5377" s="674">
        <v>10</v>
      </c>
      <c r="F5377" s="675">
        <v>0.1</v>
      </c>
      <c r="G5377" s="676">
        <v>9704</v>
      </c>
      <c r="H5377" s="929">
        <v>970.4</v>
      </c>
      <c r="I5377" s="929">
        <v>6550.2</v>
      </c>
      <c r="J5377" s="689">
        <f t="shared" si="84"/>
        <v>3153.8</v>
      </c>
    </row>
    <row r="5378" spans="1:10" ht="12.75" customHeight="1" x14ac:dyDescent="0.2">
      <c r="A5378" s="681">
        <v>1246</v>
      </c>
      <c r="B5378" s="693">
        <v>5111050046</v>
      </c>
      <c r="C5378" s="672" t="s">
        <v>1007</v>
      </c>
      <c r="D5378" s="809">
        <v>2016</v>
      </c>
      <c r="E5378" s="674">
        <v>10</v>
      </c>
      <c r="F5378" s="675">
        <v>0.1</v>
      </c>
      <c r="G5378" s="676">
        <v>9704</v>
      </c>
      <c r="H5378" s="929">
        <v>970.4</v>
      </c>
      <c r="I5378" s="929">
        <v>6550.2</v>
      </c>
      <c r="J5378" s="689">
        <f t="shared" si="84"/>
        <v>3153.8</v>
      </c>
    </row>
    <row r="5379" spans="1:10" ht="12.75" customHeight="1" x14ac:dyDescent="0.2">
      <c r="A5379" s="681">
        <v>1246</v>
      </c>
      <c r="B5379" s="693">
        <v>5111050047</v>
      </c>
      <c r="C5379" s="672" t="s">
        <v>1007</v>
      </c>
      <c r="D5379" s="809">
        <v>2016</v>
      </c>
      <c r="E5379" s="674">
        <v>10</v>
      </c>
      <c r="F5379" s="675">
        <v>0.1</v>
      </c>
      <c r="G5379" s="676">
        <v>9224</v>
      </c>
      <c r="H5379" s="929">
        <v>922.4</v>
      </c>
      <c r="I5379" s="929">
        <v>6226.2</v>
      </c>
      <c r="J5379" s="689">
        <f t="shared" ref="J5379:J5439" si="85">G5379-I5379</f>
        <v>2997.8</v>
      </c>
    </row>
    <row r="5380" spans="1:10" ht="12.75" customHeight="1" x14ac:dyDescent="0.2">
      <c r="A5380" s="681">
        <v>1246</v>
      </c>
      <c r="B5380" s="693">
        <v>5111050048</v>
      </c>
      <c r="C5380" s="672" t="s">
        <v>1007</v>
      </c>
      <c r="D5380" s="809">
        <v>2016</v>
      </c>
      <c r="E5380" s="674">
        <v>10</v>
      </c>
      <c r="F5380" s="675">
        <v>0.1</v>
      </c>
      <c r="G5380" s="676">
        <v>9224</v>
      </c>
      <c r="H5380" s="929">
        <v>922.4</v>
      </c>
      <c r="I5380" s="929">
        <v>6226.2</v>
      </c>
      <c r="J5380" s="689">
        <f t="shared" si="85"/>
        <v>2997.8</v>
      </c>
    </row>
    <row r="5381" spans="1:10" ht="12.75" customHeight="1" x14ac:dyDescent="0.2">
      <c r="A5381" s="681">
        <v>1246</v>
      </c>
      <c r="B5381" s="693">
        <v>5111050049</v>
      </c>
      <c r="C5381" s="672" t="s">
        <v>1007</v>
      </c>
      <c r="D5381" s="809">
        <v>2016</v>
      </c>
      <c r="E5381" s="674">
        <v>10</v>
      </c>
      <c r="F5381" s="675">
        <v>0.1</v>
      </c>
      <c r="G5381" s="676">
        <v>9224</v>
      </c>
      <c r="H5381" s="929">
        <v>922.4</v>
      </c>
      <c r="I5381" s="929">
        <v>6226.2</v>
      </c>
      <c r="J5381" s="689">
        <f t="shared" si="85"/>
        <v>2997.8</v>
      </c>
    </row>
    <row r="5382" spans="1:10" ht="12.75" customHeight="1" x14ac:dyDescent="0.2">
      <c r="A5382" s="681">
        <v>1246</v>
      </c>
      <c r="B5382" s="693">
        <v>5111050051</v>
      </c>
      <c r="C5382" s="672" t="s">
        <v>1007</v>
      </c>
      <c r="D5382" s="809">
        <v>2016</v>
      </c>
      <c r="E5382" s="674">
        <v>10</v>
      </c>
      <c r="F5382" s="675">
        <v>0.1</v>
      </c>
      <c r="G5382" s="676">
        <v>10695</v>
      </c>
      <c r="H5382" s="929">
        <v>1069.5</v>
      </c>
      <c r="I5382" s="929">
        <v>7219.125</v>
      </c>
      <c r="J5382" s="689">
        <f t="shared" si="85"/>
        <v>3475.875</v>
      </c>
    </row>
    <row r="5383" spans="1:10" ht="12.75" customHeight="1" x14ac:dyDescent="0.2">
      <c r="A5383" s="681">
        <v>1246</v>
      </c>
      <c r="B5383" s="693">
        <v>5111050052</v>
      </c>
      <c r="C5383" s="672" t="s">
        <v>1007</v>
      </c>
      <c r="D5383" s="809">
        <v>2016</v>
      </c>
      <c r="E5383" s="674">
        <v>10</v>
      </c>
      <c r="F5383" s="675">
        <v>0.1</v>
      </c>
      <c r="G5383" s="676">
        <v>9224</v>
      </c>
      <c r="H5383" s="929">
        <v>922.4</v>
      </c>
      <c r="I5383" s="929">
        <v>6226.2</v>
      </c>
      <c r="J5383" s="689">
        <f t="shared" si="85"/>
        <v>2997.8</v>
      </c>
    </row>
    <row r="5384" spans="1:10" ht="12.75" customHeight="1" x14ac:dyDescent="0.2">
      <c r="A5384" s="681">
        <v>1246</v>
      </c>
      <c r="B5384" s="693">
        <v>5111050053</v>
      </c>
      <c r="C5384" s="672" t="s">
        <v>1007</v>
      </c>
      <c r="D5384" s="809">
        <v>2016</v>
      </c>
      <c r="E5384" s="674">
        <v>10</v>
      </c>
      <c r="F5384" s="675">
        <v>0.1</v>
      </c>
      <c r="G5384" s="676">
        <v>6905</v>
      </c>
      <c r="H5384" s="929">
        <v>690.49999999999989</v>
      </c>
      <c r="I5384" s="929">
        <v>4660.875</v>
      </c>
      <c r="J5384" s="689">
        <f t="shared" si="85"/>
        <v>2244.125</v>
      </c>
    </row>
    <row r="5385" spans="1:10" ht="12.75" customHeight="1" x14ac:dyDescent="0.2">
      <c r="A5385" s="681">
        <v>1246</v>
      </c>
      <c r="B5385" s="693">
        <v>5111050054</v>
      </c>
      <c r="C5385" s="672" t="s">
        <v>1007</v>
      </c>
      <c r="D5385" s="809">
        <v>2016</v>
      </c>
      <c r="E5385" s="674">
        <v>10</v>
      </c>
      <c r="F5385" s="675">
        <v>0.1</v>
      </c>
      <c r="G5385" s="676">
        <v>10695</v>
      </c>
      <c r="H5385" s="929">
        <v>1069.5</v>
      </c>
      <c r="I5385" s="929">
        <v>7219.125</v>
      </c>
      <c r="J5385" s="689">
        <f t="shared" si="85"/>
        <v>3475.875</v>
      </c>
    </row>
    <row r="5386" spans="1:10" ht="12.75" customHeight="1" x14ac:dyDescent="0.2">
      <c r="A5386" s="681">
        <v>1246</v>
      </c>
      <c r="B5386" s="693">
        <v>5111050055</v>
      </c>
      <c r="C5386" s="672" t="s">
        <v>1007</v>
      </c>
      <c r="D5386" s="809">
        <v>2016</v>
      </c>
      <c r="E5386" s="674">
        <v>10</v>
      </c>
      <c r="F5386" s="675">
        <v>0.1</v>
      </c>
      <c r="G5386" s="676">
        <v>6999</v>
      </c>
      <c r="H5386" s="929">
        <v>699.90000000000009</v>
      </c>
      <c r="I5386" s="929">
        <v>4724.3250000000007</v>
      </c>
      <c r="J5386" s="689">
        <f t="shared" si="85"/>
        <v>2274.6749999999993</v>
      </c>
    </row>
    <row r="5387" spans="1:10" ht="12.75" customHeight="1" x14ac:dyDescent="0.2">
      <c r="A5387" s="681">
        <v>1246</v>
      </c>
      <c r="B5387" s="693">
        <v>5111050056</v>
      </c>
      <c r="C5387" s="672" t="s">
        <v>1007</v>
      </c>
      <c r="D5387" s="809">
        <v>2016</v>
      </c>
      <c r="E5387" s="674">
        <v>10</v>
      </c>
      <c r="F5387" s="675">
        <v>0.1</v>
      </c>
      <c r="G5387" s="676">
        <v>6999</v>
      </c>
      <c r="H5387" s="929">
        <v>699.90000000000009</v>
      </c>
      <c r="I5387" s="929">
        <v>4724.3250000000007</v>
      </c>
      <c r="J5387" s="689">
        <f t="shared" si="85"/>
        <v>2274.6749999999993</v>
      </c>
    </row>
    <row r="5388" spans="1:10" ht="12.75" customHeight="1" x14ac:dyDescent="0.2">
      <c r="A5388" s="681">
        <v>1246</v>
      </c>
      <c r="B5388" s="693">
        <v>5111050057</v>
      </c>
      <c r="C5388" s="672" t="s">
        <v>1007</v>
      </c>
      <c r="D5388" s="809">
        <v>2016</v>
      </c>
      <c r="E5388" s="674">
        <v>10</v>
      </c>
      <c r="F5388" s="675">
        <v>0.1</v>
      </c>
      <c r="G5388" s="676">
        <v>7800</v>
      </c>
      <c r="H5388" s="929">
        <v>780</v>
      </c>
      <c r="I5388" s="929">
        <v>5265</v>
      </c>
      <c r="J5388" s="689">
        <f t="shared" si="85"/>
        <v>2535</v>
      </c>
    </row>
    <row r="5389" spans="1:10" ht="12.75" customHeight="1" x14ac:dyDescent="0.2">
      <c r="A5389" s="681">
        <v>1246</v>
      </c>
      <c r="B5389" s="693">
        <v>5111050058</v>
      </c>
      <c r="C5389" s="672" t="s">
        <v>1007</v>
      </c>
      <c r="D5389" s="809">
        <v>2016</v>
      </c>
      <c r="E5389" s="674">
        <v>10</v>
      </c>
      <c r="F5389" s="675">
        <v>0.1</v>
      </c>
      <c r="G5389" s="676">
        <v>8725</v>
      </c>
      <c r="H5389" s="929">
        <v>872.50000000000011</v>
      </c>
      <c r="I5389" s="929">
        <v>5889.375</v>
      </c>
      <c r="J5389" s="689">
        <f t="shared" si="85"/>
        <v>2835.625</v>
      </c>
    </row>
    <row r="5390" spans="1:10" ht="12.75" customHeight="1" x14ac:dyDescent="0.2">
      <c r="A5390" s="681">
        <v>1246</v>
      </c>
      <c r="B5390" s="693">
        <v>5111050059</v>
      </c>
      <c r="C5390" s="672" t="s">
        <v>1007</v>
      </c>
      <c r="D5390" s="809">
        <v>2016</v>
      </c>
      <c r="E5390" s="674">
        <v>10</v>
      </c>
      <c r="F5390" s="675">
        <v>0.1</v>
      </c>
      <c r="G5390" s="676">
        <v>5999</v>
      </c>
      <c r="H5390" s="929">
        <v>599.9</v>
      </c>
      <c r="I5390" s="929">
        <v>4049.3250000000003</v>
      </c>
      <c r="J5390" s="689">
        <f t="shared" si="85"/>
        <v>1949.6749999999997</v>
      </c>
    </row>
    <row r="5391" spans="1:10" ht="12.75" customHeight="1" x14ac:dyDescent="0.2">
      <c r="A5391" s="681"/>
      <c r="B5391" s="693"/>
      <c r="C5391" s="672"/>
      <c r="D5391" s="673"/>
      <c r="E5391" s="674"/>
      <c r="F5391" s="675"/>
      <c r="G5391" s="676"/>
      <c r="H5391" s="929"/>
      <c r="I5391" s="929"/>
      <c r="J5391" s="689"/>
    </row>
    <row r="5392" spans="1:10" ht="12.75" customHeight="1" x14ac:dyDescent="0.2">
      <c r="A5392" s="681">
        <v>1246</v>
      </c>
      <c r="B5392" s="693">
        <v>5111050050</v>
      </c>
      <c r="C5392" s="672" t="s">
        <v>1007</v>
      </c>
      <c r="D5392" s="809">
        <v>2016</v>
      </c>
      <c r="E5392" s="674">
        <v>10</v>
      </c>
      <c r="F5392" s="675">
        <v>0.1</v>
      </c>
      <c r="G5392" s="676">
        <v>8336</v>
      </c>
      <c r="H5392" s="929">
        <v>0</v>
      </c>
      <c r="I5392" s="929">
        <v>8335</v>
      </c>
      <c r="J5392" s="689">
        <f t="shared" si="85"/>
        <v>1</v>
      </c>
    </row>
    <row r="5393" spans="1:10" ht="12.75" customHeight="1" x14ac:dyDescent="0.2">
      <c r="A5393" s="681">
        <v>1246</v>
      </c>
      <c r="B5393" s="693">
        <v>5111050062</v>
      </c>
      <c r="C5393" s="672" t="s">
        <v>1007</v>
      </c>
      <c r="D5393" s="809">
        <v>2016</v>
      </c>
      <c r="E5393" s="674">
        <v>10</v>
      </c>
      <c r="F5393" s="675">
        <v>0.1</v>
      </c>
      <c r="G5393" s="676">
        <v>5280</v>
      </c>
      <c r="H5393" s="929">
        <v>0</v>
      </c>
      <c r="I5393" s="929">
        <v>5279</v>
      </c>
      <c r="J5393" s="689">
        <f t="shared" si="85"/>
        <v>1</v>
      </c>
    </row>
    <row r="5394" spans="1:10" ht="12.75" customHeight="1" x14ac:dyDescent="0.2">
      <c r="A5394" s="681">
        <v>1246</v>
      </c>
      <c r="B5394" s="693">
        <v>5111050042</v>
      </c>
      <c r="C5394" s="672" t="s">
        <v>1007</v>
      </c>
      <c r="D5394" s="809">
        <v>2016</v>
      </c>
      <c r="E5394" s="674">
        <v>10</v>
      </c>
      <c r="F5394" s="675">
        <v>0.1</v>
      </c>
      <c r="G5394" s="676">
        <v>10191</v>
      </c>
      <c r="H5394" s="929">
        <v>0</v>
      </c>
      <c r="I5394" s="929">
        <v>10190</v>
      </c>
      <c r="J5394" s="689">
        <f t="shared" si="85"/>
        <v>1</v>
      </c>
    </row>
    <row r="5395" spans="1:10" ht="12.75" customHeight="1" x14ac:dyDescent="0.2">
      <c r="A5395" s="681">
        <v>1246</v>
      </c>
      <c r="B5395" s="693">
        <v>5111050060</v>
      </c>
      <c r="C5395" s="672" t="s">
        <v>1007</v>
      </c>
      <c r="D5395" s="809">
        <v>2016</v>
      </c>
      <c r="E5395" s="674">
        <v>10</v>
      </c>
      <c r="F5395" s="675">
        <v>0.1</v>
      </c>
      <c r="G5395" s="676">
        <v>5280</v>
      </c>
      <c r="H5395" s="929">
        <v>0</v>
      </c>
      <c r="I5395" s="929">
        <v>5279</v>
      </c>
      <c r="J5395" s="689">
        <f t="shared" si="85"/>
        <v>1</v>
      </c>
    </row>
    <row r="5396" spans="1:10" ht="12.75" customHeight="1" x14ac:dyDescent="0.2">
      <c r="A5396" s="681">
        <v>1246</v>
      </c>
      <c r="B5396" s="693">
        <v>5111050061</v>
      </c>
      <c r="C5396" s="672" t="s">
        <v>1007</v>
      </c>
      <c r="D5396" s="809">
        <v>2016</v>
      </c>
      <c r="E5396" s="674">
        <v>10</v>
      </c>
      <c r="F5396" s="675">
        <v>0.1</v>
      </c>
      <c r="G5396" s="676">
        <v>5280</v>
      </c>
      <c r="H5396" s="929">
        <v>0</v>
      </c>
      <c r="I5396" s="929">
        <v>5279</v>
      </c>
      <c r="J5396" s="689">
        <f t="shared" si="85"/>
        <v>1</v>
      </c>
    </row>
    <row r="5397" spans="1:10" ht="12.75" customHeight="1" x14ac:dyDescent="0.2">
      <c r="A5397" s="681"/>
      <c r="B5397" s="693"/>
      <c r="C5397" s="672"/>
      <c r="D5397" s="809"/>
      <c r="E5397" s="674"/>
      <c r="F5397" s="675"/>
      <c r="G5397" s="676"/>
      <c r="H5397" s="929"/>
      <c r="I5397" s="929"/>
      <c r="J5397" s="689"/>
    </row>
    <row r="5398" spans="1:10" ht="12.75" customHeight="1" x14ac:dyDescent="0.2">
      <c r="A5398" s="681"/>
      <c r="B5398" s="693"/>
      <c r="C5398" s="672"/>
      <c r="D5398" s="809"/>
      <c r="E5398" s="674"/>
      <c r="F5398" s="675"/>
      <c r="G5398" s="676"/>
      <c r="H5398" s="929"/>
      <c r="I5398" s="929"/>
      <c r="J5398" s="689"/>
    </row>
    <row r="5399" spans="1:10" ht="12.75" customHeight="1" x14ac:dyDescent="0.2">
      <c r="A5399" s="681"/>
      <c r="B5399" s="693"/>
      <c r="C5399" s="672"/>
      <c r="D5399" s="809"/>
      <c r="E5399" s="674"/>
      <c r="F5399" s="675"/>
      <c r="G5399" s="676"/>
      <c r="H5399" s="676"/>
      <c r="I5399" s="676"/>
      <c r="J5399" s="689"/>
    </row>
    <row r="5400" spans="1:10" ht="12.75" customHeight="1" x14ac:dyDescent="0.2">
      <c r="A5400" s="681"/>
      <c r="B5400" s="693"/>
      <c r="C5400" s="672"/>
      <c r="D5400" s="809"/>
      <c r="E5400" s="674"/>
      <c r="F5400" s="675"/>
      <c r="G5400" s="676"/>
      <c r="H5400" s="929"/>
      <c r="I5400" s="929"/>
      <c r="J5400" s="689"/>
    </row>
    <row r="5401" spans="1:10" ht="12.75" customHeight="1" x14ac:dyDescent="0.2">
      <c r="A5401" s="681">
        <v>1246</v>
      </c>
      <c r="B5401" s="693">
        <v>5652020002</v>
      </c>
      <c r="C5401" s="672" t="s">
        <v>8237</v>
      </c>
      <c r="D5401" s="809" t="s">
        <v>10390</v>
      </c>
      <c r="E5401" s="674">
        <v>3</v>
      </c>
      <c r="F5401" s="675">
        <v>0.33</v>
      </c>
      <c r="G5401" s="676">
        <v>3250</v>
      </c>
      <c r="H5401" s="929">
        <v>1072.5</v>
      </c>
      <c r="I5401" s="929">
        <v>2055.625</v>
      </c>
      <c r="J5401" s="689">
        <f t="shared" si="85"/>
        <v>1194.375</v>
      </c>
    </row>
    <row r="5402" spans="1:10" ht="12.75" customHeight="1" x14ac:dyDescent="0.2">
      <c r="A5402" s="681">
        <v>1241</v>
      </c>
      <c r="B5402" s="693">
        <v>5151400001</v>
      </c>
      <c r="C5402" s="672" t="s">
        <v>8238</v>
      </c>
      <c r="D5402" s="809" t="s">
        <v>10390</v>
      </c>
      <c r="E5402" s="674">
        <v>3</v>
      </c>
      <c r="F5402" s="675">
        <v>0.33</v>
      </c>
      <c r="G5402" s="676">
        <v>5394</v>
      </c>
      <c r="H5402" s="929">
        <v>1780.0200000000002</v>
      </c>
      <c r="I5402" s="929">
        <v>3411.7050000000004</v>
      </c>
      <c r="J5402" s="689">
        <f t="shared" si="85"/>
        <v>1982.2949999999996</v>
      </c>
    </row>
    <row r="5403" spans="1:10" ht="12.75" customHeight="1" x14ac:dyDescent="0.2">
      <c r="A5403" s="681">
        <v>1241</v>
      </c>
      <c r="B5403" s="693">
        <v>5112670012</v>
      </c>
      <c r="C5403" s="672" t="s">
        <v>10391</v>
      </c>
      <c r="D5403" s="809" t="s">
        <v>10390</v>
      </c>
      <c r="E5403" s="674">
        <v>10</v>
      </c>
      <c r="F5403" s="675">
        <v>0.1</v>
      </c>
      <c r="G5403" s="676">
        <v>1490.6</v>
      </c>
      <c r="H5403" s="929">
        <v>149.05999999999997</v>
      </c>
      <c r="I5403" s="929">
        <v>285.69833333333327</v>
      </c>
      <c r="J5403" s="689">
        <f t="shared" si="85"/>
        <v>1204.9016666666666</v>
      </c>
    </row>
    <row r="5404" spans="1:10" ht="12.75" customHeight="1" x14ac:dyDescent="0.2">
      <c r="A5404" s="681">
        <v>1241</v>
      </c>
      <c r="B5404" s="693">
        <v>5112670013</v>
      </c>
      <c r="C5404" s="672" t="s">
        <v>10391</v>
      </c>
      <c r="D5404" s="809" t="s">
        <v>10390</v>
      </c>
      <c r="E5404" s="674">
        <v>10</v>
      </c>
      <c r="F5404" s="675">
        <v>0.1</v>
      </c>
      <c r="G5404" s="676">
        <v>1490.6</v>
      </c>
      <c r="H5404" s="929">
        <v>149.05999999999997</v>
      </c>
      <c r="I5404" s="929">
        <v>285.69833333333327</v>
      </c>
      <c r="J5404" s="689">
        <f t="shared" si="85"/>
        <v>1204.9016666666666</v>
      </c>
    </row>
    <row r="5405" spans="1:10" ht="12.75" customHeight="1" x14ac:dyDescent="0.2">
      <c r="A5405" s="681">
        <v>1241</v>
      </c>
      <c r="B5405" s="693">
        <v>5112670014</v>
      </c>
      <c r="C5405" s="672" t="s">
        <v>10391</v>
      </c>
      <c r="D5405" s="809" t="s">
        <v>10390</v>
      </c>
      <c r="E5405" s="674">
        <v>10</v>
      </c>
      <c r="F5405" s="675">
        <v>0.1</v>
      </c>
      <c r="G5405" s="676">
        <v>1490.6</v>
      </c>
      <c r="H5405" s="929">
        <v>149.05999999999997</v>
      </c>
      <c r="I5405" s="929">
        <v>285.69833333333327</v>
      </c>
      <c r="J5405" s="689">
        <f t="shared" si="85"/>
        <v>1204.9016666666666</v>
      </c>
    </row>
    <row r="5406" spans="1:10" ht="12.75" customHeight="1" x14ac:dyDescent="0.2">
      <c r="A5406" s="681">
        <v>1241</v>
      </c>
      <c r="B5406" s="693">
        <v>5112670015</v>
      </c>
      <c r="C5406" s="672" t="s">
        <v>10391</v>
      </c>
      <c r="D5406" s="809" t="s">
        <v>10390</v>
      </c>
      <c r="E5406" s="674">
        <v>10</v>
      </c>
      <c r="F5406" s="675">
        <v>0.1</v>
      </c>
      <c r="G5406" s="676">
        <v>1490.6</v>
      </c>
      <c r="H5406" s="929">
        <v>149.05999999999997</v>
      </c>
      <c r="I5406" s="929">
        <v>285.69833333333327</v>
      </c>
      <c r="J5406" s="689">
        <f t="shared" si="85"/>
        <v>1204.9016666666666</v>
      </c>
    </row>
    <row r="5407" spans="1:10" ht="12.75" customHeight="1" x14ac:dyDescent="0.2">
      <c r="A5407" s="681">
        <v>1241</v>
      </c>
      <c r="B5407" s="693">
        <v>5112670016</v>
      </c>
      <c r="C5407" s="672" t="s">
        <v>10391</v>
      </c>
      <c r="D5407" s="809" t="s">
        <v>10390</v>
      </c>
      <c r="E5407" s="674">
        <v>10</v>
      </c>
      <c r="F5407" s="675">
        <v>0.1</v>
      </c>
      <c r="G5407" s="676">
        <v>1490.6</v>
      </c>
      <c r="H5407" s="929">
        <v>149.05999999999997</v>
      </c>
      <c r="I5407" s="929">
        <v>285.69833333333327</v>
      </c>
      <c r="J5407" s="689">
        <f t="shared" si="85"/>
        <v>1204.9016666666666</v>
      </c>
    </row>
    <row r="5408" spans="1:10" ht="12.75" customHeight="1" x14ac:dyDescent="0.2">
      <c r="A5408" s="681">
        <v>1241</v>
      </c>
      <c r="B5408" s="693">
        <v>5150710005</v>
      </c>
      <c r="C5408" s="672" t="s">
        <v>8239</v>
      </c>
      <c r="D5408" s="809" t="s">
        <v>10390</v>
      </c>
      <c r="E5408" s="674">
        <v>3</v>
      </c>
      <c r="F5408" s="675">
        <v>0.33</v>
      </c>
      <c r="G5408" s="676">
        <v>5220</v>
      </c>
      <c r="H5408" s="929">
        <v>1722.5999999999997</v>
      </c>
      <c r="I5408" s="929">
        <v>3301.6499999999996</v>
      </c>
      <c r="J5408" s="689">
        <f t="shared" si="85"/>
        <v>1918.3500000000004</v>
      </c>
    </row>
    <row r="5409" spans="1:10" ht="12.75" customHeight="1" x14ac:dyDescent="0.2">
      <c r="A5409" s="681">
        <v>1242</v>
      </c>
      <c r="B5409" s="693">
        <v>5652030001</v>
      </c>
      <c r="C5409" s="672" t="s">
        <v>8240</v>
      </c>
      <c r="D5409" s="809" t="s">
        <v>10390</v>
      </c>
      <c r="E5409" s="674">
        <v>3</v>
      </c>
      <c r="F5409" s="675">
        <v>0.33</v>
      </c>
      <c r="G5409" s="676">
        <v>3692.8370000000004</v>
      </c>
      <c r="H5409" s="929">
        <v>1218.6362100000001</v>
      </c>
      <c r="I5409" s="929">
        <v>2335.7194025000003</v>
      </c>
      <c r="J5409" s="689">
        <f t="shared" si="85"/>
        <v>1357.1175975000001</v>
      </c>
    </row>
    <row r="5410" spans="1:10" ht="12.75" customHeight="1" x14ac:dyDescent="0.2">
      <c r="A5410" s="681">
        <v>1242</v>
      </c>
      <c r="B5410" s="693">
        <v>5652030002</v>
      </c>
      <c r="C5410" s="672" t="s">
        <v>8240</v>
      </c>
      <c r="D5410" s="809" t="s">
        <v>10390</v>
      </c>
      <c r="E5410" s="674">
        <v>3</v>
      </c>
      <c r="F5410" s="675">
        <v>0.33</v>
      </c>
      <c r="G5410" s="676">
        <v>3692.8370000000004</v>
      </c>
      <c r="H5410" s="929">
        <v>1218.6362100000001</v>
      </c>
      <c r="I5410" s="929">
        <v>2335.7194025000003</v>
      </c>
      <c r="J5410" s="689">
        <f t="shared" si="85"/>
        <v>1357.1175975000001</v>
      </c>
    </row>
    <row r="5411" spans="1:10" ht="12.75" customHeight="1" x14ac:dyDescent="0.2">
      <c r="A5411" s="681">
        <v>1242</v>
      </c>
      <c r="B5411" s="693">
        <v>5652030003</v>
      </c>
      <c r="C5411" s="672" t="s">
        <v>8240</v>
      </c>
      <c r="D5411" s="809" t="s">
        <v>10390</v>
      </c>
      <c r="E5411" s="674">
        <v>3</v>
      </c>
      <c r="F5411" s="675">
        <v>0.33</v>
      </c>
      <c r="G5411" s="676">
        <v>3692.8370000000004</v>
      </c>
      <c r="H5411" s="929">
        <v>1218.6362100000001</v>
      </c>
      <c r="I5411" s="929">
        <v>2335.7194025000003</v>
      </c>
      <c r="J5411" s="689">
        <f t="shared" si="85"/>
        <v>1357.1175975000001</v>
      </c>
    </row>
    <row r="5412" spans="1:10" ht="12.75" customHeight="1" x14ac:dyDescent="0.2">
      <c r="A5412" s="681">
        <v>1242</v>
      </c>
      <c r="B5412" s="693">
        <v>5652030004</v>
      </c>
      <c r="C5412" s="672" t="s">
        <v>8240</v>
      </c>
      <c r="D5412" s="809" t="s">
        <v>10390</v>
      </c>
      <c r="E5412" s="674">
        <v>3</v>
      </c>
      <c r="F5412" s="675">
        <v>0.33</v>
      </c>
      <c r="G5412" s="676">
        <v>3692.8370000000004</v>
      </c>
      <c r="H5412" s="929">
        <v>1218.6362100000001</v>
      </c>
      <c r="I5412" s="929">
        <v>2335.7194025000003</v>
      </c>
      <c r="J5412" s="689">
        <f t="shared" si="85"/>
        <v>1357.1175975000001</v>
      </c>
    </row>
    <row r="5413" spans="1:10" ht="12.75" customHeight="1" x14ac:dyDescent="0.2">
      <c r="A5413" s="681">
        <v>1242</v>
      </c>
      <c r="B5413" s="693">
        <v>5652030006</v>
      </c>
      <c r="C5413" s="672" t="s">
        <v>8240</v>
      </c>
      <c r="D5413" s="809" t="s">
        <v>10390</v>
      </c>
      <c r="E5413" s="674">
        <v>3</v>
      </c>
      <c r="F5413" s="675">
        <v>0.33</v>
      </c>
      <c r="G5413" s="676">
        <v>3692.8370000000004</v>
      </c>
      <c r="H5413" s="929">
        <v>1218.6362100000001</v>
      </c>
      <c r="I5413" s="929">
        <v>2335.7194025000003</v>
      </c>
      <c r="J5413" s="689">
        <f t="shared" si="85"/>
        <v>1357.1175975000001</v>
      </c>
    </row>
    <row r="5414" spans="1:10" ht="12.75" customHeight="1" x14ac:dyDescent="0.2">
      <c r="A5414" s="681">
        <v>1242</v>
      </c>
      <c r="B5414" s="693">
        <v>5652030007</v>
      </c>
      <c r="C5414" s="672" t="s">
        <v>8240</v>
      </c>
      <c r="D5414" s="809" t="s">
        <v>10390</v>
      </c>
      <c r="E5414" s="674">
        <v>3</v>
      </c>
      <c r="F5414" s="675">
        <v>0.33</v>
      </c>
      <c r="G5414" s="676">
        <v>3692.8370000000004</v>
      </c>
      <c r="H5414" s="929">
        <v>1218.6362100000001</v>
      </c>
      <c r="I5414" s="929">
        <v>2335.7194025000003</v>
      </c>
      <c r="J5414" s="689">
        <f t="shared" si="85"/>
        <v>1357.1175975000001</v>
      </c>
    </row>
    <row r="5415" spans="1:10" ht="12.75" customHeight="1" x14ac:dyDescent="0.2">
      <c r="A5415" s="681">
        <v>1242</v>
      </c>
      <c r="B5415" s="693">
        <v>5652030008</v>
      </c>
      <c r="C5415" s="672" t="s">
        <v>8240</v>
      </c>
      <c r="D5415" s="809" t="s">
        <v>10390</v>
      </c>
      <c r="E5415" s="674">
        <v>3</v>
      </c>
      <c r="F5415" s="675">
        <v>0.33</v>
      </c>
      <c r="G5415" s="676">
        <v>3692.8370000000004</v>
      </c>
      <c r="H5415" s="929">
        <v>1218.6362100000001</v>
      </c>
      <c r="I5415" s="929">
        <v>2335.7194025000003</v>
      </c>
      <c r="J5415" s="689">
        <f t="shared" si="85"/>
        <v>1357.1175975000001</v>
      </c>
    </row>
    <row r="5416" spans="1:10" ht="12.75" customHeight="1" x14ac:dyDescent="0.2">
      <c r="A5416" s="681">
        <v>1242</v>
      </c>
      <c r="B5416" s="693">
        <v>5652030009</v>
      </c>
      <c r="C5416" s="672" t="s">
        <v>8240</v>
      </c>
      <c r="D5416" s="809" t="s">
        <v>10390</v>
      </c>
      <c r="E5416" s="674">
        <v>3</v>
      </c>
      <c r="F5416" s="675">
        <v>0.33</v>
      </c>
      <c r="G5416" s="676">
        <v>3692.8370000000004</v>
      </c>
      <c r="H5416" s="929">
        <v>1218.6362100000001</v>
      </c>
      <c r="I5416" s="929">
        <v>2335.7194025000003</v>
      </c>
      <c r="J5416" s="689">
        <f t="shared" si="85"/>
        <v>1357.1175975000001</v>
      </c>
    </row>
    <row r="5417" spans="1:10" ht="12.75" customHeight="1" x14ac:dyDescent="0.2">
      <c r="A5417" s="681">
        <v>1242</v>
      </c>
      <c r="B5417" s="693">
        <v>5652030010</v>
      </c>
      <c r="C5417" s="672" t="s">
        <v>8240</v>
      </c>
      <c r="D5417" s="809" t="s">
        <v>10390</v>
      </c>
      <c r="E5417" s="674">
        <v>3</v>
      </c>
      <c r="F5417" s="675">
        <v>0.33</v>
      </c>
      <c r="G5417" s="676">
        <v>3692.8370000000004</v>
      </c>
      <c r="H5417" s="929">
        <v>1218.6362100000001</v>
      </c>
      <c r="I5417" s="929">
        <v>2335.7194025000003</v>
      </c>
      <c r="J5417" s="689">
        <f t="shared" si="85"/>
        <v>1357.1175975000001</v>
      </c>
    </row>
    <row r="5418" spans="1:10" ht="12.75" customHeight="1" x14ac:dyDescent="0.2">
      <c r="A5418" s="681">
        <v>1242</v>
      </c>
      <c r="B5418" s="693">
        <v>5652030011</v>
      </c>
      <c r="C5418" s="672" t="s">
        <v>8240</v>
      </c>
      <c r="D5418" s="809" t="s">
        <v>10390</v>
      </c>
      <c r="E5418" s="674">
        <v>3</v>
      </c>
      <c r="F5418" s="675">
        <v>0.33</v>
      </c>
      <c r="G5418" s="676">
        <v>3692.8370000000004</v>
      </c>
      <c r="H5418" s="929">
        <v>1218.6362100000001</v>
      </c>
      <c r="I5418" s="929">
        <v>2335.7194025000003</v>
      </c>
      <c r="J5418" s="689">
        <f t="shared" si="85"/>
        <v>1357.1175975000001</v>
      </c>
    </row>
    <row r="5419" spans="1:10" ht="12.75" customHeight="1" x14ac:dyDescent="0.2">
      <c r="A5419" s="681">
        <v>1242</v>
      </c>
      <c r="B5419" s="693">
        <v>5652030012</v>
      </c>
      <c r="C5419" s="672" t="s">
        <v>8240</v>
      </c>
      <c r="D5419" s="809" t="s">
        <v>10390</v>
      </c>
      <c r="E5419" s="674">
        <v>3</v>
      </c>
      <c r="F5419" s="675">
        <v>0.33</v>
      </c>
      <c r="G5419" s="676">
        <v>3692.8370000000004</v>
      </c>
      <c r="H5419" s="929">
        <v>1218.6362100000001</v>
      </c>
      <c r="I5419" s="929">
        <v>2335.7194025000003</v>
      </c>
      <c r="J5419" s="689">
        <f t="shared" si="85"/>
        <v>1357.1175975000001</v>
      </c>
    </row>
    <row r="5420" spans="1:10" ht="12.75" customHeight="1" x14ac:dyDescent="0.2">
      <c r="A5420" s="681">
        <v>1242</v>
      </c>
      <c r="B5420" s="693">
        <v>5652030013</v>
      </c>
      <c r="C5420" s="672" t="s">
        <v>8240</v>
      </c>
      <c r="D5420" s="809" t="s">
        <v>10390</v>
      </c>
      <c r="E5420" s="674">
        <v>3</v>
      </c>
      <c r="F5420" s="675">
        <v>0.33</v>
      </c>
      <c r="G5420" s="676">
        <v>3692.8370000000004</v>
      </c>
      <c r="H5420" s="929">
        <v>1218.6362100000001</v>
      </c>
      <c r="I5420" s="929">
        <v>2335.7194025000003</v>
      </c>
      <c r="J5420" s="689">
        <f t="shared" si="85"/>
        <v>1357.1175975000001</v>
      </c>
    </row>
    <row r="5421" spans="1:10" ht="12.75" customHeight="1" x14ac:dyDescent="0.2">
      <c r="A5421" s="681">
        <v>1242</v>
      </c>
      <c r="B5421" s="693">
        <v>5652030035</v>
      </c>
      <c r="C5421" s="672" t="s">
        <v>8240</v>
      </c>
      <c r="D5421" s="809" t="s">
        <v>10390</v>
      </c>
      <c r="E5421" s="674">
        <v>3</v>
      </c>
      <c r="F5421" s="675">
        <v>0.33</v>
      </c>
      <c r="G5421" s="676">
        <v>3692.8370000000004</v>
      </c>
      <c r="H5421" s="929">
        <v>1218.6362100000001</v>
      </c>
      <c r="I5421" s="929">
        <v>2335.7194025000003</v>
      </c>
      <c r="J5421" s="689">
        <f t="shared" si="85"/>
        <v>1357.1175975000001</v>
      </c>
    </row>
    <row r="5422" spans="1:10" ht="12.75" customHeight="1" x14ac:dyDescent="0.2">
      <c r="A5422" s="681">
        <v>1242</v>
      </c>
      <c r="B5422" s="693">
        <v>5652030036</v>
      </c>
      <c r="C5422" s="672" t="s">
        <v>8240</v>
      </c>
      <c r="D5422" s="809" t="s">
        <v>10390</v>
      </c>
      <c r="E5422" s="674">
        <v>3</v>
      </c>
      <c r="F5422" s="675">
        <v>0.33</v>
      </c>
      <c r="G5422" s="676">
        <v>3692.8370000000004</v>
      </c>
      <c r="H5422" s="929">
        <v>1218.6362100000001</v>
      </c>
      <c r="I5422" s="929">
        <v>2335.7194025000003</v>
      </c>
      <c r="J5422" s="689">
        <f t="shared" si="85"/>
        <v>1357.1175975000001</v>
      </c>
    </row>
    <row r="5423" spans="1:10" ht="12.75" customHeight="1" x14ac:dyDescent="0.2">
      <c r="A5423" s="681">
        <v>1242</v>
      </c>
      <c r="B5423" s="693">
        <v>5652030037</v>
      </c>
      <c r="C5423" s="672" t="s">
        <v>8240</v>
      </c>
      <c r="D5423" s="809" t="s">
        <v>10390</v>
      </c>
      <c r="E5423" s="674">
        <v>3</v>
      </c>
      <c r="F5423" s="675">
        <v>0.33</v>
      </c>
      <c r="G5423" s="676">
        <v>3692.8370000000004</v>
      </c>
      <c r="H5423" s="929">
        <v>1218.6362100000001</v>
      </c>
      <c r="I5423" s="929">
        <v>2335.7194025000003</v>
      </c>
      <c r="J5423" s="689">
        <f t="shared" si="85"/>
        <v>1357.1175975000001</v>
      </c>
    </row>
    <row r="5424" spans="1:10" ht="12.75" customHeight="1" x14ac:dyDescent="0.2">
      <c r="A5424" s="681">
        <v>1242</v>
      </c>
      <c r="B5424" s="693">
        <v>5652030038</v>
      </c>
      <c r="C5424" s="672" t="s">
        <v>8240</v>
      </c>
      <c r="D5424" s="809" t="s">
        <v>10390</v>
      </c>
      <c r="E5424" s="674">
        <v>3</v>
      </c>
      <c r="F5424" s="675">
        <v>0.33</v>
      </c>
      <c r="G5424" s="676">
        <v>3692.8370000000004</v>
      </c>
      <c r="H5424" s="929">
        <v>1218.6362100000001</v>
      </c>
      <c r="I5424" s="929">
        <v>2335.7194025000003</v>
      </c>
      <c r="J5424" s="689">
        <f t="shared" si="85"/>
        <v>1357.1175975000001</v>
      </c>
    </row>
    <row r="5425" spans="1:10" ht="12.75" customHeight="1" x14ac:dyDescent="0.2">
      <c r="A5425" s="681">
        <v>1242</v>
      </c>
      <c r="B5425" s="693">
        <v>5652030039</v>
      </c>
      <c r="C5425" s="672" t="s">
        <v>8240</v>
      </c>
      <c r="D5425" s="809" t="s">
        <v>10390</v>
      </c>
      <c r="E5425" s="674">
        <v>3</v>
      </c>
      <c r="F5425" s="675">
        <v>0.33</v>
      </c>
      <c r="G5425" s="676">
        <v>3692.8370000000004</v>
      </c>
      <c r="H5425" s="929">
        <v>1218.6362100000001</v>
      </c>
      <c r="I5425" s="929">
        <v>2335.7194025000003</v>
      </c>
      <c r="J5425" s="689">
        <f t="shared" si="85"/>
        <v>1357.1175975000001</v>
      </c>
    </row>
    <row r="5426" spans="1:10" ht="12.75" customHeight="1" x14ac:dyDescent="0.2">
      <c r="A5426" s="681">
        <v>1242</v>
      </c>
      <c r="B5426" s="693">
        <v>5652030040</v>
      </c>
      <c r="C5426" s="672" t="s">
        <v>8240</v>
      </c>
      <c r="D5426" s="809" t="s">
        <v>10390</v>
      </c>
      <c r="E5426" s="674">
        <v>3</v>
      </c>
      <c r="F5426" s="675">
        <v>0.33</v>
      </c>
      <c r="G5426" s="676">
        <v>3692.8370000000004</v>
      </c>
      <c r="H5426" s="929">
        <v>1218.6362100000001</v>
      </c>
      <c r="I5426" s="929">
        <v>2335.7194025000003</v>
      </c>
      <c r="J5426" s="689">
        <f t="shared" si="85"/>
        <v>1357.1175975000001</v>
      </c>
    </row>
    <row r="5427" spans="1:10" ht="12.75" customHeight="1" x14ac:dyDescent="0.2">
      <c r="A5427" s="681">
        <v>1242</v>
      </c>
      <c r="B5427" s="693">
        <v>5652030014</v>
      </c>
      <c r="C5427" s="672" t="s">
        <v>8240</v>
      </c>
      <c r="D5427" s="809" t="s">
        <v>10390</v>
      </c>
      <c r="E5427" s="674">
        <v>3</v>
      </c>
      <c r="F5427" s="675">
        <v>0.33</v>
      </c>
      <c r="G5427" s="676">
        <v>3692.8370000000004</v>
      </c>
      <c r="H5427" s="929">
        <v>1218.6362100000001</v>
      </c>
      <c r="I5427" s="929">
        <v>2335.7194025000003</v>
      </c>
      <c r="J5427" s="689">
        <f t="shared" si="85"/>
        <v>1357.1175975000001</v>
      </c>
    </row>
    <row r="5428" spans="1:10" ht="12.75" customHeight="1" x14ac:dyDescent="0.2">
      <c r="A5428" s="681">
        <v>1242</v>
      </c>
      <c r="B5428" s="693">
        <v>5652030015</v>
      </c>
      <c r="C5428" s="672" t="s">
        <v>8240</v>
      </c>
      <c r="D5428" s="809" t="s">
        <v>10390</v>
      </c>
      <c r="E5428" s="674">
        <v>3</v>
      </c>
      <c r="F5428" s="675">
        <v>0.33</v>
      </c>
      <c r="G5428" s="676">
        <v>3692.8370000000004</v>
      </c>
      <c r="H5428" s="929">
        <v>1218.6362100000001</v>
      </c>
      <c r="I5428" s="929">
        <v>2335.7194025000003</v>
      </c>
      <c r="J5428" s="689">
        <f t="shared" si="85"/>
        <v>1357.1175975000001</v>
      </c>
    </row>
    <row r="5429" spans="1:10" ht="12.75" customHeight="1" x14ac:dyDescent="0.2">
      <c r="A5429" s="681">
        <v>1242</v>
      </c>
      <c r="B5429" s="693">
        <v>5652030016</v>
      </c>
      <c r="C5429" s="672" t="s">
        <v>8240</v>
      </c>
      <c r="D5429" s="809" t="s">
        <v>10390</v>
      </c>
      <c r="E5429" s="674">
        <v>3</v>
      </c>
      <c r="F5429" s="675">
        <v>0.33</v>
      </c>
      <c r="G5429" s="676">
        <v>3692.8370000000004</v>
      </c>
      <c r="H5429" s="929">
        <v>1218.6362100000001</v>
      </c>
      <c r="I5429" s="929">
        <v>2335.7194025000003</v>
      </c>
      <c r="J5429" s="689">
        <f t="shared" si="85"/>
        <v>1357.1175975000001</v>
      </c>
    </row>
    <row r="5430" spans="1:10" ht="12.75" customHeight="1" x14ac:dyDescent="0.2">
      <c r="A5430" s="681">
        <v>1242</v>
      </c>
      <c r="B5430" s="693">
        <v>5652030017</v>
      </c>
      <c r="C5430" s="672" t="s">
        <v>8240</v>
      </c>
      <c r="D5430" s="809" t="s">
        <v>10390</v>
      </c>
      <c r="E5430" s="674">
        <v>3</v>
      </c>
      <c r="F5430" s="675">
        <v>0.33</v>
      </c>
      <c r="G5430" s="676">
        <v>3692.8370000000004</v>
      </c>
      <c r="H5430" s="929">
        <v>1218.6362100000001</v>
      </c>
      <c r="I5430" s="929">
        <v>2335.7194025000003</v>
      </c>
      <c r="J5430" s="689">
        <f t="shared" si="85"/>
        <v>1357.1175975000001</v>
      </c>
    </row>
    <row r="5431" spans="1:10" ht="12.75" customHeight="1" x14ac:dyDescent="0.2">
      <c r="A5431" s="681">
        <v>1242</v>
      </c>
      <c r="B5431" s="693">
        <v>5652030018</v>
      </c>
      <c r="C5431" s="672" t="s">
        <v>8240</v>
      </c>
      <c r="D5431" s="809" t="s">
        <v>10390</v>
      </c>
      <c r="E5431" s="674">
        <v>3</v>
      </c>
      <c r="F5431" s="675">
        <v>0.33</v>
      </c>
      <c r="G5431" s="676">
        <v>3692.8370000000004</v>
      </c>
      <c r="H5431" s="929">
        <v>1218.6362100000001</v>
      </c>
      <c r="I5431" s="929">
        <v>2335.7194025000003</v>
      </c>
      <c r="J5431" s="689">
        <f t="shared" si="85"/>
        <v>1357.1175975000001</v>
      </c>
    </row>
    <row r="5432" spans="1:10" ht="12.75" customHeight="1" x14ac:dyDescent="0.2">
      <c r="A5432" s="681">
        <v>1242</v>
      </c>
      <c r="B5432" s="693">
        <v>5652030019</v>
      </c>
      <c r="C5432" s="672" t="s">
        <v>8240</v>
      </c>
      <c r="D5432" s="809" t="s">
        <v>10390</v>
      </c>
      <c r="E5432" s="674">
        <v>3</v>
      </c>
      <c r="F5432" s="675">
        <v>0.33</v>
      </c>
      <c r="G5432" s="676">
        <v>3692.8370000000004</v>
      </c>
      <c r="H5432" s="929">
        <v>1218.6362100000001</v>
      </c>
      <c r="I5432" s="929">
        <v>2335.7194025000003</v>
      </c>
      <c r="J5432" s="689">
        <f t="shared" si="85"/>
        <v>1357.1175975000001</v>
      </c>
    </row>
    <row r="5433" spans="1:10" ht="12.75" customHeight="1" x14ac:dyDescent="0.2">
      <c r="A5433" s="681">
        <v>1242</v>
      </c>
      <c r="B5433" s="693">
        <v>5652030020</v>
      </c>
      <c r="C5433" s="672" t="s">
        <v>8240</v>
      </c>
      <c r="D5433" s="809" t="s">
        <v>10390</v>
      </c>
      <c r="E5433" s="674">
        <v>3</v>
      </c>
      <c r="F5433" s="675">
        <v>0.33</v>
      </c>
      <c r="G5433" s="676">
        <v>3692.8370000000004</v>
      </c>
      <c r="H5433" s="929">
        <v>1218.6362100000001</v>
      </c>
      <c r="I5433" s="929">
        <v>2335.7194025000003</v>
      </c>
      <c r="J5433" s="689">
        <f t="shared" si="85"/>
        <v>1357.1175975000001</v>
      </c>
    </row>
    <row r="5434" spans="1:10" ht="12.75" customHeight="1" x14ac:dyDescent="0.2">
      <c r="A5434" s="681">
        <v>1242</v>
      </c>
      <c r="B5434" s="693">
        <v>5652030021</v>
      </c>
      <c r="C5434" s="672" t="s">
        <v>8240</v>
      </c>
      <c r="D5434" s="809" t="s">
        <v>10390</v>
      </c>
      <c r="E5434" s="674">
        <v>3</v>
      </c>
      <c r="F5434" s="675">
        <v>0.33</v>
      </c>
      <c r="G5434" s="676">
        <v>3692.8370000000004</v>
      </c>
      <c r="H5434" s="929">
        <v>1218.6362100000001</v>
      </c>
      <c r="I5434" s="929">
        <v>2335.7194025000003</v>
      </c>
      <c r="J5434" s="689">
        <f t="shared" si="85"/>
        <v>1357.1175975000001</v>
      </c>
    </row>
    <row r="5435" spans="1:10" ht="12.75" customHeight="1" x14ac:dyDescent="0.2">
      <c r="A5435" s="681">
        <v>1242</v>
      </c>
      <c r="B5435" s="693">
        <v>5652030022</v>
      </c>
      <c r="C5435" s="672" t="s">
        <v>8240</v>
      </c>
      <c r="D5435" s="809" t="s">
        <v>10390</v>
      </c>
      <c r="E5435" s="674">
        <v>3</v>
      </c>
      <c r="F5435" s="675">
        <v>0.33</v>
      </c>
      <c r="G5435" s="676">
        <v>3692.8370000000004</v>
      </c>
      <c r="H5435" s="929">
        <v>1218.6362100000001</v>
      </c>
      <c r="I5435" s="929">
        <v>2335.7194025000003</v>
      </c>
      <c r="J5435" s="689">
        <f t="shared" si="85"/>
        <v>1357.1175975000001</v>
      </c>
    </row>
    <row r="5436" spans="1:10" ht="12.75" customHeight="1" x14ac:dyDescent="0.2">
      <c r="A5436" s="681">
        <v>1242</v>
      </c>
      <c r="B5436" s="693">
        <v>5652030023</v>
      </c>
      <c r="C5436" s="672" t="s">
        <v>8240</v>
      </c>
      <c r="D5436" s="809" t="s">
        <v>10390</v>
      </c>
      <c r="E5436" s="674">
        <v>3</v>
      </c>
      <c r="F5436" s="675">
        <v>0.33</v>
      </c>
      <c r="G5436" s="676">
        <v>3692.8370000000004</v>
      </c>
      <c r="H5436" s="929">
        <v>1218.6362100000001</v>
      </c>
      <c r="I5436" s="929">
        <v>2335.7194025000003</v>
      </c>
      <c r="J5436" s="689">
        <f t="shared" si="85"/>
        <v>1357.1175975000001</v>
      </c>
    </row>
    <row r="5437" spans="1:10" ht="12.75" customHeight="1" x14ac:dyDescent="0.2">
      <c r="A5437" s="681">
        <v>1242</v>
      </c>
      <c r="B5437" s="693">
        <v>5652030024</v>
      </c>
      <c r="C5437" s="672" t="s">
        <v>8240</v>
      </c>
      <c r="D5437" s="809" t="s">
        <v>10390</v>
      </c>
      <c r="E5437" s="674">
        <v>3</v>
      </c>
      <c r="F5437" s="675">
        <v>0.33</v>
      </c>
      <c r="G5437" s="676">
        <v>3692.8370000000004</v>
      </c>
      <c r="H5437" s="929">
        <v>1218.6362100000001</v>
      </c>
      <c r="I5437" s="929">
        <v>2335.7194025000003</v>
      </c>
      <c r="J5437" s="689">
        <f t="shared" si="85"/>
        <v>1357.1175975000001</v>
      </c>
    </row>
    <row r="5438" spans="1:10" ht="12.75" customHeight="1" x14ac:dyDescent="0.2">
      <c r="A5438" s="681">
        <v>1242</v>
      </c>
      <c r="B5438" s="693">
        <v>5652030025</v>
      </c>
      <c r="C5438" s="672" t="s">
        <v>8240</v>
      </c>
      <c r="D5438" s="809" t="s">
        <v>10390</v>
      </c>
      <c r="E5438" s="674">
        <v>3</v>
      </c>
      <c r="F5438" s="675">
        <v>0.33</v>
      </c>
      <c r="G5438" s="676">
        <v>3692.8370000000004</v>
      </c>
      <c r="H5438" s="929">
        <v>1218.6362100000001</v>
      </c>
      <c r="I5438" s="929">
        <v>2335.7194025000003</v>
      </c>
      <c r="J5438" s="689">
        <f t="shared" si="85"/>
        <v>1357.1175975000001</v>
      </c>
    </row>
    <row r="5439" spans="1:10" ht="12.75" customHeight="1" x14ac:dyDescent="0.2">
      <c r="A5439" s="681">
        <v>1242</v>
      </c>
      <c r="B5439" s="693">
        <v>5652030026</v>
      </c>
      <c r="C5439" s="672" t="s">
        <v>8240</v>
      </c>
      <c r="D5439" s="809" t="s">
        <v>10390</v>
      </c>
      <c r="E5439" s="674">
        <v>3</v>
      </c>
      <c r="F5439" s="675">
        <v>0.33</v>
      </c>
      <c r="G5439" s="676">
        <v>3692.8370000000004</v>
      </c>
      <c r="H5439" s="929">
        <v>1218.6362100000001</v>
      </c>
      <c r="I5439" s="929">
        <v>2335.7194025000003</v>
      </c>
      <c r="J5439" s="689">
        <f t="shared" si="85"/>
        <v>1357.1175975000001</v>
      </c>
    </row>
    <row r="5440" spans="1:10" ht="12.75" customHeight="1" x14ac:dyDescent="0.2">
      <c r="A5440" s="681">
        <v>1242</v>
      </c>
      <c r="B5440" s="693">
        <v>5652030027</v>
      </c>
      <c r="C5440" s="672" t="s">
        <v>8240</v>
      </c>
      <c r="D5440" s="673" t="s">
        <v>10390</v>
      </c>
      <c r="E5440" s="674">
        <v>3</v>
      </c>
      <c r="F5440" s="675">
        <v>0.33</v>
      </c>
      <c r="G5440" s="676">
        <v>3692.8370000000004</v>
      </c>
      <c r="H5440" s="929">
        <v>1218.6362100000001</v>
      </c>
      <c r="I5440" s="929">
        <v>2335.7194025000003</v>
      </c>
      <c r="J5440" s="689">
        <f t="shared" ref="J5440:J5503" si="86">G5440-I5440</f>
        <v>1357.1175975000001</v>
      </c>
    </row>
    <row r="5441" spans="1:10" ht="12.75" customHeight="1" x14ac:dyDescent="0.2">
      <c r="A5441" s="681">
        <v>1242</v>
      </c>
      <c r="B5441" s="693">
        <v>5652030028</v>
      </c>
      <c r="C5441" s="672" t="s">
        <v>8240</v>
      </c>
      <c r="D5441" s="809" t="s">
        <v>10390</v>
      </c>
      <c r="E5441" s="674">
        <v>3</v>
      </c>
      <c r="F5441" s="675">
        <v>0.33</v>
      </c>
      <c r="G5441" s="676">
        <v>3692.8370000000004</v>
      </c>
      <c r="H5441" s="929">
        <v>1218.6362100000001</v>
      </c>
      <c r="I5441" s="929">
        <v>2335.7194025000003</v>
      </c>
      <c r="J5441" s="689">
        <f t="shared" si="86"/>
        <v>1357.1175975000001</v>
      </c>
    </row>
    <row r="5442" spans="1:10" ht="12.75" customHeight="1" x14ac:dyDescent="0.2">
      <c r="A5442" s="681">
        <v>1242</v>
      </c>
      <c r="B5442" s="693">
        <v>5652030029</v>
      </c>
      <c r="C5442" s="672" t="s">
        <v>8240</v>
      </c>
      <c r="D5442" s="809" t="s">
        <v>10390</v>
      </c>
      <c r="E5442" s="674">
        <v>3</v>
      </c>
      <c r="F5442" s="675">
        <v>0.33</v>
      </c>
      <c r="G5442" s="676">
        <v>3692.8370000000004</v>
      </c>
      <c r="H5442" s="929">
        <v>1218.6362100000001</v>
      </c>
      <c r="I5442" s="929">
        <v>2335.7194025000003</v>
      </c>
      <c r="J5442" s="689">
        <f t="shared" si="86"/>
        <v>1357.1175975000001</v>
      </c>
    </row>
    <row r="5443" spans="1:10" ht="12.75" customHeight="1" x14ac:dyDescent="0.2">
      <c r="A5443" s="681">
        <v>1242</v>
      </c>
      <c r="B5443" s="693">
        <v>5652030030</v>
      </c>
      <c r="C5443" s="672" t="s">
        <v>8240</v>
      </c>
      <c r="D5443" s="809" t="s">
        <v>10390</v>
      </c>
      <c r="E5443" s="674">
        <v>3</v>
      </c>
      <c r="F5443" s="675">
        <v>0.33</v>
      </c>
      <c r="G5443" s="676">
        <v>3692.8370000000004</v>
      </c>
      <c r="H5443" s="929">
        <v>1218.6362100000001</v>
      </c>
      <c r="I5443" s="929">
        <v>2335.7194025000003</v>
      </c>
      <c r="J5443" s="689">
        <f t="shared" si="86"/>
        <v>1357.1175975000001</v>
      </c>
    </row>
    <row r="5444" spans="1:10" ht="12.75" customHeight="1" x14ac:dyDescent="0.2">
      <c r="A5444" s="681">
        <v>1242</v>
      </c>
      <c r="B5444" s="693">
        <v>5652030031</v>
      </c>
      <c r="C5444" s="672" t="s">
        <v>8240</v>
      </c>
      <c r="D5444" s="809" t="s">
        <v>10390</v>
      </c>
      <c r="E5444" s="674">
        <v>3</v>
      </c>
      <c r="F5444" s="675">
        <v>0.33</v>
      </c>
      <c r="G5444" s="676">
        <v>3692.8370000000004</v>
      </c>
      <c r="H5444" s="929">
        <v>1218.6362100000001</v>
      </c>
      <c r="I5444" s="929">
        <v>2335.7194025000003</v>
      </c>
      <c r="J5444" s="689">
        <f t="shared" si="86"/>
        <v>1357.1175975000001</v>
      </c>
    </row>
    <row r="5445" spans="1:10" ht="12.75" customHeight="1" x14ac:dyDescent="0.2">
      <c r="A5445" s="681">
        <v>1242</v>
      </c>
      <c r="B5445" s="693">
        <v>5652030032</v>
      </c>
      <c r="C5445" s="672" t="s">
        <v>8240</v>
      </c>
      <c r="D5445" s="809" t="s">
        <v>10390</v>
      </c>
      <c r="E5445" s="674">
        <v>3</v>
      </c>
      <c r="F5445" s="675">
        <v>0.33</v>
      </c>
      <c r="G5445" s="676">
        <v>3692.8370000000004</v>
      </c>
      <c r="H5445" s="929">
        <v>1218.6362100000001</v>
      </c>
      <c r="I5445" s="929">
        <v>2335.7194025000003</v>
      </c>
      <c r="J5445" s="689">
        <f t="shared" si="86"/>
        <v>1357.1175975000001</v>
      </c>
    </row>
    <row r="5446" spans="1:10" ht="12.75" customHeight="1" x14ac:dyDescent="0.2">
      <c r="A5446" s="681">
        <v>1242</v>
      </c>
      <c r="B5446" s="693">
        <v>5652030033</v>
      </c>
      <c r="C5446" s="672" t="s">
        <v>8240</v>
      </c>
      <c r="D5446" s="809" t="s">
        <v>10390</v>
      </c>
      <c r="E5446" s="674">
        <v>3</v>
      </c>
      <c r="F5446" s="675">
        <v>0.33</v>
      </c>
      <c r="G5446" s="676">
        <v>3692.8370000000004</v>
      </c>
      <c r="H5446" s="929">
        <v>1218.6362100000001</v>
      </c>
      <c r="I5446" s="929">
        <v>2335.7194025000003</v>
      </c>
      <c r="J5446" s="689">
        <f t="shared" si="86"/>
        <v>1357.1175975000001</v>
      </c>
    </row>
    <row r="5447" spans="1:10" ht="12.75" customHeight="1" x14ac:dyDescent="0.2">
      <c r="A5447" s="681">
        <v>1242</v>
      </c>
      <c r="B5447" s="693">
        <v>5652030034</v>
      </c>
      <c r="C5447" s="672" t="s">
        <v>8240</v>
      </c>
      <c r="D5447" s="809" t="s">
        <v>10390</v>
      </c>
      <c r="E5447" s="674">
        <v>3</v>
      </c>
      <c r="F5447" s="675">
        <v>0.33</v>
      </c>
      <c r="G5447" s="676">
        <v>3692.8370000000004</v>
      </c>
      <c r="H5447" s="929">
        <v>1218.6362100000001</v>
      </c>
      <c r="I5447" s="929">
        <v>2335.7194025000003</v>
      </c>
      <c r="J5447" s="689">
        <f t="shared" si="86"/>
        <v>1357.1175975000001</v>
      </c>
    </row>
    <row r="5448" spans="1:10" ht="12.75" customHeight="1" x14ac:dyDescent="0.2">
      <c r="A5448" s="681">
        <v>1242</v>
      </c>
      <c r="B5448" s="693">
        <v>5652030005</v>
      </c>
      <c r="C5448" s="672" t="s">
        <v>8240</v>
      </c>
      <c r="D5448" s="809" t="s">
        <v>10390</v>
      </c>
      <c r="E5448" s="674">
        <v>3</v>
      </c>
      <c r="F5448" s="675">
        <v>0.33</v>
      </c>
      <c r="G5448" s="676">
        <v>3692.8370000000004</v>
      </c>
      <c r="H5448" s="929">
        <v>1218.6362100000001</v>
      </c>
      <c r="I5448" s="929">
        <v>2335.7194025000003</v>
      </c>
      <c r="J5448" s="689">
        <f t="shared" si="86"/>
        <v>1357.1175975000001</v>
      </c>
    </row>
    <row r="5449" spans="1:10" ht="12.75" customHeight="1" x14ac:dyDescent="0.2">
      <c r="A5449" s="681"/>
      <c r="B5449" s="693"/>
      <c r="C5449" s="672"/>
      <c r="D5449" s="809"/>
      <c r="E5449" s="674"/>
      <c r="F5449" s="675"/>
      <c r="G5449" s="676"/>
      <c r="H5449" s="929"/>
      <c r="I5449" s="929"/>
      <c r="J5449" s="689"/>
    </row>
    <row r="5450" spans="1:10" ht="12.75" customHeight="1" x14ac:dyDescent="0.2">
      <c r="A5450" s="681">
        <v>1241</v>
      </c>
      <c r="B5450" s="693">
        <v>5110930001</v>
      </c>
      <c r="C5450" s="672" t="s">
        <v>8241</v>
      </c>
      <c r="D5450" s="809" t="s">
        <v>8226</v>
      </c>
      <c r="E5450" s="674">
        <v>10</v>
      </c>
      <c r="F5450" s="675">
        <v>0.1</v>
      </c>
      <c r="G5450" s="676">
        <v>2608.2600000000002</v>
      </c>
      <c r="H5450" s="929">
        <v>260.82600000000002</v>
      </c>
      <c r="I5450" s="929">
        <v>478.18100000000004</v>
      </c>
      <c r="J5450" s="689">
        <f t="shared" si="86"/>
        <v>2130.0790000000002</v>
      </c>
    </row>
    <row r="5451" spans="1:10" ht="12.75" customHeight="1" x14ac:dyDescent="0.2">
      <c r="A5451" s="681">
        <v>1241</v>
      </c>
      <c r="B5451" s="693">
        <v>5111560001</v>
      </c>
      <c r="C5451" s="672" t="s">
        <v>8242</v>
      </c>
      <c r="D5451" s="809" t="s">
        <v>8226</v>
      </c>
      <c r="E5451" s="674">
        <v>10</v>
      </c>
      <c r="F5451" s="675">
        <v>0.1</v>
      </c>
      <c r="G5451" s="676">
        <v>10857.99</v>
      </c>
      <c r="H5451" s="929">
        <v>1085.799</v>
      </c>
      <c r="I5451" s="929">
        <v>1990.6315</v>
      </c>
      <c r="J5451" s="689">
        <f t="shared" si="86"/>
        <v>8867.3585000000003</v>
      </c>
    </row>
    <row r="5452" spans="1:10" ht="12.75" customHeight="1" x14ac:dyDescent="0.2">
      <c r="A5452" s="681">
        <v>1241</v>
      </c>
      <c r="B5452" s="693">
        <v>5151260032</v>
      </c>
      <c r="C5452" s="672" t="s">
        <v>8243</v>
      </c>
      <c r="D5452" s="809" t="s">
        <v>8226</v>
      </c>
      <c r="E5452" s="674">
        <v>3</v>
      </c>
      <c r="F5452" s="675">
        <v>0.33</v>
      </c>
      <c r="G5452" s="676">
        <v>14085.912999999997</v>
      </c>
      <c r="H5452" s="929">
        <v>4648.3512899999987</v>
      </c>
      <c r="I5452" s="929">
        <v>8521.977364999997</v>
      </c>
      <c r="J5452" s="689">
        <f t="shared" si="86"/>
        <v>5563.9356349999998</v>
      </c>
    </row>
    <row r="5453" spans="1:10" ht="12.75" customHeight="1" x14ac:dyDescent="0.2">
      <c r="A5453" s="681">
        <v>1241</v>
      </c>
      <c r="B5453" s="693">
        <v>5151260033</v>
      </c>
      <c r="C5453" s="672" t="s">
        <v>8243</v>
      </c>
      <c r="D5453" s="809" t="s">
        <v>8226</v>
      </c>
      <c r="E5453" s="674">
        <v>3</v>
      </c>
      <c r="F5453" s="675">
        <v>0.33</v>
      </c>
      <c r="G5453" s="676">
        <v>14085.912999999997</v>
      </c>
      <c r="H5453" s="929">
        <v>4648.3512899999987</v>
      </c>
      <c r="I5453" s="929">
        <v>8521.977364999997</v>
      </c>
      <c r="J5453" s="689">
        <f t="shared" si="86"/>
        <v>5563.9356349999998</v>
      </c>
    </row>
    <row r="5454" spans="1:10" ht="12.75" customHeight="1" x14ac:dyDescent="0.2">
      <c r="A5454" s="681">
        <v>1241</v>
      </c>
      <c r="B5454" s="693">
        <v>5151260034</v>
      </c>
      <c r="C5454" s="672" t="s">
        <v>8243</v>
      </c>
      <c r="D5454" s="809" t="s">
        <v>8226</v>
      </c>
      <c r="E5454" s="674">
        <v>3</v>
      </c>
      <c r="F5454" s="675">
        <v>0.33</v>
      </c>
      <c r="G5454" s="676">
        <v>14085.912999999997</v>
      </c>
      <c r="H5454" s="929">
        <v>4648.3512899999987</v>
      </c>
      <c r="I5454" s="929">
        <v>8521.977364999997</v>
      </c>
      <c r="J5454" s="689">
        <f t="shared" si="86"/>
        <v>5563.9356349999998</v>
      </c>
    </row>
    <row r="5455" spans="1:10" ht="12.75" customHeight="1" x14ac:dyDescent="0.2">
      <c r="A5455" s="681">
        <v>1241</v>
      </c>
      <c r="B5455" s="693">
        <v>5151260035</v>
      </c>
      <c r="C5455" s="672" t="s">
        <v>8243</v>
      </c>
      <c r="D5455" s="809" t="s">
        <v>8226</v>
      </c>
      <c r="E5455" s="674">
        <v>3</v>
      </c>
      <c r="F5455" s="675">
        <v>0.33</v>
      </c>
      <c r="G5455" s="676">
        <v>14085.912999999997</v>
      </c>
      <c r="H5455" s="929">
        <v>4648.3512899999987</v>
      </c>
      <c r="I5455" s="929">
        <v>8521.977364999997</v>
      </c>
      <c r="J5455" s="689">
        <f t="shared" si="86"/>
        <v>5563.9356349999998</v>
      </c>
    </row>
    <row r="5456" spans="1:10" ht="12.75" customHeight="1" x14ac:dyDescent="0.2">
      <c r="A5456" s="681">
        <v>1241</v>
      </c>
      <c r="B5456" s="693">
        <v>5151260036</v>
      </c>
      <c r="C5456" s="672" t="s">
        <v>8243</v>
      </c>
      <c r="D5456" s="809" t="s">
        <v>8226</v>
      </c>
      <c r="E5456" s="674">
        <v>3</v>
      </c>
      <c r="F5456" s="675">
        <v>0.33</v>
      </c>
      <c r="G5456" s="676">
        <v>14085.912999999997</v>
      </c>
      <c r="H5456" s="929">
        <v>4648.3512899999987</v>
      </c>
      <c r="I5456" s="929">
        <v>8521.977364999997</v>
      </c>
      <c r="J5456" s="689">
        <f t="shared" si="86"/>
        <v>5563.9356349999998</v>
      </c>
    </row>
    <row r="5457" spans="1:10" ht="12.75" customHeight="1" x14ac:dyDescent="0.2">
      <c r="A5457" s="681">
        <v>1241</v>
      </c>
      <c r="B5457" s="693">
        <v>5151260037</v>
      </c>
      <c r="C5457" s="672" t="s">
        <v>8243</v>
      </c>
      <c r="D5457" s="809" t="s">
        <v>8226</v>
      </c>
      <c r="E5457" s="674">
        <v>3</v>
      </c>
      <c r="F5457" s="675">
        <v>0.33</v>
      </c>
      <c r="G5457" s="676">
        <v>14085.912999999997</v>
      </c>
      <c r="H5457" s="929">
        <v>4648.3512899999987</v>
      </c>
      <c r="I5457" s="929">
        <v>8521.977364999997</v>
      </c>
      <c r="J5457" s="689">
        <f t="shared" si="86"/>
        <v>5563.9356349999998</v>
      </c>
    </row>
    <row r="5458" spans="1:10" ht="12.75" customHeight="1" x14ac:dyDescent="0.2">
      <c r="A5458" s="681">
        <v>1241</v>
      </c>
      <c r="B5458" s="693">
        <v>5151260038</v>
      </c>
      <c r="C5458" s="672" t="s">
        <v>8243</v>
      </c>
      <c r="D5458" s="809" t="s">
        <v>8226</v>
      </c>
      <c r="E5458" s="674">
        <v>3</v>
      </c>
      <c r="F5458" s="675">
        <v>0.33</v>
      </c>
      <c r="G5458" s="676">
        <v>14085.912999999997</v>
      </c>
      <c r="H5458" s="929">
        <v>4648.3512899999987</v>
      </c>
      <c r="I5458" s="929">
        <v>8521.977364999997</v>
      </c>
      <c r="J5458" s="689">
        <f t="shared" si="86"/>
        <v>5563.9356349999998</v>
      </c>
    </row>
    <row r="5459" spans="1:10" ht="12.75" customHeight="1" x14ac:dyDescent="0.2">
      <c r="A5459" s="681">
        <v>1241</v>
      </c>
      <c r="B5459" s="693">
        <v>5151260039</v>
      </c>
      <c r="C5459" s="672" t="s">
        <v>8243</v>
      </c>
      <c r="D5459" s="809" t="s">
        <v>8226</v>
      </c>
      <c r="E5459" s="674">
        <v>3</v>
      </c>
      <c r="F5459" s="675">
        <v>0.33</v>
      </c>
      <c r="G5459" s="676">
        <v>14085.912999999997</v>
      </c>
      <c r="H5459" s="929">
        <v>4648.3512899999987</v>
      </c>
      <c r="I5459" s="929">
        <v>8521.977364999997</v>
      </c>
      <c r="J5459" s="689">
        <f t="shared" si="86"/>
        <v>5563.9356349999998</v>
      </c>
    </row>
    <row r="5460" spans="1:10" ht="12.75" customHeight="1" x14ac:dyDescent="0.2">
      <c r="A5460" s="681">
        <v>1241</v>
      </c>
      <c r="B5460" s="693">
        <v>5151260040</v>
      </c>
      <c r="C5460" s="672" t="s">
        <v>8243</v>
      </c>
      <c r="D5460" s="809" t="s">
        <v>8226</v>
      </c>
      <c r="E5460" s="674">
        <v>3</v>
      </c>
      <c r="F5460" s="675">
        <v>0.33</v>
      </c>
      <c r="G5460" s="676">
        <v>14085.912999999997</v>
      </c>
      <c r="H5460" s="929">
        <v>4648.3512899999987</v>
      </c>
      <c r="I5460" s="929">
        <v>8521.977364999997</v>
      </c>
      <c r="J5460" s="689">
        <f t="shared" si="86"/>
        <v>5563.9356349999998</v>
      </c>
    </row>
    <row r="5461" spans="1:10" ht="12.75" customHeight="1" x14ac:dyDescent="0.2">
      <c r="A5461" s="681">
        <v>1241</v>
      </c>
      <c r="B5461" s="693">
        <v>5151260041</v>
      </c>
      <c r="C5461" s="672" t="s">
        <v>8243</v>
      </c>
      <c r="D5461" s="809" t="s">
        <v>8226</v>
      </c>
      <c r="E5461" s="674">
        <v>3</v>
      </c>
      <c r="F5461" s="675">
        <v>0.33</v>
      </c>
      <c r="G5461" s="676">
        <v>14085.912999999997</v>
      </c>
      <c r="H5461" s="929">
        <v>4648.3512899999987</v>
      </c>
      <c r="I5461" s="929">
        <v>8521.977364999997</v>
      </c>
      <c r="J5461" s="689">
        <f t="shared" si="86"/>
        <v>5563.9356349999998</v>
      </c>
    </row>
    <row r="5462" spans="1:10" ht="12.75" customHeight="1" x14ac:dyDescent="0.2">
      <c r="A5462" s="681">
        <v>1241</v>
      </c>
      <c r="B5462" s="693">
        <v>5151260042</v>
      </c>
      <c r="C5462" s="672" t="s">
        <v>8244</v>
      </c>
      <c r="D5462" s="809" t="s">
        <v>8226</v>
      </c>
      <c r="E5462" s="674">
        <v>3</v>
      </c>
      <c r="F5462" s="675">
        <v>0.33</v>
      </c>
      <c r="G5462" s="676">
        <v>9206.5</v>
      </c>
      <c r="H5462" s="929">
        <v>3038.145</v>
      </c>
      <c r="I5462" s="929">
        <v>5569.9324999999999</v>
      </c>
      <c r="J5462" s="689">
        <f t="shared" si="86"/>
        <v>3636.5675000000001</v>
      </c>
    </row>
    <row r="5463" spans="1:10" ht="12.75" customHeight="1" x14ac:dyDescent="0.2">
      <c r="A5463" s="681">
        <v>1241</v>
      </c>
      <c r="B5463" s="693">
        <v>5151260043</v>
      </c>
      <c r="C5463" s="672" t="s">
        <v>8244</v>
      </c>
      <c r="D5463" s="809" t="s">
        <v>8226</v>
      </c>
      <c r="E5463" s="674">
        <v>3</v>
      </c>
      <c r="F5463" s="675">
        <v>0.33</v>
      </c>
      <c r="G5463" s="676">
        <v>9206.5</v>
      </c>
      <c r="H5463" s="929">
        <v>3038.145</v>
      </c>
      <c r="I5463" s="929">
        <v>5569.9324999999999</v>
      </c>
      <c r="J5463" s="689">
        <f t="shared" si="86"/>
        <v>3636.5675000000001</v>
      </c>
    </row>
    <row r="5464" spans="1:10" ht="12.75" customHeight="1" x14ac:dyDescent="0.2">
      <c r="A5464" s="681">
        <v>1241</v>
      </c>
      <c r="B5464" s="693">
        <v>5151260044</v>
      </c>
      <c r="C5464" s="672" t="s">
        <v>8245</v>
      </c>
      <c r="D5464" s="809" t="s">
        <v>8226</v>
      </c>
      <c r="E5464" s="674">
        <v>3</v>
      </c>
      <c r="F5464" s="675">
        <v>0.33</v>
      </c>
      <c r="G5464" s="676">
        <v>9206.66</v>
      </c>
      <c r="H5464" s="929">
        <v>3038.1977999999995</v>
      </c>
      <c r="I5464" s="929">
        <v>5570.0292999999992</v>
      </c>
      <c r="J5464" s="689">
        <f t="shared" si="86"/>
        <v>3636.6307000000006</v>
      </c>
    </row>
    <row r="5465" spans="1:10" ht="12.75" customHeight="1" x14ac:dyDescent="0.2">
      <c r="A5465" s="681">
        <v>1241</v>
      </c>
      <c r="B5465" s="693">
        <v>5151100006</v>
      </c>
      <c r="C5465" s="672" t="s">
        <v>8246</v>
      </c>
      <c r="D5465" s="809" t="s">
        <v>8226</v>
      </c>
      <c r="E5465" s="674">
        <v>3</v>
      </c>
      <c r="F5465" s="675">
        <v>0.33</v>
      </c>
      <c r="G5465" s="676">
        <v>8004</v>
      </c>
      <c r="H5465" s="929">
        <v>2641.3200000000011</v>
      </c>
      <c r="I5465" s="929">
        <v>4842.4200000000019</v>
      </c>
      <c r="J5465" s="689">
        <f t="shared" si="86"/>
        <v>3161.5799999999981</v>
      </c>
    </row>
    <row r="5466" spans="1:10" ht="12.75" customHeight="1" x14ac:dyDescent="0.2">
      <c r="A5466" s="681">
        <v>1241</v>
      </c>
      <c r="B5466" s="693">
        <v>5150710004</v>
      </c>
      <c r="C5466" s="672" t="s">
        <v>8247</v>
      </c>
      <c r="D5466" s="809" t="s">
        <v>8226</v>
      </c>
      <c r="E5466" s="674">
        <v>3</v>
      </c>
      <c r="F5466" s="675">
        <v>0.33</v>
      </c>
      <c r="G5466" s="676">
        <v>8700</v>
      </c>
      <c r="H5466" s="929">
        <v>2871</v>
      </c>
      <c r="I5466" s="929">
        <v>5263.5</v>
      </c>
      <c r="J5466" s="689">
        <f t="shared" si="86"/>
        <v>3436.5</v>
      </c>
    </row>
    <row r="5467" spans="1:10" ht="12.75" customHeight="1" x14ac:dyDescent="0.2">
      <c r="A5467" s="681">
        <v>1241</v>
      </c>
      <c r="B5467" s="693">
        <v>5151260045</v>
      </c>
      <c r="C5467" s="672" t="s">
        <v>8244</v>
      </c>
      <c r="D5467" s="809" t="s">
        <v>8226</v>
      </c>
      <c r="E5467" s="674">
        <v>3</v>
      </c>
      <c r="F5467" s="675">
        <v>0.33</v>
      </c>
      <c r="G5467" s="676">
        <v>9206.6633333333339</v>
      </c>
      <c r="H5467" s="929">
        <v>3038.1988999999999</v>
      </c>
      <c r="I5467" s="929">
        <v>5570.0313166666665</v>
      </c>
      <c r="J5467" s="689">
        <f t="shared" si="86"/>
        <v>3636.6320166666674</v>
      </c>
    </row>
    <row r="5468" spans="1:10" ht="12.75" customHeight="1" x14ac:dyDescent="0.2">
      <c r="A5468" s="681">
        <v>1241</v>
      </c>
      <c r="B5468" s="693">
        <v>5151260046</v>
      </c>
      <c r="C5468" s="672" t="s">
        <v>8244</v>
      </c>
      <c r="D5468" s="809" t="s">
        <v>8226</v>
      </c>
      <c r="E5468" s="674">
        <v>3</v>
      </c>
      <c r="F5468" s="675">
        <v>0.33</v>
      </c>
      <c r="G5468" s="676">
        <v>9206.6633333333339</v>
      </c>
      <c r="H5468" s="929">
        <v>3038.1988999999999</v>
      </c>
      <c r="I5468" s="929">
        <v>5570.0313166666665</v>
      </c>
      <c r="J5468" s="689">
        <f t="shared" si="86"/>
        <v>3636.6320166666674</v>
      </c>
    </row>
    <row r="5469" spans="1:10" ht="12.75" customHeight="1" x14ac:dyDescent="0.2">
      <c r="A5469" s="681">
        <v>1241</v>
      </c>
      <c r="B5469" s="693">
        <v>5151260047</v>
      </c>
      <c r="C5469" s="672" t="s">
        <v>8244</v>
      </c>
      <c r="D5469" s="809" t="s">
        <v>8226</v>
      </c>
      <c r="E5469" s="674">
        <v>3</v>
      </c>
      <c r="F5469" s="675">
        <v>0.33</v>
      </c>
      <c r="G5469" s="676">
        <v>9206.6633333333339</v>
      </c>
      <c r="H5469" s="929">
        <v>3038.1988999999999</v>
      </c>
      <c r="I5469" s="929">
        <v>5570.0313166666665</v>
      </c>
      <c r="J5469" s="689">
        <f t="shared" si="86"/>
        <v>3636.6320166666674</v>
      </c>
    </row>
    <row r="5470" spans="1:10" ht="12.75" customHeight="1" x14ac:dyDescent="0.2">
      <c r="A5470" s="681">
        <v>1241</v>
      </c>
      <c r="B5470" s="693">
        <v>5151260048</v>
      </c>
      <c r="C5470" s="672" t="s">
        <v>8248</v>
      </c>
      <c r="D5470" s="809" t="s">
        <v>8226</v>
      </c>
      <c r="E5470" s="674">
        <v>3</v>
      </c>
      <c r="F5470" s="675">
        <v>0.33</v>
      </c>
      <c r="G5470" s="676">
        <v>9222</v>
      </c>
      <c r="H5470" s="929">
        <v>3043.2599999999998</v>
      </c>
      <c r="I5470" s="929">
        <v>5579.3099999999995</v>
      </c>
      <c r="J5470" s="689">
        <f t="shared" si="86"/>
        <v>3642.6900000000005</v>
      </c>
    </row>
    <row r="5471" spans="1:10" ht="12.75" customHeight="1" x14ac:dyDescent="0.2">
      <c r="A5471" s="681">
        <v>1241</v>
      </c>
      <c r="B5471" s="693">
        <v>5151260049</v>
      </c>
      <c r="C5471" s="672" t="s">
        <v>8248</v>
      </c>
      <c r="D5471" s="809" t="s">
        <v>8226</v>
      </c>
      <c r="E5471" s="674">
        <v>3</v>
      </c>
      <c r="F5471" s="675">
        <v>0.33</v>
      </c>
      <c r="G5471" s="676">
        <v>9222</v>
      </c>
      <c r="H5471" s="929">
        <v>3043.2599999999998</v>
      </c>
      <c r="I5471" s="929">
        <v>5579.3099999999995</v>
      </c>
      <c r="J5471" s="689">
        <f t="shared" si="86"/>
        <v>3642.6900000000005</v>
      </c>
    </row>
    <row r="5472" spans="1:10" ht="12.75" customHeight="1" x14ac:dyDescent="0.2">
      <c r="A5472" s="681">
        <v>1241</v>
      </c>
      <c r="B5472" s="693">
        <v>5151260050</v>
      </c>
      <c r="C5472" s="672" t="s">
        <v>8248</v>
      </c>
      <c r="D5472" s="809" t="s">
        <v>8226</v>
      </c>
      <c r="E5472" s="674">
        <v>3</v>
      </c>
      <c r="F5472" s="675">
        <v>0.33</v>
      </c>
      <c r="G5472" s="676">
        <v>9222</v>
      </c>
      <c r="H5472" s="929">
        <v>3043.2599999999998</v>
      </c>
      <c r="I5472" s="929">
        <v>5579.3099999999995</v>
      </c>
      <c r="J5472" s="689">
        <f t="shared" si="86"/>
        <v>3642.6900000000005</v>
      </c>
    </row>
    <row r="5473" spans="1:10" ht="12.75" customHeight="1" x14ac:dyDescent="0.2">
      <c r="A5473" s="681">
        <v>1241</v>
      </c>
      <c r="B5473" s="693">
        <v>5151260051</v>
      </c>
      <c r="C5473" s="672" t="s">
        <v>8248</v>
      </c>
      <c r="D5473" s="809" t="s">
        <v>8226</v>
      </c>
      <c r="E5473" s="674">
        <v>3</v>
      </c>
      <c r="F5473" s="675">
        <v>0.33</v>
      </c>
      <c r="G5473" s="676">
        <v>9222</v>
      </c>
      <c r="H5473" s="929">
        <v>3043.2599999999998</v>
      </c>
      <c r="I5473" s="929">
        <v>5579.3099999999995</v>
      </c>
      <c r="J5473" s="689">
        <f t="shared" si="86"/>
        <v>3642.6900000000005</v>
      </c>
    </row>
    <row r="5474" spans="1:10" ht="12.75" customHeight="1" x14ac:dyDescent="0.2">
      <c r="A5474" s="681">
        <v>1241</v>
      </c>
      <c r="B5474" s="693">
        <v>5151260052</v>
      </c>
      <c r="C5474" s="672" t="s">
        <v>8248</v>
      </c>
      <c r="D5474" s="809" t="s">
        <v>8226</v>
      </c>
      <c r="E5474" s="674">
        <v>3</v>
      </c>
      <c r="F5474" s="675">
        <v>0.33</v>
      </c>
      <c r="G5474" s="676">
        <v>9222</v>
      </c>
      <c r="H5474" s="929">
        <v>3043.2599999999998</v>
      </c>
      <c r="I5474" s="929">
        <v>5579.3099999999995</v>
      </c>
      <c r="J5474" s="689">
        <f t="shared" si="86"/>
        <v>3642.6900000000005</v>
      </c>
    </row>
    <row r="5475" spans="1:10" ht="12.75" customHeight="1" x14ac:dyDescent="0.2">
      <c r="A5475" s="681">
        <v>1241</v>
      </c>
      <c r="B5475" s="693">
        <v>5151260053</v>
      </c>
      <c r="C5475" s="672" t="s">
        <v>8244</v>
      </c>
      <c r="D5475" s="809" t="s">
        <v>8226</v>
      </c>
      <c r="E5475" s="674">
        <v>3</v>
      </c>
      <c r="F5475" s="675">
        <v>0.33</v>
      </c>
      <c r="G5475" s="676">
        <v>9206.6550000000007</v>
      </c>
      <c r="H5475" s="929">
        <v>3038.1961500000011</v>
      </c>
      <c r="I5475" s="929">
        <v>5570.026275000002</v>
      </c>
      <c r="J5475" s="689">
        <f t="shared" si="86"/>
        <v>3636.6287249999987</v>
      </c>
    </row>
    <row r="5476" spans="1:10" ht="12.75" customHeight="1" x14ac:dyDescent="0.2">
      <c r="A5476" s="681">
        <v>1241</v>
      </c>
      <c r="B5476" s="693">
        <v>5151260054</v>
      </c>
      <c r="C5476" s="672" t="s">
        <v>8244</v>
      </c>
      <c r="D5476" s="809" t="s">
        <v>8226</v>
      </c>
      <c r="E5476" s="674">
        <v>3</v>
      </c>
      <c r="F5476" s="675">
        <v>0.33</v>
      </c>
      <c r="G5476" s="676">
        <v>9206.6550000000007</v>
      </c>
      <c r="H5476" s="929">
        <v>3038.1961500000011</v>
      </c>
      <c r="I5476" s="929">
        <v>5570.026275000002</v>
      </c>
      <c r="J5476" s="689">
        <f t="shared" si="86"/>
        <v>3636.6287249999987</v>
      </c>
    </row>
    <row r="5477" spans="1:10" ht="12.75" customHeight="1" x14ac:dyDescent="0.2">
      <c r="A5477" s="681">
        <v>1241</v>
      </c>
      <c r="B5477" s="693">
        <v>5150230012</v>
      </c>
      <c r="C5477" s="672" t="s">
        <v>8249</v>
      </c>
      <c r="D5477" s="809" t="s">
        <v>8226</v>
      </c>
      <c r="E5477" s="674">
        <v>3</v>
      </c>
      <c r="F5477" s="675">
        <v>0.33</v>
      </c>
      <c r="G5477" s="676">
        <v>4628.3999999999996</v>
      </c>
      <c r="H5477" s="929">
        <v>1527.3719999999996</v>
      </c>
      <c r="I5477" s="929">
        <v>2800.1819999999993</v>
      </c>
      <c r="J5477" s="689">
        <f t="shared" si="86"/>
        <v>1828.2180000000003</v>
      </c>
    </row>
    <row r="5478" spans="1:10" ht="12.75" customHeight="1" x14ac:dyDescent="0.2">
      <c r="A5478" s="681">
        <v>1241</v>
      </c>
      <c r="B5478" s="693">
        <v>5111300015</v>
      </c>
      <c r="C5478" s="672" t="s">
        <v>8250</v>
      </c>
      <c r="D5478" s="809" t="s">
        <v>8226</v>
      </c>
      <c r="E5478" s="674">
        <v>10</v>
      </c>
      <c r="F5478" s="675">
        <v>0.1</v>
      </c>
      <c r="G5478" s="676">
        <v>1450</v>
      </c>
      <c r="H5478" s="929">
        <v>145</v>
      </c>
      <c r="I5478" s="929">
        <v>265.83333333333331</v>
      </c>
      <c r="J5478" s="689">
        <f t="shared" si="86"/>
        <v>1184.1666666666667</v>
      </c>
    </row>
    <row r="5479" spans="1:10" ht="12.75" customHeight="1" x14ac:dyDescent="0.2">
      <c r="A5479" s="681">
        <v>1241</v>
      </c>
      <c r="B5479" s="693">
        <v>5111300016</v>
      </c>
      <c r="C5479" s="672" t="s">
        <v>8250</v>
      </c>
      <c r="D5479" s="809" t="s">
        <v>8226</v>
      </c>
      <c r="E5479" s="674">
        <v>10</v>
      </c>
      <c r="F5479" s="675">
        <v>0.1</v>
      </c>
      <c r="G5479" s="676">
        <v>1450</v>
      </c>
      <c r="H5479" s="929">
        <v>145</v>
      </c>
      <c r="I5479" s="929">
        <v>265.83333333333331</v>
      </c>
      <c r="J5479" s="689">
        <f t="shared" si="86"/>
        <v>1184.1666666666667</v>
      </c>
    </row>
    <row r="5480" spans="1:10" ht="12.75" customHeight="1" x14ac:dyDescent="0.2">
      <c r="A5480" s="681">
        <v>1241</v>
      </c>
      <c r="B5480" s="693">
        <v>5111300017</v>
      </c>
      <c r="C5480" s="672" t="s">
        <v>8250</v>
      </c>
      <c r="D5480" s="809" t="s">
        <v>8226</v>
      </c>
      <c r="E5480" s="674">
        <v>10</v>
      </c>
      <c r="F5480" s="675">
        <v>0.1</v>
      </c>
      <c r="G5480" s="676">
        <v>1450</v>
      </c>
      <c r="H5480" s="929">
        <v>145</v>
      </c>
      <c r="I5480" s="929">
        <v>265.83333333333331</v>
      </c>
      <c r="J5480" s="689">
        <f t="shared" si="86"/>
        <v>1184.1666666666667</v>
      </c>
    </row>
    <row r="5481" spans="1:10" ht="12.75" customHeight="1" x14ac:dyDescent="0.2">
      <c r="A5481" s="681">
        <v>1241</v>
      </c>
      <c r="B5481" s="693">
        <v>5111300018</v>
      </c>
      <c r="C5481" s="672" t="s">
        <v>8250</v>
      </c>
      <c r="D5481" s="809" t="s">
        <v>8226</v>
      </c>
      <c r="E5481" s="674">
        <v>10</v>
      </c>
      <c r="F5481" s="675">
        <v>0.1</v>
      </c>
      <c r="G5481" s="676">
        <v>1450</v>
      </c>
      <c r="H5481" s="929">
        <v>145</v>
      </c>
      <c r="I5481" s="929">
        <v>265.83333333333331</v>
      </c>
      <c r="J5481" s="689">
        <f t="shared" si="86"/>
        <v>1184.1666666666667</v>
      </c>
    </row>
    <row r="5482" spans="1:10" ht="12.75" customHeight="1" x14ac:dyDescent="0.2">
      <c r="A5482" s="681">
        <v>1241</v>
      </c>
      <c r="B5482" s="693">
        <v>5111300019</v>
      </c>
      <c r="C5482" s="672" t="s">
        <v>8250</v>
      </c>
      <c r="D5482" s="809" t="s">
        <v>8226</v>
      </c>
      <c r="E5482" s="674">
        <v>10</v>
      </c>
      <c r="F5482" s="675">
        <v>0.1</v>
      </c>
      <c r="G5482" s="676">
        <v>1450</v>
      </c>
      <c r="H5482" s="929">
        <v>145</v>
      </c>
      <c r="I5482" s="929">
        <v>265.83333333333331</v>
      </c>
      <c r="J5482" s="689">
        <f t="shared" si="86"/>
        <v>1184.1666666666667</v>
      </c>
    </row>
    <row r="5483" spans="1:10" ht="12.75" customHeight="1" x14ac:dyDescent="0.2">
      <c r="A5483" s="681">
        <v>1241</v>
      </c>
      <c r="B5483" s="693">
        <v>5111300020</v>
      </c>
      <c r="C5483" s="672" t="s">
        <v>8250</v>
      </c>
      <c r="D5483" s="809" t="s">
        <v>8226</v>
      </c>
      <c r="E5483" s="674">
        <v>10</v>
      </c>
      <c r="F5483" s="675">
        <v>0.1</v>
      </c>
      <c r="G5483" s="676">
        <v>1450</v>
      </c>
      <c r="H5483" s="929">
        <v>145</v>
      </c>
      <c r="I5483" s="929">
        <v>265.83333333333331</v>
      </c>
      <c r="J5483" s="689">
        <f t="shared" si="86"/>
        <v>1184.1666666666667</v>
      </c>
    </row>
    <row r="5484" spans="1:10" ht="12.75" customHeight="1" x14ac:dyDescent="0.2">
      <c r="A5484" s="681">
        <v>1241</v>
      </c>
      <c r="B5484" s="693">
        <v>5111300021</v>
      </c>
      <c r="C5484" s="672" t="s">
        <v>8250</v>
      </c>
      <c r="D5484" s="809" t="s">
        <v>8226</v>
      </c>
      <c r="E5484" s="674">
        <v>10</v>
      </c>
      <c r="F5484" s="675">
        <v>0.1</v>
      </c>
      <c r="G5484" s="676">
        <v>1450</v>
      </c>
      <c r="H5484" s="929">
        <v>145</v>
      </c>
      <c r="I5484" s="929">
        <v>265.83333333333331</v>
      </c>
      <c r="J5484" s="689">
        <f t="shared" si="86"/>
        <v>1184.1666666666667</v>
      </c>
    </row>
    <row r="5485" spans="1:10" ht="12.75" customHeight="1" x14ac:dyDescent="0.2">
      <c r="A5485" s="681">
        <v>1241</v>
      </c>
      <c r="B5485" s="693">
        <v>5111300022</v>
      </c>
      <c r="C5485" s="672" t="s">
        <v>8250</v>
      </c>
      <c r="D5485" s="809" t="s">
        <v>8226</v>
      </c>
      <c r="E5485" s="674">
        <v>10</v>
      </c>
      <c r="F5485" s="675">
        <v>0.1</v>
      </c>
      <c r="G5485" s="676">
        <v>1450</v>
      </c>
      <c r="H5485" s="929">
        <v>145</v>
      </c>
      <c r="I5485" s="929">
        <v>265.83333333333331</v>
      </c>
      <c r="J5485" s="689">
        <f t="shared" si="86"/>
        <v>1184.1666666666667</v>
      </c>
    </row>
    <row r="5486" spans="1:10" ht="12.75" customHeight="1" x14ac:dyDescent="0.2">
      <c r="A5486" s="681">
        <v>1241</v>
      </c>
      <c r="B5486" s="693">
        <v>5111300023</v>
      </c>
      <c r="C5486" s="672" t="s">
        <v>8250</v>
      </c>
      <c r="D5486" s="809" t="s">
        <v>8226</v>
      </c>
      <c r="E5486" s="674">
        <v>10</v>
      </c>
      <c r="F5486" s="675">
        <v>0.1</v>
      </c>
      <c r="G5486" s="676">
        <v>1450</v>
      </c>
      <c r="H5486" s="929">
        <v>145</v>
      </c>
      <c r="I5486" s="929">
        <v>265.83333333333331</v>
      </c>
      <c r="J5486" s="689">
        <f t="shared" si="86"/>
        <v>1184.1666666666667</v>
      </c>
    </row>
    <row r="5487" spans="1:10" ht="12.75" customHeight="1" x14ac:dyDescent="0.2">
      <c r="A5487" s="681">
        <v>1241</v>
      </c>
      <c r="B5487" s="693">
        <v>5652570002</v>
      </c>
      <c r="C5487" s="672" t="s">
        <v>8251</v>
      </c>
      <c r="D5487" s="809" t="s">
        <v>8226</v>
      </c>
      <c r="E5487" s="674">
        <v>3</v>
      </c>
      <c r="F5487" s="675">
        <v>0.33</v>
      </c>
      <c r="G5487" s="676">
        <v>13514</v>
      </c>
      <c r="H5487" s="929">
        <v>4459.6200000000008</v>
      </c>
      <c r="I5487" s="929">
        <v>8175.9700000000012</v>
      </c>
      <c r="J5487" s="689">
        <f t="shared" si="86"/>
        <v>5338.0299999999988</v>
      </c>
    </row>
    <row r="5488" spans="1:10" ht="12.75" customHeight="1" x14ac:dyDescent="0.2">
      <c r="A5488" s="681">
        <v>1241</v>
      </c>
      <c r="B5488" s="693">
        <v>5410560005</v>
      </c>
      <c r="C5488" s="672" t="s">
        <v>8252</v>
      </c>
      <c r="D5488" s="809" t="s">
        <v>8226</v>
      </c>
      <c r="E5488" s="674">
        <v>5</v>
      </c>
      <c r="F5488" s="675">
        <v>0.2</v>
      </c>
      <c r="G5488" s="676">
        <v>216844</v>
      </c>
      <c r="H5488" s="929">
        <v>43368.799999999996</v>
      </c>
      <c r="I5488" s="929">
        <v>79509.46666666666</v>
      </c>
      <c r="J5488" s="689">
        <f t="shared" si="86"/>
        <v>137334.53333333333</v>
      </c>
    </row>
    <row r="5489" spans="1:10" ht="12.75" customHeight="1" x14ac:dyDescent="0.2">
      <c r="A5489" s="681">
        <v>1241</v>
      </c>
      <c r="B5489" s="693">
        <v>5410560006</v>
      </c>
      <c r="C5489" s="672" t="s">
        <v>8252</v>
      </c>
      <c r="D5489" s="809" t="s">
        <v>8226</v>
      </c>
      <c r="E5489" s="674">
        <v>5</v>
      </c>
      <c r="F5489" s="675">
        <v>0.2</v>
      </c>
      <c r="G5489" s="676">
        <v>216844</v>
      </c>
      <c r="H5489" s="929">
        <v>43368.799999999996</v>
      </c>
      <c r="I5489" s="929">
        <v>79509.46666666666</v>
      </c>
      <c r="J5489" s="689">
        <f t="shared" si="86"/>
        <v>137334.53333333333</v>
      </c>
    </row>
    <row r="5490" spans="1:10" ht="12.75" customHeight="1" x14ac:dyDescent="0.2">
      <c r="A5490" s="681">
        <v>1241</v>
      </c>
      <c r="B5490" s="693">
        <v>5410560007</v>
      </c>
      <c r="C5490" s="672" t="s">
        <v>8252</v>
      </c>
      <c r="D5490" s="809" t="s">
        <v>8226</v>
      </c>
      <c r="E5490" s="674">
        <v>5</v>
      </c>
      <c r="F5490" s="675">
        <v>0.2</v>
      </c>
      <c r="G5490" s="676">
        <v>216844</v>
      </c>
      <c r="H5490" s="929">
        <v>43368.799999999996</v>
      </c>
      <c r="I5490" s="929">
        <v>79509.46666666666</v>
      </c>
      <c r="J5490" s="689">
        <f t="shared" si="86"/>
        <v>137334.53333333333</v>
      </c>
    </row>
    <row r="5491" spans="1:10" ht="12.75" customHeight="1" x14ac:dyDescent="0.2">
      <c r="A5491" s="681">
        <v>1241</v>
      </c>
      <c r="B5491" s="693">
        <v>5410560008</v>
      </c>
      <c r="C5491" s="672" t="s">
        <v>8252</v>
      </c>
      <c r="D5491" s="809" t="s">
        <v>8226</v>
      </c>
      <c r="E5491" s="674">
        <v>5</v>
      </c>
      <c r="F5491" s="675">
        <v>0.2</v>
      </c>
      <c r="G5491" s="676">
        <v>216844</v>
      </c>
      <c r="H5491" s="929">
        <v>43368.799999999996</v>
      </c>
      <c r="I5491" s="929">
        <v>79509.46666666666</v>
      </c>
      <c r="J5491" s="689">
        <f t="shared" si="86"/>
        <v>137334.53333333333</v>
      </c>
    </row>
    <row r="5492" spans="1:10" ht="12.75" customHeight="1" x14ac:dyDescent="0.2">
      <c r="A5492" s="681">
        <v>1241</v>
      </c>
      <c r="B5492" s="693">
        <v>5410560009</v>
      </c>
      <c r="C5492" s="672" t="s">
        <v>8252</v>
      </c>
      <c r="D5492" s="809" t="s">
        <v>8226</v>
      </c>
      <c r="E5492" s="674">
        <v>5</v>
      </c>
      <c r="F5492" s="675">
        <v>0.2</v>
      </c>
      <c r="G5492" s="676">
        <v>216844</v>
      </c>
      <c r="H5492" s="929">
        <v>43368.799999999996</v>
      </c>
      <c r="I5492" s="929">
        <v>79509.46666666666</v>
      </c>
      <c r="J5492" s="689">
        <f t="shared" si="86"/>
        <v>137334.53333333333</v>
      </c>
    </row>
    <row r="5493" spans="1:10" ht="12.75" customHeight="1" x14ac:dyDescent="0.2">
      <c r="A5493" s="681">
        <v>1241</v>
      </c>
      <c r="B5493" s="693">
        <v>5410560010</v>
      </c>
      <c r="C5493" s="672" t="s">
        <v>8252</v>
      </c>
      <c r="D5493" s="809" t="s">
        <v>8226</v>
      </c>
      <c r="E5493" s="674">
        <v>5</v>
      </c>
      <c r="F5493" s="675">
        <v>0.2</v>
      </c>
      <c r="G5493" s="676">
        <v>216844</v>
      </c>
      <c r="H5493" s="929">
        <v>43368.799999999996</v>
      </c>
      <c r="I5493" s="929">
        <v>79509.46666666666</v>
      </c>
      <c r="J5493" s="689">
        <f t="shared" si="86"/>
        <v>137334.53333333333</v>
      </c>
    </row>
    <row r="5494" spans="1:10" ht="12.75" customHeight="1" x14ac:dyDescent="0.2">
      <c r="A5494" s="681">
        <v>1241</v>
      </c>
      <c r="B5494" s="693">
        <v>5410560011</v>
      </c>
      <c r="C5494" s="672" t="s">
        <v>8252</v>
      </c>
      <c r="D5494" s="809" t="s">
        <v>8226</v>
      </c>
      <c r="E5494" s="674">
        <v>5</v>
      </c>
      <c r="F5494" s="675">
        <v>0.2</v>
      </c>
      <c r="G5494" s="676">
        <v>216844</v>
      </c>
      <c r="H5494" s="929">
        <v>43368.799999999996</v>
      </c>
      <c r="I5494" s="929">
        <v>79509.46666666666</v>
      </c>
      <c r="J5494" s="689">
        <f t="shared" si="86"/>
        <v>137334.53333333333</v>
      </c>
    </row>
    <row r="5495" spans="1:10" ht="12.75" customHeight="1" x14ac:dyDescent="0.2">
      <c r="A5495" s="681">
        <v>1241</v>
      </c>
      <c r="B5495" s="693">
        <v>5410560012</v>
      </c>
      <c r="C5495" s="672" t="s">
        <v>8252</v>
      </c>
      <c r="D5495" s="809" t="s">
        <v>8226</v>
      </c>
      <c r="E5495" s="674">
        <v>5</v>
      </c>
      <c r="F5495" s="675">
        <v>0.2</v>
      </c>
      <c r="G5495" s="676">
        <v>216844</v>
      </c>
      <c r="H5495" s="929">
        <v>43368.799999999996</v>
      </c>
      <c r="I5495" s="929">
        <v>79509.46666666666</v>
      </c>
      <c r="J5495" s="689">
        <f t="shared" si="86"/>
        <v>137334.53333333333</v>
      </c>
    </row>
    <row r="5496" spans="1:10" ht="12.75" customHeight="1" x14ac:dyDescent="0.2">
      <c r="A5496" s="681">
        <v>1241</v>
      </c>
      <c r="B5496" s="693">
        <v>5410560013</v>
      </c>
      <c r="C5496" s="672" t="s">
        <v>8252</v>
      </c>
      <c r="D5496" s="809" t="s">
        <v>8226</v>
      </c>
      <c r="E5496" s="674">
        <v>5</v>
      </c>
      <c r="F5496" s="675">
        <v>0.2</v>
      </c>
      <c r="G5496" s="676">
        <v>216844</v>
      </c>
      <c r="H5496" s="929">
        <v>43368.799999999996</v>
      </c>
      <c r="I5496" s="929">
        <v>79509.46666666666</v>
      </c>
      <c r="J5496" s="689">
        <f t="shared" si="86"/>
        <v>137334.53333333333</v>
      </c>
    </row>
    <row r="5497" spans="1:10" ht="12.75" customHeight="1" x14ac:dyDescent="0.2">
      <c r="A5497" s="681">
        <v>1241</v>
      </c>
      <c r="B5497" s="693">
        <v>5410560014</v>
      </c>
      <c r="C5497" s="672" t="s">
        <v>8252</v>
      </c>
      <c r="D5497" s="809" t="s">
        <v>8226</v>
      </c>
      <c r="E5497" s="674">
        <v>5</v>
      </c>
      <c r="F5497" s="675">
        <v>0.2</v>
      </c>
      <c r="G5497" s="676">
        <v>216844</v>
      </c>
      <c r="H5497" s="929">
        <v>43368.799999999996</v>
      </c>
      <c r="I5497" s="929">
        <v>79509.46666666666</v>
      </c>
      <c r="J5497" s="689">
        <f t="shared" si="86"/>
        <v>137334.53333333333</v>
      </c>
    </row>
    <row r="5498" spans="1:10" ht="12.75" customHeight="1" x14ac:dyDescent="0.2">
      <c r="A5498" s="681">
        <v>1241</v>
      </c>
      <c r="B5498" s="693">
        <v>5410560015</v>
      </c>
      <c r="C5498" s="672" t="s">
        <v>8252</v>
      </c>
      <c r="D5498" s="809" t="s">
        <v>8226</v>
      </c>
      <c r="E5498" s="674">
        <v>5</v>
      </c>
      <c r="F5498" s="675">
        <v>0.2</v>
      </c>
      <c r="G5498" s="676">
        <v>216844</v>
      </c>
      <c r="H5498" s="929">
        <v>43368.799999999996</v>
      </c>
      <c r="I5498" s="929">
        <v>79509.46666666666</v>
      </c>
      <c r="J5498" s="689">
        <f t="shared" si="86"/>
        <v>137334.53333333333</v>
      </c>
    </row>
    <row r="5499" spans="1:10" ht="12.75" customHeight="1" x14ac:dyDescent="0.2">
      <c r="A5499" s="681">
        <v>1241</v>
      </c>
      <c r="B5499" s="693">
        <v>5410560016</v>
      </c>
      <c r="C5499" s="672" t="s">
        <v>8252</v>
      </c>
      <c r="D5499" s="809" t="s">
        <v>8226</v>
      </c>
      <c r="E5499" s="674">
        <v>5</v>
      </c>
      <c r="F5499" s="675">
        <v>0.2</v>
      </c>
      <c r="G5499" s="676">
        <v>216844</v>
      </c>
      <c r="H5499" s="929">
        <v>43368.799999999996</v>
      </c>
      <c r="I5499" s="929">
        <v>79509.46666666666</v>
      </c>
      <c r="J5499" s="689">
        <f t="shared" si="86"/>
        <v>137334.53333333333</v>
      </c>
    </row>
    <row r="5500" spans="1:10" ht="12.75" customHeight="1" x14ac:dyDescent="0.2">
      <c r="A5500" s="681">
        <v>1241</v>
      </c>
      <c r="B5500" s="693">
        <v>5410560017</v>
      </c>
      <c r="C5500" s="672" t="s">
        <v>8252</v>
      </c>
      <c r="D5500" s="809" t="s">
        <v>8226</v>
      </c>
      <c r="E5500" s="674">
        <v>5</v>
      </c>
      <c r="F5500" s="675">
        <v>0.2</v>
      </c>
      <c r="G5500" s="676">
        <v>216844</v>
      </c>
      <c r="H5500" s="929">
        <v>43368.799999999996</v>
      </c>
      <c r="I5500" s="929">
        <v>79509.46666666666</v>
      </c>
      <c r="J5500" s="689">
        <f t="shared" si="86"/>
        <v>137334.53333333333</v>
      </c>
    </row>
    <row r="5501" spans="1:10" ht="12.75" customHeight="1" x14ac:dyDescent="0.2">
      <c r="A5501" s="681">
        <v>1241</v>
      </c>
      <c r="B5501" s="693">
        <v>5410560018</v>
      </c>
      <c r="C5501" s="672" t="s">
        <v>8252</v>
      </c>
      <c r="D5501" s="809" t="s">
        <v>8226</v>
      </c>
      <c r="E5501" s="674">
        <v>5</v>
      </c>
      <c r="F5501" s="675">
        <v>0.2</v>
      </c>
      <c r="G5501" s="676">
        <v>216844</v>
      </c>
      <c r="H5501" s="929">
        <v>43368.799999999996</v>
      </c>
      <c r="I5501" s="929">
        <v>79509.46666666666</v>
      </c>
      <c r="J5501" s="689">
        <f t="shared" si="86"/>
        <v>137334.53333333333</v>
      </c>
    </row>
    <row r="5502" spans="1:10" ht="12.75" customHeight="1" x14ac:dyDescent="0.2">
      <c r="A5502" s="681">
        <v>1241</v>
      </c>
      <c r="B5502" s="693">
        <v>5410560019</v>
      </c>
      <c r="C5502" s="672" t="s">
        <v>8252</v>
      </c>
      <c r="D5502" s="809" t="s">
        <v>8226</v>
      </c>
      <c r="E5502" s="674">
        <v>5</v>
      </c>
      <c r="F5502" s="675">
        <v>0.2</v>
      </c>
      <c r="G5502" s="676">
        <v>216844</v>
      </c>
      <c r="H5502" s="929">
        <v>43368.799999999996</v>
      </c>
      <c r="I5502" s="929">
        <v>79509.46666666666</v>
      </c>
      <c r="J5502" s="689">
        <f t="shared" si="86"/>
        <v>137334.53333333333</v>
      </c>
    </row>
    <row r="5503" spans="1:10" ht="12.75" customHeight="1" x14ac:dyDescent="0.2">
      <c r="A5503" s="681">
        <v>1241</v>
      </c>
      <c r="B5503" s="693">
        <v>5410560020</v>
      </c>
      <c r="C5503" s="672" t="s">
        <v>8252</v>
      </c>
      <c r="D5503" s="809" t="s">
        <v>8226</v>
      </c>
      <c r="E5503" s="674">
        <v>5</v>
      </c>
      <c r="F5503" s="675">
        <v>0.2</v>
      </c>
      <c r="G5503" s="676">
        <v>216844</v>
      </c>
      <c r="H5503" s="929">
        <v>43368.799999999996</v>
      </c>
      <c r="I5503" s="929">
        <v>79509.46666666666</v>
      </c>
      <c r="J5503" s="689">
        <f t="shared" si="86"/>
        <v>137334.53333333333</v>
      </c>
    </row>
    <row r="5504" spans="1:10" ht="12.75" customHeight="1" x14ac:dyDescent="0.2">
      <c r="A5504" s="681">
        <v>1241</v>
      </c>
      <c r="B5504" s="693">
        <v>5410560001</v>
      </c>
      <c r="C5504" s="672" t="s">
        <v>8253</v>
      </c>
      <c r="D5504" s="809" t="s">
        <v>8226</v>
      </c>
      <c r="E5504" s="674">
        <v>5</v>
      </c>
      <c r="F5504" s="675">
        <v>0.2</v>
      </c>
      <c r="G5504" s="676">
        <v>202492.01</v>
      </c>
      <c r="H5504" s="929">
        <v>40498.402000000002</v>
      </c>
      <c r="I5504" s="929">
        <v>74247.070333333337</v>
      </c>
      <c r="J5504" s="689">
        <f t="shared" ref="J5504:J5567" si="87">G5504-I5504</f>
        <v>128244.93966666667</v>
      </c>
    </row>
    <row r="5505" spans="1:10" ht="12.75" customHeight="1" x14ac:dyDescent="0.2">
      <c r="A5505" s="681">
        <v>1241</v>
      </c>
      <c r="B5505" s="693">
        <v>5410560002</v>
      </c>
      <c r="C5505" s="672" t="s">
        <v>8253</v>
      </c>
      <c r="D5505" s="809" t="s">
        <v>8226</v>
      </c>
      <c r="E5505" s="674">
        <v>5</v>
      </c>
      <c r="F5505" s="675">
        <v>0.2</v>
      </c>
      <c r="G5505" s="676">
        <v>202492.01</v>
      </c>
      <c r="H5505" s="929">
        <v>40498.402000000002</v>
      </c>
      <c r="I5505" s="929">
        <v>74247.070333333337</v>
      </c>
      <c r="J5505" s="689">
        <f t="shared" si="87"/>
        <v>128244.93966666667</v>
      </c>
    </row>
    <row r="5506" spans="1:10" ht="12.75" customHeight="1" x14ac:dyDescent="0.2">
      <c r="A5506" s="681">
        <v>1241</v>
      </c>
      <c r="B5506" s="693">
        <v>5410560003</v>
      </c>
      <c r="C5506" s="672" t="s">
        <v>8253</v>
      </c>
      <c r="D5506" s="809" t="s">
        <v>8226</v>
      </c>
      <c r="E5506" s="674">
        <v>5</v>
      </c>
      <c r="F5506" s="675">
        <v>0.2</v>
      </c>
      <c r="G5506" s="676">
        <v>202492.01</v>
      </c>
      <c r="H5506" s="929">
        <v>40498.402000000002</v>
      </c>
      <c r="I5506" s="929">
        <v>74247.070333333337</v>
      </c>
      <c r="J5506" s="689">
        <f t="shared" si="87"/>
        <v>128244.93966666667</v>
      </c>
    </row>
    <row r="5507" spans="1:10" ht="12.75" customHeight="1" x14ac:dyDescent="0.2">
      <c r="A5507" s="681">
        <v>1241</v>
      </c>
      <c r="B5507" s="693">
        <v>5410560004</v>
      </c>
      <c r="C5507" s="672" t="s">
        <v>8253</v>
      </c>
      <c r="D5507" s="809" t="s">
        <v>8226</v>
      </c>
      <c r="E5507" s="674">
        <v>5</v>
      </c>
      <c r="F5507" s="675">
        <v>0.2</v>
      </c>
      <c r="G5507" s="676">
        <v>202492.01</v>
      </c>
      <c r="H5507" s="929">
        <v>40498.402000000002</v>
      </c>
      <c r="I5507" s="929">
        <v>74247.070333333337</v>
      </c>
      <c r="J5507" s="689">
        <f t="shared" si="87"/>
        <v>128244.93966666667</v>
      </c>
    </row>
    <row r="5508" spans="1:10" ht="12.75" customHeight="1" x14ac:dyDescent="0.2">
      <c r="A5508" s="681">
        <v>1244</v>
      </c>
      <c r="B5508" s="693">
        <v>5410480012</v>
      </c>
      <c r="C5508" s="672" t="s">
        <v>8585</v>
      </c>
      <c r="D5508" s="809" t="s">
        <v>8226</v>
      </c>
      <c r="E5508" s="674">
        <v>5</v>
      </c>
      <c r="F5508" s="675">
        <v>0.2</v>
      </c>
      <c r="G5508" s="676">
        <v>19400</v>
      </c>
      <c r="H5508" s="929">
        <v>3880.0000000000005</v>
      </c>
      <c r="I5508" s="929">
        <v>7113.3333333333339</v>
      </c>
      <c r="J5508" s="689">
        <f t="shared" si="87"/>
        <v>12286.666666666666</v>
      </c>
    </row>
    <row r="5509" spans="1:10" ht="12.75" customHeight="1" x14ac:dyDescent="0.2">
      <c r="A5509" s="681">
        <v>1244</v>
      </c>
      <c r="B5509" s="693">
        <v>5410480013</v>
      </c>
      <c r="C5509" s="672" t="s">
        <v>8585</v>
      </c>
      <c r="D5509" s="809" t="s">
        <v>8226</v>
      </c>
      <c r="E5509" s="674">
        <v>5</v>
      </c>
      <c r="F5509" s="675">
        <v>0.2</v>
      </c>
      <c r="G5509" s="676">
        <v>19400</v>
      </c>
      <c r="H5509" s="929">
        <v>3880.0000000000005</v>
      </c>
      <c r="I5509" s="929">
        <v>7113.3333333333339</v>
      </c>
      <c r="J5509" s="689">
        <f t="shared" si="87"/>
        <v>12286.666666666666</v>
      </c>
    </row>
    <row r="5510" spans="1:10" ht="12.75" customHeight="1" x14ac:dyDescent="0.2">
      <c r="A5510" s="681">
        <v>1244</v>
      </c>
      <c r="B5510" s="693">
        <v>5410480014</v>
      </c>
      <c r="C5510" s="672" t="s">
        <v>8585</v>
      </c>
      <c r="D5510" s="809" t="s">
        <v>8226</v>
      </c>
      <c r="E5510" s="674">
        <v>5</v>
      </c>
      <c r="F5510" s="675">
        <v>0.2</v>
      </c>
      <c r="G5510" s="676">
        <v>19400</v>
      </c>
      <c r="H5510" s="929">
        <v>3880.0000000000005</v>
      </c>
      <c r="I5510" s="929">
        <v>7113.3333333333339</v>
      </c>
      <c r="J5510" s="689">
        <f t="shared" si="87"/>
        <v>12286.666666666666</v>
      </c>
    </row>
    <row r="5511" spans="1:10" ht="12.75" customHeight="1" x14ac:dyDescent="0.2">
      <c r="A5511" s="681">
        <v>1244</v>
      </c>
      <c r="B5511" s="693">
        <v>5410480015</v>
      </c>
      <c r="C5511" s="672" t="s">
        <v>8585</v>
      </c>
      <c r="D5511" s="809" t="s">
        <v>8226</v>
      </c>
      <c r="E5511" s="674">
        <v>5</v>
      </c>
      <c r="F5511" s="675">
        <v>0.2</v>
      </c>
      <c r="G5511" s="676">
        <v>19400</v>
      </c>
      <c r="H5511" s="929">
        <v>3880.0000000000005</v>
      </c>
      <c r="I5511" s="929">
        <v>7113.3333333333339</v>
      </c>
      <c r="J5511" s="689">
        <f t="shared" si="87"/>
        <v>12286.666666666666</v>
      </c>
    </row>
    <row r="5512" spans="1:10" ht="12.75" customHeight="1" x14ac:dyDescent="0.2">
      <c r="A5512" s="681">
        <v>1244</v>
      </c>
      <c r="B5512" s="693">
        <v>5410480016</v>
      </c>
      <c r="C5512" s="672" t="s">
        <v>8585</v>
      </c>
      <c r="D5512" s="809" t="s">
        <v>8226</v>
      </c>
      <c r="E5512" s="674">
        <v>5</v>
      </c>
      <c r="F5512" s="675">
        <v>0.2</v>
      </c>
      <c r="G5512" s="676">
        <v>19400</v>
      </c>
      <c r="H5512" s="929">
        <v>3880.0000000000005</v>
      </c>
      <c r="I5512" s="929">
        <v>7113.3333333333339</v>
      </c>
      <c r="J5512" s="689">
        <f t="shared" si="87"/>
        <v>12286.666666666666</v>
      </c>
    </row>
    <row r="5513" spans="1:10" ht="12.75" customHeight="1" x14ac:dyDescent="0.2">
      <c r="A5513" s="681">
        <v>1244</v>
      </c>
      <c r="B5513" s="693">
        <v>5410480017</v>
      </c>
      <c r="C5513" s="672" t="s">
        <v>8585</v>
      </c>
      <c r="D5513" s="809" t="s">
        <v>8226</v>
      </c>
      <c r="E5513" s="674">
        <v>5</v>
      </c>
      <c r="F5513" s="675">
        <v>0.2</v>
      </c>
      <c r="G5513" s="676">
        <v>19400</v>
      </c>
      <c r="H5513" s="929">
        <v>3880.0000000000005</v>
      </c>
      <c r="I5513" s="929">
        <v>7113.3333333333339</v>
      </c>
      <c r="J5513" s="689">
        <f t="shared" si="87"/>
        <v>12286.666666666666</v>
      </c>
    </row>
    <row r="5514" spans="1:10" ht="12.75" customHeight="1" x14ac:dyDescent="0.2">
      <c r="A5514" s="681">
        <v>1244</v>
      </c>
      <c r="B5514" s="693">
        <v>5410480018</v>
      </c>
      <c r="C5514" s="672" t="s">
        <v>8585</v>
      </c>
      <c r="D5514" s="809" t="s">
        <v>8226</v>
      </c>
      <c r="E5514" s="674">
        <v>5</v>
      </c>
      <c r="F5514" s="675">
        <v>0.2</v>
      </c>
      <c r="G5514" s="676">
        <v>19400</v>
      </c>
      <c r="H5514" s="929">
        <v>3880.0000000000005</v>
      </c>
      <c r="I5514" s="929">
        <v>7113.3333333333339</v>
      </c>
      <c r="J5514" s="689">
        <f t="shared" si="87"/>
        <v>12286.666666666666</v>
      </c>
    </row>
    <row r="5515" spans="1:10" ht="12.75" customHeight="1" x14ac:dyDescent="0.2">
      <c r="A5515" s="681">
        <v>1244</v>
      </c>
      <c r="B5515" s="693">
        <v>5410480019</v>
      </c>
      <c r="C5515" s="672" t="s">
        <v>8585</v>
      </c>
      <c r="D5515" s="809" t="s">
        <v>8226</v>
      </c>
      <c r="E5515" s="674">
        <v>5</v>
      </c>
      <c r="F5515" s="675">
        <v>0.2</v>
      </c>
      <c r="G5515" s="676">
        <v>19400</v>
      </c>
      <c r="H5515" s="929">
        <v>3880.0000000000005</v>
      </c>
      <c r="I5515" s="929">
        <v>7113.3333333333339</v>
      </c>
      <c r="J5515" s="689">
        <f t="shared" si="87"/>
        <v>12286.666666666666</v>
      </c>
    </row>
    <row r="5516" spans="1:10" ht="12.75" customHeight="1" x14ac:dyDescent="0.2">
      <c r="A5516" s="681">
        <v>1244</v>
      </c>
      <c r="B5516" s="693">
        <v>5410480020</v>
      </c>
      <c r="C5516" s="672" t="s">
        <v>8585</v>
      </c>
      <c r="D5516" s="809" t="s">
        <v>8226</v>
      </c>
      <c r="E5516" s="674">
        <v>5</v>
      </c>
      <c r="F5516" s="675">
        <v>0.2</v>
      </c>
      <c r="G5516" s="676">
        <v>19400</v>
      </c>
      <c r="H5516" s="929">
        <v>3880.0000000000005</v>
      </c>
      <c r="I5516" s="929">
        <v>7113.3333333333339</v>
      </c>
      <c r="J5516" s="689">
        <f t="shared" si="87"/>
        <v>12286.666666666666</v>
      </c>
    </row>
    <row r="5517" spans="1:10" ht="12.75" customHeight="1" x14ac:dyDescent="0.2">
      <c r="A5517" s="681">
        <v>1244</v>
      </c>
      <c r="B5517" s="693">
        <v>5410480021</v>
      </c>
      <c r="C5517" s="672" t="s">
        <v>8585</v>
      </c>
      <c r="D5517" s="809" t="s">
        <v>8226</v>
      </c>
      <c r="E5517" s="674">
        <v>5</v>
      </c>
      <c r="F5517" s="675">
        <v>0.2</v>
      </c>
      <c r="G5517" s="676">
        <v>19400</v>
      </c>
      <c r="H5517" s="929">
        <v>3880.0000000000005</v>
      </c>
      <c r="I5517" s="929">
        <v>7113.3333333333339</v>
      </c>
      <c r="J5517" s="689">
        <f t="shared" si="87"/>
        <v>12286.666666666666</v>
      </c>
    </row>
    <row r="5518" spans="1:10" ht="12.75" customHeight="1" x14ac:dyDescent="0.2">
      <c r="A5518" s="681">
        <v>1246</v>
      </c>
      <c r="B5518" s="693">
        <v>5651060001</v>
      </c>
      <c r="C5518" s="672" t="s">
        <v>8254</v>
      </c>
      <c r="D5518" s="809" t="s">
        <v>8226</v>
      </c>
      <c r="E5518" s="674">
        <v>3</v>
      </c>
      <c r="F5518" s="675">
        <v>0.33</v>
      </c>
      <c r="G5518" s="676">
        <v>3474.2</v>
      </c>
      <c r="H5518" s="929">
        <v>1146.4859999999999</v>
      </c>
      <c r="I5518" s="929">
        <v>2101.8909999999996</v>
      </c>
      <c r="J5518" s="689">
        <f t="shared" si="87"/>
        <v>1372.3090000000002</v>
      </c>
    </row>
    <row r="5519" spans="1:10" ht="12.75" customHeight="1" x14ac:dyDescent="0.2">
      <c r="A5519" s="681">
        <v>1246</v>
      </c>
      <c r="B5519" s="693">
        <v>5112590002</v>
      </c>
      <c r="C5519" s="672" t="s">
        <v>8255</v>
      </c>
      <c r="D5519" s="809" t="s">
        <v>8226</v>
      </c>
      <c r="E5519" s="674">
        <v>10</v>
      </c>
      <c r="F5519" s="675">
        <v>0.1</v>
      </c>
      <c r="G5519" s="676">
        <v>2775.2</v>
      </c>
      <c r="H5519" s="929">
        <v>277.52</v>
      </c>
      <c r="I5519" s="929">
        <v>508.78666666666663</v>
      </c>
      <c r="J5519" s="689">
        <f t="shared" si="87"/>
        <v>2266.413333333333</v>
      </c>
    </row>
    <row r="5520" spans="1:10" ht="12.75" customHeight="1" x14ac:dyDescent="0.2">
      <c r="A5520" s="681">
        <v>1246</v>
      </c>
      <c r="B5520" s="693">
        <v>5111490030</v>
      </c>
      <c r="C5520" s="672" t="s">
        <v>8256</v>
      </c>
      <c r="D5520" s="809" t="s">
        <v>8226</v>
      </c>
      <c r="E5520" s="674">
        <v>10</v>
      </c>
      <c r="F5520" s="675">
        <v>0.1</v>
      </c>
      <c r="G5520" s="676">
        <v>22359.347999999998</v>
      </c>
      <c r="H5520" s="929">
        <v>2235.9347999999995</v>
      </c>
      <c r="I5520" s="929">
        <v>4099.2137999999995</v>
      </c>
      <c r="J5520" s="689">
        <f t="shared" si="87"/>
        <v>18260.1342</v>
      </c>
    </row>
    <row r="5521" spans="1:10" ht="12.75" customHeight="1" x14ac:dyDescent="0.2">
      <c r="A5521" s="681">
        <v>1246</v>
      </c>
      <c r="B5521" s="693">
        <v>5111490031</v>
      </c>
      <c r="C5521" s="672" t="s">
        <v>8256</v>
      </c>
      <c r="D5521" s="809" t="s">
        <v>8226</v>
      </c>
      <c r="E5521" s="674">
        <v>10</v>
      </c>
      <c r="F5521" s="675">
        <v>0.1</v>
      </c>
      <c r="G5521" s="676">
        <v>22359.347999999998</v>
      </c>
      <c r="H5521" s="929">
        <v>2235.9347999999995</v>
      </c>
      <c r="I5521" s="929">
        <v>4099.2137999999995</v>
      </c>
      <c r="J5521" s="689">
        <f t="shared" si="87"/>
        <v>18260.1342</v>
      </c>
    </row>
    <row r="5522" spans="1:10" ht="12.75" customHeight="1" x14ac:dyDescent="0.2">
      <c r="A5522" s="681">
        <v>1246</v>
      </c>
      <c r="B5522" s="693">
        <v>5111490032</v>
      </c>
      <c r="C5522" s="672" t="s">
        <v>8256</v>
      </c>
      <c r="D5522" s="809" t="s">
        <v>8226</v>
      </c>
      <c r="E5522" s="674">
        <v>10</v>
      </c>
      <c r="F5522" s="675">
        <v>0.1</v>
      </c>
      <c r="G5522" s="676">
        <v>22359.347999999998</v>
      </c>
      <c r="H5522" s="929">
        <v>2235.9347999999995</v>
      </c>
      <c r="I5522" s="929">
        <v>4099.2137999999995</v>
      </c>
      <c r="J5522" s="689">
        <f t="shared" si="87"/>
        <v>18260.1342</v>
      </c>
    </row>
    <row r="5523" spans="1:10" ht="12.75" customHeight="1" x14ac:dyDescent="0.2">
      <c r="A5523" s="681">
        <v>1246</v>
      </c>
      <c r="B5523" s="693">
        <v>5111490033</v>
      </c>
      <c r="C5523" s="672" t="s">
        <v>8256</v>
      </c>
      <c r="D5523" s="809" t="s">
        <v>8226</v>
      </c>
      <c r="E5523" s="674">
        <v>10</v>
      </c>
      <c r="F5523" s="675">
        <v>0.1</v>
      </c>
      <c r="G5523" s="676">
        <v>22359.347999999998</v>
      </c>
      <c r="H5523" s="929">
        <v>2235.9347999999995</v>
      </c>
      <c r="I5523" s="929">
        <v>4099.2137999999995</v>
      </c>
      <c r="J5523" s="689">
        <f t="shared" si="87"/>
        <v>18260.1342</v>
      </c>
    </row>
    <row r="5524" spans="1:10" ht="12.75" customHeight="1" x14ac:dyDescent="0.2">
      <c r="A5524" s="681">
        <v>1246</v>
      </c>
      <c r="B5524" s="693">
        <v>5111490034</v>
      </c>
      <c r="C5524" s="672" t="s">
        <v>8256</v>
      </c>
      <c r="D5524" s="809" t="s">
        <v>8226</v>
      </c>
      <c r="E5524" s="674">
        <v>10</v>
      </c>
      <c r="F5524" s="675">
        <v>0.1</v>
      </c>
      <c r="G5524" s="676">
        <v>22359.347999999998</v>
      </c>
      <c r="H5524" s="929">
        <v>2235.9347999999995</v>
      </c>
      <c r="I5524" s="929">
        <v>4099.2137999999995</v>
      </c>
      <c r="J5524" s="689">
        <f t="shared" si="87"/>
        <v>18260.1342</v>
      </c>
    </row>
    <row r="5525" spans="1:10" ht="12.75" customHeight="1" x14ac:dyDescent="0.2">
      <c r="A5525" s="681">
        <v>1246</v>
      </c>
      <c r="B5525" s="693">
        <v>5111490035</v>
      </c>
      <c r="C5525" s="672" t="s">
        <v>8256</v>
      </c>
      <c r="D5525" s="809" t="s">
        <v>8226</v>
      </c>
      <c r="E5525" s="674">
        <v>10</v>
      </c>
      <c r="F5525" s="675">
        <v>0.1</v>
      </c>
      <c r="G5525" s="676">
        <v>22359.347999999998</v>
      </c>
      <c r="H5525" s="929">
        <v>2235.9347999999995</v>
      </c>
      <c r="I5525" s="929">
        <v>4099.2137999999995</v>
      </c>
      <c r="J5525" s="689">
        <f t="shared" si="87"/>
        <v>18260.1342</v>
      </c>
    </row>
    <row r="5526" spans="1:10" ht="12.75" customHeight="1" x14ac:dyDescent="0.2">
      <c r="A5526" s="681">
        <v>1246</v>
      </c>
      <c r="B5526" s="693">
        <v>5111490036</v>
      </c>
      <c r="C5526" s="672" t="s">
        <v>8256</v>
      </c>
      <c r="D5526" s="809" t="s">
        <v>8226</v>
      </c>
      <c r="E5526" s="674">
        <v>10</v>
      </c>
      <c r="F5526" s="675">
        <v>0.1</v>
      </c>
      <c r="G5526" s="676">
        <v>22359.347999999998</v>
      </c>
      <c r="H5526" s="929">
        <v>2235.9347999999995</v>
      </c>
      <c r="I5526" s="929">
        <v>4099.2137999999995</v>
      </c>
      <c r="J5526" s="689">
        <f t="shared" si="87"/>
        <v>18260.1342</v>
      </c>
    </row>
    <row r="5527" spans="1:10" ht="12.75" customHeight="1" x14ac:dyDescent="0.2">
      <c r="A5527" s="681">
        <v>1246</v>
      </c>
      <c r="B5527" s="693">
        <v>5111490037</v>
      </c>
      <c r="C5527" s="672" t="s">
        <v>8256</v>
      </c>
      <c r="D5527" s="809" t="s">
        <v>8226</v>
      </c>
      <c r="E5527" s="674">
        <v>10</v>
      </c>
      <c r="F5527" s="675">
        <v>0.1</v>
      </c>
      <c r="G5527" s="676">
        <v>22359.347999999998</v>
      </c>
      <c r="H5527" s="929">
        <v>2235.9347999999995</v>
      </c>
      <c r="I5527" s="929">
        <v>4099.2137999999995</v>
      </c>
      <c r="J5527" s="689">
        <f t="shared" si="87"/>
        <v>18260.1342</v>
      </c>
    </row>
    <row r="5528" spans="1:10" ht="12.75" customHeight="1" x14ac:dyDescent="0.2">
      <c r="A5528" s="681">
        <v>1246</v>
      </c>
      <c r="B5528" s="693">
        <v>5111490038</v>
      </c>
      <c r="C5528" s="672" t="s">
        <v>8256</v>
      </c>
      <c r="D5528" s="809" t="s">
        <v>8226</v>
      </c>
      <c r="E5528" s="674">
        <v>10</v>
      </c>
      <c r="F5528" s="675">
        <v>0.1</v>
      </c>
      <c r="G5528" s="676">
        <v>22359.347999999998</v>
      </c>
      <c r="H5528" s="929">
        <v>2235.9347999999995</v>
      </c>
      <c r="I5528" s="929">
        <v>4099.2137999999995</v>
      </c>
      <c r="J5528" s="689">
        <f t="shared" si="87"/>
        <v>18260.1342</v>
      </c>
    </row>
    <row r="5529" spans="1:10" ht="12.75" customHeight="1" x14ac:dyDescent="0.2">
      <c r="A5529" s="681">
        <v>1246</v>
      </c>
      <c r="B5529" s="693">
        <v>5111490039</v>
      </c>
      <c r="C5529" s="672" t="s">
        <v>8256</v>
      </c>
      <c r="D5529" s="809" t="s">
        <v>8226</v>
      </c>
      <c r="E5529" s="674">
        <v>10</v>
      </c>
      <c r="F5529" s="675">
        <v>0.1</v>
      </c>
      <c r="G5529" s="676">
        <v>22359.347999999998</v>
      </c>
      <c r="H5529" s="929">
        <v>2235.9347999999995</v>
      </c>
      <c r="I5529" s="929">
        <v>4099.2137999999995</v>
      </c>
      <c r="J5529" s="689">
        <f t="shared" si="87"/>
        <v>18260.1342</v>
      </c>
    </row>
    <row r="5530" spans="1:10" ht="12.75" customHeight="1" x14ac:dyDescent="0.2">
      <c r="A5530" s="681">
        <v>1246</v>
      </c>
      <c r="B5530" s="693">
        <v>5111490040</v>
      </c>
      <c r="C5530" s="672" t="s">
        <v>8256</v>
      </c>
      <c r="D5530" s="809" t="s">
        <v>8226</v>
      </c>
      <c r="E5530" s="674">
        <v>10</v>
      </c>
      <c r="F5530" s="675">
        <v>0.1</v>
      </c>
      <c r="G5530" s="676">
        <v>22359.347999999998</v>
      </c>
      <c r="H5530" s="929">
        <v>2235.9347999999995</v>
      </c>
      <c r="I5530" s="929">
        <v>4099.2137999999995</v>
      </c>
      <c r="J5530" s="689">
        <f t="shared" si="87"/>
        <v>18260.1342</v>
      </c>
    </row>
    <row r="5531" spans="1:10" ht="12.75" customHeight="1" x14ac:dyDescent="0.2">
      <c r="A5531" s="681">
        <v>1246</v>
      </c>
      <c r="B5531" s="693">
        <v>5111490041</v>
      </c>
      <c r="C5531" s="672" t="s">
        <v>8256</v>
      </c>
      <c r="D5531" s="809" t="s">
        <v>8226</v>
      </c>
      <c r="E5531" s="674">
        <v>10</v>
      </c>
      <c r="F5531" s="675">
        <v>0.1</v>
      </c>
      <c r="G5531" s="676">
        <v>22359.347999999998</v>
      </c>
      <c r="H5531" s="929">
        <v>2235.9347999999995</v>
      </c>
      <c r="I5531" s="929">
        <v>4099.2137999999995</v>
      </c>
      <c r="J5531" s="689">
        <f t="shared" si="87"/>
        <v>18260.1342</v>
      </c>
    </row>
    <row r="5532" spans="1:10" ht="12.75" customHeight="1" x14ac:dyDescent="0.2">
      <c r="A5532" s="681">
        <v>1246</v>
      </c>
      <c r="B5532" s="693">
        <v>5111490042</v>
      </c>
      <c r="C5532" s="672" t="s">
        <v>8256</v>
      </c>
      <c r="D5532" s="809" t="s">
        <v>8226</v>
      </c>
      <c r="E5532" s="674">
        <v>10</v>
      </c>
      <c r="F5532" s="675">
        <v>0.1</v>
      </c>
      <c r="G5532" s="676">
        <v>22359.347999999998</v>
      </c>
      <c r="H5532" s="929">
        <v>2235.9347999999995</v>
      </c>
      <c r="I5532" s="929">
        <v>4099.2137999999995</v>
      </c>
      <c r="J5532" s="689">
        <f t="shared" si="87"/>
        <v>18260.1342</v>
      </c>
    </row>
    <row r="5533" spans="1:10" ht="12.75" customHeight="1" x14ac:dyDescent="0.2">
      <c r="A5533" s="681">
        <v>1246</v>
      </c>
      <c r="B5533" s="693">
        <v>5111490043</v>
      </c>
      <c r="C5533" s="672" t="s">
        <v>8256</v>
      </c>
      <c r="D5533" s="809" t="s">
        <v>8226</v>
      </c>
      <c r="E5533" s="674">
        <v>10</v>
      </c>
      <c r="F5533" s="675">
        <v>0.1</v>
      </c>
      <c r="G5533" s="676">
        <v>22359.347999999998</v>
      </c>
      <c r="H5533" s="929">
        <v>2235.9347999999995</v>
      </c>
      <c r="I5533" s="929">
        <v>4099.2137999999995</v>
      </c>
      <c r="J5533" s="689">
        <f t="shared" si="87"/>
        <v>18260.1342</v>
      </c>
    </row>
    <row r="5534" spans="1:10" ht="12.75" customHeight="1" x14ac:dyDescent="0.2">
      <c r="A5534" s="681">
        <v>1246</v>
      </c>
      <c r="B5534" s="693">
        <v>5111490044</v>
      </c>
      <c r="C5534" s="672" t="s">
        <v>8256</v>
      </c>
      <c r="D5534" s="809" t="s">
        <v>8226</v>
      </c>
      <c r="E5534" s="674">
        <v>10</v>
      </c>
      <c r="F5534" s="675">
        <v>0.1</v>
      </c>
      <c r="G5534" s="676">
        <v>22359.347999999998</v>
      </c>
      <c r="H5534" s="929">
        <v>2235.9347999999995</v>
      </c>
      <c r="I5534" s="929">
        <v>4099.2137999999995</v>
      </c>
      <c r="J5534" s="689">
        <f t="shared" si="87"/>
        <v>18260.1342</v>
      </c>
    </row>
    <row r="5535" spans="1:10" ht="12.75" customHeight="1" x14ac:dyDescent="0.2">
      <c r="A5535" s="681">
        <v>1246</v>
      </c>
      <c r="B5535" s="693">
        <v>5111490045</v>
      </c>
      <c r="C5535" s="672" t="s">
        <v>8256</v>
      </c>
      <c r="D5535" s="809" t="s">
        <v>8226</v>
      </c>
      <c r="E5535" s="674">
        <v>10</v>
      </c>
      <c r="F5535" s="675">
        <v>0.1</v>
      </c>
      <c r="G5535" s="676">
        <v>22359.347999999998</v>
      </c>
      <c r="H5535" s="929">
        <v>2235.9347999999995</v>
      </c>
      <c r="I5535" s="929">
        <v>4099.2137999999995</v>
      </c>
      <c r="J5535" s="689">
        <f t="shared" si="87"/>
        <v>18260.1342</v>
      </c>
    </row>
    <row r="5536" spans="1:10" ht="12.75" customHeight="1" x14ac:dyDescent="0.2">
      <c r="A5536" s="681">
        <v>1246</v>
      </c>
      <c r="B5536" s="693">
        <v>5111490046</v>
      </c>
      <c r="C5536" s="672" t="s">
        <v>8256</v>
      </c>
      <c r="D5536" s="809" t="s">
        <v>8226</v>
      </c>
      <c r="E5536" s="674">
        <v>10</v>
      </c>
      <c r="F5536" s="675">
        <v>0.1</v>
      </c>
      <c r="G5536" s="676">
        <v>22359.347999999998</v>
      </c>
      <c r="H5536" s="929">
        <v>2235.9347999999995</v>
      </c>
      <c r="I5536" s="929">
        <v>4099.2137999999995</v>
      </c>
      <c r="J5536" s="689">
        <f t="shared" si="87"/>
        <v>18260.1342</v>
      </c>
    </row>
    <row r="5537" spans="1:10" ht="12.75" customHeight="1" x14ac:dyDescent="0.2">
      <c r="A5537" s="681">
        <v>1246</v>
      </c>
      <c r="B5537" s="693">
        <v>5111490047</v>
      </c>
      <c r="C5537" s="672" t="s">
        <v>8256</v>
      </c>
      <c r="D5537" s="809" t="s">
        <v>8226</v>
      </c>
      <c r="E5537" s="674">
        <v>10</v>
      </c>
      <c r="F5537" s="675">
        <v>0.1</v>
      </c>
      <c r="G5537" s="676">
        <v>22359.347999999998</v>
      </c>
      <c r="H5537" s="929">
        <v>2235.9347999999995</v>
      </c>
      <c r="I5537" s="929">
        <v>4099.2137999999995</v>
      </c>
      <c r="J5537" s="689">
        <f t="shared" si="87"/>
        <v>18260.1342</v>
      </c>
    </row>
    <row r="5538" spans="1:10" ht="12.75" customHeight="1" x14ac:dyDescent="0.2">
      <c r="A5538" s="681">
        <v>1246</v>
      </c>
      <c r="B5538" s="693">
        <v>5111490048</v>
      </c>
      <c r="C5538" s="672" t="s">
        <v>8256</v>
      </c>
      <c r="D5538" s="809" t="s">
        <v>8226</v>
      </c>
      <c r="E5538" s="674">
        <v>10</v>
      </c>
      <c r="F5538" s="675">
        <v>0.1</v>
      </c>
      <c r="G5538" s="676">
        <v>22359.347999999998</v>
      </c>
      <c r="H5538" s="929">
        <v>2235.9347999999995</v>
      </c>
      <c r="I5538" s="929">
        <v>4099.2137999999995</v>
      </c>
      <c r="J5538" s="689">
        <f t="shared" si="87"/>
        <v>18260.1342</v>
      </c>
    </row>
    <row r="5539" spans="1:10" ht="12.75" customHeight="1" x14ac:dyDescent="0.2">
      <c r="A5539" s="681">
        <v>1246</v>
      </c>
      <c r="B5539" s="693">
        <v>5111490049</v>
      </c>
      <c r="C5539" s="672" t="s">
        <v>8256</v>
      </c>
      <c r="D5539" s="809" t="s">
        <v>8226</v>
      </c>
      <c r="E5539" s="674">
        <v>10</v>
      </c>
      <c r="F5539" s="675">
        <v>0.1</v>
      </c>
      <c r="G5539" s="676">
        <v>22359.347999999998</v>
      </c>
      <c r="H5539" s="929">
        <v>2235.9347999999995</v>
      </c>
      <c r="I5539" s="929">
        <v>4099.2137999999995</v>
      </c>
      <c r="J5539" s="689">
        <f t="shared" si="87"/>
        <v>18260.1342</v>
      </c>
    </row>
    <row r="5540" spans="1:10" ht="12.75" customHeight="1" x14ac:dyDescent="0.2">
      <c r="A5540" s="681">
        <v>1246</v>
      </c>
      <c r="B5540" s="693">
        <v>5111490050</v>
      </c>
      <c r="C5540" s="672" t="s">
        <v>8256</v>
      </c>
      <c r="D5540" s="809" t="s">
        <v>8226</v>
      </c>
      <c r="E5540" s="674">
        <v>10</v>
      </c>
      <c r="F5540" s="675">
        <v>0.1</v>
      </c>
      <c r="G5540" s="676">
        <v>22359.347999999998</v>
      </c>
      <c r="H5540" s="929">
        <v>2235.9347999999995</v>
      </c>
      <c r="I5540" s="929">
        <v>4099.2137999999995</v>
      </c>
      <c r="J5540" s="689">
        <f t="shared" si="87"/>
        <v>18260.1342</v>
      </c>
    </row>
    <row r="5541" spans="1:10" ht="12.75" customHeight="1" x14ac:dyDescent="0.2">
      <c r="A5541" s="681">
        <v>1246</v>
      </c>
      <c r="B5541" s="693">
        <v>5111490051</v>
      </c>
      <c r="C5541" s="672" t="s">
        <v>8256</v>
      </c>
      <c r="D5541" s="809" t="s">
        <v>8226</v>
      </c>
      <c r="E5541" s="674">
        <v>10</v>
      </c>
      <c r="F5541" s="675">
        <v>0.1</v>
      </c>
      <c r="G5541" s="676">
        <v>22359.347999999998</v>
      </c>
      <c r="H5541" s="929">
        <v>2235.9347999999995</v>
      </c>
      <c r="I5541" s="929">
        <v>4099.2137999999995</v>
      </c>
      <c r="J5541" s="689">
        <f t="shared" si="87"/>
        <v>18260.1342</v>
      </c>
    </row>
    <row r="5542" spans="1:10" ht="12.75" customHeight="1" x14ac:dyDescent="0.2">
      <c r="A5542" s="681">
        <v>1246</v>
      </c>
      <c r="B5542" s="693">
        <v>5111490052</v>
      </c>
      <c r="C5542" s="672" t="s">
        <v>8256</v>
      </c>
      <c r="D5542" s="809" t="s">
        <v>8226</v>
      </c>
      <c r="E5542" s="674">
        <v>10</v>
      </c>
      <c r="F5542" s="675">
        <v>0.1</v>
      </c>
      <c r="G5542" s="676">
        <v>22359.347999999998</v>
      </c>
      <c r="H5542" s="929">
        <v>2235.9347999999995</v>
      </c>
      <c r="I5542" s="929">
        <v>4099.2137999999995</v>
      </c>
      <c r="J5542" s="689">
        <f t="shared" si="87"/>
        <v>18260.1342</v>
      </c>
    </row>
    <row r="5543" spans="1:10" ht="12.75" customHeight="1" x14ac:dyDescent="0.2">
      <c r="A5543" s="681">
        <v>1246</v>
      </c>
      <c r="B5543" s="693">
        <v>5111490053</v>
      </c>
      <c r="C5543" s="672" t="s">
        <v>8256</v>
      </c>
      <c r="D5543" s="809" t="s">
        <v>8226</v>
      </c>
      <c r="E5543" s="674">
        <v>10</v>
      </c>
      <c r="F5543" s="675">
        <v>0.1</v>
      </c>
      <c r="G5543" s="676">
        <v>22359.347999999998</v>
      </c>
      <c r="H5543" s="929">
        <v>2235.9347999999995</v>
      </c>
      <c r="I5543" s="929">
        <v>4099.2137999999995</v>
      </c>
      <c r="J5543" s="689">
        <f t="shared" si="87"/>
        <v>18260.1342</v>
      </c>
    </row>
    <row r="5544" spans="1:10" ht="12.75" customHeight="1" x14ac:dyDescent="0.2">
      <c r="A5544" s="681">
        <v>1246</v>
      </c>
      <c r="B5544" s="693">
        <v>5111490054</v>
      </c>
      <c r="C5544" s="672" t="s">
        <v>8256</v>
      </c>
      <c r="D5544" s="809" t="s">
        <v>8226</v>
      </c>
      <c r="E5544" s="674">
        <v>10</v>
      </c>
      <c r="F5544" s="675">
        <v>0.1</v>
      </c>
      <c r="G5544" s="676">
        <v>22359.347999999998</v>
      </c>
      <c r="H5544" s="929">
        <v>2235.9347999999995</v>
      </c>
      <c r="I5544" s="929">
        <v>4099.2137999999995</v>
      </c>
      <c r="J5544" s="689">
        <f t="shared" si="87"/>
        <v>18260.1342</v>
      </c>
    </row>
    <row r="5545" spans="1:10" ht="12.75" customHeight="1" x14ac:dyDescent="0.2">
      <c r="A5545" s="681">
        <v>1246</v>
      </c>
      <c r="B5545" s="693">
        <v>5112970001</v>
      </c>
      <c r="C5545" s="672" t="s">
        <v>8257</v>
      </c>
      <c r="D5545" s="809" t="s">
        <v>8226</v>
      </c>
      <c r="E5545" s="674">
        <v>10</v>
      </c>
      <c r="F5545" s="675">
        <v>0.1</v>
      </c>
      <c r="G5545" s="676">
        <v>6345.2</v>
      </c>
      <c r="H5545" s="929">
        <v>634.52</v>
      </c>
      <c r="I5545" s="929">
        <v>1163.2866666666666</v>
      </c>
      <c r="J5545" s="689">
        <f t="shared" si="87"/>
        <v>5181.913333333333</v>
      </c>
    </row>
    <row r="5546" spans="1:10" ht="12.75" customHeight="1" x14ac:dyDescent="0.2">
      <c r="A5546" s="681">
        <v>1246</v>
      </c>
      <c r="B5546" s="693">
        <v>5112970002</v>
      </c>
      <c r="C5546" s="672" t="s">
        <v>8257</v>
      </c>
      <c r="D5546" s="809" t="s">
        <v>8226</v>
      </c>
      <c r="E5546" s="674">
        <v>10</v>
      </c>
      <c r="F5546" s="675">
        <v>0.1</v>
      </c>
      <c r="G5546" s="676">
        <v>6345.2</v>
      </c>
      <c r="H5546" s="929">
        <v>634.52</v>
      </c>
      <c r="I5546" s="929">
        <v>1163.2866666666666</v>
      </c>
      <c r="J5546" s="689">
        <f t="shared" si="87"/>
        <v>5181.913333333333</v>
      </c>
    </row>
    <row r="5547" spans="1:10" ht="12.75" customHeight="1" x14ac:dyDescent="0.2">
      <c r="A5547" s="681">
        <v>1246</v>
      </c>
      <c r="B5547" s="693">
        <v>5112960001</v>
      </c>
      <c r="C5547" s="672" t="s">
        <v>8258</v>
      </c>
      <c r="D5547" s="809" t="s">
        <v>8226</v>
      </c>
      <c r="E5547" s="674">
        <v>10</v>
      </c>
      <c r="F5547" s="675">
        <v>0.1</v>
      </c>
      <c r="G5547" s="676">
        <v>13896.8</v>
      </c>
      <c r="H5547" s="929">
        <v>1389.6799999999996</v>
      </c>
      <c r="I5547" s="929">
        <v>2547.746666666666</v>
      </c>
      <c r="J5547" s="689">
        <f t="shared" si="87"/>
        <v>11349.053333333333</v>
      </c>
    </row>
    <row r="5548" spans="1:10" ht="12.75" customHeight="1" x14ac:dyDescent="0.2">
      <c r="A5548" s="681">
        <v>1246</v>
      </c>
      <c r="B5548" s="693">
        <v>5112960002</v>
      </c>
      <c r="C5548" s="672" t="s">
        <v>8258</v>
      </c>
      <c r="D5548" s="809" t="s">
        <v>8226</v>
      </c>
      <c r="E5548" s="674">
        <v>10</v>
      </c>
      <c r="F5548" s="675">
        <v>0.1</v>
      </c>
      <c r="G5548" s="676">
        <v>13896.8</v>
      </c>
      <c r="H5548" s="929">
        <v>1389.6799999999996</v>
      </c>
      <c r="I5548" s="929">
        <v>2547.746666666666</v>
      </c>
      <c r="J5548" s="689">
        <f t="shared" si="87"/>
        <v>11349.053333333333</v>
      </c>
    </row>
    <row r="5549" spans="1:10" ht="12.75" customHeight="1" x14ac:dyDescent="0.2">
      <c r="A5549" s="681">
        <v>1246</v>
      </c>
      <c r="B5549" s="693">
        <v>5112270014</v>
      </c>
      <c r="C5549" s="672" t="s">
        <v>8586</v>
      </c>
      <c r="D5549" s="809" t="s">
        <v>8226</v>
      </c>
      <c r="E5549" s="674">
        <v>10</v>
      </c>
      <c r="F5549" s="675">
        <v>0.1</v>
      </c>
      <c r="G5549" s="676">
        <v>15006.92</v>
      </c>
      <c r="H5549" s="929">
        <v>1500.6919999999998</v>
      </c>
      <c r="I5549" s="929">
        <v>2751.2686666666664</v>
      </c>
      <c r="J5549" s="689">
        <f t="shared" si="87"/>
        <v>12255.651333333333</v>
      </c>
    </row>
    <row r="5550" spans="1:10" ht="12.75" customHeight="1" x14ac:dyDescent="0.2">
      <c r="A5550" s="681">
        <v>1246</v>
      </c>
      <c r="B5550" s="693">
        <v>5112270015</v>
      </c>
      <c r="C5550" s="672" t="s">
        <v>8586</v>
      </c>
      <c r="D5550" s="809" t="s">
        <v>8226</v>
      </c>
      <c r="E5550" s="674">
        <v>10</v>
      </c>
      <c r="F5550" s="675">
        <v>0.1</v>
      </c>
      <c r="G5550" s="676">
        <v>15006.92</v>
      </c>
      <c r="H5550" s="929">
        <v>1500.6919999999998</v>
      </c>
      <c r="I5550" s="929">
        <v>2751.2686666666664</v>
      </c>
      <c r="J5550" s="689">
        <f t="shared" si="87"/>
        <v>12255.651333333333</v>
      </c>
    </row>
    <row r="5551" spans="1:10" ht="12.75" customHeight="1" x14ac:dyDescent="0.2">
      <c r="A5551" s="681">
        <v>1246</v>
      </c>
      <c r="B5551" s="693">
        <v>5410570001</v>
      </c>
      <c r="C5551" s="672" t="s">
        <v>8259</v>
      </c>
      <c r="D5551" s="809" t="s">
        <v>8226</v>
      </c>
      <c r="E5551" s="674">
        <v>10</v>
      </c>
      <c r="F5551" s="675">
        <v>0.1</v>
      </c>
      <c r="G5551" s="676">
        <v>96790.399999999994</v>
      </c>
      <c r="H5551" s="929">
        <v>9679.0399999999972</v>
      </c>
      <c r="I5551" s="929">
        <v>17744.906666666662</v>
      </c>
      <c r="J5551" s="689">
        <f t="shared" si="87"/>
        <v>79045.493333333332</v>
      </c>
    </row>
    <row r="5552" spans="1:10" ht="12.75" customHeight="1" x14ac:dyDescent="0.2">
      <c r="A5552" s="681">
        <v>1246</v>
      </c>
      <c r="B5552" s="693">
        <v>5410570002</v>
      </c>
      <c r="C5552" s="672" t="s">
        <v>8259</v>
      </c>
      <c r="D5552" s="809" t="s">
        <v>8226</v>
      </c>
      <c r="E5552" s="674">
        <v>10</v>
      </c>
      <c r="F5552" s="675">
        <v>0.1</v>
      </c>
      <c r="G5552" s="676">
        <v>96790.399999999994</v>
      </c>
      <c r="H5552" s="929">
        <v>9679.0399999999972</v>
      </c>
      <c r="I5552" s="929">
        <v>17744.906666666662</v>
      </c>
      <c r="J5552" s="689">
        <f t="shared" si="87"/>
        <v>79045.493333333332</v>
      </c>
    </row>
    <row r="5553" spans="1:10" ht="12.75" customHeight="1" x14ac:dyDescent="0.2">
      <c r="A5553" s="681">
        <v>1246</v>
      </c>
      <c r="B5553" s="693">
        <v>5410570003</v>
      </c>
      <c r="C5553" s="672" t="s">
        <v>8259</v>
      </c>
      <c r="D5553" s="809" t="s">
        <v>8226</v>
      </c>
      <c r="E5553" s="674">
        <v>10</v>
      </c>
      <c r="F5553" s="675">
        <v>0.1</v>
      </c>
      <c r="G5553" s="676">
        <v>96790.399999999994</v>
      </c>
      <c r="H5553" s="929">
        <v>9679.0399999999972</v>
      </c>
      <c r="I5553" s="929">
        <v>17744.906666666662</v>
      </c>
      <c r="J5553" s="689">
        <f t="shared" si="87"/>
        <v>79045.493333333332</v>
      </c>
    </row>
    <row r="5554" spans="1:10" ht="12.75" customHeight="1" x14ac:dyDescent="0.2">
      <c r="A5554" s="681">
        <v>1246</v>
      </c>
      <c r="B5554" s="693">
        <v>5410570004</v>
      </c>
      <c r="C5554" s="672" t="s">
        <v>8259</v>
      </c>
      <c r="D5554" s="809" t="s">
        <v>8226</v>
      </c>
      <c r="E5554" s="674">
        <v>10</v>
      </c>
      <c r="F5554" s="675">
        <v>0.1</v>
      </c>
      <c r="G5554" s="676">
        <v>96790.399999999994</v>
      </c>
      <c r="H5554" s="929">
        <v>9679.0399999999972</v>
      </c>
      <c r="I5554" s="929">
        <v>17744.906666666662</v>
      </c>
      <c r="J5554" s="689">
        <f t="shared" si="87"/>
        <v>79045.493333333332</v>
      </c>
    </row>
    <row r="5555" spans="1:10" ht="12.75" customHeight="1" x14ac:dyDescent="0.2">
      <c r="A5555" s="681">
        <v>1246</v>
      </c>
      <c r="B5555" s="693">
        <v>5410570005</v>
      </c>
      <c r="C5555" s="672" t="s">
        <v>8259</v>
      </c>
      <c r="D5555" s="809" t="s">
        <v>8226</v>
      </c>
      <c r="E5555" s="674">
        <v>10</v>
      </c>
      <c r="F5555" s="675">
        <v>0.1</v>
      </c>
      <c r="G5555" s="676">
        <v>96790.399999999994</v>
      </c>
      <c r="H5555" s="929">
        <v>9679.0399999999972</v>
      </c>
      <c r="I5555" s="929">
        <v>17744.906666666662</v>
      </c>
      <c r="J5555" s="689">
        <f t="shared" si="87"/>
        <v>79045.493333333332</v>
      </c>
    </row>
    <row r="5556" spans="1:10" ht="12.75" customHeight="1" x14ac:dyDescent="0.2">
      <c r="A5556" s="681">
        <v>1246</v>
      </c>
      <c r="B5556" s="693">
        <v>5111560002</v>
      </c>
      <c r="C5556" s="672" t="s">
        <v>8242</v>
      </c>
      <c r="D5556" s="809" t="s">
        <v>8226</v>
      </c>
      <c r="E5556" s="674">
        <v>10</v>
      </c>
      <c r="F5556" s="675">
        <v>0.1</v>
      </c>
      <c r="G5556" s="676">
        <v>15089.72</v>
      </c>
      <c r="H5556" s="929">
        <v>1508.972</v>
      </c>
      <c r="I5556" s="929">
        <v>2766.4486666666667</v>
      </c>
      <c r="J5556" s="689">
        <f t="shared" si="87"/>
        <v>12323.271333333332</v>
      </c>
    </row>
    <row r="5557" spans="1:10" ht="12.75" customHeight="1" x14ac:dyDescent="0.2">
      <c r="A5557" s="681">
        <v>1246</v>
      </c>
      <c r="B5557" s="693">
        <v>5620750001</v>
      </c>
      <c r="C5557" s="672" t="s">
        <v>8260</v>
      </c>
      <c r="D5557" s="809" t="s">
        <v>8226</v>
      </c>
      <c r="E5557" s="674">
        <v>10</v>
      </c>
      <c r="F5557" s="675">
        <v>0.1</v>
      </c>
      <c r="G5557" s="676">
        <v>3499.9985000000001</v>
      </c>
      <c r="H5557" s="929">
        <v>349.99984999999998</v>
      </c>
      <c r="I5557" s="929">
        <v>641.66639166666664</v>
      </c>
      <c r="J5557" s="689">
        <f t="shared" si="87"/>
        <v>2858.3321083333335</v>
      </c>
    </row>
    <row r="5558" spans="1:10" ht="12.75" customHeight="1" x14ac:dyDescent="0.2">
      <c r="A5558" s="681">
        <v>1246</v>
      </c>
      <c r="B5558" s="693">
        <v>5620750002</v>
      </c>
      <c r="C5558" s="672" t="s">
        <v>8260</v>
      </c>
      <c r="D5558" s="809" t="s">
        <v>8226</v>
      </c>
      <c r="E5558" s="674">
        <v>10</v>
      </c>
      <c r="F5558" s="675">
        <v>0.1</v>
      </c>
      <c r="G5558" s="676">
        <v>3499.9985000000001</v>
      </c>
      <c r="H5558" s="929">
        <v>349.99984999999998</v>
      </c>
      <c r="I5558" s="929">
        <v>641.66639166666664</v>
      </c>
      <c r="J5558" s="689">
        <f t="shared" si="87"/>
        <v>2858.3321083333335</v>
      </c>
    </row>
    <row r="5559" spans="1:10" ht="12.75" customHeight="1" x14ac:dyDescent="0.2">
      <c r="A5559" s="681">
        <v>1246</v>
      </c>
      <c r="B5559" s="693">
        <v>5620750003</v>
      </c>
      <c r="C5559" s="672" t="s">
        <v>8260</v>
      </c>
      <c r="D5559" s="809" t="s">
        <v>8226</v>
      </c>
      <c r="E5559" s="674">
        <v>10</v>
      </c>
      <c r="F5559" s="675">
        <v>0.1</v>
      </c>
      <c r="G5559" s="676">
        <v>3499.9985000000001</v>
      </c>
      <c r="H5559" s="929">
        <v>349.99984999999998</v>
      </c>
      <c r="I5559" s="929">
        <v>641.66639166666664</v>
      </c>
      <c r="J5559" s="689">
        <f t="shared" si="87"/>
        <v>2858.3321083333335</v>
      </c>
    </row>
    <row r="5560" spans="1:10" ht="12.75" customHeight="1" x14ac:dyDescent="0.2">
      <c r="A5560" s="681">
        <v>1246</v>
      </c>
      <c r="B5560" s="693">
        <v>5620750004</v>
      </c>
      <c r="C5560" s="672" t="s">
        <v>8260</v>
      </c>
      <c r="D5560" s="809" t="s">
        <v>8226</v>
      </c>
      <c r="E5560" s="674">
        <v>10</v>
      </c>
      <c r="F5560" s="675">
        <v>0.1</v>
      </c>
      <c r="G5560" s="676">
        <v>3499.9985000000001</v>
      </c>
      <c r="H5560" s="929">
        <v>349.99984999999998</v>
      </c>
      <c r="I5560" s="929">
        <v>641.66639166666664</v>
      </c>
      <c r="J5560" s="689">
        <f t="shared" si="87"/>
        <v>2858.3321083333335</v>
      </c>
    </row>
    <row r="5561" spans="1:10" ht="12.75" customHeight="1" x14ac:dyDescent="0.2">
      <c r="A5561" s="681">
        <v>1246</v>
      </c>
      <c r="B5561" s="693">
        <v>5620750005</v>
      </c>
      <c r="C5561" s="672" t="s">
        <v>8260</v>
      </c>
      <c r="D5561" s="809" t="s">
        <v>8226</v>
      </c>
      <c r="E5561" s="674">
        <v>10</v>
      </c>
      <c r="F5561" s="675">
        <v>0.1</v>
      </c>
      <c r="G5561" s="676">
        <v>3499.9985000000001</v>
      </c>
      <c r="H5561" s="929">
        <v>349.99984999999998</v>
      </c>
      <c r="I5561" s="929">
        <v>641.66639166666664</v>
      </c>
      <c r="J5561" s="689">
        <f t="shared" si="87"/>
        <v>2858.3321083333335</v>
      </c>
    </row>
    <row r="5562" spans="1:10" ht="12.75" customHeight="1" x14ac:dyDescent="0.2">
      <c r="A5562" s="681">
        <v>1246</v>
      </c>
      <c r="B5562" s="693">
        <v>5620750006</v>
      </c>
      <c r="C5562" s="672" t="s">
        <v>8260</v>
      </c>
      <c r="D5562" s="809" t="s">
        <v>8226</v>
      </c>
      <c r="E5562" s="674">
        <v>10</v>
      </c>
      <c r="F5562" s="675">
        <v>0.1</v>
      </c>
      <c r="G5562" s="676">
        <v>3499.9985000000001</v>
      </c>
      <c r="H5562" s="929">
        <v>349.99984999999998</v>
      </c>
      <c r="I5562" s="929">
        <v>641.66639166666664</v>
      </c>
      <c r="J5562" s="689">
        <f t="shared" si="87"/>
        <v>2858.3321083333335</v>
      </c>
    </row>
    <row r="5563" spans="1:10" ht="12.75" customHeight="1" x14ac:dyDescent="0.2">
      <c r="A5563" s="681">
        <v>1246</v>
      </c>
      <c r="B5563" s="693">
        <v>5620750007</v>
      </c>
      <c r="C5563" s="672" t="s">
        <v>8260</v>
      </c>
      <c r="D5563" s="809" t="s">
        <v>8226</v>
      </c>
      <c r="E5563" s="674">
        <v>10</v>
      </c>
      <c r="F5563" s="675">
        <v>0.1</v>
      </c>
      <c r="G5563" s="676">
        <v>3499.9985000000001</v>
      </c>
      <c r="H5563" s="929">
        <v>349.99984999999998</v>
      </c>
      <c r="I5563" s="929">
        <v>641.66639166666664</v>
      </c>
      <c r="J5563" s="689">
        <f t="shared" si="87"/>
        <v>2858.3321083333335</v>
      </c>
    </row>
    <row r="5564" spans="1:10" ht="12.75" customHeight="1" x14ac:dyDescent="0.2">
      <c r="A5564" s="681">
        <v>1246</v>
      </c>
      <c r="B5564" s="693">
        <v>5620750008</v>
      </c>
      <c r="C5564" s="672" t="s">
        <v>8260</v>
      </c>
      <c r="D5564" s="809" t="s">
        <v>8226</v>
      </c>
      <c r="E5564" s="674">
        <v>10</v>
      </c>
      <c r="F5564" s="675">
        <v>0.1</v>
      </c>
      <c r="G5564" s="676">
        <v>3499.9985000000001</v>
      </c>
      <c r="H5564" s="929">
        <v>349.99984999999998</v>
      </c>
      <c r="I5564" s="929">
        <v>641.66639166666664</v>
      </c>
      <c r="J5564" s="689">
        <f t="shared" si="87"/>
        <v>2858.3321083333335</v>
      </c>
    </row>
    <row r="5565" spans="1:10" ht="12.75" customHeight="1" x14ac:dyDescent="0.2">
      <c r="A5565" s="681">
        <v>1246</v>
      </c>
      <c r="B5565" s="693">
        <v>5620750009</v>
      </c>
      <c r="C5565" s="672" t="s">
        <v>8260</v>
      </c>
      <c r="D5565" s="809" t="s">
        <v>8226</v>
      </c>
      <c r="E5565" s="674">
        <v>10</v>
      </c>
      <c r="F5565" s="675">
        <v>0.1</v>
      </c>
      <c r="G5565" s="676">
        <v>3499.9985000000001</v>
      </c>
      <c r="H5565" s="929">
        <v>349.99984999999998</v>
      </c>
      <c r="I5565" s="929">
        <v>641.66639166666664</v>
      </c>
      <c r="J5565" s="689">
        <f t="shared" si="87"/>
        <v>2858.3321083333335</v>
      </c>
    </row>
    <row r="5566" spans="1:10" ht="12.75" customHeight="1" x14ac:dyDescent="0.2">
      <c r="A5566" s="681">
        <v>1246</v>
      </c>
      <c r="B5566" s="693">
        <v>5620750010</v>
      </c>
      <c r="C5566" s="672" t="s">
        <v>8260</v>
      </c>
      <c r="D5566" s="809" t="s">
        <v>8226</v>
      </c>
      <c r="E5566" s="674">
        <v>10</v>
      </c>
      <c r="F5566" s="675">
        <v>0.1</v>
      </c>
      <c r="G5566" s="676">
        <v>3499.9985000000001</v>
      </c>
      <c r="H5566" s="929">
        <v>349.99984999999998</v>
      </c>
      <c r="I5566" s="929">
        <v>641.66639166666664</v>
      </c>
      <c r="J5566" s="689">
        <f t="shared" si="87"/>
        <v>2858.3321083333335</v>
      </c>
    </row>
    <row r="5567" spans="1:10" ht="12.75" customHeight="1" x14ac:dyDescent="0.2">
      <c r="A5567" s="681">
        <v>1246</v>
      </c>
      <c r="B5567" s="693">
        <v>5620750011</v>
      </c>
      <c r="C5567" s="672" t="s">
        <v>8260</v>
      </c>
      <c r="D5567" s="809" t="s">
        <v>8226</v>
      </c>
      <c r="E5567" s="674">
        <v>10</v>
      </c>
      <c r="F5567" s="675">
        <v>0.1</v>
      </c>
      <c r="G5567" s="676">
        <v>3499.9985000000001</v>
      </c>
      <c r="H5567" s="929">
        <v>349.99984999999998</v>
      </c>
      <c r="I5567" s="929">
        <v>641.66639166666664</v>
      </c>
      <c r="J5567" s="689">
        <f t="shared" si="87"/>
        <v>2858.3321083333335</v>
      </c>
    </row>
    <row r="5568" spans="1:10" ht="12.75" customHeight="1" x14ac:dyDescent="0.2">
      <c r="A5568" s="681">
        <v>1246</v>
      </c>
      <c r="B5568" s="693">
        <v>5620750012</v>
      </c>
      <c r="C5568" s="672" t="s">
        <v>8260</v>
      </c>
      <c r="D5568" s="673" t="s">
        <v>8226</v>
      </c>
      <c r="E5568" s="674">
        <v>10</v>
      </c>
      <c r="F5568" s="675">
        <v>0.1</v>
      </c>
      <c r="G5568" s="676">
        <v>3499.9985000000001</v>
      </c>
      <c r="H5568" s="929">
        <v>349.99984999999998</v>
      </c>
      <c r="I5568" s="929">
        <v>641.66639166666664</v>
      </c>
      <c r="J5568" s="689">
        <f t="shared" ref="J5568:J5631" si="88">G5568-I5568</f>
        <v>2858.3321083333335</v>
      </c>
    </row>
    <row r="5569" spans="1:10" ht="12.75" customHeight="1" x14ac:dyDescent="0.2">
      <c r="A5569" s="681">
        <v>1246</v>
      </c>
      <c r="B5569" s="693">
        <v>5620750013</v>
      </c>
      <c r="C5569" s="672" t="s">
        <v>8260</v>
      </c>
      <c r="D5569" s="809" t="s">
        <v>8226</v>
      </c>
      <c r="E5569" s="674">
        <v>10</v>
      </c>
      <c r="F5569" s="675">
        <v>0.1</v>
      </c>
      <c r="G5569" s="676">
        <v>3499.9985000000001</v>
      </c>
      <c r="H5569" s="929">
        <v>349.99984999999998</v>
      </c>
      <c r="I5569" s="929">
        <v>641.66639166666664</v>
      </c>
      <c r="J5569" s="689">
        <f t="shared" si="88"/>
        <v>2858.3321083333335</v>
      </c>
    </row>
    <row r="5570" spans="1:10" ht="12.75" customHeight="1" x14ac:dyDescent="0.2">
      <c r="A5570" s="681">
        <v>1246</v>
      </c>
      <c r="B5570" s="693">
        <v>5620750014</v>
      </c>
      <c r="C5570" s="672" t="s">
        <v>8260</v>
      </c>
      <c r="D5570" s="809" t="s">
        <v>8226</v>
      </c>
      <c r="E5570" s="674">
        <v>10</v>
      </c>
      <c r="F5570" s="675">
        <v>0.1</v>
      </c>
      <c r="G5570" s="676">
        <v>3499.9985000000001</v>
      </c>
      <c r="H5570" s="929">
        <v>349.99984999999998</v>
      </c>
      <c r="I5570" s="929">
        <v>641.66639166666664</v>
      </c>
      <c r="J5570" s="689">
        <f t="shared" si="88"/>
        <v>2858.3321083333335</v>
      </c>
    </row>
    <row r="5571" spans="1:10" ht="12.75" customHeight="1" x14ac:dyDescent="0.2">
      <c r="A5571" s="681">
        <v>1246</v>
      </c>
      <c r="B5571" s="693">
        <v>5620750015</v>
      </c>
      <c r="C5571" s="672" t="s">
        <v>8260</v>
      </c>
      <c r="D5571" s="809" t="s">
        <v>8226</v>
      </c>
      <c r="E5571" s="674">
        <v>10</v>
      </c>
      <c r="F5571" s="675">
        <v>0.1</v>
      </c>
      <c r="G5571" s="676">
        <v>3499.9985000000001</v>
      </c>
      <c r="H5571" s="929">
        <v>349.99984999999998</v>
      </c>
      <c r="I5571" s="929">
        <v>641.66639166666664</v>
      </c>
      <c r="J5571" s="689">
        <f t="shared" si="88"/>
        <v>2858.3321083333335</v>
      </c>
    </row>
    <row r="5572" spans="1:10" ht="12.75" customHeight="1" x14ac:dyDescent="0.2">
      <c r="A5572" s="681">
        <v>1246</v>
      </c>
      <c r="B5572" s="693">
        <v>5620750016</v>
      </c>
      <c r="C5572" s="672" t="s">
        <v>8260</v>
      </c>
      <c r="D5572" s="809" t="s">
        <v>8226</v>
      </c>
      <c r="E5572" s="674">
        <v>10</v>
      </c>
      <c r="F5572" s="675">
        <v>0.1</v>
      </c>
      <c r="G5572" s="676">
        <v>3499.9985000000001</v>
      </c>
      <c r="H5572" s="929">
        <v>349.99984999999998</v>
      </c>
      <c r="I5572" s="929">
        <v>641.66639166666664</v>
      </c>
      <c r="J5572" s="689">
        <f t="shared" si="88"/>
        <v>2858.3321083333335</v>
      </c>
    </row>
    <row r="5573" spans="1:10" ht="12.75" customHeight="1" x14ac:dyDescent="0.2">
      <c r="A5573" s="681">
        <v>1246</v>
      </c>
      <c r="B5573" s="693">
        <v>5620750017</v>
      </c>
      <c r="C5573" s="672" t="s">
        <v>8260</v>
      </c>
      <c r="D5573" s="809" t="s">
        <v>8226</v>
      </c>
      <c r="E5573" s="674">
        <v>10</v>
      </c>
      <c r="F5573" s="675">
        <v>0.1</v>
      </c>
      <c r="G5573" s="676">
        <v>3499.9985000000001</v>
      </c>
      <c r="H5573" s="929">
        <v>349.99984999999998</v>
      </c>
      <c r="I5573" s="929">
        <v>641.66639166666664</v>
      </c>
      <c r="J5573" s="689">
        <f t="shared" si="88"/>
        <v>2858.3321083333335</v>
      </c>
    </row>
    <row r="5574" spans="1:10" ht="12.75" customHeight="1" x14ac:dyDescent="0.2">
      <c r="A5574" s="681">
        <v>1246</v>
      </c>
      <c r="B5574" s="693">
        <v>5620750018</v>
      </c>
      <c r="C5574" s="672" t="s">
        <v>8260</v>
      </c>
      <c r="D5574" s="809" t="s">
        <v>8226</v>
      </c>
      <c r="E5574" s="674">
        <v>10</v>
      </c>
      <c r="F5574" s="675">
        <v>0.1</v>
      </c>
      <c r="G5574" s="676">
        <v>3499.9985000000001</v>
      </c>
      <c r="H5574" s="929">
        <v>349.99984999999998</v>
      </c>
      <c r="I5574" s="929">
        <v>641.66639166666664</v>
      </c>
      <c r="J5574" s="689">
        <f t="shared" si="88"/>
        <v>2858.3321083333335</v>
      </c>
    </row>
    <row r="5575" spans="1:10" ht="12.75" customHeight="1" x14ac:dyDescent="0.2">
      <c r="A5575" s="681">
        <v>1246</v>
      </c>
      <c r="B5575" s="693">
        <v>5620750019</v>
      </c>
      <c r="C5575" s="672" t="s">
        <v>8260</v>
      </c>
      <c r="D5575" s="809" t="s">
        <v>8226</v>
      </c>
      <c r="E5575" s="674">
        <v>10</v>
      </c>
      <c r="F5575" s="675">
        <v>0.1</v>
      </c>
      <c r="G5575" s="676">
        <v>3499.9985000000001</v>
      </c>
      <c r="H5575" s="929">
        <v>349.99984999999998</v>
      </c>
      <c r="I5575" s="929">
        <v>641.66639166666664</v>
      </c>
      <c r="J5575" s="689">
        <f t="shared" si="88"/>
        <v>2858.3321083333335</v>
      </c>
    </row>
    <row r="5576" spans="1:10" ht="12.75" customHeight="1" x14ac:dyDescent="0.2">
      <c r="A5576" s="681">
        <v>1246</v>
      </c>
      <c r="B5576" s="693">
        <v>5620750020</v>
      </c>
      <c r="C5576" s="672" t="s">
        <v>8260</v>
      </c>
      <c r="D5576" s="809" t="s">
        <v>8226</v>
      </c>
      <c r="E5576" s="674">
        <v>10</v>
      </c>
      <c r="F5576" s="675">
        <v>0.1</v>
      </c>
      <c r="G5576" s="676">
        <v>3499.9985000000001</v>
      </c>
      <c r="H5576" s="929">
        <v>349.99984999999998</v>
      </c>
      <c r="I5576" s="929">
        <v>641.66639166666664</v>
      </c>
      <c r="J5576" s="689">
        <f t="shared" si="88"/>
        <v>2858.3321083333335</v>
      </c>
    </row>
    <row r="5577" spans="1:10" ht="12.75" customHeight="1" x14ac:dyDescent="0.2">
      <c r="A5577" s="681"/>
      <c r="B5577" s="693"/>
      <c r="C5577" s="672"/>
      <c r="D5577" s="809"/>
      <c r="E5577" s="674"/>
      <c r="F5577" s="675"/>
      <c r="G5577" s="676"/>
      <c r="H5577" s="929"/>
      <c r="I5577" s="929"/>
      <c r="J5577" s="689"/>
    </row>
    <row r="5578" spans="1:10" ht="12.75" customHeight="1" x14ac:dyDescent="0.2">
      <c r="A5578" s="681">
        <v>1241</v>
      </c>
      <c r="B5578" s="693">
        <v>5112200007</v>
      </c>
      <c r="C5578" s="672" t="s">
        <v>8261</v>
      </c>
      <c r="D5578" s="809" t="s">
        <v>8227</v>
      </c>
      <c r="E5578" s="674">
        <v>10</v>
      </c>
      <c r="F5578" s="675">
        <v>0.1</v>
      </c>
      <c r="G5578" s="676">
        <v>13404.96</v>
      </c>
      <c r="H5578" s="929">
        <v>1340.4960000000001</v>
      </c>
      <c r="I5578" s="929">
        <v>2345.8679999999999</v>
      </c>
      <c r="J5578" s="689">
        <f t="shared" si="88"/>
        <v>11059.091999999999</v>
      </c>
    </row>
    <row r="5579" spans="1:10" ht="12.75" customHeight="1" x14ac:dyDescent="0.2">
      <c r="A5579" s="681">
        <v>1241</v>
      </c>
      <c r="B5579" s="693">
        <v>5110980001</v>
      </c>
      <c r="C5579" s="672" t="s">
        <v>8262</v>
      </c>
      <c r="D5579" s="809" t="s">
        <v>8227</v>
      </c>
      <c r="E5579" s="674">
        <v>10</v>
      </c>
      <c r="F5579" s="675">
        <v>0.1</v>
      </c>
      <c r="G5579" s="676">
        <v>2155.2799999999997</v>
      </c>
      <c r="H5579" s="929">
        <v>215.52799999999999</v>
      </c>
      <c r="I5579" s="929">
        <v>377.17399999999998</v>
      </c>
      <c r="J5579" s="689">
        <f t="shared" si="88"/>
        <v>1778.1059999999998</v>
      </c>
    </row>
    <row r="5580" spans="1:10" ht="12.75" customHeight="1" x14ac:dyDescent="0.2">
      <c r="A5580" s="681">
        <v>1241</v>
      </c>
      <c r="B5580" s="693">
        <v>5110940001</v>
      </c>
      <c r="C5580" s="672" t="s">
        <v>8263</v>
      </c>
      <c r="D5580" s="809" t="s">
        <v>8227</v>
      </c>
      <c r="E5580" s="674">
        <v>10</v>
      </c>
      <c r="F5580" s="675">
        <v>0.1</v>
      </c>
      <c r="G5580" s="676">
        <v>644.95999999999992</v>
      </c>
      <c r="H5580" s="929">
        <v>64.496000000000009</v>
      </c>
      <c r="I5580" s="929">
        <v>112.86800000000001</v>
      </c>
      <c r="J5580" s="689">
        <f t="shared" si="88"/>
        <v>532.09199999999987</v>
      </c>
    </row>
    <row r="5581" spans="1:10" ht="12.75" customHeight="1" x14ac:dyDescent="0.2">
      <c r="A5581" s="681">
        <v>1241</v>
      </c>
      <c r="B5581" s="693">
        <v>5110940002</v>
      </c>
      <c r="C5581" s="672" t="s">
        <v>8263</v>
      </c>
      <c r="D5581" s="809" t="s">
        <v>8227</v>
      </c>
      <c r="E5581" s="674">
        <v>10</v>
      </c>
      <c r="F5581" s="675">
        <v>0.1</v>
      </c>
      <c r="G5581" s="676">
        <v>644.95999999999992</v>
      </c>
      <c r="H5581" s="929">
        <v>64.496000000000009</v>
      </c>
      <c r="I5581" s="929">
        <v>112.86800000000001</v>
      </c>
      <c r="J5581" s="689">
        <f t="shared" si="88"/>
        <v>532.09199999999987</v>
      </c>
    </row>
    <row r="5582" spans="1:10" ht="12.75" customHeight="1" x14ac:dyDescent="0.2">
      <c r="A5582" s="681">
        <v>1241</v>
      </c>
      <c r="B5582" s="693">
        <v>5110970001</v>
      </c>
      <c r="C5582" s="672" t="s">
        <v>8264</v>
      </c>
      <c r="D5582" s="809" t="s">
        <v>8227</v>
      </c>
      <c r="E5582" s="674">
        <v>10</v>
      </c>
      <c r="F5582" s="675">
        <v>0.1</v>
      </c>
      <c r="G5582" s="676">
        <v>2996.2799999999997</v>
      </c>
      <c r="H5582" s="929">
        <v>299.62799999999999</v>
      </c>
      <c r="I5582" s="929">
        <v>524.34899999999993</v>
      </c>
      <c r="J5582" s="689">
        <f t="shared" si="88"/>
        <v>2471.9309999999996</v>
      </c>
    </row>
    <row r="5583" spans="1:10" ht="12.75" customHeight="1" x14ac:dyDescent="0.2">
      <c r="A5583" s="681">
        <v>1241</v>
      </c>
      <c r="B5583" s="693">
        <v>5112230002</v>
      </c>
      <c r="C5583" s="672" t="s">
        <v>8265</v>
      </c>
      <c r="D5583" s="809" t="s">
        <v>8227</v>
      </c>
      <c r="E5583" s="674">
        <v>10</v>
      </c>
      <c r="F5583" s="675">
        <v>0.1</v>
      </c>
      <c r="G5583" s="676">
        <v>4475.28</v>
      </c>
      <c r="H5583" s="929">
        <v>447.52799999999985</v>
      </c>
      <c r="I5583" s="929">
        <v>783.17399999999975</v>
      </c>
      <c r="J5583" s="689">
        <f t="shared" si="88"/>
        <v>3692.1059999999998</v>
      </c>
    </row>
    <row r="5584" spans="1:10" ht="12.75" customHeight="1" x14ac:dyDescent="0.2">
      <c r="A5584" s="681">
        <v>1241</v>
      </c>
      <c r="B5584" s="693">
        <v>5112670017</v>
      </c>
      <c r="C5584" s="672" t="s">
        <v>8266</v>
      </c>
      <c r="D5584" s="809" t="s">
        <v>8227</v>
      </c>
      <c r="E5584" s="674">
        <v>10</v>
      </c>
      <c r="F5584" s="675">
        <v>0.1</v>
      </c>
      <c r="G5584" s="676">
        <v>1497.56</v>
      </c>
      <c r="H5584" s="929">
        <v>149.75600000000003</v>
      </c>
      <c r="I5584" s="929">
        <v>262.07300000000004</v>
      </c>
      <c r="J5584" s="689">
        <f t="shared" si="88"/>
        <v>1235.4869999999999</v>
      </c>
    </row>
    <row r="5585" spans="1:10" ht="12.75" customHeight="1" x14ac:dyDescent="0.2">
      <c r="A5585" s="681">
        <v>1241</v>
      </c>
      <c r="B5585" s="693">
        <v>5110940003</v>
      </c>
      <c r="C5585" s="672" t="s">
        <v>8263</v>
      </c>
      <c r="D5585" s="809" t="s">
        <v>8227</v>
      </c>
      <c r="E5585" s="674">
        <v>10</v>
      </c>
      <c r="F5585" s="675">
        <v>0.1</v>
      </c>
      <c r="G5585" s="676">
        <v>644.95999999999992</v>
      </c>
      <c r="H5585" s="929">
        <v>64.496000000000009</v>
      </c>
      <c r="I5585" s="929">
        <v>112.86800000000001</v>
      </c>
      <c r="J5585" s="689">
        <f t="shared" si="88"/>
        <v>532.09199999999987</v>
      </c>
    </row>
    <row r="5586" spans="1:10" ht="12.75" customHeight="1" x14ac:dyDescent="0.2">
      <c r="A5586" s="681">
        <v>1241</v>
      </c>
      <c r="B5586" s="693">
        <v>5110940004</v>
      </c>
      <c r="C5586" s="672" t="s">
        <v>8263</v>
      </c>
      <c r="D5586" s="809" t="s">
        <v>8227</v>
      </c>
      <c r="E5586" s="674">
        <v>10</v>
      </c>
      <c r="F5586" s="675">
        <v>0.1</v>
      </c>
      <c r="G5586" s="676">
        <v>644.95999999999992</v>
      </c>
      <c r="H5586" s="929">
        <v>64.496000000000009</v>
      </c>
      <c r="I5586" s="929">
        <v>112.86800000000001</v>
      </c>
      <c r="J5586" s="689">
        <f t="shared" si="88"/>
        <v>532.09199999999987</v>
      </c>
    </row>
    <row r="5587" spans="1:10" ht="12.75" customHeight="1" x14ac:dyDescent="0.2">
      <c r="A5587" s="681">
        <v>1241</v>
      </c>
      <c r="B5587" s="693">
        <v>5112170002</v>
      </c>
      <c r="C5587" s="672" t="s">
        <v>8267</v>
      </c>
      <c r="D5587" s="809" t="s">
        <v>8227</v>
      </c>
      <c r="E5587" s="674">
        <v>10</v>
      </c>
      <c r="F5587" s="675">
        <v>0.1</v>
      </c>
      <c r="G5587" s="676">
        <v>6344.04</v>
      </c>
      <c r="H5587" s="929">
        <v>634.404</v>
      </c>
      <c r="I5587" s="929">
        <v>1110.2070000000001</v>
      </c>
      <c r="J5587" s="689">
        <f t="shared" si="88"/>
        <v>5233.8329999999996</v>
      </c>
    </row>
    <row r="5588" spans="1:10" ht="12.75" customHeight="1" x14ac:dyDescent="0.2">
      <c r="A5588" s="681">
        <v>1241</v>
      </c>
      <c r="B5588" s="693">
        <v>5112180003</v>
      </c>
      <c r="C5588" s="672" t="s">
        <v>8268</v>
      </c>
      <c r="D5588" s="809" t="s">
        <v>8227</v>
      </c>
      <c r="E5588" s="674">
        <v>10</v>
      </c>
      <c r="F5588" s="675">
        <v>0.1</v>
      </c>
      <c r="G5588" s="676">
        <v>5193.32</v>
      </c>
      <c r="H5588" s="929">
        <v>519.33199999999999</v>
      </c>
      <c r="I5588" s="929">
        <v>908.83100000000002</v>
      </c>
      <c r="J5588" s="689">
        <f t="shared" si="88"/>
        <v>4284.4889999999996</v>
      </c>
    </row>
    <row r="5589" spans="1:10" ht="12.75" customHeight="1" x14ac:dyDescent="0.2">
      <c r="A5589" s="681">
        <v>1241</v>
      </c>
      <c r="B5589" s="693">
        <v>5112180004</v>
      </c>
      <c r="C5589" s="672" t="s">
        <v>8268</v>
      </c>
      <c r="D5589" s="809" t="s">
        <v>8227</v>
      </c>
      <c r="E5589" s="674">
        <v>10</v>
      </c>
      <c r="F5589" s="675">
        <v>0.1</v>
      </c>
      <c r="G5589" s="676">
        <v>5193.32</v>
      </c>
      <c r="H5589" s="929">
        <v>519.33199999999999</v>
      </c>
      <c r="I5589" s="929">
        <v>908.83100000000002</v>
      </c>
      <c r="J5589" s="689">
        <f t="shared" si="88"/>
        <v>4284.4889999999996</v>
      </c>
    </row>
    <row r="5590" spans="1:10" ht="12.75" customHeight="1" x14ac:dyDescent="0.2">
      <c r="A5590" s="681">
        <v>1241</v>
      </c>
      <c r="B5590" s="693">
        <v>5112180005</v>
      </c>
      <c r="C5590" s="672" t="s">
        <v>8268</v>
      </c>
      <c r="D5590" s="809" t="s">
        <v>8227</v>
      </c>
      <c r="E5590" s="674">
        <v>10</v>
      </c>
      <c r="F5590" s="675">
        <v>0.1</v>
      </c>
      <c r="G5590" s="676">
        <v>5193.32</v>
      </c>
      <c r="H5590" s="929">
        <v>519.33199999999999</v>
      </c>
      <c r="I5590" s="929">
        <v>908.83100000000002</v>
      </c>
      <c r="J5590" s="689">
        <f t="shared" si="88"/>
        <v>4284.4889999999996</v>
      </c>
    </row>
    <row r="5591" spans="1:10" ht="12.75" customHeight="1" x14ac:dyDescent="0.2">
      <c r="A5591" s="681">
        <v>1241</v>
      </c>
      <c r="B5591" s="693">
        <v>5112180006</v>
      </c>
      <c r="C5591" s="672" t="s">
        <v>8268</v>
      </c>
      <c r="D5591" s="809" t="s">
        <v>8227</v>
      </c>
      <c r="E5591" s="674">
        <v>10</v>
      </c>
      <c r="F5591" s="675">
        <v>0.1</v>
      </c>
      <c r="G5591" s="676">
        <v>5193.32</v>
      </c>
      <c r="H5591" s="929">
        <v>519.33199999999999</v>
      </c>
      <c r="I5591" s="929">
        <v>908.83100000000002</v>
      </c>
      <c r="J5591" s="689">
        <f t="shared" si="88"/>
        <v>4284.4889999999996</v>
      </c>
    </row>
    <row r="5592" spans="1:10" ht="12.75" customHeight="1" x14ac:dyDescent="0.2">
      <c r="A5592" s="681">
        <v>1241</v>
      </c>
      <c r="B5592" s="693">
        <v>5111460003</v>
      </c>
      <c r="C5592" s="672" t="s">
        <v>8269</v>
      </c>
      <c r="D5592" s="809" t="s">
        <v>8227</v>
      </c>
      <c r="E5592" s="674">
        <v>10</v>
      </c>
      <c r="F5592" s="675">
        <v>0.1</v>
      </c>
      <c r="G5592" s="676">
        <v>7890.32</v>
      </c>
      <c r="H5592" s="929">
        <v>789.03199999999981</v>
      </c>
      <c r="I5592" s="929">
        <v>1380.8059999999996</v>
      </c>
      <c r="J5592" s="689">
        <f t="shared" si="88"/>
        <v>6509.5140000000001</v>
      </c>
    </row>
    <row r="5593" spans="1:10" ht="12.75" customHeight="1" x14ac:dyDescent="0.2">
      <c r="A5593" s="681">
        <v>1241</v>
      </c>
      <c r="B5593" s="693">
        <v>5112200008</v>
      </c>
      <c r="C5593" s="672" t="s">
        <v>8270</v>
      </c>
      <c r="D5593" s="809" t="s">
        <v>8227</v>
      </c>
      <c r="E5593" s="674">
        <v>10</v>
      </c>
      <c r="F5593" s="675">
        <v>0.1</v>
      </c>
      <c r="G5593" s="676">
        <v>11915.519999999999</v>
      </c>
      <c r="H5593" s="929">
        <v>1191.5520000000001</v>
      </c>
      <c r="I5593" s="929">
        <v>2085.2160000000003</v>
      </c>
      <c r="J5593" s="689">
        <f t="shared" si="88"/>
        <v>9830.3039999999983</v>
      </c>
    </row>
    <row r="5594" spans="1:10" ht="12.75" customHeight="1" x14ac:dyDescent="0.2">
      <c r="A5594" s="681">
        <v>1241</v>
      </c>
      <c r="B5594" s="693">
        <v>5110980003</v>
      </c>
      <c r="C5594" s="672" t="s">
        <v>8271</v>
      </c>
      <c r="D5594" s="809" t="s">
        <v>8227</v>
      </c>
      <c r="E5594" s="674">
        <v>10</v>
      </c>
      <c r="F5594" s="675">
        <v>0.1</v>
      </c>
      <c r="G5594" s="676">
        <v>4711.92</v>
      </c>
      <c r="H5594" s="929">
        <v>471.19200000000006</v>
      </c>
      <c r="I5594" s="929">
        <v>824.58600000000001</v>
      </c>
      <c r="J5594" s="689">
        <f t="shared" si="88"/>
        <v>3887.3339999999998</v>
      </c>
    </row>
    <row r="5595" spans="1:10" ht="12.75" customHeight="1" x14ac:dyDescent="0.2">
      <c r="A5595" s="681">
        <v>1241</v>
      </c>
      <c r="B5595" s="693">
        <v>5110980004</v>
      </c>
      <c r="C5595" s="672" t="s">
        <v>8272</v>
      </c>
      <c r="D5595" s="809" t="s">
        <v>8227</v>
      </c>
      <c r="E5595" s="674">
        <v>10</v>
      </c>
      <c r="F5595" s="675">
        <v>0.1</v>
      </c>
      <c r="G5595" s="676">
        <v>4375.5199999999995</v>
      </c>
      <c r="H5595" s="929">
        <v>437.55200000000008</v>
      </c>
      <c r="I5595" s="929">
        <v>765.71600000000012</v>
      </c>
      <c r="J5595" s="689">
        <f t="shared" si="88"/>
        <v>3609.8039999999992</v>
      </c>
    </row>
    <row r="5596" spans="1:10" ht="12.75" customHeight="1" x14ac:dyDescent="0.2">
      <c r="A5596" s="681">
        <v>1241</v>
      </c>
      <c r="B5596" s="693">
        <v>5110980005</v>
      </c>
      <c r="C5596" s="672" t="s">
        <v>8272</v>
      </c>
      <c r="D5596" s="809" t="s">
        <v>8227</v>
      </c>
      <c r="E5596" s="674">
        <v>10</v>
      </c>
      <c r="F5596" s="675">
        <v>0.1</v>
      </c>
      <c r="G5596" s="676">
        <v>4375.5199999999995</v>
      </c>
      <c r="H5596" s="929">
        <v>437.55200000000008</v>
      </c>
      <c r="I5596" s="929">
        <v>765.71600000000012</v>
      </c>
      <c r="J5596" s="689">
        <f t="shared" si="88"/>
        <v>3609.8039999999992</v>
      </c>
    </row>
    <row r="5597" spans="1:10" ht="12.75" customHeight="1" x14ac:dyDescent="0.2">
      <c r="A5597" s="681">
        <v>1241</v>
      </c>
      <c r="B5597" s="693">
        <v>5110980006</v>
      </c>
      <c r="C5597" s="672" t="s">
        <v>8272</v>
      </c>
      <c r="D5597" s="809" t="s">
        <v>8227</v>
      </c>
      <c r="E5597" s="674">
        <v>10</v>
      </c>
      <c r="F5597" s="675">
        <v>0.1</v>
      </c>
      <c r="G5597" s="676">
        <v>4375.5199999999995</v>
      </c>
      <c r="H5597" s="929">
        <v>437.55200000000008</v>
      </c>
      <c r="I5597" s="929">
        <v>765.71600000000012</v>
      </c>
      <c r="J5597" s="689">
        <f t="shared" si="88"/>
        <v>3609.8039999999992</v>
      </c>
    </row>
    <row r="5598" spans="1:10" ht="12.75" customHeight="1" x14ac:dyDescent="0.2">
      <c r="A5598" s="681">
        <v>1241</v>
      </c>
      <c r="B5598" s="693">
        <v>5110980007</v>
      </c>
      <c r="C5598" s="672" t="s">
        <v>8272</v>
      </c>
      <c r="D5598" s="809" t="s">
        <v>8227</v>
      </c>
      <c r="E5598" s="674">
        <v>10</v>
      </c>
      <c r="F5598" s="675">
        <v>0.1</v>
      </c>
      <c r="G5598" s="676">
        <v>4375.5199999999995</v>
      </c>
      <c r="H5598" s="929">
        <v>437.55200000000008</v>
      </c>
      <c r="I5598" s="929">
        <v>765.71600000000012</v>
      </c>
      <c r="J5598" s="689">
        <f t="shared" si="88"/>
        <v>3609.8039999999992</v>
      </c>
    </row>
    <row r="5599" spans="1:10" ht="12.75" customHeight="1" x14ac:dyDescent="0.2">
      <c r="A5599" s="681">
        <v>1241</v>
      </c>
      <c r="B5599" s="693">
        <v>5110980008</v>
      </c>
      <c r="C5599" s="672" t="s">
        <v>8272</v>
      </c>
      <c r="D5599" s="809" t="s">
        <v>8227</v>
      </c>
      <c r="E5599" s="674">
        <v>10</v>
      </c>
      <c r="F5599" s="675">
        <v>0.1</v>
      </c>
      <c r="G5599" s="676">
        <v>4375.5199999999995</v>
      </c>
      <c r="H5599" s="929">
        <v>437.55200000000008</v>
      </c>
      <c r="I5599" s="929">
        <v>765.71600000000012</v>
      </c>
      <c r="J5599" s="689">
        <f t="shared" si="88"/>
        <v>3609.8039999999992</v>
      </c>
    </row>
    <row r="5600" spans="1:10" ht="12.75" customHeight="1" x14ac:dyDescent="0.2">
      <c r="A5600" s="681">
        <v>1241</v>
      </c>
      <c r="B5600" s="693">
        <v>5110980009</v>
      </c>
      <c r="C5600" s="672" t="s">
        <v>8272</v>
      </c>
      <c r="D5600" s="809" t="s">
        <v>8227</v>
      </c>
      <c r="E5600" s="674">
        <v>10</v>
      </c>
      <c r="F5600" s="675">
        <v>0.1</v>
      </c>
      <c r="G5600" s="676">
        <v>4375.5199999999995</v>
      </c>
      <c r="H5600" s="929">
        <v>437.55200000000008</v>
      </c>
      <c r="I5600" s="929">
        <v>765.71600000000012</v>
      </c>
      <c r="J5600" s="689">
        <f t="shared" si="88"/>
        <v>3609.8039999999992</v>
      </c>
    </row>
    <row r="5601" spans="1:10" ht="12.75" customHeight="1" x14ac:dyDescent="0.2">
      <c r="A5601" s="681">
        <v>1241</v>
      </c>
      <c r="B5601" s="693">
        <v>5110980010</v>
      </c>
      <c r="C5601" s="672" t="s">
        <v>8272</v>
      </c>
      <c r="D5601" s="809" t="s">
        <v>8227</v>
      </c>
      <c r="E5601" s="674">
        <v>10</v>
      </c>
      <c r="F5601" s="675">
        <v>0.1</v>
      </c>
      <c r="G5601" s="676">
        <v>4375.5199999999995</v>
      </c>
      <c r="H5601" s="929">
        <v>437.55200000000008</v>
      </c>
      <c r="I5601" s="929">
        <v>765.71600000000012</v>
      </c>
      <c r="J5601" s="689">
        <f t="shared" si="88"/>
        <v>3609.8039999999992</v>
      </c>
    </row>
    <row r="5602" spans="1:10" ht="12.75" customHeight="1" x14ac:dyDescent="0.2">
      <c r="A5602" s="681">
        <v>1241</v>
      </c>
      <c r="B5602" s="693">
        <v>5110980011</v>
      </c>
      <c r="C5602" s="672" t="s">
        <v>8272</v>
      </c>
      <c r="D5602" s="809" t="s">
        <v>8227</v>
      </c>
      <c r="E5602" s="674">
        <v>10</v>
      </c>
      <c r="F5602" s="675">
        <v>0.1</v>
      </c>
      <c r="G5602" s="676">
        <v>4375.5199999999995</v>
      </c>
      <c r="H5602" s="929">
        <v>437.55200000000008</v>
      </c>
      <c r="I5602" s="929">
        <v>765.71600000000012</v>
      </c>
      <c r="J5602" s="689">
        <f t="shared" si="88"/>
        <v>3609.8039999999992</v>
      </c>
    </row>
    <row r="5603" spans="1:10" ht="12.75" customHeight="1" x14ac:dyDescent="0.2">
      <c r="A5603" s="681">
        <v>1241</v>
      </c>
      <c r="B5603" s="693">
        <v>5111460005</v>
      </c>
      <c r="C5603" s="672" t="s">
        <v>8273</v>
      </c>
      <c r="D5603" s="809" t="s">
        <v>8227</v>
      </c>
      <c r="E5603" s="674">
        <v>10</v>
      </c>
      <c r="F5603" s="675">
        <v>0.1</v>
      </c>
      <c r="G5603" s="676">
        <v>7890.32</v>
      </c>
      <c r="H5603" s="929">
        <v>789.03199999999981</v>
      </c>
      <c r="I5603" s="929">
        <v>1380.8059999999996</v>
      </c>
      <c r="J5603" s="689">
        <f t="shared" si="88"/>
        <v>6509.5140000000001</v>
      </c>
    </row>
    <row r="5604" spans="1:10" ht="12.75" customHeight="1" x14ac:dyDescent="0.2">
      <c r="A5604" s="681">
        <v>1241</v>
      </c>
      <c r="B5604" s="693">
        <v>5112690003</v>
      </c>
      <c r="C5604" s="672" t="s">
        <v>8274</v>
      </c>
      <c r="D5604" s="809" t="s">
        <v>8227</v>
      </c>
      <c r="E5604" s="674">
        <v>10</v>
      </c>
      <c r="F5604" s="675">
        <v>0.1</v>
      </c>
      <c r="G5604" s="676">
        <v>5284.96</v>
      </c>
      <c r="H5604" s="929">
        <v>528.49599999999998</v>
      </c>
      <c r="I5604" s="929">
        <v>924.86799999999994</v>
      </c>
      <c r="J5604" s="689">
        <f t="shared" si="88"/>
        <v>4360.0920000000006</v>
      </c>
    </row>
    <row r="5605" spans="1:10" ht="12.75" customHeight="1" x14ac:dyDescent="0.2">
      <c r="A5605" s="681">
        <v>1241</v>
      </c>
      <c r="B5605" s="693">
        <v>5112690004</v>
      </c>
      <c r="C5605" s="672" t="s">
        <v>8274</v>
      </c>
      <c r="D5605" s="809" t="s">
        <v>8227</v>
      </c>
      <c r="E5605" s="674">
        <v>10</v>
      </c>
      <c r="F5605" s="675">
        <v>0.1</v>
      </c>
      <c r="G5605" s="676">
        <v>5284.96</v>
      </c>
      <c r="H5605" s="929">
        <v>528.49599999999998</v>
      </c>
      <c r="I5605" s="929">
        <v>924.86799999999994</v>
      </c>
      <c r="J5605" s="689">
        <f t="shared" si="88"/>
        <v>4360.0920000000006</v>
      </c>
    </row>
    <row r="5606" spans="1:10" ht="12.75" customHeight="1" x14ac:dyDescent="0.2">
      <c r="A5606" s="681">
        <v>1241</v>
      </c>
      <c r="B5606" s="693">
        <v>5112690005</v>
      </c>
      <c r="C5606" s="672" t="s">
        <v>8274</v>
      </c>
      <c r="D5606" s="809" t="s">
        <v>8227</v>
      </c>
      <c r="E5606" s="674">
        <v>10</v>
      </c>
      <c r="F5606" s="675">
        <v>0.1</v>
      </c>
      <c r="G5606" s="676">
        <v>5284.96</v>
      </c>
      <c r="H5606" s="929">
        <v>528.49599999999998</v>
      </c>
      <c r="I5606" s="929">
        <v>924.86799999999994</v>
      </c>
      <c r="J5606" s="689">
        <f t="shared" si="88"/>
        <v>4360.0920000000006</v>
      </c>
    </row>
    <row r="5607" spans="1:10" ht="12.75" customHeight="1" x14ac:dyDescent="0.2">
      <c r="A5607" s="681">
        <v>1241</v>
      </c>
      <c r="B5607" s="693">
        <v>5110600001</v>
      </c>
      <c r="C5607" s="672" t="s">
        <v>8275</v>
      </c>
      <c r="D5607" s="809" t="s">
        <v>8227</v>
      </c>
      <c r="E5607" s="674">
        <v>10</v>
      </c>
      <c r="F5607" s="675">
        <v>0.1</v>
      </c>
      <c r="G5607" s="676">
        <v>7162.9999999999991</v>
      </c>
      <c r="H5607" s="929">
        <v>716.29999999999973</v>
      </c>
      <c r="I5607" s="929">
        <v>1253.5249999999996</v>
      </c>
      <c r="J5607" s="689">
        <f t="shared" si="88"/>
        <v>5909.4749999999995</v>
      </c>
    </row>
    <row r="5608" spans="1:10" ht="12.75" customHeight="1" x14ac:dyDescent="0.2">
      <c r="A5608" s="681">
        <v>1241</v>
      </c>
      <c r="B5608" s="693">
        <v>5112200009</v>
      </c>
      <c r="C5608" s="672" t="s">
        <v>8276</v>
      </c>
      <c r="D5608" s="809" t="s">
        <v>8227</v>
      </c>
      <c r="E5608" s="674">
        <v>10</v>
      </c>
      <c r="F5608" s="675">
        <v>0.1</v>
      </c>
      <c r="G5608" s="676">
        <v>12760</v>
      </c>
      <c r="H5608" s="929">
        <v>1276</v>
      </c>
      <c r="I5608" s="929">
        <v>2233</v>
      </c>
      <c r="J5608" s="689">
        <f t="shared" si="88"/>
        <v>10527</v>
      </c>
    </row>
    <row r="5609" spans="1:10" ht="12.75" customHeight="1" x14ac:dyDescent="0.2">
      <c r="A5609" s="681">
        <v>1241</v>
      </c>
      <c r="B5609" s="693">
        <v>5110980012</v>
      </c>
      <c r="C5609" s="672" t="s">
        <v>8262</v>
      </c>
      <c r="D5609" s="809" t="s">
        <v>8227</v>
      </c>
      <c r="E5609" s="674">
        <v>10</v>
      </c>
      <c r="F5609" s="675">
        <v>0.1</v>
      </c>
      <c r="G5609" s="676">
        <v>2155.2799999999997</v>
      </c>
      <c r="H5609" s="929">
        <v>215.52799999999999</v>
      </c>
      <c r="I5609" s="929">
        <v>377.17399999999998</v>
      </c>
      <c r="J5609" s="689">
        <f t="shared" si="88"/>
        <v>1778.1059999999998</v>
      </c>
    </row>
    <row r="5610" spans="1:10" ht="12.75" customHeight="1" x14ac:dyDescent="0.2">
      <c r="A5610" s="681">
        <v>1241</v>
      </c>
      <c r="B5610" s="693">
        <v>5110940011</v>
      </c>
      <c r="C5610" s="672" t="s">
        <v>8263</v>
      </c>
      <c r="D5610" s="809" t="s">
        <v>8227</v>
      </c>
      <c r="E5610" s="674">
        <v>10</v>
      </c>
      <c r="F5610" s="675">
        <v>0.1</v>
      </c>
      <c r="G5610" s="676">
        <v>644.95999999999992</v>
      </c>
      <c r="H5610" s="929">
        <v>64.496000000000009</v>
      </c>
      <c r="I5610" s="929">
        <v>112.86800000000001</v>
      </c>
      <c r="J5610" s="689">
        <f t="shared" si="88"/>
        <v>532.09199999999987</v>
      </c>
    </row>
    <row r="5611" spans="1:10" ht="12.75" customHeight="1" x14ac:dyDescent="0.2">
      <c r="A5611" s="681">
        <v>1241</v>
      </c>
      <c r="B5611" s="693">
        <v>5110940012</v>
      </c>
      <c r="C5611" s="672" t="s">
        <v>8263</v>
      </c>
      <c r="D5611" s="809" t="s">
        <v>8227</v>
      </c>
      <c r="E5611" s="674">
        <v>10</v>
      </c>
      <c r="F5611" s="675">
        <v>0.1</v>
      </c>
      <c r="G5611" s="676">
        <v>644.95999999999992</v>
      </c>
      <c r="H5611" s="929">
        <v>64.496000000000009</v>
      </c>
      <c r="I5611" s="929">
        <v>112.86800000000001</v>
      </c>
      <c r="J5611" s="689">
        <f t="shared" si="88"/>
        <v>532.09199999999987</v>
      </c>
    </row>
    <row r="5612" spans="1:10" ht="12.75" customHeight="1" x14ac:dyDescent="0.2">
      <c r="A5612" s="681">
        <v>1241</v>
      </c>
      <c r="B5612" s="693">
        <v>5110230059</v>
      </c>
      <c r="C5612" s="672" t="s">
        <v>8277</v>
      </c>
      <c r="D5612" s="809" t="s">
        <v>8227</v>
      </c>
      <c r="E5612" s="674">
        <v>10</v>
      </c>
      <c r="F5612" s="675">
        <v>0.1</v>
      </c>
      <c r="G5612" s="676">
        <v>4033.3199999999997</v>
      </c>
      <c r="H5612" s="929">
        <v>403.33199999999994</v>
      </c>
      <c r="I5612" s="929">
        <v>705.8309999999999</v>
      </c>
      <c r="J5612" s="689">
        <f t="shared" si="88"/>
        <v>3327.4889999999996</v>
      </c>
    </row>
    <row r="5613" spans="1:10" ht="12.75" customHeight="1" x14ac:dyDescent="0.2">
      <c r="A5613" s="681">
        <v>1241</v>
      </c>
      <c r="B5613" s="693">
        <v>5110230060</v>
      </c>
      <c r="C5613" s="672" t="s">
        <v>8277</v>
      </c>
      <c r="D5613" s="809" t="s">
        <v>8227</v>
      </c>
      <c r="E5613" s="674">
        <v>10</v>
      </c>
      <c r="F5613" s="675">
        <v>0.1</v>
      </c>
      <c r="G5613" s="676">
        <v>4033.3199999999997</v>
      </c>
      <c r="H5613" s="929">
        <v>403.33199999999994</v>
      </c>
      <c r="I5613" s="929">
        <v>705.8309999999999</v>
      </c>
      <c r="J5613" s="689">
        <f t="shared" si="88"/>
        <v>3327.4889999999996</v>
      </c>
    </row>
    <row r="5614" spans="1:10" ht="12.75" customHeight="1" x14ac:dyDescent="0.2">
      <c r="A5614" s="681">
        <v>1241</v>
      </c>
      <c r="B5614" s="693">
        <v>5112170004</v>
      </c>
      <c r="C5614" s="672" t="s">
        <v>8278</v>
      </c>
      <c r="D5614" s="809" t="s">
        <v>8227</v>
      </c>
      <c r="E5614" s="674">
        <v>10</v>
      </c>
      <c r="F5614" s="675">
        <v>0.1</v>
      </c>
      <c r="G5614" s="676">
        <v>8864.7199999999993</v>
      </c>
      <c r="H5614" s="929">
        <v>886.47199999999987</v>
      </c>
      <c r="I5614" s="929">
        <v>1551.3259999999998</v>
      </c>
      <c r="J5614" s="689">
        <f t="shared" si="88"/>
        <v>7313.3939999999993</v>
      </c>
    </row>
    <row r="5615" spans="1:10" ht="12.75" customHeight="1" x14ac:dyDescent="0.2">
      <c r="A5615" s="681">
        <v>1241</v>
      </c>
      <c r="B5615" s="693">
        <v>5112670026</v>
      </c>
      <c r="C5615" s="672" t="s">
        <v>8279</v>
      </c>
      <c r="D5615" s="809" t="s">
        <v>8227</v>
      </c>
      <c r="E5615" s="674">
        <v>10</v>
      </c>
      <c r="F5615" s="675">
        <v>0.1</v>
      </c>
      <c r="G5615" s="676">
        <v>1497.5599999999997</v>
      </c>
      <c r="H5615" s="929">
        <v>149.75599999999997</v>
      </c>
      <c r="I5615" s="929">
        <v>262.07299999999992</v>
      </c>
      <c r="J5615" s="689">
        <f t="shared" si="88"/>
        <v>1235.4869999999999</v>
      </c>
    </row>
    <row r="5616" spans="1:10" ht="12.75" customHeight="1" x14ac:dyDescent="0.2">
      <c r="A5616" s="681">
        <v>1241</v>
      </c>
      <c r="B5616" s="693">
        <v>5112670027</v>
      </c>
      <c r="C5616" s="672" t="s">
        <v>8279</v>
      </c>
      <c r="D5616" s="809" t="s">
        <v>8227</v>
      </c>
      <c r="E5616" s="674">
        <v>10</v>
      </c>
      <c r="F5616" s="675">
        <v>0.1</v>
      </c>
      <c r="G5616" s="676">
        <v>1497.5599999999997</v>
      </c>
      <c r="H5616" s="929">
        <v>149.75599999999997</v>
      </c>
      <c r="I5616" s="929">
        <v>262.07299999999992</v>
      </c>
      <c r="J5616" s="689">
        <f t="shared" si="88"/>
        <v>1235.4869999999999</v>
      </c>
    </row>
    <row r="5617" spans="1:10" ht="12.75" customHeight="1" x14ac:dyDescent="0.2">
      <c r="A5617" s="681">
        <v>1241</v>
      </c>
      <c r="B5617" s="693">
        <v>5112670028</v>
      </c>
      <c r="C5617" s="672" t="s">
        <v>8279</v>
      </c>
      <c r="D5617" s="809" t="s">
        <v>8227</v>
      </c>
      <c r="E5617" s="674">
        <v>10</v>
      </c>
      <c r="F5617" s="675">
        <v>0.1</v>
      </c>
      <c r="G5617" s="676">
        <v>1497.5599999999997</v>
      </c>
      <c r="H5617" s="929">
        <v>149.75599999999997</v>
      </c>
      <c r="I5617" s="929">
        <v>262.07299999999992</v>
      </c>
      <c r="J5617" s="689">
        <f t="shared" si="88"/>
        <v>1235.4869999999999</v>
      </c>
    </row>
    <row r="5618" spans="1:10" ht="12.75" customHeight="1" x14ac:dyDescent="0.2">
      <c r="A5618" s="681">
        <v>1241</v>
      </c>
      <c r="B5618" s="693">
        <v>5112230006</v>
      </c>
      <c r="C5618" s="672" t="s">
        <v>8280</v>
      </c>
      <c r="D5618" s="809" t="s">
        <v>8227</v>
      </c>
      <c r="E5618" s="674">
        <v>10</v>
      </c>
      <c r="F5618" s="675">
        <v>0.1</v>
      </c>
      <c r="G5618" s="676">
        <v>4475.28</v>
      </c>
      <c r="H5618" s="929">
        <v>447.52799999999985</v>
      </c>
      <c r="I5618" s="929">
        <v>783.17399999999975</v>
      </c>
      <c r="J5618" s="689">
        <f t="shared" si="88"/>
        <v>3692.1059999999998</v>
      </c>
    </row>
    <row r="5619" spans="1:10" ht="12.75" customHeight="1" x14ac:dyDescent="0.2">
      <c r="A5619" s="681">
        <v>1241</v>
      </c>
      <c r="B5619" s="693">
        <v>5112670029</v>
      </c>
      <c r="C5619" s="672" t="s">
        <v>8281</v>
      </c>
      <c r="D5619" s="809" t="s">
        <v>8227</v>
      </c>
      <c r="E5619" s="674">
        <v>10</v>
      </c>
      <c r="F5619" s="675">
        <v>0.1</v>
      </c>
      <c r="G5619" s="676">
        <v>1497.56</v>
      </c>
      <c r="H5619" s="929">
        <v>149.75600000000003</v>
      </c>
      <c r="I5619" s="929">
        <v>262.07300000000004</v>
      </c>
      <c r="J5619" s="689">
        <f t="shared" si="88"/>
        <v>1235.4869999999999</v>
      </c>
    </row>
    <row r="5620" spans="1:10" ht="12.75" customHeight="1" x14ac:dyDescent="0.2">
      <c r="A5620" s="681">
        <v>1241</v>
      </c>
      <c r="B5620" s="693">
        <v>5110940021</v>
      </c>
      <c r="C5620" s="672" t="s">
        <v>8263</v>
      </c>
      <c r="D5620" s="809" t="s">
        <v>8227</v>
      </c>
      <c r="E5620" s="674">
        <v>10</v>
      </c>
      <c r="F5620" s="675">
        <v>0.1</v>
      </c>
      <c r="G5620" s="676">
        <v>644.95999999999992</v>
      </c>
      <c r="H5620" s="929">
        <v>64.496000000000009</v>
      </c>
      <c r="I5620" s="929">
        <v>112.86800000000001</v>
      </c>
      <c r="J5620" s="689">
        <f t="shared" si="88"/>
        <v>532.09199999999987</v>
      </c>
    </row>
    <row r="5621" spans="1:10" ht="12.75" customHeight="1" x14ac:dyDescent="0.2">
      <c r="A5621" s="681">
        <v>1241</v>
      </c>
      <c r="B5621" s="693">
        <v>5110940022</v>
      </c>
      <c r="C5621" s="672" t="s">
        <v>8263</v>
      </c>
      <c r="D5621" s="809" t="s">
        <v>8227</v>
      </c>
      <c r="E5621" s="674">
        <v>10</v>
      </c>
      <c r="F5621" s="675">
        <v>0.1</v>
      </c>
      <c r="G5621" s="676">
        <v>644.95999999999992</v>
      </c>
      <c r="H5621" s="929">
        <v>64.496000000000009</v>
      </c>
      <c r="I5621" s="929">
        <v>112.86800000000001</v>
      </c>
      <c r="J5621" s="689">
        <f t="shared" si="88"/>
        <v>532.09199999999987</v>
      </c>
    </row>
    <row r="5622" spans="1:10" ht="12.75" customHeight="1" x14ac:dyDescent="0.2">
      <c r="A5622" s="681">
        <v>1241</v>
      </c>
      <c r="B5622" s="693">
        <v>5112200009</v>
      </c>
      <c r="C5622" s="672" t="s">
        <v>8276</v>
      </c>
      <c r="D5622" s="809" t="s">
        <v>8227</v>
      </c>
      <c r="E5622" s="674">
        <v>10</v>
      </c>
      <c r="F5622" s="675">
        <v>0.1</v>
      </c>
      <c r="G5622" s="676">
        <v>12760</v>
      </c>
      <c r="H5622" s="929">
        <v>1276</v>
      </c>
      <c r="I5622" s="929">
        <v>2233</v>
      </c>
      <c r="J5622" s="689">
        <f t="shared" si="88"/>
        <v>10527</v>
      </c>
    </row>
    <row r="5623" spans="1:10" ht="12.75" customHeight="1" x14ac:dyDescent="0.2">
      <c r="A5623" s="681">
        <v>1241</v>
      </c>
      <c r="B5623" s="693">
        <v>5110980013</v>
      </c>
      <c r="C5623" s="672" t="s">
        <v>8262</v>
      </c>
      <c r="D5623" s="809" t="s">
        <v>8227</v>
      </c>
      <c r="E5623" s="674">
        <v>10</v>
      </c>
      <c r="F5623" s="675">
        <v>0.1</v>
      </c>
      <c r="G5623" s="676">
        <v>2155.2799999999997</v>
      </c>
      <c r="H5623" s="929">
        <v>215.52799999999999</v>
      </c>
      <c r="I5623" s="929">
        <v>377.17399999999998</v>
      </c>
      <c r="J5623" s="689">
        <f t="shared" si="88"/>
        <v>1778.1059999999998</v>
      </c>
    </row>
    <row r="5624" spans="1:10" ht="12.75" customHeight="1" x14ac:dyDescent="0.2">
      <c r="A5624" s="681">
        <v>1241</v>
      </c>
      <c r="B5624" s="693">
        <v>5110940019</v>
      </c>
      <c r="C5624" s="672" t="s">
        <v>8263</v>
      </c>
      <c r="D5624" s="809" t="s">
        <v>8227</v>
      </c>
      <c r="E5624" s="674">
        <v>10</v>
      </c>
      <c r="F5624" s="675">
        <v>0.1</v>
      </c>
      <c r="G5624" s="676">
        <v>644.95999999999992</v>
      </c>
      <c r="H5624" s="929">
        <v>64.496000000000009</v>
      </c>
      <c r="I5624" s="929">
        <v>112.86800000000001</v>
      </c>
      <c r="J5624" s="689">
        <f t="shared" si="88"/>
        <v>532.09199999999987</v>
      </c>
    </row>
    <row r="5625" spans="1:10" ht="12.75" customHeight="1" x14ac:dyDescent="0.2">
      <c r="A5625" s="681">
        <v>1241</v>
      </c>
      <c r="B5625" s="693">
        <v>5110940020</v>
      </c>
      <c r="C5625" s="672" t="s">
        <v>8263</v>
      </c>
      <c r="D5625" s="809" t="s">
        <v>8227</v>
      </c>
      <c r="E5625" s="674">
        <v>10</v>
      </c>
      <c r="F5625" s="675">
        <v>0.1</v>
      </c>
      <c r="G5625" s="676">
        <v>644.95999999999992</v>
      </c>
      <c r="H5625" s="929">
        <v>64.496000000000009</v>
      </c>
      <c r="I5625" s="929">
        <v>112.86800000000001</v>
      </c>
      <c r="J5625" s="689">
        <f t="shared" si="88"/>
        <v>532.09199999999987</v>
      </c>
    </row>
    <row r="5626" spans="1:10" ht="12.75" customHeight="1" x14ac:dyDescent="0.2">
      <c r="A5626" s="681">
        <v>1241</v>
      </c>
      <c r="B5626" s="693">
        <v>5110970002</v>
      </c>
      <c r="C5626" s="672" t="s">
        <v>8282</v>
      </c>
      <c r="D5626" s="809" t="s">
        <v>8227</v>
      </c>
      <c r="E5626" s="674">
        <v>10</v>
      </c>
      <c r="F5626" s="675">
        <v>0.1</v>
      </c>
      <c r="G5626" s="676">
        <v>2996.2799999999997</v>
      </c>
      <c r="H5626" s="929">
        <v>299.62799999999999</v>
      </c>
      <c r="I5626" s="929">
        <v>524.34899999999993</v>
      </c>
      <c r="J5626" s="689">
        <f t="shared" si="88"/>
        <v>2471.9309999999996</v>
      </c>
    </row>
    <row r="5627" spans="1:10" ht="12.75" customHeight="1" x14ac:dyDescent="0.2">
      <c r="A5627" s="681">
        <v>1241</v>
      </c>
      <c r="B5627" s="693">
        <v>5110480003</v>
      </c>
      <c r="C5627" s="672" t="s">
        <v>8283</v>
      </c>
      <c r="D5627" s="809" t="s">
        <v>8227</v>
      </c>
      <c r="E5627" s="674">
        <v>10</v>
      </c>
      <c r="F5627" s="675">
        <v>0.1</v>
      </c>
      <c r="G5627" s="676">
        <v>6260.5199999999995</v>
      </c>
      <c r="H5627" s="929">
        <v>626.05199999999991</v>
      </c>
      <c r="I5627" s="929">
        <v>1095.5909999999999</v>
      </c>
      <c r="J5627" s="689">
        <f t="shared" si="88"/>
        <v>5164.9290000000001</v>
      </c>
    </row>
    <row r="5628" spans="1:10" ht="12.75" customHeight="1" x14ac:dyDescent="0.2">
      <c r="A5628" s="681">
        <v>1241</v>
      </c>
      <c r="B5628" s="693">
        <v>5110480004</v>
      </c>
      <c r="C5628" s="672" t="s">
        <v>8283</v>
      </c>
      <c r="D5628" s="809" t="s">
        <v>8227</v>
      </c>
      <c r="E5628" s="674">
        <v>10</v>
      </c>
      <c r="F5628" s="675">
        <v>0.1</v>
      </c>
      <c r="G5628" s="676">
        <v>6260.5199999999995</v>
      </c>
      <c r="H5628" s="929">
        <v>626.05199999999991</v>
      </c>
      <c r="I5628" s="929">
        <v>1095.5909999999999</v>
      </c>
      <c r="J5628" s="689">
        <f t="shared" si="88"/>
        <v>5164.9290000000001</v>
      </c>
    </row>
    <row r="5629" spans="1:10" ht="12.75" customHeight="1" x14ac:dyDescent="0.2">
      <c r="A5629" s="681">
        <v>1241</v>
      </c>
      <c r="B5629" s="693">
        <v>5112230004</v>
      </c>
      <c r="C5629" s="672" t="s">
        <v>8265</v>
      </c>
      <c r="D5629" s="809" t="s">
        <v>8227</v>
      </c>
      <c r="E5629" s="674">
        <v>10</v>
      </c>
      <c r="F5629" s="675">
        <v>0.1</v>
      </c>
      <c r="G5629" s="676">
        <v>4475.28</v>
      </c>
      <c r="H5629" s="929">
        <v>447.52799999999985</v>
      </c>
      <c r="I5629" s="929">
        <v>783.17399999999975</v>
      </c>
      <c r="J5629" s="689">
        <f t="shared" si="88"/>
        <v>3692.1059999999998</v>
      </c>
    </row>
    <row r="5630" spans="1:10" ht="12.75" customHeight="1" x14ac:dyDescent="0.2">
      <c r="A5630" s="681">
        <v>1241</v>
      </c>
      <c r="B5630" s="693">
        <v>5112670023</v>
      </c>
      <c r="C5630" s="672" t="s">
        <v>8281</v>
      </c>
      <c r="D5630" s="809" t="s">
        <v>8227</v>
      </c>
      <c r="E5630" s="674">
        <v>10</v>
      </c>
      <c r="F5630" s="675">
        <v>0.1</v>
      </c>
      <c r="G5630" s="676">
        <v>1497.56</v>
      </c>
      <c r="H5630" s="929">
        <v>149.75600000000003</v>
      </c>
      <c r="I5630" s="929">
        <v>262.07300000000004</v>
      </c>
      <c r="J5630" s="689">
        <f t="shared" si="88"/>
        <v>1235.4869999999999</v>
      </c>
    </row>
    <row r="5631" spans="1:10" ht="12.75" customHeight="1" x14ac:dyDescent="0.2">
      <c r="A5631" s="681">
        <v>1241</v>
      </c>
      <c r="B5631" s="693">
        <v>5110940013</v>
      </c>
      <c r="C5631" s="672" t="s">
        <v>8263</v>
      </c>
      <c r="D5631" s="809" t="s">
        <v>8227</v>
      </c>
      <c r="E5631" s="674">
        <v>10</v>
      </c>
      <c r="F5631" s="675">
        <v>0.1</v>
      </c>
      <c r="G5631" s="676">
        <v>644.95999999999992</v>
      </c>
      <c r="H5631" s="929">
        <v>64.496000000000009</v>
      </c>
      <c r="I5631" s="929">
        <v>112.86800000000001</v>
      </c>
      <c r="J5631" s="689">
        <f t="shared" si="88"/>
        <v>532.09199999999987</v>
      </c>
    </row>
    <row r="5632" spans="1:10" ht="12.75" customHeight="1" x14ac:dyDescent="0.2">
      <c r="A5632" s="681">
        <v>1241</v>
      </c>
      <c r="B5632" s="693">
        <v>5110940014</v>
      </c>
      <c r="C5632" s="672" t="s">
        <v>8263</v>
      </c>
      <c r="D5632" s="809" t="s">
        <v>8227</v>
      </c>
      <c r="E5632" s="674">
        <v>10</v>
      </c>
      <c r="F5632" s="675">
        <v>0.1</v>
      </c>
      <c r="G5632" s="676">
        <v>644.95999999999992</v>
      </c>
      <c r="H5632" s="929">
        <v>64.496000000000009</v>
      </c>
      <c r="I5632" s="929">
        <v>112.86800000000001</v>
      </c>
      <c r="J5632" s="689">
        <f t="shared" ref="J5632:J5695" si="89">G5632-I5632</f>
        <v>532.09199999999987</v>
      </c>
    </row>
    <row r="5633" spans="1:10" ht="12.75" customHeight="1" x14ac:dyDescent="0.2">
      <c r="A5633" s="681">
        <v>1241</v>
      </c>
      <c r="B5633" s="693">
        <v>5112170003</v>
      </c>
      <c r="C5633" s="672" t="s">
        <v>8284</v>
      </c>
      <c r="D5633" s="809" t="s">
        <v>8227</v>
      </c>
      <c r="E5633" s="674">
        <v>10</v>
      </c>
      <c r="F5633" s="675">
        <v>0.1</v>
      </c>
      <c r="G5633" s="676">
        <v>16847.84</v>
      </c>
      <c r="H5633" s="929">
        <v>1684.7840000000003</v>
      </c>
      <c r="I5633" s="929">
        <v>2948.3720000000003</v>
      </c>
      <c r="J5633" s="689">
        <f t="shared" si="89"/>
        <v>13899.468000000001</v>
      </c>
    </row>
    <row r="5634" spans="1:10" ht="12.75" customHeight="1" x14ac:dyDescent="0.2">
      <c r="A5634" s="681">
        <v>1241</v>
      </c>
      <c r="B5634" s="693">
        <v>5112670018</v>
      </c>
      <c r="C5634" s="672" t="s">
        <v>8281</v>
      </c>
      <c r="D5634" s="809" t="s">
        <v>8227</v>
      </c>
      <c r="E5634" s="674">
        <v>10</v>
      </c>
      <c r="F5634" s="675">
        <v>0.1</v>
      </c>
      <c r="G5634" s="676">
        <v>1497.56</v>
      </c>
      <c r="H5634" s="929">
        <v>149.75600000000003</v>
      </c>
      <c r="I5634" s="929">
        <v>262.07300000000004</v>
      </c>
      <c r="J5634" s="689">
        <f t="shared" si="89"/>
        <v>1235.4869999999999</v>
      </c>
    </row>
    <row r="5635" spans="1:10" ht="12.75" customHeight="1" x14ac:dyDescent="0.2">
      <c r="A5635" s="681">
        <v>1241</v>
      </c>
      <c r="B5635" s="693">
        <v>5110940005</v>
      </c>
      <c r="C5635" s="672" t="s">
        <v>8263</v>
      </c>
      <c r="D5635" s="809" t="s">
        <v>8227</v>
      </c>
      <c r="E5635" s="674">
        <v>10</v>
      </c>
      <c r="F5635" s="675">
        <v>0.1</v>
      </c>
      <c r="G5635" s="676">
        <v>644.95999999999992</v>
      </c>
      <c r="H5635" s="929">
        <v>64.496000000000009</v>
      </c>
      <c r="I5635" s="929">
        <v>112.86800000000001</v>
      </c>
      <c r="J5635" s="689">
        <f t="shared" si="89"/>
        <v>532.09199999999987</v>
      </c>
    </row>
    <row r="5636" spans="1:10" ht="12.75" customHeight="1" x14ac:dyDescent="0.2">
      <c r="A5636" s="681">
        <v>1241</v>
      </c>
      <c r="B5636" s="693">
        <v>5110940006</v>
      </c>
      <c r="C5636" s="672" t="s">
        <v>8263</v>
      </c>
      <c r="D5636" s="809" t="s">
        <v>8227</v>
      </c>
      <c r="E5636" s="674">
        <v>10</v>
      </c>
      <c r="F5636" s="675">
        <v>0.1</v>
      </c>
      <c r="G5636" s="676">
        <v>644.95999999999992</v>
      </c>
      <c r="H5636" s="929">
        <v>64.496000000000009</v>
      </c>
      <c r="I5636" s="929">
        <v>112.86800000000001</v>
      </c>
      <c r="J5636" s="689">
        <f t="shared" si="89"/>
        <v>532.09199999999987</v>
      </c>
    </row>
    <row r="5637" spans="1:10" ht="12.75" customHeight="1" x14ac:dyDescent="0.2">
      <c r="A5637" s="681">
        <v>1241</v>
      </c>
      <c r="B5637" s="693">
        <v>5110940007</v>
      </c>
      <c r="C5637" s="672" t="s">
        <v>8263</v>
      </c>
      <c r="D5637" s="809" t="s">
        <v>8227</v>
      </c>
      <c r="E5637" s="674">
        <v>10</v>
      </c>
      <c r="F5637" s="675">
        <v>0.1</v>
      </c>
      <c r="G5637" s="676">
        <v>644.95999999999992</v>
      </c>
      <c r="H5637" s="929">
        <v>64.496000000000009</v>
      </c>
      <c r="I5637" s="929">
        <v>112.86800000000001</v>
      </c>
      <c r="J5637" s="689">
        <f t="shared" si="89"/>
        <v>532.09199999999987</v>
      </c>
    </row>
    <row r="5638" spans="1:10" ht="12.75" customHeight="1" x14ac:dyDescent="0.2">
      <c r="A5638" s="681">
        <v>1241</v>
      </c>
      <c r="B5638" s="693">
        <v>5110940008</v>
      </c>
      <c r="C5638" s="672" t="s">
        <v>8263</v>
      </c>
      <c r="D5638" s="809" t="s">
        <v>8227</v>
      </c>
      <c r="E5638" s="674">
        <v>10</v>
      </c>
      <c r="F5638" s="675">
        <v>0.1</v>
      </c>
      <c r="G5638" s="676">
        <v>644.95999999999992</v>
      </c>
      <c r="H5638" s="929">
        <v>64.496000000000009</v>
      </c>
      <c r="I5638" s="929">
        <v>112.86800000000001</v>
      </c>
      <c r="J5638" s="689">
        <f t="shared" si="89"/>
        <v>532.09199999999987</v>
      </c>
    </row>
    <row r="5639" spans="1:10" ht="12.75" customHeight="1" x14ac:dyDescent="0.2">
      <c r="A5639" s="681">
        <v>1241</v>
      </c>
      <c r="B5639" s="693">
        <v>5110940010</v>
      </c>
      <c r="C5639" s="672" t="s">
        <v>8263</v>
      </c>
      <c r="D5639" s="809" t="s">
        <v>8227</v>
      </c>
      <c r="E5639" s="674">
        <v>10</v>
      </c>
      <c r="F5639" s="675">
        <v>0.1</v>
      </c>
      <c r="G5639" s="676">
        <v>644.95999999999992</v>
      </c>
      <c r="H5639" s="929">
        <v>64.496000000000009</v>
      </c>
      <c r="I5639" s="929">
        <v>112.86800000000001</v>
      </c>
      <c r="J5639" s="689">
        <f t="shared" si="89"/>
        <v>532.09199999999987</v>
      </c>
    </row>
    <row r="5640" spans="1:10" ht="12.75" customHeight="1" x14ac:dyDescent="0.2">
      <c r="A5640" s="681">
        <v>1241</v>
      </c>
      <c r="B5640" s="693">
        <v>5110230061</v>
      </c>
      <c r="C5640" s="672" t="s">
        <v>8277</v>
      </c>
      <c r="D5640" s="809" t="s">
        <v>8227</v>
      </c>
      <c r="E5640" s="674">
        <v>10</v>
      </c>
      <c r="F5640" s="675">
        <v>0.1</v>
      </c>
      <c r="G5640" s="676">
        <v>4033.3199999999997</v>
      </c>
      <c r="H5640" s="929">
        <v>403.33199999999994</v>
      </c>
      <c r="I5640" s="929">
        <v>705.8309999999999</v>
      </c>
      <c r="J5640" s="689">
        <f t="shared" si="89"/>
        <v>3327.4889999999996</v>
      </c>
    </row>
    <row r="5641" spans="1:10" ht="12.75" customHeight="1" x14ac:dyDescent="0.2">
      <c r="A5641" s="681">
        <v>1241</v>
      </c>
      <c r="B5641" s="693">
        <v>5110230062</v>
      </c>
      <c r="C5641" s="672" t="s">
        <v>8277</v>
      </c>
      <c r="D5641" s="809" t="s">
        <v>8227</v>
      </c>
      <c r="E5641" s="674">
        <v>10</v>
      </c>
      <c r="F5641" s="675">
        <v>0.1</v>
      </c>
      <c r="G5641" s="676">
        <v>4033.3199999999997</v>
      </c>
      <c r="H5641" s="929">
        <v>403.33199999999994</v>
      </c>
      <c r="I5641" s="929">
        <v>705.8309999999999</v>
      </c>
      <c r="J5641" s="689">
        <f t="shared" si="89"/>
        <v>3327.4889999999996</v>
      </c>
    </row>
    <row r="5642" spans="1:10" ht="12.75" customHeight="1" x14ac:dyDescent="0.2">
      <c r="A5642" s="681">
        <v>1241</v>
      </c>
      <c r="B5642" s="693">
        <v>5110230063</v>
      </c>
      <c r="C5642" s="672" t="s">
        <v>8277</v>
      </c>
      <c r="D5642" s="809" t="s">
        <v>8227</v>
      </c>
      <c r="E5642" s="674">
        <v>10</v>
      </c>
      <c r="F5642" s="675">
        <v>0.1</v>
      </c>
      <c r="G5642" s="676">
        <v>4033.3199999999997</v>
      </c>
      <c r="H5642" s="929">
        <v>403.33199999999994</v>
      </c>
      <c r="I5642" s="929">
        <v>705.8309999999999</v>
      </c>
      <c r="J5642" s="689">
        <f t="shared" si="89"/>
        <v>3327.4889999999996</v>
      </c>
    </row>
    <row r="5643" spans="1:10" ht="12.75" customHeight="1" x14ac:dyDescent="0.2">
      <c r="A5643" s="681">
        <v>1241</v>
      </c>
      <c r="B5643" s="693">
        <v>5110920002</v>
      </c>
      <c r="C5643" s="672" t="s">
        <v>8285</v>
      </c>
      <c r="D5643" s="809" t="s">
        <v>8227</v>
      </c>
      <c r="E5643" s="674">
        <v>10</v>
      </c>
      <c r="F5643" s="675">
        <v>0.1</v>
      </c>
      <c r="G5643" s="676">
        <v>3167.9599999999996</v>
      </c>
      <c r="H5643" s="929">
        <v>316.79599999999994</v>
      </c>
      <c r="I5643" s="929">
        <v>554.39299999999992</v>
      </c>
      <c r="J5643" s="689">
        <f t="shared" si="89"/>
        <v>2613.5669999999996</v>
      </c>
    </row>
    <row r="5644" spans="1:10" ht="12.75" customHeight="1" x14ac:dyDescent="0.2">
      <c r="A5644" s="681">
        <v>1241</v>
      </c>
      <c r="B5644" s="693">
        <v>5110920003</v>
      </c>
      <c r="C5644" s="672" t="s">
        <v>8285</v>
      </c>
      <c r="D5644" s="809" t="s">
        <v>8227</v>
      </c>
      <c r="E5644" s="674">
        <v>10</v>
      </c>
      <c r="F5644" s="675">
        <v>0.1</v>
      </c>
      <c r="G5644" s="676">
        <v>3167.9599999999996</v>
      </c>
      <c r="H5644" s="929">
        <v>316.79599999999994</v>
      </c>
      <c r="I5644" s="929">
        <v>554.39299999999992</v>
      </c>
      <c r="J5644" s="689">
        <f t="shared" si="89"/>
        <v>2613.5669999999996</v>
      </c>
    </row>
    <row r="5645" spans="1:10" ht="12.75" customHeight="1" x14ac:dyDescent="0.2">
      <c r="A5645" s="681">
        <v>1241</v>
      </c>
      <c r="B5645" s="693">
        <v>5110920004</v>
      </c>
      <c r="C5645" s="672" t="s">
        <v>8285</v>
      </c>
      <c r="D5645" s="809" t="s">
        <v>8227</v>
      </c>
      <c r="E5645" s="674">
        <v>10</v>
      </c>
      <c r="F5645" s="675">
        <v>0.1</v>
      </c>
      <c r="G5645" s="676">
        <v>3167.9599999999996</v>
      </c>
      <c r="H5645" s="929">
        <v>316.79599999999994</v>
      </c>
      <c r="I5645" s="929">
        <v>554.39299999999992</v>
      </c>
      <c r="J5645" s="689">
        <f t="shared" si="89"/>
        <v>2613.5669999999996</v>
      </c>
    </row>
    <row r="5646" spans="1:10" ht="12.75" customHeight="1" x14ac:dyDescent="0.2">
      <c r="A5646" s="681">
        <v>1241</v>
      </c>
      <c r="B5646" s="693">
        <v>5110920005</v>
      </c>
      <c r="C5646" s="672" t="s">
        <v>8285</v>
      </c>
      <c r="D5646" s="809" t="s">
        <v>8227</v>
      </c>
      <c r="E5646" s="674">
        <v>10</v>
      </c>
      <c r="F5646" s="675">
        <v>0.1</v>
      </c>
      <c r="G5646" s="676">
        <v>3167.9599999999996</v>
      </c>
      <c r="H5646" s="929">
        <v>316.79599999999994</v>
      </c>
      <c r="I5646" s="929">
        <v>554.39299999999992</v>
      </c>
      <c r="J5646" s="689">
        <f t="shared" si="89"/>
        <v>2613.5669999999996</v>
      </c>
    </row>
    <row r="5647" spans="1:10" ht="12.75" customHeight="1" x14ac:dyDescent="0.2">
      <c r="A5647" s="681">
        <v>1241</v>
      </c>
      <c r="B5647" s="693">
        <v>5110980002</v>
      </c>
      <c r="C5647" s="672" t="s">
        <v>8262</v>
      </c>
      <c r="D5647" s="809" t="s">
        <v>8227</v>
      </c>
      <c r="E5647" s="674">
        <v>10</v>
      </c>
      <c r="F5647" s="675">
        <v>0.1</v>
      </c>
      <c r="G5647" s="676">
        <v>2155.2799999999997</v>
      </c>
      <c r="H5647" s="929">
        <v>215.52799999999999</v>
      </c>
      <c r="I5647" s="929">
        <v>377.17399999999998</v>
      </c>
      <c r="J5647" s="689">
        <f t="shared" si="89"/>
        <v>1778.1059999999998</v>
      </c>
    </row>
    <row r="5648" spans="1:10" ht="12.75" customHeight="1" x14ac:dyDescent="0.2">
      <c r="A5648" s="681">
        <v>1241</v>
      </c>
      <c r="B5648" s="693">
        <v>5111460004</v>
      </c>
      <c r="C5648" s="672" t="s">
        <v>8273</v>
      </c>
      <c r="D5648" s="809" t="s">
        <v>8227</v>
      </c>
      <c r="E5648" s="674">
        <v>10</v>
      </c>
      <c r="F5648" s="675">
        <v>0.1</v>
      </c>
      <c r="G5648" s="676">
        <v>7890.32</v>
      </c>
      <c r="H5648" s="929">
        <v>789.03199999999981</v>
      </c>
      <c r="I5648" s="929">
        <v>1380.8059999999996</v>
      </c>
      <c r="J5648" s="689">
        <f t="shared" si="89"/>
        <v>6509.5140000000001</v>
      </c>
    </row>
    <row r="5649" spans="1:10" ht="12.75" customHeight="1" x14ac:dyDescent="0.2">
      <c r="A5649" s="681">
        <v>1241</v>
      </c>
      <c r="B5649" s="693">
        <v>5110620011</v>
      </c>
      <c r="C5649" s="672" t="s">
        <v>8286</v>
      </c>
      <c r="D5649" s="809" t="s">
        <v>8227</v>
      </c>
      <c r="E5649" s="674">
        <v>10</v>
      </c>
      <c r="F5649" s="675">
        <v>0.1</v>
      </c>
      <c r="G5649" s="676">
        <v>2338.56</v>
      </c>
      <c r="H5649" s="929">
        <v>233.85599999999999</v>
      </c>
      <c r="I5649" s="929">
        <v>409.24799999999999</v>
      </c>
      <c r="J5649" s="689">
        <f t="shared" si="89"/>
        <v>1929.3119999999999</v>
      </c>
    </row>
    <row r="5650" spans="1:10" ht="12.75" customHeight="1" x14ac:dyDescent="0.2">
      <c r="A5650" s="681">
        <v>1241</v>
      </c>
      <c r="B5650" s="693">
        <v>5110360050</v>
      </c>
      <c r="C5650" s="672" t="s">
        <v>8287</v>
      </c>
      <c r="D5650" s="809" t="s">
        <v>8227</v>
      </c>
      <c r="E5650" s="674">
        <v>10</v>
      </c>
      <c r="F5650" s="675">
        <v>0.1</v>
      </c>
      <c r="G5650" s="676">
        <v>3333.8399999999997</v>
      </c>
      <c r="H5650" s="929">
        <v>333.38399999999984</v>
      </c>
      <c r="I5650" s="929">
        <v>583.4219999999998</v>
      </c>
      <c r="J5650" s="689">
        <f t="shared" si="89"/>
        <v>2750.4179999999997</v>
      </c>
    </row>
    <row r="5651" spans="1:10" ht="12.75" customHeight="1" x14ac:dyDescent="0.2">
      <c r="A5651" s="681">
        <v>1241</v>
      </c>
      <c r="B5651" s="693">
        <v>5110360051</v>
      </c>
      <c r="C5651" s="672" t="s">
        <v>8287</v>
      </c>
      <c r="D5651" s="809" t="s">
        <v>8227</v>
      </c>
      <c r="E5651" s="674">
        <v>10</v>
      </c>
      <c r="F5651" s="675">
        <v>0.1</v>
      </c>
      <c r="G5651" s="676">
        <v>3333.8399999999997</v>
      </c>
      <c r="H5651" s="929">
        <v>333.38399999999984</v>
      </c>
      <c r="I5651" s="929">
        <v>583.4219999999998</v>
      </c>
      <c r="J5651" s="689">
        <f t="shared" si="89"/>
        <v>2750.4179999999997</v>
      </c>
    </row>
    <row r="5652" spans="1:10" ht="12.75" customHeight="1" x14ac:dyDescent="0.2">
      <c r="A5652" s="681">
        <v>1241</v>
      </c>
      <c r="B5652" s="693">
        <v>5112670019</v>
      </c>
      <c r="C5652" s="672" t="s">
        <v>8281</v>
      </c>
      <c r="D5652" s="809" t="s">
        <v>8227</v>
      </c>
      <c r="E5652" s="674">
        <v>10</v>
      </c>
      <c r="F5652" s="675">
        <v>0.1</v>
      </c>
      <c r="G5652" s="676">
        <v>1497.56</v>
      </c>
      <c r="H5652" s="929">
        <v>149.75600000000003</v>
      </c>
      <c r="I5652" s="929">
        <v>262.07300000000004</v>
      </c>
      <c r="J5652" s="689">
        <f t="shared" si="89"/>
        <v>1235.4869999999999</v>
      </c>
    </row>
    <row r="5653" spans="1:10" ht="12.75" customHeight="1" x14ac:dyDescent="0.2">
      <c r="A5653" s="681">
        <v>1241</v>
      </c>
      <c r="B5653" s="693">
        <v>5112670020</v>
      </c>
      <c r="C5653" s="672" t="s">
        <v>8281</v>
      </c>
      <c r="D5653" s="809" t="s">
        <v>8227</v>
      </c>
      <c r="E5653" s="674">
        <v>10</v>
      </c>
      <c r="F5653" s="675">
        <v>0.1</v>
      </c>
      <c r="G5653" s="676">
        <v>1497.56</v>
      </c>
      <c r="H5653" s="929">
        <v>149.75600000000003</v>
      </c>
      <c r="I5653" s="929">
        <v>262.07300000000004</v>
      </c>
      <c r="J5653" s="689">
        <f t="shared" si="89"/>
        <v>1235.4869999999999</v>
      </c>
    </row>
    <row r="5654" spans="1:10" ht="12.75" customHeight="1" x14ac:dyDescent="0.2">
      <c r="A5654" s="681">
        <v>1241</v>
      </c>
      <c r="B5654" s="693">
        <v>5112670021</v>
      </c>
      <c r="C5654" s="672" t="s">
        <v>8281</v>
      </c>
      <c r="D5654" s="809" t="s">
        <v>8227</v>
      </c>
      <c r="E5654" s="674">
        <v>10</v>
      </c>
      <c r="F5654" s="675">
        <v>0.1</v>
      </c>
      <c r="G5654" s="676">
        <v>1497.56</v>
      </c>
      <c r="H5654" s="929">
        <v>149.75600000000003</v>
      </c>
      <c r="I5654" s="929">
        <v>262.07300000000004</v>
      </c>
      <c r="J5654" s="689">
        <f t="shared" si="89"/>
        <v>1235.4869999999999</v>
      </c>
    </row>
    <row r="5655" spans="1:10" ht="12.75" customHeight="1" x14ac:dyDescent="0.2">
      <c r="A5655" s="681">
        <v>1241</v>
      </c>
      <c r="B5655" s="693">
        <v>5112670022</v>
      </c>
      <c r="C5655" s="672" t="s">
        <v>8281</v>
      </c>
      <c r="D5655" s="809" t="s">
        <v>8227</v>
      </c>
      <c r="E5655" s="674">
        <v>10</v>
      </c>
      <c r="F5655" s="675">
        <v>0.1</v>
      </c>
      <c r="G5655" s="676">
        <v>1497.56</v>
      </c>
      <c r="H5655" s="929">
        <v>149.75600000000003</v>
      </c>
      <c r="I5655" s="929">
        <v>262.07300000000004</v>
      </c>
      <c r="J5655" s="689">
        <f t="shared" si="89"/>
        <v>1235.4869999999999</v>
      </c>
    </row>
    <row r="5656" spans="1:10" ht="12.75" customHeight="1" x14ac:dyDescent="0.2">
      <c r="A5656" s="681">
        <v>1241</v>
      </c>
      <c r="B5656" s="693">
        <v>5112230003</v>
      </c>
      <c r="C5656" s="672" t="s">
        <v>8288</v>
      </c>
      <c r="D5656" s="809" t="s">
        <v>8227</v>
      </c>
      <c r="E5656" s="674">
        <v>10</v>
      </c>
      <c r="F5656" s="675">
        <v>0.1</v>
      </c>
      <c r="G5656" s="676">
        <v>4475.28</v>
      </c>
      <c r="H5656" s="929">
        <v>447.52799999999985</v>
      </c>
      <c r="I5656" s="929">
        <v>783.17399999999975</v>
      </c>
      <c r="J5656" s="689">
        <f t="shared" si="89"/>
        <v>3692.1059999999998</v>
      </c>
    </row>
    <row r="5657" spans="1:10" ht="12.75" customHeight="1" x14ac:dyDescent="0.2">
      <c r="A5657" s="681">
        <v>1241</v>
      </c>
      <c r="B5657" s="693">
        <v>5112670024</v>
      </c>
      <c r="C5657" s="672" t="s">
        <v>8281</v>
      </c>
      <c r="D5657" s="809" t="s">
        <v>8227</v>
      </c>
      <c r="E5657" s="674">
        <v>10</v>
      </c>
      <c r="F5657" s="675">
        <v>0.1</v>
      </c>
      <c r="G5657" s="676">
        <v>1497.56</v>
      </c>
      <c r="H5657" s="929">
        <v>149.75600000000003</v>
      </c>
      <c r="I5657" s="929">
        <v>262.07300000000004</v>
      </c>
      <c r="J5657" s="689">
        <f t="shared" si="89"/>
        <v>1235.4869999999999</v>
      </c>
    </row>
    <row r="5658" spans="1:10" ht="12.75" customHeight="1" x14ac:dyDescent="0.2">
      <c r="A5658" s="681">
        <v>1241</v>
      </c>
      <c r="B5658" s="693">
        <v>5110940015</v>
      </c>
      <c r="C5658" s="672" t="s">
        <v>8263</v>
      </c>
      <c r="D5658" s="809" t="s">
        <v>8227</v>
      </c>
      <c r="E5658" s="674">
        <v>10</v>
      </c>
      <c r="F5658" s="675">
        <v>0.1</v>
      </c>
      <c r="G5658" s="676">
        <v>644.95999999999992</v>
      </c>
      <c r="H5658" s="929">
        <v>64.496000000000009</v>
      </c>
      <c r="I5658" s="929">
        <v>112.86800000000001</v>
      </c>
      <c r="J5658" s="689">
        <f t="shared" si="89"/>
        <v>532.09199999999987</v>
      </c>
    </row>
    <row r="5659" spans="1:10" ht="12.75" customHeight="1" x14ac:dyDescent="0.2">
      <c r="A5659" s="681">
        <v>1241</v>
      </c>
      <c r="B5659" s="693">
        <v>5110940016</v>
      </c>
      <c r="C5659" s="672" t="s">
        <v>8263</v>
      </c>
      <c r="D5659" s="809" t="s">
        <v>8227</v>
      </c>
      <c r="E5659" s="674">
        <v>10</v>
      </c>
      <c r="F5659" s="675">
        <v>0.1</v>
      </c>
      <c r="G5659" s="676">
        <v>644.95999999999992</v>
      </c>
      <c r="H5659" s="929">
        <v>64.496000000000009</v>
      </c>
      <c r="I5659" s="929">
        <v>112.86800000000001</v>
      </c>
      <c r="J5659" s="689">
        <f t="shared" si="89"/>
        <v>532.09199999999987</v>
      </c>
    </row>
    <row r="5660" spans="1:10" ht="12.75" customHeight="1" x14ac:dyDescent="0.2">
      <c r="A5660" s="681">
        <v>1241</v>
      </c>
      <c r="B5660" s="693">
        <v>5112230005</v>
      </c>
      <c r="C5660" s="672" t="s">
        <v>8265</v>
      </c>
      <c r="D5660" s="809" t="s">
        <v>8227</v>
      </c>
      <c r="E5660" s="674">
        <v>10</v>
      </c>
      <c r="F5660" s="675">
        <v>0.1</v>
      </c>
      <c r="G5660" s="676">
        <v>4475.28</v>
      </c>
      <c r="H5660" s="929">
        <v>447.52799999999985</v>
      </c>
      <c r="I5660" s="929">
        <v>783.17399999999975</v>
      </c>
      <c r="J5660" s="689">
        <f t="shared" si="89"/>
        <v>3692.1059999999998</v>
      </c>
    </row>
    <row r="5661" spans="1:10" ht="12.75" customHeight="1" x14ac:dyDescent="0.2">
      <c r="A5661" s="681">
        <v>1241</v>
      </c>
      <c r="B5661" s="693">
        <v>5112670025</v>
      </c>
      <c r="C5661" s="672" t="s">
        <v>8281</v>
      </c>
      <c r="D5661" s="809" t="s">
        <v>8227</v>
      </c>
      <c r="E5661" s="674">
        <v>10</v>
      </c>
      <c r="F5661" s="675">
        <v>0.1</v>
      </c>
      <c r="G5661" s="676">
        <v>1497.56</v>
      </c>
      <c r="H5661" s="929">
        <v>149.75600000000003</v>
      </c>
      <c r="I5661" s="929">
        <v>262.07300000000004</v>
      </c>
      <c r="J5661" s="689">
        <f t="shared" si="89"/>
        <v>1235.4869999999999</v>
      </c>
    </row>
    <row r="5662" spans="1:10" ht="12.75" customHeight="1" x14ac:dyDescent="0.2">
      <c r="A5662" s="681">
        <v>1241</v>
      </c>
      <c r="B5662" s="693">
        <v>5110940017</v>
      </c>
      <c r="C5662" s="672" t="s">
        <v>8263</v>
      </c>
      <c r="D5662" s="809" t="s">
        <v>8227</v>
      </c>
      <c r="E5662" s="674">
        <v>10</v>
      </c>
      <c r="F5662" s="675">
        <v>0.1</v>
      </c>
      <c r="G5662" s="676">
        <v>644.95999999999992</v>
      </c>
      <c r="H5662" s="929">
        <v>64.496000000000009</v>
      </c>
      <c r="I5662" s="929">
        <v>112.86800000000001</v>
      </c>
      <c r="J5662" s="689">
        <f t="shared" si="89"/>
        <v>532.09199999999987</v>
      </c>
    </row>
    <row r="5663" spans="1:10" ht="12.75" customHeight="1" x14ac:dyDescent="0.2">
      <c r="A5663" s="681">
        <v>1241</v>
      </c>
      <c r="B5663" s="693">
        <v>5110940018</v>
      </c>
      <c r="C5663" s="672" t="s">
        <v>8263</v>
      </c>
      <c r="D5663" s="809" t="s">
        <v>8227</v>
      </c>
      <c r="E5663" s="674">
        <v>10</v>
      </c>
      <c r="F5663" s="675">
        <v>0.1</v>
      </c>
      <c r="G5663" s="676">
        <v>644.95999999999992</v>
      </c>
      <c r="H5663" s="929">
        <v>64.496000000000009</v>
      </c>
      <c r="I5663" s="929">
        <v>112.86800000000001</v>
      </c>
      <c r="J5663" s="689">
        <f t="shared" si="89"/>
        <v>532.09199999999987</v>
      </c>
    </row>
    <row r="5664" spans="1:10" ht="12.75" customHeight="1" x14ac:dyDescent="0.2">
      <c r="A5664" s="681">
        <v>1241</v>
      </c>
      <c r="B5664" s="693">
        <v>5110920001</v>
      </c>
      <c r="C5664" s="672" t="s">
        <v>8289</v>
      </c>
      <c r="D5664" s="809" t="s">
        <v>8227</v>
      </c>
      <c r="E5664" s="674">
        <v>10</v>
      </c>
      <c r="F5664" s="675">
        <v>0.1</v>
      </c>
      <c r="G5664" s="676">
        <v>3167.96</v>
      </c>
      <c r="H5664" s="929">
        <v>316.79600000000005</v>
      </c>
      <c r="I5664" s="929">
        <v>554.39300000000003</v>
      </c>
      <c r="J5664" s="689">
        <f t="shared" si="89"/>
        <v>2613.567</v>
      </c>
    </row>
    <row r="5665" spans="1:10" ht="12.75" customHeight="1" x14ac:dyDescent="0.2">
      <c r="A5665" s="681">
        <v>1241</v>
      </c>
      <c r="B5665" s="693">
        <v>5110360052</v>
      </c>
      <c r="C5665" s="672" t="s">
        <v>8290</v>
      </c>
      <c r="D5665" s="809" t="s">
        <v>8227</v>
      </c>
      <c r="E5665" s="674">
        <v>10</v>
      </c>
      <c r="F5665" s="675">
        <v>0.1</v>
      </c>
      <c r="G5665" s="676">
        <v>2859.3999999999996</v>
      </c>
      <c r="H5665" s="929">
        <v>285.93999999999988</v>
      </c>
      <c r="I5665" s="929">
        <v>500.39499999999981</v>
      </c>
      <c r="J5665" s="689">
        <f t="shared" si="89"/>
        <v>2359.0049999999997</v>
      </c>
    </row>
    <row r="5666" spans="1:10" ht="12.75" customHeight="1" x14ac:dyDescent="0.2">
      <c r="A5666" s="681">
        <v>1241</v>
      </c>
      <c r="B5666" s="693">
        <v>5110360053</v>
      </c>
      <c r="C5666" s="672" t="s">
        <v>8290</v>
      </c>
      <c r="D5666" s="809" t="s">
        <v>8227</v>
      </c>
      <c r="E5666" s="674">
        <v>10</v>
      </c>
      <c r="F5666" s="675">
        <v>0.1</v>
      </c>
      <c r="G5666" s="676">
        <v>2859.3999999999996</v>
      </c>
      <c r="H5666" s="929">
        <v>285.93999999999988</v>
      </c>
      <c r="I5666" s="929">
        <v>500.39499999999981</v>
      </c>
      <c r="J5666" s="689">
        <f t="shared" si="89"/>
        <v>2359.0049999999997</v>
      </c>
    </row>
    <row r="5667" spans="1:10" ht="12.75" customHeight="1" x14ac:dyDescent="0.2">
      <c r="A5667" s="681">
        <v>1241</v>
      </c>
      <c r="B5667" s="693">
        <v>5112670030</v>
      </c>
      <c r="C5667" s="672" t="s">
        <v>8291</v>
      </c>
      <c r="D5667" s="809" t="s">
        <v>8227</v>
      </c>
      <c r="E5667" s="674">
        <v>10</v>
      </c>
      <c r="F5667" s="675">
        <v>0.1</v>
      </c>
      <c r="G5667" s="676">
        <v>1328.1999999999998</v>
      </c>
      <c r="H5667" s="929">
        <v>132.81999999999996</v>
      </c>
      <c r="I5667" s="929">
        <v>232.43499999999995</v>
      </c>
      <c r="J5667" s="689">
        <f t="shared" si="89"/>
        <v>1095.7649999999999</v>
      </c>
    </row>
    <row r="5668" spans="1:10" ht="12.75" customHeight="1" x14ac:dyDescent="0.2">
      <c r="A5668" s="681">
        <v>1241</v>
      </c>
      <c r="B5668" s="693">
        <v>5112670031</v>
      </c>
      <c r="C5668" s="672" t="s">
        <v>8291</v>
      </c>
      <c r="D5668" s="809" t="s">
        <v>8227</v>
      </c>
      <c r="E5668" s="674">
        <v>10</v>
      </c>
      <c r="F5668" s="675">
        <v>0.1</v>
      </c>
      <c r="G5668" s="676">
        <v>1328.1999999999998</v>
      </c>
      <c r="H5668" s="929">
        <v>132.81999999999996</v>
      </c>
      <c r="I5668" s="929">
        <v>232.43499999999995</v>
      </c>
      <c r="J5668" s="689">
        <f t="shared" si="89"/>
        <v>1095.7649999999999</v>
      </c>
    </row>
    <row r="5669" spans="1:10" ht="12.75" customHeight="1" x14ac:dyDescent="0.2">
      <c r="A5669" s="681">
        <v>1241</v>
      </c>
      <c r="B5669" s="693">
        <v>5110240028</v>
      </c>
      <c r="C5669" s="672" t="s">
        <v>8292</v>
      </c>
      <c r="D5669" s="809" t="s">
        <v>8227</v>
      </c>
      <c r="E5669" s="674">
        <v>10</v>
      </c>
      <c r="F5669" s="675">
        <v>0.1</v>
      </c>
      <c r="G5669" s="676">
        <v>3648.1999999999994</v>
      </c>
      <c r="H5669" s="929">
        <v>364.81999999999988</v>
      </c>
      <c r="I5669" s="929">
        <v>638.43499999999983</v>
      </c>
      <c r="J5669" s="689">
        <f t="shared" si="89"/>
        <v>3009.7649999999994</v>
      </c>
    </row>
    <row r="5670" spans="1:10" ht="12.75" customHeight="1" x14ac:dyDescent="0.2">
      <c r="A5670" s="681">
        <v>1241</v>
      </c>
      <c r="B5670" s="693">
        <v>5110240029</v>
      </c>
      <c r="C5670" s="672" t="s">
        <v>8292</v>
      </c>
      <c r="D5670" s="809" t="s">
        <v>8227</v>
      </c>
      <c r="E5670" s="674">
        <v>10</v>
      </c>
      <c r="F5670" s="675">
        <v>0.1</v>
      </c>
      <c r="G5670" s="676">
        <v>3648.1999999999994</v>
      </c>
      <c r="H5670" s="929">
        <v>364.81999999999988</v>
      </c>
      <c r="I5670" s="929">
        <v>638.43499999999983</v>
      </c>
      <c r="J5670" s="689">
        <f t="shared" si="89"/>
        <v>3009.7649999999994</v>
      </c>
    </row>
    <row r="5671" spans="1:10" ht="12.75" customHeight="1" x14ac:dyDescent="0.2">
      <c r="A5671" s="681">
        <v>1241</v>
      </c>
      <c r="B5671" s="693">
        <v>5110240030</v>
      </c>
      <c r="C5671" s="672" t="s">
        <v>8292</v>
      </c>
      <c r="D5671" s="809" t="s">
        <v>8227</v>
      </c>
      <c r="E5671" s="674">
        <v>10</v>
      </c>
      <c r="F5671" s="675">
        <v>0.1</v>
      </c>
      <c r="G5671" s="676">
        <v>3648.1999999999994</v>
      </c>
      <c r="H5671" s="929">
        <v>364.81999999999988</v>
      </c>
      <c r="I5671" s="929">
        <v>638.43499999999983</v>
      </c>
      <c r="J5671" s="689">
        <f t="shared" si="89"/>
        <v>3009.7649999999994</v>
      </c>
    </row>
    <row r="5672" spans="1:10" ht="12.75" customHeight="1" x14ac:dyDescent="0.2">
      <c r="A5672" s="681">
        <v>1241</v>
      </c>
      <c r="B5672" s="693">
        <v>5110240031</v>
      </c>
      <c r="C5672" s="672" t="s">
        <v>8292</v>
      </c>
      <c r="D5672" s="809" t="s">
        <v>8227</v>
      </c>
      <c r="E5672" s="674">
        <v>10</v>
      </c>
      <c r="F5672" s="675">
        <v>0.1</v>
      </c>
      <c r="G5672" s="676">
        <v>3648.1999999999994</v>
      </c>
      <c r="H5672" s="929">
        <v>364.81999999999988</v>
      </c>
      <c r="I5672" s="929">
        <v>638.43499999999983</v>
      </c>
      <c r="J5672" s="689">
        <f t="shared" si="89"/>
        <v>3009.7649999999994</v>
      </c>
    </row>
    <row r="5673" spans="1:10" ht="12.75" customHeight="1" x14ac:dyDescent="0.2">
      <c r="A5673" s="681">
        <v>1241</v>
      </c>
      <c r="B5673" s="693">
        <v>5110240032</v>
      </c>
      <c r="C5673" s="672" t="s">
        <v>8292</v>
      </c>
      <c r="D5673" s="809" t="s">
        <v>8227</v>
      </c>
      <c r="E5673" s="674">
        <v>10</v>
      </c>
      <c r="F5673" s="675">
        <v>0.1</v>
      </c>
      <c r="G5673" s="676">
        <v>3648.1999999999994</v>
      </c>
      <c r="H5673" s="929">
        <v>364.81999999999988</v>
      </c>
      <c r="I5673" s="929">
        <v>638.43499999999983</v>
      </c>
      <c r="J5673" s="689">
        <f t="shared" si="89"/>
        <v>3009.7649999999994</v>
      </c>
    </row>
    <row r="5674" spans="1:10" ht="12.75" customHeight="1" x14ac:dyDescent="0.2">
      <c r="A5674" s="681">
        <v>1241</v>
      </c>
      <c r="B5674" s="693">
        <v>5110240033</v>
      </c>
      <c r="C5674" s="672" t="s">
        <v>8292</v>
      </c>
      <c r="D5674" s="809" t="s">
        <v>8227</v>
      </c>
      <c r="E5674" s="674">
        <v>10</v>
      </c>
      <c r="F5674" s="675">
        <v>0.1</v>
      </c>
      <c r="G5674" s="676">
        <v>3648.1999999999994</v>
      </c>
      <c r="H5674" s="929">
        <v>364.81999999999988</v>
      </c>
      <c r="I5674" s="929">
        <v>638.43499999999983</v>
      </c>
      <c r="J5674" s="689">
        <f t="shared" si="89"/>
        <v>3009.7649999999994</v>
      </c>
    </row>
    <row r="5675" spans="1:10" ht="12.75" customHeight="1" x14ac:dyDescent="0.2">
      <c r="A5675" s="681">
        <v>1241</v>
      </c>
      <c r="B5675" s="693">
        <v>5111100019</v>
      </c>
      <c r="C5675" s="672" t="s">
        <v>8293</v>
      </c>
      <c r="D5675" s="809" t="s">
        <v>8227</v>
      </c>
      <c r="E5675" s="674">
        <v>10</v>
      </c>
      <c r="F5675" s="675">
        <v>0.1</v>
      </c>
      <c r="G5675" s="676">
        <v>5249</v>
      </c>
      <c r="H5675" s="929">
        <v>524.9</v>
      </c>
      <c r="I5675" s="929">
        <v>918.57500000000005</v>
      </c>
      <c r="J5675" s="689">
        <f t="shared" si="89"/>
        <v>4330.4250000000002</v>
      </c>
    </row>
    <row r="5676" spans="1:10" ht="12.75" customHeight="1" x14ac:dyDescent="0.2">
      <c r="A5676" s="681">
        <v>1241</v>
      </c>
      <c r="B5676" s="693">
        <v>5111630032</v>
      </c>
      <c r="C5676" s="672" t="s">
        <v>8294</v>
      </c>
      <c r="D5676" s="809" t="s">
        <v>8227</v>
      </c>
      <c r="E5676" s="674">
        <v>10</v>
      </c>
      <c r="F5676" s="675">
        <v>0.1</v>
      </c>
      <c r="G5676" s="676">
        <v>10857.99</v>
      </c>
      <c r="H5676" s="929">
        <v>1085.799</v>
      </c>
      <c r="I5676" s="929">
        <v>1900.14825</v>
      </c>
      <c r="J5676" s="689">
        <f t="shared" si="89"/>
        <v>8957.8417499999996</v>
      </c>
    </row>
    <row r="5677" spans="1:10" ht="12.75" customHeight="1" x14ac:dyDescent="0.2">
      <c r="A5677" s="681">
        <v>1241</v>
      </c>
      <c r="B5677" s="693">
        <v>5151170010</v>
      </c>
      <c r="C5677" s="672" t="s">
        <v>8295</v>
      </c>
      <c r="D5677" s="809" t="s">
        <v>8227</v>
      </c>
      <c r="E5677" s="674">
        <v>3</v>
      </c>
      <c r="F5677" s="675">
        <v>0.33</v>
      </c>
      <c r="G5677" s="676">
        <v>4255.46</v>
      </c>
      <c r="H5677" s="929">
        <v>1404.3017999999995</v>
      </c>
      <c r="I5677" s="929">
        <v>2457.5281499999992</v>
      </c>
      <c r="J5677" s="689">
        <f t="shared" si="89"/>
        <v>1797.9318500000008</v>
      </c>
    </row>
    <row r="5678" spans="1:10" ht="12.75" customHeight="1" x14ac:dyDescent="0.2">
      <c r="A5678" s="681">
        <v>1241</v>
      </c>
      <c r="B5678" s="693">
        <v>5151210024</v>
      </c>
      <c r="C5678" s="672" t="s">
        <v>8296</v>
      </c>
      <c r="D5678" s="809" t="s">
        <v>8227</v>
      </c>
      <c r="E5678" s="674">
        <v>3</v>
      </c>
      <c r="F5678" s="675">
        <v>0.33</v>
      </c>
      <c r="G5678" s="676">
        <v>12950.47</v>
      </c>
      <c r="H5678" s="929">
        <v>4273.6550999999999</v>
      </c>
      <c r="I5678" s="929">
        <v>7478.8964249999999</v>
      </c>
      <c r="J5678" s="689">
        <f t="shared" si="89"/>
        <v>5471.5735749999994</v>
      </c>
    </row>
    <row r="5679" spans="1:10" ht="12.75" customHeight="1" x14ac:dyDescent="0.2">
      <c r="A5679" s="681">
        <v>1241</v>
      </c>
      <c r="B5679" s="693">
        <v>5150890696</v>
      </c>
      <c r="C5679" s="672" t="s">
        <v>8587</v>
      </c>
      <c r="D5679" s="809" t="s">
        <v>8227</v>
      </c>
      <c r="E5679" s="674">
        <v>3</v>
      </c>
      <c r="F5679" s="675">
        <v>0.33</v>
      </c>
      <c r="G5679" s="676">
        <v>7250</v>
      </c>
      <c r="H5679" s="929">
        <v>2392.5</v>
      </c>
      <c r="I5679" s="929">
        <v>4186.875</v>
      </c>
      <c r="J5679" s="689">
        <f t="shared" si="89"/>
        <v>3063.125</v>
      </c>
    </row>
    <row r="5680" spans="1:10" ht="12.75" customHeight="1" x14ac:dyDescent="0.2">
      <c r="A5680" s="681">
        <v>1241</v>
      </c>
      <c r="B5680" s="693">
        <v>5112540003</v>
      </c>
      <c r="C5680" s="672" t="s">
        <v>8297</v>
      </c>
      <c r="D5680" s="809" t="s">
        <v>8227</v>
      </c>
      <c r="E5680" s="674">
        <v>3</v>
      </c>
      <c r="F5680" s="675">
        <v>0.33</v>
      </c>
      <c r="G5680" s="676">
        <v>4826.74</v>
      </c>
      <c r="H5680" s="929">
        <v>1592.8241999999993</v>
      </c>
      <c r="I5680" s="929">
        <v>2787.4423499999989</v>
      </c>
      <c r="J5680" s="689">
        <f t="shared" si="89"/>
        <v>2039.2976500000009</v>
      </c>
    </row>
    <row r="5681" spans="1:10" ht="12.75" customHeight="1" x14ac:dyDescent="0.2">
      <c r="A5681" s="681">
        <v>1241</v>
      </c>
      <c r="B5681" s="693">
        <v>5151130004</v>
      </c>
      <c r="C5681" s="672" t="s">
        <v>8298</v>
      </c>
      <c r="D5681" s="809" t="s">
        <v>8227</v>
      </c>
      <c r="E5681" s="674">
        <v>3</v>
      </c>
      <c r="F5681" s="675">
        <v>0.33</v>
      </c>
      <c r="G5681" s="676">
        <v>2668</v>
      </c>
      <c r="H5681" s="929">
        <v>880.44</v>
      </c>
      <c r="I5681" s="929">
        <v>1540.77</v>
      </c>
      <c r="J5681" s="689">
        <f t="shared" si="89"/>
        <v>1127.23</v>
      </c>
    </row>
    <row r="5682" spans="1:10" ht="12.75" customHeight="1" x14ac:dyDescent="0.2">
      <c r="A5682" s="681">
        <v>1241</v>
      </c>
      <c r="B5682" s="693">
        <v>5112830002</v>
      </c>
      <c r="C5682" s="672" t="s">
        <v>8299</v>
      </c>
      <c r="D5682" s="809" t="s">
        <v>8227</v>
      </c>
      <c r="E5682" s="674">
        <v>10</v>
      </c>
      <c r="F5682" s="675">
        <v>0.1</v>
      </c>
      <c r="G5682" s="676">
        <v>1043</v>
      </c>
      <c r="H5682" s="929">
        <v>104.29999999999997</v>
      </c>
      <c r="I5682" s="929">
        <v>182.52499999999995</v>
      </c>
      <c r="J5682" s="689">
        <f t="shared" si="89"/>
        <v>860.47500000000002</v>
      </c>
    </row>
    <row r="5683" spans="1:10" ht="12.75" customHeight="1" x14ac:dyDescent="0.2">
      <c r="A5683" s="681">
        <v>1241</v>
      </c>
      <c r="B5683" s="693">
        <v>5112830003</v>
      </c>
      <c r="C5683" s="672" t="s">
        <v>8299</v>
      </c>
      <c r="D5683" s="809" t="s">
        <v>8227</v>
      </c>
      <c r="E5683" s="674">
        <v>10</v>
      </c>
      <c r="F5683" s="675">
        <v>0.1</v>
      </c>
      <c r="G5683" s="676">
        <v>1043</v>
      </c>
      <c r="H5683" s="929">
        <v>104.29999999999997</v>
      </c>
      <c r="I5683" s="929">
        <v>182.52499999999995</v>
      </c>
      <c r="J5683" s="689">
        <f t="shared" si="89"/>
        <v>860.47500000000002</v>
      </c>
    </row>
    <row r="5684" spans="1:10" ht="12.75" customHeight="1" x14ac:dyDescent="0.2">
      <c r="A5684" s="681">
        <v>1241</v>
      </c>
      <c r="B5684" s="693">
        <v>5620010001</v>
      </c>
      <c r="C5684" s="672" t="s">
        <v>8300</v>
      </c>
      <c r="D5684" s="809" t="s">
        <v>8227</v>
      </c>
      <c r="E5684" s="674">
        <v>10</v>
      </c>
      <c r="F5684" s="675">
        <v>0.1</v>
      </c>
      <c r="G5684" s="676">
        <v>3630.9980000000005</v>
      </c>
      <c r="H5684" s="929">
        <v>363.09979999999996</v>
      </c>
      <c r="I5684" s="929">
        <v>635.42464999999993</v>
      </c>
      <c r="J5684" s="689">
        <f t="shared" si="89"/>
        <v>2995.5733500000006</v>
      </c>
    </row>
    <row r="5685" spans="1:10" ht="12.75" customHeight="1" x14ac:dyDescent="0.2">
      <c r="A5685" s="681">
        <v>1241</v>
      </c>
      <c r="B5685" s="693">
        <v>5620010002</v>
      </c>
      <c r="C5685" s="672" t="s">
        <v>8300</v>
      </c>
      <c r="D5685" s="809" t="s">
        <v>8227</v>
      </c>
      <c r="E5685" s="674">
        <v>10</v>
      </c>
      <c r="F5685" s="675">
        <v>0.1</v>
      </c>
      <c r="G5685" s="676">
        <v>3630.9980000000005</v>
      </c>
      <c r="H5685" s="929">
        <v>363.09979999999996</v>
      </c>
      <c r="I5685" s="929">
        <v>635.42464999999993</v>
      </c>
      <c r="J5685" s="689">
        <f t="shared" si="89"/>
        <v>2995.5733500000006</v>
      </c>
    </row>
    <row r="5686" spans="1:10" ht="12.75" customHeight="1" x14ac:dyDescent="0.2">
      <c r="A5686" s="681">
        <v>1241</v>
      </c>
      <c r="B5686" s="693">
        <v>5620010003</v>
      </c>
      <c r="C5686" s="672" t="s">
        <v>8300</v>
      </c>
      <c r="D5686" s="809" t="s">
        <v>8227</v>
      </c>
      <c r="E5686" s="674">
        <v>10</v>
      </c>
      <c r="F5686" s="675">
        <v>0.1</v>
      </c>
      <c r="G5686" s="676">
        <v>3630.9980000000005</v>
      </c>
      <c r="H5686" s="929">
        <v>363.09979999999996</v>
      </c>
      <c r="I5686" s="929">
        <v>635.42464999999993</v>
      </c>
      <c r="J5686" s="689">
        <f t="shared" si="89"/>
        <v>2995.5733500000006</v>
      </c>
    </row>
    <row r="5687" spans="1:10" ht="12.75" customHeight="1" x14ac:dyDescent="0.2">
      <c r="A5687" s="681">
        <v>1241</v>
      </c>
      <c r="B5687" s="693">
        <v>5620010004</v>
      </c>
      <c r="C5687" s="672" t="s">
        <v>8300</v>
      </c>
      <c r="D5687" s="809" t="s">
        <v>8227</v>
      </c>
      <c r="E5687" s="674">
        <v>10</v>
      </c>
      <c r="F5687" s="675">
        <v>0.1</v>
      </c>
      <c r="G5687" s="676">
        <v>3630.9980000000005</v>
      </c>
      <c r="H5687" s="929">
        <v>363.09979999999996</v>
      </c>
      <c r="I5687" s="929">
        <v>635.42464999999993</v>
      </c>
      <c r="J5687" s="689">
        <f t="shared" si="89"/>
        <v>2995.5733500000006</v>
      </c>
    </row>
    <row r="5688" spans="1:10" ht="12.75" customHeight="1" x14ac:dyDescent="0.2">
      <c r="A5688" s="681">
        <v>1241</v>
      </c>
      <c r="B5688" s="693">
        <v>5620010005</v>
      </c>
      <c r="C5688" s="672" t="s">
        <v>8300</v>
      </c>
      <c r="D5688" s="809" t="s">
        <v>8227</v>
      </c>
      <c r="E5688" s="674">
        <v>10</v>
      </c>
      <c r="F5688" s="675">
        <v>0.1</v>
      </c>
      <c r="G5688" s="676">
        <v>3630.9980000000005</v>
      </c>
      <c r="H5688" s="929">
        <v>363.09979999999996</v>
      </c>
      <c r="I5688" s="929">
        <v>635.42464999999993</v>
      </c>
      <c r="J5688" s="689">
        <f t="shared" si="89"/>
        <v>2995.5733500000006</v>
      </c>
    </row>
    <row r="5689" spans="1:10" ht="12.75" customHeight="1" x14ac:dyDescent="0.2">
      <c r="A5689" s="681">
        <v>1241</v>
      </c>
      <c r="B5689" s="693">
        <v>5111510003</v>
      </c>
      <c r="C5689" s="672" t="s">
        <v>8301</v>
      </c>
      <c r="D5689" s="809" t="s">
        <v>8227</v>
      </c>
      <c r="E5689" s="674">
        <v>10</v>
      </c>
      <c r="F5689" s="675">
        <v>0.1</v>
      </c>
      <c r="G5689" s="676">
        <v>2784.87</v>
      </c>
      <c r="H5689" s="929">
        <v>278.48699999999991</v>
      </c>
      <c r="I5689" s="929">
        <v>487.35224999999986</v>
      </c>
      <c r="J5689" s="689">
        <f t="shared" si="89"/>
        <v>2297.51775</v>
      </c>
    </row>
    <row r="5690" spans="1:10" ht="12.75" customHeight="1" x14ac:dyDescent="0.2">
      <c r="A5690" s="681">
        <v>1243</v>
      </c>
      <c r="B5690" s="693">
        <v>5110020001</v>
      </c>
      <c r="C5690" s="672" t="s">
        <v>8302</v>
      </c>
      <c r="D5690" s="809" t="s">
        <v>8227</v>
      </c>
      <c r="E5690" s="674">
        <v>5</v>
      </c>
      <c r="F5690" s="675">
        <v>0.2</v>
      </c>
      <c r="G5690" s="676">
        <v>6150.11</v>
      </c>
      <c r="H5690" s="929">
        <v>1230.0219999999999</v>
      </c>
      <c r="I5690" s="929">
        <v>2152.5385000000001</v>
      </c>
      <c r="J5690" s="689">
        <f t="shared" si="89"/>
        <v>3997.5714999999996</v>
      </c>
    </row>
    <row r="5691" spans="1:10" ht="12.75" customHeight="1" x14ac:dyDescent="0.2">
      <c r="A5691" s="681">
        <v>1243</v>
      </c>
      <c r="B5691" s="693">
        <v>5110020002</v>
      </c>
      <c r="C5691" s="672" t="s">
        <v>8302</v>
      </c>
      <c r="D5691" s="809" t="s">
        <v>8227</v>
      </c>
      <c r="E5691" s="674">
        <v>5</v>
      </c>
      <c r="F5691" s="675">
        <v>0.2</v>
      </c>
      <c r="G5691" s="676">
        <v>6150.11</v>
      </c>
      <c r="H5691" s="929">
        <v>1230.0219999999999</v>
      </c>
      <c r="I5691" s="929">
        <v>2152.5385000000001</v>
      </c>
      <c r="J5691" s="689">
        <f t="shared" si="89"/>
        <v>3997.5714999999996</v>
      </c>
    </row>
    <row r="5692" spans="1:10" ht="12.75" customHeight="1" x14ac:dyDescent="0.2">
      <c r="A5692" s="681">
        <v>1243</v>
      </c>
      <c r="B5692" s="693">
        <v>5110020003</v>
      </c>
      <c r="C5692" s="672" t="s">
        <v>8302</v>
      </c>
      <c r="D5692" s="809" t="s">
        <v>8227</v>
      </c>
      <c r="E5692" s="674">
        <v>5</v>
      </c>
      <c r="F5692" s="675">
        <v>0.2</v>
      </c>
      <c r="G5692" s="676">
        <v>6150.11</v>
      </c>
      <c r="H5692" s="929">
        <v>1230.0219999999999</v>
      </c>
      <c r="I5692" s="929">
        <v>2152.5385000000001</v>
      </c>
      <c r="J5692" s="689">
        <f t="shared" si="89"/>
        <v>3997.5714999999996</v>
      </c>
    </row>
    <row r="5693" spans="1:10" ht="12.75" customHeight="1" x14ac:dyDescent="0.2">
      <c r="A5693" s="681">
        <v>1243</v>
      </c>
      <c r="B5693" s="693">
        <v>5110020004</v>
      </c>
      <c r="C5693" s="672" t="s">
        <v>8302</v>
      </c>
      <c r="D5693" s="809" t="s">
        <v>8227</v>
      </c>
      <c r="E5693" s="674">
        <v>5</v>
      </c>
      <c r="F5693" s="675">
        <v>0.2</v>
      </c>
      <c r="G5693" s="676">
        <v>6150.11</v>
      </c>
      <c r="H5693" s="929">
        <v>1230.0219999999999</v>
      </c>
      <c r="I5693" s="929">
        <v>2152.5385000000001</v>
      </c>
      <c r="J5693" s="689">
        <f t="shared" si="89"/>
        <v>3997.5714999999996</v>
      </c>
    </row>
    <row r="5694" spans="1:10" ht="12.75" customHeight="1" x14ac:dyDescent="0.2">
      <c r="A5694" s="681">
        <v>1243</v>
      </c>
      <c r="B5694" s="693">
        <v>5112160001</v>
      </c>
      <c r="C5694" s="672" t="s">
        <v>8303</v>
      </c>
      <c r="D5694" s="809" t="s">
        <v>8227</v>
      </c>
      <c r="E5694" s="674">
        <v>5</v>
      </c>
      <c r="F5694" s="675">
        <v>0.2</v>
      </c>
      <c r="G5694" s="676">
        <v>10428.885</v>
      </c>
      <c r="H5694" s="929">
        <v>2085.777</v>
      </c>
      <c r="I5694" s="929">
        <v>3650.1097500000001</v>
      </c>
      <c r="J5694" s="689">
        <f t="shared" si="89"/>
        <v>6778.7752500000006</v>
      </c>
    </row>
    <row r="5695" spans="1:10" ht="12.75" customHeight="1" x14ac:dyDescent="0.2">
      <c r="A5695" s="681">
        <v>1243</v>
      </c>
      <c r="B5695" s="693">
        <v>5112160002</v>
      </c>
      <c r="C5695" s="672" t="s">
        <v>8303</v>
      </c>
      <c r="D5695" s="809" t="s">
        <v>8227</v>
      </c>
      <c r="E5695" s="674">
        <v>5</v>
      </c>
      <c r="F5695" s="675">
        <v>0.2</v>
      </c>
      <c r="G5695" s="676">
        <v>10428.885</v>
      </c>
      <c r="H5695" s="929">
        <v>2085.777</v>
      </c>
      <c r="I5695" s="929">
        <v>3650.1097500000001</v>
      </c>
      <c r="J5695" s="689">
        <f t="shared" si="89"/>
        <v>6778.7752500000006</v>
      </c>
    </row>
    <row r="5696" spans="1:10" ht="12.75" customHeight="1" x14ac:dyDescent="0.2">
      <c r="A5696" s="681">
        <v>1244</v>
      </c>
      <c r="B5696" s="693">
        <v>5410090046</v>
      </c>
      <c r="C5696" s="672" t="s">
        <v>10392</v>
      </c>
      <c r="D5696" s="809" t="s">
        <v>8227</v>
      </c>
      <c r="E5696" s="674">
        <v>5</v>
      </c>
      <c r="F5696" s="675">
        <v>0.2</v>
      </c>
      <c r="G5696" s="676">
        <v>259350</v>
      </c>
      <c r="H5696" s="929">
        <v>51870</v>
      </c>
      <c r="I5696" s="929">
        <v>90772.5</v>
      </c>
      <c r="J5696" s="689">
        <f t="shared" ref="J5696:J5759" si="90">G5696-I5696</f>
        <v>168577.5</v>
      </c>
    </row>
    <row r="5697" spans="1:10" ht="12.75" customHeight="1" x14ac:dyDescent="0.2">
      <c r="A5697" s="681">
        <v>1244</v>
      </c>
      <c r="B5697" s="693">
        <v>5410090047</v>
      </c>
      <c r="C5697" s="672" t="s">
        <v>10392</v>
      </c>
      <c r="D5697" s="809" t="s">
        <v>8227</v>
      </c>
      <c r="E5697" s="674">
        <v>5</v>
      </c>
      <c r="F5697" s="675">
        <v>0.2</v>
      </c>
      <c r="G5697" s="676">
        <v>259350</v>
      </c>
      <c r="H5697" s="929">
        <v>51870</v>
      </c>
      <c r="I5697" s="929">
        <v>90772.5</v>
      </c>
      <c r="J5697" s="689">
        <f t="shared" si="90"/>
        <v>168577.5</v>
      </c>
    </row>
    <row r="5698" spans="1:10" ht="12.75" customHeight="1" x14ac:dyDescent="0.2">
      <c r="A5698" s="681">
        <v>1244</v>
      </c>
      <c r="B5698" s="693">
        <v>5410090048</v>
      </c>
      <c r="C5698" s="672" t="s">
        <v>10392</v>
      </c>
      <c r="D5698" s="809" t="s">
        <v>8227</v>
      </c>
      <c r="E5698" s="674">
        <v>5</v>
      </c>
      <c r="F5698" s="675">
        <v>0.2</v>
      </c>
      <c r="G5698" s="676">
        <v>259350</v>
      </c>
      <c r="H5698" s="929">
        <v>51870</v>
      </c>
      <c r="I5698" s="929">
        <v>90772.5</v>
      </c>
      <c r="J5698" s="689">
        <f t="shared" si="90"/>
        <v>168577.5</v>
      </c>
    </row>
    <row r="5699" spans="1:10" ht="12.75" customHeight="1" x14ac:dyDescent="0.2">
      <c r="A5699" s="681">
        <v>1244</v>
      </c>
      <c r="B5699" s="693">
        <v>5410090049</v>
      </c>
      <c r="C5699" s="672" t="s">
        <v>10392</v>
      </c>
      <c r="D5699" s="809" t="s">
        <v>8227</v>
      </c>
      <c r="E5699" s="674">
        <v>5</v>
      </c>
      <c r="F5699" s="675">
        <v>0.2</v>
      </c>
      <c r="G5699" s="676">
        <v>259350</v>
      </c>
      <c r="H5699" s="929">
        <v>51870</v>
      </c>
      <c r="I5699" s="929">
        <v>90772.5</v>
      </c>
      <c r="J5699" s="689">
        <f t="shared" si="90"/>
        <v>168577.5</v>
      </c>
    </row>
    <row r="5700" spans="1:10" ht="12.75" customHeight="1" x14ac:dyDescent="0.2">
      <c r="A5700" s="681">
        <v>1244</v>
      </c>
      <c r="B5700" s="693">
        <v>5410090050</v>
      </c>
      <c r="C5700" s="672" t="s">
        <v>10392</v>
      </c>
      <c r="D5700" s="809" t="s">
        <v>8227</v>
      </c>
      <c r="E5700" s="674">
        <v>5</v>
      </c>
      <c r="F5700" s="675">
        <v>0.2</v>
      </c>
      <c r="G5700" s="676">
        <v>259350</v>
      </c>
      <c r="H5700" s="929">
        <v>51870</v>
      </c>
      <c r="I5700" s="929">
        <v>90772.5</v>
      </c>
      <c r="J5700" s="689">
        <f t="shared" si="90"/>
        <v>168577.5</v>
      </c>
    </row>
    <row r="5701" spans="1:10" ht="12.75" customHeight="1" x14ac:dyDescent="0.2">
      <c r="A5701" s="681">
        <v>1244</v>
      </c>
      <c r="B5701" s="693">
        <v>5410090051</v>
      </c>
      <c r="C5701" s="672" t="s">
        <v>10392</v>
      </c>
      <c r="D5701" s="809" t="s">
        <v>8227</v>
      </c>
      <c r="E5701" s="674">
        <v>5</v>
      </c>
      <c r="F5701" s="675">
        <v>0.2</v>
      </c>
      <c r="G5701" s="676">
        <v>259350</v>
      </c>
      <c r="H5701" s="929">
        <v>51870</v>
      </c>
      <c r="I5701" s="929">
        <v>90772.5</v>
      </c>
      <c r="J5701" s="689">
        <f t="shared" si="90"/>
        <v>168577.5</v>
      </c>
    </row>
    <row r="5702" spans="1:10" ht="12.75" customHeight="1" x14ac:dyDescent="0.2">
      <c r="A5702" s="681">
        <v>1244</v>
      </c>
      <c r="B5702" s="693">
        <v>5410090052</v>
      </c>
      <c r="C5702" s="672" t="s">
        <v>10392</v>
      </c>
      <c r="D5702" s="809" t="s">
        <v>8227</v>
      </c>
      <c r="E5702" s="674">
        <v>5</v>
      </c>
      <c r="F5702" s="675">
        <v>0.2</v>
      </c>
      <c r="G5702" s="676">
        <v>259350</v>
      </c>
      <c r="H5702" s="929">
        <v>51870</v>
      </c>
      <c r="I5702" s="929">
        <v>90772.5</v>
      </c>
      <c r="J5702" s="689">
        <f t="shared" si="90"/>
        <v>168577.5</v>
      </c>
    </row>
    <row r="5703" spans="1:10" ht="12.75" customHeight="1" x14ac:dyDescent="0.2">
      <c r="A5703" s="681">
        <v>1244</v>
      </c>
      <c r="B5703" s="693">
        <v>5410090053</v>
      </c>
      <c r="C5703" s="672" t="s">
        <v>10392</v>
      </c>
      <c r="D5703" s="809" t="s">
        <v>8227</v>
      </c>
      <c r="E5703" s="674">
        <v>5</v>
      </c>
      <c r="F5703" s="675">
        <v>0.2</v>
      </c>
      <c r="G5703" s="676">
        <v>259350</v>
      </c>
      <c r="H5703" s="929">
        <v>51870</v>
      </c>
      <c r="I5703" s="929">
        <v>90772.5</v>
      </c>
      <c r="J5703" s="689">
        <f t="shared" si="90"/>
        <v>168577.5</v>
      </c>
    </row>
    <row r="5704" spans="1:10" ht="12.75" customHeight="1" x14ac:dyDescent="0.2">
      <c r="A5704" s="681">
        <v>1244</v>
      </c>
      <c r="B5704" s="693">
        <v>5410090054</v>
      </c>
      <c r="C5704" s="672" t="s">
        <v>10392</v>
      </c>
      <c r="D5704" s="809" t="s">
        <v>8227</v>
      </c>
      <c r="E5704" s="674">
        <v>5</v>
      </c>
      <c r="F5704" s="675">
        <v>0.2</v>
      </c>
      <c r="G5704" s="676">
        <v>259350</v>
      </c>
      <c r="H5704" s="929">
        <v>51870</v>
      </c>
      <c r="I5704" s="929">
        <v>90772.5</v>
      </c>
      <c r="J5704" s="689">
        <f t="shared" si="90"/>
        <v>168577.5</v>
      </c>
    </row>
    <row r="5705" spans="1:10" ht="12.75" customHeight="1" x14ac:dyDescent="0.2">
      <c r="A5705" s="681">
        <v>1244</v>
      </c>
      <c r="B5705" s="693">
        <v>5410090055</v>
      </c>
      <c r="C5705" s="672" t="s">
        <v>10392</v>
      </c>
      <c r="D5705" s="809" t="s">
        <v>8227</v>
      </c>
      <c r="E5705" s="674">
        <v>5</v>
      </c>
      <c r="F5705" s="675">
        <v>0.2</v>
      </c>
      <c r="G5705" s="676">
        <v>259350</v>
      </c>
      <c r="H5705" s="929">
        <v>51870</v>
      </c>
      <c r="I5705" s="929">
        <v>90772.5</v>
      </c>
      <c r="J5705" s="689">
        <f t="shared" si="90"/>
        <v>168577.5</v>
      </c>
    </row>
    <row r="5706" spans="1:10" ht="12.75" customHeight="1" x14ac:dyDescent="0.2">
      <c r="A5706" s="681">
        <v>1244</v>
      </c>
      <c r="B5706" s="693">
        <v>5410090056</v>
      </c>
      <c r="C5706" s="672" t="s">
        <v>10392</v>
      </c>
      <c r="D5706" s="809" t="s">
        <v>8227</v>
      </c>
      <c r="E5706" s="674">
        <v>5</v>
      </c>
      <c r="F5706" s="675">
        <v>0.2</v>
      </c>
      <c r="G5706" s="676">
        <v>259350</v>
      </c>
      <c r="H5706" s="929">
        <v>51870</v>
      </c>
      <c r="I5706" s="929">
        <v>90772.5</v>
      </c>
      <c r="J5706" s="689">
        <f t="shared" si="90"/>
        <v>168577.5</v>
      </c>
    </row>
    <row r="5707" spans="1:10" ht="12.75" customHeight="1" x14ac:dyDescent="0.2">
      <c r="A5707" s="681">
        <v>1244</v>
      </c>
      <c r="B5707" s="693">
        <v>5410090057</v>
      </c>
      <c r="C5707" s="672" t="s">
        <v>10392</v>
      </c>
      <c r="D5707" s="809" t="s">
        <v>8227</v>
      </c>
      <c r="E5707" s="674">
        <v>5</v>
      </c>
      <c r="F5707" s="675">
        <v>0.2</v>
      </c>
      <c r="G5707" s="676">
        <v>259350</v>
      </c>
      <c r="H5707" s="929">
        <v>51870</v>
      </c>
      <c r="I5707" s="929">
        <v>90772.5</v>
      </c>
      <c r="J5707" s="689">
        <f t="shared" si="90"/>
        <v>168577.5</v>
      </c>
    </row>
    <row r="5708" spans="1:10" ht="12.75" customHeight="1" x14ac:dyDescent="0.2">
      <c r="A5708" s="681">
        <v>1244</v>
      </c>
      <c r="B5708" s="693">
        <v>5410090058</v>
      </c>
      <c r="C5708" s="672" t="s">
        <v>10392</v>
      </c>
      <c r="D5708" s="809" t="s">
        <v>8227</v>
      </c>
      <c r="E5708" s="674">
        <v>5</v>
      </c>
      <c r="F5708" s="675">
        <v>0.2</v>
      </c>
      <c r="G5708" s="676">
        <v>259350</v>
      </c>
      <c r="H5708" s="929">
        <v>51870</v>
      </c>
      <c r="I5708" s="929">
        <v>90772.5</v>
      </c>
      <c r="J5708" s="689">
        <f t="shared" si="90"/>
        <v>168577.5</v>
      </c>
    </row>
    <row r="5709" spans="1:10" ht="12.75" customHeight="1" x14ac:dyDescent="0.2">
      <c r="A5709" s="681">
        <v>1244</v>
      </c>
      <c r="B5709" s="693">
        <v>5410090059</v>
      </c>
      <c r="C5709" s="672" t="s">
        <v>10392</v>
      </c>
      <c r="D5709" s="809" t="s">
        <v>8227</v>
      </c>
      <c r="E5709" s="674">
        <v>5</v>
      </c>
      <c r="F5709" s="675">
        <v>0.2</v>
      </c>
      <c r="G5709" s="676">
        <v>259350</v>
      </c>
      <c r="H5709" s="929">
        <v>51870</v>
      </c>
      <c r="I5709" s="929">
        <v>90772.5</v>
      </c>
      <c r="J5709" s="689">
        <f t="shared" si="90"/>
        <v>168577.5</v>
      </c>
    </row>
    <row r="5710" spans="1:10" ht="12.75" customHeight="1" x14ac:dyDescent="0.2">
      <c r="A5710" s="681">
        <v>1244</v>
      </c>
      <c r="B5710" s="693">
        <v>5410090060</v>
      </c>
      <c r="C5710" s="672" t="s">
        <v>10392</v>
      </c>
      <c r="D5710" s="809" t="s">
        <v>8227</v>
      </c>
      <c r="E5710" s="674">
        <v>5</v>
      </c>
      <c r="F5710" s="675">
        <v>0.2</v>
      </c>
      <c r="G5710" s="676">
        <v>259350</v>
      </c>
      <c r="H5710" s="929">
        <v>51870</v>
      </c>
      <c r="I5710" s="929">
        <v>90772.5</v>
      </c>
      <c r="J5710" s="689">
        <f t="shared" si="90"/>
        <v>168577.5</v>
      </c>
    </row>
    <row r="5711" spans="1:10" ht="12.75" customHeight="1" x14ac:dyDescent="0.2">
      <c r="A5711" s="681">
        <v>1244</v>
      </c>
      <c r="B5711" s="693">
        <v>5410090061</v>
      </c>
      <c r="C5711" s="672" t="s">
        <v>10392</v>
      </c>
      <c r="D5711" s="809" t="s">
        <v>8227</v>
      </c>
      <c r="E5711" s="674">
        <v>5</v>
      </c>
      <c r="F5711" s="675">
        <v>0.2</v>
      </c>
      <c r="G5711" s="676">
        <v>259350</v>
      </c>
      <c r="H5711" s="929">
        <v>51870</v>
      </c>
      <c r="I5711" s="929">
        <v>90772.5</v>
      </c>
      <c r="J5711" s="689">
        <f t="shared" si="90"/>
        <v>168577.5</v>
      </c>
    </row>
    <row r="5712" spans="1:10" ht="12.75" customHeight="1" x14ac:dyDescent="0.2">
      <c r="A5712" s="681">
        <v>1244</v>
      </c>
      <c r="B5712" s="693">
        <v>5410090062</v>
      </c>
      <c r="C5712" s="672" t="s">
        <v>10392</v>
      </c>
      <c r="D5712" s="809" t="s">
        <v>8227</v>
      </c>
      <c r="E5712" s="674">
        <v>5</v>
      </c>
      <c r="F5712" s="675">
        <v>0.2</v>
      </c>
      <c r="G5712" s="676">
        <v>259350</v>
      </c>
      <c r="H5712" s="929">
        <v>51870</v>
      </c>
      <c r="I5712" s="929">
        <v>90772.5</v>
      </c>
      <c r="J5712" s="689">
        <f t="shared" si="90"/>
        <v>168577.5</v>
      </c>
    </row>
    <row r="5713" spans="1:10" ht="12.75" customHeight="1" x14ac:dyDescent="0.2">
      <c r="A5713" s="681">
        <v>1244</v>
      </c>
      <c r="B5713" s="693">
        <v>5410090063</v>
      </c>
      <c r="C5713" s="672" t="s">
        <v>10392</v>
      </c>
      <c r="D5713" s="809" t="s">
        <v>8227</v>
      </c>
      <c r="E5713" s="674">
        <v>5</v>
      </c>
      <c r="F5713" s="675">
        <v>0.2</v>
      </c>
      <c r="G5713" s="676">
        <v>259350</v>
      </c>
      <c r="H5713" s="929">
        <v>51870</v>
      </c>
      <c r="I5713" s="929">
        <v>90772.5</v>
      </c>
      <c r="J5713" s="689">
        <f t="shared" si="90"/>
        <v>168577.5</v>
      </c>
    </row>
    <row r="5714" spans="1:10" ht="12.75" customHeight="1" x14ac:dyDescent="0.2">
      <c r="A5714" s="681">
        <v>1244</v>
      </c>
      <c r="B5714" s="693">
        <v>5410090044</v>
      </c>
      <c r="C5714" s="672" t="s">
        <v>10392</v>
      </c>
      <c r="D5714" s="809" t="s">
        <v>8227</v>
      </c>
      <c r="E5714" s="674">
        <v>5</v>
      </c>
      <c r="F5714" s="675">
        <v>0.2</v>
      </c>
      <c r="G5714" s="676">
        <v>259350</v>
      </c>
      <c r="H5714" s="929">
        <v>51870</v>
      </c>
      <c r="I5714" s="929">
        <v>90772.5</v>
      </c>
      <c r="J5714" s="689">
        <f t="shared" si="90"/>
        <v>168577.5</v>
      </c>
    </row>
    <row r="5715" spans="1:10" ht="12.75" customHeight="1" x14ac:dyDescent="0.2">
      <c r="A5715" s="681">
        <v>1244</v>
      </c>
      <c r="B5715" s="693">
        <v>5410090045</v>
      </c>
      <c r="C5715" s="672" t="s">
        <v>10392</v>
      </c>
      <c r="D5715" s="809" t="s">
        <v>8227</v>
      </c>
      <c r="E5715" s="674">
        <v>5</v>
      </c>
      <c r="F5715" s="675">
        <v>0.2</v>
      </c>
      <c r="G5715" s="676">
        <v>259350</v>
      </c>
      <c r="H5715" s="929">
        <v>51870</v>
      </c>
      <c r="I5715" s="929">
        <v>90772.5</v>
      </c>
      <c r="J5715" s="689">
        <f t="shared" si="90"/>
        <v>168577.5</v>
      </c>
    </row>
    <row r="5716" spans="1:10" ht="12.75" customHeight="1" x14ac:dyDescent="0.2">
      <c r="A5716" s="681">
        <v>1244</v>
      </c>
      <c r="B5716" s="693">
        <v>5410150014</v>
      </c>
      <c r="C5716" s="672" t="s">
        <v>8588</v>
      </c>
      <c r="D5716" s="809" t="s">
        <v>8227</v>
      </c>
      <c r="E5716" s="674">
        <v>5</v>
      </c>
      <c r="F5716" s="675">
        <v>0.2</v>
      </c>
      <c r="G5716" s="676">
        <v>812000</v>
      </c>
      <c r="H5716" s="929">
        <v>162400</v>
      </c>
      <c r="I5716" s="929">
        <v>284200</v>
      </c>
      <c r="J5716" s="689">
        <f t="shared" si="90"/>
        <v>527800</v>
      </c>
    </row>
    <row r="5717" spans="1:10" ht="12.75" customHeight="1" x14ac:dyDescent="0.2">
      <c r="A5717" s="681">
        <v>1244</v>
      </c>
      <c r="B5717" s="693">
        <v>5410480022</v>
      </c>
      <c r="C5717" s="672" t="s">
        <v>8589</v>
      </c>
      <c r="D5717" s="809" t="s">
        <v>8227</v>
      </c>
      <c r="E5717" s="674">
        <v>5</v>
      </c>
      <c r="F5717" s="675">
        <v>0.2</v>
      </c>
      <c r="G5717" s="676">
        <v>19400</v>
      </c>
      <c r="H5717" s="929">
        <v>3880.0000000000005</v>
      </c>
      <c r="I5717" s="929">
        <v>6790</v>
      </c>
      <c r="J5717" s="689">
        <f t="shared" si="90"/>
        <v>12610</v>
      </c>
    </row>
    <row r="5718" spans="1:10" ht="12.75" customHeight="1" x14ac:dyDescent="0.2">
      <c r="A5718" s="681">
        <v>1246</v>
      </c>
      <c r="B5718" s="693">
        <v>5652460002</v>
      </c>
      <c r="C5718" s="672" t="s">
        <v>8590</v>
      </c>
      <c r="D5718" s="809" t="s">
        <v>8227</v>
      </c>
      <c r="E5718" s="674">
        <v>3</v>
      </c>
      <c r="F5718" s="675">
        <v>0.33</v>
      </c>
      <c r="G5718" s="676">
        <v>29000</v>
      </c>
      <c r="H5718" s="929">
        <v>9570</v>
      </c>
      <c r="I5718" s="929">
        <v>16747.5</v>
      </c>
      <c r="J5718" s="689">
        <f t="shared" si="90"/>
        <v>12252.5</v>
      </c>
    </row>
    <row r="5719" spans="1:10" ht="12.75" customHeight="1" x14ac:dyDescent="0.2">
      <c r="A5719" s="681">
        <v>1246</v>
      </c>
      <c r="B5719" s="693">
        <v>5151130004</v>
      </c>
      <c r="C5719" s="672" t="s">
        <v>8304</v>
      </c>
      <c r="D5719" s="809" t="s">
        <v>8227</v>
      </c>
      <c r="E5719" s="674">
        <v>3</v>
      </c>
      <c r="F5719" s="675">
        <v>0.33</v>
      </c>
      <c r="G5719" s="676">
        <v>1972</v>
      </c>
      <c r="H5719" s="929">
        <v>650.7600000000001</v>
      </c>
      <c r="I5719" s="929">
        <v>1138.8300000000002</v>
      </c>
      <c r="J5719" s="689">
        <f t="shared" si="90"/>
        <v>833.16999999999985</v>
      </c>
    </row>
    <row r="5720" spans="1:10" ht="12.75" customHeight="1" x14ac:dyDescent="0.2">
      <c r="A5720" s="681">
        <v>1246</v>
      </c>
      <c r="B5720" s="693">
        <v>5620750034</v>
      </c>
      <c r="C5720" s="672" t="s">
        <v>8591</v>
      </c>
      <c r="D5720" s="809" t="s">
        <v>8227</v>
      </c>
      <c r="E5720" s="674">
        <v>10</v>
      </c>
      <c r="F5720" s="675">
        <v>0.1</v>
      </c>
      <c r="G5720" s="676">
        <v>4619.2011666666667</v>
      </c>
      <c r="H5720" s="929">
        <v>461.92011666666667</v>
      </c>
      <c r="I5720" s="929">
        <v>808.36020416666668</v>
      </c>
      <c r="J5720" s="689">
        <f t="shared" si="90"/>
        <v>3810.8409624999999</v>
      </c>
    </row>
    <row r="5721" spans="1:10" ht="12.75" customHeight="1" x14ac:dyDescent="0.2">
      <c r="A5721" s="681">
        <v>1246</v>
      </c>
      <c r="B5721" s="693">
        <v>5620750035</v>
      </c>
      <c r="C5721" s="672" t="s">
        <v>8591</v>
      </c>
      <c r="D5721" s="809" t="s">
        <v>8227</v>
      </c>
      <c r="E5721" s="674">
        <v>10</v>
      </c>
      <c r="F5721" s="675">
        <v>0.1</v>
      </c>
      <c r="G5721" s="676">
        <v>4619.2011666666667</v>
      </c>
      <c r="H5721" s="929">
        <v>461.92011666666667</v>
      </c>
      <c r="I5721" s="929">
        <v>808.36020416666668</v>
      </c>
      <c r="J5721" s="689">
        <f t="shared" si="90"/>
        <v>3810.8409624999999</v>
      </c>
    </row>
    <row r="5722" spans="1:10" ht="12.75" customHeight="1" x14ac:dyDescent="0.2">
      <c r="A5722" s="681">
        <v>1246</v>
      </c>
      <c r="B5722" s="693">
        <v>5620750021</v>
      </c>
      <c r="C5722" s="672" t="s">
        <v>8591</v>
      </c>
      <c r="D5722" s="809" t="s">
        <v>8227</v>
      </c>
      <c r="E5722" s="674">
        <v>10</v>
      </c>
      <c r="F5722" s="675">
        <v>0.1</v>
      </c>
      <c r="G5722" s="676">
        <v>4619.2011666666667</v>
      </c>
      <c r="H5722" s="929">
        <v>461.92011666666667</v>
      </c>
      <c r="I5722" s="929">
        <v>808.36020416666668</v>
      </c>
      <c r="J5722" s="689">
        <f t="shared" si="90"/>
        <v>3810.8409624999999</v>
      </c>
    </row>
    <row r="5723" spans="1:10" ht="12.75" customHeight="1" x14ac:dyDescent="0.2">
      <c r="A5723" s="681">
        <v>1246</v>
      </c>
      <c r="B5723" s="693">
        <v>5620750022</v>
      </c>
      <c r="C5723" s="672" t="s">
        <v>8591</v>
      </c>
      <c r="D5723" s="809" t="s">
        <v>8227</v>
      </c>
      <c r="E5723" s="674">
        <v>10</v>
      </c>
      <c r="F5723" s="675">
        <v>0.1</v>
      </c>
      <c r="G5723" s="676">
        <v>4619.2011666666667</v>
      </c>
      <c r="H5723" s="929">
        <v>461.92011666666667</v>
      </c>
      <c r="I5723" s="929">
        <v>808.36020416666668</v>
      </c>
      <c r="J5723" s="689">
        <f t="shared" si="90"/>
        <v>3810.8409624999999</v>
      </c>
    </row>
    <row r="5724" spans="1:10" ht="12.75" customHeight="1" x14ac:dyDescent="0.2">
      <c r="A5724" s="681">
        <v>1246</v>
      </c>
      <c r="B5724" s="693">
        <v>5620750023</v>
      </c>
      <c r="C5724" s="672" t="s">
        <v>8591</v>
      </c>
      <c r="D5724" s="809" t="s">
        <v>8227</v>
      </c>
      <c r="E5724" s="674">
        <v>10</v>
      </c>
      <c r="F5724" s="675">
        <v>0.1</v>
      </c>
      <c r="G5724" s="676">
        <v>4619.2011666666667</v>
      </c>
      <c r="H5724" s="929">
        <v>461.92011666666667</v>
      </c>
      <c r="I5724" s="929">
        <v>808.36020416666668</v>
      </c>
      <c r="J5724" s="689">
        <f t="shared" si="90"/>
        <v>3810.8409624999999</v>
      </c>
    </row>
    <row r="5725" spans="1:10" ht="12.75" customHeight="1" x14ac:dyDescent="0.2">
      <c r="A5725" s="681">
        <v>1246</v>
      </c>
      <c r="B5725" s="693">
        <v>5620750024</v>
      </c>
      <c r="C5725" s="672" t="s">
        <v>8591</v>
      </c>
      <c r="D5725" s="809" t="s">
        <v>8227</v>
      </c>
      <c r="E5725" s="674">
        <v>10</v>
      </c>
      <c r="F5725" s="675">
        <v>0.1</v>
      </c>
      <c r="G5725" s="676">
        <v>4619.2011666666667</v>
      </c>
      <c r="H5725" s="929">
        <v>461.92011666666667</v>
      </c>
      <c r="I5725" s="929">
        <v>808.36020416666668</v>
      </c>
      <c r="J5725" s="689">
        <f t="shared" si="90"/>
        <v>3810.8409624999999</v>
      </c>
    </row>
    <row r="5726" spans="1:10" ht="12.75" customHeight="1" x14ac:dyDescent="0.2">
      <c r="A5726" s="681">
        <v>1246</v>
      </c>
      <c r="B5726" s="693">
        <v>5620750025</v>
      </c>
      <c r="C5726" s="672" t="s">
        <v>8591</v>
      </c>
      <c r="D5726" s="809" t="s">
        <v>8227</v>
      </c>
      <c r="E5726" s="674">
        <v>10</v>
      </c>
      <c r="F5726" s="675">
        <v>0.1</v>
      </c>
      <c r="G5726" s="676">
        <v>4619.2011666666667</v>
      </c>
      <c r="H5726" s="929">
        <v>461.92011666666667</v>
      </c>
      <c r="I5726" s="929">
        <v>808.36020416666668</v>
      </c>
      <c r="J5726" s="689">
        <f t="shared" si="90"/>
        <v>3810.8409624999999</v>
      </c>
    </row>
    <row r="5727" spans="1:10" ht="12.75" customHeight="1" x14ac:dyDescent="0.2">
      <c r="A5727" s="681">
        <v>1246</v>
      </c>
      <c r="B5727" s="693">
        <v>5620750026</v>
      </c>
      <c r="C5727" s="672" t="s">
        <v>8591</v>
      </c>
      <c r="D5727" s="809" t="s">
        <v>8227</v>
      </c>
      <c r="E5727" s="674">
        <v>10</v>
      </c>
      <c r="F5727" s="675">
        <v>0.1</v>
      </c>
      <c r="G5727" s="676">
        <v>4619.2011666666667</v>
      </c>
      <c r="H5727" s="929">
        <v>461.92011666666667</v>
      </c>
      <c r="I5727" s="929">
        <v>808.36020416666668</v>
      </c>
      <c r="J5727" s="689">
        <f t="shared" si="90"/>
        <v>3810.8409624999999</v>
      </c>
    </row>
    <row r="5728" spans="1:10" ht="12.75" customHeight="1" x14ac:dyDescent="0.2">
      <c r="A5728" s="681">
        <v>1246</v>
      </c>
      <c r="B5728" s="693">
        <v>5620750027</v>
      </c>
      <c r="C5728" s="672" t="s">
        <v>8591</v>
      </c>
      <c r="D5728" s="809" t="s">
        <v>8227</v>
      </c>
      <c r="E5728" s="674">
        <v>10</v>
      </c>
      <c r="F5728" s="675">
        <v>0.1</v>
      </c>
      <c r="G5728" s="676">
        <v>4619.2011666666667</v>
      </c>
      <c r="H5728" s="929">
        <v>461.92011666666667</v>
      </c>
      <c r="I5728" s="929">
        <v>808.36020416666668</v>
      </c>
      <c r="J5728" s="689">
        <f t="shared" si="90"/>
        <v>3810.8409624999999</v>
      </c>
    </row>
    <row r="5729" spans="1:10" ht="12.75" customHeight="1" x14ac:dyDescent="0.2">
      <c r="A5729" s="681">
        <v>1246</v>
      </c>
      <c r="B5729" s="693">
        <v>5620750028</v>
      </c>
      <c r="C5729" s="672" t="s">
        <v>8591</v>
      </c>
      <c r="D5729" s="809" t="s">
        <v>8227</v>
      </c>
      <c r="E5729" s="674">
        <v>10</v>
      </c>
      <c r="F5729" s="675">
        <v>0.1</v>
      </c>
      <c r="G5729" s="676">
        <v>4619.2011666666667</v>
      </c>
      <c r="H5729" s="929">
        <v>461.92011666666667</v>
      </c>
      <c r="I5729" s="929">
        <v>808.36020416666668</v>
      </c>
      <c r="J5729" s="689">
        <f t="shared" si="90"/>
        <v>3810.8409624999999</v>
      </c>
    </row>
    <row r="5730" spans="1:10" ht="12.75" customHeight="1" x14ac:dyDescent="0.2">
      <c r="A5730" s="681">
        <v>1246</v>
      </c>
      <c r="B5730" s="693">
        <v>5620750029</v>
      </c>
      <c r="C5730" s="672" t="s">
        <v>8591</v>
      </c>
      <c r="D5730" s="809" t="s">
        <v>8227</v>
      </c>
      <c r="E5730" s="674">
        <v>10</v>
      </c>
      <c r="F5730" s="675">
        <v>0.1</v>
      </c>
      <c r="G5730" s="676">
        <v>4619.2011666666667</v>
      </c>
      <c r="H5730" s="929">
        <v>461.92011666666667</v>
      </c>
      <c r="I5730" s="929">
        <v>808.36020416666668</v>
      </c>
      <c r="J5730" s="689">
        <f t="shared" si="90"/>
        <v>3810.8409624999999</v>
      </c>
    </row>
    <row r="5731" spans="1:10" ht="12.75" customHeight="1" x14ac:dyDescent="0.2">
      <c r="A5731" s="681">
        <v>1246</v>
      </c>
      <c r="B5731" s="693">
        <v>5620750030</v>
      </c>
      <c r="C5731" s="672" t="s">
        <v>8591</v>
      </c>
      <c r="D5731" s="809" t="s">
        <v>8227</v>
      </c>
      <c r="E5731" s="674">
        <v>10</v>
      </c>
      <c r="F5731" s="675">
        <v>0.1</v>
      </c>
      <c r="G5731" s="676">
        <v>4619.2011666666667</v>
      </c>
      <c r="H5731" s="929">
        <v>461.92011666666667</v>
      </c>
      <c r="I5731" s="929">
        <v>808.36020416666668</v>
      </c>
      <c r="J5731" s="689">
        <f t="shared" si="90"/>
        <v>3810.8409624999999</v>
      </c>
    </row>
    <row r="5732" spans="1:10" ht="12.75" customHeight="1" x14ac:dyDescent="0.2">
      <c r="A5732" s="681">
        <v>1246</v>
      </c>
      <c r="B5732" s="693">
        <v>5620750031</v>
      </c>
      <c r="C5732" s="672" t="s">
        <v>8591</v>
      </c>
      <c r="D5732" s="809" t="s">
        <v>8227</v>
      </c>
      <c r="E5732" s="674">
        <v>10</v>
      </c>
      <c r="F5732" s="675">
        <v>0.1</v>
      </c>
      <c r="G5732" s="676">
        <v>4619.2011666666667</v>
      </c>
      <c r="H5732" s="929">
        <v>461.92011666666667</v>
      </c>
      <c r="I5732" s="929">
        <v>808.36020416666668</v>
      </c>
      <c r="J5732" s="689">
        <f t="shared" si="90"/>
        <v>3810.8409624999999</v>
      </c>
    </row>
    <row r="5733" spans="1:10" ht="12.75" customHeight="1" x14ac:dyDescent="0.2">
      <c r="A5733" s="681">
        <v>1246</v>
      </c>
      <c r="B5733" s="693">
        <v>5620750032</v>
      </c>
      <c r="C5733" s="672" t="s">
        <v>8591</v>
      </c>
      <c r="D5733" s="809" t="s">
        <v>8227</v>
      </c>
      <c r="E5733" s="674">
        <v>10</v>
      </c>
      <c r="F5733" s="675">
        <v>0.1</v>
      </c>
      <c r="G5733" s="676">
        <v>4619.2011666666667</v>
      </c>
      <c r="H5733" s="929">
        <v>461.92011666666667</v>
      </c>
      <c r="I5733" s="929">
        <v>808.36020416666668</v>
      </c>
      <c r="J5733" s="689">
        <f t="shared" si="90"/>
        <v>3810.8409624999999</v>
      </c>
    </row>
    <row r="5734" spans="1:10" ht="12.75" customHeight="1" x14ac:dyDescent="0.2">
      <c r="A5734" s="681">
        <v>1246</v>
      </c>
      <c r="B5734" s="693">
        <v>5620750033</v>
      </c>
      <c r="C5734" s="672" t="s">
        <v>8591</v>
      </c>
      <c r="D5734" s="809" t="s">
        <v>8227</v>
      </c>
      <c r="E5734" s="674">
        <v>10</v>
      </c>
      <c r="F5734" s="675">
        <v>0.1</v>
      </c>
      <c r="G5734" s="676">
        <v>4619.2011666666667</v>
      </c>
      <c r="H5734" s="929">
        <v>461.92011666666667</v>
      </c>
      <c r="I5734" s="929">
        <v>808.36020416666668</v>
      </c>
      <c r="J5734" s="689">
        <f t="shared" si="90"/>
        <v>3810.8409624999999</v>
      </c>
    </row>
    <row r="5735" spans="1:10" ht="12.75" customHeight="1" x14ac:dyDescent="0.2">
      <c r="A5735" s="681">
        <v>1246</v>
      </c>
      <c r="B5735" s="693">
        <v>5620750036</v>
      </c>
      <c r="C5735" s="672" t="s">
        <v>8591</v>
      </c>
      <c r="D5735" s="809" t="s">
        <v>8227</v>
      </c>
      <c r="E5735" s="674">
        <v>10</v>
      </c>
      <c r="F5735" s="675">
        <v>0.1</v>
      </c>
      <c r="G5735" s="676">
        <v>4619.2011666666667</v>
      </c>
      <c r="H5735" s="929">
        <v>461.92011666666667</v>
      </c>
      <c r="I5735" s="929">
        <v>808.36020416666668</v>
      </c>
      <c r="J5735" s="689">
        <f t="shared" si="90"/>
        <v>3810.8409624999999</v>
      </c>
    </row>
    <row r="5736" spans="1:10" ht="12.75" customHeight="1" x14ac:dyDescent="0.2">
      <c r="A5736" s="681">
        <v>1246</v>
      </c>
      <c r="B5736" s="693">
        <v>5620750037</v>
      </c>
      <c r="C5736" s="672" t="s">
        <v>8591</v>
      </c>
      <c r="D5736" s="809" t="s">
        <v>8227</v>
      </c>
      <c r="E5736" s="674">
        <v>10</v>
      </c>
      <c r="F5736" s="675">
        <v>0.1</v>
      </c>
      <c r="G5736" s="676">
        <v>4619.2011666666667</v>
      </c>
      <c r="H5736" s="929">
        <v>461.92011666666667</v>
      </c>
      <c r="I5736" s="929">
        <v>808.36020416666668</v>
      </c>
      <c r="J5736" s="689">
        <f t="shared" si="90"/>
        <v>3810.8409624999999</v>
      </c>
    </row>
    <row r="5737" spans="1:10" ht="12.75" customHeight="1" x14ac:dyDescent="0.2">
      <c r="A5737" s="681">
        <v>1246</v>
      </c>
      <c r="B5737" s="693">
        <v>5620750038</v>
      </c>
      <c r="C5737" s="672" t="s">
        <v>8591</v>
      </c>
      <c r="D5737" s="809" t="s">
        <v>8227</v>
      </c>
      <c r="E5737" s="674">
        <v>10</v>
      </c>
      <c r="F5737" s="675">
        <v>0.1</v>
      </c>
      <c r="G5737" s="676">
        <v>4619.2011666666667</v>
      </c>
      <c r="H5737" s="929">
        <v>461.92011666666667</v>
      </c>
      <c r="I5737" s="929">
        <v>808.36020416666668</v>
      </c>
      <c r="J5737" s="689">
        <f t="shared" si="90"/>
        <v>3810.8409624999999</v>
      </c>
    </row>
    <row r="5738" spans="1:10" ht="12.75" customHeight="1" x14ac:dyDescent="0.2">
      <c r="A5738" s="681">
        <v>1246</v>
      </c>
      <c r="B5738" s="693">
        <v>5620750039</v>
      </c>
      <c r="C5738" s="672" t="s">
        <v>8591</v>
      </c>
      <c r="D5738" s="809" t="s">
        <v>8227</v>
      </c>
      <c r="E5738" s="674">
        <v>10</v>
      </c>
      <c r="F5738" s="675">
        <v>0.1</v>
      </c>
      <c r="G5738" s="676">
        <v>4619.2011666666667</v>
      </c>
      <c r="H5738" s="929">
        <v>461.92011666666667</v>
      </c>
      <c r="I5738" s="929">
        <v>808.36020416666668</v>
      </c>
      <c r="J5738" s="689">
        <f t="shared" si="90"/>
        <v>3810.8409624999999</v>
      </c>
    </row>
    <row r="5739" spans="1:10" ht="12.75" customHeight="1" x14ac:dyDescent="0.2">
      <c r="A5739" s="681">
        <v>1246</v>
      </c>
      <c r="B5739" s="693">
        <v>5620750040</v>
      </c>
      <c r="C5739" s="672" t="s">
        <v>8591</v>
      </c>
      <c r="D5739" s="809" t="s">
        <v>8227</v>
      </c>
      <c r="E5739" s="674">
        <v>10</v>
      </c>
      <c r="F5739" s="675">
        <v>0.1</v>
      </c>
      <c r="G5739" s="676">
        <v>4619.2011666666667</v>
      </c>
      <c r="H5739" s="929">
        <v>461.92011666666667</v>
      </c>
      <c r="I5739" s="929">
        <v>808.36020416666668</v>
      </c>
      <c r="J5739" s="689">
        <f t="shared" si="90"/>
        <v>3810.8409624999999</v>
      </c>
    </row>
    <row r="5740" spans="1:10" ht="12.75" customHeight="1" x14ac:dyDescent="0.2">
      <c r="A5740" s="681">
        <v>1246</v>
      </c>
      <c r="B5740" s="693">
        <v>5620750041</v>
      </c>
      <c r="C5740" s="672" t="s">
        <v>8591</v>
      </c>
      <c r="D5740" s="809" t="s">
        <v>8227</v>
      </c>
      <c r="E5740" s="674">
        <v>10</v>
      </c>
      <c r="F5740" s="675">
        <v>0.1</v>
      </c>
      <c r="G5740" s="676">
        <v>4619.2011666666667</v>
      </c>
      <c r="H5740" s="929">
        <v>461.92011666666667</v>
      </c>
      <c r="I5740" s="929">
        <v>808.36020416666668</v>
      </c>
      <c r="J5740" s="689">
        <f t="shared" si="90"/>
        <v>3810.8409624999999</v>
      </c>
    </row>
    <row r="5741" spans="1:10" ht="12.75" customHeight="1" x14ac:dyDescent="0.2">
      <c r="A5741" s="681">
        <v>1246</v>
      </c>
      <c r="B5741" s="693">
        <v>5620750042</v>
      </c>
      <c r="C5741" s="672" t="s">
        <v>8591</v>
      </c>
      <c r="D5741" s="809" t="s">
        <v>8227</v>
      </c>
      <c r="E5741" s="674">
        <v>10</v>
      </c>
      <c r="F5741" s="675">
        <v>0.1</v>
      </c>
      <c r="G5741" s="676">
        <v>4619.2011666666667</v>
      </c>
      <c r="H5741" s="929">
        <v>461.92011666666667</v>
      </c>
      <c r="I5741" s="929">
        <v>808.36020416666668</v>
      </c>
      <c r="J5741" s="689">
        <f t="shared" si="90"/>
        <v>3810.8409624999999</v>
      </c>
    </row>
    <row r="5742" spans="1:10" ht="12.75" customHeight="1" x14ac:dyDescent="0.2">
      <c r="A5742" s="681">
        <v>1246</v>
      </c>
      <c r="B5742" s="693">
        <v>5620750043</v>
      </c>
      <c r="C5742" s="672" t="s">
        <v>8591</v>
      </c>
      <c r="D5742" s="809" t="s">
        <v>8227</v>
      </c>
      <c r="E5742" s="674">
        <v>10</v>
      </c>
      <c r="F5742" s="675">
        <v>0.1</v>
      </c>
      <c r="G5742" s="676">
        <v>4619.2011666666667</v>
      </c>
      <c r="H5742" s="929">
        <v>461.92011666666667</v>
      </c>
      <c r="I5742" s="929">
        <v>808.36020416666668</v>
      </c>
      <c r="J5742" s="689">
        <f t="shared" si="90"/>
        <v>3810.8409624999999</v>
      </c>
    </row>
    <row r="5743" spans="1:10" ht="12.75" customHeight="1" x14ac:dyDescent="0.2">
      <c r="A5743" s="681">
        <v>1246</v>
      </c>
      <c r="B5743" s="693">
        <v>5620750044</v>
      </c>
      <c r="C5743" s="672" t="s">
        <v>8591</v>
      </c>
      <c r="D5743" s="809" t="s">
        <v>8227</v>
      </c>
      <c r="E5743" s="674">
        <v>10</v>
      </c>
      <c r="F5743" s="675">
        <v>0.1</v>
      </c>
      <c r="G5743" s="676">
        <v>4619.2011666666667</v>
      </c>
      <c r="H5743" s="929">
        <v>461.92011666666667</v>
      </c>
      <c r="I5743" s="929">
        <v>808.36020416666668</v>
      </c>
      <c r="J5743" s="689">
        <f t="shared" si="90"/>
        <v>3810.8409624999999</v>
      </c>
    </row>
    <row r="5744" spans="1:10" ht="12.75" customHeight="1" x14ac:dyDescent="0.2">
      <c r="A5744" s="681">
        <v>1246</v>
      </c>
      <c r="B5744" s="693">
        <v>5620750045</v>
      </c>
      <c r="C5744" s="672" t="s">
        <v>8591</v>
      </c>
      <c r="D5744" s="809" t="s">
        <v>8227</v>
      </c>
      <c r="E5744" s="674">
        <v>10</v>
      </c>
      <c r="F5744" s="675">
        <v>0.1</v>
      </c>
      <c r="G5744" s="676">
        <v>4619.2011666666667</v>
      </c>
      <c r="H5744" s="929">
        <v>461.92011666666667</v>
      </c>
      <c r="I5744" s="929">
        <v>808.36020416666668</v>
      </c>
      <c r="J5744" s="689">
        <f t="shared" si="90"/>
        <v>3810.8409624999999</v>
      </c>
    </row>
    <row r="5745" spans="1:10" ht="12.75" customHeight="1" x14ac:dyDescent="0.2">
      <c r="A5745" s="681">
        <v>1246</v>
      </c>
      <c r="B5745" s="693">
        <v>5620750046</v>
      </c>
      <c r="C5745" s="672" t="s">
        <v>8591</v>
      </c>
      <c r="D5745" s="809" t="s">
        <v>8227</v>
      </c>
      <c r="E5745" s="674">
        <v>10</v>
      </c>
      <c r="F5745" s="675">
        <v>0.1</v>
      </c>
      <c r="G5745" s="676">
        <v>4619.2011666666667</v>
      </c>
      <c r="H5745" s="929">
        <v>461.92011666666667</v>
      </c>
      <c r="I5745" s="929">
        <v>808.36020416666668</v>
      </c>
      <c r="J5745" s="689">
        <f t="shared" si="90"/>
        <v>3810.8409624999999</v>
      </c>
    </row>
    <row r="5746" spans="1:10" ht="12.75" customHeight="1" x14ac:dyDescent="0.2">
      <c r="A5746" s="681">
        <v>1246</v>
      </c>
      <c r="B5746" s="693">
        <v>5620750047</v>
      </c>
      <c r="C5746" s="672" t="s">
        <v>8591</v>
      </c>
      <c r="D5746" s="809" t="s">
        <v>8227</v>
      </c>
      <c r="E5746" s="674">
        <v>10</v>
      </c>
      <c r="F5746" s="675">
        <v>0.1</v>
      </c>
      <c r="G5746" s="676">
        <v>4619.2011666666667</v>
      </c>
      <c r="H5746" s="929">
        <v>461.92011666666667</v>
      </c>
      <c r="I5746" s="929">
        <v>808.36020416666668</v>
      </c>
      <c r="J5746" s="689">
        <f t="shared" si="90"/>
        <v>3810.8409624999999</v>
      </c>
    </row>
    <row r="5747" spans="1:10" ht="12.75" customHeight="1" x14ac:dyDescent="0.2">
      <c r="A5747" s="681">
        <v>1246</v>
      </c>
      <c r="B5747" s="693">
        <v>5620750048</v>
      </c>
      <c r="C5747" s="672" t="s">
        <v>8591</v>
      </c>
      <c r="D5747" s="809" t="s">
        <v>8227</v>
      </c>
      <c r="E5747" s="674">
        <v>10</v>
      </c>
      <c r="F5747" s="675">
        <v>0.1</v>
      </c>
      <c r="G5747" s="676">
        <v>4619.2011666666667</v>
      </c>
      <c r="H5747" s="929">
        <v>461.92011666666667</v>
      </c>
      <c r="I5747" s="929">
        <v>808.36020416666668</v>
      </c>
      <c r="J5747" s="689">
        <f t="shared" si="90"/>
        <v>3810.8409624999999</v>
      </c>
    </row>
    <row r="5748" spans="1:10" ht="12.75" customHeight="1" x14ac:dyDescent="0.2">
      <c r="A5748" s="681">
        <v>1246</v>
      </c>
      <c r="B5748" s="693">
        <v>5620750049</v>
      </c>
      <c r="C5748" s="672" t="s">
        <v>8591</v>
      </c>
      <c r="D5748" s="809" t="s">
        <v>8227</v>
      </c>
      <c r="E5748" s="674">
        <v>10</v>
      </c>
      <c r="F5748" s="675">
        <v>0.1</v>
      </c>
      <c r="G5748" s="676">
        <v>4619.2011666666667</v>
      </c>
      <c r="H5748" s="929">
        <v>461.92011666666667</v>
      </c>
      <c r="I5748" s="929">
        <v>808.36020416666668</v>
      </c>
      <c r="J5748" s="689">
        <f t="shared" si="90"/>
        <v>3810.8409624999999</v>
      </c>
    </row>
    <row r="5749" spans="1:10" ht="12.75" customHeight="1" x14ac:dyDescent="0.2">
      <c r="A5749" s="681">
        <v>1246</v>
      </c>
      <c r="B5749" s="693">
        <v>5620750050</v>
      </c>
      <c r="C5749" s="672" t="s">
        <v>8591</v>
      </c>
      <c r="D5749" s="809" t="s">
        <v>8227</v>
      </c>
      <c r="E5749" s="674">
        <v>10</v>
      </c>
      <c r="F5749" s="675">
        <v>0.1</v>
      </c>
      <c r="G5749" s="676">
        <v>4619.2011666666667</v>
      </c>
      <c r="H5749" s="929">
        <v>461.92011666666667</v>
      </c>
      <c r="I5749" s="929">
        <v>808.36020416666668</v>
      </c>
      <c r="J5749" s="689">
        <f t="shared" si="90"/>
        <v>3810.8409624999999</v>
      </c>
    </row>
    <row r="5750" spans="1:10" ht="12.75" customHeight="1" x14ac:dyDescent="0.2">
      <c r="A5750" s="681">
        <v>1246</v>
      </c>
      <c r="B5750" s="693">
        <v>5620750051</v>
      </c>
      <c r="C5750" s="672" t="s">
        <v>8591</v>
      </c>
      <c r="D5750" s="809" t="s">
        <v>8227</v>
      </c>
      <c r="E5750" s="674">
        <v>10</v>
      </c>
      <c r="F5750" s="675">
        <v>0.1</v>
      </c>
      <c r="G5750" s="676">
        <v>4619.2011666666667</v>
      </c>
      <c r="H5750" s="929">
        <v>461.92011666666667</v>
      </c>
      <c r="I5750" s="929">
        <v>808.36020416666668</v>
      </c>
      <c r="J5750" s="689">
        <f t="shared" si="90"/>
        <v>3810.8409624999999</v>
      </c>
    </row>
    <row r="5751" spans="1:10" ht="12.75" customHeight="1" x14ac:dyDescent="0.2">
      <c r="A5751" s="681">
        <v>1246</v>
      </c>
      <c r="B5751" s="693">
        <v>5620750052</v>
      </c>
      <c r="C5751" s="672" t="s">
        <v>8591</v>
      </c>
      <c r="D5751" s="809" t="s">
        <v>8227</v>
      </c>
      <c r="E5751" s="674">
        <v>10</v>
      </c>
      <c r="F5751" s="675">
        <v>0.1</v>
      </c>
      <c r="G5751" s="676">
        <v>4619.2011666666667</v>
      </c>
      <c r="H5751" s="929">
        <v>461.92011666666667</v>
      </c>
      <c r="I5751" s="929">
        <v>808.36020416666668</v>
      </c>
      <c r="J5751" s="689">
        <f t="shared" si="90"/>
        <v>3810.8409624999999</v>
      </c>
    </row>
    <row r="5752" spans="1:10" ht="12.75" customHeight="1" x14ac:dyDescent="0.2">
      <c r="A5752" s="681">
        <v>1246</v>
      </c>
      <c r="B5752" s="693">
        <v>5620750053</v>
      </c>
      <c r="C5752" s="672" t="s">
        <v>8591</v>
      </c>
      <c r="D5752" s="809" t="s">
        <v>8227</v>
      </c>
      <c r="E5752" s="674">
        <v>10</v>
      </c>
      <c r="F5752" s="675">
        <v>0.1</v>
      </c>
      <c r="G5752" s="676">
        <v>4619.2011666666667</v>
      </c>
      <c r="H5752" s="929">
        <v>461.92011666666667</v>
      </c>
      <c r="I5752" s="929">
        <v>808.36020416666668</v>
      </c>
      <c r="J5752" s="689">
        <f t="shared" si="90"/>
        <v>3810.8409624999999</v>
      </c>
    </row>
    <row r="5753" spans="1:10" ht="12.75" customHeight="1" x14ac:dyDescent="0.2">
      <c r="A5753" s="681">
        <v>1246</v>
      </c>
      <c r="B5753" s="693">
        <v>5620750054</v>
      </c>
      <c r="C5753" s="672" t="s">
        <v>8591</v>
      </c>
      <c r="D5753" s="809" t="s">
        <v>8227</v>
      </c>
      <c r="E5753" s="674">
        <v>10</v>
      </c>
      <c r="F5753" s="675">
        <v>0.1</v>
      </c>
      <c r="G5753" s="676">
        <v>4619.2011666666667</v>
      </c>
      <c r="H5753" s="929">
        <v>461.92011666666667</v>
      </c>
      <c r="I5753" s="929">
        <v>808.36020416666668</v>
      </c>
      <c r="J5753" s="689">
        <f t="shared" si="90"/>
        <v>3810.8409624999999</v>
      </c>
    </row>
    <row r="5754" spans="1:10" ht="12.75" customHeight="1" x14ac:dyDescent="0.2">
      <c r="A5754" s="681">
        <v>1246</v>
      </c>
      <c r="B5754" s="693">
        <v>5620750055</v>
      </c>
      <c r="C5754" s="672" t="s">
        <v>8591</v>
      </c>
      <c r="D5754" s="809" t="s">
        <v>8227</v>
      </c>
      <c r="E5754" s="674">
        <v>10</v>
      </c>
      <c r="F5754" s="675">
        <v>0.1</v>
      </c>
      <c r="G5754" s="676">
        <v>4619.2011666666667</v>
      </c>
      <c r="H5754" s="929">
        <v>461.92011666666667</v>
      </c>
      <c r="I5754" s="929">
        <v>808.36020416666668</v>
      </c>
      <c r="J5754" s="689">
        <f t="shared" si="90"/>
        <v>3810.8409624999999</v>
      </c>
    </row>
    <row r="5755" spans="1:10" ht="12.75" customHeight="1" x14ac:dyDescent="0.2">
      <c r="A5755" s="681">
        <v>1246</v>
      </c>
      <c r="B5755" s="693">
        <v>5620750056</v>
      </c>
      <c r="C5755" s="672" t="s">
        <v>8591</v>
      </c>
      <c r="D5755" s="809" t="s">
        <v>8227</v>
      </c>
      <c r="E5755" s="674">
        <v>10</v>
      </c>
      <c r="F5755" s="675">
        <v>0.1</v>
      </c>
      <c r="G5755" s="676">
        <v>4619.2011666666667</v>
      </c>
      <c r="H5755" s="929">
        <v>461.92011666666667</v>
      </c>
      <c r="I5755" s="929">
        <v>808.36020416666668</v>
      </c>
      <c r="J5755" s="689">
        <f t="shared" si="90"/>
        <v>3810.8409624999999</v>
      </c>
    </row>
    <row r="5756" spans="1:10" ht="12.75" customHeight="1" x14ac:dyDescent="0.2">
      <c r="A5756" s="681">
        <v>1246</v>
      </c>
      <c r="B5756" s="693">
        <v>5620750057</v>
      </c>
      <c r="C5756" s="672" t="s">
        <v>8591</v>
      </c>
      <c r="D5756" s="809" t="s">
        <v>8227</v>
      </c>
      <c r="E5756" s="674">
        <v>10</v>
      </c>
      <c r="F5756" s="675">
        <v>0.1</v>
      </c>
      <c r="G5756" s="676">
        <v>4619.2011666666667</v>
      </c>
      <c r="H5756" s="929">
        <v>461.92011666666667</v>
      </c>
      <c r="I5756" s="929">
        <v>808.36020416666668</v>
      </c>
      <c r="J5756" s="689">
        <f t="shared" si="90"/>
        <v>3810.8409624999999</v>
      </c>
    </row>
    <row r="5757" spans="1:10" ht="12.75" customHeight="1" x14ac:dyDescent="0.2">
      <c r="A5757" s="681">
        <v>1246</v>
      </c>
      <c r="B5757" s="693">
        <v>5620750058</v>
      </c>
      <c r="C5757" s="672" t="s">
        <v>8591</v>
      </c>
      <c r="D5757" s="809" t="s">
        <v>8227</v>
      </c>
      <c r="E5757" s="674">
        <v>10</v>
      </c>
      <c r="F5757" s="675">
        <v>0.1</v>
      </c>
      <c r="G5757" s="676">
        <v>4619.2011666666667</v>
      </c>
      <c r="H5757" s="929">
        <v>461.92011666666667</v>
      </c>
      <c r="I5757" s="929">
        <v>808.36020416666668</v>
      </c>
      <c r="J5757" s="689">
        <f t="shared" si="90"/>
        <v>3810.8409624999999</v>
      </c>
    </row>
    <row r="5758" spans="1:10" ht="12.75" customHeight="1" x14ac:dyDescent="0.2">
      <c r="A5758" s="681">
        <v>1246</v>
      </c>
      <c r="B5758" s="693">
        <v>5620750059</v>
      </c>
      <c r="C5758" s="672" t="s">
        <v>8591</v>
      </c>
      <c r="D5758" s="809" t="s">
        <v>8227</v>
      </c>
      <c r="E5758" s="674">
        <v>10</v>
      </c>
      <c r="F5758" s="675">
        <v>0.1</v>
      </c>
      <c r="G5758" s="676">
        <v>4619.2011666666667</v>
      </c>
      <c r="H5758" s="929">
        <v>461.92011666666667</v>
      </c>
      <c r="I5758" s="929">
        <v>808.36020416666668</v>
      </c>
      <c r="J5758" s="689">
        <f t="shared" si="90"/>
        <v>3810.8409624999999</v>
      </c>
    </row>
    <row r="5759" spans="1:10" ht="12.75" customHeight="1" x14ac:dyDescent="0.2">
      <c r="A5759" s="681">
        <v>1246</v>
      </c>
      <c r="B5759" s="693">
        <v>5620750060</v>
      </c>
      <c r="C5759" s="672" t="s">
        <v>8591</v>
      </c>
      <c r="D5759" s="809" t="s">
        <v>8227</v>
      </c>
      <c r="E5759" s="674">
        <v>10</v>
      </c>
      <c r="F5759" s="675">
        <v>0.1</v>
      </c>
      <c r="G5759" s="676">
        <v>4619.2011666666667</v>
      </c>
      <c r="H5759" s="929">
        <v>461.92011666666667</v>
      </c>
      <c r="I5759" s="929">
        <v>808.36020416666668</v>
      </c>
      <c r="J5759" s="689">
        <f t="shared" si="90"/>
        <v>3810.8409624999999</v>
      </c>
    </row>
    <row r="5760" spans="1:10" ht="12.75" customHeight="1" x14ac:dyDescent="0.2">
      <c r="A5760" s="681">
        <v>1246</v>
      </c>
      <c r="B5760" s="693">
        <v>5620750061</v>
      </c>
      <c r="C5760" s="672" t="s">
        <v>8591</v>
      </c>
      <c r="D5760" s="809" t="s">
        <v>8227</v>
      </c>
      <c r="E5760" s="674">
        <v>10</v>
      </c>
      <c r="F5760" s="675">
        <v>0.1</v>
      </c>
      <c r="G5760" s="676">
        <v>4619.2011666666667</v>
      </c>
      <c r="H5760" s="929">
        <v>461.92011666666667</v>
      </c>
      <c r="I5760" s="929">
        <v>808.36020416666668</v>
      </c>
      <c r="J5760" s="689">
        <f t="shared" ref="J5760:J5823" si="91">G5760-I5760</f>
        <v>3810.8409624999999</v>
      </c>
    </row>
    <row r="5761" spans="1:10" ht="12.75" customHeight="1" x14ac:dyDescent="0.2">
      <c r="A5761" s="681">
        <v>1246</v>
      </c>
      <c r="B5761" s="693">
        <v>5620750062</v>
      </c>
      <c r="C5761" s="672" t="s">
        <v>8591</v>
      </c>
      <c r="D5761" s="809" t="s">
        <v>8227</v>
      </c>
      <c r="E5761" s="674">
        <v>10</v>
      </c>
      <c r="F5761" s="675">
        <v>0.1</v>
      </c>
      <c r="G5761" s="676">
        <v>4619.2011666666667</v>
      </c>
      <c r="H5761" s="929">
        <v>461.92011666666667</v>
      </c>
      <c r="I5761" s="929">
        <v>808.36020416666668</v>
      </c>
      <c r="J5761" s="689">
        <f t="shared" si="91"/>
        <v>3810.8409624999999</v>
      </c>
    </row>
    <row r="5762" spans="1:10" ht="12.75" customHeight="1" x14ac:dyDescent="0.2">
      <c r="A5762" s="681">
        <v>1246</v>
      </c>
      <c r="B5762" s="693">
        <v>5620750063</v>
      </c>
      <c r="C5762" s="672" t="s">
        <v>8591</v>
      </c>
      <c r="D5762" s="809" t="s">
        <v>8227</v>
      </c>
      <c r="E5762" s="674">
        <v>10</v>
      </c>
      <c r="F5762" s="675">
        <v>0.1</v>
      </c>
      <c r="G5762" s="676">
        <v>4619.2011666666667</v>
      </c>
      <c r="H5762" s="929">
        <v>461.92011666666667</v>
      </c>
      <c r="I5762" s="929">
        <v>808.36020416666668</v>
      </c>
      <c r="J5762" s="689">
        <f t="shared" si="91"/>
        <v>3810.8409624999999</v>
      </c>
    </row>
    <row r="5763" spans="1:10" ht="12.75" customHeight="1" x14ac:dyDescent="0.2">
      <c r="A5763" s="681">
        <v>1246</v>
      </c>
      <c r="B5763" s="693">
        <v>5620750064</v>
      </c>
      <c r="C5763" s="672" t="s">
        <v>8591</v>
      </c>
      <c r="D5763" s="809" t="s">
        <v>8227</v>
      </c>
      <c r="E5763" s="674">
        <v>10</v>
      </c>
      <c r="F5763" s="675">
        <v>0.1</v>
      </c>
      <c r="G5763" s="676">
        <v>4619.2011666666667</v>
      </c>
      <c r="H5763" s="929">
        <v>461.92011666666667</v>
      </c>
      <c r="I5763" s="929">
        <v>808.36020416666668</v>
      </c>
      <c r="J5763" s="689">
        <f t="shared" si="91"/>
        <v>3810.8409624999999</v>
      </c>
    </row>
    <row r="5764" spans="1:10" ht="12.75" customHeight="1" x14ac:dyDescent="0.2">
      <c r="A5764" s="681">
        <v>1246</v>
      </c>
      <c r="B5764" s="693">
        <v>5620750065</v>
      </c>
      <c r="C5764" s="672" t="s">
        <v>8591</v>
      </c>
      <c r="D5764" s="809" t="s">
        <v>8227</v>
      </c>
      <c r="E5764" s="674">
        <v>10</v>
      </c>
      <c r="F5764" s="675">
        <v>0.1</v>
      </c>
      <c r="G5764" s="676">
        <v>4619.2011666666667</v>
      </c>
      <c r="H5764" s="929">
        <v>461.92011666666667</v>
      </c>
      <c r="I5764" s="929">
        <v>808.36020416666668</v>
      </c>
      <c r="J5764" s="689">
        <f t="shared" si="91"/>
        <v>3810.8409624999999</v>
      </c>
    </row>
    <row r="5765" spans="1:10" ht="12.75" customHeight="1" x14ac:dyDescent="0.2">
      <c r="A5765" s="681">
        <v>1246</v>
      </c>
      <c r="B5765" s="693">
        <v>5620750066</v>
      </c>
      <c r="C5765" s="672" t="s">
        <v>8591</v>
      </c>
      <c r="D5765" s="809" t="s">
        <v>8227</v>
      </c>
      <c r="E5765" s="674">
        <v>10</v>
      </c>
      <c r="F5765" s="675">
        <v>0.1</v>
      </c>
      <c r="G5765" s="676">
        <v>4619.2011666666667</v>
      </c>
      <c r="H5765" s="929">
        <v>461.92011666666667</v>
      </c>
      <c r="I5765" s="929">
        <v>808.36020416666668</v>
      </c>
      <c r="J5765" s="689">
        <f t="shared" si="91"/>
        <v>3810.8409624999999</v>
      </c>
    </row>
    <row r="5766" spans="1:10" ht="12.75" customHeight="1" x14ac:dyDescent="0.2">
      <c r="A5766" s="681">
        <v>1246</v>
      </c>
      <c r="B5766" s="693">
        <v>5620750067</v>
      </c>
      <c r="C5766" s="672" t="s">
        <v>8591</v>
      </c>
      <c r="D5766" s="809" t="s">
        <v>8227</v>
      </c>
      <c r="E5766" s="674">
        <v>10</v>
      </c>
      <c r="F5766" s="675">
        <v>0.1</v>
      </c>
      <c r="G5766" s="676">
        <v>4619.2011666666667</v>
      </c>
      <c r="H5766" s="929">
        <v>461.92011666666667</v>
      </c>
      <c r="I5766" s="929">
        <v>808.36020416666668</v>
      </c>
      <c r="J5766" s="689">
        <f t="shared" si="91"/>
        <v>3810.8409624999999</v>
      </c>
    </row>
    <row r="5767" spans="1:10" ht="12.75" customHeight="1" x14ac:dyDescent="0.2">
      <c r="A5767" s="681">
        <v>1246</v>
      </c>
      <c r="B5767" s="693">
        <v>5620750068</v>
      </c>
      <c r="C5767" s="672" t="s">
        <v>8591</v>
      </c>
      <c r="D5767" s="809" t="s">
        <v>8227</v>
      </c>
      <c r="E5767" s="674">
        <v>10</v>
      </c>
      <c r="F5767" s="675">
        <v>0.1</v>
      </c>
      <c r="G5767" s="676">
        <v>4619.2011666666667</v>
      </c>
      <c r="H5767" s="929">
        <v>461.92011666666667</v>
      </c>
      <c r="I5767" s="929">
        <v>808.36020416666668</v>
      </c>
      <c r="J5767" s="689">
        <f t="shared" si="91"/>
        <v>3810.8409624999999</v>
      </c>
    </row>
    <row r="5768" spans="1:10" ht="12.75" customHeight="1" x14ac:dyDescent="0.2">
      <c r="A5768" s="681">
        <v>1246</v>
      </c>
      <c r="B5768" s="693">
        <v>5620750070</v>
      </c>
      <c r="C5768" s="672" t="s">
        <v>8591</v>
      </c>
      <c r="D5768" s="809" t="s">
        <v>8227</v>
      </c>
      <c r="E5768" s="674">
        <v>10</v>
      </c>
      <c r="F5768" s="675">
        <v>0.1</v>
      </c>
      <c r="G5768" s="676">
        <v>4619.2011666666667</v>
      </c>
      <c r="H5768" s="929">
        <v>461.92011666666667</v>
      </c>
      <c r="I5768" s="929">
        <v>808.36020416666668</v>
      </c>
      <c r="J5768" s="689">
        <f t="shared" si="91"/>
        <v>3810.8409624999999</v>
      </c>
    </row>
    <row r="5769" spans="1:10" ht="12.75" customHeight="1" x14ac:dyDescent="0.2">
      <c r="A5769" s="681">
        <v>1246</v>
      </c>
      <c r="B5769" s="693">
        <v>5620750071</v>
      </c>
      <c r="C5769" s="672" t="s">
        <v>8591</v>
      </c>
      <c r="D5769" s="809" t="s">
        <v>8227</v>
      </c>
      <c r="E5769" s="674">
        <v>10</v>
      </c>
      <c r="F5769" s="675">
        <v>0.1</v>
      </c>
      <c r="G5769" s="676">
        <v>4619.2011666666667</v>
      </c>
      <c r="H5769" s="929">
        <v>461.92011666666667</v>
      </c>
      <c r="I5769" s="929">
        <v>808.36020416666668</v>
      </c>
      <c r="J5769" s="689">
        <f t="shared" si="91"/>
        <v>3810.8409624999999</v>
      </c>
    </row>
    <row r="5770" spans="1:10" ht="12.75" customHeight="1" x14ac:dyDescent="0.2">
      <c r="A5770" s="681">
        <v>1246</v>
      </c>
      <c r="B5770" s="693">
        <v>5620750072</v>
      </c>
      <c r="C5770" s="672" t="s">
        <v>8591</v>
      </c>
      <c r="D5770" s="809" t="s">
        <v>8227</v>
      </c>
      <c r="E5770" s="674">
        <v>10</v>
      </c>
      <c r="F5770" s="675">
        <v>0.1</v>
      </c>
      <c r="G5770" s="676">
        <v>4619.2011666666667</v>
      </c>
      <c r="H5770" s="929">
        <v>461.92011666666667</v>
      </c>
      <c r="I5770" s="929">
        <v>808.36020416666668</v>
      </c>
      <c r="J5770" s="689">
        <f t="shared" si="91"/>
        <v>3810.8409624999999</v>
      </c>
    </row>
    <row r="5771" spans="1:10" ht="12.75" customHeight="1" x14ac:dyDescent="0.2">
      <c r="A5771" s="681">
        <v>1246</v>
      </c>
      <c r="B5771" s="693">
        <v>5620750073</v>
      </c>
      <c r="C5771" s="672" t="s">
        <v>8591</v>
      </c>
      <c r="D5771" s="809" t="s">
        <v>8227</v>
      </c>
      <c r="E5771" s="674">
        <v>10</v>
      </c>
      <c r="F5771" s="675">
        <v>0.1</v>
      </c>
      <c r="G5771" s="676">
        <v>4619.2011666666667</v>
      </c>
      <c r="H5771" s="929">
        <v>461.92011666666667</v>
      </c>
      <c r="I5771" s="929">
        <v>808.36020416666668</v>
      </c>
      <c r="J5771" s="689">
        <f t="shared" si="91"/>
        <v>3810.8409624999999</v>
      </c>
    </row>
    <row r="5772" spans="1:10" ht="12.75" customHeight="1" x14ac:dyDescent="0.2">
      <c r="A5772" s="681">
        <v>1246</v>
      </c>
      <c r="B5772" s="693">
        <v>5620750074</v>
      </c>
      <c r="C5772" s="672" t="s">
        <v>8591</v>
      </c>
      <c r="D5772" s="809" t="s">
        <v>8227</v>
      </c>
      <c r="E5772" s="674">
        <v>10</v>
      </c>
      <c r="F5772" s="675">
        <v>0.1</v>
      </c>
      <c r="G5772" s="676">
        <v>4619.2011666666667</v>
      </c>
      <c r="H5772" s="929">
        <v>461.92011666666667</v>
      </c>
      <c r="I5772" s="929">
        <v>808.36020416666668</v>
      </c>
      <c r="J5772" s="689">
        <f t="shared" si="91"/>
        <v>3810.8409624999999</v>
      </c>
    </row>
    <row r="5773" spans="1:10" ht="12.75" customHeight="1" x14ac:dyDescent="0.2">
      <c r="A5773" s="681">
        <v>1246</v>
      </c>
      <c r="B5773" s="693">
        <v>5620750075</v>
      </c>
      <c r="C5773" s="672" t="s">
        <v>8591</v>
      </c>
      <c r="D5773" s="673" t="s">
        <v>8227</v>
      </c>
      <c r="E5773" s="674">
        <v>10</v>
      </c>
      <c r="F5773" s="675">
        <v>0.1</v>
      </c>
      <c r="G5773" s="676">
        <v>4619.2011666666667</v>
      </c>
      <c r="H5773" s="929">
        <v>461.92011666666667</v>
      </c>
      <c r="I5773" s="929">
        <v>808.36020416666668</v>
      </c>
      <c r="J5773" s="689">
        <f t="shared" si="91"/>
        <v>3810.8409624999999</v>
      </c>
    </row>
    <row r="5774" spans="1:10" ht="12.75" customHeight="1" x14ac:dyDescent="0.2">
      <c r="A5774" s="681">
        <v>1246</v>
      </c>
      <c r="B5774" s="693">
        <v>5620750076</v>
      </c>
      <c r="C5774" s="672" t="s">
        <v>8591</v>
      </c>
      <c r="D5774" s="809" t="s">
        <v>8227</v>
      </c>
      <c r="E5774" s="674">
        <v>10</v>
      </c>
      <c r="F5774" s="675">
        <v>0.1</v>
      </c>
      <c r="G5774" s="676">
        <v>4619.2011666666667</v>
      </c>
      <c r="H5774" s="929">
        <v>461.92011666666667</v>
      </c>
      <c r="I5774" s="929">
        <v>808.36020416666668</v>
      </c>
      <c r="J5774" s="689">
        <f t="shared" si="91"/>
        <v>3810.8409624999999</v>
      </c>
    </row>
    <row r="5775" spans="1:10" ht="12.75" customHeight="1" x14ac:dyDescent="0.2">
      <c r="A5775" s="681">
        <v>1246</v>
      </c>
      <c r="B5775" s="693">
        <v>5620750077</v>
      </c>
      <c r="C5775" s="672" t="s">
        <v>8591</v>
      </c>
      <c r="D5775" s="809" t="s">
        <v>8227</v>
      </c>
      <c r="E5775" s="674">
        <v>10</v>
      </c>
      <c r="F5775" s="675">
        <v>0.1</v>
      </c>
      <c r="G5775" s="676">
        <v>4619.2011666666667</v>
      </c>
      <c r="H5775" s="929">
        <v>461.92011666666667</v>
      </c>
      <c r="I5775" s="929">
        <v>808.36020416666668</v>
      </c>
      <c r="J5775" s="689">
        <f t="shared" si="91"/>
        <v>3810.8409624999999</v>
      </c>
    </row>
    <row r="5776" spans="1:10" ht="12.75" customHeight="1" x14ac:dyDescent="0.2">
      <c r="A5776" s="681">
        <v>1246</v>
      </c>
      <c r="B5776" s="693">
        <v>5620750078</v>
      </c>
      <c r="C5776" s="672" t="s">
        <v>8591</v>
      </c>
      <c r="D5776" s="809" t="s">
        <v>8227</v>
      </c>
      <c r="E5776" s="674">
        <v>10</v>
      </c>
      <c r="F5776" s="675">
        <v>0.1</v>
      </c>
      <c r="G5776" s="676">
        <v>4619.2011666666667</v>
      </c>
      <c r="H5776" s="929">
        <v>461.92011666666667</v>
      </c>
      <c r="I5776" s="929">
        <v>808.36020416666668</v>
      </c>
      <c r="J5776" s="689">
        <f t="shared" si="91"/>
        <v>3810.8409624999999</v>
      </c>
    </row>
    <row r="5777" spans="1:10" ht="12.75" customHeight="1" x14ac:dyDescent="0.2">
      <c r="A5777" s="681">
        <v>1246</v>
      </c>
      <c r="B5777" s="693">
        <v>5620750079</v>
      </c>
      <c r="C5777" s="672" t="s">
        <v>8591</v>
      </c>
      <c r="D5777" s="809" t="s">
        <v>8227</v>
      </c>
      <c r="E5777" s="674">
        <v>10</v>
      </c>
      <c r="F5777" s="675">
        <v>0.1</v>
      </c>
      <c r="G5777" s="676">
        <v>4619.2011666666667</v>
      </c>
      <c r="H5777" s="929">
        <v>461.92011666666667</v>
      </c>
      <c r="I5777" s="929">
        <v>808.36020416666668</v>
      </c>
      <c r="J5777" s="689">
        <f t="shared" si="91"/>
        <v>3810.8409624999999</v>
      </c>
    </row>
    <row r="5778" spans="1:10" ht="12.75" customHeight="1" x14ac:dyDescent="0.2">
      <c r="A5778" s="681">
        <v>1246</v>
      </c>
      <c r="B5778" s="693">
        <v>5620750080</v>
      </c>
      <c r="C5778" s="672" t="s">
        <v>8591</v>
      </c>
      <c r="D5778" s="809" t="s">
        <v>8227</v>
      </c>
      <c r="E5778" s="674">
        <v>10</v>
      </c>
      <c r="F5778" s="675">
        <v>0.1</v>
      </c>
      <c r="G5778" s="676">
        <v>4619.2011666666667</v>
      </c>
      <c r="H5778" s="929">
        <v>461.92011666666667</v>
      </c>
      <c r="I5778" s="929">
        <v>808.36020416666668</v>
      </c>
      <c r="J5778" s="689">
        <f t="shared" si="91"/>
        <v>3810.8409624999999</v>
      </c>
    </row>
    <row r="5779" spans="1:10" ht="12.75" customHeight="1" x14ac:dyDescent="0.2">
      <c r="A5779" s="681">
        <v>1246</v>
      </c>
      <c r="B5779" s="693">
        <v>5620750069</v>
      </c>
      <c r="C5779" s="672" t="s">
        <v>8591</v>
      </c>
      <c r="D5779" s="809" t="s">
        <v>8227</v>
      </c>
      <c r="E5779" s="674">
        <v>10</v>
      </c>
      <c r="F5779" s="675">
        <v>0.1</v>
      </c>
      <c r="G5779" s="676">
        <v>4619.2011666666667</v>
      </c>
      <c r="H5779" s="929">
        <v>461.92011666666667</v>
      </c>
      <c r="I5779" s="929">
        <v>808.36020416666668</v>
      </c>
      <c r="J5779" s="689">
        <f t="shared" si="91"/>
        <v>3810.8409624999999</v>
      </c>
    </row>
    <row r="5780" spans="1:10" ht="12.75" customHeight="1" x14ac:dyDescent="0.2">
      <c r="A5780" s="681">
        <v>1246</v>
      </c>
      <c r="B5780" s="693">
        <v>5112760001</v>
      </c>
      <c r="C5780" s="672" t="s">
        <v>8305</v>
      </c>
      <c r="D5780" s="809" t="s">
        <v>8227</v>
      </c>
      <c r="E5780" s="674">
        <v>10</v>
      </c>
      <c r="F5780" s="675">
        <v>0.1</v>
      </c>
      <c r="G5780" s="676">
        <v>2825.55</v>
      </c>
      <c r="H5780" s="929">
        <v>282.55499999999995</v>
      </c>
      <c r="I5780" s="929">
        <v>494.47124999999994</v>
      </c>
      <c r="J5780" s="689">
        <f t="shared" si="91"/>
        <v>2331.0787500000001</v>
      </c>
    </row>
    <row r="5781" spans="1:10" ht="12.75" customHeight="1" x14ac:dyDescent="0.2">
      <c r="A5781" s="681">
        <v>1246</v>
      </c>
      <c r="B5781" s="693">
        <v>5112760002</v>
      </c>
      <c r="C5781" s="672" t="s">
        <v>8306</v>
      </c>
      <c r="D5781" s="809" t="s">
        <v>8227</v>
      </c>
      <c r="E5781" s="674">
        <v>10</v>
      </c>
      <c r="F5781" s="675">
        <v>0.1</v>
      </c>
      <c r="G5781" s="676">
        <v>3395.49</v>
      </c>
      <c r="H5781" s="929">
        <v>339.54899999999998</v>
      </c>
      <c r="I5781" s="929">
        <v>594.21074999999996</v>
      </c>
      <c r="J5781" s="689">
        <f t="shared" si="91"/>
        <v>2801.2792499999996</v>
      </c>
    </row>
    <row r="5782" spans="1:10" ht="12.75" customHeight="1" x14ac:dyDescent="0.2">
      <c r="A5782" s="681"/>
      <c r="B5782" s="693"/>
      <c r="C5782" s="672"/>
      <c r="D5782" s="809"/>
      <c r="E5782" s="674"/>
      <c r="F5782" s="675"/>
      <c r="G5782" s="676"/>
      <c r="H5782" s="929"/>
      <c r="I5782" s="929"/>
      <c r="J5782" s="689"/>
    </row>
    <row r="5783" spans="1:10" ht="12.75" customHeight="1" x14ac:dyDescent="0.2">
      <c r="A5783" s="681">
        <v>1241</v>
      </c>
      <c r="B5783" s="693">
        <v>5112670032</v>
      </c>
      <c r="C5783" s="672" t="s">
        <v>8307</v>
      </c>
      <c r="D5783" s="809" t="s">
        <v>8228</v>
      </c>
      <c r="E5783" s="674">
        <v>10</v>
      </c>
      <c r="F5783" s="675">
        <v>0.1</v>
      </c>
      <c r="G5783" s="676">
        <v>1490.6</v>
      </c>
      <c r="H5783" s="929">
        <v>149.05999999999997</v>
      </c>
      <c r="I5783" s="929">
        <v>248.43333333333328</v>
      </c>
      <c r="J5783" s="689">
        <f t="shared" si="91"/>
        <v>1242.1666666666665</v>
      </c>
    </row>
    <row r="5784" spans="1:10" ht="12.75" customHeight="1" x14ac:dyDescent="0.2">
      <c r="A5784" s="681">
        <v>1241</v>
      </c>
      <c r="B5784" s="693">
        <v>5112670033</v>
      </c>
      <c r="C5784" s="672" t="s">
        <v>8307</v>
      </c>
      <c r="D5784" s="809" t="s">
        <v>8228</v>
      </c>
      <c r="E5784" s="674">
        <v>10</v>
      </c>
      <c r="F5784" s="675">
        <v>0.1</v>
      </c>
      <c r="G5784" s="676">
        <v>1490.6</v>
      </c>
      <c r="H5784" s="929">
        <v>149.05999999999997</v>
      </c>
      <c r="I5784" s="929">
        <v>248.43333333333328</v>
      </c>
      <c r="J5784" s="689">
        <f t="shared" si="91"/>
        <v>1242.1666666666665</v>
      </c>
    </row>
    <row r="5785" spans="1:10" ht="12.75" customHeight="1" x14ac:dyDescent="0.2">
      <c r="A5785" s="681">
        <v>1241</v>
      </c>
      <c r="B5785" s="693">
        <v>5150710006</v>
      </c>
      <c r="C5785" s="672" t="s">
        <v>8308</v>
      </c>
      <c r="D5785" s="809" t="s">
        <v>8228</v>
      </c>
      <c r="E5785" s="674">
        <v>3</v>
      </c>
      <c r="F5785" s="675">
        <v>0.33</v>
      </c>
      <c r="G5785" s="676">
        <v>8108.4</v>
      </c>
      <c r="H5785" s="929">
        <v>2675.7719999999999</v>
      </c>
      <c r="I5785" s="929">
        <v>4459.62</v>
      </c>
      <c r="J5785" s="689">
        <f t="shared" si="91"/>
        <v>3648.7799999999997</v>
      </c>
    </row>
    <row r="5786" spans="1:10" ht="12.75" customHeight="1" x14ac:dyDescent="0.2">
      <c r="A5786" s="681">
        <v>1241</v>
      </c>
      <c r="B5786" s="693">
        <v>5111510004</v>
      </c>
      <c r="C5786" s="672" t="s">
        <v>8309</v>
      </c>
      <c r="D5786" s="809" t="s">
        <v>8228</v>
      </c>
      <c r="E5786" s="674">
        <v>10</v>
      </c>
      <c r="F5786" s="675">
        <v>0.1</v>
      </c>
      <c r="G5786" s="676">
        <v>7957.6</v>
      </c>
      <c r="H5786" s="929">
        <v>795.75999999999976</v>
      </c>
      <c r="I5786" s="929">
        <v>1326.2666666666664</v>
      </c>
      <c r="J5786" s="689">
        <f t="shared" si="91"/>
        <v>6631.3333333333339</v>
      </c>
    </row>
    <row r="5787" spans="1:10" ht="12.75" customHeight="1" x14ac:dyDescent="0.2">
      <c r="A5787" s="681">
        <v>1244</v>
      </c>
      <c r="B5787" s="693">
        <v>5410230056</v>
      </c>
      <c r="C5787" s="672" t="s">
        <v>8214</v>
      </c>
      <c r="D5787" s="809" t="s">
        <v>8228</v>
      </c>
      <c r="E5787" s="674">
        <v>5</v>
      </c>
      <c r="F5787" s="675">
        <v>0.2</v>
      </c>
      <c r="G5787" s="676">
        <v>285500</v>
      </c>
      <c r="H5787" s="929">
        <v>57100.000000000007</v>
      </c>
      <c r="I5787" s="929">
        <v>95166.666666666672</v>
      </c>
      <c r="J5787" s="689">
        <f t="shared" si="91"/>
        <v>190333.33333333331</v>
      </c>
    </row>
    <row r="5788" spans="1:10" ht="12.75" customHeight="1" x14ac:dyDescent="0.2">
      <c r="A5788" s="681">
        <v>1244</v>
      </c>
      <c r="B5788" s="693">
        <v>5410330001</v>
      </c>
      <c r="C5788" s="672" t="s">
        <v>8310</v>
      </c>
      <c r="D5788" s="809" t="s">
        <v>8228</v>
      </c>
      <c r="E5788" s="674">
        <v>5</v>
      </c>
      <c r="F5788" s="675">
        <v>0.2</v>
      </c>
      <c r="G5788" s="676">
        <v>1761499.99</v>
      </c>
      <c r="H5788" s="929">
        <v>352299.99800000008</v>
      </c>
      <c r="I5788" s="929">
        <v>587166.66333333345</v>
      </c>
      <c r="J5788" s="689">
        <f t="shared" si="91"/>
        <v>1174333.3266666667</v>
      </c>
    </row>
    <row r="5789" spans="1:10" ht="12.75" customHeight="1" x14ac:dyDescent="0.2">
      <c r="A5789" s="681">
        <v>1244</v>
      </c>
      <c r="B5789" s="693">
        <v>5410530002</v>
      </c>
      <c r="C5789" s="672" t="s">
        <v>10393</v>
      </c>
      <c r="D5789" s="673" t="s">
        <v>8228</v>
      </c>
      <c r="E5789" s="674">
        <v>5</v>
      </c>
      <c r="F5789" s="675">
        <v>0.2</v>
      </c>
      <c r="G5789" s="676">
        <v>1367897</v>
      </c>
      <c r="H5789" s="929">
        <v>273579.39999999997</v>
      </c>
      <c r="I5789" s="929">
        <v>455965.66666666663</v>
      </c>
      <c r="J5789" s="689">
        <f t="shared" si="91"/>
        <v>911931.33333333337</v>
      </c>
    </row>
    <row r="5790" spans="1:10" ht="12.75" customHeight="1" x14ac:dyDescent="0.2">
      <c r="A5790" s="681">
        <v>1246</v>
      </c>
      <c r="B5790" s="693">
        <v>5112800003</v>
      </c>
      <c r="C5790" s="672" t="s">
        <v>8311</v>
      </c>
      <c r="D5790" s="809" t="s">
        <v>8228</v>
      </c>
      <c r="E5790" s="674">
        <v>10</v>
      </c>
      <c r="F5790" s="675">
        <v>0.1</v>
      </c>
      <c r="G5790" s="676">
        <v>61172.6</v>
      </c>
      <c r="H5790" s="929">
        <v>6117.2599999999993</v>
      </c>
      <c r="I5790" s="929">
        <v>10195.433333333332</v>
      </c>
      <c r="J5790" s="689">
        <f t="shared" si="91"/>
        <v>50977.166666666664</v>
      </c>
    </row>
    <row r="5791" spans="1:10" ht="12.75" customHeight="1" x14ac:dyDescent="0.2">
      <c r="A5791" s="681">
        <v>1246</v>
      </c>
      <c r="B5791" s="693">
        <v>5111230001</v>
      </c>
      <c r="C5791" s="672" t="s">
        <v>8312</v>
      </c>
      <c r="D5791" s="809" t="s">
        <v>8228</v>
      </c>
      <c r="E5791" s="674">
        <v>10</v>
      </c>
      <c r="F5791" s="675">
        <v>0.1</v>
      </c>
      <c r="G5791" s="676">
        <v>11753.119999999999</v>
      </c>
      <c r="H5791" s="929">
        <v>1175.3119999999999</v>
      </c>
      <c r="I5791" s="929">
        <v>1958.8533333333332</v>
      </c>
      <c r="J5791" s="689">
        <f t="shared" si="91"/>
        <v>9794.2666666666664</v>
      </c>
    </row>
    <row r="5792" spans="1:10" ht="12.75" customHeight="1" x14ac:dyDescent="0.2">
      <c r="A5792" s="681">
        <v>1246</v>
      </c>
      <c r="B5792" s="693">
        <v>5111230002</v>
      </c>
      <c r="C5792" s="672" t="s">
        <v>8313</v>
      </c>
      <c r="D5792" s="809" t="s">
        <v>8228</v>
      </c>
      <c r="E5792" s="674">
        <v>10</v>
      </c>
      <c r="F5792" s="675">
        <v>0.1</v>
      </c>
      <c r="G5792" s="676">
        <v>13919.999999999998</v>
      </c>
      <c r="H5792" s="929">
        <v>1391.9999999999998</v>
      </c>
      <c r="I5792" s="929">
        <v>2319.9999999999995</v>
      </c>
      <c r="J5792" s="689">
        <f t="shared" si="91"/>
        <v>11599.999999999998</v>
      </c>
    </row>
    <row r="5793" spans="1:10" ht="12.75" customHeight="1" x14ac:dyDescent="0.2">
      <c r="A5793" s="681">
        <v>1246</v>
      </c>
      <c r="B5793" s="693">
        <v>5624690001</v>
      </c>
      <c r="C5793" s="672" t="s">
        <v>8592</v>
      </c>
      <c r="D5793" s="809" t="s">
        <v>8228</v>
      </c>
      <c r="E5793" s="674">
        <v>10</v>
      </c>
      <c r="F5793" s="675">
        <v>0.1</v>
      </c>
      <c r="G5793" s="676">
        <v>5165.4799999999996</v>
      </c>
      <c r="H5793" s="929">
        <v>516.54799999999989</v>
      </c>
      <c r="I5793" s="929">
        <v>860.91333333333318</v>
      </c>
      <c r="J5793" s="689">
        <f t="shared" si="91"/>
        <v>4304.5666666666666</v>
      </c>
    </row>
    <row r="5794" spans="1:10" ht="12.75" customHeight="1" x14ac:dyDescent="0.2">
      <c r="A5794" s="681">
        <v>1246</v>
      </c>
      <c r="B5794" s="693">
        <v>5624690002</v>
      </c>
      <c r="C5794" s="672" t="s">
        <v>8592</v>
      </c>
      <c r="D5794" s="809" t="s">
        <v>8228</v>
      </c>
      <c r="E5794" s="674">
        <v>10</v>
      </c>
      <c r="F5794" s="675">
        <v>0.1</v>
      </c>
      <c r="G5794" s="676">
        <v>5165.4799999999996</v>
      </c>
      <c r="H5794" s="929">
        <v>516.54799999999989</v>
      </c>
      <c r="I5794" s="929">
        <v>860.91333333333318</v>
      </c>
      <c r="J5794" s="689">
        <f t="shared" si="91"/>
        <v>4304.5666666666666</v>
      </c>
    </row>
    <row r="5795" spans="1:10" ht="12.75" customHeight="1" x14ac:dyDescent="0.2">
      <c r="A5795" s="681">
        <v>1246</v>
      </c>
      <c r="B5795" s="693">
        <v>5624690003</v>
      </c>
      <c r="C5795" s="672" t="s">
        <v>8592</v>
      </c>
      <c r="D5795" s="809" t="s">
        <v>8228</v>
      </c>
      <c r="E5795" s="674">
        <v>10</v>
      </c>
      <c r="F5795" s="675">
        <v>0.1</v>
      </c>
      <c r="G5795" s="676">
        <v>5165.4799999999996</v>
      </c>
      <c r="H5795" s="929">
        <v>516.54799999999989</v>
      </c>
      <c r="I5795" s="929">
        <v>860.91333333333318</v>
      </c>
      <c r="J5795" s="689">
        <f t="shared" si="91"/>
        <v>4304.5666666666666</v>
      </c>
    </row>
    <row r="5796" spans="1:10" ht="12.75" customHeight="1" x14ac:dyDescent="0.2">
      <c r="A5796" s="681">
        <v>1246</v>
      </c>
      <c r="B5796" s="693">
        <v>5624690004</v>
      </c>
      <c r="C5796" s="672" t="s">
        <v>8592</v>
      </c>
      <c r="D5796" s="809" t="s">
        <v>8228</v>
      </c>
      <c r="E5796" s="674">
        <v>10</v>
      </c>
      <c r="F5796" s="675">
        <v>0.1</v>
      </c>
      <c r="G5796" s="676">
        <v>5165.4799999999996</v>
      </c>
      <c r="H5796" s="929">
        <v>516.54799999999989</v>
      </c>
      <c r="I5796" s="929">
        <v>860.91333333333318</v>
      </c>
      <c r="J5796" s="689">
        <f t="shared" si="91"/>
        <v>4304.5666666666666</v>
      </c>
    </row>
    <row r="5797" spans="1:10" ht="12.75" customHeight="1" x14ac:dyDescent="0.2">
      <c r="A5797" s="681">
        <v>1246</v>
      </c>
      <c r="B5797" s="693">
        <v>5624690005</v>
      </c>
      <c r="C5797" s="672" t="s">
        <v>8592</v>
      </c>
      <c r="D5797" s="809" t="s">
        <v>8228</v>
      </c>
      <c r="E5797" s="674">
        <v>10</v>
      </c>
      <c r="F5797" s="675">
        <v>0.1</v>
      </c>
      <c r="G5797" s="676">
        <v>5165.4799999999996</v>
      </c>
      <c r="H5797" s="929">
        <v>516.54799999999989</v>
      </c>
      <c r="I5797" s="929">
        <v>860.91333333333318</v>
      </c>
      <c r="J5797" s="689">
        <f t="shared" si="91"/>
        <v>4304.5666666666666</v>
      </c>
    </row>
    <row r="5798" spans="1:10" ht="12.75" customHeight="1" x14ac:dyDescent="0.2">
      <c r="A5798" s="681"/>
      <c r="B5798" s="693"/>
      <c r="C5798" s="672"/>
      <c r="D5798" s="809"/>
      <c r="E5798" s="674"/>
      <c r="F5798" s="675"/>
      <c r="G5798" s="676"/>
      <c r="H5798" s="929"/>
      <c r="I5798" s="929"/>
      <c r="J5798" s="689"/>
    </row>
    <row r="5799" spans="1:10" ht="12.75" customHeight="1" x14ac:dyDescent="0.2">
      <c r="A5799" s="681">
        <v>1241</v>
      </c>
      <c r="B5799" s="693">
        <v>5112200011</v>
      </c>
      <c r="C5799" s="672" t="s">
        <v>10394</v>
      </c>
      <c r="D5799" s="809" t="s">
        <v>8229</v>
      </c>
      <c r="E5799" s="674">
        <v>10</v>
      </c>
      <c r="F5799" s="675">
        <v>0.1</v>
      </c>
      <c r="G5799" s="676">
        <v>11915.519999999999</v>
      </c>
      <c r="H5799" s="929">
        <v>1191.5520000000001</v>
      </c>
      <c r="I5799" s="929">
        <v>1886.624</v>
      </c>
      <c r="J5799" s="689">
        <f t="shared" si="91"/>
        <v>10028.895999999999</v>
      </c>
    </row>
    <row r="5800" spans="1:10" ht="12.75" customHeight="1" x14ac:dyDescent="0.2">
      <c r="A5800" s="681">
        <v>1241</v>
      </c>
      <c r="B5800" s="693">
        <v>5112670034</v>
      </c>
      <c r="C5800" s="672" t="s">
        <v>10395</v>
      </c>
      <c r="D5800" s="809" t="s">
        <v>8229</v>
      </c>
      <c r="E5800" s="674">
        <v>10</v>
      </c>
      <c r="F5800" s="675">
        <v>0.1</v>
      </c>
      <c r="G5800" s="676">
        <v>1548.6</v>
      </c>
      <c r="H5800" s="929">
        <v>154.85999999999999</v>
      </c>
      <c r="I5800" s="929">
        <v>245.19499999999999</v>
      </c>
      <c r="J5800" s="689">
        <f t="shared" si="91"/>
        <v>1303.405</v>
      </c>
    </row>
    <row r="5801" spans="1:10" ht="12.75" customHeight="1" x14ac:dyDescent="0.2">
      <c r="A5801" s="681">
        <v>1241</v>
      </c>
      <c r="B5801" s="693">
        <v>5112670035</v>
      </c>
      <c r="C5801" s="672" t="s">
        <v>10395</v>
      </c>
      <c r="D5801" s="809" t="s">
        <v>8229</v>
      </c>
      <c r="E5801" s="674">
        <v>10</v>
      </c>
      <c r="F5801" s="675">
        <v>0.1</v>
      </c>
      <c r="G5801" s="676">
        <v>1548.6</v>
      </c>
      <c r="H5801" s="929">
        <v>154.85999999999999</v>
      </c>
      <c r="I5801" s="929">
        <v>245.19499999999999</v>
      </c>
      <c r="J5801" s="689">
        <f t="shared" si="91"/>
        <v>1303.405</v>
      </c>
    </row>
    <row r="5802" spans="1:10" ht="12.75" customHeight="1" x14ac:dyDescent="0.2">
      <c r="A5802" s="681">
        <v>1241</v>
      </c>
      <c r="B5802" s="693">
        <v>5111560003</v>
      </c>
      <c r="C5802" s="672" t="s">
        <v>8314</v>
      </c>
      <c r="D5802" s="809" t="s">
        <v>8229</v>
      </c>
      <c r="E5802" s="674">
        <v>10</v>
      </c>
      <c r="F5802" s="675">
        <v>0.1</v>
      </c>
      <c r="G5802" s="676">
        <v>11224.72</v>
      </c>
      <c r="H5802" s="929">
        <v>1122.4720000000002</v>
      </c>
      <c r="I5802" s="929">
        <v>1777.2473333333335</v>
      </c>
      <c r="J5802" s="689">
        <f t="shared" si="91"/>
        <v>9447.4726666666666</v>
      </c>
    </row>
    <row r="5803" spans="1:10" ht="12.75" customHeight="1" x14ac:dyDescent="0.2">
      <c r="A5803" s="681">
        <v>1241</v>
      </c>
      <c r="B5803" s="693">
        <v>5110370131</v>
      </c>
      <c r="C5803" s="672" t="s">
        <v>8315</v>
      </c>
      <c r="D5803" s="809" t="s">
        <v>8229</v>
      </c>
      <c r="E5803" s="674">
        <v>10</v>
      </c>
      <c r="F5803" s="675">
        <v>0.1</v>
      </c>
      <c r="G5803" s="676">
        <v>3654</v>
      </c>
      <c r="H5803" s="929">
        <v>365.39999999999992</v>
      </c>
      <c r="I5803" s="929">
        <v>578.54999999999995</v>
      </c>
      <c r="J5803" s="689">
        <f t="shared" si="91"/>
        <v>3075.45</v>
      </c>
    </row>
    <row r="5804" spans="1:10" ht="12.75" customHeight="1" x14ac:dyDescent="0.2">
      <c r="A5804" s="681">
        <v>1241</v>
      </c>
      <c r="B5804" s="693">
        <v>5110370132</v>
      </c>
      <c r="C5804" s="672" t="s">
        <v>8315</v>
      </c>
      <c r="D5804" s="809" t="s">
        <v>8229</v>
      </c>
      <c r="E5804" s="674">
        <v>10</v>
      </c>
      <c r="F5804" s="675">
        <v>0.1</v>
      </c>
      <c r="G5804" s="676">
        <v>3654</v>
      </c>
      <c r="H5804" s="929">
        <v>365.39999999999992</v>
      </c>
      <c r="I5804" s="929">
        <v>578.54999999999995</v>
      </c>
      <c r="J5804" s="689">
        <f t="shared" si="91"/>
        <v>3075.45</v>
      </c>
    </row>
    <row r="5805" spans="1:10" ht="12.75" customHeight="1" x14ac:dyDescent="0.2">
      <c r="A5805" s="681">
        <v>1241</v>
      </c>
      <c r="B5805" s="693">
        <v>5110370133</v>
      </c>
      <c r="C5805" s="672" t="s">
        <v>8315</v>
      </c>
      <c r="D5805" s="809" t="s">
        <v>8229</v>
      </c>
      <c r="E5805" s="674">
        <v>10</v>
      </c>
      <c r="F5805" s="675">
        <v>0.1</v>
      </c>
      <c r="G5805" s="676">
        <v>3654</v>
      </c>
      <c r="H5805" s="929">
        <v>365.39999999999992</v>
      </c>
      <c r="I5805" s="929">
        <v>578.54999999999995</v>
      </c>
      <c r="J5805" s="689">
        <f t="shared" si="91"/>
        <v>3075.45</v>
      </c>
    </row>
    <row r="5806" spans="1:10" ht="12.75" customHeight="1" x14ac:dyDescent="0.2">
      <c r="A5806" s="681">
        <v>1241</v>
      </c>
      <c r="B5806" s="693">
        <v>5112360001</v>
      </c>
      <c r="C5806" s="672" t="s">
        <v>8316</v>
      </c>
      <c r="D5806" s="809"/>
      <c r="E5806" s="674">
        <v>10</v>
      </c>
      <c r="F5806" s="675">
        <v>0.1</v>
      </c>
      <c r="G5806" s="676">
        <v>4472.96</v>
      </c>
      <c r="H5806" s="929">
        <v>447.29600000000011</v>
      </c>
      <c r="I5806" s="929">
        <v>708.21866666666676</v>
      </c>
      <c r="J5806" s="689">
        <f t="shared" si="91"/>
        <v>3764.7413333333334</v>
      </c>
    </row>
    <row r="5807" spans="1:10" ht="12.75" customHeight="1" x14ac:dyDescent="0.2">
      <c r="A5807" s="681">
        <v>1241</v>
      </c>
      <c r="B5807" s="693">
        <v>5112360002</v>
      </c>
      <c r="C5807" s="672" t="s">
        <v>8316</v>
      </c>
      <c r="D5807" s="809"/>
      <c r="E5807" s="674">
        <v>10</v>
      </c>
      <c r="F5807" s="675">
        <v>0.1</v>
      </c>
      <c r="G5807" s="676">
        <v>4472.96</v>
      </c>
      <c r="H5807" s="929">
        <v>447.29600000000011</v>
      </c>
      <c r="I5807" s="929">
        <v>708.21866666666676</v>
      </c>
      <c r="J5807" s="689">
        <f t="shared" si="91"/>
        <v>3764.7413333333334</v>
      </c>
    </row>
    <row r="5808" spans="1:10" ht="12.75" customHeight="1" x14ac:dyDescent="0.2">
      <c r="A5808" s="681">
        <v>1241</v>
      </c>
      <c r="B5808" s="693">
        <v>5150590001</v>
      </c>
      <c r="C5808" s="672" t="s">
        <v>8317</v>
      </c>
      <c r="D5808" s="809" t="s">
        <v>8229</v>
      </c>
      <c r="E5808" s="674">
        <v>3</v>
      </c>
      <c r="F5808" s="675">
        <v>0.33</v>
      </c>
      <c r="G5808" s="676">
        <v>4408</v>
      </c>
      <c r="H5808" s="929">
        <v>1454.64</v>
      </c>
      <c r="I5808" s="929">
        <v>2303.1800000000003</v>
      </c>
      <c r="J5808" s="689">
        <f t="shared" si="91"/>
        <v>2104.8199999999997</v>
      </c>
    </row>
    <row r="5809" spans="1:10" ht="12.75" customHeight="1" x14ac:dyDescent="0.2">
      <c r="A5809" s="681">
        <v>1241</v>
      </c>
      <c r="B5809" s="693">
        <v>5151260062</v>
      </c>
      <c r="C5809" s="672" t="s">
        <v>8318</v>
      </c>
      <c r="D5809" s="809" t="s">
        <v>8229</v>
      </c>
      <c r="E5809" s="674">
        <v>3</v>
      </c>
      <c r="F5809" s="675">
        <v>0.33</v>
      </c>
      <c r="G5809" s="676">
        <v>10137.379999999999</v>
      </c>
      <c r="H5809" s="929">
        <v>3345.3354000000004</v>
      </c>
      <c r="I5809" s="929">
        <v>5296.7810499999996</v>
      </c>
      <c r="J5809" s="689">
        <f t="shared" si="91"/>
        <v>4840.5989499999996</v>
      </c>
    </row>
    <row r="5810" spans="1:10" ht="12.75" customHeight="1" x14ac:dyDescent="0.2">
      <c r="A5810" s="681">
        <v>1241</v>
      </c>
      <c r="B5810" s="693">
        <v>5151260058</v>
      </c>
      <c r="C5810" s="672" t="s">
        <v>8318</v>
      </c>
      <c r="D5810" s="809" t="s">
        <v>8229</v>
      </c>
      <c r="E5810" s="674">
        <v>3</v>
      </c>
      <c r="F5810" s="675">
        <v>0.33</v>
      </c>
      <c r="G5810" s="676">
        <v>10137.379999999999</v>
      </c>
      <c r="H5810" s="929">
        <v>3345.3354000000004</v>
      </c>
      <c r="I5810" s="929">
        <v>5296.7810499999996</v>
      </c>
      <c r="J5810" s="689">
        <f t="shared" si="91"/>
        <v>4840.5989499999996</v>
      </c>
    </row>
    <row r="5811" spans="1:10" ht="12.75" customHeight="1" x14ac:dyDescent="0.2">
      <c r="A5811" s="681">
        <v>1241</v>
      </c>
      <c r="B5811" s="693">
        <v>5151260063</v>
      </c>
      <c r="C5811" s="672" t="s">
        <v>8318</v>
      </c>
      <c r="D5811" s="809" t="s">
        <v>8229</v>
      </c>
      <c r="E5811" s="674">
        <v>3</v>
      </c>
      <c r="F5811" s="675">
        <v>0.33</v>
      </c>
      <c r="G5811" s="676">
        <v>10137.379999999999</v>
      </c>
      <c r="H5811" s="929">
        <v>3345.3354000000004</v>
      </c>
      <c r="I5811" s="929">
        <v>5296.7810499999996</v>
      </c>
      <c r="J5811" s="689">
        <f t="shared" si="91"/>
        <v>4840.5989499999996</v>
      </c>
    </row>
    <row r="5812" spans="1:10" ht="12.75" customHeight="1" x14ac:dyDescent="0.2">
      <c r="A5812" s="681">
        <v>1243</v>
      </c>
      <c r="B5812" s="693">
        <v>5110030001</v>
      </c>
      <c r="C5812" s="672" t="s">
        <v>8319</v>
      </c>
      <c r="D5812" s="673" t="s">
        <v>8229</v>
      </c>
      <c r="E5812" s="674">
        <v>3</v>
      </c>
      <c r="F5812" s="675">
        <v>0.33</v>
      </c>
      <c r="G5812" s="676">
        <v>4078.56</v>
      </c>
      <c r="H5812" s="929">
        <v>1345.9248</v>
      </c>
      <c r="I5812" s="929">
        <v>2131.0475999999999</v>
      </c>
      <c r="J5812" s="689">
        <f t="shared" si="91"/>
        <v>1947.5124000000001</v>
      </c>
    </row>
    <row r="5813" spans="1:10" ht="12.75" customHeight="1" x14ac:dyDescent="0.2">
      <c r="A5813" s="681">
        <v>1244</v>
      </c>
      <c r="B5813" s="693">
        <v>5410230057</v>
      </c>
      <c r="C5813" s="672" t="s">
        <v>8215</v>
      </c>
      <c r="D5813" s="809" t="s">
        <v>8229</v>
      </c>
      <c r="E5813" s="674">
        <v>5</v>
      </c>
      <c r="F5813" s="675">
        <v>0.2</v>
      </c>
      <c r="G5813" s="676">
        <v>285500</v>
      </c>
      <c r="H5813" s="929">
        <v>57100.000000000007</v>
      </c>
      <c r="I5813" s="929">
        <v>90408.333333333343</v>
      </c>
      <c r="J5813" s="689">
        <f t="shared" si="91"/>
        <v>195091.66666666666</v>
      </c>
    </row>
    <row r="5814" spans="1:10" ht="12.75" customHeight="1" x14ac:dyDescent="0.2">
      <c r="A5814" s="681">
        <v>1244</v>
      </c>
      <c r="B5814" s="693">
        <v>5410580001</v>
      </c>
      <c r="C5814" s="672" t="s">
        <v>8320</v>
      </c>
      <c r="D5814" s="809" t="s">
        <v>8229</v>
      </c>
      <c r="E5814" s="674">
        <v>5</v>
      </c>
      <c r="F5814" s="675">
        <v>0.2</v>
      </c>
      <c r="G5814" s="676">
        <v>26680</v>
      </c>
      <c r="H5814" s="929">
        <v>5336</v>
      </c>
      <c r="I5814" s="929">
        <v>8448.6666666666661</v>
      </c>
      <c r="J5814" s="689">
        <f t="shared" si="91"/>
        <v>18231.333333333336</v>
      </c>
    </row>
    <row r="5815" spans="1:10" ht="12.75" customHeight="1" x14ac:dyDescent="0.2">
      <c r="A5815" s="681">
        <v>1244</v>
      </c>
      <c r="B5815" s="693">
        <v>5410580002</v>
      </c>
      <c r="C5815" s="672" t="s">
        <v>8320</v>
      </c>
      <c r="D5815" s="809" t="s">
        <v>8229</v>
      </c>
      <c r="E5815" s="674">
        <v>5</v>
      </c>
      <c r="F5815" s="675">
        <v>0.2</v>
      </c>
      <c r="G5815" s="676">
        <v>26680</v>
      </c>
      <c r="H5815" s="929">
        <v>5336</v>
      </c>
      <c r="I5815" s="929">
        <v>8448.6666666666661</v>
      </c>
      <c r="J5815" s="689">
        <f t="shared" si="91"/>
        <v>18231.333333333336</v>
      </c>
    </row>
    <row r="5816" spans="1:10" ht="12.75" customHeight="1" x14ac:dyDescent="0.2">
      <c r="A5816" s="681">
        <v>1246</v>
      </c>
      <c r="B5816" s="693">
        <v>5620030001</v>
      </c>
      <c r="C5816" s="672" t="s">
        <v>8321</v>
      </c>
      <c r="D5816" s="809" t="s">
        <v>8229</v>
      </c>
      <c r="E5816" s="674">
        <v>10</v>
      </c>
      <c r="F5816" s="675">
        <v>0.1</v>
      </c>
      <c r="G5816" s="676">
        <v>88857.42</v>
      </c>
      <c r="H5816" s="929">
        <v>8885.7420000000002</v>
      </c>
      <c r="I5816" s="929">
        <v>14069.0915</v>
      </c>
      <c r="J5816" s="689">
        <f t="shared" si="91"/>
        <v>74788.328500000003</v>
      </c>
    </row>
    <row r="5817" spans="1:10" ht="12.75" customHeight="1" x14ac:dyDescent="0.2">
      <c r="A5817" s="681">
        <v>1246</v>
      </c>
      <c r="B5817" s="693">
        <v>5111620016</v>
      </c>
      <c r="C5817" s="672" t="s">
        <v>8322</v>
      </c>
      <c r="D5817" s="809" t="s">
        <v>8229</v>
      </c>
      <c r="E5817" s="674">
        <v>10</v>
      </c>
      <c r="F5817" s="675">
        <v>0.1</v>
      </c>
      <c r="G5817" s="676">
        <v>4377.5200000000004</v>
      </c>
      <c r="H5817" s="929">
        <v>437.75200000000001</v>
      </c>
      <c r="I5817" s="929">
        <v>693.10733333333337</v>
      </c>
      <c r="J5817" s="689">
        <f t="shared" si="91"/>
        <v>3684.4126666666671</v>
      </c>
    </row>
    <row r="5818" spans="1:10" ht="12.75" customHeight="1" x14ac:dyDescent="0.2">
      <c r="A5818" s="681">
        <v>1246</v>
      </c>
      <c r="B5818" s="693">
        <v>5111440001</v>
      </c>
      <c r="C5818" s="672" t="s">
        <v>8323</v>
      </c>
      <c r="D5818" s="809" t="s">
        <v>8229</v>
      </c>
      <c r="E5818" s="674">
        <v>10</v>
      </c>
      <c r="F5818" s="675">
        <v>0.1</v>
      </c>
      <c r="G5818" s="676">
        <v>3380</v>
      </c>
      <c r="H5818" s="929">
        <v>338</v>
      </c>
      <c r="I5818" s="929">
        <v>535.16666666666663</v>
      </c>
      <c r="J5818" s="689">
        <f t="shared" si="91"/>
        <v>2844.8333333333335</v>
      </c>
    </row>
    <row r="5819" spans="1:10" ht="12.75" customHeight="1" x14ac:dyDescent="0.2">
      <c r="A5819" s="681">
        <v>1246</v>
      </c>
      <c r="B5819" s="693">
        <v>5624700001</v>
      </c>
      <c r="C5819" s="672" t="s">
        <v>8324</v>
      </c>
      <c r="D5819" s="809" t="s">
        <v>8229</v>
      </c>
      <c r="E5819" s="674">
        <v>10</v>
      </c>
      <c r="F5819" s="675">
        <v>0.1</v>
      </c>
      <c r="G5819" s="676">
        <v>4386.25</v>
      </c>
      <c r="H5819" s="929">
        <v>438.62499999999994</v>
      </c>
      <c r="I5819" s="929">
        <v>694.48958333333326</v>
      </c>
      <c r="J5819" s="689">
        <f t="shared" si="91"/>
        <v>3691.760416666667</v>
      </c>
    </row>
    <row r="5820" spans="1:10" ht="12.75" customHeight="1" x14ac:dyDescent="0.2">
      <c r="A5820" s="681">
        <v>1246</v>
      </c>
      <c r="B5820" s="693">
        <v>5111590003</v>
      </c>
      <c r="C5820" s="672" t="s">
        <v>8325</v>
      </c>
      <c r="D5820" s="809" t="s">
        <v>8229</v>
      </c>
      <c r="E5820" s="674">
        <v>10</v>
      </c>
      <c r="F5820" s="675">
        <v>0.1</v>
      </c>
      <c r="G5820" s="676">
        <v>342200</v>
      </c>
      <c r="H5820" s="929">
        <v>34220.000000000007</v>
      </c>
      <c r="I5820" s="929">
        <v>54181.666666666672</v>
      </c>
      <c r="J5820" s="689">
        <f t="shared" si="91"/>
        <v>288018.33333333331</v>
      </c>
    </row>
    <row r="5821" spans="1:10" ht="12.75" customHeight="1" x14ac:dyDescent="0.2">
      <c r="A5821" s="681"/>
      <c r="B5821" s="693"/>
      <c r="C5821" s="672"/>
      <c r="D5821" s="809"/>
      <c r="E5821" s="674"/>
      <c r="F5821" s="675"/>
      <c r="G5821" s="676"/>
      <c r="H5821" s="929">
        <v>0</v>
      </c>
      <c r="I5821" s="929">
        <v>0</v>
      </c>
      <c r="J5821" s="689">
        <f t="shared" si="91"/>
        <v>0</v>
      </c>
    </row>
    <row r="5822" spans="1:10" ht="12.75" customHeight="1" x14ac:dyDescent="0.2">
      <c r="A5822" s="681">
        <v>1241</v>
      </c>
      <c r="B5822" s="693">
        <v>5112670040</v>
      </c>
      <c r="C5822" s="672" t="s">
        <v>8326</v>
      </c>
      <c r="D5822" s="809" t="s">
        <v>8230</v>
      </c>
      <c r="E5822" s="674">
        <v>10</v>
      </c>
      <c r="F5822" s="675">
        <v>0.1</v>
      </c>
      <c r="G5822" s="676">
        <v>1571.8</v>
      </c>
      <c r="H5822" s="929">
        <v>157.17999999999998</v>
      </c>
      <c r="I5822" s="929">
        <v>235.76999999999998</v>
      </c>
      <c r="J5822" s="689">
        <f t="shared" si="91"/>
        <v>1336.03</v>
      </c>
    </row>
    <row r="5823" spans="1:10" ht="12.75" customHeight="1" x14ac:dyDescent="0.2">
      <c r="A5823" s="681">
        <v>1241</v>
      </c>
      <c r="B5823" s="693">
        <v>5112670041</v>
      </c>
      <c r="C5823" s="672" t="s">
        <v>8326</v>
      </c>
      <c r="D5823" s="809" t="s">
        <v>8230</v>
      </c>
      <c r="E5823" s="674">
        <v>10</v>
      </c>
      <c r="F5823" s="675">
        <v>0.1</v>
      </c>
      <c r="G5823" s="676">
        <v>1571.8</v>
      </c>
      <c r="H5823" s="929">
        <v>157.17999999999998</v>
      </c>
      <c r="I5823" s="929">
        <v>235.76999999999998</v>
      </c>
      <c r="J5823" s="689">
        <f t="shared" si="91"/>
        <v>1336.03</v>
      </c>
    </row>
    <row r="5824" spans="1:10" ht="12.75" customHeight="1" x14ac:dyDescent="0.2">
      <c r="A5824" s="681">
        <v>1241</v>
      </c>
      <c r="B5824" s="693">
        <v>5112670043</v>
      </c>
      <c r="C5824" s="672" t="s">
        <v>10396</v>
      </c>
      <c r="D5824" s="809" t="s">
        <v>8230</v>
      </c>
      <c r="E5824" s="674">
        <v>10</v>
      </c>
      <c r="F5824" s="675">
        <v>0.1</v>
      </c>
      <c r="G5824" s="676">
        <v>1473.2</v>
      </c>
      <c r="H5824" s="929">
        <v>147.32000000000002</v>
      </c>
      <c r="I5824" s="929">
        <v>220.98000000000002</v>
      </c>
      <c r="J5824" s="689">
        <f t="shared" ref="J5824:J5887" si="92">G5824-I5824</f>
        <v>1252.22</v>
      </c>
    </row>
    <row r="5825" spans="1:10" ht="12.75" customHeight="1" x14ac:dyDescent="0.2">
      <c r="A5825" s="681">
        <v>1241</v>
      </c>
      <c r="B5825" s="693">
        <v>5112670044</v>
      </c>
      <c r="C5825" s="672" t="s">
        <v>10396</v>
      </c>
      <c r="D5825" s="809" t="s">
        <v>8230</v>
      </c>
      <c r="E5825" s="674">
        <v>10</v>
      </c>
      <c r="F5825" s="675">
        <v>0.1</v>
      </c>
      <c r="G5825" s="676">
        <v>1473.2</v>
      </c>
      <c r="H5825" s="929">
        <v>147.32000000000002</v>
      </c>
      <c r="I5825" s="929">
        <v>220.98000000000002</v>
      </c>
      <c r="J5825" s="689">
        <f t="shared" si="92"/>
        <v>1252.22</v>
      </c>
    </row>
    <row r="5826" spans="1:10" ht="12.75" customHeight="1" x14ac:dyDescent="0.2">
      <c r="A5826" s="681">
        <v>1241</v>
      </c>
      <c r="B5826" s="693">
        <v>5112830004</v>
      </c>
      <c r="C5826" s="672" t="s">
        <v>8327</v>
      </c>
      <c r="D5826" s="809" t="s">
        <v>8230</v>
      </c>
      <c r="E5826" s="674">
        <v>10</v>
      </c>
      <c r="F5826" s="675">
        <v>0.1</v>
      </c>
      <c r="G5826" s="676">
        <v>999</v>
      </c>
      <c r="H5826" s="929">
        <v>99.90000000000002</v>
      </c>
      <c r="I5826" s="929">
        <v>149.85000000000002</v>
      </c>
      <c r="J5826" s="689">
        <f t="shared" si="92"/>
        <v>849.15</v>
      </c>
    </row>
    <row r="5827" spans="1:10" ht="12.75" customHeight="1" x14ac:dyDescent="0.2">
      <c r="A5827" s="681">
        <v>1241</v>
      </c>
      <c r="B5827" s="693">
        <v>5151260055</v>
      </c>
      <c r="C5827" s="672" t="s">
        <v>8328</v>
      </c>
      <c r="D5827" s="809" t="s">
        <v>8230</v>
      </c>
      <c r="E5827" s="674">
        <v>3</v>
      </c>
      <c r="F5827" s="675">
        <v>0.33</v>
      </c>
      <c r="G5827" s="676">
        <v>10328.64</v>
      </c>
      <c r="H5827" s="929">
        <v>3408.4512000000009</v>
      </c>
      <c r="I5827" s="929">
        <v>5112.6768000000011</v>
      </c>
      <c r="J5827" s="689">
        <f t="shared" si="92"/>
        <v>5215.9631999999983</v>
      </c>
    </row>
    <row r="5828" spans="1:10" ht="12.75" customHeight="1" x14ac:dyDescent="0.2">
      <c r="A5828" s="681">
        <v>1241</v>
      </c>
      <c r="B5828" s="693">
        <v>5151260056</v>
      </c>
      <c r="C5828" s="672" t="s">
        <v>8328</v>
      </c>
      <c r="D5828" s="809" t="s">
        <v>8230</v>
      </c>
      <c r="E5828" s="674">
        <v>3</v>
      </c>
      <c r="F5828" s="675">
        <v>0.33</v>
      </c>
      <c r="G5828" s="676">
        <v>10328.64</v>
      </c>
      <c r="H5828" s="929">
        <v>3408.4512000000009</v>
      </c>
      <c r="I5828" s="929">
        <v>5112.6768000000011</v>
      </c>
      <c r="J5828" s="689">
        <f t="shared" si="92"/>
        <v>5215.9631999999983</v>
      </c>
    </row>
    <row r="5829" spans="1:10" ht="12.75" customHeight="1" x14ac:dyDescent="0.2">
      <c r="A5829" s="681">
        <v>1241</v>
      </c>
      <c r="B5829" s="693">
        <v>5151260057</v>
      </c>
      <c r="C5829" s="672" t="s">
        <v>8328</v>
      </c>
      <c r="D5829" s="809" t="s">
        <v>8230</v>
      </c>
      <c r="E5829" s="674">
        <v>3</v>
      </c>
      <c r="F5829" s="675">
        <v>0.33</v>
      </c>
      <c r="G5829" s="676">
        <v>10328.64</v>
      </c>
      <c r="H5829" s="929">
        <v>3408.4512000000009</v>
      </c>
      <c r="I5829" s="929">
        <v>5112.6768000000011</v>
      </c>
      <c r="J5829" s="689">
        <f t="shared" si="92"/>
        <v>5215.9631999999983</v>
      </c>
    </row>
    <row r="5830" spans="1:10" ht="12.75" customHeight="1" x14ac:dyDescent="0.2">
      <c r="A5830" s="681">
        <v>1241</v>
      </c>
      <c r="B5830" s="693">
        <v>5151260059</v>
      </c>
      <c r="C5830" s="672" t="s">
        <v>8328</v>
      </c>
      <c r="D5830" s="809" t="s">
        <v>8230</v>
      </c>
      <c r="E5830" s="674">
        <v>3</v>
      </c>
      <c r="F5830" s="675">
        <v>0.33</v>
      </c>
      <c r="G5830" s="676">
        <v>10328.64</v>
      </c>
      <c r="H5830" s="929">
        <v>3408.4512000000009</v>
      </c>
      <c r="I5830" s="929">
        <v>5112.6768000000011</v>
      </c>
      <c r="J5830" s="689">
        <f t="shared" si="92"/>
        <v>5215.9631999999983</v>
      </c>
    </row>
    <row r="5831" spans="1:10" ht="12.75" customHeight="1" x14ac:dyDescent="0.2">
      <c r="A5831" s="681">
        <v>1241</v>
      </c>
      <c r="B5831" s="693">
        <v>5151120005</v>
      </c>
      <c r="C5831" s="672" t="s">
        <v>8329</v>
      </c>
      <c r="D5831" s="809" t="s">
        <v>8230</v>
      </c>
      <c r="E5831" s="674">
        <v>3</v>
      </c>
      <c r="F5831" s="675">
        <v>0.33</v>
      </c>
      <c r="G5831" s="676">
        <v>1682</v>
      </c>
      <c r="H5831" s="929">
        <v>555.06000000000006</v>
      </c>
      <c r="I5831" s="929">
        <v>832.59000000000015</v>
      </c>
      <c r="J5831" s="689">
        <f t="shared" si="92"/>
        <v>849.40999999999985</v>
      </c>
    </row>
    <row r="5832" spans="1:10" ht="12.75" customHeight="1" x14ac:dyDescent="0.2">
      <c r="A5832" s="681">
        <v>1241</v>
      </c>
      <c r="B5832" s="693">
        <v>5150120004</v>
      </c>
      <c r="C5832" s="672" t="s">
        <v>8330</v>
      </c>
      <c r="D5832" s="809" t="s">
        <v>8230</v>
      </c>
      <c r="E5832" s="674">
        <v>3</v>
      </c>
      <c r="F5832" s="675">
        <v>0.33</v>
      </c>
      <c r="G5832" s="676">
        <v>11252</v>
      </c>
      <c r="H5832" s="929">
        <v>3713.1599999999994</v>
      </c>
      <c r="I5832" s="929">
        <v>5569.74</v>
      </c>
      <c r="J5832" s="689">
        <f t="shared" si="92"/>
        <v>5682.26</v>
      </c>
    </row>
    <row r="5833" spans="1:10" ht="12.75" customHeight="1" x14ac:dyDescent="0.2">
      <c r="A5833" s="681">
        <v>1241</v>
      </c>
      <c r="B5833" s="693">
        <v>5151260061</v>
      </c>
      <c r="C5833" s="672" t="s">
        <v>8331</v>
      </c>
      <c r="D5833" s="809" t="s">
        <v>8230</v>
      </c>
      <c r="E5833" s="674">
        <v>3</v>
      </c>
      <c r="F5833" s="675">
        <v>0.33</v>
      </c>
      <c r="G5833" s="676">
        <v>10137.379999999999</v>
      </c>
      <c r="H5833" s="929">
        <v>3345.3354000000004</v>
      </c>
      <c r="I5833" s="929">
        <v>5018.0030999999999</v>
      </c>
      <c r="J5833" s="689">
        <f t="shared" si="92"/>
        <v>5119.3768999999993</v>
      </c>
    </row>
    <row r="5834" spans="1:10" ht="12.75" customHeight="1" x14ac:dyDescent="0.2">
      <c r="A5834" s="681">
        <v>1241</v>
      </c>
      <c r="B5834" s="693">
        <v>5111870002</v>
      </c>
      <c r="C5834" s="672" t="s">
        <v>10397</v>
      </c>
      <c r="D5834" s="809" t="s">
        <v>8230</v>
      </c>
      <c r="E5834" s="674">
        <v>10</v>
      </c>
      <c r="F5834" s="675">
        <v>0.1</v>
      </c>
      <c r="G5834" s="676">
        <v>5989.9966666666669</v>
      </c>
      <c r="H5834" s="929">
        <v>598.99966666666671</v>
      </c>
      <c r="I5834" s="929">
        <v>898.49950000000013</v>
      </c>
      <c r="J5834" s="689">
        <f t="shared" si="92"/>
        <v>5091.497166666667</v>
      </c>
    </row>
    <row r="5835" spans="1:10" ht="12.75" customHeight="1" x14ac:dyDescent="0.2">
      <c r="A5835" s="681">
        <v>1241</v>
      </c>
      <c r="B5835" s="693">
        <v>5111870003</v>
      </c>
      <c r="C5835" s="672" t="s">
        <v>10397</v>
      </c>
      <c r="D5835" s="809" t="s">
        <v>8230</v>
      </c>
      <c r="E5835" s="674">
        <v>10</v>
      </c>
      <c r="F5835" s="675">
        <v>0.1</v>
      </c>
      <c r="G5835" s="676">
        <v>5989.9966666666669</v>
      </c>
      <c r="H5835" s="929">
        <v>598.99966666666671</v>
      </c>
      <c r="I5835" s="929">
        <v>898.49950000000013</v>
      </c>
      <c r="J5835" s="689">
        <f t="shared" si="92"/>
        <v>5091.497166666667</v>
      </c>
    </row>
    <row r="5836" spans="1:10" ht="12.75" customHeight="1" x14ac:dyDescent="0.2">
      <c r="A5836" s="681">
        <v>1241</v>
      </c>
      <c r="B5836" s="693">
        <v>5111870004</v>
      </c>
      <c r="C5836" s="672" t="s">
        <v>10397</v>
      </c>
      <c r="D5836" s="809" t="s">
        <v>8230</v>
      </c>
      <c r="E5836" s="674">
        <v>10</v>
      </c>
      <c r="F5836" s="675">
        <v>0.1</v>
      </c>
      <c r="G5836" s="676">
        <v>5989.9966666666669</v>
      </c>
      <c r="H5836" s="929">
        <v>598.99966666666671</v>
      </c>
      <c r="I5836" s="929">
        <v>898.49950000000013</v>
      </c>
      <c r="J5836" s="689">
        <f t="shared" si="92"/>
        <v>5091.497166666667</v>
      </c>
    </row>
    <row r="5837" spans="1:10" ht="12.75" customHeight="1" x14ac:dyDescent="0.2">
      <c r="A5837" s="681">
        <v>1241</v>
      </c>
      <c r="B5837" s="693">
        <v>5111870005</v>
      </c>
      <c r="C5837" s="672" t="s">
        <v>10397</v>
      </c>
      <c r="D5837" s="809" t="s">
        <v>8230</v>
      </c>
      <c r="E5837" s="674">
        <v>10</v>
      </c>
      <c r="F5837" s="675">
        <v>0.1</v>
      </c>
      <c r="G5837" s="676">
        <v>5989.9966666666669</v>
      </c>
      <c r="H5837" s="929">
        <v>598.99966666666671</v>
      </c>
      <c r="I5837" s="929">
        <v>898.49950000000013</v>
      </c>
      <c r="J5837" s="689">
        <f t="shared" si="92"/>
        <v>5091.497166666667</v>
      </c>
    </row>
    <row r="5838" spans="1:10" ht="12.75" customHeight="1" x14ac:dyDescent="0.2">
      <c r="A5838" s="681">
        <v>1241</v>
      </c>
      <c r="B5838" s="693">
        <v>5111870006</v>
      </c>
      <c r="C5838" s="672" t="s">
        <v>10397</v>
      </c>
      <c r="D5838" s="809" t="s">
        <v>8230</v>
      </c>
      <c r="E5838" s="674">
        <v>10</v>
      </c>
      <c r="F5838" s="675">
        <v>0.1</v>
      </c>
      <c r="G5838" s="676">
        <v>5989.9966666666669</v>
      </c>
      <c r="H5838" s="929">
        <v>598.99966666666671</v>
      </c>
      <c r="I5838" s="929">
        <v>898.49950000000013</v>
      </c>
      <c r="J5838" s="689">
        <f t="shared" si="92"/>
        <v>5091.497166666667</v>
      </c>
    </row>
    <row r="5839" spans="1:10" ht="12.75" customHeight="1" x14ac:dyDescent="0.2">
      <c r="A5839" s="681">
        <v>1241</v>
      </c>
      <c r="B5839" s="693">
        <v>5111870007</v>
      </c>
      <c r="C5839" s="672" t="s">
        <v>10397</v>
      </c>
      <c r="D5839" s="809" t="s">
        <v>8230</v>
      </c>
      <c r="E5839" s="674">
        <v>10</v>
      </c>
      <c r="F5839" s="675">
        <v>0.1</v>
      </c>
      <c r="G5839" s="676">
        <v>5989.9966666666669</v>
      </c>
      <c r="H5839" s="929">
        <v>598.99966666666671</v>
      </c>
      <c r="I5839" s="929">
        <v>898.49950000000013</v>
      </c>
      <c r="J5839" s="689">
        <f t="shared" si="92"/>
        <v>5091.497166666667</v>
      </c>
    </row>
    <row r="5840" spans="1:10" ht="12.75" customHeight="1" x14ac:dyDescent="0.2">
      <c r="A5840" s="681">
        <v>1242</v>
      </c>
      <c r="B5840" s="693">
        <v>5620020001</v>
      </c>
      <c r="C5840" s="672" t="s">
        <v>8332</v>
      </c>
      <c r="D5840" s="809" t="s">
        <v>8230</v>
      </c>
      <c r="E5840" s="674">
        <v>10</v>
      </c>
      <c r="F5840" s="675">
        <v>0.1</v>
      </c>
      <c r="G5840" s="676">
        <v>3394.16</v>
      </c>
      <c r="H5840" s="929">
        <v>339.41600000000011</v>
      </c>
      <c r="I5840" s="929">
        <v>509.12400000000014</v>
      </c>
      <c r="J5840" s="689">
        <f t="shared" si="92"/>
        <v>2885.0359999999996</v>
      </c>
    </row>
    <row r="5841" spans="1:10" ht="12.75" customHeight="1" x14ac:dyDescent="0.2">
      <c r="A5841" s="681">
        <v>1244</v>
      </c>
      <c r="B5841" s="693">
        <v>5410230058</v>
      </c>
      <c r="C5841" s="672" t="s">
        <v>8333</v>
      </c>
      <c r="D5841" s="809" t="s">
        <v>8230</v>
      </c>
      <c r="E5841" s="674">
        <v>5</v>
      </c>
      <c r="F5841" s="675">
        <v>0.2</v>
      </c>
      <c r="G5841" s="676">
        <v>311800</v>
      </c>
      <c r="H5841" s="929">
        <v>62359.999999999993</v>
      </c>
      <c r="I5841" s="929">
        <v>93540</v>
      </c>
      <c r="J5841" s="689">
        <f t="shared" si="92"/>
        <v>218260</v>
      </c>
    </row>
    <row r="5842" spans="1:10" ht="12.75" customHeight="1" x14ac:dyDescent="0.2">
      <c r="A5842" s="681">
        <v>1246</v>
      </c>
      <c r="B5842" s="693">
        <v>5111050063</v>
      </c>
      <c r="C5842" s="672" t="s">
        <v>8334</v>
      </c>
      <c r="D5842" s="809" t="s">
        <v>8230</v>
      </c>
      <c r="E5842" s="674">
        <v>10</v>
      </c>
      <c r="F5842" s="675">
        <v>0.1</v>
      </c>
      <c r="G5842" s="676">
        <v>10598.99</v>
      </c>
      <c r="H5842" s="929">
        <v>1059.8990000000001</v>
      </c>
      <c r="I5842" s="929">
        <v>1589.8485000000001</v>
      </c>
      <c r="J5842" s="689">
        <f t="shared" si="92"/>
        <v>9009.1414999999997</v>
      </c>
    </row>
    <row r="5843" spans="1:10" ht="12.75" customHeight="1" x14ac:dyDescent="0.2">
      <c r="A5843" s="681"/>
      <c r="B5843" s="693"/>
      <c r="C5843" s="672"/>
      <c r="D5843" s="809"/>
      <c r="E5843" s="674"/>
      <c r="F5843" s="675"/>
      <c r="G5843" s="676"/>
      <c r="H5843" s="929"/>
      <c r="I5843" s="929"/>
      <c r="J5843" s="689"/>
    </row>
    <row r="5844" spans="1:10" ht="12.75" customHeight="1" x14ac:dyDescent="0.2">
      <c r="A5844" s="681">
        <v>1241</v>
      </c>
      <c r="B5844" s="693">
        <v>5110600002</v>
      </c>
      <c r="C5844" s="672" t="s">
        <v>8335</v>
      </c>
      <c r="D5844" s="809" t="s">
        <v>8231</v>
      </c>
      <c r="E5844" s="674">
        <v>10</v>
      </c>
      <c r="F5844" s="675">
        <v>0.1</v>
      </c>
      <c r="G5844" s="676">
        <v>14685.599999999999</v>
      </c>
      <c r="H5844" s="929">
        <v>1468.5599999999995</v>
      </c>
      <c r="I5844" s="929">
        <v>2080.4599999999991</v>
      </c>
      <c r="J5844" s="689">
        <f t="shared" si="92"/>
        <v>12605.14</v>
      </c>
    </row>
    <row r="5845" spans="1:10" ht="12.75" customHeight="1" x14ac:dyDescent="0.2">
      <c r="A5845" s="681">
        <v>1241</v>
      </c>
      <c r="B5845" s="693">
        <v>5112640004</v>
      </c>
      <c r="C5845" s="672" t="s">
        <v>8336</v>
      </c>
      <c r="D5845" s="809" t="s">
        <v>8231</v>
      </c>
      <c r="E5845" s="674">
        <v>10</v>
      </c>
      <c r="F5845" s="675">
        <v>0.1</v>
      </c>
      <c r="G5845" s="676">
        <v>696</v>
      </c>
      <c r="H5845" s="929">
        <v>69.59999999999998</v>
      </c>
      <c r="I5845" s="929">
        <v>98.59999999999998</v>
      </c>
      <c r="J5845" s="689">
        <f t="shared" si="92"/>
        <v>597.4</v>
      </c>
    </row>
    <row r="5846" spans="1:10" ht="12.75" customHeight="1" x14ac:dyDescent="0.2">
      <c r="A5846" s="681">
        <v>1241</v>
      </c>
      <c r="B5846" s="693">
        <v>5112640005</v>
      </c>
      <c r="C5846" s="672" t="s">
        <v>8336</v>
      </c>
      <c r="D5846" s="809" t="s">
        <v>8231</v>
      </c>
      <c r="E5846" s="674">
        <v>10</v>
      </c>
      <c r="F5846" s="675">
        <v>0.1</v>
      </c>
      <c r="G5846" s="676">
        <v>696</v>
      </c>
      <c r="H5846" s="929">
        <v>69.59999999999998</v>
      </c>
      <c r="I5846" s="929">
        <v>98.59999999999998</v>
      </c>
      <c r="J5846" s="689">
        <f t="shared" si="92"/>
        <v>597.4</v>
      </c>
    </row>
    <row r="5847" spans="1:10" ht="12.75" customHeight="1" x14ac:dyDescent="0.2">
      <c r="A5847" s="681">
        <v>1241</v>
      </c>
      <c r="B5847" s="693">
        <v>5112640006</v>
      </c>
      <c r="C5847" s="672" t="s">
        <v>8336</v>
      </c>
      <c r="D5847" s="809" t="s">
        <v>8231</v>
      </c>
      <c r="E5847" s="674">
        <v>10</v>
      </c>
      <c r="F5847" s="675">
        <v>0.1</v>
      </c>
      <c r="G5847" s="676">
        <v>696</v>
      </c>
      <c r="H5847" s="929">
        <v>69.59999999999998</v>
      </c>
      <c r="I5847" s="929">
        <v>98.59999999999998</v>
      </c>
      <c r="J5847" s="689">
        <f t="shared" si="92"/>
        <v>597.4</v>
      </c>
    </row>
    <row r="5848" spans="1:10" ht="12.75" customHeight="1" x14ac:dyDescent="0.2">
      <c r="A5848" s="681">
        <v>1241</v>
      </c>
      <c r="B5848" s="693">
        <v>5112640007</v>
      </c>
      <c r="C5848" s="672" t="s">
        <v>8336</v>
      </c>
      <c r="D5848" s="809" t="s">
        <v>8231</v>
      </c>
      <c r="E5848" s="674">
        <v>10</v>
      </c>
      <c r="F5848" s="675">
        <v>0.1</v>
      </c>
      <c r="G5848" s="676">
        <v>696</v>
      </c>
      <c r="H5848" s="929">
        <v>69.59999999999998</v>
      </c>
      <c r="I5848" s="929">
        <v>98.59999999999998</v>
      </c>
      <c r="J5848" s="689">
        <f t="shared" si="92"/>
        <v>597.4</v>
      </c>
    </row>
    <row r="5849" spans="1:10" ht="12.75" customHeight="1" x14ac:dyDescent="0.2">
      <c r="A5849" s="681">
        <v>1241</v>
      </c>
      <c r="B5849" s="693">
        <v>5112640008</v>
      </c>
      <c r="C5849" s="672" t="s">
        <v>8336</v>
      </c>
      <c r="D5849" s="809" t="s">
        <v>8231</v>
      </c>
      <c r="E5849" s="674">
        <v>10</v>
      </c>
      <c r="F5849" s="675">
        <v>0.1</v>
      </c>
      <c r="G5849" s="676">
        <v>696</v>
      </c>
      <c r="H5849" s="929">
        <v>69.59999999999998</v>
      </c>
      <c r="I5849" s="929">
        <v>98.59999999999998</v>
      </c>
      <c r="J5849" s="689">
        <f t="shared" si="92"/>
        <v>597.4</v>
      </c>
    </row>
    <row r="5850" spans="1:10" ht="12.75" customHeight="1" x14ac:dyDescent="0.2">
      <c r="A5850" s="681">
        <v>1241</v>
      </c>
      <c r="B5850" s="693">
        <v>5112640009</v>
      </c>
      <c r="C5850" s="672" t="s">
        <v>8336</v>
      </c>
      <c r="D5850" s="809" t="s">
        <v>8231</v>
      </c>
      <c r="E5850" s="674">
        <v>10</v>
      </c>
      <c r="F5850" s="675">
        <v>0.1</v>
      </c>
      <c r="G5850" s="676">
        <v>696</v>
      </c>
      <c r="H5850" s="929">
        <v>69.59999999999998</v>
      </c>
      <c r="I5850" s="929">
        <v>98.59999999999998</v>
      </c>
      <c r="J5850" s="689">
        <f t="shared" si="92"/>
        <v>597.4</v>
      </c>
    </row>
    <row r="5851" spans="1:10" ht="12.75" customHeight="1" x14ac:dyDescent="0.2">
      <c r="A5851" s="681">
        <v>1241</v>
      </c>
      <c r="B5851" s="693">
        <v>5112640010</v>
      </c>
      <c r="C5851" s="672" t="s">
        <v>8336</v>
      </c>
      <c r="D5851" s="809" t="s">
        <v>8231</v>
      </c>
      <c r="E5851" s="674">
        <v>10</v>
      </c>
      <c r="F5851" s="675">
        <v>0.1</v>
      </c>
      <c r="G5851" s="676">
        <v>696</v>
      </c>
      <c r="H5851" s="929">
        <v>69.59999999999998</v>
      </c>
      <c r="I5851" s="929">
        <v>98.59999999999998</v>
      </c>
      <c r="J5851" s="689">
        <f t="shared" si="92"/>
        <v>597.4</v>
      </c>
    </row>
    <row r="5852" spans="1:10" ht="12.75" customHeight="1" x14ac:dyDescent="0.2">
      <c r="A5852" s="681">
        <v>1241</v>
      </c>
      <c r="B5852" s="693">
        <v>5112640011</v>
      </c>
      <c r="C5852" s="672" t="s">
        <v>8336</v>
      </c>
      <c r="D5852" s="809" t="s">
        <v>8231</v>
      </c>
      <c r="E5852" s="674">
        <v>10</v>
      </c>
      <c r="F5852" s="675">
        <v>0.1</v>
      </c>
      <c r="G5852" s="676">
        <v>696</v>
      </c>
      <c r="H5852" s="929">
        <v>69.59999999999998</v>
      </c>
      <c r="I5852" s="929">
        <v>98.59999999999998</v>
      </c>
      <c r="J5852" s="689">
        <f t="shared" si="92"/>
        <v>597.4</v>
      </c>
    </row>
    <row r="5853" spans="1:10" ht="12.75" customHeight="1" x14ac:dyDescent="0.2">
      <c r="A5853" s="681">
        <v>1241</v>
      </c>
      <c r="B5853" s="693">
        <v>5112640012</v>
      </c>
      <c r="C5853" s="672" t="s">
        <v>8336</v>
      </c>
      <c r="D5853" s="809" t="s">
        <v>8231</v>
      </c>
      <c r="E5853" s="674">
        <v>10</v>
      </c>
      <c r="F5853" s="675">
        <v>0.1</v>
      </c>
      <c r="G5853" s="676">
        <v>696</v>
      </c>
      <c r="H5853" s="929">
        <v>69.59999999999998</v>
      </c>
      <c r="I5853" s="929">
        <v>98.59999999999998</v>
      </c>
      <c r="J5853" s="689">
        <f t="shared" si="92"/>
        <v>597.4</v>
      </c>
    </row>
    <row r="5854" spans="1:10" ht="12.75" customHeight="1" x14ac:dyDescent="0.2">
      <c r="A5854" s="681">
        <v>1241</v>
      </c>
      <c r="B5854" s="693">
        <v>5112640013</v>
      </c>
      <c r="C5854" s="672" t="s">
        <v>8336</v>
      </c>
      <c r="D5854" s="809" t="s">
        <v>8231</v>
      </c>
      <c r="E5854" s="674">
        <v>10</v>
      </c>
      <c r="F5854" s="675">
        <v>0.1</v>
      </c>
      <c r="G5854" s="676">
        <v>696</v>
      </c>
      <c r="H5854" s="929">
        <v>69.59999999999998</v>
      </c>
      <c r="I5854" s="929">
        <v>98.59999999999998</v>
      </c>
      <c r="J5854" s="689">
        <f t="shared" si="92"/>
        <v>597.4</v>
      </c>
    </row>
    <row r="5855" spans="1:10" ht="12.75" customHeight="1" x14ac:dyDescent="0.2">
      <c r="A5855" s="681">
        <v>1241</v>
      </c>
      <c r="B5855" s="693">
        <v>5112640014</v>
      </c>
      <c r="C5855" s="672" t="s">
        <v>8336</v>
      </c>
      <c r="D5855" s="809" t="s">
        <v>8231</v>
      </c>
      <c r="E5855" s="674">
        <v>10</v>
      </c>
      <c r="F5855" s="675">
        <v>0.1</v>
      </c>
      <c r="G5855" s="676">
        <v>696</v>
      </c>
      <c r="H5855" s="929">
        <v>69.59999999999998</v>
      </c>
      <c r="I5855" s="929">
        <v>98.59999999999998</v>
      </c>
      <c r="J5855" s="689">
        <f t="shared" si="92"/>
        <v>597.4</v>
      </c>
    </row>
    <row r="5856" spans="1:10" ht="12.75" customHeight="1" x14ac:dyDescent="0.2">
      <c r="A5856" s="681">
        <v>1241</v>
      </c>
      <c r="B5856" s="693">
        <v>5112640015</v>
      </c>
      <c r="C5856" s="672" t="s">
        <v>8336</v>
      </c>
      <c r="D5856" s="809" t="s">
        <v>8231</v>
      </c>
      <c r="E5856" s="674">
        <v>10</v>
      </c>
      <c r="F5856" s="675">
        <v>0.1</v>
      </c>
      <c r="G5856" s="676">
        <v>696</v>
      </c>
      <c r="H5856" s="929">
        <v>69.59999999999998</v>
      </c>
      <c r="I5856" s="929">
        <v>98.59999999999998</v>
      </c>
      <c r="J5856" s="689">
        <f t="shared" si="92"/>
        <v>597.4</v>
      </c>
    </row>
    <row r="5857" spans="1:10" ht="12.75" customHeight="1" x14ac:dyDescent="0.2">
      <c r="A5857" s="681">
        <v>1241</v>
      </c>
      <c r="B5857" s="693">
        <v>5112640016</v>
      </c>
      <c r="C5857" s="672" t="s">
        <v>8336</v>
      </c>
      <c r="D5857" s="809" t="s">
        <v>8231</v>
      </c>
      <c r="E5857" s="674">
        <v>10</v>
      </c>
      <c r="F5857" s="675">
        <v>0.1</v>
      </c>
      <c r="G5857" s="676">
        <v>696</v>
      </c>
      <c r="H5857" s="929">
        <v>69.59999999999998</v>
      </c>
      <c r="I5857" s="929">
        <v>98.59999999999998</v>
      </c>
      <c r="J5857" s="689">
        <f t="shared" si="92"/>
        <v>597.4</v>
      </c>
    </row>
    <row r="5858" spans="1:10" ht="12.75" customHeight="1" x14ac:dyDescent="0.2">
      <c r="A5858" s="681">
        <v>1241</v>
      </c>
      <c r="B5858" s="693">
        <v>5112640017</v>
      </c>
      <c r="C5858" s="672" t="s">
        <v>8336</v>
      </c>
      <c r="D5858" s="809" t="s">
        <v>8231</v>
      </c>
      <c r="E5858" s="674">
        <v>10</v>
      </c>
      <c r="F5858" s="675">
        <v>0.1</v>
      </c>
      <c r="G5858" s="676">
        <v>696</v>
      </c>
      <c r="H5858" s="929">
        <v>69.59999999999998</v>
      </c>
      <c r="I5858" s="929">
        <v>98.59999999999998</v>
      </c>
      <c r="J5858" s="689">
        <f t="shared" si="92"/>
        <v>597.4</v>
      </c>
    </row>
    <row r="5859" spans="1:10" ht="12.75" customHeight="1" x14ac:dyDescent="0.2">
      <c r="A5859" s="681">
        <v>1241</v>
      </c>
      <c r="B5859" s="693">
        <v>5110360054</v>
      </c>
      <c r="C5859" s="672" t="s">
        <v>10398</v>
      </c>
      <c r="D5859" s="809" t="s">
        <v>8231</v>
      </c>
      <c r="E5859" s="674">
        <v>10</v>
      </c>
      <c r="F5859" s="675">
        <v>0.1</v>
      </c>
      <c r="G5859" s="676">
        <v>3654</v>
      </c>
      <c r="H5859" s="929">
        <v>365.39999999999992</v>
      </c>
      <c r="I5859" s="929">
        <v>517.64999999999986</v>
      </c>
      <c r="J5859" s="689">
        <f t="shared" si="92"/>
        <v>3136.3500000000004</v>
      </c>
    </row>
    <row r="5860" spans="1:10" ht="12.75" customHeight="1" x14ac:dyDescent="0.2">
      <c r="A5860" s="681">
        <v>1241</v>
      </c>
      <c r="B5860" s="693">
        <v>5110360057</v>
      </c>
      <c r="C5860" s="672" t="s">
        <v>10398</v>
      </c>
      <c r="D5860" s="809" t="s">
        <v>8231</v>
      </c>
      <c r="E5860" s="674">
        <v>10</v>
      </c>
      <c r="F5860" s="675">
        <v>0.1</v>
      </c>
      <c r="G5860" s="676">
        <v>3654</v>
      </c>
      <c r="H5860" s="929">
        <v>365.39999999999992</v>
      </c>
      <c r="I5860" s="929">
        <v>517.64999999999986</v>
      </c>
      <c r="J5860" s="689">
        <f t="shared" si="92"/>
        <v>3136.3500000000004</v>
      </c>
    </row>
    <row r="5861" spans="1:10" ht="12.75" customHeight="1" x14ac:dyDescent="0.2">
      <c r="A5861" s="681">
        <v>1241</v>
      </c>
      <c r="B5861" s="693">
        <v>5110360058</v>
      </c>
      <c r="C5861" s="672" t="s">
        <v>10398</v>
      </c>
      <c r="D5861" s="809" t="s">
        <v>8231</v>
      </c>
      <c r="E5861" s="674">
        <v>10</v>
      </c>
      <c r="F5861" s="675">
        <v>0.1</v>
      </c>
      <c r="G5861" s="676">
        <v>3654</v>
      </c>
      <c r="H5861" s="929">
        <v>365.39999999999992</v>
      </c>
      <c r="I5861" s="929">
        <v>517.64999999999986</v>
      </c>
      <c r="J5861" s="689">
        <f t="shared" si="92"/>
        <v>3136.3500000000004</v>
      </c>
    </row>
    <row r="5862" spans="1:10" ht="12.75" customHeight="1" x14ac:dyDescent="0.2">
      <c r="A5862" s="681">
        <v>1241</v>
      </c>
      <c r="B5862" s="693">
        <v>5112670036</v>
      </c>
      <c r="C5862" s="672" t="s">
        <v>8337</v>
      </c>
      <c r="D5862" s="809" t="s">
        <v>8231</v>
      </c>
      <c r="E5862" s="674">
        <v>10</v>
      </c>
      <c r="F5862" s="675">
        <v>0.1</v>
      </c>
      <c r="G5862" s="676">
        <v>1571.8</v>
      </c>
      <c r="H5862" s="929">
        <v>157.17999999999998</v>
      </c>
      <c r="I5862" s="929">
        <v>222.67166666666662</v>
      </c>
      <c r="J5862" s="689">
        <f t="shared" si="92"/>
        <v>1349.1283333333333</v>
      </c>
    </row>
    <row r="5863" spans="1:10" ht="12.75" customHeight="1" x14ac:dyDescent="0.2">
      <c r="A5863" s="681">
        <v>1241</v>
      </c>
      <c r="B5863" s="693">
        <v>5112670037</v>
      </c>
      <c r="C5863" s="672" t="s">
        <v>8337</v>
      </c>
      <c r="D5863" s="809" t="s">
        <v>8231</v>
      </c>
      <c r="E5863" s="674">
        <v>10</v>
      </c>
      <c r="F5863" s="675">
        <v>0.1</v>
      </c>
      <c r="G5863" s="676">
        <v>1571.8</v>
      </c>
      <c r="H5863" s="929">
        <v>157.17999999999998</v>
      </c>
      <c r="I5863" s="929">
        <v>222.67166666666662</v>
      </c>
      <c r="J5863" s="689">
        <f t="shared" si="92"/>
        <v>1349.1283333333333</v>
      </c>
    </row>
    <row r="5864" spans="1:10" ht="12.75" customHeight="1" x14ac:dyDescent="0.2">
      <c r="A5864" s="681">
        <v>1241</v>
      </c>
      <c r="B5864" s="693">
        <v>5112670042</v>
      </c>
      <c r="C5864" s="672" t="s">
        <v>8337</v>
      </c>
      <c r="D5864" s="809" t="s">
        <v>8231</v>
      </c>
      <c r="E5864" s="674">
        <v>10</v>
      </c>
      <c r="F5864" s="675">
        <v>0.1</v>
      </c>
      <c r="G5864" s="676">
        <v>1571.8</v>
      </c>
      <c r="H5864" s="929">
        <v>157.17999999999998</v>
      </c>
      <c r="I5864" s="929">
        <v>222.67166666666662</v>
      </c>
      <c r="J5864" s="689">
        <f t="shared" si="92"/>
        <v>1349.1283333333333</v>
      </c>
    </row>
    <row r="5865" spans="1:10" ht="12.75" customHeight="1" x14ac:dyDescent="0.2">
      <c r="A5865" s="681">
        <v>1241</v>
      </c>
      <c r="B5865" s="693">
        <v>5151170014</v>
      </c>
      <c r="C5865" s="672" t="s">
        <v>8593</v>
      </c>
      <c r="D5865" s="809" t="s">
        <v>8231</v>
      </c>
      <c r="E5865" s="674">
        <v>3</v>
      </c>
      <c r="F5865" s="675">
        <v>0.33</v>
      </c>
      <c r="G5865" s="676">
        <v>1693.6</v>
      </c>
      <c r="H5865" s="929">
        <v>558.88800000000003</v>
      </c>
      <c r="I5865" s="929">
        <v>791.75800000000004</v>
      </c>
      <c r="J5865" s="689">
        <f t="shared" si="92"/>
        <v>901.84199999999987</v>
      </c>
    </row>
    <row r="5866" spans="1:10" ht="12.75" customHeight="1" x14ac:dyDescent="0.2">
      <c r="A5866" s="681">
        <v>1241</v>
      </c>
      <c r="B5866" s="693">
        <v>5150230013</v>
      </c>
      <c r="C5866" s="672" t="s">
        <v>8594</v>
      </c>
      <c r="D5866" s="809" t="s">
        <v>8231</v>
      </c>
      <c r="E5866" s="674">
        <v>3</v>
      </c>
      <c r="F5866" s="675">
        <v>0.33</v>
      </c>
      <c r="G5866" s="676">
        <v>6000</v>
      </c>
      <c r="H5866" s="929">
        <v>1980</v>
      </c>
      <c r="I5866" s="929">
        <v>2805</v>
      </c>
      <c r="J5866" s="689">
        <f t="shared" si="92"/>
        <v>3195</v>
      </c>
    </row>
    <row r="5867" spans="1:10" ht="12.75" customHeight="1" x14ac:dyDescent="0.2">
      <c r="A5867" s="681">
        <v>1241</v>
      </c>
      <c r="B5867" s="693">
        <v>5151260064</v>
      </c>
      <c r="C5867" s="672" t="s">
        <v>8338</v>
      </c>
      <c r="D5867" s="673" t="s">
        <v>8231</v>
      </c>
      <c r="E5867" s="674">
        <v>3</v>
      </c>
      <c r="F5867" s="675">
        <v>0.33</v>
      </c>
      <c r="G5867" s="676">
        <v>10328.64</v>
      </c>
      <c r="H5867" s="929">
        <v>3408.4512000000009</v>
      </c>
      <c r="I5867" s="929">
        <v>4828.6392000000014</v>
      </c>
      <c r="J5867" s="689">
        <f t="shared" si="92"/>
        <v>5500.000799999998</v>
      </c>
    </row>
    <row r="5868" spans="1:10" ht="12.75" customHeight="1" x14ac:dyDescent="0.2">
      <c r="A5868" s="681">
        <v>1241</v>
      </c>
      <c r="B5868" s="693">
        <v>5151260060</v>
      </c>
      <c r="C5868" s="672" t="s">
        <v>8338</v>
      </c>
      <c r="D5868" s="809" t="s">
        <v>8231</v>
      </c>
      <c r="E5868" s="674">
        <v>3</v>
      </c>
      <c r="F5868" s="675">
        <v>0.33</v>
      </c>
      <c r="G5868" s="676">
        <v>10328.64</v>
      </c>
      <c r="H5868" s="929">
        <v>3408.4512000000009</v>
      </c>
      <c r="I5868" s="929">
        <v>4828.6392000000014</v>
      </c>
      <c r="J5868" s="689">
        <f t="shared" si="92"/>
        <v>5500.000799999998</v>
      </c>
    </row>
    <row r="5869" spans="1:10" ht="12.75" customHeight="1" x14ac:dyDescent="0.2">
      <c r="A5869" s="681">
        <v>1241</v>
      </c>
      <c r="B5869" s="693">
        <v>5151230003</v>
      </c>
      <c r="C5869" s="672" t="s">
        <v>8339</v>
      </c>
      <c r="D5869" s="809" t="s">
        <v>8231</v>
      </c>
      <c r="E5869" s="674">
        <v>3</v>
      </c>
      <c r="F5869" s="675">
        <v>0.33</v>
      </c>
      <c r="G5869" s="676">
        <v>3479.9999999999995</v>
      </c>
      <c r="H5869" s="929">
        <v>1148.4000000000001</v>
      </c>
      <c r="I5869" s="929">
        <v>1626.9000232493422</v>
      </c>
      <c r="J5869" s="689">
        <f t="shared" si="92"/>
        <v>1853.0999767506573</v>
      </c>
    </row>
    <row r="5870" spans="1:10" ht="12.75" customHeight="1" x14ac:dyDescent="0.2">
      <c r="A5870" s="681">
        <v>1241</v>
      </c>
      <c r="B5870" s="693">
        <v>5151110013</v>
      </c>
      <c r="C5870" s="672" t="s">
        <v>8340</v>
      </c>
      <c r="D5870" s="809" t="s">
        <v>8231</v>
      </c>
      <c r="E5870" s="674">
        <v>3</v>
      </c>
      <c r="F5870" s="675">
        <v>0.33</v>
      </c>
      <c r="G5870" s="676">
        <v>3398.9971999999998</v>
      </c>
      <c r="H5870" s="929">
        <v>1121.6690759999997</v>
      </c>
      <c r="I5870" s="929">
        <v>1589.0312137081746</v>
      </c>
      <c r="J5870" s="689">
        <f t="shared" si="92"/>
        <v>1809.9659862918252</v>
      </c>
    </row>
    <row r="5871" spans="1:10" ht="12.75" customHeight="1" x14ac:dyDescent="0.2">
      <c r="A5871" s="681">
        <v>1241</v>
      </c>
      <c r="B5871" s="693">
        <v>5150590002</v>
      </c>
      <c r="C5871" s="672" t="s">
        <v>8341</v>
      </c>
      <c r="D5871" s="809" t="s">
        <v>8231</v>
      </c>
      <c r="E5871" s="674">
        <v>3</v>
      </c>
      <c r="F5871" s="675">
        <v>0.33</v>
      </c>
      <c r="G5871" s="676">
        <v>1499.9959999999999</v>
      </c>
      <c r="H5871" s="929">
        <v>494.99867999999992</v>
      </c>
      <c r="I5871" s="929">
        <v>701.2481400212414</v>
      </c>
      <c r="J5871" s="689">
        <f t="shared" si="92"/>
        <v>798.74785997875847</v>
      </c>
    </row>
    <row r="5872" spans="1:10" ht="12.75" customHeight="1" x14ac:dyDescent="0.2">
      <c r="A5872" s="681">
        <v>1241</v>
      </c>
      <c r="B5872" s="693">
        <v>5150590003</v>
      </c>
      <c r="C5872" s="672" t="s">
        <v>8341</v>
      </c>
      <c r="D5872" s="809" t="s">
        <v>8231</v>
      </c>
      <c r="E5872" s="674">
        <v>3</v>
      </c>
      <c r="F5872" s="675">
        <v>0.33</v>
      </c>
      <c r="G5872" s="676">
        <v>1499.9959999999999</v>
      </c>
      <c r="H5872" s="929">
        <v>494.99867999999992</v>
      </c>
      <c r="I5872" s="929">
        <v>701.2481400212414</v>
      </c>
      <c r="J5872" s="689">
        <f t="shared" si="92"/>
        <v>798.74785997875847</v>
      </c>
    </row>
    <row r="5873" spans="1:10" ht="12.75" customHeight="1" x14ac:dyDescent="0.2">
      <c r="A5873" s="681">
        <v>1242</v>
      </c>
      <c r="B5873" s="693">
        <v>5652200038</v>
      </c>
      <c r="C5873" s="672" t="s">
        <v>8595</v>
      </c>
      <c r="D5873" s="809" t="s">
        <v>8231</v>
      </c>
      <c r="E5873" s="674">
        <v>3</v>
      </c>
      <c r="F5873" s="675">
        <v>0.33</v>
      </c>
      <c r="G5873" s="676">
        <v>2089</v>
      </c>
      <c r="H5873" s="929">
        <v>689.37</v>
      </c>
      <c r="I5873" s="929">
        <v>976.60749999999996</v>
      </c>
      <c r="J5873" s="689">
        <f t="shared" si="92"/>
        <v>1112.3924999999999</v>
      </c>
    </row>
    <row r="5874" spans="1:10" ht="12.75" customHeight="1" x14ac:dyDescent="0.2">
      <c r="A5874" s="681">
        <v>1242</v>
      </c>
      <c r="B5874" s="693">
        <v>5410230059</v>
      </c>
      <c r="C5874" s="672" t="s">
        <v>8596</v>
      </c>
      <c r="D5874" s="809" t="s">
        <v>8231</v>
      </c>
      <c r="E5874" s="674">
        <v>5</v>
      </c>
      <c r="F5874" s="675">
        <v>0.2</v>
      </c>
      <c r="G5874" s="676">
        <v>249300</v>
      </c>
      <c r="H5874" s="929">
        <v>49860</v>
      </c>
      <c r="I5874" s="929">
        <v>70635</v>
      </c>
      <c r="J5874" s="689">
        <f t="shared" si="92"/>
        <v>178665</v>
      </c>
    </row>
    <row r="5875" spans="1:10" ht="12.75" customHeight="1" x14ac:dyDescent="0.2">
      <c r="A5875" s="681">
        <v>1246</v>
      </c>
      <c r="B5875" s="693">
        <v>5150070001</v>
      </c>
      <c r="C5875" s="672" t="s">
        <v>8565</v>
      </c>
      <c r="D5875" s="809" t="s">
        <v>8231</v>
      </c>
      <c r="E5875" s="674">
        <v>10</v>
      </c>
      <c r="F5875" s="675">
        <v>0.1</v>
      </c>
      <c r="G5875" s="676">
        <v>45813.41</v>
      </c>
      <c r="H5875" s="929">
        <v>4581.3410000000003</v>
      </c>
      <c r="I5875" s="929">
        <v>6490.2330833333344</v>
      </c>
      <c r="J5875" s="689">
        <f t="shared" si="92"/>
        <v>39323.176916666671</v>
      </c>
    </row>
    <row r="5876" spans="1:10" ht="12.75" customHeight="1" x14ac:dyDescent="0.2">
      <c r="A5876" s="681"/>
      <c r="B5876" s="693"/>
      <c r="C5876" s="672"/>
      <c r="D5876" s="809"/>
      <c r="E5876" s="674"/>
      <c r="F5876" s="675"/>
      <c r="G5876" s="676"/>
      <c r="H5876" s="929"/>
      <c r="I5876" s="929"/>
      <c r="J5876" s="689"/>
    </row>
    <row r="5877" spans="1:10" ht="12.75" customHeight="1" x14ac:dyDescent="0.2">
      <c r="A5877" s="681">
        <v>1241</v>
      </c>
      <c r="B5877" s="693">
        <v>5111870009</v>
      </c>
      <c r="C5877" s="672" t="s">
        <v>8342</v>
      </c>
      <c r="D5877" s="809" t="s">
        <v>8232</v>
      </c>
      <c r="E5877" s="674">
        <v>10</v>
      </c>
      <c r="F5877" s="675">
        <v>0.1</v>
      </c>
      <c r="G5877" s="676">
        <v>4569.0066666666671</v>
      </c>
      <c r="H5877" s="929">
        <v>456.90066666666661</v>
      </c>
      <c r="I5877" s="929">
        <v>609.20088888888881</v>
      </c>
      <c r="J5877" s="689">
        <f t="shared" si="92"/>
        <v>3959.8057777777785</v>
      </c>
    </row>
    <row r="5878" spans="1:10" ht="12.75" customHeight="1" x14ac:dyDescent="0.2">
      <c r="A5878" s="681">
        <v>1241</v>
      </c>
      <c r="B5878" s="693">
        <v>5111870010</v>
      </c>
      <c r="C5878" s="672" t="s">
        <v>8342</v>
      </c>
      <c r="D5878" s="809" t="s">
        <v>8232</v>
      </c>
      <c r="E5878" s="674">
        <v>10</v>
      </c>
      <c r="F5878" s="675">
        <v>0.1</v>
      </c>
      <c r="G5878" s="676">
        <v>4569.0066666666671</v>
      </c>
      <c r="H5878" s="929">
        <v>456.90066666666661</v>
      </c>
      <c r="I5878" s="929">
        <v>609.20088888888881</v>
      </c>
      <c r="J5878" s="689">
        <f t="shared" si="92"/>
        <v>3959.8057777777785</v>
      </c>
    </row>
    <row r="5879" spans="1:10" ht="12.75" customHeight="1" x14ac:dyDescent="0.2">
      <c r="A5879" s="681">
        <v>1241</v>
      </c>
      <c r="B5879" s="693">
        <v>5111870008</v>
      </c>
      <c r="C5879" s="672" t="s">
        <v>8342</v>
      </c>
      <c r="D5879" s="673" t="s">
        <v>8232</v>
      </c>
      <c r="E5879" s="674">
        <v>10</v>
      </c>
      <c r="F5879" s="675">
        <v>0.1</v>
      </c>
      <c r="G5879" s="676">
        <v>4569.0066666666671</v>
      </c>
      <c r="H5879" s="929">
        <v>456.90066666666661</v>
      </c>
      <c r="I5879" s="929">
        <v>609.20088888888881</v>
      </c>
      <c r="J5879" s="689">
        <f t="shared" si="92"/>
        <v>3959.8057777777785</v>
      </c>
    </row>
    <row r="5880" spans="1:10" ht="12.75" customHeight="1" x14ac:dyDescent="0.2">
      <c r="A5880" s="681">
        <v>1241</v>
      </c>
      <c r="B5880" s="693">
        <v>5151170013</v>
      </c>
      <c r="C5880" s="672" t="s">
        <v>8343</v>
      </c>
      <c r="D5880" s="809" t="s">
        <v>8232</v>
      </c>
      <c r="E5880" s="674">
        <v>3</v>
      </c>
      <c r="F5880" s="675">
        <v>0.33</v>
      </c>
      <c r="G5880" s="676">
        <v>5742</v>
      </c>
      <c r="H5880" s="929">
        <v>1894.86</v>
      </c>
      <c r="I5880" s="929">
        <v>2526.48</v>
      </c>
      <c r="J5880" s="689">
        <f t="shared" si="92"/>
        <v>3215.52</v>
      </c>
    </row>
    <row r="5881" spans="1:10" ht="12.75" customHeight="1" x14ac:dyDescent="0.2">
      <c r="A5881" s="681">
        <v>1241</v>
      </c>
      <c r="B5881" s="693">
        <v>5652650020</v>
      </c>
      <c r="C5881" s="672" t="s">
        <v>8344</v>
      </c>
      <c r="D5881" s="809" t="s">
        <v>8232</v>
      </c>
      <c r="E5881" s="674">
        <v>3</v>
      </c>
      <c r="F5881" s="675">
        <v>0.33</v>
      </c>
      <c r="G5881" s="676">
        <v>11049</v>
      </c>
      <c r="H5881" s="929">
        <v>3646.1699999999996</v>
      </c>
      <c r="I5881" s="929">
        <v>4861.5599999999995</v>
      </c>
      <c r="J5881" s="689">
        <f t="shared" si="92"/>
        <v>6187.4400000000005</v>
      </c>
    </row>
    <row r="5882" spans="1:10" ht="12.75" customHeight="1" x14ac:dyDescent="0.2">
      <c r="A5882" s="681">
        <v>1244</v>
      </c>
      <c r="B5882" s="693">
        <v>5410230060</v>
      </c>
      <c r="C5882" s="672" t="s">
        <v>8345</v>
      </c>
      <c r="D5882" s="809" t="s">
        <v>8232</v>
      </c>
      <c r="E5882" s="674">
        <v>5</v>
      </c>
      <c r="F5882" s="675">
        <v>0.2</v>
      </c>
      <c r="G5882" s="676">
        <v>292700</v>
      </c>
      <c r="H5882" s="929">
        <v>58540.000000000007</v>
      </c>
      <c r="I5882" s="929">
        <v>78053.333333333343</v>
      </c>
      <c r="J5882" s="689">
        <f t="shared" si="92"/>
        <v>214646.66666666666</v>
      </c>
    </row>
    <row r="5883" spans="1:10" ht="12.75" customHeight="1" x14ac:dyDescent="0.2">
      <c r="A5883" s="681">
        <v>1244</v>
      </c>
      <c r="B5883" s="693">
        <v>5410480023</v>
      </c>
      <c r="C5883" s="672" t="s">
        <v>8346</v>
      </c>
      <c r="D5883" s="809" t="s">
        <v>8232</v>
      </c>
      <c r="E5883" s="674">
        <v>5</v>
      </c>
      <c r="F5883" s="675">
        <v>0.2</v>
      </c>
      <c r="G5883" s="676">
        <v>20490</v>
      </c>
      <c r="H5883" s="929">
        <v>4098</v>
      </c>
      <c r="I5883" s="929">
        <v>5464</v>
      </c>
      <c r="J5883" s="689">
        <f t="shared" si="92"/>
        <v>15026</v>
      </c>
    </row>
    <row r="5884" spans="1:10" ht="12.75" customHeight="1" x14ac:dyDescent="0.2">
      <c r="A5884" s="681">
        <v>1246</v>
      </c>
      <c r="B5884" s="693">
        <v>5111050065</v>
      </c>
      <c r="C5884" s="672" t="s">
        <v>8597</v>
      </c>
      <c r="D5884" s="809"/>
      <c r="E5884" s="674">
        <v>10</v>
      </c>
      <c r="F5884" s="675">
        <v>0.1</v>
      </c>
      <c r="G5884" s="676">
        <v>14198.504999999999</v>
      </c>
      <c r="H5884" s="929">
        <v>1419.8504999999996</v>
      </c>
      <c r="I5884" s="929">
        <v>1893.1339999999996</v>
      </c>
      <c r="J5884" s="689">
        <f t="shared" si="92"/>
        <v>12305.370999999999</v>
      </c>
    </row>
    <row r="5885" spans="1:10" ht="12.75" customHeight="1" x14ac:dyDescent="0.2">
      <c r="A5885" s="681">
        <v>1246</v>
      </c>
      <c r="B5885" s="693">
        <v>5111050066</v>
      </c>
      <c r="C5885" s="672" t="s">
        <v>8597</v>
      </c>
      <c r="D5885" s="809"/>
      <c r="E5885" s="674">
        <v>10</v>
      </c>
      <c r="F5885" s="675">
        <v>0.1</v>
      </c>
      <c r="G5885" s="676">
        <v>14198.504999999999</v>
      </c>
      <c r="H5885" s="929">
        <v>1419.8504999999996</v>
      </c>
      <c r="I5885" s="929">
        <v>1893.1339999999996</v>
      </c>
      <c r="J5885" s="689">
        <f t="shared" si="92"/>
        <v>12305.370999999999</v>
      </c>
    </row>
    <row r="5886" spans="1:10" ht="12.75" customHeight="1" x14ac:dyDescent="0.2">
      <c r="A5886" s="681">
        <v>1246</v>
      </c>
      <c r="B5886" s="693">
        <v>5112270017</v>
      </c>
      <c r="C5886" s="672" t="s">
        <v>8347</v>
      </c>
      <c r="D5886" s="809" t="s">
        <v>8232</v>
      </c>
      <c r="E5886" s="674">
        <v>10</v>
      </c>
      <c r="F5886" s="675">
        <v>0.1</v>
      </c>
      <c r="G5886" s="676">
        <v>33500</v>
      </c>
      <c r="H5886" s="929">
        <v>3349.9999999999995</v>
      </c>
      <c r="I5886" s="929">
        <v>4466.6666666666661</v>
      </c>
      <c r="J5886" s="689">
        <f t="shared" si="92"/>
        <v>29033.333333333336</v>
      </c>
    </row>
    <row r="5887" spans="1:10" ht="12.75" customHeight="1" x14ac:dyDescent="0.2">
      <c r="A5887" s="681">
        <v>1246</v>
      </c>
      <c r="B5887" s="693">
        <v>5112270018</v>
      </c>
      <c r="C5887" s="672" t="s">
        <v>8347</v>
      </c>
      <c r="D5887" s="809" t="s">
        <v>8232</v>
      </c>
      <c r="E5887" s="674">
        <v>10</v>
      </c>
      <c r="F5887" s="675">
        <v>0.1</v>
      </c>
      <c r="G5887" s="676">
        <v>4400</v>
      </c>
      <c r="H5887" s="929">
        <v>440.00000000000006</v>
      </c>
      <c r="I5887" s="929">
        <v>586.66666666666674</v>
      </c>
      <c r="J5887" s="689">
        <f t="shared" si="92"/>
        <v>3813.333333333333</v>
      </c>
    </row>
    <row r="5888" spans="1:10" ht="12.75" customHeight="1" x14ac:dyDescent="0.2">
      <c r="A5888" s="681"/>
      <c r="B5888" s="693"/>
      <c r="C5888" s="672"/>
      <c r="D5888" s="809"/>
      <c r="E5888" s="674"/>
      <c r="F5888" s="675"/>
      <c r="G5888" s="676"/>
      <c r="H5888" s="929"/>
      <c r="I5888" s="929"/>
      <c r="J5888" s="689"/>
    </row>
    <row r="5889" spans="1:10" ht="12.75" customHeight="1" x14ac:dyDescent="0.2">
      <c r="A5889" s="681">
        <v>1241</v>
      </c>
      <c r="B5889" s="693" t="s">
        <v>7467</v>
      </c>
      <c r="C5889" s="672" t="s">
        <v>8212</v>
      </c>
      <c r="D5889" s="809" t="s">
        <v>8233</v>
      </c>
      <c r="E5889" s="674">
        <v>0</v>
      </c>
      <c r="F5889" s="675">
        <v>0</v>
      </c>
      <c r="G5889" s="676">
        <v>2668</v>
      </c>
      <c r="H5889" s="929">
        <v>0</v>
      </c>
      <c r="I5889" s="929">
        <v>0</v>
      </c>
      <c r="J5889" s="689">
        <f t="shared" ref="J5889:J5950" si="93">G5889-I5889</f>
        <v>2668</v>
      </c>
    </row>
    <row r="5890" spans="1:10" ht="12.75" customHeight="1" x14ac:dyDescent="0.2">
      <c r="A5890" s="681">
        <v>1241</v>
      </c>
      <c r="B5890" s="693">
        <v>5652470001</v>
      </c>
      <c r="C5890" s="672" t="s">
        <v>8348</v>
      </c>
      <c r="D5890" s="809" t="s">
        <v>8233</v>
      </c>
      <c r="E5890" s="674">
        <v>10</v>
      </c>
      <c r="F5890" s="675">
        <v>0.1</v>
      </c>
      <c r="G5890" s="676">
        <v>7551.6</v>
      </c>
      <c r="H5890" s="929">
        <v>755.15999999999985</v>
      </c>
      <c r="I5890" s="929">
        <v>943.94999999999982</v>
      </c>
      <c r="J5890" s="689">
        <f t="shared" si="93"/>
        <v>6607.6500000000005</v>
      </c>
    </row>
    <row r="5891" spans="1:10" ht="12.75" customHeight="1" x14ac:dyDescent="0.2">
      <c r="A5891" s="681">
        <v>1241</v>
      </c>
      <c r="B5891" s="693">
        <v>5112540004</v>
      </c>
      <c r="C5891" s="672" t="s">
        <v>8297</v>
      </c>
      <c r="D5891" s="809" t="s">
        <v>8233</v>
      </c>
      <c r="E5891" s="674">
        <v>10</v>
      </c>
      <c r="F5891" s="675">
        <v>0.1</v>
      </c>
      <c r="G5891" s="676">
        <v>5760.59</v>
      </c>
      <c r="H5891" s="929">
        <v>576.05899999999986</v>
      </c>
      <c r="I5891" s="929">
        <v>720.07374999999979</v>
      </c>
      <c r="J5891" s="689">
        <f t="shared" si="93"/>
        <v>5040.5162500000006</v>
      </c>
    </row>
    <row r="5892" spans="1:10" ht="12.75" customHeight="1" x14ac:dyDescent="0.2">
      <c r="A5892" s="681">
        <v>1242</v>
      </c>
      <c r="B5892" s="693">
        <v>5652200039</v>
      </c>
      <c r="C5892" s="672" t="s">
        <v>8349</v>
      </c>
      <c r="D5892" s="809" t="s">
        <v>8233</v>
      </c>
      <c r="E5892" s="674">
        <v>3</v>
      </c>
      <c r="F5892" s="675">
        <v>0.33</v>
      </c>
      <c r="G5892" s="676">
        <v>3724.89</v>
      </c>
      <c r="H5892" s="929">
        <v>1229.2137</v>
      </c>
      <c r="I5892" s="929">
        <v>1536.5171249999999</v>
      </c>
      <c r="J5892" s="689">
        <f t="shared" si="93"/>
        <v>2188.372875</v>
      </c>
    </row>
    <row r="5893" spans="1:10" ht="12.75" customHeight="1" x14ac:dyDescent="0.2">
      <c r="A5893" s="681">
        <v>1242</v>
      </c>
      <c r="B5893" s="693">
        <v>5652200040</v>
      </c>
      <c r="C5893" s="672" t="s">
        <v>8350</v>
      </c>
      <c r="D5893" s="809" t="s">
        <v>8233</v>
      </c>
      <c r="E5893" s="674">
        <v>3</v>
      </c>
      <c r="F5893" s="675">
        <v>0.33</v>
      </c>
      <c r="G5893" s="676">
        <v>3724.89</v>
      </c>
      <c r="H5893" s="929">
        <v>1229.2137</v>
      </c>
      <c r="I5893" s="929">
        <v>1536.5171249999999</v>
      </c>
      <c r="J5893" s="689">
        <f t="shared" si="93"/>
        <v>2188.372875</v>
      </c>
    </row>
    <row r="5894" spans="1:10" ht="12.75" customHeight="1" x14ac:dyDescent="0.2">
      <c r="A5894" s="681">
        <v>1242</v>
      </c>
      <c r="B5894" s="693">
        <v>5652780017</v>
      </c>
      <c r="C5894" s="672" t="s">
        <v>8351</v>
      </c>
      <c r="D5894" s="809" t="s">
        <v>8233</v>
      </c>
      <c r="E5894" s="674">
        <v>3</v>
      </c>
      <c r="F5894" s="675">
        <v>0.33</v>
      </c>
      <c r="G5894" s="676">
        <v>599.74</v>
      </c>
      <c r="H5894" s="929">
        <v>197.91420000000002</v>
      </c>
      <c r="I5894" s="929">
        <v>247.39275000000004</v>
      </c>
      <c r="J5894" s="689">
        <f t="shared" si="93"/>
        <v>352.34724999999997</v>
      </c>
    </row>
    <row r="5895" spans="1:10" ht="12.75" customHeight="1" x14ac:dyDescent="0.2">
      <c r="A5895" s="681">
        <v>1242</v>
      </c>
      <c r="B5895" s="693">
        <v>5652780018</v>
      </c>
      <c r="C5895" s="672" t="s">
        <v>8352</v>
      </c>
      <c r="D5895" s="809" t="s">
        <v>8233</v>
      </c>
      <c r="E5895" s="674">
        <v>3</v>
      </c>
      <c r="F5895" s="675">
        <v>0.33</v>
      </c>
      <c r="G5895" s="676">
        <v>599.74</v>
      </c>
      <c r="H5895" s="929">
        <v>197.91420000000002</v>
      </c>
      <c r="I5895" s="929">
        <v>247.39275000000004</v>
      </c>
      <c r="J5895" s="689">
        <f t="shared" si="93"/>
        <v>352.34724999999997</v>
      </c>
    </row>
    <row r="5896" spans="1:10" ht="12.75" customHeight="1" x14ac:dyDescent="0.2">
      <c r="A5896" s="681">
        <v>1242</v>
      </c>
      <c r="B5896" s="693">
        <v>5652780019</v>
      </c>
      <c r="C5896" s="672" t="s">
        <v>8353</v>
      </c>
      <c r="D5896" s="673" t="s">
        <v>8233</v>
      </c>
      <c r="E5896" s="674">
        <v>3</v>
      </c>
      <c r="F5896" s="675">
        <v>0.33</v>
      </c>
      <c r="G5896" s="676">
        <v>599.74</v>
      </c>
      <c r="H5896" s="929">
        <v>197.91420000000002</v>
      </c>
      <c r="I5896" s="929">
        <v>247.39275000000004</v>
      </c>
      <c r="J5896" s="689">
        <f t="shared" si="93"/>
        <v>352.34724999999997</v>
      </c>
    </row>
    <row r="5897" spans="1:10" ht="12.75" customHeight="1" x14ac:dyDescent="0.2">
      <c r="A5897" s="681">
        <v>1242</v>
      </c>
      <c r="B5897" s="693">
        <v>5112810003</v>
      </c>
      <c r="C5897" s="672" t="s">
        <v>8354</v>
      </c>
      <c r="D5897" s="809" t="s">
        <v>8233</v>
      </c>
      <c r="E5897" s="674">
        <v>3</v>
      </c>
      <c r="F5897" s="675">
        <v>0.33</v>
      </c>
      <c r="G5897" s="676">
        <v>498.99</v>
      </c>
      <c r="H5897" s="929">
        <v>164.66669999999999</v>
      </c>
      <c r="I5897" s="929">
        <v>205.83337499999999</v>
      </c>
      <c r="J5897" s="689">
        <f t="shared" si="93"/>
        <v>293.15662500000002</v>
      </c>
    </row>
    <row r="5898" spans="1:10" ht="12.75" customHeight="1" x14ac:dyDescent="0.2">
      <c r="A5898" s="681">
        <v>1242</v>
      </c>
      <c r="B5898" s="693">
        <v>5112810004</v>
      </c>
      <c r="C5898" s="672" t="s">
        <v>8354</v>
      </c>
      <c r="D5898" s="809" t="s">
        <v>8233</v>
      </c>
      <c r="E5898" s="674">
        <v>3</v>
      </c>
      <c r="F5898" s="675">
        <v>0.33</v>
      </c>
      <c r="G5898" s="676">
        <v>498.99</v>
      </c>
      <c r="H5898" s="929">
        <v>164.66669999999999</v>
      </c>
      <c r="I5898" s="929">
        <v>205.83337499999999</v>
      </c>
      <c r="J5898" s="689">
        <f t="shared" si="93"/>
        <v>293.15662500000002</v>
      </c>
    </row>
    <row r="5899" spans="1:10" ht="12.75" customHeight="1" x14ac:dyDescent="0.2">
      <c r="A5899" s="681">
        <v>1242</v>
      </c>
      <c r="B5899" s="693">
        <v>5652780016</v>
      </c>
      <c r="C5899" s="672" t="s">
        <v>8351</v>
      </c>
      <c r="D5899" s="809" t="s">
        <v>8233</v>
      </c>
      <c r="E5899" s="674">
        <v>3</v>
      </c>
      <c r="F5899" s="675">
        <v>0.33</v>
      </c>
      <c r="G5899" s="676">
        <v>599.82000000000005</v>
      </c>
      <c r="H5899" s="929">
        <v>197.94059999999999</v>
      </c>
      <c r="I5899" s="929">
        <v>247.42574999999999</v>
      </c>
      <c r="J5899" s="689">
        <f t="shared" si="93"/>
        <v>352.39425000000006</v>
      </c>
    </row>
    <row r="5900" spans="1:10" ht="12.75" customHeight="1" x14ac:dyDescent="0.2">
      <c r="A5900" s="681">
        <v>1244</v>
      </c>
      <c r="B5900" s="693">
        <v>5410230061</v>
      </c>
      <c r="C5900" s="672" t="s">
        <v>8355</v>
      </c>
      <c r="D5900" s="809" t="s">
        <v>8233</v>
      </c>
      <c r="E5900" s="674">
        <v>5</v>
      </c>
      <c r="F5900" s="675">
        <v>0.2</v>
      </c>
      <c r="G5900" s="676">
        <v>305800</v>
      </c>
      <c r="H5900" s="929">
        <v>61159.999999999993</v>
      </c>
      <c r="I5900" s="929">
        <v>76450</v>
      </c>
      <c r="J5900" s="689">
        <f t="shared" si="93"/>
        <v>229350</v>
      </c>
    </row>
    <row r="5901" spans="1:10" ht="12.75" customHeight="1" x14ac:dyDescent="0.2">
      <c r="A5901" s="681">
        <v>1244</v>
      </c>
      <c r="B5901" s="693">
        <v>5410060010</v>
      </c>
      <c r="C5901" s="672" t="s">
        <v>8356</v>
      </c>
      <c r="D5901" s="809" t="s">
        <v>8233</v>
      </c>
      <c r="E5901" s="674">
        <v>5</v>
      </c>
      <c r="F5901" s="675">
        <v>0.2</v>
      </c>
      <c r="G5901" s="676">
        <v>1033903.15</v>
      </c>
      <c r="H5901" s="929">
        <v>206780.63000000003</v>
      </c>
      <c r="I5901" s="929">
        <v>258475.78750000003</v>
      </c>
      <c r="J5901" s="689">
        <f t="shared" si="93"/>
        <v>775427.36250000005</v>
      </c>
    </row>
    <row r="5902" spans="1:10" ht="12.75" customHeight="1" x14ac:dyDescent="0.2">
      <c r="A5902" s="681">
        <v>1246</v>
      </c>
      <c r="B5902" s="693">
        <v>5111110002</v>
      </c>
      <c r="C5902" s="672" t="s">
        <v>8357</v>
      </c>
      <c r="D5902" s="809" t="s">
        <v>8233</v>
      </c>
      <c r="E5902" s="674">
        <v>10</v>
      </c>
      <c r="F5902" s="675">
        <v>0.1</v>
      </c>
      <c r="G5902" s="676">
        <v>14020</v>
      </c>
      <c r="H5902" s="929">
        <v>1401.9999999999998</v>
      </c>
      <c r="I5902" s="929">
        <v>1752.4999999999998</v>
      </c>
      <c r="J5902" s="689">
        <f t="shared" si="93"/>
        <v>12267.5</v>
      </c>
    </row>
    <row r="5903" spans="1:10" ht="12.75" customHeight="1" x14ac:dyDescent="0.2">
      <c r="A5903" s="681">
        <v>1246</v>
      </c>
      <c r="B5903" s="693">
        <v>5111050067</v>
      </c>
      <c r="C5903" s="672" t="s">
        <v>8358</v>
      </c>
      <c r="D5903" s="809" t="s">
        <v>8233</v>
      </c>
      <c r="E5903" s="674">
        <v>10</v>
      </c>
      <c r="F5903" s="675">
        <v>0.1</v>
      </c>
      <c r="G5903" s="676">
        <v>11774</v>
      </c>
      <c r="H5903" s="929">
        <v>1177.3999999999999</v>
      </c>
      <c r="I5903" s="929">
        <v>1471.7499999999998</v>
      </c>
      <c r="J5903" s="689">
        <f t="shared" si="93"/>
        <v>10302.25</v>
      </c>
    </row>
    <row r="5904" spans="1:10" ht="12.75" customHeight="1" x14ac:dyDescent="0.2">
      <c r="A5904" s="681">
        <v>1246</v>
      </c>
      <c r="B5904" s="693">
        <v>5620030002</v>
      </c>
      <c r="C5904" s="672" t="s">
        <v>8359</v>
      </c>
      <c r="D5904" s="809" t="s">
        <v>8233</v>
      </c>
      <c r="E5904" s="674">
        <v>10</v>
      </c>
      <c r="F5904" s="675">
        <v>0.1</v>
      </c>
      <c r="G5904" s="676">
        <v>83981.1</v>
      </c>
      <c r="H5904" s="929">
        <v>8398.1099999999988</v>
      </c>
      <c r="I5904" s="929">
        <v>10497.637499999999</v>
      </c>
      <c r="J5904" s="689">
        <f t="shared" si="93"/>
        <v>73483.462500000009</v>
      </c>
    </row>
    <row r="5905" spans="1:10" ht="12.75" customHeight="1" x14ac:dyDescent="0.2">
      <c r="A5905" s="681"/>
      <c r="B5905" s="693"/>
      <c r="C5905" s="672"/>
      <c r="D5905" s="809"/>
      <c r="E5905" s="674"/>
      <c r="F5905" s="675"/>
      <c r="G5905" s="676"/>
      <c r="H5905" s="929"/>
      <c r="I5905" s="929"/>
      <c r="J5905" s="689"/>
    </row>
    <row r="5906" spans="1:10" ht="12.75" customHeight="1" x14ac:dyDescent="0.2">
      <c r="A5906" s="681">
        <v>1241</v>
      </c>
      <c r="B5906" s="693">
        <v>5110940023</v>
      </c>
      <c r="C5906" s="672" t="s">
        <v>8598</v>
      </c>
      <c r="D5906" s="809" t="s">
        <v>8234</v>
      </c>
      <c r="E5906" s="674">
        <v>10</v>
      </c>
      <c r="F5906" s="675">
        <v>0.1</v>
      </c>
      <c r="G5906" s="676">
        <v>696</v>
      </c>
      <c r="H5906" s="929">
        <v>69.59999999999998</v>
      </c>
      <c r="I5906" s="929">
        <v>81.199999999999974</v>
      </c>
      <c r="J5906" s="689">
        <f t="shared" si="93"/>
        <v>614.80000000000007</v>
      </c>
    </row>
    <row r="5907" spans="1:10" ht="12.75" customHeight="1" x14ac:dyDescent="0.2">
      <c r="A5907" s="681">
        <v>1241</v>
      </c>
      <c r="B5907" s="693">
        <v>5110940024</v>
      </c>
      <c r="C5907" s="672" t="s">
        <v>8598</v>
      </c>
      <c r="D5907" s="809" t="s">
        <v>8234</v>
      </c>
      <c r="E5907" s="674">
        <v>10</v>
      </c>
      <c r="F5907" s="675">
        <v>0.1</v>
      </c>
      <c r="G5907" s="676">
        <v>696</v>
      </c>
      <c r="H5907" s="929">
        <v>69.59999999999998</v>
      </c>
      <c r="I5907" s="929">
        <v>81.199999999999974</v>
      </c>
      <c r="J5907" s="689">
        <f t="shared" si="93"/>
        <v>614.80000000000007</v>
      </c>
    </row>
    <row r="5908" spans="1:10" ht="12.75" customHeight="1" x14ac:dyDescent="0.2">
      <c r="A5908" s="681">
        <v>1241</v>
      </c>
      <c r="B5908" s="693">
        <v>5110940025</v>
      </c>
      <c r="C5908" s="672" t="s">
        <v>8598</v>
      </c>
      <c r="D5908" s="809" t="s">
        <v>8234</v>
      </c>
      <c r="E5908" s="674">
        <v>10</v>
      </c>
      <c r="F5908" s="675">
        <v>0.1</v>
      </c>
      <c r="G5908" s="676">
        <v>696</v>
      </c>
      <c r="H5908" s="929">
        <v>69.59999999999998</v>
      </c>
      <c r="I5908" s="929">
        <v>81.199999999999974</v>
      </c>
      <c r="J5908" s="689">
        <f t="shared" si="93"/>
        <v>614.80000000000007</v>
      </c>
    </row>
    <row r="5909" spans="1:10" ht="12.75" customHeight="1" x14ac:dyDescent="0.2">
      <c r="A5909" s="681">
        <v>1241</v>
      </c>
      <c r="B5909" s="693">
        <v>5110940026</v>
      </c>
      <c r="C5909" s="672" t="s">
        <v>8598</v>
      </c>
      <c r="D5909" s="809" t="s">
        <v>8234</v>
      </c>
      <c r="E5909" s="674">
        <v>10</v>
      </c>
      <c r="F5909" s="675">
        <v>0.1</v>
      </c>
      <c r="G5909" s="676">
        <v>696</v>
      </c>
      <c r="H5909" s="929">
        <v>69.59999999999998</v>
      </c>
      <c r="I5909" s="929">
        <v>81.199999999999974</v>
      </c>
      <c r="J5909" s="689">
        <f t="shared" si="93"/>
        <v>614.80000000000007</v>
      </c>
    </row>
    <row r="5910" spans="1:10" ht="12.75" customHeight="1" x14ac:dyDescent="0.2">
      <c r="A5910" s="681">
        <v>1241</v>
      </c>
      <c r="B5910" s="693">
        <v>5110940027</v>
      </c>
      <c r="C5910" s="672" t="s">
        <v>8598</v>
      </c>
      <c r="D5910" s="809" t="s">
        <v>8234</v>
      </c>
      <c r="E5910" s="674">
        <v>10</v>
      </c>
      <c r="F5910" s="675">
        <v>0.1</v>
      </c>
      <c r="G5910" s="676">
        <v>696</v>
      </c>
      <c r="H5910" s="929">
        <v>69.59999999999998</v>
      </c>
      <c r="I5910" s="929">
        <v>81.199999999999974</v>
      </c>
      <c r="J5910" s="689">
        <f t="shared" si="93"/>
        <v>614.80000000000007</v>
      </c>
    </row>
    <row r="5911" spans="1:10" ht="12.75" customHeight="1" x14ac:dyDescent="0.2">
      <c r="A5911" s="681">
        <v>1241</v>
      </c>
      <c r="B5911" s="693">
        <v>5110940028</v>
      </c>
      <c r="C5911" s="672" t="s">
        <v>8598</v>
      </c>
      <c r="D5911" s="809" t="s">
        <v>8234</v>
      </c>
      <c r="E5911" s="674">
        <v>10</v>
      </c>
      <c r="F5911" s="675">
        <v>0.1</v>
      </c>
      <c r="G5911" s="676">
        <v>696</v>
      </c>
      <c r="H5911" s="929">
        <v>69.59999999999998</v>
      </c>
      <c r="I5911" s="929">
        <v>81.199999999999974</v>
      </c>
      <c r="J5911" s="689">
        <f t="shared" si="93"/>
        <v>614.80000000000007</v>
      </c>
    </row>
    <row r="5912" spans="1:10" ht="12.75" customHeight="1" x14ac:dyDescent="0.2">
      <c r="A5912" s="681">
        <v>1241</v>
      </c>
      <c r="B5912" s="693">
        <v>5110940029</v>
      </c>
      <c r="C5912" s="672" t="s">
        <v>8598</v>
      </c>
      <c r="D5912" s="809" t="s">
        <v>8234</v>
      </c>
      <c r="E5912" s="674">
        <v>10</v>
      </c>
      <c r="F5912" s="675">
        <v>0.1</v>
      </c>
      <c r="G5912" s="676">
        <v>696</v>
      </c>
      <c r="H5912" s="929">
        <v>69.59999999999998</v>
      </c>
      <c r="I5912" s="929">
        <v>81.199999999999974</v>
      </c>
      <c r="J5912" s="689">
        <f t="shared" si="93"/>
        <v>614.80000000000007</v>
      </c>
    </row>
    <row r="5913" spans="1:10" ht="12.75" customHeight="1" x14ac:dyDescent="0.2">
      <c r="A5913" s="681">
        <v>1241</v>
      </c>
      <c r="B5913" s="693">
        <v>5110940030</v>
      </c>
      <c r="C5913" s="672" t="s">
        <v>8598</v>
      </c>
      <c r="D5913" s="809" t="s">
        <v>8234</v>
      </c>
      <c r="E5913" s="674">
        <v>10</v>
      </c>
      <c r="F5913" s="675">
        <v>0.1</v>
      </c>
      <c r="G5913" s="676">
        <v>696</v>
      </c>
      <c r="H5913" s="929">
        <v>69.59999999999998</v>
      </c>
      <c r="I5913" s="929">
        <v>81.199999999999974</v>
      </c>
      <c r="J5913" s="689">
        <f t="shared" si="93"/>
        <v>614.80000000000007</v>
      </c>
    </row>
    <row r="5914" spans="1:10" ht="12.75" customHeight="1" x14ac:dyDescent="0.2">
      <c r="A5914" s="681">
        <v>1241</v>
      </c>
      <c r="B5914" s="693">
        <v>5111700010</v>
      </c>
      <c r="C5914" s="672" t="s">
        <v>8360</v>
      </c>
      <c r="D5914" s="809" t="s">
        <v>8234</v>
      </c>
      <c r="E5914" s="674">
        <v>10</v>
      </c>
      <c r="F5914" s="675">
        <v>0.1</v>
      </c>
      <c r="G5914" s="676">
        <v>2705.12</v>
      </c>
      <c r="H5914" s="929">
        <v>270.512</v>
      </c>
      <c r="I5914" s="929">
        <v>315.59733333333332</v>
      </c>
      <c r="J5914" s="689">
        <f t="shared" si="93"/>
        <v>2389.5226666666667</v>
      </c>
    </row>
    <row r="5915" spans="1:10" ht="12.75" customHeight="1" x14ac:dyDescent="0.2">
      <c r="A5915" s="681">
        <v>1241</v>
      </c>
      <c r="B5915" s="693">
        <v>5111700011</v>
      </c>
      <c r="C5915" s="672" t="s">
        <v>8360</v>
      </c>
      <c r="D5915" s="809" t="s">
        <v>8234</v>
      </c>
      <c r="E5915" s="674">
        <v>10</v>
      </c>
      <c r="F5915" s="675">
        <v>0.1</v>
      </c>
      <c r="G5915" s="676">
        <v>2705.12</v>
      </c>
      <c r="H5915" s="929">
        <v>270.512</v>
      </c>
      <c r="I5915" s="929">
        <v>315.59733333333332</v>
      </c>
      <c r="J5915" s="689">
        <f t="shared" si="93"/>
        <v>2389.5226666666667</v>
      </c>
    </row>
    <row r="5916" spans="1:10" ht="12.75" customHeight="1" x14ac:dyDescent="0.2">
      <c r="A5916" s="681">
        <v>1241</v>
      </c>
      <c r="B5916" s="693">
        <v>5111700012</v>
      </c>
      <c r="C5916" s="672" t="s">
        <v>8360</v>
      </c>
      <c r="D5916" s="809" t="s">
        <v>8234</v>
      </c>
      <c r="E5916" s="674">
        <v>10</v>
      </c>
      <c r="F5916" s="675">
        <v>0.1</v>
      </c>
      <c r="G5916" s="676">
        <v>2705.12</v>
      </c>
      <c r="H5916" s="929">
        <v>270.512</v>
      </c>
      <c r="I5916" s="929">
        <v>315.59733333333332</v>
      </c>
      <c r="J5916" s="689">
        <f t="shared" si="93"/>
        <v>2389.5226666666667</v>
      </c>
    </row>
    <row r="5917" spans="1:10" ht="12.75" customHeight="1" x14ac:dyDescent="0.2">
      <c r="A5917" s="681">
        <v>1241</v>
      </c>
      <c r="B5917" s="693">
        <v>5111700013</v>
      </c>
      <c r="C5917" s="672" t="s">
        <v>8360</v>
      </c>
      <c r="D5917" s="809" t="s">
        <v>8234</v>
      </c>
      <c r="E5917" s="674">
        <v>10</v>
      </c>
      <c r="F5917" s="675">
        <v>0.1</v>
      </c>
      <c r="G5917" s="676">
        <v>2705.12</v>
      </c>
      <c r="H5917" s="929">
        <v>270.512</v>
      </c>
      <c r="I5917" s="929">
        <v>315.59733333333332</v>
      </c>
      <c r="J5917" s="689">
        <f t="shared" si="93"/>
        <v>2389.5226666666667</v>
      </c>
    </row>
    <row r="5918" spans="1:10" ht="12.75" customHeight="1" x14ac:dyDescent="0.2">
      <c r="A5918" s="681">
        <v>1241</v>
      </c>
      <c r="B5918" s="693">
        <v>5111700014</v>
      </c>
      <c r="C5918" s="672" t="s">
        <v>8360</v>
      </c>
      <c r="D5918" s="809" t="s">
        <v>8234</v>
      </c>
      <c r="E5918" s="674">
        <v>10</v>
      </c>
      <c r="F5918" s="675">
        <v>0.1</v>
      </c>
      <c r="G5918" s="676">
        <v>2705.12</v>
      </c>
      <c r="H5918" s="929">
        <v>270.512</v>
      </c>
      <c r="I5918" s="929">
        <v>315.59733333333332</v>
      </c>
      <c r="J5918" s="689">
        <f t="shared" si="93"/>
        <v>2389.5226666666667</v>
      </c>
    </row>
    <row r="5919" spans="1:10" ht="12.75" customHeight="1" x14ac:dyDescent="0.2">
      <c r="A5919" s="681">
        <v>1241</v>
      </c>
      <c r="B5919" s="693">
        <v>5111700015</v>
      </c>
      <c r="C5919" s="672" t="s">
        <v>8360</v>
      </c>
      <c r="D5919" s="809" t="s">
        <v>8234</v>
      </c>
      <c r="E5919" s="674">
        <v>10</v>
      </c>
      <c r="F5919" s="675">
        <v>0.1</v>
      </c>
      <c r="G5919" s="676">
        <v>2705.12</v>
      </c>
      <c r="H5919" s="929">
        <v>270.512</v>
      </c>
      <c r="I5919" s="929">
        <v>315.59733333333332</v>
      </c>
      <c r="J5919" s="689">
        <f t="shared" si="93"/>
        <v>2389.5226666666667</v>
      </c>
    </row>
    <row r="5920" spans="1:10" ht="12.75" customHeight="1" x14ac:dyDescent="0.2">
      <c r="A5920" s="681">
        <v>1241</v>
      </c>
      <c r="B5920" s="693">
        <v>5111700016</v>
      </c>
      <c r="C5920" s="672" t="s">
        <v>8360</v>
      </c>
      <c r="D5920" s="809" t="s">
        <v>8234</v>
      </c>
      <c r="E5920" s="674">
        <v>10</v>
      </c>
      <c r="F5920" s="675">
        <v>0.1</v>
      </c>
      <c r="G5920" s="676">
        <v>2705.12</v>
      </c>
      <c r="H5920" s="929">
        <v>270.512</v>
      </c>
      <c r="I5920" s="929">
        <v>315.59733333333332</v>
      </c>
      <c r="J5920" s="689">
        <f t="shared" si="93"/>
        <v>2389.5226666666667</v>
      </c>
    </row>
    <row r="5921" spans="1:10" ht="12.75" customHeight="1" x14ac:dyDescent="0.2">
      <c r="A5921" s="681">
        <v>1241</v>
      </c>
      <c r="B5921" s="693">
        <v>5111700017</v>
      </c>
      <c r="C5921" s="672" t="s">
        <v>8360</v>
      </c>
      <c r="D5921" s="809" t="s">
        <v>8234</v>
      </c>
      <c r="E5921" s="674">
        <v>10</v>
      </c>
      <c r="F5921" s="675">
        <v>0.1</v>
      </c>
      <c r="G5921" s="676">
        <v>2705.12</v>
      </c>
      <c r="H5921" s="929">
        <v>270.512</v>
      </c>
      <c r="I5921" s="929">
        <v>315.59733333333332</v>
      </c>
      <c r="J5921" s="689">
        <f t="shared" si="93"/>
        <v>2389.5226666666667</v>
      </c>
    </row>
    <row r="5922" spans="1:10" ht="12.75" customHeight="1" x14ac:dyDescent="0.2">
      <c r="A5922" s="681">
        <v>1241</v>
      </c>
      <c r="B5922" s="693">
        <v>5111700018</v>
      </c>
      <c r="C5922" s="672" t="s">
        <v>8360</v>
      </c>
      <c r="D5922" s="809" t="s">
        <v>8234</v>
      </c>
      <c r="E5922" s="674">
        <v>10</v>
      </c>
      <c r="F5922" s="675">
        <v>0.1</v>
      </c>
      <c r="G5922" s="676">
        <v>2705.12</v>
      </c>
      <c r="H5922" s="929">
        <v>270.512</v>
      </c>
      <c r="I5922" s="929">
        <v>315.59733333333332</v>
      </c>
      <c r="J5922" s="689">
        <f t="shared" si="93"/>
        <v>2389.5226666666667</v>
      </c>
    </row>
    <row r="5923" spans="1:10" ht="12.75" customHeight="1" x14ac:dyDescent="0.2">
      <c r="A5923" s="681">
        <v>1241</v>
      </c>
      <c r="B5923" s="693">
        <v>5111700019</v>
      </c>
      <c r="C5923" s="672" t="s">
        <v>8360</v>
      </c>
      <c r="D5923" s="809" t="s">
        <v>8234</v>
      </c>
      <c r="E5923" s="674">
        <v>10</v>
      </c>
      <c r="F5923" s="675">
        <v>0.1</v>
      </c>
      <c r="G5923" s="676">
        <v>2705.12</v>
      </c>
      <c r="H5923" s="929">
        <v>270.512</v>
      </c>
      <c r="I5923" s="929">
        <v>315.59733333333332</v>
      </c>
      <c r="J5923" s="689">
        <f t="shared" si="93"/>
        <v>2389.5226666666667</v>
      </c>
    </row>
    <row r="5924" spans="1:10" ht="12.75" customHeight="1" x14ac:dyDescent="0.2">
      <c r="A5924" s="681">
        <v>1241</v>
      </c>
      <c r="B5924" s="693">
        <v>5111700020</v>
      </c>
      <c r="C5924" s="672" t="s">
        <v>8360</v>
      </c>
      <c r="D5924" s="809" t="s">
        <v>8234</v>
      </c>
      <c r="E5924" s="674">
        <v>10</v>
      </c>
      <c r="F5924" s="675">
        <v>0.1</v>
      </c>
      <c r="G5924" s="676">
        <v>2705.12</v>
      </c>
      <c r="H5924" s="929">
        <v>270.512</v>
      </c>
      <c r="I5924" s="929">
        <v>315.59733333333332</v>
      </c>
      <c r="J5924" s="689">
        <f t="shared" si="93"/>
        <v>2389.5226666666667</v>
      </c>
    </row>
    <row r="5925" spans="1:10" ht="12.75" customHeight="1" x14ac:dyDescent="0.2">
      <c r="A5925" s="681">
        <v>1241</v>
      </c>
      <c r="B5925" s="693">
        <v>5111700009</v>
      </c>
      <c r="C5925" s="672" t="s">
        <v>8360</v>
      </c>
      <c r="D5925" s="809" t="s">
        <v>8234</v>
      </c>
      <c r="E5925" s="674">
        <v>10</v>
      </c>
      <c r="F5925" s="675">
        <v>0.1</v>
      </c>
      <c r="G5925" s="676">
        <v>2705.12</v>
      </c>
      <c r="H5925" s="929">
        <v>270.512</v>
      </c>
      <c r="I5925" s="929">
        <v>315.59733333333332</v>
      </c>
      <c r="J5925" s="689">
        <f t="shared" si="93"/>
        <v>2389.5226666666667</v>
      </c>
    </row>
    <row r="5926" spans="1:10" ht="12.75" customHeight="1" x14ac:dyDescent="0.2">
      <c r="A5926" s="681">
        <v>1241</v>
      </c>
      <c r="B5926" s="693">
        <v>5110940031</v>
      </c>
      <c r="C5926" s="672" t="s">
        <v>8361</v>
      </c>
      <c r="D5926" s="809" t="s">
        <v>8234</v>
      </c>
      <c r="E5926" s="674">
        <v>10</v>
      </c>
      <c r="F5926" s="675">
        <v>0.1</v>
      </c>
      <c r="G5926" s="676">
        <v>788.99719999999991</v>
      </c>
      <c r="H5926" s="929">
        <v>78.899720000000002</v>
      </c>
      <c r="I5926" s="929">
        <v>92.049673333333331</v>
      </c>
      <c r="J5926" s="689">
        <f t="shared" si="93"/>
        <v>696.94752666666659</v>
      </c>
    </row>
    <row r="5927" spans="1:10" ht="12.75" customHeight="1" x14ac:dyDescent="0.2">
      <c r="A5927" s="681">
        <v>1241</v>
      </c>
      <c r="B5927" s="693">
        <v>5110940032</v>
      </c>
      <c r="C5927" s="672" t="s">
        <v>8361</v>
      </c>
      <c r="D5927" s="809" t="s">
        <v>8234</v>
      </c>
      <c r="E5927" s="674">
        <v>10</v>
      </c>
      <c r="F5927" s="675">
        <v>0.1</v>
      </c>
      <c r="G5927" s="676">
        <v>788.99719999999991</v>
      </c>
      <c r="H5927" s="929">
        <v>78.899720000000002</v>
      </c>
      <c r="I5927" s="929">
        <v>92.049673333333331</v>
      </c>
      <c r="J5927" s="689">
        <f t="shared" si="93"/>
        <v>696.94752666666659</v>
      </c>
    </row>
    <row r="5928" spans="1:10" ht="12.75" customHeight="1" x14ac:dyDescent="0.2">
      <c r="A5928" s="681">
        <v>1241</v>
      </c>
      <c r="B5928" s="693">
        <v>5110760042</v>
      </c>
      <c r="C5928" s="672" t="s">
        <v>8362</v>
      </c>
      <c r="D5928" s="809" t="s">
        <v>8234</v>
      </c>
      <c r="E5928" s="674">
        <v>10</v>
      </c>
      <c r="F5928" s="675">
        <v>0.1</v>
      </c>
      <c r="G5928" s="676">
        <v>1999.0163999999997</v>
      </c>
      <c r="H5928" s="929">
        <v>199.90163999999996</v>
      </c>
      <c r="I5928" s="929">
        <v>233.21857999999995</v>
      </c>
      <c r="J5928" s="689">
        <f t="shared" si="93"/>
        <v>1765.7978199999998</v>
      </c>
    </row>
    <row r="5929" spans="1:10" ht="12.75" customHeight="1" x14ac:dyDescent="0.2">
      <c r="A5929" s="681">
        <v>1241</v>
      </c>
      <c r="B5929" s="693">
        <v>5110360059</v>
      </c>
      <c r="C5929" s="672" t="s">
        <v>8363</v>
      </c>
      <c r="D5929" s="809" t="s">
        <v>8234</v>
      </c>
      <c r="E5929" s="674">
        <v>10</v>
      </c>
      <c r="F5929" s="675">
        <v>0.1</v>
      </c>
      <c r="G5929" s="676">
        <v>3199.6048000000001</v>
      </c>
      <c r="H5929" s="929">
        <v>319.96047999999996</v>
      </c>
      <c r="I5929" s="929">
        <v>373.28722666666664</v>
      </c>
      <c r="J5929" s="689">
        <f t="shared" si="93"/>
        <v>2826.3175733333333</v>
      </c>
    </row>
    <row r="5930" spans="1:10" ht="12.75" customHeight="1" x14ac:dyDescent="0.2">
      <c r="A5930" s="681">
        <v>1241</v>
      </c>
      <c r="B5930" s="693">
        <v>5151170015</v>
      </c>
      <c r="C5930" s="672" t="s">
        <v>8364</v>
      </c>
      <c r="D5930" s="809" t="s">
        <v>8234</v>
      </c>
      <c r="E5930" s="674">
        <v>3</v>
      </c>
      <c r="F5930" s="675">
        <v>0.33</v>
      </c>
      <c r="G5930" s="676">
        <v>9570</v>
      </c>
      <c r="H5930" s="929">
        <v>3158.1000000000008</v>
      </c>
      <c r="I5930" s="929">
        <v>3684.4500000000007</v>
      </c>
      <c r="J5930" s="689">
        <f t="shared" si="93"/>
        <v>5885.5499999999993</v>
      </c>
    </row>
    <row r="5931" spans="1:10" ht="12.75" customHeight="1" x14ac:dyDescent="0.2">
      <c r="A5931" s="681">
        <v>1241</v>
      </c>
      <c r="B5931" s="693">
        <v>5151260065</v>
      </c>
      <c r="C5931" s="672" t="s">
        <v>8365</v>
      </c>
      <c r="D5931" s="809" t="s">
        <v>8234</v>
      </c>
      <c r="E5931" s="674">
        <v>3</v>
      </c>
      <c r="F5931" s="675">
        <v>0.33</v>
      </c>
      <c r="G5931" s="676">
        <v>2430.0100000000002</v>
      </c>
      <c r="H5931" s="929">
        <v>801.90330000000029</v>
      </c>
      <c r="I5931" s="929">
        <v>935.55385000000024</v>
      </c>
      <c r="J5931" s="689">
        <f t="shared" si="93"/>
        <v>1494.45615</v>
      </c>
    </row>
    <row r="5932" spans="1:10" ht="12.75" customHeight="1" x14ac:dyDescent="0.2">
      <c r="A5932" s="681">
        <v>1241</v>
      </c>
      <c r="B5932" s="693">
        <v>5151130006</v>
      </c>
      <c r="C5932" s="672" t="s">
        <v>8366</v>
      </c>
      <c r="D5932" s="809" t="s">
        <v>8234</v>
      </c>
      <c r="E5932" s="674">
        <v>3</v>
      </c>
      <c r="F5932" s="675">
        <v>0.33</v>
      </c>
      <c r="G5932" s="676">
        <v>2900</v>
      </c>
      <c r="H5932" s="929">
        <v>957</v>
      </c>
      <c r="I5932" s="929">
        <v>1116.5</v>
      </c>
      <c r="J5932" s="689">
        <f t="shared" si="93"/>
        <v>1783.5</v>
      </c>
    </row>
    <row r="5933" spans="1:10" ht="12.75" customHeight="1" x14ac:dyDescent="0.2">
      <c r="A5933" s="681">
        <v>1241</v>
      </c>
      <c r="B5933" s="693">
        <v>5151130007</v>
      </c>
      <c r="C5933" s="672" t="s">
        <v>8367</v>
      </c>
      <c r="D5933" s="809" t="s">
        <v>8234</v>
      </c>
      <c r="E5933" s="674">
        <v>3</v>
      </c>
      <c r="F5933" s="675">
        <v>0.33</v>
      </c>
      <c r="G5933" s="676">
        <v>4648.0050000000001</v>
      </c>
      <c r="H5933" s="929">
        <v>1533.8416500000003</v>
      </c>
      <c r="I5933" s="929">
        <v>1789.4819250000003</v>
      </c>
      <c r="J5933" s="689">
        <f t="shared" si="93"/>
        <v>2858.5230750000001</v>
      </c>
    </row>
    <row r="5934" spans="1:10" ht="12.75" customHeight="1" x14ac:dyDescent="0.2">
      <c r="A5934" s="681">
        <v>1241</v>
      </c>
      <c r="B5934" s="693">
        <v>5151130008</v>
      </c>
      <c r="C5934" s="672" t="s">
        <v>8367</v>
      </c>
      <c r="D5934" s="809" t="s">
        <v>8234</v>
      </c>
      <c r="E5934" s="674">
        <v>3</v>
      </c>
      <c r="F5934" s="675">
        <v>0.33</v>
      </c>
      <c r="G5934" s="676">
        <v>4648.0050000000001</v>
      </c>
      <c r="H5934" s="929">
        <v>1533.8416500000003</v>
      </c>
      <c r="I5934" s="929">
        <v>1789.4819250000003</v>
      </c>
      <c r="J5934" s="689">
        <f t="shared" si="93"/>
        <v>2858.5230750000001</v>
      </c>
    </row>
    <row r="5935" spans="1:10" ht="12.75" customHeight="1" x14ac:dyDescent="0.2">
      <c r="A5935" s="681">
        <v>1242</v>
      </c>
      <c r="B5935" s="693">
        <v>5624720003</v>
      </c>
      <c r="C5935" s="672" t="s">
        <v>8368</v>
      </c>
      <c r="D5935" s="809" t="s">
        <v>8234</v>
      </c>
      <c r="E5935" s="674">
        <v>10</v>
      </c>
      <c r="F5935" s="675">
        <v>0.1</v>
      </c>
      <c r="G5935" s="676">
        <v>8700</v>
      </c>
      <c r="H5935" s="929">
        <v>870</v>
      </c>
      <c r="I5935" s="929">
        <v>1015</v>
      </c>
      <c r="J5935" s="689">
        <f t="shared" si="93"/>
        <v>7685</v>
      </c>
    </row>
    <row r="5936" spans="1:10" ht="12.75" customHeight="1" x14ac:dyDescent="0.2">
      <c r="A5936" s="681">
        <v>1242</v>
      </c>
      <c r="B5936" s="693">
        <v>5624720004</v>
      </c>
      <c r="C5936" s="672" t="s">
        <v>8368</v>
      </c>
      <c r="D5936" s="809" t="s">
        <v>8234</v>
      </c>
      <c r="E5936" s="674">
        <v>10</v>
      </c>
      <c r="F5936" s="675">
        <v>0.1</v>
      </c>
      <c r="G5936" s="676">
        <v>8700</v>
      </c>
      <c r="H5936" s="929">
        <v>870</v>
      </c>
      <c r="I5936" s="929">
        <v>1015</v>
      </c>
      <c r="J5936" s="689">
        <f t="shared" si="93"/>
        <v>7685</v>
      </c>
    </row>
    <row r="5937" spans="1:10" ht="12.75" customHeight="1" x14ac:dyDescent="0.2">
      <c r="A5937" s="681">
        <v>1242</v>
      </c>
      <c r="B5937" s="693">
        <v>5624720001</v>
      </c>
      <c r="C5937" s="672" t="s">
        <v>8368</v>
      </c>
      <c r="D5937" s="809" t="s">
        <v>8234</v>
      </c>
      <c r="E5937" s="674">
        <v>10</v>
      </c>
      <c r="F5937" s="675">
        <v>0.1</v>
      </c>
      <c r="G5937" s="676">
        <v>8700</v>
      </c>
      <c r="H5937" s="929">
        <v>870</v>
      </c>
      <c r="I5937" s="929">
        <v>1015</v>
      </c>
      <c r="J5937" s="689">
        <f t="shared" si="93"/>
        <v>7685</v>
      </c>
    </row>
    <row r="5938" spans="1:10" ht="12.75" customHeight="1" x14ac:dyDescent="0.2">
      <c r="A5938" s="681">
        <v>1242</v>
      </c>
      <c r="B5938" s="693">
        <v>5624720002</v>
      </c>
      <c r="C5938" s="672" t="s">
        <v>8368</v>
      </c>
      <c r="D5938" s="673" t="s">
        <v>8234</v>
      </c>
      <c r="E5938" s="674">
        <v>10</v>
      </c>
      <c r="F5938" s="675">
        <v>0.1</v>
      </c>
      <c r="G5938" s="676">
        <v>8700</v>
      </c>
      <c r="H5938" s="929">
        <v>870</v>
      </c>
      <c r="I5938" s="929">
        <v>1015</v>
      </c>
      <c r="J5938" s="689">
        <f t="shared" si="93"/>
        <v>7685</v>
      </c>
    </row>
    <row r="5939" spans="1:10" ht="12.75" customHeight="1" x14ac:dyDescent="0.2">
      <c r="A5939" s="681">
        <v>1242</v>
      </c>
      <c r="B5939" s="693">
        <v>5624740001</v>
      </c>
      <c r="C5939" s="672" t="s">
        <v>8369</v>
      </c>
      <c r="D5939" s="809" t="s">
        <v>8234</v>
      </c>
      <c r="E5939" s="674">
        <v>10</v>
      </c>
      <c r="F5939" s="675">
        <v>0.1</v>
      </c>
      <c r="G5939" s="676">
        <v>3190</v>
      </c>
      <c r="H5939" s="929">
        <v>319</v>
      </c>
      <c r="I5939" s="929">
        <v>372.16666666666669</v>
      </c>
      <c r="J5939" s="689">
        <f t="shared" si="93"/>
        <v>2817.8333333333335</v>
      </c>
    </row>
    <row r="5940" spans="1:10" ht="12.75" customHeight="1" x14ac:dyDescent="0.2">
      <c r="A5940" s="681">
        <v>1242</v>
      </c>
      <c r="B5940" s="693">
        <v>5624740002</v>
      </c>
      <c r="C5940" s="672" t="s">
        <v>8369</v>
      </c>
      <c r="D5940" s="673" t="s">
        <v>8234</v>
      </c>
      <c r="E5940" s="674">
        <v>10</v>
      </c>
      <c r="F5940" s="675">
        <v>0.1</v>
      </c>
      <c r="G5940" s="676">
        <v>3190</v>
      </c>
      <c r="H5940" s="929">
        <v>319</v>
      </c>
      <c r="I5940" s="929">
        <v>372.16666666666669</v>
      </c>
      <c r="J5940" s="689">
        <f t="shared" si="93"/>
        <v>2817.8333333333335</v>
      </c>
    </row>
    <row r="5941" spans="1:10" ht="12.75" customHeight="1" x14ac:dyDescent="0.2">
      <c r="A5941" s="681">
        <v>1242</v>
      </c>
      <c r="B5941" s="693">
        <v>5652270016</v>
      </c>
      <c r="C5941" s="672" t="s">
        <v>8599</v>
      </c>
      <c r="D5941" s="809" t="s">
        <v>8234</v>
      </c>
      <c r="E5941" s="674">
        <v>3</v>
      </c>
      <c r="F5941" s="675">
        <v>0.33</v>
      </c>
      <c r="G5941" s="676">
        <v>3422</v>
      </c>
      <c r="H5941" s="929">
        <v>1129.26</v>
      </c>
      <c r="I5941" s="929">
        <v>1317.47</v>
      </c>
      <c r="J5941" s="689">
        <f t="shared" si="93"/>
        <v>2104.5299999999997</v>
      </c>
    </row>
    <row r="5942" spans="1:10" ht="12.75" customHeight="1" x14ac:dyDescent="0.2">
      <c r="A5942" s="681">
        <v>1246</v>
      </c>
      <c r="B5942" s="693">
        <v>5624730001</v>
      </c>
      <c r="C5942" s="672" t="s">
        <v>8370</v>
      </c>
      <c r="D5942" s="673" t="s">
        <v>8234</v>
      </c>
      <c r="E5942" s="674">
        <v>10</v>
      </c>
      <c r="F5942" s="675">
        <v>0.1</v>
      </c>
      <c r="G5942" s="676">
        <v>3034.56</v>
      </c>
      <c r="H5942" s="929">
        <v>303.45600000000007</v>
      </c>
      <c r="I5942" s="929">
        <v>354.0320000000001</v>
      </c>
      <c r="J5942" s="689">
        <f t="shared" si="93"/>
        <v>2680.5279999999998</v>
      </c>
    </row>
    <row r="5943" spans="1:10" ht="12.75" customHeight="1" x14ac:dyDescent="0.2">
      <c r="A5943" s="681">
        <v>1246</v>
      </c>
      <c r="B5943" s="693">
        <v>5624730002</v>
      </c>
      <c r="C5943" s="672" t="s">
        <v>8370</v>
      </c>
      <c r="D5943" s="809" t="s">
        <v>8234</v>
      </c>
      <c r="E5943" s="674">
        <v>10</v>
      </c>
      <c r="F5943" s="675">
        <v>0.1</v>
      </c>
      <c r="G5943" s="676">
        <v>3034.56</v>
      </c>
      <c r="H5943" s="929">
        <v>303.45600000000007</v>
      </c>
      <c r="I5943" s="929">
        <v>354.0320000000001</v>
      </c>
      <c r="J5943" s="689">
        <f t="shared" si="93"/>
        <v>2680.5279999999998</v>
      </c>
    </row>
    <row r="5944" spans="1:10" ht="12.75" customHeight="1" x14ac:dyDescent="0.2">
      <c r="A5944" s="681">
        <v>1246</v>
      </c>
      <c r="B5944" s="693">
        <v>5624730003</v>
      </c>
      <c r="C5944" s="672" t="s">
        <v>8370</v>
      </c>
      <c r="D5944" s="809" t="s">
        <v>8234</v>
      </c>
      <c r="E5944" s="674">
        <v>10</v>
      </c>
      <c r="F5944" s="675">
        <v>0.1</v>
      </c>
      <c r="G5944" s="676">
        <v>3034.56</v>
      </c>
      <c r="H5944" s="929">
        <v>303.45600000000007</v>
      </c>
      <c r="I5944" s="929">
        <v>354.0320000000001</v>
      </c>
      <c r="J5944" s="689">
        <f t="shared" si="93"/>
        <v>2680.5279999999998</v>
      </c>
    </row>
    <row r="5945" spans="1:10" ht="12.75" customHeight="1" x14ac:dyDescent="0.2">
      <c r="A5945" s="681">
        <v>1246</v>
      </c>
      <c r="B5945" s="693">
        <v>5624730004</v>
      </c>
      <c r="C5945" s="672" t="s">
        <v>8370</v>
      </c>
      <c r="D5945" s="809" t="s">
        <v>8234</v>
      </c>
      <c r="E5945" s="674">
        <v>10</v>
      </c>
      <c r="F5945" s="675">
        <v>0.1</v>
      </c>
      <c r="G5945" s="676">
        <v>3034.56</v>
      </c>
      <c r="H5945" s="929">
        <v>303.45600000000007</v>
      </c>
      <c r="I5945" s="929">
        <v>354.0320000000001</v>
      </c>
      <c r="J5945" s="689">
        <f t="shared" si="93"/>
        <v>2680.5279999999998</v>
      </c>
    </row>
    <row r="5946" spans="1:10" ht="12.75" customHeight="1" x14ac:dyDescent="0.2">
      <c r="A5946" s="681">
        <v>1246</v>
      </c>
      <c r="B5946" s="693">
        <v>5624730005</v>
      </c>
      <c r="C5946" s="672" t="s">
        <v>8370</v>
      </c>
      <c r="D5946" s="809" t="s">
        <v>8234</v>
      </c>
      <c r="E5946" s="674">
        <v>10</v>
      </c>
      <c r="F5946" s="675">
        <v>0.1</v>
      </c>
      <c r="G5946" s="676">
        <v>3034.56</v>
      </c>
      <c r="H5946" s="929">
        <v>303.45600000000007</v>
      </c>
      <c r="I5946" s="929">
        <v>354.0320000000001</v>
      </c>
      <c r="J5946" s="689">
        <f t="shared" si="93"/>
        <v>2680.5279999999998</v>
      </c>
    </row>
    <row r="5947" spans="1:10" ht="12.75" customHeight="1" x14ac:dyDescent="0.2">
      <c r="A5947" s="681"/>
      <c r="B5947" s="693"/>
      <c r="C5947" s="672"/>
      <c r="D5947" s="809"/>
      <c r="E5947" s="674"/>
      <c r="F5947" s="675"/>
      <c r="G5947" s="676"/>
      <c r="H5947" s="929"/>
      <c r="I5947" s="929"/>
      <c r="J5947" s="689"/>
    </row>
    <row r="5948" spans="1:10" ht="12.75" customHeight="1" x14ac:dyDescent="0.2">
      <c r="A5948" s="681">
        <v>1241</v>
      </c>
      <c r="B5948" s="693">
        <v>5151400002</v>
      </c>
      <c r="C5948" s="672" t="s">
        <v>8371</v>
      </c>
      <c r="D5948" s="809" t="s">
        <v>8235</v>
      </c>
      <c r="E5948" s="674">
        <v>3</v>
      </c>
      <c r="F5948" s="675">
        <v>0.33</v>
      </c>
      <c r="G5948" s="676">
        <v>4699</v>
      </c>
      <c r="H5948" s="929">
        <v>1550.6700000000003</v>
      </c>
      <c r="I5948" s="929">
        <v>1679.8925000000004</v>
      </c>
      <c r="J5948" s="689">
        <f t="shared" si="93"/>
        <v>3019.1074999999996</v>
      </c>
    </row>
    <row r="5949" spans="1:10" ht="12.75" customHeight="1" x14ac:dyDescent="0.2">
      <c r="A5949" s="681"/>
      <c r="B5949" s="693"/>
      <c r="C5949" s="672"/>
      <c r="D5949" s="809"/>
      <c r="E5949" s="674"/>
      <c r="F5949" s="675"/>
      <c r="G5949" s="676"/>
      <c r="H5949" s="929"/>
      <c r="I5949" s="929"/>
      <c r="J5949" s="689"/>
    </row>
    <row r="5950" spans="1:10" ht="12.75" customHeight="1" x14ac:dyDescent="0.2">
      <c r="A5950" s="681">
        <v>1244</v>
      </c>
      <c r="B5950" s="693">
        <v>5410230062</v>
      </c>
      <c r="C5950" s="672" t="s">
        <v>8372</v>
      </c>
      <c r="D5950" s="809" t="s">
        <v>8236</v>
      </c>
      <c r="E5950" s="674">
        <v>5</v>
      </c>
      <c r="F5950" s="675">
        <v>0.2</v>
      </c>
      <c r="G5950" s="676">
        <v>181009</v>
      </c>
      <c r="H5950" s="929">
        <v>59732.969999999994</v>
      </c>
      <c r="I5950" s="929">
        <v>59732.969999999994</v>
      </c>
      <c r="J5950" s="689">
        <f t="shared" si="93"/>
        <v>121276.03</v>
      </c>
    </row>
    <row r="5951" spans="1:10" ht="12.75" customHeight="1" x14ac:dyDescent="0.2">
      <c r="A5951" s="681"/>
      <c r="B5951" s="693"/>
      <c r="C5951" s="672"/>
      <c r="D5951" s="809"/>
      <c r="E5951" s="674"/>
      <c r="F5951" s="675"/>
      <c r="G5951" s="676"/>
      <c r="H5951" s="929"/>
      <c r="I5951" s="929"/>
      <c r="J5951" s="689"/>
    </row>
    <row r="5952" spans="1:10" ht="12.75" customHeight="1" x14ac:dyDescent="0.2">
      <c r="A5952" s="681">
        <v>1241</v>
      </c>
      <c r="B5952" s="693" t="s">
        <v>8471</v>
      </c>
      <c r="C5952" s="672" t="s">
        <v>8403</v>
      </c>
      <c r="D5952" s="809" t="s">
        <v>8236</v>
      </c>
      <c r="E5952" s="674">
        <v>3</v>
      </c>
      <c r="F5952" s="675">
        <v>0.33</v>
      </c>
      <c r="G5952" s="676">
        <v>12506.19875</v>
      </c>
      <c r="H5952" s="929">
        <v>4127.0455874999998</v>
      </c>
      <c r="I5952" s="929">
        <v>4127.0455874999998</v>
      </c>
      <c r="J5952" s="689">
        <f t="shared" ref="J5952:J6015" si="94">G5952-I5952</f>
        <v>8379.1531624999989</v>
      </c>
    </row>
    <row r="5953" spans="1:10" ht="12.75" customHeight="1" x14ac:dyDescent="0.2">
      <c r="A5953" s="681">
        <v>1246</v>
      </c>
      <c r="B5953" s="693" t="s">
        <v>8455</v>
      </c>
      <c r="C5953" s="672" t="s">
        <v>8394</v>
      </c>
      <c r="D5953" s="809" t="s">
        <v>8236</v>
      </c>
      <c r="E5953" s="674">
        <v>10</v>
      </c>
      <c r="F5953" s="675">
        <v>0.1</v>
      </c>
      <c r="G5953" s="676">
        <v>8114.5025000000005</v>
      </c>
      <c r="H5953" s="929">
        <v>811.45025000000032</v>
      </c>
      <c r="I5953" s="929">
        <v>811.45025000000032</v>
      </c>
      <c r="J5953" s="689">
        <f t="shared" si="94"/>
        <v>7303.0522500000006</v>
      </c>
    </row>
    <row r="5954" spans="1:10" ht="12.75" customHeight="1" x14ac:dyDescent="0.2">
      <c r="A5954" s="681">
        <v>1246</v>
      </c>
      <c r="B5954" s="693" t="s">
        <v>8455</v>
      </c>
      <c r="C5954" s="672" t="s">
        <v>8394</v>
      </c>
      <c r="D5954" s="809" t="s">
        <v>8236</v>
      </c>
      <c r="E5954" s="674">
        <v>10</v>
      </c>
      <c r="F5954" s="675">
        <v>0.1</v>
      </c>
      <c r="G5954" s="676">
        <v>8114.5025000000005</v>
      </c>
      <c r="H5954" s="929">
        <v>811.45025000000032</v>
      </c>
      <c r="I5954" s="929">
        <v>811.45025000000032</v>
      </c>
      <c r="J5954" s="689">
        <f t="shared" si="94"/>
        <v>7303.0522500000006</v>
      </c>
    </row>
    <row r="5955" spans="1:10" ht="12.75" customHeight="1" x14ac:dyDescent="0.2">
      <c r="A5955" s="681">
        <v>1246</v>
      </c>
      <c r="B5955" s="693" t="s">
        <v>8447</v>
      </c>
      <c r="C5955" s="672" t="s">
        <v>8386</v>
      </c>
      <c r="D5955" s="809" t="s">
        <v>8236</v>
      </c>
      <c r="E5955" s="674">
        <v>10</v>
      </c>
      <c r="F5955" s="675">
        <v>0.1</v>
      </c>
      <c r="G5955" s="676">
        <v>7947.5</v>
      </c>
      <c r="H5955" s="929">
        <v>794.74999999999989</v>
      </c>
      <c r="I5955" s="929">
        <v>794.74999999999989</v>
      </c>
      <c r="J5955" s="689">
        <f t="shared" si="94"/>
        <v>7152.75</v>
      </c>
    </row>
    <row r="5956" spans="1:10" ht="12.75" customHeight="1" x14ac:dyDescent="0.2">
      <c r="A5956" s="681">
        <v>1241</v>
      </c>
      <c r="B5956" s="693" t="s">
        <v>8469</v>
      </c>
      <c r="C5956" s="672" t="s">
        <v>8401</v>
      </c>
      <c r="D5956" s="809" t="s">
        <v>8236</v>
      </c>
      <c r="E5956" s="674">
        <v>3</v>
      </c>
      <c r="F5956" s="675">
        <v>0.33</v>
      </c>
      <c r="G5956" s="676">
        <v>6064.9725499999913</v>
      </c>
      <c r="H5956" s="929">
        <v>2001.4409414999966</v>
      </c>
      <c r="I5956" s="929">
        <v>2001.4409414999966</v>
      </c>
      <c r="J5956" s="689">
        <f t="shared" si="94"/>
        <v>4063.5316084999949</v>
      </c>
    </row>
    <row r="5957" spans="1:10" ht="12.75" customHeight="1" x14ac:dyDescent="0.2">
      <c r="A5957" s="681">
        <v>1246</v>
      </c>
      <c r="B5957" s="693" t="s">
        <v>8434</v>
      </c>
      <c r="C5957" s="672" t="s">
        <v>8373</v>
      </c>
      <c r="D5957" s="809" t="s">
        <v>8236</v>
      </c>
      <c r="E5957" s="674">
        <v>10</v>
      </c>
      <c r="F5957" s="675">
        <v>0.1</v>
      </c>
      <c r="G5957" s="676">
        <v>4799.8500000000004</v>
      </c>
      <c r="H5957" s="929">
        <v>479.9849999999999</v>
      </c>
      <c r="I5957" s="929">
        <v>479.9849999999999</v>
      </c>
      <c r="J5957" s="689">
        <f t="shared" si="94"/>
        <v>4319.8650000000007</v>
      </c>
    </row>
    <row r="5958" spans="1:10" ht="12.75" customHeight="1" x14ac:dyDescent="0.2">
      <c r="A5958" s="681">
        <v>1246</v>
      </c>
      <c r="B5958" s="693" t="s">
        <v>8434</v>
      </c>
      <c r="C5958" s="672" t="s">
        <v>8373</v>
      </c>
      <c r="D5958" s="809" t="s">
        <v>8236</v>
      </c>
      <c r="E5958" s="674">
        <v>10</v>
      </c>
      <c r="F5958" s="675">
        <v>0.1</v>
      </c>
      <c r="G5958" s="676">
        <v>4799.8499999999985</v>
      </c>
      <c r="H5958" s="929">
        <v>479.98499999999973</v>
      </c>
      <c r="I5958" s="929">
        <v>479.98499999999973</v>
      </c>
      <c r="J5958" s="689">
        <f t="shared" si="94"/>
        <v>4319.8649999999989</v>
      </c>
    </row>
    <row r="5959" spans="1:10" ht="12.75" customHeight="1" x14ac:dyDescent="0.2">
      <c r="A5959" s="681">
        <v>1246</v>
      </c>
      <c r="B5959" s="693" t="s">
        <v>8434</v>
      </c>
      <c r="C5959" s="672" t="s">
        <v>8373</v>
      </c>
      <c r="D5959" s="809" t="s">
        <v>8236</v>
      </c>
      <c r="E5959" s="674">
        <v>10</v>
      </c>
      <c r="F5959" s="675">
        <v>0.1</v>
      </c>
      <c r="G5959" s="676">
        <v>4799.8499999999985</v>
      </c>
      <c r="H5959" s="929">
        <v>479.98499999999973</v>
      </c>
      <c r="I5959" s="929">
        <v>479.98499999999973</v>
      </c>
      <c r="J5959" s="689">
        <f t="shared" si="94"/>
        <v>4319.8649999999989</v>
      </c>
    </row>
    <row r="5960" spans="1:10" ht="12.75" customHeight="1" x14ac:dyDescent="0.2">
      <c r="A5960" s="681">
        <v>1241</v>
      </c>
      <c r="B5960" s="693" t="s">
        <v>8470</v>
      </c>
      <c r="C5960" s="672" t="s">
        <v>8402</v>
      </c>
      <c r="D5960" s="809" t="s">
        <v>8236</v>
      </c>
      <c r="E5960" s="674">
        <v>3</v>
      </c>
      <c r="F5960" s="675">
        <v>0.33</v>
      </c>
      <c r="G5960" s="676">
        <v>2734.6999999999989</v>
      </c>
      <c r="H5960" s="929">
        <v>902.45099999999991</v>
      </c>
      <c r="I5960" s="929">
        <v>902.45099999999991</v>
      </c>
      <c r="J5960" s="689">
        <f t="shared" si="94"/>
        <v>1832.2489999999989</v>
      </c>
    </row>
    <row r="5961" spans="1:10" ht="12.75" customHeight="1" x14ac:dyDescent="0.2">
      <c r="A5961" s="681">
        <v>1241</v>
      </c>
      <c r="B5961" s="693" t="s">
        <v>8493</v>
      </c>
      <c r="C5961" s="672" t="s">
        <v>8409</v>
      </c>
      <c r="D5961" s="809" t="s">
        <v>8236</v>
      </c>
      <c r="E5961" s="674">
        <v>10</v>
      </c>
      <c r="F5961" s="675">
        <v>0.1</v>
      </c>
      <c r="G5961" s="676">
        <v>1759.5</v>
      </c>
      <c r="H5961" s="929">
        <v>175.94999999999996</v>
      </c>
      <c r="I5961" s="929">
        <v>175.94999999999996</v>
      </c>
      <c r="J5961" s="689">
        <f t="shared" si="94"/>
        <v>1583.55</v>
      </c>
    </row>
    <row r="5962" spans="1:10" ht="12.75" customHeight="1" x14ac:dyDescent="0.2">
      <c r="A5962" s="681">
        <v>1241</v>
      </c>
      <c r="B5962" s="693" t="s">
        <v>8487</v>
      </c>
      <c r="C5962" s="672" t="s">
        <v>8404</v>
      </c>
      <c r="D5962" s="809" t="s">
        <v>8236</v>
      </c>
      <c r="E5962" s="674">
        <v>10</v>
      </c>
      <c r="F5962" s="675">
        <v>0.1</v>
      </c>
      <c r="G5962" s="676">
        <v>1689.12</v>
      </c>
      <c r="H5962" s="929">
        <v>168.91199999999995</v>
      </c>
      <c r="I5962" s="929">
        <v>168.91199999999995</v>
      </c>
      <c r="J5962" s="689">
        <f t="shared" si="94"/>
        <v>1520.2079999999999</v>
      </c>
    </row>
    <row r="5963" spans="1:10" ht="12.75" customHeight="1" x14ac:dyDescent="0.2">
      <c r="A5963" s="681">
        <v>1241</v>
      </c>
      <c r="B5963" s="693" t="s">
        <v>8506</v>
      </c>
      <c r="C5963" s="672" t="s">
        <v>8422</v>
      </c>
      <c r="D5963" s="809" t="s">
        <v>8236</v>
      </c>
      <c r="E5963" s="674">
        <v>10</v>
      </c>
      <c r="F5963" s="675">
        <v>0.1</v>
      </c>
      <c r="G5963" s="676">
        <v>1401.6639499999992</v>
      </c>
      <c r="H5963" s="929">
        <v>140.16639499999994</v>
      </c>
      <c r="I5963" s="929">
        <v>140.16639499999994</v>
      </c>
      <c r="J5963" s="689">
        <f t="shared" si="94"/>
        <v>1261.4975549999992</v>
      </c>
    </row>
    <row r="5964" spans="1:10" ht="12.75" customHeight="1" x14ac:dyDescent="0.2">
      <c r="A5964" s="681">
        <v>1241</v>
      </c>
      <c r="B5964" s="693" t="s">
        <v>8517</v>
      </c>
      <c r="C5964" s="672" t="s">
        <v>8432</v>
      </c>
      <c r="D5964" s="809" t="s">
        <v>8236</v>
      </c>
      <c r="E5964" s="674">
        <v>10</v>
      </c>
      <c r="F5964" s="675">
        <v>0.1</v>
      </c>
      <c r="G5964" s="676">
        <v>1305.1999999999998</v>
      </c>
      <c r="H5964" s="929">
        <v>130.51999999999998</v>
      </c>
      <c r="I5964" s="929">
        <v>130.51999999999998</v>
      </c>
      <c r="J5964" s="689">
        <f t="shared" si="94"/>
        <v>1174.6799999999998</v>
      </c>
    </row>
    <row r="5965" spans="1:10" ht="12.75" customHeight="1" x14ac:dyDescent="0.2">
      <c r="A5965" s="681">
        <v>1241</v>
      </c>
      <c r="B5965" s="693" t="s">
        <v>8500</v>
      </c>
      <c r="C5965" s="672" t="s">
        <v>8416</v>
      </c>
      <c r="D5965" s="809" t="s">
        <v>8236</v>
      </c>
      <c r="E5965" s="674">
        <v>10</v>
      </c>
      <c r="F5965" s="675">
        <v>0.1</v>
      </c>
      <c r="G5965" s="676">
        <v>1007.2999999999997</v>
      </c>
      <c r="H5965" s="929">
        <v>100.72999999999996</v>
      </c>
      <c r="I5965" s="929">
        <v>100.72999999999996</v>
      </c>
      <c r="J5965" s="689">
        <f t="shared" si="94"/>
        <v>906.56999999999971</v>
      </c>
    </row>
    <row r="5966" spans="1:10" ht="12.75" customHeight="1" x14ac:dyDescent="0.2">
      <c r="A5966" s="681">
        <v>1241</v>
      </c>
      <c r="B5966" s="693" t="s">
        <v>8445</v>
      </c>
      <c r="C5966" s="672" t="s">
        <v>8384</v>
      </c>
      <c r="D5966" s="809" t="s">
        <v>8236</v>
      </c>
      <c r="E5966" s="674">
        <v>10</v>
      </c>
      <c r="F5966" s="675">
        <v>0.1</v>
      </c>
      <c r="G5966" s="676">
        <v>948.90000000000009</v>
      </c>
      <c r="H5966" s="929">
        <v>94.89</v>
      </c>
      <c r="I5966" s="929">
        <v>94.89</v>
      </c>
      <c r="J5966" s="689">
        <f t="shared" si="94"/>
        <v>854.0100000000001</v>
      </c>
    </row>
    <row r="5967" spans="1:10" ht="12.75" customHeight="1" x14ac:dyDescent="0.2">
      <c r="A5967" s="681">
        <v>1241</v>
      </c>
      <c r="B5967" s="693" t="s">
        <v>8509</v>
      </c>
      <c r="C5967" s="672" t="s">
        <v>8425</v>
      </c>
      <c r="D5967" s="809" t="s">
        <v>8236</v>
      </c>
      <c r="E5967" s="674">
        <v>10</v>
      </c>
      <c r="F5967" s="675">
        <v>0.1</v>
      </c>
      <c r="G5967" s="676">
        <v>899.77500000000009</v>
      </c>
      <c r="H5967" s="929">
        <v>89.977500000000006</v>
      </c>
      <c r="I5967" s="929">
        <v>89.977500000000006</v>
      </c>
      <c r="J5967" s="689">
        <f t="shared" si="94"/>
        <v>809.79750000000013</v>
      </c>
    </row>
    <row r="5968" spans="1:10" ht="12.75" customHeight="1" x14ac:dyDescent="0.2">
      <c r="A5968" s="681">
        <v>1241</v>
      </c>
      <c r="B5968" s="693" t="s">
        <v>8496</v>
      </c>
      <c r="C5968" s="672" t="s">
        <v>8412</v>
      </c>
      <c r="D5968" s="809" t="s">
        <v>8236</v>
      </c>
      <c r="E5968" s="674">
        <v>10</v>
      </c>
      <c r="F5968" s="675">
        <v>0.1</v>
      </c>
      <c r="G5968" s="676">
        <v>767.9699999999998</v>
      </c>
      <c r="H5968" s="929">
        <v>76.796999999999983</v>
      </c>
      <c r="I5968" s="929">
        <v>76.796999999999983</v>
      </c>
      <c r="J5968" s="689">
        <f t="shared" si="94"/>
        <v>691.17299999999977</v>
      </c>
    </row>
    <row r="5969" spans="1:10" ht="12.75" customHeight="1" x14ac:dyDescent="0.2">
      <c r="A5969" s="681">
        <v>1241</v>
      </c>
      <c r="B5969" s="693" t="s">
        <v>8496</v>
      </c>
      <c r="C5969" s="672" t="s">
        <v>8412</v>
      </c>
      <c r="D5969" s="809" t="s">
        <v>8236</v>
      </c>
      <c r="E5969" s="674">
        <v>10</v>
      </c>
      <c r="F5969" s="675">
        <v>0.1</v>
      </c>
      <c r="G5969" s="676">
        <v>767.9699999999998</v>
      </c>
      <c r="H5969" s="929">
        <v>76.796999999999983</v>
      </c>
      <c r="I5969" s="929">
        <v>76.796999999999983</v>
      </c>
      <c r="J5969" s="689">
        <f t="shared" si="94"/>
        <v>691.17299999999977</v>
      </c>
    </row>
    <row r="5970" spans="1:10" ht="12.75" customHeight="1" x14ac:dyDescent="0.2">
      <c r="A5970" s="681">
        <v>1241</v>
      </c>
      <c r="B5970" s="693" t="s">
        <v>8496</v>
      </c>
      <c r="C5970" s="672" t="s">
        <v>8412</v>
      </c>
      <c r="D5970" s="809" t="s">
        <v>8236</v>
      </c>
      <c r="E5970" s="674">
        <v>10</v>
      </c>
      <c r="F5970" s="675">
        <v>0.1</v>
      </c>
      <c r="G5970" s="676">
        <v>767.9699999999998</v>
      </c>
      <c r="H5970" s="929">
        <v>76.796999999999983</v>
      </c>
      <c r="I5970" s="929">
        <v>76.796999999999983</v>
      </c>
      <c r="J5970" s="689">
        <f t="shared" si="94"/>
        <v>691.17299999999977</v>
      </c>
    </row>
    <row r="5971" spans="1:10" ht="12.75" customHeight="1" x14ac:dyDescent="0.2">
      <c r="A5971" s="681">
        <v>1241</v>
      </c>
      <c r="B5971" s="693" t="s">
        <v>8496</v>
      </c>
      <c r="C5971" s="672" t="s">
        <v>8412</v>
      </c>
      <c r="D5971" s="809" t="s">
        <v>8236</v>
      </c>
      <c r="E5971" s="674">
        <v>10</v>
      </c>
      <c r="F5971" s="675">
        <v>0.1</v>
      </c>
      <c r="G5971" s="676">
        <v>767.9699999999998</v>
      </c>
      <c r="H5971" s="929">
        <v>76.796999999999983</v>
      </c>
      <c r="I5971" s="929">
        <v>76.796999999999983</v>
      </c>
      <c r="J5971" s="689">
        <f t="shared" si="94"/>
        <v>691.17299999999977</v>
      </c>
    </row>
    <row r="5972" spans="1:10" ht="12.75" customHeight="1" x14ac:dyDescent="0.2">
      <c r="A5972" s="681">
        <v>1241</v>
      </c>
      <c r="B5972" s="693" t="s">
        <v>8494</v>
      </c>
      <c r="C5972" s="672" t="s">
        <v>8410</v>
      </c>
      <c r="D5972" s="809" t="s">
        <v>8236</v>
      </c>
      <c r="E5972" s="674">
        <v>10</v>
      </c>
      <c r="F5972" s="675">
        <v>0.1</v>
      </c>
      <c r="G5972" s="676">
        <v>702.76499999999987</v>
      </c>
      <c r="H5972" s="929">
        <v>70.276499999999984</v>
      </c>
      <c r="I5972" s="929">
        <v>70.276499999999984</v>
      </c>
      <c r="J5972" s="689">
        <f t="shared" si="94"/>
        <v>632.48849999999993</v>
      </c>
    </row>
    <row r="5973" spans="1:10" ht="12.75" customHeight="1" x14ac:dyDescent="0.2">
      <c r="A5973" s="681">
        <v>1241</v>
      </c>
      <c r="B5973" s="693" t="s">
        <v>8502</v>
      </c>
      <c r="C5973" s="672" t="s">
        <v>8418</v>
      </c>
      <c r="D5973" s="809" t="s">
        <v>8236</v>
      </c>
      <c r="E5973" s="674">
        <v>10</v>
      </c>
      <c r="F5973" s="675">
        <v>0.1</v>
      </c>
      <c r="G5973" s="676">
        <v>699.90499999999975</v>
      </c>
      <c r="H5973" s="929">
        <v>69.990499999999969</v>
      </c>
      <c r="I5973" s="929">
        <v>69.990499999999969</v>
      </c>
      <c r="J5973" s="689">
        <f t="shared" si="94"/>
        <v>629.91449999999975</v>
      </c>
    </row>
    <row r="5974" spans="1:10" ht="12.75" customHeight="1" x14ac:dyDescent="0.2">
      <c r="A5974" s="681">
        <v>1241</v>
      </c>
      <c r="B5974" s="693" t="s">
        <v>8518</v>
      </c>
      <c r="C5974" s="672" t="s">
        <v>8433</v>
      </c>
      <c r="D5974" s="809" t="s">
        <v>8236</v>
      </c>
      <c r="E5974" s="674">
        <v>10</v>
      </c>
      <c r="F5974" s="675">
        <v>0.1</v>
      </c>
      <c r="G5974" s="676">
        <v>693.54</v>
      </c>
      <c r="H5974" s="929">
        <v>69.353999999999999</v>
      </c>
      <c r="I5974" s="929">
        <v>69.353999999999999</v>
      </c>
      <c r="J5974" s="689">
        <f t="shared" si="94"/>
        <v>624.18599999999992</v>
      </c>
    </row>
    <row r="5975" spans="1:10" ht="12.75" customHeight="1" x14ac:dyDescent="0.2">
      <c r="A5975" s="681">
        <v>1241</v>
      </c>
      <c r="B5975" s="693" t="s">
        <v>8510</v>
      </c>
      <c r="C5975" s="672" t="s">
        <v>8426</v>
      </c>
      <c r="D5975" s="809" t="s">
        <v>8236</v>
      </c>
      <c r="E5975" s="674">
        <v>10</v>
      </c>
      <c r="F5975" s="675">
        <v>0.1</v>
      </c>
      <c r="G5975" s="676">
        <v>674.77500000000009</v>
      </c>
      <c r="H5975" s="929">
        <v>67.477500000000006</v>
      </c>
      <c r="I5975" s="929">
        <v>67.477500000000006</v>
      </c>
      <c r="J5975" s="689">
        <f t="shared" si="94"/>
        <v>607.29750000000013</v>
      </c>
    </row>
    <row r="5976" spans="1:10" ht="12.75" customHeight="1" x14ac:dyDescent="0.2">
      <c r="A5976" s="681">
        <v>1241</v>
      </c>
      <c r="B5976" s="693" t="s">
        <v>8512</v>
      </c>
      <c r="C5976" s="672" t="s">
        <v>8428</v>
      </c>
      <c r="D5976" s="809" t="s">
        <v>8236</v>
      </c>
      <c r="E5976" s="674">
        <v>10</v>
      </c>
      <c r="F5976" s="675">
        <v>0.1</v>
      </c>
      <c r="G5976" s="676">
        <v>634.46250000000009</v>
      </c>
      <c r="H5976" s="929">
        <v>63.446250000000013</v>
      </c>
      <c r="I5976" s="929">
        <v>63.446250000000013</v>
      </c>
      <c r="J5976" s="689">
        <f t="shared" si="94"/>
        <v>571.01625000000013</v>
      </c>
    </row>
    <row r="5977" spans="1:10" ht="12.75" customHeight="1" x14ac:dyDescent="0.2">
      <c r="A5977" s="681">
        <v>1241</v>
      </c>
      <c r="B5977" s="693" t="s">
        <v>8497</v>
      </c>
      <c r="C5977" s="672" t="s">
        <v>8413</v>
      </c>
      <c r="D5977" s="809" t="s">
        <v>8236</v>
      </c>
      <c r="E5977" s="674">
        <v>10</v>
      </c>
      <c r="F5977" s="675">
        <v>0.1</v>
      </c>
      <c r="G5977" s="676">
        <v>579.59999999999991</v>
      </c>
      <c r="H5977" s="929">
        <v>57.959999999999987</v>
      </c>
      <c r="I5977" s="929">
        <v>57.959999999999987</v>
      </c>
      <c r="J5977" s="689">
        <f t="shared" si="94"/>
        <v>521.63999999999987</v>
      </c>
    </row>
    <row r="5978" spans="1:10" ht="12.75" customHeight="1" x14ac:dyDescent="0.2">
      <c r="A5978" s="681">
        <v>1241</v>
      </c>
      <c r="B5978" s="693" t="s">
        <v>8497</v>
      </c>
      <c r="C5978" s="672" t="s">
        <v>8413</v>
      </c>
      <c r="D5978" s="809" t="s">
        <v>8236</v>
      </c>
      <c r="E5978" s="674">
        <v>10</v>
      </c>
      <c r="F5978" s="675">
        <v>0.1</v>
      </c>
      <c r="G5978" s="676">
        <v>579.59999999999991</v>
      </c>
      <c r="H5978" s="929">
        <v>57.959999999999987</v>
      </c>
      <c r="I5978" s="929">
        <v>57.959999999999987</v>
      </c>
      <c r="J5978" s="689">
        <f t="shared" si="94"/>
        <v>521.63999999999987</v>
      </c>
    </row>
    <row r="5979" spans="1:10" ht="12.75" customHeight="1" x14ac:dyDescent="0.2">
      <c r="A5979" s="681">
        <v>1241</v>
      </c>
      <c r="B5979" s="693" t="s">
        <v>8497</v>
      </c>
      <c r="C5979" s="672" t="s">
        <v>8413</v>
      </c>
      <c r="D5979" s="809" t="s">
        <v>8236</v>
      </c>
      <c r="E5979" s="674">
        <v>10</v>
      </c>
      <c r="F5979" s="675">
        <v>0.1</v>
      </c>
      <c r="G5979" s="676">
        <v>579.59999999999991</v>
      </c>
      <c r="H5979" s="929">
        <v>57.959999999999987</v>
      </c>
      <c r="I5979" s="929">
        <v>57.959999999999987</v>
      </c>
      <c r="J5979" s="689">
        <f t="shared" si="94"/>
        <v>521.63999999999987</v>
      </c>
    </row>
    <row r="5980" spans="1:10" ht="12.75" customHeight="1" x14ac:dyDescent="0.2">
      <c r="A5980" s="681">
        <v>1241</v>
      </c>
      <c r="B5980" s="693" t="s">
        <v>8497</v>
      </c>
      <c r="C5980" s="672" t="s">
        <v>8413</v>
      </c>
      <c r="D5980" s="809" t="s">
        <v>8236</v>
      </c>
      <c r="E5980" s="674">
        <v>10</v>
      </c>
      <c r="F5980" s="675">
        <v>0.1</v>
      </c>
      <c r="G5980" s="676">
        <v>579.59999999999991</v>
      </c>
      <c r="H5980" s="929">
        <v>57.959999999999987</v>
      </c>
      <c r="I5980" s="929">
        <v>57.959999999999987</v>
      </c>
      <c r="J5980" s="689">
        <f t="shared" si="94"/>
        <v>521.63999999999987</v>
      </c>
    </row>
    <row r="5981" spans="1:10" ht="12.75" customHeight="1" x14ac:dyDescent="0.2">
      <c r="A5981" s="681">
        <v>1241</v>
      </c>
      <c r="B5981" s="693" t="s">
        <v>8497</v>
      </c>
      <c r="C5981" s="672" t="s">
        <v>8413</v>
      </c>
      <c r="D5981" s="809" t="s">
        <v>8236</v>
      </c>
      <c r="E5981" s="674">
        <v>10</v>
      </c>
      <c r="F5981" s="675">
        <v>0.1</v>
      </c>
      <c r="G5981" s="676">
        <v>579.59999999999991</v>
      </c>
      <c r="H5981" s="929">
        <v>57.959999999999987</v>
      </c>
      <c r="I5981" s="929">
        <v>57.959999999999987</v>
      </c>
      <c r="J5981" s="689">
        <f t="shared" si="94"/>
        <v>521.63999999999987</v>
      </c>
    </row>
    <row r="5982" spans="1:10" ht="12.75" customHeight="1" x14ac:dyDescent="0.2">
      <c r="A5982" s="681">
        <v>1241</v>
      </c>
      <c r="B5982" s="693" t="s">
        <v>8490</v>
      </c>
      <c r="C5982" s="672" t="s">
        <v>8406</v>
      </c>
      <c r="D5982" s="809" t="s">
        <v>8236</v>
      </c>
      <c r="E5982" s="674">
        <v>10</v>
      </c>
      <c r="F5982" s="675">
        <v>0.1</v>
      </c>
      <c r="G5982" s="676">
        <v>563.75399999999991</v>
      </c>
      <c r="H5982" s="929">
        <v>56.375399999999985</v>
      </c>
      <c r="I5982" s="929">
        <v>56.375399999999985</v>
      </c>
      <c r="J5982" s="689">
        <f t="shared" si="94"/>
        <v>507.37859999999989</v>
      </c>
    </row>
    <row r="5983" spans="1:10" ht="12.75" customHeight="1" x14ac:dyDescent="0.2">
      <c r="A5983" s="681">
        <v>1241</v>
      </c>
      <c r="B5983" s="693" t="s">
        <v>8490</v>
      </c>
      <c r="C5983" s="672" t="s">
        <v>8406</v>
      </c>
      <c r="D5983" s="809" t="s">
        <v>8236</v>
      </c>
      <c r="E5983" s="674">
        <v>10</v>
      </c>
      <c r="F5983" s="675">
        <v>0.1</v>
      </c>
      <c r="G5983" s="676">
        <v>563.75399999999991</v>
      </c>
      <c r="H5983" s="929">
        <v>56.375399999999985</v>
      </c>
      <c r="I5983" s="929">
        <v>56.375399999999985</v>
      </c>
      <c r="J5983" s="689">
        <f t="shared" si="94"/>
        <v>507.37859999999989</v>
      </c>
    </row>
    <row r="5984" spans="1:10" ht="12.75" customHeight="1" x14ac:dyDescent="0.2">
      <c r="A5984" s="681">
        <v>1241</v>
      </c>
      <c r="B5984" s="693" t="s">
        <v>8490</v>
      </c>
      <c r="C5984" s="672" t="s">
        <v>8406</v>
      </c>
      <c r="D5984" s="809" t="s">
        <v>8236</v>
      </c>
      <c r="E5984" s="674">
        <v>10</v>
      </c>
      <c r="F5984" s="675">
        <v>0.1</v>
      </c>
      <c r="G5984" s="676">
        <v>563.75399999999991</v>
      </c>
      <c r="H5984" s="929">
        <v>56.375399999999985</v>
      </c>
      <c r="I5984" s="929">
        <v>56.375399999999985</v>
      </c>
      <c r="J5984" s="689">
        <f t="shared" si="94"/>
        <v>507.37859999999989</v>
      </c>
    </row>
    <row r="5985" spans="1:10" ht="12.75" customHeight="1" x14ac:dyDescent="0.2">
      <c r="A5985" s="681">
        <v>1241</v>
      </c>
      <c r="B5985" s="693" t="s">
        <v>8490</v>
      </c>
      <c r="C5985" s="672" t="s">
        <v>8406</v>
      </c>
      <c r="D5985" s="809" t="s">
        <v>8236</v>
      </c>
      <c r="E5985" s="674">
        <v>10</v>
      </c>
      <c r="F5985" s="675">
        <v>0.1</v>
      </c>
      <c r="G5985" s="676">
        <v>563.75399999999991</v>
      </c>
      <c r="H5985" s="929">
        <v>56.375399999999985</v>
      </c>
      <c r="I5985" s="929">
        <v>56.375399999999985</v>
      </c>
      <c r="J5985" s="689">
        <f t="shared" si="94"/>
        <v>507.37859999999989</v>
      </c>
    </row>
    <row r="5986" spans="1:10" ht="12.75" customHeight="1" x14ac:dyDescent="0.2">
      <c r="A5986" s="681">
        <v>1241</v>
      </c>
      <c r="B5986" s="693" t="s">
        <v>8490</v>
      </c>
      <c r="C5986" s="672" t="s">
        <v>8406</v>
      </c>
      <c r="D5986" s="809" t="s">
        <v>8236</v>
      </c>
      <c r="E5986" s="674">
        <v>10</v>
      </c>
      <c r="F5986" s="675">
        <v>0.1</v>
      </c>
      <c r="G5986" s="676">
        <v>563.75399999999991</v>
      </c>
      <c r="H5986" s="929">
        <v>56.375399999999985</v>
      </c>
      <c r="I5986" s="929">
        <v>56.375399999999985</v>
      </c>
      <c r="J5986" s="689">
        <f t="shared" si="94"/>
        <v>507.37859999999989</v>
      </c>
    </row>
    <row r="5987" spans="1:10" ht="12.75" customHeight="1" x14ac:dyDescent="0.2">
      <c r="A5987" s="681">
        <v>1241</v>
      </c>
      <c r="B5987" s="693" t="s">
        <v>8488</v>
      </c>
      <c r="C5987" s="672" t="s">
        <v>8405</v>
      </c>
      <c r="D5987" s="809" t="s">
        <v>8236</v>
      </c>
      <c r="E5987" s="674">
        <v>10</v>
      </c>
      <c r="F5987" s="675">
        <v>0.1</v>
      </c>
      <c r="G5987" s="676">
        <v>542.27999999999975</v>
      </c>
      <c r="H5987" s="929">
        <v>54.227999999999973</v>
      </c>
      <c r="I5987" s="929">
        <v>54.227999999999973</v>
      </c>
      <c r="J5987" s="689">
        <f t="shared" si="94"/>
        <v>488.05199999999979</v>
      </c>
    </row>
    <row r="5988" spans="1:10" ht="12.75" customHeight="1" x14ac:dyDescent="0.2">
      <c r="A5988" s="681">
        <v>1241</v>
      </c>
      <c r="B5988" s="693" t="s">
        <v>8488</v>
      </c>
      <c r="C5988" s="672" t="s">
        <v>8405</v>
      </c>
      <c r="D5988" s="809" t="s">
        <v>8236</v>
      </c>
      <c r="E5988" s="674">
        <v>10</v>
      </c>
      <c r="F5988" s="675">
        <v>0.1</v>
      </c>
      <c r="G5988" s="676">
        <v>542.27999999999975</v>
      </c>
      <c r="H5988" s="929">
        <v>54.227999999999973</v>
      </c>
      <c r="I5988" s="929">
        <v>54.227999999999973</v>
      </c>
      <c r="J5988" s="689">
        <f t="shared" si="94"/>
        <v>488.05199999999979</v>
      </c>
    </row>
    <row r="5989" spans="1:10" ht="12.75" customHeight="1" x14ac:dyDescent="0.2">
      <c r="A5989" s="681">
        <v>1241</v>
      </c>
      <c r="B5989" s="693" t="s">
        <v>8488</v>
      </c>
      <c r="C5989" s="672" t="s">
        <v>8405</v>
      </c>
      <c r="D5989" s="809" t="s">
        <v>8236</v>
      </c>
      <c r="E5989" s="674">
        <v>10</v>
      </c>
      <c r="F5989" s="675">
        <v>0.1</v>
      </c>
      <c r="G5989" s="676">
        <v>542.27999999999975</v>
      </c>
      <c r="H5989" s="929">
        <v>54.227999999999973</v>
      </c>
      <c r="I5989" s="929">
        <v>54.227999999999973</v>
      </c>
      <c r="J5989" s="689">
        <f t="shared" si="94"/>
        <v>488.05199999999979</v>
      </c>
    </row>
    <row r="5990" spans="1:10" ht="12.75" customHeight="1" x14ac:dyDescent="0.2">
      <c r="A5990" s="681">
        <v>1241</v>
      </c>
      <c r="B5990" s="693" t="s">
        <v>8488</v>
      </c>
      <c r="C5990" s="672" t="s">
        <v>8405</v>
      </c>
      <c r="D5990" s="809" t="s">
        <v>8236</v>
      </c>
      <c r="E5990" s="674">
        <v>10</v>
      </c>
      <c r="F5990" s="675">
        <v>0.1</v>
      </c>
      <c r="G5990" s="676">
        <v>542.27999999999975</v>
      </c>
      <c r="H5990" s="929">
        <v>54.227999999999973</v>
      </c>
      <c r="I5990" s="929">
        <v>54.227999999999973</v>
      </c>
      <c r="J5990" s="689">
        <f t="shared" si="94"/>
        <v>488.05199999999979</v>
      </c>
    </row>
    <row r="5991" spans="1:10" ht="12.75" customHeight="1" x14ac:dyDescent="0.2">
      <c r="A5991" s="681">
        <v>1241</v>
      </c>
      <c r="B5991" s="693" t="s">
        <v>8488</v>
      </c>
      <c r="C5991" s="672" t="s">
        <v>8405</v>
      </c>
      <c r="D5991" s="809" t="s">
        <v>8236</v>
      </c>
      <c r="E5991" s="674">
        <v>10</v>
      </c>
      <c r="F5991" s="675">
        <v>0.1</v>
      </c>
      <c r="G5991" s="676">
        <v>542.27999999999975</v>
      </c>
      <c r="H5991" s="929">
        <v>54.227999999999973</v>
      </c>
      <c r="I5991" s="929">
        <v>54.227999999999973</v>
      </c>
      <c r="J5991" s="689">
        <f t="shared" si="94"/>
        <v>488.05199999999979</v>
      </c>
    </row>
    <row r="5992" spans="1:10" ht="12.75" customHeight="1" x14ac:dyDescent="0.2">
      <c r="A5992" s="681">
        <v>1241</v>
      </c>
      <c r="B5992" s="693" t="s">
        <v>8488</v>
      </c>
      <c r="C5992" s="672" t="s">
        <v>8405</v>
      </c>
      <c r="D5992" s="809" t="s">
        <v>8236</v>
      </c>
      <c r="E5992" s="674">
        <v>10</v>
      </c>
      <c r="F5992" s="675">
        <v>0.1</v>
      </c>
      <c r="G5992" s="676">
        <v>542.27999999999975</v>
      </c>
      <c r="H5992" s="929">
        <v>54.227999999999973</v>
      </c>
      <c r="I5992" s="929">
        <v>54.227999999999973</v>
      </c>
      <c r="J5992" s="689">
        <f t="shared" si="94"/>
        <v>488.05199999999979</v>
      </c>
    </row>
    <row r="5993" spans="1:10" ht="12.75" customHeight="1" x14ac:dyDescent="0.2">
      <c r="A5993" s="681">
        <v>1241</v>
      </c>
      <c r="B5993" s="693" t="s">
        <v>8488</v>
      </c>
      <c r="C5993" s="672" t="s">
        <v>8405</v>
      </c>
      <c r="D5993" s="809" t="s">
        <v>8236</v>
      </c>
      <c r="E5993" s="674">
        <v>10</v>
      </c>
      <c r="F5993" s="675">
        <v>0.1</v>
      </c>
      <c r="G5993" s="676">
        <v>542.27999999999975</v>
      </c>
      <c r="H5993" s="929">
        <v>54.227999999999973</v>
      </c>
      <c r="I5993" s="929">
        <v>54.227999999999973</v>
      </c>
      <c r="J5993" s="689">
        <f t="shared" si="94"/>
        <v>488.05199999999979</v>
      </c>
    </row>
    <row r="5994" spans="1:10" ht="12.75" customHeight="1" x14ac:dyDescent="0.2">
      <c r="A5994" s="681">
        <v>1241</v>
      </c>
      <c r="B5994" s="693" t="s">
        <v>8488</v>
      </c>
      <c r="C5994" s="672" t="s">
        <v>8405</v>
      </c>
      <c r="D5994" s="809" t="s">
        <v>8236</v>
      </c>
      <c r="E5994" s="674">
        <v>10</v>
      </c>
      <c r="F5994" s="675">
        <v>0.1</v>
      </c>
      <c r="G5994" s="676">
        <v>542.27999999999975</v>
      </c>
      <c r="H5994" s="929">
        <v>54.227999999999973</v>
      </c>
      <c r="I5994" s="929">
        <v>54.227999999999973</v>
      </c>
      <c r="J5994" s="689">
        <f t="shared" si="94"/>
        <v>488.05199999999979</v>
      </c>
    </row>
    <row r="5995" spans="1:10" ht="12.75" customHeight="1" x14ac:dyDescent="0.2">
      <c r="A5995" s="681">
        <v>1241</v>
      </c>
      <c r="B5995" s="693" t="s">
        <v>8488</v>
      </c>
      <c r="C5995" s="672" t="s">
        <v>8405</v>
      </c>
      <c r="D5995" s="809" t="s">
        <v>8236</v>
      </c>
      <c r="E5995" s="674">
        <v>10</v>
      </c>
      <c r="F5995" s="675">
        <v>0.1</v>
      </c>
      <c r="G5995" s="676">
        <v>542.27999999999975</v>
      </c>
      <c r="H5995" s="929">
        <v>54.227999999999973</v>
      </c>
      <c r="I5995" s="929">
        <v>54.227999999999973</v>
      </c>
      <c r="J5995" s="689">
        <f t="shared" si="94"/>
        <v>488.05199999999979</v>
      </c>
    </row>
    <row r="5996" spans="1:10" ht="12.75" customHeight="1" x14ac:dyDescent="0.2">
      <c r="A5996" s="681">
        <v>1241</v>
      </c>
      <c r="B5996" s="693" t="s">
        <v>8488</v>
      </c>
      <c r="C5996" s="672" t="s">
        <v>8405</v>
      </c>
      <c r="D5996" s="809" t="s">
        <v>8236</v>
      </c>
      <c r="E5996" s="674">
        <v>10</v>
      </c>
      <c r="F5996" s="675">
        <v>0.1</v>
      </c>
      <c r="G5996" s="676">
        <v>542.27999999999975</v>
      </c>
      <c r="H5996" s="929">
        <v>54.227999999999973</v>
      </c>
      <c r="I5996" s="929">
        <v>54.227999999999973</v>
      </c>
      <c r="J5996" s="689">
        <f t="shared" si="94"/>
        <v>488.05199999999979</v>
      </c>
    </row>
    <row r="5997" spans="1:10" ht="12.75" customHeight="1" x14ac:dyDescent="0.2">
      <c r="A5997" s="681">
        <v>1241</v>
      </c>
      <c r="B5997" s="693" t="s">
        <v>8498</v>
      </c>
      <c r="C5997" s="672" t="s">
        <v>8414</v>
      </c>
      <c r="D5997" s="809" t="s">
        <v>8236</v>
      </c>
      <c r="E5997" s="674">
        <v>10</v>
      </c>
      <c r="F5997" s="675">
        <v>0.1</v>
      </c>
      <c r="G5997" s="676">
        <v>488.93399999999997</v>
      </c>
      <c r="H5997" s="929">
        <v>48.893399999999993</v>
      </c>
      <c r="I5997" s="929">
        <v>48.893399999999993</v>
      </c>
      <c r="J5997" s="689">
        <f t="shared" si="94"/>
        <v>440.04059999999998</v>
      </c>
    </row>
    <row r="5998" spans="1:10" ht="12.75" customHeight="1" x14ac:dyDescent="0.2">
      <c r="A5998" s="681">
        <v>1241</v>
      </c>
      <c r="B5998" s="693" t="s">
        <v>8511</v>
      </c>
      <c r="C5998" s="672" t="s">
        <v>8427</v>
      </c>
      <c r="D5998" s="809" t="s">
        <v>8236</v>
      </c>
      <c r="E5998" s="674">
        <v>10</v>
      </c>
      <c r="F5998" s="675">
        <v>0.1</v>
      </c>
      <c r="G5998" s="676">
        <v>469.80000000000018</v>
      </c>
      <c r="H5998" s="929">
        <v>46.980000000000011</v>
      </c>
      <c r="I5998" s="929">
        <v>46.980000000000011</v>
      </c>
      <c r="J5998" s="689">
        <f t="shared" si="94"/>
        <v>422.82000000000016</v>
      </c>
    </row>
    <row r="5999" spans="1:10" ht="12.75" customHeight="1" x14ac:dyDescent="0.2">
      <c r="A5999" s="681">
        <v>1241</v>
      </c>
      <c r="B5999" s="693" t="s">
        <v>8499</v>
      </c>
      <c r="C5999" s="672" t="s">
        <v>8415</v>
      </c>
      <c r="D5999" s="809" t="s">
        <v>8236</v>
      </c>
      <c r="E5999" s="674">
        <v>10</v>
      </c>
      <c r="F5999" s="675">
        <v>0.1</v>
      </c>
      <c r="G5999" s="676">
        <v>467.81999999999994</v>
      </c>
      <c r="H5999" s="929">
        <v>46.781999999999989</v>
      </c>
      <c r="I5999" s="929">
        <v>46.781999999999989</v>
      </c>
      <c r="J5999" s="689">
        <f t="shared" si="94"/>
        <v>421.03799999999995</v>
      </c>
    </row>
    <row r="6000" spans="1:10" ht="12.75" customHeight="1" x14ac:dyDescent="0.2">
      <c r="A6000" s="681">
        <v>1241</v>
      </c>
      <c r="B6000" s="693" t="s">
        <v>8501</v>
      </c>
      <c r="C6000" s="672" t="s">
        <v>8417</v>
      </c>
      <c r="D6000" s="809" t="s">
        <v>8236</v>
      </c>
      <c r="E6000" s="674">
        <v>10</v>
      </c>
      <c r="F6000" s="675">
        <v>0.1</v>
      </c>
      <c r="G6000" s="676">
        <v>461.41059999999993</v>
      </c>
      <c r="H6000" s="929">
        <v>46.141059999999982</v>
      </c>
      <c r="I6000" s="929">
        <v>46.141059999999982</v>
      </c>
      <c r="J6000" s="689">
        <f t="shared" si="94"/>
        <v>415.26953999999995</v>
      </c>
    </row>
    <row r="6001" spans="1:10" ht="12.75" customHeight="1" x14ac:dyDescent="0.2">
      <c r="A6001" s="681">
        <v>1241</v>
      </c>
      <c r="B6001" s="693" t="s">
        <v>8501</v>
      </c>
      <c r="C6001" s="672" t="s">
        <v>8417</v>
      </c>
      <c r="D6001" s="809" t="s">
        <v>8236</v>
      </c>
      <c r="E6001" s="674">
        <v>10</v>
      </c>
      <c r="F6001" s="675">
        <v>0.1</v>
      </c>
      <c r="G6001" s="676">
        <v>461.41059999999993</v>
      </c>
      <c r="H6001" s="929">
        <v>46.141059999999982</v>
      </c>
      <c r="I6001" s="929">
        <v>46.141059999999982</v>
      </c>
      <c r="J6001" s="689">
        <f t="shared" si="94"/>
        <v>415.26953999999995</v>
      </c>
    </row>
    <row r="6002" spans="1:10" ht="12.75" customHeight="1" x14ac:dyDescent="0.2">
      <c r="A6002" s="681">
        <v>1241</v>
      </c>
      <c r="B6002" s="693" t="s">
        <v>8501</v>
      </c>
      <c r="C6002" s="672" t="s">
        <v>8417</v>
      </c>
      <c r="D6002" s="809" t="s">
        <v>8236</v>
      </c>
      <c r="E6002" s="674">
        <v>10</v>
      </c>
      <c r="F6002" s="675">
        <v>0.1</v>
      </c>
      <c r="G6002" s="676">
        <v>461.41059999999993</v>
      </c>
      <c r="H6002" s="929">
        <v>46.141059999999982</v>
      </c>
      <c r="I6002" s="929">
        <v>46.141059999999982</v>
      </c>
      <c r="J6002" s="689">
        <f t="shared" si="94"/>
        <v>415.26953999999995</v>
      </c>
    </row>
    <row r="6003" spans="1:10" ht="12.75" customHeight="1" x14ac:dyDescent="0.2">
      <c r="A6003" s="681">
        <v>1241</v>
      </c>
      <c r="B6003" s="693" t="s">
        <v>8501</v>
      </c>
      <c r="C6003" s="672" t="s">
        <v>8417</v>
      </c>
      <c r="D6003" s="809" t="s">
        <v>8236</v>
      </c>
      <c r="E6003" s="674">
        <v>10</v>
      </c>
      <c r="F6003" s="675">
        <v>0.1</v>
      </c>
      <c r="G6003" s="676">
        <v>461.41059999999993</v>
      </c>
      <c r="H6003" s="929">
        <v>46.141059999999982</v>
      </c>
      <c r="I6003" s="929">
        <v>46.141059999999982</v>
      </c>
      <c r="J6003" s="689">
        <f t="shared" si="94"/>
        <v>415.26953999999995</v>
      </c>
    </row>
    <row r="6004" spans="1:10" ht="12.75" customHeight="1" x14ac:dyDescent="0.2">
      <c r="A6004" s="681">
        <v>1241</v>
      </c>
      <c r="B6004" s="693" t="s">
        <v>8501</v>
      </c>
      <c r="C6004" s="672" t="s">
        <v>8417</v>
      </c>
      <c r="D6004" s="809" t="s">
        <v>8236</v>
      </c>
      <c r="E6004" s="674">
        <v>10</v>
      </c>
      <c r="F6004" s="675">
        <v>0.1</v>
      </c>
      <c r="G6004" s="676">
        <v>461.41059999999993</v>
      </c>
      <c r="H6004" s="929">
        <v>46.141059999999982</v>
      </c>
      <c r="I6004" s="929">
        <v>46.141059999999982</v>
      </c>
      <c r="J6004" s="689">
        <f t="shared" si="94"/>
        <v>415.26953999999995</v>
      </c>
    </row>
    <row r="6005" spans="1:10" ht="12.75" customHeight="1" x14ac:dyDescent="0.2">
      <c r="A6005" s="681">
        <v>1241</v>
      </c>
      <c r="B6005" s="693" t="s">
        <v>8495</v>
      </c>
      <c r="C6005" s="672" t="s">
        <v>8411</v>
      </c>
      <c r="D6005" s="809" t="s">
        <v>8236</v>
      </c>
      <c r="E6005" s="674">
        <v>10</v>
      </c>
      <c r="F6005" s="675">
        <v>0.1</v>
      </c>
      <c r="G6005" s="676">
        <v>423.31499999999983</v>
      </c>
      <c r="H6005" s="929">
        <v>42.331499999999998</v>
      </c>
      <c r="I6005" s="929">
        <v>42.331499999999998</v>
      </c>
      <c r="J6005" s="689">
        <f t="shared" si="94"/>
        <v>380.98349999999982</v>
      </c>
    </row>
    <row r="6006" spans="1:10" ht="12.75" customHeight="1" x14ac:dyDescent="0.2">
      <c r="A6006" s="681">
        <v>1241</v>
      </c>
      <c r="B6006" s="693" t="s">
        <v>8516</v>
      </c>
      <c r="C6006" s="672" t="s">
        <v>8431</v>
      </c>
      <c r="D6006" s="809" t="s">
        <v>8236</v>
      </c>
      <c r="E6006" s="674">
        <v>10</v>
      </c>
      <c r="F6006" s="675">
        <v>0.1</v>
      </c>
      <c r="G6006" s="676">
        <v>408.18333333333339</v>
      </c>
      <c r="H6006" s="929">
        <v>40.818333333333349</v>
      </c>
      <c r="I6006" s="929">
        <v>40.818333333333349</v>
      </c>
      <c r="J6006" s="689">
        <f t="shared" si="94"/>
        <v>367.36500000000007</v>
      </c>
    </row>
    <row r="6007" spans="1:10" ht="12.75" customHeight="1" x14ac:dyDescent="0.2">
      <c r="A6007" s="681">
        <v>1241</v>
      </c>
      <c r="B6007" s="693" t="s">
        <v>8489</v>
      </c>
      <c r="C6007" s="672" t="s">
        <v>8406</v>
      </c>
      <c r="D6007" s="809" t="s">
        <v>8236</v>
      </c>
      <c r="E6007" s="674">
        <v>10</v>
      </c>
      <c r="F6007" s="675">
        <v>0.1</v>
      </c>
      <c r="G6007" s="676">
        <v>404.47799999999984</v>
      </c>
      <c r="H6007" s="929">
        <v>40.44779999999998</v>
      </c>
      <c r="I6007" s="929">
        <v>40.44779999999998</v>
      </c>
      <c r="J6007" s="689">
        <f t="shared" si="94"/>
        <v>364.03019999999987</v>
      </c>
    </row>
    <row r="6008" spans="1:10" ht="12.75" customHeight="1" x14ac:dyDescent="0.2">
      <c r="A6008" s="681">
        <v>1241</v>
      </c>
      <c r="B6008" s="693" t="s">
        <v>8489</v>
      </c>
      <c r="C6008" s="672" t="s">
        <v>8406</v>
      </c>
      <c r="D6008" s="809" t="s">
        <v>8236</v>
      </c>
      <c r="E6008" s="674">
        <v>10</v>
      </c>
      <c r="F6008" s="675">
        <v>0.1</v>
      </c>
      <c r="G6008" s="676">
        <v>404.47799999999984</v>
      </c>
      <c r="H6008" s="929">
        <v>40.44779999999998</v>
      </c>
      <c r="I6008" s="929">
        <v>40.44779999999998</v>
      </c>
      <c r="J6008" s="689">
        <f t="shared" si="94"/>
        <v>364.03019999999987</v>
      </c>
    </row>
    <row r="6009" spans="1:10" ht="12.75" customHeight="1" x14ac:dyDescent="0.2">
      <c r="A6009" s="681">
        <v>1241</v>
      </c>
      <c r="B6009" s="693" t="s">
        <v>8489</v>
      </c>
      <c r="C6009" s="672" t="s">
        <v>8406</v>
      </c>
      <c r="D6009" s="809" t="s">
        <v>8236</v>
      </c>
      <c r="E6009" s="674">
        <v>10</v>
      </c>
      <c r="F6009" s="675">
        <v>0.1</v>
      </c>
      <c r="G6009" s="676">
        <v>404.47799999999984</v>
      </c>
      <c r="H6009" s="929">
        <v>40.44779999999998</v>
      </c>
      <c r="I6009" s="929">
        <v>40.44779999999998</v>
      </c>
      <c r="J6009" s="689">
        <f t="shared" si="94"/>
        <v>364.03019999999987</v>
      </c>
    </row>
    <row r="6010" spans="1:10" ht="12.75" customHeight="1" x14ac:dyDescent="0.2">
      <c r="A6010" s="681">
        <v>1241</v>
      </c>
      <c r="B6010" s="693" t="s">
        <v>8489</v>
      </c>
      <c r="C6010" s="672" t="s">
        <v>8406</v>
      </c>
      <c r="D6010" s="809" t="s">
        <v>8236</v>
      </c>
      <c r="E6010" s="674">
        <v>10</v>
      </c>
      <c r="F6010" s="675">
        <v>0.1</v>
      </c>
      <c r="G6010" s="676">
        <v>404.47799999999984</v>
      </c>
      <c r="H6010" s="929">
        <v>40.44779999999998</v>
      </c>
      <c r="I6010" s="929">
        <v>40.44779999999998</v>
      </c>
      <c r="J6010" s="689">
        <f t="shared" si="94"/>
        <v>364.03019999999987</v>
      </c>
    </row>
    <row r="6011" spans="1:10" ht="12.75" customHeight="1" x14ac:dyDescent="0.2">
      <c r="A6011" s="681">
        <v>1241</v>
      </c>
      <c r="B6011" s="693" t="s">
        <v>8489</v>
      </c>
      <c r="C6011" s="672" t="s">
        <v>8406</v>
      </c>
      <c r="D6011" s="809" t="s">
        <v>8236</v>
      </c>
      <c r="E6011" s="674">
        <v>10</v>
      </c>
      <c r="F6011" s="675">
        <v>0.1</v>
      </c>
      <c r="G6011" s="676">
        <v>404.47799999999984</v>
      </c>
      <c r="H6011" s="929">
        <v>40.44779999999998</v>
      </c>
      <c r="I6011" s="929">
        <v>40.44779999999998</v>
      </c>
      <c r="J6011" s="689">
        <f t="shared" si="94"/>
        <v>364.03019999999987</v>
      </c>
    </row>
    <row r="6012" spans="1:10" ht="12.75" customHeight="1" x14ac:dyDescent="0.2">
      <c r="A6012" s="681">
        <v>1241</v>
      </c>
      <c r="B6012" s="693" t="s">
        <v>8492</v>
      </c>
      <c r="C6012" s="672" t="s">
        <v>8408</v>
      </c>
      <c r="D6012" s="809" t="s">
        <v>8236</v>
      </c>
      <c r="E6012" s="674">
        <v>10</v>
      </c>
      <c r="F6012" s="675">
        <v>0.1</v>
      </c>
      <c r="G6012" s="676">
        <v>377.69737499999997</v>
      </c>
      <c r="H6012" s="929">
        <v>37.769737499999998</v>
      </c>
      <c r="I6012" s="929">
        <v>37.769737499999998</v>
      </c>
      <c r="J6012" s="689">
        <f t="shared" si="94"/>
        <v>339.92763749999995</v>
      </c>
    </row>
    <row r="6013" spans="1:10" ht="12.75" customHeight="1" x14ac:dyDescent="0.2">
      <c r="A6013" s="681">
        <v>1241</v>
      </c>
      <c r="B6013" s="693" t="s">
        <v>8492</v>
      </c>
      <c r="C6013" s="672" t="s">
        <v>8408</v>
      </c>
      <c r="D6013" s="809" t="s">
        <v>8236</v>
      </c>
      <c r="E6013" s="674">
        <v>10</v>
      </c>
      <c r="F6013" s="675">
        <v>0.1</v>
      </c>
      <c r="G6013" s="676">
        <v>377.69737499999997</v>
      </c>
      <c r="H6013" s="929">
        <v>37.769737499999998</v>
      </c>
      <c r="I6013" s="929">
        <v>37.769737499999998</v>
      </c>
      <c r="J6013" s="689">
        <f t="shared" si="94"/>
        <v>339.92763749999995</v>
      </c>
    </row>
    <row r="6014" spans="1:10" ht="12.75" customHeight="1" x14ac:dyDescent="0.2">
      <c r="A6014" s="681">
        <v>1241</v>
      </c>
      <c r="B6014" s="693" t="s">
        <v>8492</v>
      </c>
      <c r="C6014" s="672" t="s">
        <v>8408</v>
      </c>
      <c r="D6014" s="809" t="s">
        <v>8236</v>
      </c>
      <c r="E6014" s="674">
        <v>10</v>
      </c>
      <c r="F6014" s="675">
        <v>0.1</v>
      </c>
      <c r="G6014" s="676">
        <v>377.69737499999997</v>
      </c>
      <c r="H6014" s="929">
        <v>37.769737499999998</v>
      </c>
      <c r="I6014" s="929">
        <v>37.769737499999998</v>
      </c>
      <c r="J6014" s="689">
        <f t="shared" si="94"/>
        <v>339.92763749999995</v>
      </c>
    </row>
    <row r="6015" spans="1:10" ht="12.75" customHeight="1" x14ac:dyDescent="0.2">
      <c r="A6015" s="681">
        <v>1241</v>
      </c>
      <c r="B6015" s="693" t="s">
        <v>8492</v>
      </c>
      <c r="C6015" s="672" t="s">
        <v>8408</v>
      </c>
      <c r="D6015" s="809" t="s">
        <v>8236</v>
      </c>
      <c r="E6015" s="674">
        <v>10</v>
      </c>
      <c r="F6015" s="675">
        <v>0.1</v>
      </c>
      <c r="G6015" s="676">
        <v>377.69737499999997</v>
      </c>
      <c r="H6015" s="929">
        <v>37.769737499999998</v>
      </c>
      <c r="I6015" s="929">
        <v>37.769737499999998</v>
      </c>
      <c r="J6015" s="689">
        <f t="shared" si="94"/>
        <v>339.92763749999995</v>
      </c>
    </row>
    <row r="6016" spans="1:10" ht="12.75" customHeight="1" x14ac:dyDescent="0.2">
      <c r="A6016" s="681">
        <v>1241</v>
      </c>
      <c r="B6016" s="693" t="s">
        <v>8492</v>
      </c>
      <c r="C6016" s="672" t="s">
        <v>8408</v>
      </c>
      <c r="D6016" s="809" t="s">
        <v>8236</v>
      </c>
      <c r="E6016" s="674">
        <v>10</v>
      </c>
      <c r="F6016" s="675">
        <v>0.1</v>
      </c>
      <c r="G6016" s="676">
        <v>377.69737499999997</v>
      </c>
      <c r="H6016" s="929">
        <v>37.769737499999998</v>
      </c>
      <c r="I6016" s="929">
        <v>37.769737499999998</v>
      </c>
      <c r="J6016" s="689">
        <f t="shared" ref="J6016:J6079" si="95">G6016-I6016</f>
        <v>339.92763749999995</v>
      </c>
    </row>
    <row r="6017" spans="1:10" ht="12.75" customHeight="1" x14ac:dyDescent="0.2">
      <c r="A6017" s="681">
        <v>1241</v>
      </c>
      <c r="B6017" s="693" t="s">
        <v>8492</v>
      </c>
      <c r="C6017" s="672" t="s">
        <v>8408</v>
      </c>
      <c r="D6017" s="809" t="s">
        <v>8236</v>
      </c>
      <c r="E6017" s="674">
        <v>10</v>
      </c>
      <c r="F6017" s="675">
        <v>0.1</v>
      </c>
      <c r="G6017" s="676">
        <v>377.69737499999997</v>
      </c>
      <c r="H6017" s="929">
        <v>37.769737499999998</v>
      </c>
      <c r="I6017" s="929">
        <v>37.769737499999998</v>
      </c>
      <c r="J6017" s="689">
        <f t="shared" si="95"/>
        <v>339.92763749999995</v>
      </c>
    </row>
    <row r="6018" spans="1:10" ht="12.75" customHeight="1" x14ac:dyDescent="0.2">
      <c r="A6018" s="681">
        <v>1241</v>
      </c>
      <c r="B6018" s="693" t="s">
        <v>8492</v>
      </c>
      <c r="C6018" s="672" t="s">
        <v>8408</v>
      </c>
      <c r="D6018" s="809" t="s">
        <v>8236</v>
      </c>
      <c r="E6018" s="674">
        <v>10</v>
      </c>
      <c r="F6018" s="675">
        <v>0.1</v>
      </c>
      <c r="G6018" s="676">
        <v>377.69737499999997</v>
      </c>
      <c r="H6018" s="929">
        <v>37.769737499999998</v>
      </c>
      <c r="I6018" s="929">
        <v>37.769737499999998</v>
      </c>
      <c r="J6018" s="689">
        <f t="shared" si="95"/>
        <v>339.92763749999995</v>
      </c>
    </row>
    <row r="6019" spans="1:10" ht="12.75" customHeight="1" x14ac:dyDescent="0.2">
      <c r="A6019" s="681">
        <v>1241</v>
      </c>
      <c r="B6019" s="693" t="s">
        <v>8492</v>
      </c>
      <c r="C6019" s="672" t="s">
        <v>8408</v>
      </c>
      <c r="D6019" s="809" t="s">
        <v>8236</v>
      </c>
      <c r="E6019" s="674">
        <v>10</v>
      </c>
      <c r="F6019" s="675">
        <v>0.1</v>
      </c>
      <c r="G6019" s="676">
        <v>377.69737499999997</v>
      </c>
      <c r="H6019" s="929">
        <v>37.769737499999998</v>
      </c>
      <c r="I6019" s="929">
        <v>37.769737499999998</v>
      </c>
      <c r="J6019" s="689">
        <f t="shared" si="95"/>
        <v>339.92763749999995</v>
      </c>
    </row>
    <row r="6020" spans="1:10" ht="12.75" customHeight="1" x14ac:dyDescent="0.2">
      <c r="A6020" s="681">
        <v>1241</v>
      </c>
      <c r="B6020" s="693" t="s">
        <v>8507</v>
      </c>
      <c r="C6020" s="672" t="s">
        <v>8423</v>
      </c>
      <c r="D6020" s="809" t="s">
        <v>8236</v>
      </c>
      <c r="E6020" s="674">
        <v>10</v>
      </c>
      <c r="F6020" s="675">
        <v>0.1</v>
      </c>
      <c r="G6020" s="676">
        <v>360.70399999999995</v>
      </c>
      <c r="H6020" s="929">
        <v>36.070399999999992</v>
      </c>
      <c r="I6020" s="929">
        <v>36.070399999999992</v>
      </c>
      <c r="J6020" s="689">
        <f t="shared" si="95"/>
        <v>324.63359999999994</v>
      </c>
    </row>
    <row r="6021" spans="1:10" ht="12.75" customHeight="1" x14ac:dyDescent="0.2">
      <c r="A6021" s="681">
        <v>1241</v>
      </c>
      <c r="B6021" s="693" t="s">
        <v>8504</v>
      </c>
      <c r="C6021" s="672" t="s">
        <v>8420</v>
      </c>
      <c r="D6021" s="809" t="s">
        <v>8236</v>
      </c>
      <c r="E6021" s="674">
        <v>10</v>
      </c>
      <c r="F6021" s="675">
        <v>0.1</v>
      </c>
      <c r="G6021" s="676">
        <v>310.5</v>
      </c>
      <c r="H6021" s="929">
        <v>31.049999999999994</v>
      </c>
      <c r="I6021" s="929">
        <v>31.049999999999994</v>
      </c>
      <c r="J6021" s="689">
        <f t="shared" si="95"/>
        <v>279.45</v>
      </c>
    </row>
    <row r="6022" spans="1:10" ht="12.75" customHeight="1" x14ac:dyDescent="0.2">
      <c r="A6022" s="681">
        <v>1241</v>
      </c>
      <c r="B6022" s="693" t="s">
        <v>8504</v>
      </c>
      <c r="C6022" s="672" t="s">
        <v>8420</v>
      </c>
      <c r="D6022" s="809" t="s">
        <v>8236</v>
      </c>
      <c r="E6022" s="674">
        <v>10</v>
      </c>
      <c r="F6022" s="675">
        <v>0.1</v>
      </c>
      <c r="G6022" s="676">
        <v>310.5</v>
      </c>
      <c r="H6022" s="929">
        <v>31.049999999999994</v>
      </c>
      <c r="I6022" s="929">
        <v>31.049999999999994</v>
      </c>
      <c r="J6022" s="689">
        <f t="shared" si="95"/>
        <v>279.45</v>
      </c>
    </row>
    <row r="6023" spans="1:10" ht="12.75" customHeight="1" x14ac:dyDescent="0.2">
      <c r="A6023" s="681">
        <v>1241</v>
      </c>
      <c r="B6023" s="693" t="s">
        <v>8504</v>
      </c>
      <c r="C6023" s="672" t="s">
        <v>8420</v>
      </c>
      <c r="D6023" s="809" t="s">
        <v>8236</v>
      </c>
      <c r="E6023" s="674">
        <v>10</v>
      </c>
      <c r="F6023" s="675">
        <v>0.1</v>
      </c>
      <c r="G6023" s="676">
        <v>310.5</v>
      </c>
      <c r="H6023" s="929">
        <v>31.049999999999994</v>
      </c>
      <c r="I6023" s="929">
        <v>31.049999999999994</v>
      </c>
      <c r="J6023" s="689">
        <f t="shared" si="95"/>
        <v>279.45</v>
      </c>
    </row>
    <row r="6024" spans="1:10" ht="12.75" customHeight="1" x14ac:dyDescent="0.2">
      <c r="A6024" s="681">
        <v>1241</v>
      </c>
      <c r="B6024" s="693" t="s">
        <v>8515</v>
      </c>
      <c r="C6024" s="672" t="s">
        <v>8430</v>
      </c>
      <c r="D6024" s="809" t="s">
        <v>8236</v>
      </c>
      <c r="E6024" s="674">
        <v>10</v>
      </c>
      <c r="F6024" s="675">
        <v>0.1</v>
      </c>
      <c r="G6024" s="676">
        <v>275.87816666666674</v>
      </c>
      <c r="H6024" s="929">
        <v>27.587816666666672</v>
      </c>
      <c r="I6024" s="929">
        <v>27.587816666666672</v>
      </c>
      <c r="J6024" s="689">
        <f t="shared" si="95"/>
        <v>248.29035000000007</v>
      </c>
    </row>
    <row r="6025" spans="1:10" ht="12.75" customHeight="1" x14ac:dyDescent="0.2">
      <c r="A6025" s="681">
        <v>1241</v>
      </c>
      <c r="B6025" s="693" t="s">
        <v>8515</v>
      </c>
      <c r="C6025" s="672" t="s">
        <v>8430</v>
      </c>
      <c r="D6025" s="809" t="s">
        <v>8236</v>
      </c>
      <c r="E6025" s="674">
        <v>10</v>
      </c>
      <c r="F6025" s="675">
        <v>0.1</v>
      </c>
      <c r="G6025" s="676">
        <v>275.87816666666674</v>
      </c>
      <c r="H6025" s="929">
        <v>27.587816666666672</v>
      </c>
      <c r="I6025" s="929">
        <v>27.587816666666672</v>
      </c>
      <c r="J6025" s="689">
        <f t="shared" si="95"/>
        <v>248.29035000000007</v>
      </c>
    </row>
    <row r="6026" spans="1:10" ht="12.75" customHeight="1" x14ac:dyDescent="0.2">
      <c r="A6026" s="681">
        <v>1241</v>
      </c>
      <c r="B6026" s="693" t="s">
        <v>8508</v>
      </c>
      <c r="C6026" s="672" t="s">
        <v>8424</v>
      </c>
      <c r="D6026" s="809" t="s">
        <v>8236</v>
      </c>
      <c r="E6026" s="674">
        <v>10</v>
      </c>
      <c r="F6026" s="675">
        <v>0.1</v>
      </c>
      <c r="G6026" s="676">
        <v>243.05555555555566</v>
      </c>
      <c r="H6026" s="929">
        <v>24.305555555555557</v>
      </c>
      <c r="I6026" s="929">
        <v>24.305555555555557</v>
      </c>
      <c r="J6026" s="689">
        <f t="shared" si="95"/>
        <v>218.75000000000011</v>
      </c>
    </row>
    <row r="6027" spans="1:10" ht="12.75" customHeight="1" x14ac:dyDescent="0.2">
      <c r="A6027" s="681">
        <v>1241</v>
      </c>
      <c r="B6027" s="693" t="s">
        <v>8508</v>
      </c>
      <c r="C6027" s="672" t="s">
        <v>8424</v>
      </c>
      <c r="D6027" s="809" t="s">
        <v>8236</v>
      </c>
      <c r="E6027" s="674">
        <v>10</v>
      </c>
      <c r="F6027" s="675">
        <v>0.1</v>
      </c>
      <c r="G6027" s="676">
        <v>243.05555555555566</v>
      </c>
      <c r="H6027" s="929">
        <v>24.305555555555557</v>
      </c>
      <c r="I6027" s="929">
        <v>24.305555555555557</v>
      </c>
      <c r="J6027" s="689">
        <f t="shared" si="95"/>
        <v>218.75000000000011</v>
      </c>
    </row>
    <row r="6028" spans="1:10" ht="12.75" customHeight="1" x14ac:dyDescent="0.2">
      <c r="A6028" s="681">
        <v>1241</v>
      </c>
      <c r="B6028" s="693" t="s">
        <v>8508</v>
      </c>
      <c r="C6028" s="672" t="s">
        <v>8424</v>
      </c>
      <c r="D6028" s="809" t="s">
        <v>8236</v>
      </c>
      <c r="E6028" s="674">
        <v>10</v>
      </c>
      <c r="F6028" s="675">
        <v>0.1</v>
      </c>
      <c r="G6028" s="676">
        <v>243.05555555555566</v>
      </c>
      <c r="H6028" s="929">
        <v>24.305555555555557</v>
      </c>
      <c r="I6028" s="929">
        <v>24.305555555555557</v>
      </c>
      <c r="J6028" s="689">
        <f t="shared" si="95"/>
        <v>218.75000000000011</v>
      </c>
    </row>
    <row r="6029" spans="1:10" ht="12.75" customHeight="1" x14ac:dyDescent="0.2">
      <c r="A6029" s="681">
        <v>1241</v>
      </c>
      <c r="B6029" s="693" t="s">
        <v>8505</v>
      </c>
      <c r="C6029" s="672" t="s">
        <v>8421</v>
      </c>
      <c r="D6029" s="809" t="s">
        <v>8236</v>
      </c>
      <c r="E6029" s="674">
        <v>10</v>
      </c>
      <c r="F6029" s="675">
        <v>0.1</v>
      </c>
      <c r="G6029" s="676">
        <v>164.56742857142854</v>
      </c>
      <c r="H6029" s="929">
        <v>16.456742857142853</v>
      </c>
      <c r="I6029" s="929">
        <v>16.456742857142853</v>
      </c>
      <c r="J6029" s="689">
        <f t="shared" si="95"/>
        <v>148.11068571428569</v>
      </c>
    </row>
    <row r="6030" spans="1:10" ht="12.75" customHeight="1" x14ac:dyDescent="0.2">
      <c r="A6030" s="681">
        <v>1241</v>
      </c>
      <c r="B6030" s="693" t="s">
        <v>8505</v>
      </c>
      <c r="C6030" s="672" t="s">
        <v>8421</v>
      </c>
      <c r="D6030" s="809" t="s">
        <v>8236</v>
      </c>
      <c r="E6030" s="674">
        <v>10</v>
      </c>
      <c r="F6030" s="675">
        <v>0.1</v>
      </c>
      <c r="G6030" s="676">
        <v>164.56742857142854</v>
      </c>
      <c r="H6030" s="929">
        <v>16.456742857142853</v>
      </c>
      <c r="I6030" s="929">
        <v>16.456742857142853</v>
      </c>
      <c r="J6030" s="689">
        <f t="shared" si="95"/>
        <v>148.11068571428569</v>
      </c>
    </row>
    <row r="6031" spans="1:10" ht="12.75" customHeight="1" x14ac:dyDescent="0.2">
      <c r="A6031" s="681">
        <v>1241</v>
      </c>
      <c r="B6031" s="693" t="s">
        <v>8505</v>
      </c>
      <c r="C6031" s="672" t="s">
        <v>8421</v>
      </c>
      <c r="D6031" s="809" t="s">
        <v>8236</v>
      </c>
      <c r="E6031" s="674">
        <v>10</v>
      </c>
      <c r="F6031" s="675">
        <v>0.1</v>
      </c>
      <c r="G6031" s="676">
        <v>164.56742857142854</v>
      </c>
      <c r="H6031" s="929">
        <v>16.456742857142853</v>
      </c>
      <c r="I6031" s="929">
        <v>16.456742857142853</v>
      </c>
      <c r="J6031" s="689">
        <f t="shared" si="95"/>
        <v>148.11068571428569</v>
      </c>
    </row>
    <row r="6032" spans="1:10" ht="12.75" customHeight="1" x14ac:dyDescent="0.2">
      <c r="A6032" s="681">
        <v>1241</v>
      </c>
      <c r="B6032" s="693" t="s">
        <v>8505</v>
      </c>
      <c r="C6032" s="672" t="s">
        <v>8421</v>
      </c>
      <c r="D6032" s="809" t="s">
        <v>8236</v>
      </c>
      <c r="E6032" s="674">
        <v>10</v>
      </c>
      <c r="F6032" s="675">
        <v>0.1</v>
      </c>
      <c r="G6032" s="676">
        <v>164.56742857142854</v>
      </c>
      <c r="H6032" s="929">
        <v>16.456742857142853</v>
      </c>
      <c r="I6032" s="929">
        <v>16.456742857142853</v>
      </c>
      <c r="J6032" s="689">
        <f t="shared" si="95"/>
        <v>148.11068571428569</v>
      </c>
    </row>
    <row r="6033" spans="1:10" ht="12.75" customHeight="1" x14ac:dyDescent="0.2">
      <c r="A6033" s="681">
        <v>1241</v>
      </c>
      <c r="B6033" s="693" t="s">
        <v>8505</v>
      </c>
      <c r="C6033" s="672" t="s">
        <v>8421</v>
      </c>
      <c r="D6033" s="809" t="s">
        <v>8236</v>
      </c>
      <c r="E6033" s="674">
        <v>10</v>
      </c>
      <c r="F6033" s="675">
        <v>0.1</v>
      </c>
      <c r="G6033" s="676">
        <v>164.56742857142854</v>
      </c>
      <c r="H6033" s="929">
        <v>16.456742857142853</v>
      </c>
      <c r="I6033" s="929">
        <v>16.456742857142853</v>
      </c>
      <c r="J6033" s="689">
        <f t="shared" si="95"/>
        <v>148.11068571428569</v>
      </c>
    </row>
    <row r="6034" spans="1:10" ht="12.75" customHeight="1" x14ac:dyDescent="0.2">
      <c r="A6034" s="681">
        <v>1241</v>
      </c>
      <c r="B6034" s="693" t="s">
        <v>8505</v>
      </c>
      <c r="C6034" s="672" t="s">
        <v>8421</v>
      </c>
      <c r="D6034" s="809" t="s">
        <v>8236</v>
      </c>
      <c r="E6034" s="674">
        <v>10</v>
      </c>
      <c r="F6034" s="675">
        <v>0.1</v>
      </c>
      <c r="G6034" s="676">
        <v>164.56742857142854</v>
      </c>
      <c r="H6034" s="929">
        <v>16.456742857142853</v>
      </c>
      <c r="I6034" s="929">
        <v>16.456742857142853</v>
      </c>
      <c r="J6034" s="689">
        <f t="shared" si="95"/>
        <v>148.11068571428569</v>
      </c>
    </row>
    <row r="6035" spans="1:10" ht="12.75" customHeight="1" x14ac:dyDescent="0.2">
      <c r="A6035" s="681">
        <v>1241</v>
      </c>
      <c r="B6035" s="693" t="s">
        <v>8505</v>
      </c>
      <c r="C6035" s="672" t="s">
        <v>8421</v>
      </c>
      <c r="D6035" s="809" t="s">
        <v>8236</v>
      </c>
      <c r="E6035" s="674">
        <v>10</v>
      </c>
      <c r="F6035" s="675">
        <v>0.1</v>
      </c>
      <c r="G6035" s="676">
        <v>164.56742857142854</v>
      </c>
      <c r="H6035" s="929">
        <v>16.456742857142853</v>
      </c>
      <c r="I6035" s="929">
        <v>16.456742857142853</v>
      </c>
      <c r="J6035" s="689">
        <f t="shared" si="95"/>
        <v>148.11068571428569</v>
      </c>
    </row>
    <row r="6036" spans="1:10" ht="12.75" customHeight="1" x14ac:dyDescent="0.2">
      <c r="A6036" s="681">
        <v>1241</v>
      </c>
      <c r="B6036" s="693" t="s">
        <v>8503</v>
      </c>
      <c r="C6036" s="672" t="s">
        <v>8419</v>
      </c>
      <c r="D6036" s="809" t="s">
        <v>8236</v>
      </c>
      <c r="E6036" s="674">
        <v>10</v>
      </c>
      <c r="F6036" s="675">
        <v>0.1</v>
      </c>
      <c r="G6036" s="676">
        <v>99.077727272727316</v>
      </c>
      <c r="H6036" s="929">
        <v>9.9077727272727305</v>
      </c>
      <c r="I6036" s="929">
        <v>9.9077727272727305</v>
      </c>
      <c r="J6036" s="689">
        <f t="shared" si="95"/>
        <v>89.169954545454587</v>
      </c>
    </row>
    <row r="6037" spans="1:10" ht="12.75" customHeight="1" x14ac:dyDescent="0.2">
      <c r="A6037" s="681">
        <v>1241</v>
      </c>
      <c r="B6037" s="693" t="s">
        <v>8503</v>
      </c>
      <c r="C6037" s="672" t="s">
        <v>8419</v>
      </c>
      <c r="D6037" s="809" t="s">
        <v>8236</v>
      </c>
      <c r="E6037" s="674">
        <v>10</v>
      </c>
      <c r="F6037" s="675">
        <v>0.1</v>
      </c>
      <c r="G6037" s="676">
        <v>99.077727272727316</v>
      </c>
      <c r="H6037" s="929">
        <v>9.9077727272727305</v>
      </c>
      <c r="I6037" s="929">
        <v>9.9077727272727305</v>
      </c>
      <c r="J6037" s="689">
        <f t="shared" si="95"/>
        <v>89.169954545454587</v>
      </c>
    </row>
    <row r="6038" spans="1:10" ht="12.75" customHeight="1" x14ac:dyDescent="0.2">
      <c r="A6038" s="681">
        <v>1241</v>
      </c>
      <c r="B6038" s="693" t="s">
        <v>8503</v>
      </c>
      <c r="C6038" s="672" t="s">
        <v>8419</v>
      </c>
      <c r="D6038" s="809" t="s">
        <v>8236</v>
      </c>
      <c r="E6038" s="674">
        <v>10</v>
      </c>
      <c r="F6038" s="675">
        <v>0.1</v>
      </c>
      <c r="G6038" s="676">
        <v>99.077727272727316</v>
      </c>
      <c r="H6038" s="929">
        <v>9.9077727272727305</v>
      </c>
      <c r="I6038" s="929">
        <v>9.9077727272727305</v>
      </c>
      <c r="J6038" s="689">
        <f t="shared" si="95"/>
        <v>89.169954545454587</v>
      </c>
    </row>
    <row r="6039" spans="1:10" ht="12.75" customHeight="1" x14ac:dyDescent="0.2">
      <c r="A6039" s="681">
        <v>1241</v>
      </c>
      <c r="B6039" s="693" t="s">
        <v>8503</v>
      </c>
      <c r="C6039" s="672" t="s">
        <v>8419</v>
      </c>
      <c r="D6039" s="809" t="s">
        <v>8236</v>
      </c>
      <c r="E6039" s="674">
        <v>10</v>
      </c>
      <c r="F6039" s="675">
        <v>0.1</v>
      </c>
      <c r="G6039" s="676">
        <v>99.077727272727316</v>
      </c>
      <c r="H6039" s="929">
        <v>9.9077727272727305</v>
      </c>
      <c r="I6039" s="929">
        <v>9.9077727272727305</v>
      </c>
      <c r="J6039" s="689">
        <f t="shared" si="95"/>
        <v>89.169954545454587</v>
      </c>
    </row>
    <row r="6040" spans="1:10" ht="12.75" customHeight="1" x14ac:dyDescent="0.2">
      <c r="A6040" s="681">
        <v>1241</v>
      </c>
      <c r="B6040" s="693" t="s">
        <v>8503</v>
      </c>
      <c r="C6040" s="672" t="s">
        <v>8419</v>
      </c>
      <c r="D6040" s="809" t="s">
        <v>8236</v>
      </c>
      <c r="E6040" s="674">
        <v>10</v>
      </c>
      <c r="F6040" s="675">
        <v>0.1</v>
      </c>
      <c r="G6040" s="676">
        <v>99.077727272727316</v>
      </c>
      <c r="H6040" s="929">
        <v>9.9077727272727305</v>
      </c>
      <c r="I6040" s="929">
        <v>9.9077727272727305</v>
      </c>
      <c r="J6040" s="689">
        <f t="shared" si="95"/>
        <v>89.169954545454587</v>
      </c>
    </row>
    <row r="6041" spans="1:10" ht="12.75" customHeight="1" x14ac:dyDescent="0.2">
      <c r="A6041" s="681">
        <v>1241</v>
      </c>
      <c r="B6041" s="693" t="s">
        <v>8503</v>
      </c>
      <c r="C6041" s="672" t="s">
        <v>8419</v>
      </c>
      <c r="D6041" s="809" t="s">
        <v>8236</v>
      </c>
      <c r="E6041" s="674">
        <v>10</v>
      </c>
      <c r="F6041" s="675">
        <v>0.1</v>
      </c>
      <c r="G6041" s="676">
        <v>99.077727272727316</v>
      </c>
      <c r="H6041" s="929">
        <v>9.9077727272727305</v>
      </c>
      <c r="I6041" s="929">
        <v>9.9077727272727305</v>
      </c>
      <c r="J6041" s="689">
        <f t="shared" si="95"/>
        <v>89.169954545454587</v>
      </c>
    </row>
    <row r="6042" spans="1:10" ht="12.75" customHeight="1" x14ac:dyDescent="0.2">
      <c r="A6042" s="681">
        <v>1241</v>
      </c>
      <c r="B6042" s="693" t="s">
        <v>8503</v>
      </c>
      <c r="C6042" s="672" t="s">
        <v>8419</v>
      </c>
      <c r="D6042" s="809" t="s">
        <v>8236</v>
      </c>
      <c r="E6042" s="674">
        <v>10</v>
      </c>
      <c r="F6042" s="675">
        <v>0.1</v>
      </c>
      <c r="G6042" s="676">
        <v>99.077727272727316</v>
      </c>
      <c r="H6042" s="929">
        <v>9.9077727272727305</v>
      </c>
      <c r="I6042" s="929">
        <v>9.9077727272727305</v>
      </c>
      <c r="J6042" s="689">
        <f t="shared" si="95"/>
        <v>89.169954545454587</v>
      </c>
    </row>
    <row r="6043" spans="1:10" ht="12.75" customHeight="1" x14ac:dyDescent="0.2">
      <c r="A6043" s="681">
        <v>1241</v>
      </c>
      <c r="B6043" s="693" t="s">
        <v>8503</v>
      </c>
      <c r="C6043" s="672" t="s">
        <v>8419</v>
      </c>
      <c r="D6043" s="809" t="s">
        <v>8236</v>
      </c>
      <c r="E6043" s="674">
        <v>10</v>
      </c>
      <c r="F6043" s="675">
        <v>0.1</v>
      </c>
      <c r="G6043" s="676">
        <v>99.077727272727316</v>
      </c>
      <c r="H6043" s="929">
        <v>9.9077727272727305</v>
      </c>
      <c r="I6043" s="929">
        <v>9.9077727272727305</v>
      </c>
      <c r="J6043" s="689">
        <f t="shared" si="95"/>
        <v>89.169954545454587</v>
      </c>
    </row>
    <row r="6044" spans="1:10" ht="12.75" customHeight="1" x14ac:dyDescent="0.2">
      <c r="A6044" s="681">
        <v>1241</v>
      </c>
      <c r="B6044" s="693" t="s">
        <v>8503</v>
      </c>
      <c r="C6044" s="672" t="s">
        <v>8419</v>
      </c>
      <c r="D6044" s="809" t="s">
        <v>8236</v>
      </c>
      <c r="E6044" s="674">
        <v>10</v>
      </c>
      <c r="F6044" s="675">
        <v>0.1</v>
      </c>
      <c r="G6044" s="676">
        <v>99.077727272727316</v>
      </c>
      <c r="H6044" s="929">
        <v>9.9077727272727305</v>
      </c>
      <c r="I6044" s="929">
        <v>9.9077727272727305</v>
      </c>
      <c r="J6044" s="689">
        <f t="shared" si="95"/>
        <v>89.169954545454587</v>
      </c>
    </row>
    <row r="6045" spans="1:10" ht="12.75" customHeight="1" x14ac:dyDescent="0.2">
      <c r="A6045" s="681">
        <v>1241</v>
      </c>
      <c r="B6045" s="693" t="s">
        <v>8503</v>
      </c>
      <c r="C6045" s="672" t="s">
        <v>8419</v>
      </c>
      <c r="D6045" s="809" t="s">
        <v>8236</v>
      </c>
      <c r="E6045" s="674">
        <v>10</v>
      </c>
      <c r="F6045" s="675">
        <v>0.1</v>
      </c>
      <c r="G6045" s="676">
        <v>99.077727272727316</v>
      </c>
      <c r="H6045" s="929">
        <v>9.9077727272727305</v>
      </c>
      <c r="I6045" s="929">
        <v>9.9077727272727305</v>
      </c>
      <c r="J6045" s="689">
        <f t="shared" si="95"/>
        <v>89.169954545454587</v>
      </c>
    </row>
    <row r="6046" spans="1:10" ht="12.75" customHeight="1" x14ac:dyDescent="0.2">
      <c r="A6046" s="681">
        <v>1241</v>
      </c>
      <c r="B6046" s="693" t="s">
        <v>8503</v>
      </c>
      <c r="C6046" s="672" t="s">
        <v>8419</v>
      </c>
      <c r="D6046" s="809" t="s">
        <v>8236</v>
      </c>
      <c r="E6046" s="674">
        <v>10</v>
      </c>
      <c r="F6046" s="675">
        <v>0.1</v>
      </c>
      <c r="G6046" s="676">
        <v>99.077727272727316</v>
      </c>
      <c r="H6046" s="929">
        <v>9.9077727272727305</v>
      </c>
      <c r="I6046" s="929">
        <v>9.9077727272727305</v>
      </c>
      <c r="J6046" s="689">
        <f t="shared" si="95"/>
        <v>89.169954545454587</v>
      </c>
    </row>
    <row r="6047" spans="1:10" ht="12.75" customHeight="1" x14ac:dyDescent="0.2">
      <c r="A6047" s="681">
        <v>1241</v>
      </c>
      <c r="B6047" s="693" t="s">
        <v>8491</v>
      </c>
      <c r="C6047" s="672" t="s">
        <v>8407</v>
      </c>
      <c r="D6047" s="809" t="s">
        <v>8236</v>
      </c>
      <c r="E6047" s="674">
        <v>10</v>
      </c>
      <c r="F6047" s="675">
        <v>0.1</v>
      </c>
      <c r="G6047" s="676">
        <v>77.625</v>
      </c>
      <c r="H6047" s="929">
        <v>7.7624999999999984</v>
      </c>
      <c r="I6047" s="929">
        <v>7.7624999999999984</v>
      </c>
      <c r="J6047" s="689">
        <f t="shared" si="95"/>
        <v>69.862499999999997</v>
      </c>
    </row>
    <row r="6048" spans="1:10" ht="12.75" customHeight="1" x14ac:dyDescent="0.2">
      <c r="A6048" s="681">
        <v>1241</v>
      </c>
      <c r="B6048" s="693" t="s">
        <v>8491</v>
      </c>
      <c r="C6048" s="672" t="s">
        <v>8407</v>
      </c>
      <c r="D6048" s="809" t="s">
        <v>8236</v>
      </c>
      <c r="E6048" s="674">
        <v>10</v>
      </c>
      <c r="F6048" s="675">
        <v>0.1</v>
      </c>
      <c r="G6048" s="676">
        <v>77.625</v>
      </c>
      <c r="H6048" s="929">
        <v>7.7624999999999984</v>
      </c>
      <c r="I6048" s="929">
        <v>7.7624999999999984</v>
      </c>
      <c r="J6048" s="689">
        <f t="shared" si="95"/>
        <v>69.862499999999997</v>
      </c>
    </row>
    <row r="6049" spans="1:10" ht="12.75" customHeight="1" x14ac:dyDescent="0.2">
      <c r="A6049" s="681">
        <v>1241</v>
      </c>
      <c r="B6049" s="693" t="s">
        <v>8491</v>
      </c>
      <c r="C6049" s="672" t="s">
        <v>8407</v>
      </c>
      <c r="D6049" s="809" t="s">
        <v>8236</v>
      </c>
      <c r="E6049" s="674">
        <v>10</v>
      </c>
      <c r="F6049" s="675">
        <v>0.1</v>
      </c>
      <c r="G6049" s="676">
        <v>77.625</v>
      </c>
      <c r="H6049" s="929">
        <v>7.7624999999999984</v>
      </c>
      <c r="I6049" s="929">
        <v>7.7624999999999984</v>
      </c>
      <c r="J6049" s="689">
        <f t="shared" si="95"/>
        <v>69.862499999999997</v>
      </c>
    </row>
    <row r="6050" spans="1:10" ht="12.75" customHeight="1" x14ac:dyDescent="0.2">
      <c r="A6050" s="681">
        <v>1241</v>
      </c>
      <c r="B6050" s="693" t="s">
        <v>8513</v>
      </c>
      <c r="C6050" s="672" t="s">
        <v>2494</v>
      </c>
      <c r="D6050" s="809" t="s">
        <v>8236</v>
      </c>
      <c r="E6050" s="674">
        <v>10</v>
      </c>
      <c r="F6050" s="675">
        <v>0.1</v>
      </c>
      <c r="G6050" s="676">
        <v>69.999967999999996</v>
      </c>
      <c r="H6050" s="929">
        <v>6.999996799999999</v>
      </c>
      <c r="I6050" s="929">
        <v>6.999996799999999</v>
      </c>
      <c r="J6050" s="689">
        <f t="shared" si="95"/>
        <v>62.999971199999997</v>
      </c>
    </row>
    <row r="6051" spans="1:10" ht="12.75" customHeight="1" x14ac:dyDescent="0.2">
      <c r="A6051" s="681">
        <v>1241</v>
      </c>
      <c r="B6051" s="693" t="s">
        <v>8513</v>
      </c>
      <c r="C6051" s="672" t="s">
        <v>2494</v>
      </c>
      <c r="D6051" s="809" t="s">
        <v>8236</v>
      </c>
      <c r="E6051" s="674">
        <v>10</v>
      </c>
      <c r="F6051" s="675">
        <v>0.1</v>
      </c>
      <c r="G6051" s="676">
        <v>69.999967999999996</v>
      </c>
      <c r="H6051" s="929">
        <v>6.999996799999999</v>
      </c>
      <c r="I6051" s="929">
        <v>6.999996799999999</v>
      </c>
      <c r="J6051" s="689">
        <f t="shared" si="95"/>
        <v>62.999971199999997</v>
      </c>
    </row>
    <row r="6052" spans="1:10" ht="12.75" customHeight="1" x14ac:dyDescent="0.2">
      <c r="A6052" s="681">
        <v>1241</v>
      </c>
      <c r="B6052" s="693" t="s">
        <v>8513</v>
      </c>
      <c r="C6052" s="672" t="s">
        <v>2494</v>
      </c>
      <c r="D6052" s="809" t="s">
        <v>8236</v>
      </c>
      <c r="E6052" s="674">
        <v>10</v>
      </c>
      <c r="F6052" s="675">
        <v>0.1</v>
      </c>
      <c r="G6052" s="676">
        <v>69.999967999999996</v>
      </c>
      <c r="H6052" s="929">
        <v>6.999996799999999</v>
      </c>
      <c r="I6052" s="929">
        <v>6.999996799999999</v>
      </c>
      <c r="J6052" s="689">
        <f t="shared" si="95"/>
        <v>62.999971199999997</v>
      </c>
    </row>
    <row r="6053" spans="1:10" ht="12.75" customHeight="1" x14ac:dyDescent="0.2">
      <c r="A6053" s="681">
        <v>1241</v>
      </c>
      <c r="B6053" s="693" t="s">
        <v>8513</v>
      </c>
      <c r="C6053" s="672" t="s">
        <v>2494</v>
      </c>
      <c r="D6053" s="809" t="s">
        <v>8236</v>
      </c>
      <c r="E6053" s="674">
        <v>10</v>
      </c>
      <c r="F6053" s="675">
        <v>0.1</v>
      </c>
      <c r="G6053" s="676">
        <v>69.999967999999996</v>
      </c>
      <c r="H6053" s="929">
        <v>6.999996799999999</v>
      </c>
      <c r="I6053" s="929">
        <v>6.999996799999999</v>
      </c>
      <c r="J6053" s="689">
        <f t="shared" si="95"/>
        <v>62.999971199999997</v>
      </c>
    </row>
    <row r="6054" spans="1:10" ht="12.75" customHeight="1" x14ac:dyDescent="0.2">
      <c r="A6054" s="681">
        <v>1241</v>
      </c>
      <c r="B6054" s="693" t="s">
        <v>8513</v>
      </c>
      <c r="C6054" s="672" t="s">
        <v>2494</v>
      </c>
      <c r="D6054" s="809" t="s">
        <v>8236</v>
      </c>
      <c r="E6054" s="674">
        <v>10</v>
      </c>
      <c r="F6054" s="675">
        <v>0.1</v>
      </c>
      <c r="G6054" s="676">
        <v>69.999967999999996</v>
      </c>
      <c r="H6054" s="929">
        <v>6.999996799999999</v>
      </c>
      <c r="I6054" s="929">
        <v>6.999996799999999</v>
      </c>
      <c r="J6054" s="689">
        <f t="shared" si="95"/>
        <v>62.999971199999997</v>
      </c>
    </row>
    <row r="6055" spans="1:10" ht="12.75" customHeight="1" x14ac:dyDescent="0.2">
      <c r="A6055" s="681">
        <v>1241</v>
      </c>
      <c r="B6055" s="693" t="s">
        <v>8513</v>
      </c>
      <c r="C6055" s="672" t="s">
        <v>2494</v>
      </c>
      <c r="D6055" s="809" t="s">
        <v>8236</v>
      </c>
      <c r="E6055" s="674">
        <v>10</v>
      </c>
      <c r="F6055" s="675">
        <v>0.1</v>
      </c>
      <c r="G6055" s="676">
        <v>69.999967999999996</v>
      </c>
      <c r="H6055" s="929">
        <v>6.999996799999999</v>
      </c>
      <c r="I6055" s="929">
        <v>6.999996799999999</v>
      </c>
      <c r="J6055" s="689">
        <f t="shared" si="95"/>
        <v>62.999971199999997</v>
      </c>
    </row>
    <row r="6056" spans="1:10" ht="12.75" customHeight="1" x14ac:dyDescent="0.2">
      <c r="A6056" s="681">
        <v>1241</v>
      </c>
      <c r="B6056" s="693" t="s">
        <v>8513</v>
      </c>
      <c r="C6056" s="672" t="s">
        <v>2494</v>
      </c>
      <c r="D6056" s="809" t="s">
        <v>8236</v>
      </c>
      <c r="E6056" s="674">
        <v>10</v>
      </c>
      <c r="F6056" s="675">
        <v>0.1</v>
      </c>
      <c r="G6056" s="676">
        <v>69.999967999999996</v>
      </c>
      <c r="H6056" s="929">
        <v>6.999996799999999</v>
      </c>
      <c r="I6056" s="929">
        <v>6.999996799999999</v>
      </c>
      <c r="J6056" s="689">
        <f t="shared" si="95"/>
        <v>62.999971199999997</v>
      </c>
    </row>
    <row r="6057" spans="1:10" ht="12.75" customHeight="1" x14ac:dyDescent="0.2">
      <c r="A6057" s="681">
        <v>1241</v>
      </c>
      <c r="B6057" s="693" t="s">
        <v>8513</v>
      </c>
      <c r="C6057" s="672" t="s">
        <v>2494</v>
      </c>
      <c r="D6057" s="809" t="s">
        <v>8236</v>
      </c>
      <c r="E6057" s="674">
        <v>10</v>
      </c>
      <c r="F6057" s="675">
        <v>0.1</v>
      </c>
      <c r="G6057" s="676">
        <v>69.999967999999996</v>
      </c>
      <c r="H6057" s="929">
        <v>6.999996799999999</v>
      </c>
      <c r="I6057" s="929">
        <v>6.999996799999999</v>
      </c>
      <c r="J6057" s="689">
        <f t="shared" si="95"/>
        <v>62.999971199999997</v>
      </c>
    </row>
    <row r="6058" spans="1:10" ht="12.75" customHeight="1" x14ac:dyDescent="0.2">
      <c r="A6058" s="681">
        <v>1241</v>
      </c>
      <c r="B6058" s="693" t="s">
        <v>8513</v>
      </c>
      <c r="C6058" s="672" t="s">
        <v>2494</v>
      </c>
      <c r="D6058" s="809" t="s">
        <v>8236</v>
      </c>
      <c r="E6058" s="674">
        <v>10</v>
      </c>
      <c r="F6058" s="675">
        <v>0.1</v>
      </c>
      <c r="G6058" s="676">
        <v>69.999967999999996</v>
      </c>
      <c r="H6058" s="929">
        <v>6.999996799999999</v>
      </c>
      <c r="I6058" s="929">
        <v>6.999996799999999</v>
      </c>
      <c r="J6058" s="689">
        <f t="shared" si="95"/>
        <v>62.999971199999997</v>
      </c>
    </row>
    <row r="6059" spans="1:10" ht="12.75" customHeight="1" x14ac:dyDescent="0.2">
      <c r="A6059" s="681">
        <v>1241</v>
      </c>
      <c r="B6059" s="693" t="s">
        <v>8513</v>
      </c>
      <c r="C6059" s="672" t="s">
        <v>2494</v>
      </c>
      <c r="D6059" s="809" t="s">
        <v>8236</v>
      </c>
      <c r="E6059" s="674">
        <v>10</v>
      </c>
      <c r="F6059" s="675">
        <v>0.1</v>
      </c>
      <c r="G6059" s="676">
        <v>69.999967999999996</v>
      </c>
      <c r="H6059" s="929">
        <v>6.999996799999999</v>
      </c>
      <c r="I6059" s="929">
        <v>6.999996799999999</v>
      </c>
      <c r="J6059" s="689">
        <f t="shared" si="95"/>
        <v>62.999971199999997</v>
      </c>
    </row>
    <row r="6060" spans="1:10" ht="12.75" customHeight="1" x14ac:dyDescent="0.2">
      <c r="A6060" s="681">
        <v>1241</v>
      </c>
      <c r="B6060" s="693" t="s">
        <v>8513</v>
      </c>
      <c r="C6060" s="672" t="s">
        <v>2494</v>
      </c>
      <c r="D6060" s="809" t="s">
        <v>8236</v>
      </c>
      <c r="E6060" s="674">
        <v>10</v>
      </c>
      <c r="F6060" s="675">
        <v>0.1</v>
      </c>
      <c r="G6060" s="676">
        <v>69.999967999999996</v>
      </c>
      <c r="H6060" s="929">
        <v>6.999996799999999</v>
      </c>
      <c r="I6060" s="929">
        <v>6.999996799999999</v>
      </c>
      <c r="J6060" s="689">
        <f t="shared" si="95"/>
        <v>62.999971199999997</v>
      </c>
    </row>
    <row r="6061" spans="1:10" ht="12.75" customHeight="1" x14ac:dyDescent="0.2">
      <c r="A6061" s="681">
        <v>1241</v>
      </c>
      <c r="B6061" s="693" t="s">
        <v>8513</v>
      </c>
      <c r="C6061" s="672" t="s">
        <v>2494</v>
      </c>
      <c r="D6061" s="809" t="s">
        <v>8236</v>
      </c>
      <c r="E6061" s="674">
        <v>10</v>
      </c>
      <c r="F6061" s="675">
        <v>0.1</v>
      </c>
      <c r="G6061" s="676">
        <v>69.999967999999996</v>
      </c>
      <c r="H6061" s="929">
        <v>6.999996799999999</v>
      </c>
      <c r="I6061" s="929">
        <v>6.999996799999999</v>
      </c>
      <c r="J6061" s="689">
        <f t="shared" si="95"/>
        <v>62.999971199999997</v>
      </c>
    </row>
    <row r="6062" spans="1:10" ht="12.75" customHeight="1" x14ac:dyDescent="0.2">
      <c r="A6062" s="681">
        <v>1241</v>
      </c>
      <c r="B6062" s="693" t="s">
        <v>8513</v>
      </c>
      <c r="C6062" s="672" t="s">
        <v>2494</v>
      </c>
      <c r="D6062" s="809" t="s">
        <v>8236</v>
      </c>
      <c r="E6062" s="674">
        <v>10</v>
      </c>
      <c r="F6062" s="675">
        <v>0.1</v>
      </c>
      <c r="G6062" s="676">
        <v>69.999967999999996</v>
      </c>
      <c r="H6062" s="929">
        <v>6.999996799999999</v>
      </c>
      <c r="I6062" s="929">
        <v>6.999996799999999</v>
      </c>
      <c r="J6062" s="689">
        <f t="shared" si="95"/>
        <v>62.999971199999997</v>
      </c>
    </row>
    <row r="6063" spans="1:10" ht="12.75" customHeight="1" x14ac:dyDescent="0.2">
      <c r="A6063" s="681">
        <v>1241</v>
      </c>
      <c r="B6063" s="693" t="s">
        <v>8513</v>
      </c>
      <c r="C6063" s="672" t="s">
        <v>2494</v>
      </c>
      <c r="D6063" s="809" t="s">
        <v>8236</v>
      </c>
      <c r="E6063" s="674">
        <v>10</v>
      </c>
      <c r="F6063" s="675">
        <v>0.1</v>
      </c>
      <c r="G6063" s="676">
        <v>69.999967999999996</v>
      </c>
      <c r="H6063" s="929">
        <v>6.999996799999999</v>
      </c>
      <c r="I6063" s="929">
        <v>6.999996799999999</v>
      </c>
      <c r="J6063" s="689">
        <f t="shared" si="95"/>
        <v>62.999971199999997</v>
      </c>
    </row>
    <row r="6064" spans="1:10" ht="12.75" customHeight="1" x14ac:dyDescent="0.2">
      <c r="A6064" s="681">
        <v>1241</v>
      </c>
      <c r="B6064" s="693" t="s">
        <v>8513</v>
      </c>
      <c r="C6064" s="672" t="s">
        <v>2494</v>
      </c>
      <c r="D6064" s="809" t="s">
        <v>8236</v>
      </c>
      <c r="E6064" s="674">
        <v>10</v>
      </c>
      <c r="F6064" s="675">
        <v>0.1</v>
      </c>
      <c r="G6064" s="676">
        <v>69.999967999999996</v>
      </c>
      <c r="H6064" s="929">
        <v>6.999996799999999</v>
      </c>
      <c r="I6064" s="929">
        <v>6.999996799999999</v>
      </c>
      <c r="J6064" s="689">
        <f t="shared" si="95"/>
        <v>62.999971199999997</v>
      </c>
    </row>
    <row r="6065" spans="1:10" ht="12.75" customHeight="1" x14ac:dyDescent="0.2">
      <c r="A6065" s="681">
        <v>1241</v>
      </c>
      <c r="B6065" s="693" t="s">
        <v>8513</v>
      </c>
      <c r="C6065" s="672" t="s">
        <v>2494</v>
      </c>
      <c r="D6065" s="809" t="s">
        <v>8236</v>
      </c>
      <c r="E6065" s="674">
        <v>10</v>
      </c>
      <c r="F6065" s="675">
        <v>0.1</v>
      </c>
      <c r="G6065" s="676">
        <v>69.999967999999996</v>
      </c>
      <c r="H6065" s="929">
        <v>6.999996799999999</v>
      </c>
      <c r="I6065" s="929">
        <v>6.999996799999999</v>
      </c>
      <c r="J6065" s="689">
        <f t="shared" si="95"/>
        <v>62.999971199999997</v>
      </c>
    </row>
    <row r="6066" spans="1:10" ht="12.75" customHeight="1" x14ac:dyDescent="0.2">
      <c r="A6066" s="681">
        <v>1241</v>
      </c>
      <c r="B6066" s="693" t="s">
        <v>8513</v>
      </c>
      <c r="C6066" s="672" t="s">
        <v>2494</v>
      </c>
      <c r="D6066" s="809" t="s">
        <v>8236</v>
      </c>
      <c r="E6066" s="674">
        <v>10</v>
      </c>
      <c r="F6066" s="675">
        <v>0.1</v>
      </c>
      <c r="G6066" s="676">
        <v>69.999967999999996</v>
      </c>
      <c r="H6066" s="929">
        <v>6.999996799999999</v>
      </c>
      <c r="I6066" s="929">
        <v>6.999996799999999</v>
      </c>
      <c r="J6066" s="689">
        <f t="shared" si="95"/>
        <v>62.999971199999997</v>
      </c>
    </row>
    <row r="6067" spans="1:10" ht="12.75" customHeight="1" x14ac:dyDescent="0.2">
      <c r="A6067" s="681">
        <v>1241</v>
      </c>
      <c r="B6067" s="693" t="s">
        <v>8513</v>
      </c>
      <c r="C6067" s="672" t="s">
        <v>2494</v>
      </c>
      <c r="D6067" s="809" t="s">
        <v>8236</v>
      </c>
      <c r="E6067" s="674">
        <v>10</v>
      </c>
      <c r="F6067" s="675">
        <v>0.1</v>
      </c>
      <c r="G6067" s="676">
        <v>69.999967999999996</v>
      </c>
      <c r="H6067" s="929">
        <v>6.999996799999999</v>
      </c>
      <c r="I6067" s="929">
        <v>6.999996799999999</v>
      </c>
      <c r="J6067" s="689">
        <f t="shared" si="95"/>
        <v>62.999971199999997</v>
      </c>
    </row>
    <row r="6068" spans="1:10" ht="12.75" customHeight="1" x14ac:dyDescent="0.2">
      <c r="A6068" s="681">
        <v>1241</v>
      </c>
      <c r="B6068" s="693" t="s">
        <v>8513</v>
      </c>
      <c r="C6068" s="672" t="s">
        <v>2494</v>
      </c>
      <c r="D6068" s="809" t="s">
        <v>8236</v>
      </c>
      <c r="E6068" s="674">
        <v>10</v>
      </c>
      <c r="F6068" s="675">
        <v>0.1</v>
      </c>
      <c r="G6068" s="676">
        <v>69.999967999999996</v>
      </c>
      <c r="H6068" s="929">
        <v>6.999996799999999</v>
      </c>
      <c r="I6068" s="929">
        <v>6.999996799999999</v>
      </c>
      <c r="J6068" s="689">
        <f t="shared" si="95"/>
        <v>62.999971199999997</v>
      </c>
    </row>
    <row r="6069" spans="1:10" ht="12.75" customHeight="1" x14ac:dyDescent="0.2">
      <c r="A6069" s="681">
        <v>1241</v>
      </c>
      <c r="B6069" s="693" t="s">
        <v>8513</v>
      </c>
      <c r="C6069" s="672" t="s">
        <v>2494</v>
      </c>
      <c r="D6069" s="809" t="s">
        <v>8236</v>
      </c>
      <c r="E6069" s="674">
        <v>10</v>
      </c>
      <c r="F6069" s="675">
        <v>0.1</v>
      </c>
      <c r="G6069" s="676">
        <v>69.999967999999996</v>
      </c>
      <c r="H6069" s="929">
        <v>6.999996799999999</v>
      </c>
      <c r="I6069" s="929">
        <v>6.999996799999999</v>
      </c>
      <c r="J6069" s="689">
        <f t="shared" si="95"/>
        <v>62.999971199999997</v>
      </c>
    </row>
    <row r="6070" spans="1:10" ht="12.75" customHeight="1" x14ac:dyDescent="0.2">
      <c r="A6070" s="681">
        <v>1241</v>
      </c>
      <c r="B6070" s="693" t="s">
        <v>8513</v>
      </c>
      <c r="C6070" s="672" t="s">
        <v>2494</v>
      </c>
      <c r="D6070" s="809" t="s">
        <v>8236</v>
      </c>
      <c r="E6070" s="674">
        <v>10</v>
      </c>
      <c r="F6070" s="675">
        <v>0.1</v>
      </c>
      <c r="G6070" s="676">
        <v>69.999967999999996</v>
      </c>
      <c r="H6070" s="929">
        <v>6.999996799999999</v>
      </c>
      <c r="I6070" s="929">
        <v>6.999996799999999</v>
      </c>
      <c r="J6070" s="689">
        <f t="shared" si="95"/>
        <v>62.999971199999997</v>
      </c>
    </row>
    <row r="6071" spans="1:10" ht="12.75" customHeight="1" x14ac:dyDescent="0.2">
      <c r="A6071" s="681">
        <v>1241</v>
      </c>
      <c r="B6071" s="693" t="s">
        <v>8513</v>
      </c>
      <c r="C6071" s="672" t="s">
        <v>2494</v>
      </c>
      <c r="D6071" s="673" t="s">
        <v>8236</v>
      </c>
      <c r="E6071" s="674">
        <v>10</v>
      </c>
      <c r="F6071" s="675">
        <v>0.1</v>
      </c>
      <c r="G6071" s="676">
        <v>69.999967999999996</v>
      </c>
      <c r="H6071" s="929">
        <v>6.999996799999999</v>
      </c>
      <c r="I6071" s="929">
        <v>6.999996799999999</v>
      </c>
      <c r="J6071" s="689">
        <f t="shared" si="95"/>
        <v>62.999971199999997</v>
      </c>
    </row>
    <row r="6072" spans="1:10" ht="12.75" customHeight="1" x14ac:dyDescent="0.2">
      <c r="A6072" s="681">
        <v>1241</v>
      </c>
      <c r="B6072" s="693" t="s">
        <v>8513</v>
      </c>
      <c r="C6072" s="672" t="s">
        <v>2494</v>
      </c>
      <c r="D6072" s="809" t="s">
        <v>8236</v>
      </c>
      <c r="E6072" s="674">
        <v>10</v>
      </c>
      <c r="F6072" s="675">
        <v>0.1</v>
      </c>
      <c r="G6072" s="676">
        <v>69.999967999999996</v>
      </c>
      <c r="H6072" s="929">
        <v>6.999996799999999</v>
      </c>
      <c r="I6072" s="929">
        <v>6.999996799999999</v>
      </c>
      <c r="J6072" s="689">
        <f t="shared" si="95"/>
        <v>62.999971199999997</v>
      </c>
    </row>
    <row r="6073" spans="1:10" ht="12.75" customHeight="1" x14ac:dyDescent="0.2">
      <c r="A6073" s="681">
        <v>1241</v>
      </c>
      <c r="B6073" s="693" t="s">
        <v>8513</v>
      </c>
      <c r="C6073" s="672" t="s">
        <v>2494</v>
      </c>
      <c r="D6073" s="809" t="s">
        <v>8236</v>
      </c>
      <c r="E6073" s="674">
        <v>10</v>
      </c>
      <c r="F6073" s="675">
        <v>0.1</v>
      </c>
      <c r="G6073" s="676">
        <v>69.999967999999996</v>
      </c>
      <c r="H6073" s="929">
        <v>6.999996799999999</v>
      </c>
      <c r="I6073" s="929">
        <v>6.999996799999999</v>
      </c>
      <c r="J6073" s="689">
        <f t="shared" si="95"/>
        <v>62.999971199999997</v>
      </c>
    </row>
    <row r="6074" spans="1:10" ht="12.75" customHeight="1" x14ac:dyDescent="0.2">
      <c r="A6074" s="681">
        <v>1241</v>
      </c>
      <c r="B6074" s="693" t="s">
        <v>8513</v>
      </c>
      <c r="C6074" s="672" t="s">
        <v>2494</v>
      </c>
      <c r="D6074" s="809" t="s">
        <v>8236</v>
      </c>
      <c r="E6074" s="674">
        <v>10</v>
      </c>
      <c r="F6074" s="675">
        <v>0.1</v>
      </c>
      <c r="G6074" s="676">
        <v>69.999967999999996</v>
      </c>
      <c r="H6074" s="929">
        <v>6.999996799999999</v>
      </c>
      <c r="I6074" s="929">
        <v>6.999996799999999</v>
      </c>
      <c r="J6074" s="689">
        <f t="shared" si="95"/>
        <v>62.999971199999997</v>
      </c>
    </row>
    <row r="6075" spans="1:10" ht="12.75" customHeight="1" x14ac:dyDescent="0.2">
      <c r="A6075" s="681">
        <v>1241</v>
      </c>
      <c r="B6075" s="693" t="s">
        <v>8513</v>
      </c>
      <c r="C6075" s="672" t="s">
        <v>2494</v>
      </c>
      <c r="D6075" s="809" t="s">
        <v>8236</v>
      </c>
      <c r="E6075" s="674">
        <v>10</v>
      </c>
      <c r="F6075" s="675">
        <v>0.1</v>
      </c>
      <c r="G6075" s="676">
        <v>69.999967999999996</v>
      </c>
      <c r="H6075" s="929">
        <v>6.999996799999999</v>
      </c>
      <c r="I6075" s="929">
        <v>6.999996799999999</v>
      </c>
      <c r="J6075" s="689">
        <f t="shared" si="95"/>
        <v>62.999971199999997</v>
      </c>
    </row>
    <row r="6076" spans="1:10" ht="12.75" customHeight="1" x14ac:dyDescent="0.2">
      <c r="A6076" s="681">
        <v>1241</v>
      </c>
      <c r="B6076" s="693" t="s">
        <v>8513</v>
      </c>
      <c r="C6076" s="672" t="s">
        <v>2494</v>
      </c>
      <c r="D6076" s="809" t="s">
        <v>8236</v>
      </c>
      <c r="E6076" s="674">
        <v>10</v>
      </c>
      <c r="F6076" s="675">
        <v>0.1</v>
      </c>
      <c r="G6076" s="676">
        <v>69.999967999999996</v>
      </c>
      <c r="H6076" s="929">
        <v>6.999996799999999</v>
      </c>
      <c r="I6076" s="929">
        <v>6.999996799999999</v>
      </c>
      <c r="J6076" s="689">
        <f t="shared" si="95"/>
        <v>62.999971199999997</v>
      </c>
    </row>
    <row r="6077" spans="1:10" ht="12.75" customHeight="1" x14ac:dyDescent="0.2">
      <c r="A6077" s="681">
        <v>1241</v>
      </c>
      <c r="B6077" s="693" t="s">
        <v>8513</v>
      </c>
      <c r="C6077" s="672" t="s">
        <v>2494</v>
      </c>
      <c r="D6077" s="809" t="s">
        <v>8236</v>
      </c>
      <c r="E6077" s="674">
        <v>10</v>
      </c>
      <c r="F6077" s="675">
        <v>0.1</v>
      </c>
      <c r="G6077" s="676">
        <v>69.999967999999996</v>
      </c>
      <c r="H6077" s="929">
        <v>6.999996799999999</v>
      </c>
      <c r="I6077" s="929">
        <v>6.999996799999999</v>
      </c>
      <c r="J6077" s="689">
        <f t="shared" si="95"/>
        <v>62.999971199999997</v>
      </c>
    </row>
    <row r="6078" spans="1:10" ht="12.75" customHeight="1" x14ac:dyDescent="0.2">
      <c r="A6078" s="681">
        <v>1241</v>
      </c>
      <c r="B6078" s="693" t="s">
        <v>8513</v>
      </c>
      <c r="C6078" s="672" t="s">
        <v>2494</v>
      </c>
      <c r="D6078" s="809" t="s">
        <v>8236</v>
      </c>
      <c r="E6078" s="674">
        <v>10</v>
      </c>
      <c r="F6078" s="675">
        <v>0.1</v>
      </c>
      <c r="G6078" s="676">
        <v>69.999967999999996</v>
      </c>
      <c r="H6078" s="929">
        <v>6.999996799999999</v>
      </c>
      <c r="I6078" s="929">
        <v>6.999996799999999</v>
      </c>
      <c r="J6078" s="689">
        <f t="shared" si="95"/>
        <v>62.999971199999997</v>
      </c>
    </row>
    <row r="6079" spans="1:10" ht="12.75" customHeight="1" x14ac:dyDescent="0.2">
      <c r="A6079" s="681">
        <v>1241</v>
      </c>
      <c r="B6079" s="693" t="s">
        <v>8513</v>
      </c>
      <c r="C6079" s="672" t="s">
        <v>2494</v>
      </c>
      <c r="D6079" s="809" t="s">
        <v>8236</v>
      </c>
      <c r="E6079" s="674">
        <v>10</v>
      </c>
      <c r="F6079" s="675">
        <v>0.1</v>
      </c>
      <c r="G6079" s="676">
        <v>69.999967999999996</v>
      </c>
      <c r="H6079" s="929">
        <v>6.999996799999999</v>
      </c>
      <c r="I6079" s="929">
        <v>6.999996799999999</v>
      </c>
      <c r="J6079" s="689">
        <f t="shared" si="95"/>
        <v>62.999971199999997</v>
      </c>
    </row>
    <row r="6080" spans="1:10" ht="12.75" customHeight="1" x14ac:dyDescent="0.2">
      <c r="A6080" s="681"/>
      <c r="B6080" s="693"/>
      <c r="C6080" s="672"/>
      <c r="D6080" s="809"/>
      <c r="E6080" s="674"/>
      <c r="F6080" s="675"/>
      <c r="G6080" s="676"/>
      <c r="H6080" s="929"/>
      <c r="I6080" s="929"/>
      <c r="J6080" s="689">
        <f t="shared" ref="J6080:J6128" si="96">G6080-I6080</f>
        <v>0</v>
      </c>
    </row>
    <row r="6081" spans="1:10" ht="12.75" customHeight="1" x14ac:dyDescent="0.2">
      <c r="A6081" s="681">
        <v>1241</v>
      </c>
      <c r="B6081" s="693" t="s">
        <v>8435</v>
      </c>
      <c r="C6081" s="672" t="s">
        <v>8374</v>
      </c>
      <c r="D6081" s="809" t="s">
        <v>8236</v>
      </c>
      <c r="E6081" s="674"/>
      <c r="F6081" s="675"/>
      <c r="G6081" s="676">
        <v>1</v>
      </c>
      <c r="H6081" s="929">
        <v>0</v>
      </c>
      <c r="I6081" s="929">
        <v>0</v>
      </c>
      <c r="J6081" s="689">
        <f t="shared" si="96"/>
        <v>1</v>
      </c>
    </row>
    <row r="6082" spans="1:10" ht="12.75" customHeight="1" x14ac:dyDescent="0.2">
      <c r="A6082" s="681">
        <v>1241</v>
      </c>
      <c r="B6082" s="693" t="s">
        <v>8436</v>
      </c>
      <c r="C6082" s="672" t="s">
        <v>8375</v>
      </c>
      <c r="D6082" s="809" t="s">
        <v>8236</v>
      </c>
      <c r="E6082" s="674"/>
      <c r="F6082" s="675"/>
      <c r="G6082" s="676">
        <v>1</v>
      </c>
      <c r="H6082" s="929">
        <v>0</v>
      </c>
      <c r="I6082" s="929">
        <v>0</v>
      </c>
      <c r="J6082" s="689">
        <f t="shared" si="96"/>
        <v>1</v>
      </c>
    </row>
    <row r="6083" spans="1:10" ht="12.75" customHeight="1" x14ac:dyDescent="0.2">
      <c r="A6083" s="681">
        <v>1241</v>
      </c>
      <c r="B6083" s="693" t="s">
        <v>8437</v>
      </c>
      <c r="C6083" s="672" t="s">
        <v>8376</v>
      </c>
      <c r="D6083" s="809" t="s">
        <v>8236</v>
      </c>
      <c r="E6083" s="674"/>
      <c r="F6083" s="675"/>
      <c r="G6083" s="676">
        <v>1</v>
      </c>
      <c r="H6083" s="929">
        <v>0</v>
      </c>
      <c r="I6083" s="929">
        <v>0</v>
      </c>
      <c r="J6083" s="689">
        <f t="shared" si="96"/>
        <v>1</v>
      </c>
    </row>
    <row r="6084" spans="1:10" ht="12.75" customHeight="1" x14ac:dyDescent="0.2">
      <c r="A6084" s="681">
        <v>1241</v>
      </c>
      <c r="B6084" s="693" t="s">
        <v>8438</v>
      </c>
      <c r="C6084" s="672" t="s">
        <v>8377</v>
      </c>
      <c r="D6084" s="809" t="s">
        <v>8236</v>
      </c>
      <c r="E6084" s="674"/>
      <c r="F6084" s="675"/>
      <c r="G6084" s="676">
        <v>1</v>
      </c>
      <c r="H6084" s="929">
        <v>0</v>
      </c>
      <c r="I6084" s="929">
        <v>0</v>
      </c>
      <c r="J6084" s="689">
        <f t="shared" si="96"/>
        <v>1</v>
      </c>
    </row>
    <row r="6085" spans="1:10" ht="12.75" customHeight="1" x14ac:dyDescent="0.2">
      <c r="A6085" s="681">
        <v>1241</v>
      </c>
      <c r="B6085" s="693" t="s">
        <v>8439</v>
      </c>
      <c r="C6085" s="672" t="s">
        <v>8378</v>
      </c>
      <c r="D6085" s="809" t="s">
        <v>8236</v>
      </c>
      <c r="E6085" s="674"/>
      <c r="F6085" s="675"/>
      <c r="G6085" s="676">
        <v>1</v>
      </c>
      <c r="H6085" s="929">
        <v>0</v>
      </c>
      <c r="I6085" s="929">
        <v>0</v>
      </c>
      <c r="J6085" s="689">
        <f t="shared" si="96"/>
        <v>1</v>
      </c>
    </row>
    <row r="6086" spans="1:10" ht="12.75" customHeight="1" x14ac:dyDescent="0.2">
      <c r="A6086" s="681">
        <v>1241</v>
      </c>
      <c r="B6086" s="693" t="s">
        <v>8440</v>
      </c>
      <c r="C6086" s="672" t="s">
        <v>8379</v>
      </c>
      <c r="D6086" s="809" t="s">
        <v>8236</v>
      </c>
      <c r="E6086" s="674"/>
      <c r="F6086" s="675"/>
      <c r="G6086" s="676">
        <v>1</v>
      </c>
      <c r="H6086" s="929">
        <v>0</v>
      </c>
      <c r="I6086" s="929">
        <v>0</v>
      </c>
      <c r="J6086" s="689">
        <f t="shared" si="96"/>
        <v>1</v>
      </c>
    </row>
    <row r="6087" spans="1:10" ht="12.75" customHeight="1" x14ac:dyDescent="0.2">
      <c r="A6087" s="681">
        <v>1241</v>
      </c>
      <c r="B6087" s="693" t="s">
        <v>8441</v>
      </c>
      <c r="C6087" s="672" t="s">
        <v>8380</v>
      </c>
      <c r="D6087" s="809" t="s">
        <v>8236</v>
      </c>
      <c r="E6087" s="674"/>
      <c r="F6087" s="675"/>
      <c r="G6087" s="676">
        <v>1</v>
      </c>
      <c r="H6087" s="929">
        <v>0</v>
      </c>
      <c r="I6087" s="929">
        <v>0</v>
      </c>
      <c r="J6087" s="689">
        <f t="shared" si="96"/>
        <v>1</v>
      </c>
    </row>
    <row r="6088" spans="1:10" ht="12.75" customHeight="1" x14ac:dyDescent="0.2">
      <c r="A6088" s="681">
        <v>1241</v>
      </c>
      <c r="B6088" s="693" t="s">
        <v>8442</v>
      </c>
      <c r="C6088" s="672" t="s">
        <v>8381</v>
      </c>
      <c r="D6088" s="809" t="s">
        <v>8236</v>
      </c>
      <c r="E6088" s="674"/>
      <c r="F6088" s="675"/>
      <c r="G6088" s="676">
        <v>1</v>
      </c>
      <c r="H6088" s="929">
        <v>0</v>
      </c>
      <c r="I6088" s="929">
        <v>0</v>
      </c>
      <c r="J6088" s="689">
        <f t="shared" si="96"/>
        <v>1</v>
      </c>
    </row>
    <row r="6089" spans="1:10" ht="12.75" customHeight="1" x14ac:dyDescent="0.2">
      <c r="A6089" s="681">
        <v>1241</v>
      </c>
      <c r="B6089" s="693" t="s">
        <v>8443</v>
      </c>
      <c r="C6089" s="672" t="s">
        <v>8382</v>
      </c>
      <c r="D6089" s="809" t="s">
        <v>8236</v>
      </c>
      <c r="E6089" s="674"/>
      <c r="F6089" s="675"/>
      <c r="G6089" s="676">
        <v>1</v>
      </c>
      <c r="H6089" s="929">
        <v>0</v>
      </c>
      <c r="I6089" s="929">
        <v>0</v>
      </c>
      <c r="J6089" s="689">
        <f t="shared" si="96"/>
        <v>1</v>
      </c>
    </row>
    <row r="6090" spans="1:10" ht="12.75" customHeight="1" x14ac:dyDescent="0.2">
      <c r="A6090" s="681">
        <v>1241</v>
      </c>
      <c r="B6090" s="693" t="s">
        <v>8444</v>
      </c>
      <c r="C6090" s="672" t="s">
        <v>8383</v>
      </c>
      <c r="D6090" s="809" t="s">
        <v>8236</v>
      </c>
      <c r="E6090" s="674"/>
      <c r="F6090" s="675"/>
      <c r="G6090" s="676">
        <v>1</v>
      </c>
      <c r="H6090" s="929">
        <v>0</v>
      </c>
      <c r="I6090" s="929">
        <v>0</v>
      </c>
      <c r="J6090" s="689">
        <f t="shared" si="96"/>
        <v>1</v>
      </c>
    </row>
    <row r="6091" spans="1:10" ht="12.75" customHeight="1" x14ac:dyDescent="0.2">
      <c r="A6091" s="681">
        <v>1241</v>
      </c>
      <c r="B6091" s="693" t="s">
        <v>8446</v>
      </c>
      <c r="C6091" s="672" t="s">
        <v>8385</v>
      </c>
      <c r="D6091" s="809" t="s">
        <v>8236</v>
      </c>
      <c r="E6091" s="674"/>
      <c r="F6091" s="675"/>
      <c r="G6091" s="676">
        <v>1</v>
      </c>
      <c r="H6091" s="929">
        <v>0</v>
      </c>
      <c r="I6091" s="929">
        <v>0</v>
      </c>
      <c r="J6091" s="689">
        <f t="shared" si="96"/>
        <v>1</v>
      </c>
    </row>
    <row r="6092" spans="1:10" ht="12.75" customHeight="1" x14ac:dyDescent="0.2">
      <c r="A6092" s="681">
        <v>1241</v>
      </c>
      <c r="B6092" s="693" t="s">
        <v>8448</v>
      </c>
      <c r="C6092" s="672" t="s">
        <v>8387</v>
      </c>
      <c r="D6092" s="809" t="s">
        <v>8236</v>
      </c>
      <c r="E6092" s="674"/>
      <c r="F6092" s="675"/>
      <c r="G6092" s="676">
        <v>1</v>
      </c>
      <c r="H6092" s="929">
        <v>0</v>
      </c>
      <c r="I6092" s="929">
        <v>0</v>
      </c>
      <c r="J6092" s="689">
        <f t="shared" si="96"/>
        <v>1</v>
      </c>
    </row>
    <row r="6093" spans="1:10" ht="12.75" customHeight="1" x14ac:dyDescent="0.2">
      <c r="A6093" s="681">
        <v>1241</v>
      </c>
      <c r="B6093" s="693" t="s">
        <v>8449</v>
      </c>
      <c r="C6093" s="672" t="s">
        <v>8388</v>
      </c>
      <c r="D6093" s="809" t="s">
        <v>8236</v>
      </c>
      <c r="E6093" s="674"/>
      <c r="F6093" s="675"/>
      <c r="G6093" s="676">
        <v>1</v>
      </c>
      <c r="H6093" s="929">
        <v>0</v>
      </c>
      <c r="I6093" s="929">
        <v>0</v>
      </c>
      <c r="J6093" s="689">
        <f t="shared" si="96"/>
        <v>1</v>
      </c>
    </row>
    <row r="6094" spans="1:10" ht="12.75" customHeight="1" x14ac:dyDescent="0.2">
      <c r="A6094" s="681">
        <v>1241</v>
      </c>
      <c r="B6094" s="693" t="s">
        <v>8450</v>
      </c>
      <c r="C6094" s="672" t="s">
        <v>8389</v>
      </c>
      <c r="D6094" s="809" t="s">
        <v>8236</v>
      </c>
      <c r="E6094" s="674"/>
      <c r="F6094" s="675"/>
      <c r="G6094" s="676">
        <v>1</v>
      </c>
      <c r="H6094" s="929">
        <v>0</v>
      </c>
      <c r="I6094" s="929">
        <v>0</v>
      </c>
      <c r="J6094" s="689">
        <f t="shared" si="96"/>
        <v>1</v>
      </c>
    </row>
    <row r="6095" spans="1:10" ht="12.75" customHeight="1" x14ac:dyDescent="0.2">
      <c r="A6095" s="681">
        <v>1241</v>
      </c>
      <c r="B6095" s="693" t="s">
        <v>8451</v>
      </c>
      <c r="C6095" s="672" t="s">
        <v>8390</v>
      </c>
      <c r="D6095" s="809" t="s">
        <v>8236</v>
      </c>
      <c r="E6095" s="674"/>
      <c r="F6095" s="675"/>
      <c r="G6095" s="676">
        <v>1</v>
      </c>
      <c r="H6095" s="929">
        <v>0</v>
      </c>
      <c r="I6095" s="929">
        <v>0</v>
      </c>
      <c r="J6095" s="689">
        <f t="shared" si="96"/>
        <v>1</v>
      </c>
    </row>
    <row r="6096" spans="1:10" ht="12.75" customHeight="1" x14ac:dyDescent="0.2">
      <c r="A6096" s="681">
        <v>1241</v>
      </c>
      <c r="B6096" s="693" t="s">
        <v>8453</v>
      </c>
      <c r="C6096" s="672" t="s">
        <v>8392</v>
      </c>
      <c r="D6096" s="809" t="s">
        <v>8236</v>
      </c>
      <c r="E6096" s="674"/>
      <c r="F6096" s="675"/>
      <c r="G6096" s="676">
        <v>1</v>
      </c>
      <c r="H6096" s="929">
        <v>0</v>
      </c>
      <c r="I6096" s="929">
        <v>0</v>
      </c>
      <c r="J6096" s="689">
        <f t="shared" si="96"/>
        <v>1</v>
      </c>
    </row>
    <row r="6097" spans="1:10" ht="12.75" customHeight="1" x14ac:dyDescent="0.2">
      <c r="A6097" s="681">
        <v>1241</v>
      </c>
      <c r="B6097" s="693" t="s">
        <v>8453</v>
      </c>
      <c r="C6097" s="672" t="s">
        <v>8392</v>
      </c>
      <c r="D6097" s="809" t="s">
        <v>8236</v>
      </c>
      <c r="E6097" s="674"/>
      <c r="F6097" s="675"/>
      <c r="G6097" s="676">
        <v>1</v>
      </c>
      <c r="H6097" s="929">
        <v>0</v>
      </c>
      <c r="I6097" s="929">
        <v>0</v>
      </c>
      <c r="J6097" s="689">
        <f t="shared" si="96"/>
        <v>1</v>
      </c>
    </row>
    <row r="6098" spans="1:10" ht="12.75" customHeight="1" x14ac:dyDescent="0.2">
      <c r="A6098" s="681">
        <v>1241</v>
      </c>
      <c r="B6098" s="693" t="s">
        <v>8454</v>
      </c>
      <c r="C6098" s="672" t="s">
        <v>8393</v>
      </c>
      <c r="D6098" s="809" t="s">
        <v>8236</v>
      </c>
      <c r="E6098" s="674"/>
      <c r="F6098" s="675"/>
      <c r="G6098" s="676">
        <v>1</v>
      </c>
      <c r="H6098" s="929">
        <v>0</v>
      </c>
      <c r="I6098" s="929">
        <v>0</v>
      </c>
      <c r="J6098" s="689">
        <f t="shared" si="96"/>
        <v>1</v>
      </c>
    </row>
    <row r="6099" spans="1:10" ht="12.75" customHeight="1" x14ac:dyDescent="0.2">
      <c r="A6099" s="681">
        <v>1241</v>
      </c>
      <c r="B6099" s="693" t="s">
        <v>8456</v>
      </c>
      <c r="C6099" s="672" t="s">
        <v>8395</v>
      </c>
      <c r="D6099" s="809" t="s">
        <v>8236</v>
      </c>
      <c r="E6099" s="674"/>
      <c r="F6099" s="675"/>
      <c r="G6099" s="676">
        <v>1</v>
      </c>
      <c r="H6099" s="929">
        <v>0</v>
      </c>
      <c r="I6099" s="929">
        <v>0</v>
      </c>
      <c r="J6099" s="689">
        <f t="shared" si="96"/>
        <v>1</v>
      </c>
    </row>
    <row r="6100" spans="1:10" ht="12.75" customHeight="1" x14ac:dyDescent="0.2">
      <c r="A6100" s="681">
        <v>1241</v>
      </c>
      <c r="B6100" s="693" t="s">
        <v>8457</v>
      </c>
      <c r="C6100" s="672" t="s">
        <v>8396</v>
      </c>
      <c r="D6100" s="809" t="s">
        <v>8236</v>
      </c>
      <c r="E6100" s="674"/>
      <c r="F6100" s="675"/>
      <c r="G6100" s="676">
        <v>1</v>
      </c>
      <c r="H6100" s="929">
        <v>0</v>
      </c>
      <c r="I6100" s="929">
        <v>0</v>
      </c>
      <c r="J6100" s="689">
        <f t="shared" si="96"/>
        <v>1</v>
      </c>
    </row>
    <row r="6101" spans="1:10" ht="12.75" customHeight="1" x14ac:dyDescent="0.2">
      <c r="A6101" s="681">
        <v>1241</v>
      </c>
      <c r="B6101" s="693" t="s">
        <v>8458</v>
      </c>
      <c r="C6101" s="672" t="s">
        <v>8397</v>
      </c>
      <c r="D6101" s="809" t="s">
        <v>8236</v>
      </c>
      <c r="E6101" s="674"/>
      <c r="F6101" s="675"/>
      <c r="G6101" s="676">
        <v>1</v>
      </c>
      <c r="H6101" s="929">
        <v>0</v>
      </c>
      <c r="I6101" s="929">
        <v>0</v>
      </c>
      <c r="J6101" s="689">
        <f t="shared" si="96"/>
        <v>1</v>
      </c>
    </row>
    <row r="6102" spans="1:10" ht="12.75" customHeight="1" x14ac:dyDescent="0.2">
      <c r="A6102" s="681">
        <v>1241</v>
      </c>
      <c r="B6102" s="693" t="s">
        <v>8459</v>
      </c>
      <c r="C6102" s="672" t="s">
        <v>8397</v>
      </c>
      <c r="D6102" s="809" t="s">
        <v>8236</v>
      </c>
      <c r="E6102" s="674"/>
      <c r="F6102" s="675"/>
      <c r="G6102" s="676">
        <v>1</v>
      </c>
      <c r="H6102" s="929">
        <v>0</v>
      </c>
      <c r="I6102" s="929">
        <v>0</v>
      </c>
      <c r="J6102" s="689">
        <f t="shared" si="96"/>
        <v>1</v>
      </c>
    </row>
    <row r="6103" spans="1:10" ht="12.75" customHeight="1" x14ac:dyDescent="0.2">
      <c r="A6103" s="681">
        <v>1241</v>
      </c>
      <c r="B6103" s="693" t="s">
        <v>8460</v>
      </c>
      <c r="C6103" s="672" t="s">
        <v>8397</v>
      </c>
      <c r="D6103" s="809" t="s">
        <v>8236</v>
      </c>
      <c r="E6103" s="674"/>
      <c r="F6103" s="675"/>
      <c r="G6103" s="676">
        <v>1</v>
      </c>
      <c r="H6103" s="929">
        <v>0</v>
      </c>
      <c r="I6103" s="929">
        <v>0</v>
      </c>
      <c r="J6103" s="689">
        <f t="shared" si="96"/>
        <v>1</v>
      </c>
    </row>
    <row r="6104" spans="1:10" ht="12.75" customHeight="1" x14ac:dyDescent="0.2">
      <c r="A6104" s="681">
        <v>1241</v>
      </c>
      <c r="B6104" s="693" t="s">
        <v>8461</v>
      </c>
      <c r="C6104" s="672" t="s">
        <v>8397</v>
      </c>
      <c r="D6104" s="809" t="s">
        <v>8236</v>
      </c>
      <c r="E6104" s="674"/>
      <c r="F6104" s="675"/>
      <c r="G6104" s="676">
        <v>1</v>
      </c>
      <c r="H6104" s="929">
        <v>0</v>
      </c>
      <c r="I6104" s="929">
        <v>0</v>
      </c>
      <c r="J6104" s="689">
        <f t="shared" si="96"/>
        <v>1</v>
      </c>
    </row>
    <row r="6105" spans="1:10" ht="12.75" customHeight="1" x14ac:dyDescent="0.2">
      <c r="A6105" s="681">
        <v>1241</v>
      </c>
      <c r="B6105" s="693" t="s">
        <v>8462</v>
      </c>
      <c r="C6105" s="672" t="s">
        <v>8398</v>
      </c>
      <c r="D6105" s="809" t="s">
        <v>8236</v>
      </c>
      <c r="E6105" s="674"/>
      <c r="F6105" s="675"/>
      <c r="G6105" s="676">
        <v>1</v>
      </c>
      <c r="H6105" s="929">
        <v>0</v>
      </c>
      <c r="I6105" s="929">
        <v>0</v>
      </c>
      <c r="J6105" s="689">
        <f t="shared" si="96"/>
        <v>1</v>
      </c>
    </row>
    <row r="6106" spans="1:10" ht="12.75" customHeight="1" x14ac:dyDescent="0.2">
      <c r="A6106" s="681">
        <v>1241</v>
      </c>
      <c r="B6106" s="693" t="s">
        <v>8463</v>
      </c>
      <c r="C6106" s="672" t="s">
        <v>8398</v>
      </c>
      <c r="D6106" s="809" t="s">
        <v>8236</v>
      </c>
      <c r="E6106" s="674"/>
      <c r="F6106" s="675"/>
      <c r="G6106" s="676">
        <v>1</v>
      </c>
      <c r="H6106" s="929">
        <v>0</v>
      </c>
      <c r="I6106" s="929">
        <v>0</v>
      </c>
      <c r="J6106" s="689">
        <f t="shared" si="96"/>
        <v>1</v>
      </c>
    </row>
    <row r="6107" spans="1:10" ht="12.75" customHeight="1" x14ac:dyDescent="0.2">
      <c r="A6107" s="681">
        <v>1241</v>
      </c>
      <c r="B6107" s="693" t="s">
        <v>8464</v>
      </c>
      <c r="C6107" s="672" t="s">
        <v>8398</v>
      </c>
      <c r="D6107" s="809" t="s">
        <v>8236</v>
      </c>
      <c r="E6107" s="674"/>
      <c r="F6107" s="675"/>
      <c r="G6107" s="676">
        <v>1</v>
      </c>
      <c r="H6107" s="929">
        <v>0</v>
      </c>
      <c r="I6107" s="929">
        <v>0</v>
      </c>
      <c r="J6107" s="689">
        <f t="shared" si="96"/>
        <v>1</v>
      </c>
    </row>
    <row r="6108" spans="1:10" ht="12.75" customHeight="1" x14ac:dyDescent="0.2">
      <c r="A6108" s="681">
        <v>1241</v>
      </c>
      <c r="B6108" s="693" t="s">
        <v>8465</v>
      </c>
      <c r="C6108" s="672" t="s">
        <v>8398</v>
      </c>
      <c r="D6108" s="809" t="s">
        <v>8236</v>
      </c>
      <c r="E6108" s="674"/>
      <c r="F6108" s="675"/>
      <c r="G6108" s="676">
        <v>1</v>
      </c>
      <c r="H6108" s="929">
        <v>0</v>
      </c>
      <c r="I6108" s="929">
        <v>0</v>
      </c>
      <c r="J6108" s="689">
        <f t="shared" si="96"/>
        <v>1</v>
      </c>
    </row>
    <row r="6109" spans="1:10" ht="12.75" customHeight="1" x14ac:dyDescent="0.2">
      <c r="A6109" s="681">
        <v>1241</v>
      </c>
      <c r="B6109" s="693" t="s">
        <v>8466</v>
      </c>
      <c r="C6109" s="672" t="s">
        <v>8399</v>
      </c>
      <c r="D6109" s="809" t="s">
        <v>8236</v>
      </c>
      <c r="E6109" s="674"/>
      <c r="F6109" s="675"/>
      <c r="G6109" s="676">
        <v>1</v>
      </c>
      <c r="H6109" s="929">
        <v>0</v>
      </c>
      <c r="I6109" s="929">
        <v>0</v>
      </c>
      <c r="J6109" s="689">
        <f t="shared" si="96"/>
        <v>1</v>
      </c>
    </row>
    <row r="6110" spans="1:10" ht="12.75" customHeight="1" x14ac:dyDescent="0.2">
      <c r="A6110" s="681">
        <v>1241</v>
      </c>
      <c r="B6110" s="693" t="s">
        <v>8467</v>
      </c>
      <c r="C6110" s="672" t="s">
        <v>8400</v>
      </c>
      <c r="D6110" s="809" t="s">
        <v>8236</v>
      </c>
      <c r="E6110" s="674"/>
      <c r="F6110" s="675"/>
      <c r="G6110" s="676">
        <v>1</v>
      </c>
      <c r="H6110" s="929">
        <v>0</v>
      </c>
      <c r="I6110" s="929">
        <v>0</v>
      </c>
      <c r="J6110" s="689">
        <f t="shared" si="96"/>
        <v>1</v>
      </c>
    </row>
    <row r="6111" spans="1:10" ht="12.75" customHeight="1" x14ac:dyDescent="0.2">
      <c r="A6111" s="681">
        <v>1241</v>
      </c>
      <c r="B6111" s="693" t="s">
        <v>8468</v>
      </c>
      <c r="C6111" s="672" t="s">
        <v>8401</v>
      </c>
      <c r="D6111" s="809" t="s">
        <v>8236</v>
      </c>
      <c r="E6111" s="674"/>
      <c r="F6111" s="675"/>
      <c r="G6111" s="676">
        <v>1</v>
      </c>
      <c r="H6111" s="929">
        <v>0</v>
      </c>
      <c r="I6111" s="929">
        <v>0</v>
      </c>
      <c r="J6111" s="689">
        <f t="shared" si="96"/>
        <v>1</v>
      </c>
    </row>
    <row r="6112" spans="1:10" ht="12.75" customHeight="1" x14ac:dyDescent="0.2">
      <c r="A6112" s="681">
        <v>1241</v>
      </c>
      <c r="B6112" s="693" t="s">
        <v>8472</v>
      </c>
      <c r="C6112" s="672" t="s">
        <v>889</v>
      </c>
      <c r="D6112" s="809" t="s">
        <v>8236</v>
      </c>
      <c r="E6112" s="674"/>
      <c r="F6112" s="675"/>
      <c r="G6112" s="676">
        <v>1</v>
      </c>
      <c r="H6112" s="929">
        <v>0</v>
      </c>
      <c r="I6112" s="929">
        <v>0</v>
      </c>
      <c r="J6112" s="689">
        <f t="shared" si="96"/>
        <v>1</v>
      </c>
    </row>
    <row r="6113" spans="1:10" ht="12.75" customHeight="1" x14ac:dyDescent="0.2">
      <c r="A6113" s="681">
        <v>1241</v>
      </c>
      <c r="B6113" s="693" t="s">
        <v>8473</v>
      </c>
      <c r="C6113" s="672" t="s">
        <v>889</v>
      </c>
      <c r="D6113" s="809" t="s">
        <v>8236</v>
      </c>
      <c r="E6113" s="674"/>
      <c r="F6113" s="675"/>
      <c r="G6113" s="676">
        <v>1</v>
      </c>
      <c r="H6113" s="929">
        <v>0</v>
      </c>
      <c r="I6113" s="929">
        <v>0</v>
      </c>
      <c r="J6113" s="689">
        <f t="shared" si="96"/>
        <v>1</v>
      </c>
    </row>
    <row r="6114" spans="1:10" ht="12.75" customHeight="1" x14ac:dyDescent="0.2">
      <c r="A6114" s="681">
        <v>1241</v>
      </c>
      <c r="B6114" s="693" t="s">
        <v>8474</v>
      </c>
      <c r="C6114" s="672" t="s">
        <v>889</v>
      </c>
      <c r="D6114" s="809" t="s">
        <v>8236</v>
      </c>
      <c r="E6114" s="674"/>
      <c r="F6114" s="675"/>
      <c r="G6114" s="676">
        <v>1</v>
      </c>
      <c r="H6114" s="929">
        <v>0</v>
      </c>
      <c r="I6114" s="929">
        <v>0</v>
      </c>
      <c r="J6114" s="689">
        <f t="shared" si="96"/>
        <v>1</v>
      </c>
    </row>
    <row r="6115" spans="1:10" ht="12.75" customHeight="1" x14ac:dyDescent="0.2">
      <c r="A6115" s="681">
        <v>1241</v>
      </c>
      <c r="B6115" s="693" t="s">
        <v>8475</v>
      </c>
      <c r="C6115" s="672" t="s">
        <v>889</v>
      </c>
      <c r="D6115" s="809" t="s">
        <v>8236</v>
      </c>
      <c r="E6115" s="674"/>
      <c r="F6115" s="675"/>
      <c r="G6115" s="676">
        <v>1</v>
      </c>
      <c r="H6115" s="929">
        <v>0</v>
      </c>
      <c r="I6115" s="929">
        <v>0</v>
      </c>
      <c r="J6115" s="689">
        <f t="shared" si="96"/>
        <v>1</v>
      </c>
    </row>
    <row r="6116" spans="1:10" ht="12.75" customHeight="1" x14ac:dyDescent="0.2">
      <c r="A6116" s="681">
        <v>1241</v>
      </c>
      <c r="B6116" s="693" t="s">
        <v>8476</v>
      </c>
      <c r="C6116" s="672" t="s">
        <v>889</v>
      </c>
      <c r="D6116" s="809" t="s">
        <v>8236</v>
      </c>
      <c r="E6116" s="674"/>
      <c r="F6116" s="675"/>
      <c r="G6116" s="676">
        <v>1</v>
      </c>
      <c r="H6116" s="929">
        <v>0</v>
      </c>
      <c r="I6116" s="929">
        <v>0</v>
      </c>
      <c r="J6116" s="689">
        <f t="shared" si="96"/>
        <v>1</v>
      </c>
    </row>
    <row r="6117" spans="1:10" ht="12.75" customHeight="1" x14ac:dyDescent="0.2">
      <c r="A6117" s="681">
        <v>1241</v>
      </c>
      <c r="B6117" s="693" t="s">
        <v>8477</v>
      </c>
      <c r="C6117" s="672" t="s">
        <v>889</v>
      </c>
      <c r="D6117" s="809" t="s">
        <v>8236</v>
      </c>
      <c r="E6117" s="674"/>
      <c r="F6117" s="675"/>
      <c r="G6117" s="676">
        <v>1</v>
      </c>
      <c r="H6117" s="929">
        <v>0</v>
      </c>
      <c r="I6117" s="929">
        <v>0</v>
      </c>
      <c r="J6117" s="689">
        <f t="shared" si="96"/>
        <v>1</v>
      </c>
    </row>
    <row r="6118" spans="1:10" ht="12.75" customHeight="1" x14ac:dyDescent="0.2">
      <c r="A6118" s="681">
        <v>1241</v>
      </c>
      <c r="B6118" s="693" t="s">
        <v>8478</v>
      </c>
      <c r="C6118" s="672" t="s">
        <v>889</v>
      </c>
      <c r="D6118" s="809" t="s">
        <v>8236</v>
      </c>
      <c r="E6118" s="674"/>
      <c r="F6118" s="675"/>
      <c r="G6118" s="676">
        <v>1</v>
      </c>
      <c r="H6118" s="929">
        <v>0</v>
      </c>
      <c r="I6118" s="929">
        <v>0</v>
      </c>
      <c r="J6118" s="689">
        <f t="shared" si="96"/>
        <v>1</v>
      </c>
    </row>
    <row r="6119" spans="1:10" ht="12.75" customHeight="1" x14ac:dyDescent="0.2">
      <c r="A6119" s="681">
        <v>1241</v>
      </c>
      <c r="B6119" s="693" t="s">
        <v>8479</v>
      </c>
      <c r="C6119" s="672" t="s">
        <v>2364</v>
      </c>
      <c r="D6119" s="809" t="s">
        <v>8236</v>
      </c>
      <c r="E6119" s="674"/>
      <c r="F6119" s="675"/>
      <c r="G6119" s="676">
        <v>1</v>
      </c>
      <c r="H6119" s="929">
        <v>0</v>
      </c>
      <c r="I6119" s="929">
        <v>0</v>
      </c>
      <c r="J6119" s="689">
        <f t="shared" si="96"/>
        <v>1</v>
      </c>
    </row>
    <row r="6120" spans="1:10" ht="12.75" customHeight="1" x14ac:dyDescent="0.2">
      <c r="A6120" s="681">
        <v>1241</v>
      </c>
      <c r="B6120" s="693" t="s">
        <v>8480</v>
      </c>
      <c r="C6120" s="672" t="s">
        <v>1020</v>
      </c>
      <c r="D6120" s="809" t="s">
        <v>8236</v>
      </c>
      <c r="E6120" s="674"/>
      <c r="F6120" s="675"/>
      <c r="G6120" s="676">
        <v>1</v>
      </c>
      <c r="H6120" s="929">
        <v>0</v>
      </c>
      <c r="I6120" s="929">
        <v>0</v>
      </c>
      <c r="J6120" s="689">
        <f t="shared" si="96"/>
        <v>1</v>
      </c>
    </row>
    <row r="6121" spans="1:10" ht="12.75" customHeight="1" x14ac:dyDescent="0.2">
      <c r="A6121" s="681">
        <v>1241</v>
      </c>
      <c r="B6121" s="693" t="s">
        <v>8481</v>
      </c>
      <c r="C6121" s="672" t="s">
        <v>1020</v>
      </c>
      <c r="D6121" s="809" t="s">
        <v>8236</v>
      </c>
      <c r="E6121" s="674"/>
      <c r="F6121" s="675"/>
      <c r="G6121" s="676">
        <v>1</v>
      </c>
      <c r="H6121" s="929">
        <v>0</v>
      </c>
      <c r="I6121" s="929">
        <v>0</v>
      </c>
      <c r="J6121" s="689">
        <f t="shared" si="96"/>
        <v>1</v>
      </c>
    </row>
    <row r="6122" spans="1:10" ht="12.75" customHeight="1" x14ac:dyDescent="0.2">
      <c r="A6122" s="681">
        <v>1241</v>
      </c>
      <c r="B6122" s="693" t="s">
        <v>8482</v>
      </c>
      <c r="C6122" s="672" t="s">
        <v>1020</v>
      </c>
      <c r="D6122" s="809" t="s">
        <v>8236</v>
      </c>
      <c r="E6122" s="674"/>
      <c r="F6122" s="675"/>
      <c r="G6122" s="676">
        <v>1</v>
      </c>
      <c r="H6122" s="929">
        <v>0</v>
      </c>
      <c r="I6122" s="929">
        <v>0</v>
      </c>
      <c r="J6122" s="689">
        <f t="shared" si="96"/>
        <v>1</v>
      </c>
    </row>
    <row r="6123" spans="1:10" ht="12.75" customHeight="1" x14ac:dyDescent="0.2">
      <c r="A6123" s="681">
        <v>1241</v>
      </c>
      <c r="B6123" s="693" t="s">
        <v>8483</v>
      </c>
      <c r="C6123" s="672" t="s">
        <v>1020</v>
      </c>
      <c r="D6123" s="809" t="s">
        <v>8236</v>
      </c>
      <c r="E6123" s="674"/>
      <c r="F6123" s="675"/>
      <c r="G6123" s="676">
        <v>1</v>
      </c>
      <c r="H6123" s="929">
        <v>0</v>
      </c>
      <c r="I6123" s="929">
        <v>0</v>
      </c>
      <c r="J6123" s="689">
        <f t="shared" si="96"/>
        <v>1</v>
      </c>
    </row>
    <row r="6124" spans="1:10" ht="12.75" customHeight="1" x14ac:dyDescent="0.2">
      <c r="A6124" s="681">
        <v>1241</v>
      </c>
      <c r="B6124" s="693" t="s">
        <v>8484</v>
      </c>
      <c r="C6124" s="672" t="s">
        <v>1020</v>
      </c>
      <c r="D6124" s="809" t="s">
        <v>8236</v>
      </c>
      <c r="E6124" s="674"/>
      <c r="F6124" s="675"/>
      <c r="G6124" s="676">
        <v>1</v>
      </c>
      <c r="H6124" s="929">
        <v>0</v>
      </c>
      <c r="I6124" s="929">
        <v>0</v>
      </c>
      <c r="J6124" s="689">
        <f t="shared" si="96"/>
        <v>1</v>
      </c>
    </row>
    <row r="6125" spans="1:10" ht="12.75" customHeight="1" x14ac:dyDescent="0.2">
      <c r="A6125" s="681">
        <v>1241</v>
      </c>
      <c r="B6125" s="693" t="s">
        <v>8485</v>
      </c>
      <c r="C6125" s="672" t="s">
        <v>1020</v>
      </c>
      <c r="D6125" s="809" t="s">
        <v>8236</v>
      </c>
      <c r="E6125" s="674"/>
      <c r="F6125" s="675"/>
      <c r="G6125" s="676">
        <v>1</v>
      </c>
      <c r="H6125" s="929">
        <v>0</v>
      </c>
      <c r="I6125" s="929">
        <v>0</v>
      </c>
      <c r="J6125" s="689">
        <f t="shared" si="96"/>
        <v>1</v>
      </c>
    </row>
    <row r="6126" spans="1:10" ht="12.75" customHeight="1" x14ac:dyDescent="0.2">
      <c r="A6126" s="681">
        <v>1241</v>
      </c>
      <c r="B6126" s="693" t="s">
        <v>8486</v>
      </c>
      <c r="C6126" s="672" t="s">
        <v>1020</v>
      </c>
      <c r="D6126" s="809" t="s">
        <v>8236</v>
      </c>
      <c r="E6126" s="674"/>
      <c r="F6126" s="675"/>
      <c r="G6126" s="676">
        <v>1</v>
      </c>
      <c r="H6126" s="929">
        <v>0</v>
      </c>
      <c r="I6126" s="929">
        <v>0</v>
      </c>
      <c r="J6126" s="689">
        <f t="shared" si="96"/>
        <v>1</v>
      </c>
    </row>
    <row r="6127" spans="1:10" ht="12.75" customHeight="1" x14ac:dyDescent="0.2">
      <c r="A6127" s="681">
        <v>1241</v>
      </c>
      <c r="B6127" s="693" t="s">
        <v>8514</v>
      </c>
      <c r="C6127" s="672" t="s">
        <v>8429</v>
      </c>
      <c r="D6127" s="809" t="s">
        <v>8236</v>
      </c>
      <c r="E6127" s="674"/>
      <c r="F6127" s="675"/>
      <c r="G6127" s="676">
        <v>1</v>
      </c>
      <c r="H6127" s="929">
        <v>0</v>
      </c>
      <c r="I6127" s="929">
        <v>0</v>
      </c>
      <c r="J6127" s="689">
        <f t="shared" si="96"/>
        <v>1</v>
      </c>
    </row>
    <row r="6128" spans="1:10" ht="12.75" customHeight="1" x14ac:dyDescent="0.2">
      <c r="A6128" s="681">
        <v>1241</v>
      </c>
      <c r="B6128" s="693" t="s">
        <v>8452</v>
      </c>
      <c r="C6128" s="672" t="s">
        <v>8391</v>
      </c>
      <c r="D6128" s="809" t="s">
        <v>8236</v>
      </c>
      <c r="E6128" s="674"/>
      <c r="F6128" s="675"/>
      <c r="G6128" s="676">
        <v>0</v>
      </c>
      <c r="H6128" s="929">
        <v>0</v>
      </c>
      <c r="I6128" s="929">
        <v>0</v>
      </c>
      <c r="J6128" s="689">
        <f t="shared" si="96"/>
        <v>0</v>
      </c>
    </row>
    <row r="6129" spans="1:10" ht="12.75" customHeight="1" x14ac:dyDescent="0.2">
      <c r="A6129" s="681"/>
      <c r="B6129" s="693"/>
      <c r="C6129" s="672"/>
      <c r="D6129" s="809"/>
      <c r="E6129" s="674"/>
      <c r="F6129" s="675"/>
      <c r="G6129" s="676"/>
      <c r="H6129" s="929"/>
      <c r="I6129" s="929"/>
      <c r="J6129" s="689"/>
    </row>
    <row r="6130" spans="1:10" ht="12.75" customHeight="1" x14ac:dyDescent="0.2">
      <c r="A6130" s="681"/>
      <c r="B6130" s="693"/>
      <c r="C6130" s="672"/>
      <c r="D6130" s="809"/>
      <c r="E6130" s="674"/>
      <c r="F6130" s="675"/>
      <c r="G6130" s="676"/>
      <c r="H6130" s="929"/>
      <c r="I6130" s="929"/>
      <c r="J6130" s="689"/>
    </row>
    <row r="6131" spans="1:10" ht="12.75" customHeight="1" x14ac:dyDescent="0.2">
      <c r="A6131" s="681"/>
      <c r="B6131" s="693"/>
      <c r="C6131" s="672"/>
      <c r="D6131" s="809"/>
      <c r="E6131" s="674"/>
      <c r="F6131" s="675"/>
      <c r="G6131" s="676"/>
      <c r="H6131" s="930"/>
      <c r="I6131" s="676"/>
      <c r="J6131" s="689"/>
    </row>
    <row r="6132" spans="1:10" ht="12.75" customHeight="1" x14ac:dyDescent="0.2">
      <c r="A6132" s="681"/>
      <c r="B6132" s="693"/>
      <c r="C6132" s="672"/>
      <c r="D6132" s="809"/>
      <c r="E6132" s="674"/>
      <c r="F6132" s="675"/>
      <c r="G6132" s="676"/>
      <c r="H6132" s="929"/>
      <c r="I6132" s="929"/>
      <c r="J6132" s="689"/>
    </row>
    <row r="6133" spans="1:10" ht="12.75" customHeight="1" x14ac:dyDescent="0.2">
      <c r="A6133" s="681"/>
      <c r="B6133" s="693"/>
      <c r="C6133" s="672"/>
      <c r="D6133" s="809"/>
      <c r="E6133" s="674"/>
      <c r="F6133" s="675"/>
      <c r="G6133" s="676"/>
      <c r="H6133" s="929"/>
      <c r="I6133" s="929"/>
      <c r="J6133" s="689"/>
    </row>
    <row r="6134" spans="1:10" ht="12.75" customHeight="1" x14ac:dyDescent="0.2">
      <c r="A6134" s="681">
        <v>1241</v>
      </c>
      <c r="B6134" s="693">
        <v>5151130010</v>
      </c>
      <c r="C6134" s="672" t="s">
        <v>8687</v>
      </c>
      <c r="D6134" s="809" t="s">
        <v>10399</v>
      </c>
      <c r="E6134" s="674">
        <v>3</v>
      </c>
      <c r="F6134" s="675">
        <v>0.33</v>
      </c>
      <c r="G6134" s="676">
        <v>1508</v>
      </c>
      <c r="H6134" s="929">
        <v>414.70000000000005</v>
      </c>
      <c r="I6134" s="929">
        <v>414.70000000000005</v>
      </c>
      <c r="J6134" s="689">
        <f t="shared" ref="J6134:J6197" si="97">G6134-I6134</f>
        <v>1093.3</v>
      </c>
    </row>
    <row r="6135" spans="1:10" ht="12.75" customHeight="1" x14ac:dyDescent="0.2">
      <c r="A6135" s="681"/>
      <c r="B6135" s="693"/>
      <c r="C6135" s="672"/>
      <c r="D6135" s="809"/>
      <c r="E6135" s="674"/>
      <c r="F6135" s="675"/>
      <c r="G6135" s="676"/>
      <c r="H6135" s="929"/>
      <c r="I6135" s="929"/>
      <c r="J6135" s="689"/>
    </row>
    <row r="6136" spans="1:10" ht="12.75" customHeight="1" x14ac:dyDescent="0.2">
      <c r="A6136" s="681">
        <v>1241</v>
      </c>
      <c r="B6136" s="693">
        <v>5110590002</v>
      </c>
      <c r="C6136" s="672" t="s">
        <v>8688</v>
      </c>
      <c r="D6136" s="809" t="s">
        <v>10400</v>
      </c>
      <c r="E6136" s="674">
        <v>10</v>
      </c>
      <c r="F6136" s="675">
        <v>0.1</v>
      </c>
      <c r="G6136" s="676">
        <v>4402.2</v>
      </c>
      <c r="H6136" s="929">
        <v>330.16499999999996</v>
      </c>
      <c r="I6136" s="929">
        <v>330.16499999999996</v>
      </c>
      <c r="J6136" s="689">
        <f t="shared" si="97"/>
        <v>4072.0349999999999</v>
      </c>
    </row>
    <row r="6137" spans="1:10" ht="12.75" customHeight="1" x14ac:dyDescent="0.2">
      <c r="A6137" s="681">
        <v>1241</v>
      </c>
      <c r="B6137" s="693">
        <v>5110940033</v>
      </c>
      <c r="C6137" s="672" t="s">
        <v>8689</v>
      </c>
      <c r="D6137" s="809" t="s">
        <v>10400</v>
      </c>
      <c r="E6137" s="674">
        <v>10</v>
      </c>
      <c r="F6137" s="675">
        <v>0.1</v>
      </c>
      <c r="G6137" s="676">
        <v>694.83999999999992</v>
      </c>
      <c r="H6137" s="929">
        <v>52.113</v>
      </c>
      <c r="I6137" s="929">
        <v>52.113</v>
      </c>
      <c r="J6137" s="689">
        <f t="shared" si="97"/>
        <v>642.72699999999986</v>
      </c>
    </row>
    <row r="6138" spans="1:10" ht="12.75" customHeight="1" x14ac:dyDescent="0.2">
      <c r="A6138" s="681">
        <v>1241</v>
      </c>
      <c r="B6138" s="693">
        <v>5110940034</v>
      </c>
      <c r="C6138" s="672" t="s">
        <v>8689</v>
      </c>
      <c r="D6138" s="809" t="s">
        <v>10400</v>
      </c>
      <c r="E6138" s="674">
        <v>10</v>
      </c>
      <c r="F6138" s="675">
        <v>0.1</v>
      </c>
      <c r="G6138" s="676">
        <v>694.83999999999992</v>
      </c>
      <c r="H6138" s="929">
        <v>52.113</v>
      </c>
      <c r="I6138" s="929">
        <v>52.113</v>
      </c>
      <c r="J6138" s="689">
        <f t="shared" si="97"/>
        <v>642.72699999999986</v>
      </c>
    </row>
    <row r="6139" spans="1:10" ht="12.75" customHeight="1" x14ac:dyDescent="0.2">
      <c r="A6139" s="681">
        <v>1241</v>
      </c>
      <c r="B6139" s="693">
        <v>5110940035</v>
      </c>
      <c r="C6139" s="672" t="s">
        <v>8689</v>
      </c>
      <c r="D6139" s="809" t="s">
        <v>10400</v>
      </c>
      <c r="E6139" s="674">
        <v>10</v>
      </c>
      <c r="F6139" s="675">
        <v>0.1</v>
      </c>
      <c r="G6139" s="676">
        <v>694.83999999999992</v>
      </c>
      <c r="H6139" s="929">
        <v>52.113</v>
      </c>
      <c r="I6139" s="929">
        <v>52.113</v>
      </c>
      <c r="J6139" s="689">
        <f t="shared" si="97"/>
        <v>642.72699999999986</v>
      </c>
    </row>
    <row r="6140" spans="1:10" ht="12.75" customHeight="1" x14ac:dyDescent="0.2">
      <c r="A6140" s="681">
        <v>1241</v>
      </c>
      <c r="B6140" s="693">
        <v>5110940036</v>
      </c>
      <c r="C6140" s="672" t="s">
        <v>8689</v>
      </c>
      <c r="D6140" s="809" t="s">
        <v>10400</v>
      </c>
      <c r="E6140" s="674">
        <v>10</v>
      </c>
      <c r="F6140" s="675">
        <v>0.1</v>
      </c>
      <c r="G6140" s="676">
        <v>694.83999999999992</v>
      </c>
      <c r="H6140" s="929">
        <v>52.113</v>
      </c>
      <c r="I6140" s="929">
        <v>52.113</v>
      </c>
      <c r="J6140" s="689">
        <f t="shared" si="97"/>
        <v>642.72699999999986</v>
      </c>
    </row>
    <row r="6141" spans="1:10" ht="12.75" customHeight="1" x14ac:dyDescent="0.2">
      <c r="A6141" s="681">
        <v>1241</v>
      </c>
      <c r="B6141" s="693">
        <v>5110940037</v>
      </c>
      <c r="C6141" s="672" t="s">
        <v>8689</v>
      </c>
      <c r="D6141" s="809" t="s">
        <v>10400</v>
      </c>
      <c r="E6141" s="674">
        <v>10</v>
      </c>
      <c r="F6141" s="675">
        <v>0.1</v>
      </c>
      <c r="G6141" s="676">
        <v>694.83999999999992</v>
      </c>
      <c r="H6141" s="929">
        <v>52.113</v>
      </c>
      <c r="I6141" s="929">
        <v>52.113</v>
      </c>
      <c r="J6141" s="689">
        <f t="shared" si="97"/>
        <v>642.72699999999986</v>
      </c>
    </row>
    <row r="6142" spans="1:10" ht="12.75" customHeight="1" x14ac:dyDescent="0.2">
      <c r="A6142" s="681">
        <v>1241</v>
      </c>
      <c r="B6142" s="693">
        <v>5110940038</v>
      </c>
      <c r="C6142" s="672" t="s">
        <v>8689</v>
      </c>
      <c r="D6142" s="809" t="s">
        <v>10400</v>
      </c>
      <c r="E6142" s="674">
        <v>10</v>
      </c>
      <c r="F6142" s="675">
        <v>0.1</v>
      </c>
      <c r="G6142" s="676">
        <v>694.83999999999992</v>
      </c>
      <c r="H6142" s="929">
        <v>52.113</v>
      </c>
      <c r="I6142" s="929">
        <v>52.113</v>
      </c>
      <c r="J6142" s="689">
        <f t="shared" si="97"/>
        <v>642.72699999999986</v>
      </c>
    </row>
    <row r="6143" spans="1:10" ht="12.75" customHeight="1" x14ac:dyDescent="0.2">
      <c r="A6143" s="681">
        <v>1241</v>
      </c>
      <c r="B6143" s="693">
        <v>5112670043</v>
      </c>
      <c r="C6143" s="672" t="s">
        <v>8690</v>
      </c>
      <c r="D6143" s="809" t="s">
        <v>10400</v>
      </c>
      <c r="E6143" s="674">
        <v>10</v>
      </c>
      <c r="F6143" s="675">
        <v>0.1</v>
      </c>
      <c r="G6143" s="676">
        <v>1473.1999999999998</v>
      </c>
      <c r="H6143" s="929">
        <v>110.49000000000001</v>
      </c>
      <c r="I6143" s="929">
        <v>110.49000000000001</v>
      </c>
      <c r="J6143" s="689">
        <f t="shared" si="97"/>
        <v>1362.7099999999998</v>
      </c>
    </row>
    <row r="6144" spans="1:10" ht="12.75" customHeight="1" x14ac:dyDescent="0.2">
      <c r="A6144" s="681">
        <v>1241</v>
      </c>
      <c r="B6144" s="693">
        <v>5112670044</v>
      </c>
      <c r="C6144" s="672" t="s">
        <v>8690</v>
      </c>
      <c r="D6144" s="809" t="s">
        <v>10400</v>
      </c>
      <c r="E6144" s="674">
        <v>10</v>
      </c>
      <c r="F6144" s="675">
        <v>0.1</v>
      </c>
      <c r="G6144" s="676">
        <v>1473.1999999999998</v>
      </c>
      <c r="H6144" s="929">
        <v>110.49000000000001</v>
      </c>
      <c r="I6144" s="929">
        <v>110.49000000000001</v>
      </c>
      <c r="J6144" s="689">
        <f t="shared" si="97"/>
        <v>1362.7099999999998</v>
      </c>
    </row>
    <row r="6145" spans="1:10" ht="12.75" customHeight="1" x14ac:dyDescent="0.2">
      <c r="A6145" s="681">
        <v>1241</v>
      </c>
      <c r="B6145" s="693">
        <v>5112670045</v>
      </c>
      <c r="C6145" s="672" t="s">
        <v>8690</v>
      </c>
      <c r="D6145" s="809" t="s">
        <v>10400</v>
      </c>
      <c r="E6145" s="674">
        <v>10</v>
      </c>
      <c r="F6145" s="675">
        <v>0.1</v>
      </c>
      <c r="G6145" s="676">
        <v>1473.1999999999998</v>
      </c>
      <c r="H6145" s="929">
        <v>110.49000000000001</v>
      </c>
      <c r="I6145" s="929">
        <v>110.49000000000001</v>
      </c>
      <c r="J6145" s="689">
        <f t="shared" si="97"/>
        <v>1362.7099999999998</v>
      </c>
    </row>
    <row r="6146" spans="1:10" ht="12.75" customHeight="1" x14ac:dyDescent="0.2">
      <c r="A6146" s="681">
        <v>1241</v>
      </c>
      <c r="B6146" s="693">
        <v>5112670046</v>
      </c>
      <c r="C6146" s="672" t="s">
        <v>8690</v>
      </c>
      <c r="D6146" s="809" t="s">
        <v>10400</v>
      </c>
      <c r="E6146" s="674">
        <v>10</v>
      </c>
      <c r="F6146" s="675">
        <v>0.1</v>
      </c>
      <c r="G6146" s="676">
        <v>1473.1999999999998</v>
      </c>
      <c r="H6146" s="929">
        <v>110.49000000000001</v>
      </c>
      <c r="I6146" s="929">
        <v>110.49000000000001</v>
      </c>
      <c r="J6146" s="689">
        <f t="shared" si="97"/>
        <v>1362.7099999999998</v>
      </c>
    </row>
    <row r="6147" spans="1:10" ht="12.75" customHeight="1" x14ac:dyDescent="0.2">
      <c r="A6147" s="681">
        <v>1241</v>
      </c>
      <c r="B6147" s="693">
        <v>5112670047</v>
      </c>
      <c r="C6147" s="672" t="s">
        <v>8690</v>
      </c>
      <c r="D6147" s="809" t="s">
        <v>10400</v>
      </c>
      <c r="E6147" s="674">
        <v>10</v>
      </c>
      <c r="F6147" s="675">
        <v>0.1</v>
      </c>
      <c r="G6147" s="676">
        <v>1473.1999999999998</v>
      </c>
      <c r="H6147" s="929">
        <v>110.49000000000001</v>
      </c>
      <c r="I6147" s="929">
        <v>110.49000000000001</v>
      </c>
      <c r="J6147" s="689">
        <f t="shared" si="97"/>
        <v>1362.7099999999998</v>
      </c>
    </row>
    <row r="6148" spans="1:10" ht="12.75" customHeight="1" x14ac:dyDescent="0.2">
      <c r="A6148" s="681">
        <v>1241</v>
      </c>
      <c r="B6148" s="693" t="s">
        <v>787</v>
      </c>
      <c r="C6148" s="672" t="s">
        <v>8690</v>
      </c>
      <c r="D6148" s="809" t="s">
        <v>10400</v>
      </c>
      <c r="E6148" s="674">
        <v>10</v>
      </c>
      <c r="F6148" s="675">
        <v>0.1</v>
      </c>
      <c r="G6148" s="676">
        <v>1571.8</v>
      </c>
      <c r="H6148" s="929">
        <v>117.88499999999998</v>
      </c>
      <c r="I6148" s="929">
        <v>117.88499999999998</v>
      </c>
      <c r="J6148" s="689">
        <f t="shared" si="97"/>
        <v>1453.915</v>
      </c>
    </row>
    <row r="6149" spans="1:10" ht="12.75" customHeight="1" x14ac:dyDescent="0.2">
      <c r="A6149" s="681">
        <v>1241</v>
      </c>
      <c r="B6149" s="693">
        <v>5112670049</v>
      </c>
      <c r="C6149" s="672" t="s">
        <v>8690</v>
      </c>
      <c r="D6149" s="809" t="s">
        <v>10400</v>
      </c>
      <c r="E6149" s="674">
        <v>10</v>
      </c>
      <c r="F6149" s="675">
        <v>0.1</v>
      </c>
      <c r="G6149" s="676">
        <v>1571.8</v>
      </c>
      <c r="H6149" s="929">
        <v>117.88499999999998</v>
      </c>
      <c r="I6149" s="929">
        <v>117.88499999999998</v>
      </c>
      <c r="J6149" s="689">
        <f t="shared" si="97"/>
        <v>1453.915</v>
      </c>
    </row>
    <row r="6150" spans="1:10" ht="12.75" customHeight="1" x14ac:dyDescent="0.2">
      <c r="A6150" s="681">
        <v>1241</v>
      </c>
      <c r="B6150" s="693">
        <v>5112670050</v>
      </c>
      <c r="C6150" s="672" t="s">
        <v>8690</v>
      </c>
      <c r="D6150" s="809" t="s">
        <v>10400</v>
      </c>
      <c r="E6150" s="674">
        <v>10</v>
      </c>
      <c r="F6150" s="675">
        <v>0.1</v>
      </c>
      <c r="G6150" s="676">
        <v>1571.8</v>
      </c>
      <c r="H6150" s="929">
        <v>117.88499999999998</v>
      </c>
      <c r="I6150" s="929">
        <v>117.88499999999998</v>
      </c>
      <c r="J6150" s="689">
        <f t="shared" si="97"/>
        <v>1453.915</v>
      </c>
    </row>
    <row r="6151" spans="1:10" ht="12.75" customHeight="1" x14ac:dyDescent="0.2">
      <c r="A6151" s="681">
        <v>1241</v>
      </c>
      <c r="B6151" s="693">
        <v>5112670051</v>
      </c>
      <c r="C6151" s="672" t="s">
        <v>8690</v>
      </c>
      <c r="D6151" s="809" t="s">
        <v>10400</v>
      </c>
      <c r="E6151" s="674">
        <v>10</v>
      </c>
      <c r="F6151" s="675">
        <v>0.1</v>
      </c>
      <c r="G6151" s="676">
        <v>1571.8</v>
      </c>
      <c r="H6151" s="929">
        <v>117.88499999999998</v>
      </c>
      <c r="I6151" s="929">
        <v>117.88499999999998</v>
      </c>
      <c r="J6151" s="689">
        <f t="shared" si="97"/>
        <v>1453.915</v>
      </c>
    </row>
    <row r="6152" spans="1:10" ht="12.75" customHeight="1" x14ac:dyDescent="0.2">
      <c r="A6152" s="681">
        <v>1241</v>
      </c>
      <c r="B6152" s="693">
        <v>5110980015</v>
      </c>
      <c r="C6152" s="672" t="s">
        <v>8691</v>
      </c>
      <c r="D6152" s="809" t="s">
        <v>10400</v>
      </c>
      <c r="E6152" s="674">
        <v>10</v>
      </c>
      <c r="F6152" s="675">
        <v>0.1</v>
      </c>
      <c r="G6152" s="676">
        <v>2043.9199999999998</v>
      </c>
      <c r="H6152" s="929">
        <v>153.29400000000001</v>
      </c>
      <c r="I6152" s="929">
        <v>153.29400000000001</v>
      </c>
      <c r="J6152" s="689">
        <f t="shared" si="97"/>
        <v>1890.6259999999997</v>
      </c>
    </row>
    <row r="6153" spans="1:10" ht="12.75" customHeight="1" x14ac:dyDescent="0.2">
      <c r="A6153" s="681">
        <v>1241</v>
      </c>
      <c r="B6153" s="693">
        <v>5112180008</v>
      </c>
      <c r="C6153" s="672" t="s">
        <v>8692</v>
      </c>
      <c r="D6153" s="809" t="s">
        <v>10400</v>
      </c>
      <c r="E6153" s="674">
        <v>10</v>
      </c>
      <c r="F6153" s="675">
        <v>0.1</v>
      </c>
      <c r="G6153" s="676">
        <v>4234</v>
      </c>
      <c r="H6153" s="929">
        <v>317.54999999999995</v>
      </c>
      <c r="I6153" s="929">
        <v>317.54999999999995</v>
      </c>
      <c r="J6153" s="689">
        <f t="shared" si="97"/>
        <v>3916.45</v>
      </c>
    </row>
    <row r="6154" spans="1:10" ht="12.75" customHeight="1" x14ac:dyDescent="0.2">
      <c r="A6154" s="681">
        <v>1241</v>
      </c>
      <c r="B6154" s="693">
        <v>5112180009</v>
      </c>
      <c r="C6154" s="672" t="s">
        <v>8692</v>
      </c>
      <c r="D6154" s="809" t="s">
        <v>10400</v>
      </c>
      <c r="E6154" s="674">
        <v>10</v>
      </c>
      <c r="F6154" s="675">
        <v>0.1</v>
      </c>
      <c r="G6154" s="676">
        <v>4234</v>
      </c>
      <c r="H6154" s="929">
        <v>317.54999999999995</v>
      </c>
      <c r="I6154" s="929">
        <v>317.54999999999995</v>
      </c>
      <c r="J6154" s="689">
        <f t="shared" si="97"/>
        <v>3916.45</v>
      </c>
    </row>
    <row r="6155" spans="1:10" ht="12.75" customHeight="1" x14ac:dyDescent="0.2">
      <c r="A6155" s="681">
        <v>1241</v>
      </c>
      <c r="B6155" s="693">
        <v>5112180010</v>
      </c>
      <c r="C6155" s="672" t="s">
        <v>8692</v>
      </c>
      <c r="D6155" s="809" t="s">
        <v>10400</v>
      </c>
      <c r="E6155" s="674">
        <v>10</v>
      </c>
      <c r="F6155" s="675">
        <v>0.1</v>
      </c>
      <c r="G6155" s="676">
        <v>4234</v>
      </c>
      <c r="H6155" s="929">
        <v>317.54999999999995</v>
      </c>
      <c r="I6155" s="929">
        <v>317.54999999999995</v>
      </c>
      <c r="J6155" s="689">
        <f t="shared" si="97"/>
        <v>3916.45</v>
      </c>
    </row>
    <row r="6156" spans="1:10" ht="12.75" customHeight="1" x14ac:dyDescent="0.2">
      <c r="A6156" s="681">
        <v>1241</v>
      </c>
      <c r="B6156" s="693">
        <v>5112180013</v>
      </c>
      <c r="C6156" s="672" t="s">
        <v>8693</v>
      </c>
      <c r="D6156" s="809" t="s">
        <v>10400</v>
      </c>
      <c r="E6156" s="674">
        <v>10</v>
      </c>
      <c r="F6156" s="675">
        <v>0.1</v>
      </c>
      <c r="G6156" s="676">
        <v>5127.2</v>
      </c>
      <c r="H6156" s="929">
        <v>384.54000000000008</v>
      </c>
      <c r="I6156" s="929">
        <v>384.54000000000008</v>
      </c>
      <c r="J6156" s="689">
        <f t="shared" si="97"/>
        <v>4742.66</v>
      </c>
    </row>
    <row r="6157" spans="1:10" ht="12.75" customHeight="1" x14ac:dyDescent="0.2">
      <c r="A6157" s="681">
        <v>1241</v>
      </c>
      <c r="B6157" s="693">
        <v>5112180011</v>
      </c>
      <c r="C6157" s="672" t="s">
        <v>8694</v>
      </c>
      <c r="D6157" s="809" t="s">
        <v>10400</v>
      </c>
      <c r="E6157" s="674">
        <v>10</v>
      </c>
      <c r="F6157" s="675">
        <v>0.1</v>
      </c>
      <c r="G6157" s="676">
        <v>2088</v>
      </c>
      <c r="H6157" s="929">
        <v>156.60000000000002</v>
      </c>
      <c r="I6157" s="929">
        <v>156.60000000000002</v>
      </c>
      <c r="J6157" s="689">
        <f t="shared" si="97"/>
        <v>1931.4</v>
      </c>
    </row>
    <row r="6158" spans="1:10" ht="12.75" customHeight="1" x14ac:dyDescent="0.2">
      <c r="A6158" s="681">
        <v>1241</v>
      </c>
      <c r="B6158" s="693">
        <v>5112180012</v>
      </c>
      <c r="C6158" s="672" t="s">
        <v>8694</v>
      </c>
      <c r="D6158" s="809" t="s">
        <v>10400</v>
      </c>
      <c r="E6158" s="674">
        <v>10</v>
      </c>
      <c r="F6158" s="675">
        <v>0.1</v>
      </c>
      <c r="G6158" s="676">
        <v>2088</v>
      </c>
      <c r="H6158" s="929">
        <v>156.60000000000002</v>
      </c>
      <c r="I6158" s="929">
        <v>156.60000000000002</v>
      </c>
      <c r="J6158" s="689">
        <f t="shared" si="97"/>
        <v>1931.4</v>
      </c>
    </row>
    <row r="6159" spans="1:10" ht="12.75" customHeight="1" x14ac:dyDescent="0.2">
      <c r="A6159" s="681">
        <v>1241</v>
      </c>
      <c r="B6159" s="693">
        <v>5110360060</v>
      </c>
      <c r="C6159" s="672" t="s">
        <v>8695</v>
      </c>
      <c r="D6159" s="809" t="s">
        <v>10400</v>
      </c>
      <c r="E6159" s="674">
        <v>10</v>
      </c>
      <c r="F6159" s="675">
        <v>0.1</v>
      </c>
      <c r="G6159" s="676">
        <v>3653.9999999999995</v>
      </c>
      <c r="H6159" s="929">
        <v>274.04999999999995</v>
      </c>
      <c r="I6159" s="929">
        <v>274.04999999999995</v>
      </c>
      <c r="J6159" s="689">
        <f t="shared" si="97"/>
        <v>3379.95</v>
      </c>
    </row>
    <row r="6160" spans="1:10" ht="12.75" customHeight="1" x14ac:dyDescent="0.2">
      <c r="A6160" s="681">
        <v>1241</v>
      </c>
      <c r="B6160" s="693">
        <v>5110360061</v>
      </c>
      <c r="C6160" s="672" t="s">
        <v>8695</v>
      </c>
      <c r="D6160" s="809" t="s">
        <v>10400</v>
      </c>
      <c r="E6160" s="674">
        <v>10</v>
      </c>
      <c r="F6160" s="675">
        <v>0.1</v>
      </c>
      <c r="G6160" s="676">
        <v>3653.9999999999995</v>
      </c>
      <c r="H6160" s="929">
        <v>274.04999999999995</v>
      </c>
      <c r="I6160" s="929">
        <v>274.04999999999995</v>
      </c>
      <c r="J6160" s="689">
        <f t="shared" si="97"/>
        <v>3379.95</v>
      </c>
    </row>
    <row r="6161" spans="1:10" ht="12.75" customHeight="1" x14ac:dyDescent="0.2">
      <c r="A6161" s="681">
        <v>1241</v>
      </c>
      <c r="B6161" s="693">
        <v>5110360062</v>
      </c>
      <c r="C6161" s="672" t="s">
        <v>8695</v>
      </c>
      <c r="D6161" s="809" t="s">
        <v>10400</v>
      </c>
      <c r="E6161" s="674">
        <v>10</v>
      </c>
      <c r="F6161" s="675">
        <v>0.1</v>
      </c>
      <c r="G6161" s="676">
        <v>3653.9999999999995</v>
      </c>
      <c r="H6161" s="929">
        <v>274.04999999999995</v>
      </c>
      <c r="I6161" s="929">
        <v>274.04999999999995</v>
      </c>
      <c r="J6161" s="689">
        <f t="shared" si="97"/>
        <v>3379.95</v>
      </c>
    </row>
    <row r="6162" spans="1:10" ht="12.75" customHeight="1" x14ac:dyDescent="0.2">
      <c r="A6162" s="681">
        <v>1241</v>
      </c>
      <c r="B6162" s="693">
        <v>5112670052</v>
      </c>
      <c r="C6162" s="672" t="s">
        <v>8696</v>
      </c>
      <c r="D6162" s="809" t="s">
        <v>10400</v>
      </c>
      <c r="E6162" s="674">
        <v>10</v>
      </c>
      <c r="F6162" s="675">
        <v>0.1</v>
      </c>
      <c r="G6162" s="676">
        <v>1469.7199999999998</v>
      </c>
      <c r="H6162" s="929">
        <v>110.22899999999997</v>
      </c>
      <c r="I6162" s="929">
        <v>110.22899999999997</v>
      </c>
      <c r="J6162" s="689">
        <f t="shared" si="97"/>
        <v>1359.4909999999998</v>
      </c>
    </row>
    <row r="6163" spans="1:10" ht="12.75" customHeight="1" x14ac:dyDescent="0.2">
      <c r="A6163" s="681">
        <v>1241</v>
      </c>
      <c r="B6163" s="693">
        <v>5112670053</v>
      </c>
      <c r="C6163" s="672" t="s">
        <v>8696</v>
      </c>
      <c r="D6163" s="809" t="s">
        <v>10400</v>
      </c>
      <c r="E6163" s="674">
        <v>10</v>
      </c>
      <c r="F6163" s="675">
        <v>0.1</v>
      </c>
      <c r="G6163" s="676">
        <v>1469.7199999999998</v>
      </c>
      <c r="H6163" s="929">
        <v>110.22899999999997</v>
      </c>
      <c r="I6163" s="929">
        <v>110.22899999999997</v>
      </c>
      <c r="J6163" s="689">
        <f t="shared" si="97"/>
        <v>1359.4909999999998</v>
      </c>
    </row>
    <row r="6164" spans="1:10" ht="12.75" customHeight="1" x14ac:dyDescent="0.2">
      <c r="A6164" s="681">
        <v>1241</v>
      </c>
      <c r="B6164" s="693">
        <v>5112670054</v>
      </c>
      <c r="C6164" s="672" t="s">
        <v>8696</v>
      </c>
      <c r="D6164" s="809" t="s">
        <v>10400</v>
      </c>
      <c r="E6164" s="674">
        <v>10</v>
      </c>
      <c r="F6164" s="675">
        <v>0.1</v>
      </c>
      <c r="G6164" s="676">
        <v>1469.7199999999998</v>
      </c>
      <c r="H6164" s="929">
        <v>110.22899999999997</v>
      </c>
      <c r="I6164" s="929">
        <v>110.22899999999997</v>
      </c>
      <c r="J6164" s="689">
        <f t="shared" si="97"/>
        <v>1359.4909999999998</v>
      </c>
    </row>
    <row r="6165" spans="1:10" ht="12.75" customHeight="1" x14ac:dyDescent="0.2">
      <c r="A6165" s="681">
        <v>1241</v>
      </c>
      <c r="B6165" s="693">
        <v>5110620012</v>
      </c>
      <c r="C6165" s="672" t="s">
        <v>8697</v>
      </c>
      <c r="D6165" s="809" t="s">
        <v>10400</v>
      </c>
      <c r="E6165" s="674">
        <v>10</v>
      </c>
      <c r="F6165" s="675">
        <v>0.1</v>
      </c>
      <c r="G6165" s="676">
        <v>2378</v>
      </c>
      <c r="H6165" s="929">
        <v>178.35</v>
      </c>
      <c r="I6165" s="929">
        <v>178.35</v>
      </c>
      <c r="J6165" s="689">
        <f t="shared" si="97"/>
        <v>2199.65</v>
      </c>
    </row>
    <row r="6166" spans="1:10" ht="12.75" customHeight="1" x14ac:dyDescent="0.2">
      <c r="A6166" s="681">
        <v>1241</v>
      </c>
      <c r="B6166" s="693">
        <v>5110230064</v>
      </c>
      <c r="C6166" s="672" t="s">
        <v>8698</v>
      </c>
      <c r="D6166" s="809" t="s">
        <v>10400</v>
      </c>
      <c r="E6166" s="674">
        <v>10</v>
      </c>
      <c r="F6166" s="675">
        <v>0.1</v>
      </c>
      <c r="G6166" s="676">
        <v>4100.5999999999995</v>
      </c>
      <c r="H6166" s="929">
        <v>307.54499999999996</v>
      </c>
      <c r="I6166" s="929">
        <v>307.54499999999996</v>
      </c>
      <c r="J6166" s="689">
        <f t="shared" si="97"/>
        <v>3793.0549999999994</v>
      </c>
    </row>
    <row r="6167" spans="1:10" ht="12.75" customHeight="1" x14ac:dyDescent="0.2">
      <c r="A6167" s="681">
        <v>1241</v>
      </c>
      <c r="B6167" s="693">
        <v>5112640018</v>
      </c>
      <c r="C6167" s="672" t="s">
        <v>8699</v>
      </c>
      <c r="D6167" s="809" t="s">
        <v>10400</v>
      </c>
      <c r="E6167" s="674">
        <v>10</v>
      </c>
      <c r="F6167" s="675">
        <v>0.1</v>
      </c>
      <c r="G6167" s="676">
        <v>696</v>
      </c>
      <c r="H6167" s="929">
        <v>52.199999999999989</v>
      </c>
      <c r="I6167" s="929">
        <v>52.199999999999989</v>
      </c>
      <c r="J6167" s="689">
        <f t="shared" si="97"/>
        <v>643.79999999999995</v>
      </c>
    </row>
    <row r="6168" spans="1:10" ht="12.75" customHeight="1" x14ac:dyDescent="0.2">
      <c r="A6168" s="681">
        <v>1241</v>
      </c>
      <c r="B6168" s="693">
        <v>5112640019</v>
      </c>
      <c r="C6168" s="672" t="s">
        <v>8699</v>
      </c>
      <c r="D6168" s="809" t="s">
        <v>10400</v>
      </c>
      <c r="E6168" s="674">
        <v>10</v>
      </c>
      <c r="F6168" s="675">
        <v>0.1</v>
      </c>
      <c r="G6168" s="676">
        <v>696</v>
      </c>
      <c r="H6168" s="929">
        <v>52.199999999999989</v>
      </c>
      <c r="I6168" s="929">
        <v>52.199999999999989</v>
      </c>
      <c r="J6168" s="689">
        <f t="shared" si="97"/>
        <v>643.79999999999995</v>
      </c>
    </row>
    <row r="6169" spans="1:10" ht="12.75" customHeight="1" x14ac:dyDescent="0.2">
      <c r="A6169" s="681">
        <v>1241</v>
      </c>
      <c r="B6169" s="693">
        <v>5112640020</v>
      </c>
      <c r="C6169" s="672" t="s">
        <v>8699</v>
      </c>
      <c r="D6169" s="809" t="s">
        <v>10400</v>
      </c>
      <c r="E6169" s="674">
        <v>10</v>
      </c>
      <c r="F6169" s="675">
        <v>0.1</v>
      </c>
      <c r="G6169" s="676">
        <v>696</v>
      </c>
      <c r="H6169" s="929">
        <v>52.199999999999989</v>
      </c>
      <c r="I6169" s="929">
        <v>52.199999999999989</v>
      </c>
      <c r="J6169" s="689">
        <f t="shared" si="97"/>
        <v>643.79999999999995</v>
      </c>
    </row>
    <row r="6170" spans="1:10" ht="12.75" customHeight="1" x14ac:dyDescent="0.2">
      <c r="A6170" s="681">
        <v>1241</v>
      </c>
      <c r="B6170" s="693">
        <v>5112640021</v>
      </c>
      <c r="C6170" s="672" t="s">
        <v>8699</v>
      </c>
      <c r="D6170" s="809" t="s">
        <v>10400</v>
      </c>
      <c r="E6170" s="674">
        <v>10</v>
      </c>
      <c r="F6170" s="675">
        <v>0.1</v>
      </c>
      <c r="G6170" s="676">
        <v>696</v>
      </c>
      <c r="H6170" s="929">
        <v>52.199999999999989</v>
      </c>
      <c r="I6170" s="929">
        <v>52.199999999999989</v>
      </c>
      <c r="J6170" s="689">
        <f t="shared" si="97"/>
        <v>643.79999999999995</v>
      </c>
    </row>
    <row r="6171" spans="1:10" ht="12.75" customHeight="1" x14ac:dyDescent="0.2">
      <c r="A6171" s="681">
        <v>1241</v>
      </c>
      <c r="B6171" s="693">
        <v>5110480005</v>
      </c>
      <c r="C6171" s="672" t="s">
        <v>8700</v>
      </c>
      <c r="D6171" s="809" t="s">
        <v>10400</v>
      </c>
      <c r="E6171" s="674">
        <v>10</v>
      </c>
      <c r="F6171" s="675">
        <v>0.1</v>
      </c>
      <c r="G6171" s="676">
        <v>5220</v>
      </c>
      <c r="H6171" s="929">
        <v>391.5</v>
      </c>
      <c r="I6171" s="929">
        <v>391.5</v>
      </c>
      <c r="J6171" s="689">
        <f t="shared" si="97"/>
        <v>4828.5</v>
      </c>
    </row>
    <row r="6172" spans="1:10" ht="12.75" customHeight="1" x14ac:dyDescent="0.2">
      <c r="A6172" s="681">
        <v>1241</v>
      </c>
      <c r="B6172" s="693">
        <v>5151290004</v>
      </c>
      <c r="C6172" s="672" t="s">
        <v>8701</v>
      </c>
      <c r="D6172" s="809" t="s">
        <v>10400</v>
      </c>
      <c r="E6172" s="674">
        <v>3</v>
      </c>
      <c r="F6172" s="675">
        <v>0.33</v>
      </c>
      <c r="G6172" s="676">
        <v>31204</v>
      </c>
      <c r="H6172" s="929">
        <v>7722.9899999999989</v>
      </c>
      <c r="I6172" s="929">
        <v>7722.9899999999989</v>
      </c>
      <c r="J6172" s="689">
        <f t="shared" si="97"/>
        <v>23481.010000000002</v>
      </c>
    </row>
    <row r="6173" spans="1:10" ht="12.75" customHeight="1" x14ac:dyDescent="0.2">
      <c r="A6173" s="681">
        <v>1241</v>
      </c>
      <c r="B6173" s="693">
        <v>5151260082</v>
      </c>
      <c r="C6173" s="672" t="s">
        <v>8702</v>
      </c>
      <c r="D6173" s="809" t="s">
        <v>10400</v>
      </c>
      <c r="E6173" s="674">
        <v>3</v>
      </c>
      <c r="F6173" s="675">
        <v>0.33</v>
      </c>
      <c r="G6173" s="676">
        <v>6042.44</v>
      </c>
      <c r="H6173" s="929">
        <v>1495.5038999999997</v>
      </c>
      <c r="I6173" s="929">
        <v>1495.5038999999997</v>
      </c>
      <c r="J6173" s="689">
        <f t="shared" si="97"/>
        <v>4546.9360999999999</v>
      </c>
    </row>
    <row r="6174" spans="1:10" ht="12.75" customHeight="1" x14ac:dyDescent="0.2">
      <c r="A6174" s="681">
        <v>1241</v>
      </c>
      <c r="B6174" s="693">
        <v>5151260083</v>
      </c>
      <c r="C6174" s="672" t="s">
        <v>8702</v>
      </c>
      <c r="D6174" s="809" t="s">
        <v>10400</v>
      </c>
      <c r="E6174" s="674">
        <v>3</v>
      </c>
      <c r="F6174" s="675">
        <v>0.33</v>
      </c>
      <c r="G6174" s="676">
        <v>6042.44</v>
      </c>
      <c r="H6174" s="929">
        <v>1495.5038999999997</v>
      </c>
      <c r="I6174" s="929">
        <v>1495.5038999999997</v>
      </c>
      <c r="J6174" s="689">
        <f t="shared" si="97"/>
        <v>4546.9360999999999</v>
      </c>
    </row>
    <row r="6175" spans="1:10" ht="12.75" customHeight="1" x14ac:dyDescent="0.2">
      <c r="A6175" s="681">
        <v>1241</v>
      </c>
      <c r="B6175" s="693">
        <v>5150930066</v>
      </c>
      <c r="C6175" s="672" t="s">
        <v>8703</v>
      </c>
      <c r="D6175" s="809" t="s">
        <v>10400</v>
      </c>
      <c r="E6175" s="674">
        <v>3</v>
      </c>
      <c r="F6175" s="675">
        <v>0.33</v>
      </c>
      <c r="G6175" s="676">
        <v>2320</v>
      </c>
      <c r="H6175" s="929">
        <v>574.20000000000005</v>
      </c>
      <c r="I6175" s="929">
        <v>574.20000000000005</v>
      </c>
      <c r="J6175" s="689">
        <f t="shared" si="97"/>
        <v>1745.8</v>
      </c>
    </row>
    <row r="6176" spans="1:10" ht="12.75" customHeight="1" x14ac:dyDescent="0.2">
      <c r="A6176" s="681">
        <v>1241</v>
      </c>
      <c r="B6176" s="693">
        <v>5150930067</v>
      </c>
      <c r="C6176" s="672" t="s">
        <v>8703</v>
      </c>
      <c r="D6176" s="809" t="s">
        <v>10400</v>
      </c>
      <c r="E6176" s="674">
        <v>3</v>
      </c>
      <c r="F6176" s="675">
        <v>0.33</v>
      </c>
      <c r="G6176" s="676">
        <v>2320</v>
      </c>
      <c r="H6176" s="929">
        <v>574.20000000000005</v>
      </c>
      <c r="I6176" s="929">
        <v>574.20000000000005</v>
      </c>
      <c r="J6176" s="689">
        <f t="shared" si="97"/>
        <v>1745.8</v>
      </c>
    </row>
    <row r="6177" spans="1:10" ht="12.75" customHeight="1" x14ac:dyDescent="0.2">
      <c r="A6177" s="681">
        <v>1241</v>
      </c>
      <c r="B6177" s="693">
        <v>5151350081</v>
      </c>
      <c r="C6177" s="672" t="s">
        <v>8704</v>
      </c>
      <c r="D6177" s="809" t="s">
        <v>10400</v>
      </c>
      <c r="E6177" s="674">
        <v>3</v>
      </c>
      <c r="F6177" s="675">
        <v>0.33</v>
      </c>
      <c r="G6177" s="676">
        <v>348</v>
      </c>
      <c r="H6177" s="929">
        <v>86.13</v>
      </c>
      <c r="I6177" s="929">
        <v>86.13</v>
      </c>
      <c r="J6177" s="689">
        <f t="shared" si="97"/>
        <v>261.87</v>
      </c>
    </row>
    <row r="6178" spans="1:10" ht="12.75" customHeight="1" x14ac:dyDescent="0.2">
      <c r="A6178" s="681">
        <v>1241</v>
      </c>
      <c r="B6178" s="693">
        <v>5151350082</v>
      </c>
      <c r="C6178" s="672" t="s">
        <v>8704</v>
      </c>
      <c r="D6178" s="809" t="s">
        <v>10400</v>
      </c>
      <c r="E6178" s="674">
        <v>3</v>
      </c>
      <c r="F6178" s="675">
        <v>0.33</v>
      </c>
      <c r="G6178" s="676">
        <v>348</v>
      </c>
      <c r="H6178" s="929">
        <v>86.13</v>
      </c>
      <c r="I6178" s="929">
        <v>86.13</v>
      </c>
      <c r="J6178" s="689">
        <f t="shared" si="97"/>
        <v>261.87</v>
      </c>
    </row>
    <row r="6179" spans="1:10" ht="12.75" customHeight="1" x14ac:dyDescent="0.2">
      <c r="A6179" s="681">
        <v>1241</v>
      </c>
      <c r="B6179" s="693">
        <v>5151290005</v>
      </c>
      <c r="C6179" s="672" t="s">
        <v>8705</v>
      </c>
      <c r="D6179" s="809" t="s">
        <v>10400</v>
      </c>
      <c r="E6179" s="674">
        <v>3</v>
      </c>
      <c r="F6179" s="675">
        <v>0.33</v>
      </c>
      <c r="G6179" s="676">
        <v>10100.120000000001</v>
      </c>
      <c r="H6179" s="929">
        <v>2499.7797</v>
      </c>
      <c r="I6179" s="929">
        <v>2499.7797</v>
      </c>
      <c r="J6179" s="689">
        <f t="shared" si="97"/>
        <v>7600.3403000000008</v>
      </c>
    </row>
    <row r="6180" spans="1:10" ht="12.75" customHeight="1" x14ac:dyDescent="0.2">
      <c r="A6180" s="681"/>
      <c r="B6180" s="693"/>
      <c r="C6180" s="672"/>
      <c r="D6180" s="809"/>
      <c r="E6180" s="674"/>
      <c r="F6180" s="675"/>
      <c r="G6180" s="676"/>
      <c r="H6180" s="929"/>
      <c r="I6180" s="929"/>
      <c r="J6180" s="689"/>
    </row>
    <row r="6181" spans="1:10" ht="12.75" customHeight="1" x14ac:dyDescent="0.2">
      <c r="A6181" s="681">
        <v>1241</v>
      </c>
      <c r="B6181" s="693">
        <v>5150590004</v>
      </c>
      <c r="C6181" s="672" t="s">
        <v>8706</v>
      </c>
      <c r="D6181" s="809" t="s">
        <v>10401</v>
      </c>
      <c r="E6181" s="674">
        <v>3</v>
      </c>
      <c r="F6181" s="675">
        <v>0.33</v>
      </c>
      <c r="G6181" s="676">
        <v>1390</v>
      </c>
      <c r="H6181" s="929">
        <v>305.8</v>
      </c>
      <c r="I6181" s="929">
        <v>305.8</v>
      </c>
      <c r="J6181" s="689">
        <f t="shared" si="97"/>
        <v>1084.2</v>
      </c>
    </row>
    <row r="6182" spans="1:10" ht="12.75" customHeight="1" x14ac:dyDescent="0.2">
      <c r="A6182" s="681">
        <v>1241</v>
      </c>
      <c r="B6182" s="693">
        <v>5151170020</v>
      </c>
      <c r="C6182" s="672" t="s">
        <v>8707</v>
      </c>
      <c r="D6182" s="809" t="s">
        <v>10401</v>
      </c>
      <c r="E6182" s="674">
        <v>3</v>
      </c>
      <c r="F6182" s="675">
        <v>0.33</v>
      </c>
      <c r="G6182" s="676">
        <v>7957.6</v>
      </c>
      <c r="H6182" s="929">
        <v>1750.6720000000003</v>
      </c>
      <c r="I6182" s="929">
        <v>1750.6720000000003</v>
      </c>
      <c r="J6182" s="689">
        <f t="shared" si="97"/>
        <v>6206.9279999999999</v>
      </c>
    </row>
    <row r="6183" spans="1:10" ht="12.75" customHeight="1" x14ac:dyDescent="0.2">
      <c r="A6183" s="681">
        <v>1241</v>
      </c>
      <c r="B6183" s="693">
        <v>5151170021</v>
      </c>
      <c r="C6183" s="672" t="s">
        <v>8707</v>
      </c>
      <c r="D6183" s="809" t="s">
        <v>10401</v>
      </c>
      <c r="E6183" s="674">
        <v>3</v>
      </c>
      <c r="F6183" s="675">
        <v>0.33</v>
      </c>
      <c r="G6183" s="676">
        <v>7957.6</v>
      </c>
      <c r="H6183" s="929">
        <v>1750.6720000000003</v>
      </c>
      <c r="I6183" s="929">
        <v>1750.6720000000003</v>
      </c>
      <c r="J6183" s="689">
        <f t="shared" si="97"/>
        <v>6206.9279999999999</v>
      </c>
    </row>
    <row r="6184" spans="1:10" ht="12.75" customHeight="1" x14ac:dyDescent="0.2">
      <c r="A6184" s="681">
        <v>1241</v>
      </c>
      <c r="B6184" s="693">
        <v>5151260084</v>
      </c>
      <c r="C6184" s="672" t="s">
        <v>8708</v>
      </c>
      <c r="D6184" s="809" t="s">
        <v>10401</v>
      </c>
      <c r="E6184" s="674">
        <v>3</v>
      </c>
      <c r="F6184" s="675">
        <v>0.33</v>
      </c>
      <c r="G6184" s="676">
        <v>9744</v>
      </c>
      <c r="H6184" s="929">
        <v>2143.6799999999998</v>
      </c>
      <c r="I6184" s="929">
        <v>2143.6799999999998</v>
      </c>
      <c r="J6184" s="689">
        <f t="shared" si="97"/>
        <v>7600.32</v>
      </c>
    </row>
    <row r="6185" spans="1:10" ht="12.75" customHeight="1" x14ac:dyDescent="0.2">
      <c r="A6185" s="681">
        <v>1241</v>
      </c>
      <c r="B6185" s="693">
        <v>5151260085</v>
      </c>
      <c r="C6185" s="672" t="s">
        <v>8708</v>
      </c>
      <c r="D6185" s="809" t="s">
        <v>10401</v>
      </c>
      <c r="E6185" s="674">
        <v>3</v>
      </c>
      <c r="F6185" s="675">
        <v>0.33</v>
      </c>
      <c r="G6185" s="676">
        <v>9744</v>
      </c>
      <c r="H6185" s="929">
        <v>2143.6799999999998</v>
      </c>
      <c r="I6185" s="929">
        <v>2143.6799999999998</v>
      </c>
      <c r="J6185" s="689">
        <f t="shared" si="97"/>
        <v>7600.32</v>
      </c>
    </row>
    <row r="6186" spans="1:10" ht="12.75" customHeight="1" x14ac:dyDescent="0.2">
      <c r="A6186" s="681">
        <v>1241</v>
      </c>
      <c r="B6186" s="693">
        <v>5151260086</v>
      </c>
      <c r="C6186" s="672" t="s">
        <v>8708</v>
      </c>
      <c r="D6186" s="809" t="s">
        <v>10401</v>
      </c>
      <c r="E6186" s="674">
        <v>3</v>
      </c>
      <c r="F6186" s="675">
        <v>0.33</v>
      </c>
      <c r="G6186" s="676">
        <v>9744</v>
      </c>
      <c r="H6186" s="929">
        <v>2143.6799999999998</v>
      </c>
      <c r="I6186" s="929">
        <v>2143.6799999999998</v>
      </c>
      <c r="J6186" s="689">
        <f t="shared" si="97"/>
        <v>7600.32</v>
      </c>
    </row>
    <row r="6187" spans="1:10" ht="12.75" customHeight="1" x14ac:dyDescent="0.2">
      <c r="A6187" s="681">
        <v>1241</v>
      </c>
      <c r="B6187" s="693">
        <v>5151260088</v>
      </c>
      <c r="C6187" s="672" t="s">
        <v>8709</v>
      </c>
      <c r="D6187" s="809" t="s">
        <v>10401</v>
      </c>
      <c r="E6187" s="674">
        <v>3</v>
      </c>
      <c r="F6187" s="675">
        <v>0.33</v>
      </c>
      <c r="G6187" s="676">
        <v>6042.44</v>
      </c>
      <c r="H6187" s="929">
        <v>1329.3367999999998</v>
      </c>
      <c r="I6187" s="929">
        <v>1329.3367999999998</v>
      </c>
      <c r="J6187" s="689">
        <f t="shared" si="97"/>
        <v>4713.1031999999996</v>
      </c>
    </row>
    <row r="6188" spans="1:10" ht="12.75" customHeight="1" x14ac:dyDescent="0.2">
      <c r="A6188" s="681">
        <v>1241</v>
      </c>
      <c r="B6188" s="693">
        <v>5151260089</v>
      </c>
      <c r="C6188" s="672" t="s">
        <v>8709</v>
      </c>
      <c r="D6188" s="809" t="s">
        <v>10401</v>
      </c>
      <c r="E6188" s="674">
        <v>3</v>
      </c>
      <c r="F6188" s="675">
        <v>0.33</v>
      </c>
      <c r="G6188" s="676">
        <v>6042.44</v>
      </c>
      <c r="H6188" s="929">
        <v>1329.3367999999998</v>
      </c>
      <c r="I6188" s="929">
        <v>1329.3367999999998</v>
      </c>
      <c r="J6188" s="689">
        <f t="shared" si="97"/>
        <v>4713.1031999999996</v>
      </c>
    </row>
    <row r="6189" spans="1:10" ht="12.75" customHeight="1" x14ac:dyDescent="0.2">
      <c r="A6189" s="681">
        <v>1241</v>
      </c>
      <c r="B6189" s="693">
        <v>5150930072</v>
      </c>
      <c r="C6189" s="672" t="s">
        <v>8703</v>
      </c>
      <c r="D6189" s="809" t="s">
        <v>10401</v>
      </c>
      <c r="E6189" s="674">
        <v>3</v>
      </c>
      <c r="F6189" s="675">
        <v>0.33</v>
      </c>
      <c r="G6189" s="676">
        <v>2320</v>
      </c>
      <c r="H6189" s="929">
        <v>510.40000000000003</v>
      </c>
      <c r="I6189" s="929">
        <v>510.40000000000003</v>
      </c>
      <c r="J6189" s="689">
        <f t="shared" si="97"/>
        <v>1809.6</v>
      </c>
    </row>
    <row r="6190" spans="1:10" ht="12.75" customHeight="1" x14ac:dyDescent="0.2">
      <c r="A6190" s="681">
        <v>1241</v>
      </c>
      <c r="B6190" s="693">
        <v>5150930073</v>
      </c>
      <c r="C6190" s="672" t="s">
        <v>8703</v>
      </c>
      <c r="D6190" s="809" t="s">
        <v>10401</v>
      </c>
      <c r="E6190" s="674">
        <v>3</v>
      </c>
      <c r="F6190" s="675">
        <v>0.33</v>
      </c>
      <c r="G6190" s="676">
        <v>2320</v>
      </c>
      <c r="H6190" s="929">
        <v>510.40000000000003</v>
      </c>
      <c r="I6190" s="929">
        <v>510.40000000000003</v>
      </c>
      <c r="J6190" s="689">
        <f t="shared" si="97"/>
        <v>1809.6</v>
      </c>
    </row>
    <row r="6191" spans="1:10" ht="12.75" customHeight="1" x14ac:dyDescent="0.2">
      <c r="A6191" s="681">
        <v>1241</v>
      </c>
      <c r="B6191" s="693">
        <v>5151350087</v>
      </c>
      <c r="C6191" s="672" t="s">
        <v>8704</v>
      </c>
      <c r="D6191" s="809" t="s">
        <v>10401</v>
      </c>
      <c r="E6191" s="674">
        <v>3</v>
      </c>
      <c r="F6191" s="675">
        <v>0.33</v>
      </c>
      <c r="G6191" s="676">
        <v>348</v>
      </c>
      <c r="H6191" s="929">
        <v>76.56</v>
      </c>
      <c r="I6191" s="929">
        <v>76.56</v>
      </c>
      <c r="J6191" s="689">
        <f t="shared" si="97"/>
        <v>271.44</v>
      </c>
    </row>
    <row r="6192" spans="1:10" ht="12.75" customHeight="1" x14ac:dyDescent="0.2">
      <c r="A6192" s="681">
        <v>1241</v>
      </c>
      <c r="B6192" s="693">
        <v>5151350088</v>
      </c>
      <c r="C6192" s="672" t="s">
        <v>8704</v>
      </c>
      <c r="D6192" s="809" t="s">
        <v>10401</v>
      </c>
      <c r="E6192" s="674">
        <v>3</v>
      </c>
      <c r="F6192" s="675">
        <v>0.33</v>
      </c>
      <c r="G6192" s="676">
        <v>348</v>
      </c>
      <c r="H6192" s="929">
        <v>76.56</v>
      </c>
      <c r="I6192" s="929">
        <v>76.56</v>
      </c>
      <c r="J6192" s="689">
        <f t="shared" si="97"/>
        <v>271.44</v>
      </c>
    </row>
    <row r="6193" spans="1:10" ht="12.75" customHeight="1" x14ac:dyDescent="0.2">
      <c r="A6193" s="681">
        <v>1241</v>
      </c>
      <c r="B6193" s="693">
        <v>5410480024</v>
      </c>
      <c r="C6193" s="672" t="s">
        <v>8710</v>
      </c>
      <c r="D6193" s="809" t="s">
        <v>10401</v>
      </c>
      <c r="E6193" s="674">
        <v>5</v>
      </c>
      <c r="F6193" s="675">
        <v>0.2</v>
      </c>
      <c r="G6193" s="676">
        <v>25500</v>
      </c>
      <c r="H6193" s="929">
        <v>3400</v>
      </c>
      <c r="I6193" s="929">
        <v>3400</v>
      </c>
      <c r="J6193" s="689">
        <f t="shared" si="97"/>
        <v>22100</v>
      </c>
    </row>
    <row r="6194" spans="1:10" ht="12.75" customHeight="1" x14ac:dyDescent="0.2">
      <c r="A6194" s="681"/>
      <c r="B6194" s="693"/>
      <c r="C6194" s="672"/>
      <c r="D6194" s="809"/>
      <c r="E6194" s="674"/>
      <c r="F6194" s="675"/>
      <c r="G6194" s="676"/>
      <c r="H6194" s="929"/>
      <c r="I6194" s="929"/>
      <c r="J6194" s="689"/>
    </row>
    <row r="6195" spans="1:10" ht="12.75" customHeight="1" x14ac:dyDescent="0.2">
      <c r="A6195" s="681"/>
      <c r="B6195" s="693"/>
      <c r="C6195" s="672"/>
      <c r="D6195" s="809"/>
      <c r="E6195" s="674"/>
      <c r="F6195" s="675"/>
      <c r="G6195" s="676"/>
      <c r="H6195" s="929"/>
      <c r="I6195" s="929"/>
      <c r="J6195" s="689"/>
    </row>
    <row r="6196" spans="1:10" ht="12.75" customHeight="1" x14ac:dyDescent="0.2">
      <c r="A6196" s="681">
        <v>1241</v>
      </c>
      <c r="B6196" s="693">
        <v>5151260087</v>
      </c>
      <c r="C6196" s="672" t="s">
        <v>8711</v>
      </c>
      <c r="D6196" s="809" t="s">
        <v>10402</v>
      </c>
      <c r="E6196" s="674">
        <v>3</v>
      </c>
      <c r="F6196" s="675">
        <v>0.33</v>
      </c>
      <c r="G6196" s="676">
        <v>7748.8</v>
      </c>
      <c r="H6196" s="929">
        <v>1491.6440000000002</v>
      </c>
      <c r="I6196" s="929">
        <v>1491.6440000000002</v>
      </c>
      <c r="J6196" s="689">
        <f t="shared" si="97"/>
        <v>6257.1559999999999</v>
      </c>
    </row>
    <row r="6197" spans="1:10" ht="12.75" customHeight="1" x14ac:dyDescent="0.2">
      <c r="A6197" s="681">
        <v>1241</v>
      </c>
      <c r="B6197" s="693">
        <v>5151260090</v>
      </c>
      <c r="C6197" s="672" t="s">
        <v>8712</v>
      </c>
      <c r="D6197" s="809" t="s">
        <v>10402</v>
      </c>
      <c r="E6197" s="674">
        <v>3</v>
      </c>
      <c r="F6197" s="675">
        <v>0.33</v>
      </c>
      <c r="G6197" s="676">
        <v>6960</v>
      </c>
      <c r="H6197" s="929">
        <v>1339.8000000000002</v>
      </c>
      <c r="I6197" s="929">
        <v>1339.8000000000002</v>
      </c>
      <c r="J6197" s="689">
        <f t="shared" si="97"/>
        <v>5620.2</v>
      </c>
    </row>
    <row r="6198" spans="1:10" ht="12.75" customHeight="1" x14ac:dyDescent="0.2">
      <c r="A6198" s="681">
        <v>1246</v>
      </c>
      <c r="B6198" s="693">
        <v>5111050070</v>
      </c>
      <c r="C6198" s="672" t="s">
        <v>8713</v>
      </c>
      <c r="D6198" s="809" t="s">
        <v>10402</v>
      </c>
      <c r="E6198" s="674">
        <v>10</v>
      </c>
      <c r="F6198" s="675">
        <v>0.1</v>
      </c>
      <c r="G6198" s="676">
        <v>17499.009999999998</v>
      </c>
      <c r="H6198" s="929">
        <v>1020.7755833333331</v>
      </c>
      <c r="I6198" s="929">
        <v>1020.7755833333331</v>
      </c>
      <c r="J6198" s="689">
        <f t="shared" ref="J6198:J6261" si="98">G6198-I6198</f>
        <v>16478.234416666666</v>
      </c>
    </row>
    <row r="6199" spans="1:10" ht="12.75" customHeight="1" x14ac:dyDescent="0.2">
      <c r="A6199" s="681">
        <v>1246</v>
      </c>
      <c r="B6199" s="693">
        <v>5111050071</v>
      </c>
      <c r="C6199" s="672" t="s">
        <v>8713</v>
      </c>
      <c r="D6199" s="809" t="s">
        <v>10402</v>
      </c>
      <c r="E6199" s="674">
        <v>10</v>
      </c>
      <c r="F6199" s="675">
        <v>0.1</v>
      </c>
      <c r="G6199" s="676">
        <v>17499.009999999998</v>
      </c>
      <c r="H6199" s="929">
        <v>1020.7755833333331</v>
      </c>
      <c r="I6199" s="929">
        <v>1020.7755833333331</v>
      </c>
      <c r="J6199" s="689">
        <f t="shared" si="98"/>
        <v>16478.234416666666</v>
      </c>
    </row>
    <row r="6200" spans="1:10" ht="12.75" customHeight="1" x14ac:dyDescent="0.2">
      <c r="A6200" s="681"/>
      <c r="B6200" s="693"/>
      <c r="C6200" s="672"/>
      <c r="D6200" s="809"/>
      <c r="E6200" s="674"/>
      <c r="F6200" s="675"/>
      <c r="G6200" s="676"/>
      <c r="H6200" s="929"/>
      <c r="I6200" s="929"/>
      <c r="J6200" s="689"/>
    </row>
    <row r="6201" spans="1:10" ht="12.75" customHeight="1" x14ac:dyDescent="0.2">
      <c r="A6201" s="681">
        <v>1246</v>
      </c>
      <c r="B6201" s="693">
        <v>5111740001</v>
      </c>
      <c r="C6201" s="672" t="s">
        <v>8714</v>
      </c>
      <c r="D6201" s="809" t="s">
        <v>10403</v>
      </c>
      <c r="E6201" s="674">
        <v>10</v>
      </c>
      <c r="F6201" s="675">
        <v>0.1</v>
      </c>
      <c r="G6201" s="676">
        <v>6264</v>
      </c>
      <c r="H6201" s="929">
        <v>313.2</v>
      </c>
      <c r="I6201" s="929">
        <v>313.2</v>
      </c>
      <c r="J6201" s="689">
        <f t="shared" si="98"/>
        <v>5950.8</v>
      </c>
    </row>
    <row r="6202" spans="1:10" ht="12.75" customHeight="1" x14ac:dyDescent="0.2">
      <c r="A6202" s="681">
        <v>1246</v>
      </c>
      <c r="B6202" s="693">
        <v>5111740002</v>
      </c>
      <c r="C6202" s="672" t="s">
        <v>8714</v>
      </c>
      <c r="D6202" s="809" t="s">
        <v>10403</v>
      </c>
      <c r="E6202" s="674">
        <v>10</v>
      </c>
      <c r="F6202" s="675">
        <v>0.1</v>
      </c>
      <c r="G6202" s="676">
        <v>6264</v>
      </c>
      <c r="H6202" s="929">
        <v>313.2</v>
      </c>
      <c r="I6202" s="929">
        <v>313.2</v>
      </c>
      <c r="J6202" s="689">
        <f t="shared" si="98"/>
        <v>5950.8</v>
      </c>
    </row>
    <row r="6203" spans="1:10" ht="12.75" customHeight="1" x14ac:dyDescent="0.2">
      <c r="A6203" s="681">
        <v>1246</v>
      </c>
      <c r="B6203" s="693">
        <v>5111740017</v>
      </c>
      <c r="C6203" s="672" t="s">
        <v>8714</v>
      </c>
      <c r="D6203" s="809" t="s">
        <v>10403</v>
      </c>
      <c r="E6203" s="674">
        <v>10</v>
      </c>
      <c r="F6203" s="675">
        <v>0.1</v>
      </c>
      <c r="G6203" s="676">
        <v>6264</v>
      </c>
      <c r="H6203" s="929">
        <v>313.2</v>
      </c>
      <c r="I6203" s="929">
        <v>313.2</v>
      </c>
      <c r="J6203" s="689">
        <f t="shared" si="98"/>
        <v>5950.8</v>
      </c>
    </row>
    <row r="6204" spans="1:10" ht="12.75" customHeight="1" x14ac:dyDescent="0.2">
      <c r="A6204" s="681">
        <v>1246</v>
      </c>
      <c r="B6204" s="693">
        <v>5111740018</v>
      </c>
      <c r="C6204" s="672" t="s">
        <v>8714</v>
      </c>
      <c r="D6204" s="809" t="s">
        <v>10403</v>
      </c>
      <c r="E6204" s="674">
        <v>10</v>
      </c>
      <c r="F6204" s="675">
        <v>0.1</v>
      </c>
      <c r="G6204" s="676">
        <v>6264</v>
      </c>
      <c r="H6204" s="929">
        <v>313.2</v>
      </c>
      <c r="I6204" s="929">
        <v>313.2</v>
      </c>
      <c r="J6204" s="689">
        <f t="shared" si="98"/>
        <v>5950.8</v>
      </c>
    </row>
    <row r="6205" spans="1:10" ht="12.75" customHeight="1" x14ac:dyDescent="0.2">
      <c r="A6205" s="681">
        <v>1246</v>
      </c>
      <c r="B6205" s="693">
        <v>5111740019</v>
      </c>
      <c r="C6205" s="672" t="s">
        <v>8714</v>
      </c>
      <c r="D6205" s="809" t="s">
        <v>10403</v>
      </c>
      <c r="E6205" s="674">
        <v>10</v>
      </c>
      <c r="F6205" s="675">
        <v>0.1</v>
      </c>
      <c r="G6205" s="676">
        <v>6264</v>
      </c>
      <c r="H6205" s="929">
        <v>313.2</v>
      </c>
      <c r="I6205" s="929">
        <v>313.2</v>
      </c>
      <c r="J6205" s="689">
        <f t="shared" si="98"/>
        <v>5950.8</v>
      </c>
    </row>
    <row r="6206" spans="1:10" ht="12.75" customHeight="1" x14ac:dyDescent="0.2">
      <c r="A6206" s="681">
        <v>1246</v>
      </c>
      <c r="B6206" s="693">
        <v>5111740020</v>
      </c>
      <c r="C6206" s="672" t="s">
        <v>8714</v>
      </c>
      <c r="D6206" s="809" t="s">
        <v>10403</v>
      </c>
      <c r="E6206" s="674">
        <v>10</v>
      </c>
      <c r="F6206" s="675">
        <v>0.1</v>
      </c>
      <c r="G6206" s="676">
        <v>6264</v>
      </c>
      <c r="H6206" s="929">
        <v>313.2</v>
      </c>
      <c r="I6206" s="929">
        <v>313.2</v>
      </c>
      <c r="J6206" s="689">
        <f t="shared" si="98"/>
        <v>5950.8</v>
      </c>
    </row>
    <row r="6207" spans="1:10" ht="12.75" customHeight="1" x14ac:dyDescent="0.2">
      <c r="A6207" s="681">
        <v>1246</v>
      </c>
      <c r="B6207" s="693">
        <v>5111740003</v>
      </c>
      <c r="C6207" s="672" t="s">
        <v>8714</v>
      </c>
      <c r="D6207" s="809" t="s">
        <v>10403</v>
      </c>
      <c r="E6207" s="674">
        <v>10</v>
      </c>
      <c r="F6207" s="675">
        <v>0.1</v>
      </c>
      <c r="G6207" s="676">
        <v>6264</v>
      </c>
      <c r="H6207" s="929">
        <v>313.2</v>
      </c>
      <c r="I6207" s="929">
        <v>313.2</v>
      </c>
      <c r="J6207" s="689">
        <f t="shared" si="98"/>
        <v>5950.8</v>
      </c>
    </row>
    <row r="6208" spans="1:10" ht="12.75" customHeight="1" x14ac:dyDescent="0.2">
      <c r="A6208" s="681">
        <v>1246</v>
      </c>
      <c r="B6208" s="693">
        <v>5111740005</v>
      </c>
      <c r="C6208" s="672" t="s">
        <v>8714</v>
      </c>
      <c r="D6208" s="809" t="s">
        <v>10403</v>
      </c>
      <c r="E6208" s="674">
        <v>10</v>
      </c>
      <c r="F6208" s="675">
        <v>0.1</v>
      </c>
      <c r="G6208" s="676">
        <v>6264</v>
      </c>
      <c r="H6208" s="929">
        <v>313.2</v>
      </c>
      <c r="I6208" s="929">
        <v>313.2</v>
      </c>
      <c r="J6208" s="689">
        <f t="shared" si="98"/>
        <v>5950.8</v>
      </c>
    </row>
    <row r="6209" spans="1:10" ht="12.75" customHeight="1" x14ac:dyDescent="0.2">
      <c r="A6209" s="681">
        <v>1246</v>
      </c>
      <c r="B6209" s="693">
        <v>5111740006</v>
      </c>
      <c r="C6209" s="672" t="s">
        <v>8714</v>
      </c>
      <c r="D6209" s="809" t="s">
        <v>10403</v>
      </c>
      <c r="E6209" s="674">
        <v>10</v>
      </c>
      <c r="F6209" s="675">
        <v>0.1</v>
      </c>
      <c r="G6209" s="676">
        <v>6264</v>
      </c>
      <c r="H6209" s="929">
        <v>313.2</v>
      </c>
      <c r="I6209" s="929">
        <v>313.2</v>
      </c>
      <c r="J6209" s="689">
        <f t="shared" si="98"/>
        <v>5950.8</v>
      </c>
    </row>
    <row r="6210" spans="1:10" ht="12.75" customHeight="1" x14ac:dyDescent="0.2">
      <c r="A6210" s="681">
        <v>1246</v>
      </c>
      <c r="B6210" s="693">
        <v>5111740010</v>
      </c>
      <c r="C6210" s="672" t="s">
        <v>8714</v>
      </c>
      <c r="D6210" s="809" t="s">
        <v>10403</v>
      </c>
      <c r="E6210" s="674">
        <v>10</v>
      </c>
      <c r="F6210" s="675">
        <v>0.1</v>
      </c>
      <c r="G6210" s="676">
        <v>6264</v>
      </c>
      <c r="H6210" s="929">
        <v>313.2</v>
      </c>
      <c r="I6210" s="929">
        <v>313.2</v>
      </c>
      <c r="J6210" s="689">
        <f t="shared" si="98"/>
        <v>5950.8</v>
      </c>
    </row>
    <row r="6211" spans="1:10" ht="12.75" customHeight="1" x14ac:dyDescent="0.2">
      <c r="A6211" s="681">
        <v>1246</v>
      </c>
      <c r="B6211" s="693">
        <v>5111740012</v>
      </c>
      <c r="C6211" s="672" t="s">
        <v>8714</v>
      </c>
      <c r="D6211" s="809" t="s">
        <v>10403</v>
      </c>
      <c r="E6211" s="674">
        <v>10</v>
      </c>
      <c r="F6211" s="675">
        <v>0.1</v>
      </c>
      <c r="G6211" s="676">
        <v>6264</v>
      </c>
      <c r="H6211" s="929">
        <v>313.2</v>
      </c>
      <c r="I6211" s="929">
        <v>313.2</v>
      </c>
      <c r="J6211" s="689">
        <f t="shared" si="98"/>
        <v>5950.8</v>
      </c>
    </row>
    <row r="6212" spans="1:10" ht="12.75" customHeight="1" x14ac:dyDescent="0.2">
      <c r="A6212" s="681">
        <v>1246</v>
      </c>
      <c r="B6212" s="693">
        <v>5111740014</v>
      </c>
      <c r="C6212" s="672" t="s">
        <v>8714</v>
      </c>
      <c r="D6212" s="809" t="s">
        <v>10403</v>
      </c>
      <c r="E6212" s="674">
        <v>10</v>
      </c>
      <c r="F6212" s="675">
        <v>0.1</v>
      </c>
      <c r="G6212" s="676">
        <v>6264</v>
      </c>
      <c r="H6212" s="929">
        <v>313.2</v>
      </c>
      <c r="I6212" s="929">
        <v>313.2</v>
      </c>
      <c r="J6212" s="689">
        <f t="shared" si="98"/>
        <v>5950.8</v>
      </c>
    </row>
    <row r="6213" spans="1:10" ht="12.75" customHeight="1" x14ac:dyDescent="0.2">
      <c r="A6213" s="681">
        <v>1246</v>
      </c>
      <c r="B6213" s="693">
        <v>5111740015</v>
      </c>
      <c r="C6213" s="672" t="s">
        <v>8714</v>
      </c>
      <c r="D6213" s="809" t="s">
        <v>10403</v>
      </c>
      <c r="E6213" s="674">
        <v>10</v>
      </c>
      <c r="F6213" s="675">
        <v>0.1</v>
      </c>
      <c r="G6213" s="676">
        <v>6264</v>
      </c>
      <c r="H6213" s="929">
        <v>313.2</v>
      </c>
      <c r="I6213" s="929">
        <v>313.2</v>
      </c>
      <c r="J6213" s="689">
        <f t="shared" si="98"/>
        <v>5950.8</v>
      </c>
    </row>
    <row r="6214" spans="1:10" ht="12.75" customHeight="1" x14ac:dyDescent="0.2">
      <c r="A6214" s="681">
        <v>1246</v>
      </c>
      <c r="B6214" s="693">
        <v>5111740016</v>
      </c>
      <c r="C6214" s="672" t="s">
        <v>8714</v>
      </c>
      <c r="D6214" s="809" t="s">
        <v>10403</v>
      </c>
      <c r="E6214" s="674">
        <v>10</v>
      </c>
      <c r="F6214" s="675">
        <v>0.1</v>
      </c>
      <c r="G6214" s="676">
        <v>6264</v>
      </c>
      <c r="H6214" s="929">
        <v>313.2</v>
      </c>
      <c r="I6214" s="929">
        <v>313.2</v>
      </c>
      <c r="J6214" s="689">
        <f t="shared" si="98"/>
        <v>5950.8</v>
      </c>
    </row>
    <row r="6215" spans="1:10" ht="12.75" customHeight="1" x14ac:dyDescent="0.2">
      <c r="A6215" s="681">
        <v>1246</v>
      </c>
      <c r="B6215" s="693">
        <v>5112250003</v>
      </c>
      <c r="C6215" s="672" t="s">
        <v>8715</v>
      </c>
      <c r="D6215" s="809" t="s">
        <v>10403</v>
      </c>
      <c r="E6215" s="674">
        <v>10</v>
      </c>
      <c r="F6215" s="675">
        <v>0.1</v>
      </c>
      <c r="G6215" s="676">
        <v>24882</v>
      </c>
      <c r="H6215" s="929">
        <v>1244.0999999999999</v>
      </c>
      <c r="I6215" s="929">
        <v>1244.0999999999999</v>
      </c>
      <c r="J6215" s="689">
        <f t="shared" si="98"/>
        <v>23637.9</v>
      </c>
    </row>
    <row r="6216" spans="1:10" ht="12.75" customHeight="1" x14ac:dyDescent="0.2">
      <c r="A6216" s="681">
        <v>1246</v>
      </c>
      <c r="B6216" s="693">
        <v>5111740004</v>
      </c>
      <c r="C6216" s="672" t="s">
        <v>8716</v>
      </c>
      <c r="D6216" s="809" t="s">
        <v>10403</v>
      </c>
      <c r="E6216" s="674">
        <v>10</v>
      </c>
      <c r="F6216" s="675">
        <v>0.1</v>
      </c>
      <c r="G6216" s="676">
        <v>4364.9986666666673</v>
      </c>
      <c r="H6216" s="929">
        <v>218.24993333333333</v>
      </c>
      <c r="I6216" s="929">
        <v>218.24993333333333</v>
      </c>
      <c r="J6216" s="689">
        <f t="shared" si="98"/>
        <v>4146.7487333333338</v>
      </c>
    </row>
    <row r="6217" spans="1:10" ht="12.75" customHeight="1" x14ac:dyDescent="0.2">
      <c r="A6217" s="681">
        <v>1246</v>
      </c>
      <c r="B6217" s="693">
        <v>5111740007</v>
      </c>
      <c r="C6217" s="672" t="s">
        <v>8716</v>
      </c>
      <c r="D6217" s="809" t="s">
        <v>10403</v>
      </c>
      <c r="E6217" s="674">
        <v>10</v>
      </c>
      <c r="F6217" s="675">
        <v>0.1</v>
      </c>
      <c r="G6217" s="676">
        <v>4364.9986666666673</v>
      </c>
      <c r="H6217" s="929">
        <v>218.24993333333333</v>
      </c>
      <c r="I6217" s="929">
        <v>218.24993333333333</v>
      </c>
      <c r="J6217" s="689">
        <f t="shared" si="98"/>
        <v>4146.7487333333338</v>
      </c>
    </row>
    <row r="6218" spans="1:10" ht="12.75" customHeight="1" x14ac:dyDescent="0.2">
      <c r="A6218" s="681">
        <v>1246</v>
      </c>
      <c r="B6218" s="693">
        <v>5111740025</v>
      </c>
      <c r="C6218" s="672" t="s">
        <v>8716</v>
      </c>
      <c r="D6218" s="809" t="s">
        <v>10403</v>
      </c>
      <c r="E6218" s="674">
        <v>10</v>
      </c>
      <c r="F6218" s="675">
        <v>0.1</v>
      </c>
      <c r="G6218" s="676">
        <v>4364.9986666666673</v>
      </c>
      <c r="H6218" s="929">
        <v>218.24993333333333</v>
      </c>
      <c r="I6218" s="929">
        <v>218.24993333333333</v>
      </c>
      <c r="J6218" s="689">
        <f t="shared" si="98"/>
        <v>4146.7487333333338</v>
      </c>
    </row>
    <row r="6219" spans="1:10" ht="12.75" customHeight="1" x14ac:dyDescent="0.2">
      <c r="A6219" s="681">
        <v>1246</v>
      </c>
      <c r="B6219" s="693">
        <v>5111740026</v>
      </c>
      <c r="C6219" s="672" t="s">
        <v>8716</v>
      </c>
      <c r="D6219" s="809" t="s">
        <v>10403</v>
      </c>
      <c r="E6219" s="674">
        <v>10</v>
      </c>
      <c r="F6219" s="675">
        <v>0.1</v>
      </c>
      <c r="G6219" s="676">
        <v>4364.9986666666673</v>
      </c>
      <c r="H6219" s="929">
        <v>218.24993333333333</v>
      </c>
      <c r="I6219" s="929">
        <v>218.24993333333333</v>
      </c>
      <c r="J6219" s="689">
        <f t="shared" si="98"/>
        <v>4146.7487333333338</v>
      </c>
    </row>
    <row r="6220" spans="1:10" ht="12.75" customHeight="1" x14ac:dyDescent="0.2">
      <c r="A6220" s="681">
        <v>1246</v>
      </c>
      <c r="B6220" s="693">
        <v>5111740027</v>
      </c>
      <c r="C6220" s="672" t="s">
        <v>8716</v>
      </c>
      <c r="D6220" s="809" t="s">
        <v>10403</v>
      </c>
      <c r="E6220" s="674">
        <v>10</v>
      </c>
      <c r="F6220" s="675">
        <v>0.1</v>
      </c>
      <c r="G6220" s="676">
        <v>4364.9986666666673</v>
      </c>
      <c r="H6220" s="929">
        <v>218.24993333333333</v>
      </c>
      <c r="I6220" s="929">
        <v>218.24993333333333</v>
      </c>
      <c r="J6220" s="689">
        <f t="shared" si="98"/>
        <v>4146.7487333333338</v>
      </c>
    </row>
    <row r="6221" spans="1:10" ht="12.75" customHeight="1" x14ac:dyDescent="0.2">
      <c r="A6221" s="681">
        <v>1246</v>
      </c>
      <c r="B6221" s="693">
        <v>5111740028</v>
      </c>
      <c r="C6221" s="672" t="s">
        <v>8716</v>
      </c>
      <c r="D6221" s="809" t="s">
        <v>10403</v>
      </c>
      <c r="E6221" s="674">
        <v>10</v>
      </c>
      <c r="F6221" s="675">
        <v>0.1</v>
      </c>
      <c r="G6221" s="676">
        <v>4364.9986666666673</v>
      </c>
      <c r="H6221" s="929">
        <v>218.24993333333333</v>
      </c>
      <c r="I6221" s="929">
        <v>218.24993333333333</v>
      </c>
      <c r="J6221" s="689">
        <f t="shared" si="98"/>
        <v>4146.7487333333338</v>
      </c>
    </row>
    <row r="6222" spans="1:10" ht="12.75" customHeight="1" x14ac:dyDescent="0.2">
      <c r="A6222" s="681">
        <v>1246</v>
      </c>
      <c r="B6222" s="693">
        <v>5111740029</v>
      </c>
      <c r="C6222" s="672" t="s">
        <v>8716</v>
      </c>
      <c r="D6222" s="809" t="s">
        <v>10403</v>
      </c>
      <c r="E6222" s="674">
        <v>10</v>
      </c>
      <c r="F6222" s="675">
        <v>0.1</v>
      </c>
      <c r="G6222" s="676">
        <v>4364.9986666666673</v>
      </c>
      <c r="H6222" s="929">
        <v>218.24993333333333</v>
      </c>
      <c r="I6222" s="929">
        <v>218.24993333333333</v>
      </c>
      <c r="J6222" s="689">
        <f t="shared" si="98"/>
        <v>4146.7487333333338</v>
      </c>
    </row>
    <row r="6223" spans="1:10" ht="12.75" customHeight="1" x14ac:dyDescent="0.2">
      <c r="A6223" s="681">
        <v>1246</v>
      </c>
      <c r="B6223" s="693">
        <v>5111740030</v>
      </c>
      <c r="C6223" s="672" t="s">
        <v>8716</v>
      </c>
      <c r="D6223" s="809" t="s">
        <v>10403</v>
      </c>
      <c r="E6223" s="674">
        <v>10</v>
      </c>
      <c r="F6223" s="675">
        <v>0.1</v>
      </c>
      <c r="G6223" s="676">
        <v>4364.9986666666673</v>
      </c>
      <c r="H6223" s="929">
        <v>218.24993333333333</v>
      </c>
      <c r="I6223" s="929">
        <v>218.24993333333333</v>
      </c>
      <c r="J6223" s="689">
        <f t="shared" si="98"/>
        <v>4146.7487333333338</v>
      </c>
    </row>
    <row r="6224" spans="1:10" ht="12.75" customHeight="1" x14ac:dyDescent="0.2">
      <c r="A6224" s="681">
        <v>1246</v>
      </c>
      <c r="B6224" s="693">
        <v>5111740031</v>
      </c>
      <c r="C6224" s="672" t="s">
        <v>8716</v>
      </c>
      <c r="D6224" s="809" t="s">
        <v>10403</v>
      </c>
      <c r="E6224" s="674">
        <v>10</v>
      </c>
      <c r="F6224" s="675">
        <v>0.1</v>
      </c>
      <c r="G6224" s="676">
        <v>4364.9986666666673</v>
      </c>
      <c r="H6224" s="929">
        <v>218.24993333333333</v>
      </c>
      <c r="I6224" s="929">
        <v>218.24993333333333</v>
      </c>
      <c r="J6224" s="689">
        <f t="shared" si="98"/>
        <v>4146.7487333333338</v>
      </c>
    </row>
    <row r="6225" spans="1:10" ht="12.75" customHeight="1" x14ac:dyDescent="0.2">
      <c r="A6225" s="681">
        <v>1246</v>
      </c>
      <c r="B6225" s="693">
        <v>5111740032</v>
      </c>
      <c r="C6225" s="672" t="s">
        <v>8716</v>
      </c>
      <c r="D6225" s="809" t="s">
        <v>10403</v>
      </c>
      <c r="E6225" s="674">
        <v>10</v>
      </c>
      <c r="F6225" s="675">
        <v>0.1</v>
      </c>
      <c r="G6225" s="676">
        <v>4364.9986666666673</v>
      </c>
      <c r="H6225" s="929">
        <v>218.24993333333333</v>
      </c>
      <c r="I6225" s="929">
        <v>218.24993333333333</v>
      </c>
      <c r="J6225" s="689">
        <f t="shared" si="98"/>
        <v>4146.7487333333338</v>
      </c>
    </row>
    <row r="6226" spans="1:10" ht="12.75" customHeight="1" x14ac:dyDescent="0.2">
      <c r="A6226" s="681">
        <v>1246</v>
      </c>
      <c r="B6226" s="693">
        <v>5111740033</v>
      </c>
      <c r="C6226" s="672" t="s">
        <v>8716</v>
      </c>
      <c r="D6226" s="809" t="s">
        <v>10403</v>
      </c>
      <c r="E6226" s="674">
        <v>10</v>
      </c>
      <c r="F6226" s="675">
        <v>0.1</v>
      </c>
      <c r="G6226" s="676">
        <v>4364.9986666666673</v>
      </c>
      <c r="H6226" s="929">
        <v>218.24993333333333</v>
      </c>
      <c r="I6226" s="929">
        <v>218.24993333333333</v>
      </c>
      <c r="J6226" s="689">
        <f t="shared" si="98"/>
        <v>4146.7487333333338</v>
      </c>
    </row>
    <row r="6227" spans="1:10" ht="12.75" customHeight="1" x14ac:dyDescent="0.2">
      <c r="A6227" s="681">
        <v>1246</v>
      </c>
      <c r="B6227" s="693">
        <v>5111740034</v>
      </c>
      <c r="C6227" s="672" t="s">
        <v>8716</v>
      </c>
      <c r="D6227" s="809" t="s">
        <v>10403</v>
      </c>
      <c r="E6227" s="674">
        <v>10</v>
      </c>
      <c r="F6227" s="675">
        <v>0.1</v>
      </c>
      <c r="G6227" s="676">
        <v>4364.9986666666673</v>
      </c>
      <c r="H6227" s="929">
        <v>218.24993333333333</v>
      </c>
      <c r="I6227" s="929">
        <v>218.24993333333333</v>
      </c>
      <c r="J6227" s="689">
        <f t="shared" si="98"/>
        <v>4146.7487333333338</v>
      </c>
    </row>
    <row r="6228" spans="1:10" ht="12.75" customHeight="1" x14ac:dyDescent="0.2">
      <c r="A6228" s="681">
        <v>1246</v>
      </c>
      <c r="B6228" s="693">
        <v>5111740008</v>
      </c>
      <c r="C6228" s="672" t="s">
        <v>8716</v>
      </c>
      <c r="D6228" s="809" t="s">
        <v>10403</v>
      </c>
      <c r="E6228" s="674">
        <v>10</v>
      </c>
      <c r="F6228" s="675">
        <v>0.1</v>
      </c>
      <c r="G6228" s="676">
        <v>4364.9986666666673</v>
      </c>
      <c r="H6228" s="929">
        <v>218.24993333333333</v>
      </c>
      <c r="I6228" s="929">
        <v>218.24993333333333</v>
      </c>
      <c r="J6228" s="689">
        <f t="shared" si="98"/>
        <v>4146.7487333333338</v>
      </c>
    </row>
    <row r="6229" spans="1:10" ht="12.75" customHeight="1" x14ac:dyDescent="0.2">
      <c r="A6229" s="681">
        <v>1246</v>
      </c>
      <c r="B6229" s="693">
        <v>5111740035</v>
      </c>
      <c r="C6229" s="672" t="s">
        <v>8716</v>
      </c>
      <c r="D6229" s="809" t="s">
        <v>10403</v>
      </c>
      <c r="E6229" s="674">
        <v>10</v>
      </c>
      <c r="F6229" s="675">
        <v>0.1</v>
      </c>
      <c r="G6229" s="676">
        <v>4364.9986666666673</v>
      </c>
      <c r="H6229" s="929">
        <v>218.24993333333333</v>
      </c>
      <c r="I6229" s="929">
        <v>218.24993333333333</v>
      </c>
      <c r="J6229" s="689">
        <f t="shared" si="98"/>
        <v>4146.7487333333338</v>
      </c>
    </row>
    <row r="6230" spans="1:10" ht="12.75" customHeight="1" x14ac:dyDescent="0.2">
      <c r="A6230" s="681">
        <v>1246</v>
      </c>
      <c r="B6230" s="693">
        <v>5111740036</v>
      </c>
      <c r="C6230" s="672" t="s">
        <v>8716</v>
      </c>
      <c r="D6230" s="809" t="s">
        <v>10403</v>
      </c>
      <c r="E6230" s="674">
        <v>10</v>
      </c>
      <c r="F6230" s="675">
        <v>0.1</v>
      </c>
      <c r="G6230" s="676">
        <v>4364.9986666666673</v>
      </c>
      <c r="H6230" s="929">
        <v>218.24993333333333</v>
      </c>
      <c r="I6230" s="929">
        <v>218.24993333333333</v>
      </c>
      <c r="J6230" s="689">
        <f t="shared" si="98"/>
        <v>4146.7487333333338</v>
      </c>
    </row>
    <row r="6231" spans="1:10" ht="12.75" customHeight="1" x14ac:dyDescent="0.2">
      <c r="A6231" s="681">
        <v>1246</v>
      </c>
      <c r="B6231" s="693">
        <v>5111740037</v>
      </c>
      <c r="C6231" s="672" t="s">
        <v>8716</v>
      </c>
      <c r="D6231" s="809" t="s">
        <v>10403</v>
      </c>
      <c r="E6231" s="674">
        <v>10</v>
      </c>
      <c r="F6231" s="675">
        <v>0.1</v>
      </c>
      <c r="G6231" s="676">
        <v>4364.9986666666673</v>
      </c>
      <c r="H6231" s="929">
        <v>218.24993333333333</v>
      </c>
      <c r="I6231" s="929">
        <v>218.24993333333333</v>
      </c>
      <c r="J6231" s="689">
        <f t="shared" si="98"/>
        <v>4146.7487333333338</v>
      </c>
    </row>
    <row r="6232" spans="1:10" ht="12.75" customHeight="1" x14ac:dyDescent="0.2">
      <c r="A6232" s="681">
        <v>1246</v>
      </c>
      <c r="B6232" s="693">
        <v>5111740038</v>
      </c>
      <c r="C6232" s="672" t="s">
        <v>8716</v>
      </c>
      <c r="D6232" s="809" t="s">
        <v>10403</v>
      </c>
      <c r="E6232" s="674">
        <v>10</v>
      </c>
      <c r="F6232" s="675">
        <v>0.1</v>
      </c>
      <c r="G6232" s="676">
        <v>4364.9986666666673</v>
      </c>
      <c r="H6232" s="929">
        <v>218.24993333333333</v>
      </c>
      <c r="I6232" s="929">
        <v>218.24993333333333</v>
      </c>
      <c r="J6232" s="689">
        <f t="shared" si="98"/>
        <v>4146.7487333333338</v>
      </c>
    </row>
    <row r="6233" spans="1:10" ht="12.75" customHeight="1" x14ac:dyDescent="0.2">
      <c r="A6233" s="681">
        <v>1246</v>
      </c>
      <c r="B6233" s="693">
        <v>5111740039</v>
      </c>
      <c r="C6233" s="672" t="s">
        <v>8716</v>
      </c>
      <c r="D6233" s="809" t="s">
        <v>10403</v>
      </c>
      <c r="E6233" s="674">
        <v>10</v>
      </c>
      <c r="F6233" s="675">
        <v>0.1</v>
      </c>
      <c r="G6233" s="676">
        <v>4364.9986666666673</v>
      </c>
      <c r="H6233" s="929">
        <v>218.24993333333333</v>
      </c>
      <c r="I6233" s="929">
        <v>218.24993333333333</v>
      </c>
      <c r="J6233" s="689">
        <f t="shared" si="98"/>
        <v>4146.7487333333338</v>
      </c>
    </row>
    <row r="6234" spans="1:10" ht="12.75" customHeight="1" x14ac:dyDescent="0.2">
      <c r="A6234" s="681">
        <v>1246</v>
      </c>
      <c r="B6234" s="693">
        <v>5111740040</v>
      </c>
      <c r="C6234" s="672" t="s">
        <v>8716</v>
      </c>
      <c r="D6234" s="809" t="s">
        <v>10403</v>
      </c>
      <c r="E6234" s="674">
        <v>10</v>
      </c>
      <c r="F6234" s="675">
        <v>0.1</v>
      </c>
      <c r="G6234" s="676">
        <v>4364.9986666666673</v>
      </c>
      <c r="H6234" s="929">
        <v>218.24993333333333</v>
      </c>
      <c r="I6234" s="929">
        <v>218.24993333333333</v>
      </c>
      <c r="J6234" s="689">
        <f t="shared" si="98"/>
        <v>4146.7487333333338</v>
      </c>
    </row>
    <row r="6235" spans="1:10" ht="12.75" customHeight="1" x14ac:dyDescent="0.2">
      <c r="A6235" s="681">
        <v>1246</v>
      </c>
      <c r="B6235" s="693">
        <v>5111740041</v>
      </c>
      <c r="C6235" s="672" t="s">
        <v>8716</v>
      </c>
      <c r="D6235" s="809" t="s">
        <v>10403</v>
      </c>
      <c r="E6235" s="674">
        <v>10</v>
      </c>
      <c r="F6235" s="675">
        <v>0.1</v>
      </c>
      <c r="G6235" s="676">
        <v>4364.9986666666673</v>
      </c>
      <c r="H6235" s="929">
        <v>218.24993333333333</v>
      </c>
      <c r="I6235" s="929">
        <v>218.24993333333333</v>
      </c>
      <c r="J6235" s="689">
        <f t="shared" si="98"/>
        <v>4146.7487333333338</v>
      </c>
    </row>
    <row r="6236" spans="1:10" ht="12.75" customHeight="1" x14ac:dyDescent="0.2">
      <c r="A6236" s="681">
        <v>1246</v>
      </c>
      <c r="B6236" s="693">
        <v>5111740042</v>
      </c>
      <c r="C6236" s="672" t="s">
        <v>8716</v>
      </c>
      <c r="D6236" s="809" t="s">
        <v>10403</v>
      </c>
      <c r="E6236" s="674">
        <v>10</v>
      </c>
      <c r="F6236" s="675">
        <v>0.1</v>
      </c>
      <c r="G6236" s="676">
        <v>4364.9986666666673</v>
      </c>
      <c r="H6236" s="929">
        <v>218.24993333333333</v>
      </c>
      <c r="I6236" s="929">
        <v>218.24993333333333</v>
      </c>
      <c r="J6236" s="689">
        <f t="shared" si="98"/>
        <v>4146.7487333333338</v>
      </c>
    </row>
    <row r="6237" spans="1:10" ht="12.75" customHeight="1" x14ac:dyDescent="0.2">
      <c r="A6237" s="681">
        <v>1246</v>
      </c>
      <c r="B6237" s="693">
        <v>5111740043</v>
      </c>
      <c r="C6237" s="672" t="s">
        <v>8716</v>
      </c>
      <c r="D6237" s="809" t="s">
        <v>10403</v>
      </c>
      <c r="E6237" s="674">
        <v>10</v>
      </c>
      <c r="F6237" s="675">
        <v>0.1</v>
      </c>
      <c r="G6237" s="676">
        <v>4364.9986666666673</v>
      </c>
      <c r="H6237" s="929">
        <v>218.24993333333333</v>
      </c>
      <c r="I6237" s="929">
        <v>218.24993333333333</v>
      </c>
      <c r="J6237" s="689">
        <f t="shared" si="98"/>
        <v>4146.7487333333338</v>
      </c>
    </row>
    <row r="6238" spans="1:10" ht="12.75" customHeight="1" x14ac:dyDescent="0.2">
      <c r="A6238" s="681">
        <v>1246</v>
      </c>
      <c r="B6238" s="693">
        <v>5111740044</v>
      </c>
      <c r="C6238" s="672" t="s">
        <v>8716</v>
      </c>
      <c r="D6238" s="809" t="s">
        <v>10403</v>
      </c>
      <c r="E6238" s="674">
        <v>10</v>
      </c>
      <c r="F6238" s="675">
        <v>0.1</v>
      </c>
      <c r="G6238" s="676">
        <v>4364.9986666666673</v>
      </c>
      <c r="H6238" s="929">
        <v>218.24993333333333</v>
      </c>
      <c r="I6238" s="929">
        <v>218.24993333333333</v>
      </c>
      <c r="J6238" s="689">
        <f t="shared" si="98"/>
        <v>4146.7487333333338</v>
      </c>
    </row>
    <row r="6239" spans="1:10" ht="12.75" customHeight="1" x14ac:dyDescent="0.2">
      <c r="A6239" s="681">
        <v>1246</v>
      </c>
      <c r="B6239" s="693">
        <v>5111740009</v>
      </c>
      <c r="C6239" s="672" t="s">
        <v>8716</v>
      </c>
      <c r="D6239" s="809" t="s">
        <v>10403</v>
      </c>
      <c r="E6239" s="674">
        <v>10</v>
      </c>
      <c r="F6239" s="675">
        <v>0.1</v>
      </c>
      <c r="G6239" s="676">
        <v>4364.9986666666673</v>
      </c>
      <c r="H6239" s="929">
        <v>218.24993333333333</v>
      </c>
      <c r="I6239" s="929">
        <v>218.24993333333333</v>
      </c>
      <c r="J6239" s="689">
        <f t="shared" si="98"/>
        <v>4146.7487333333338</v>
      </c>
    </row>
    <row r="6240" spans="1:10" ht="12.75" customHeight="1" x14ac:dyDescent="0.2">
      <c r="A6240" s="681">
        <v>1246</v>
      </c>
      <c r="B6240" s="693">
        <v>5111740011</v>
      </c>
      <c r="C6240" s="672" t="s">
        <v>8716</v>
      </c>
      <c r="D6240" s="809" t="s">
        <v>10403</v>
      </c>
      <c r="E6240" s="674">
        <v>10</v>
      </c>
      <c r="F6240" s="675">
        <v>0.1</v>
      </c>
      <c r="G6240" s="676">
        <v>4364.9986666666673</v>
      </c>
      <c r="H6240" s="929">
        <v>218.24993333333333</v>
      </c>
      <c r="I6240" s="929">
        <v>218.24993333333333</v>
      </c>
      <c r="J6240" s="689">
        <f t="shared" si="98"/>
        <v>4146.7487333333338</v>
      </c>
    </row>
    <row r="6241" spans="1:10" ht="12.75" customHeight="1" x14ac:dyDescent="0.2">
      <c r="A6241" s="681">
        <v>1246</v>
      </c>
      <c r="B6241" s="693">
        <v>5111740013</v>
      </c>
      <c r="C6241" s="672" t="s">
        <v>8716</v>
      </c>
      <c r="D6241" s="809" t="s">
        <v>10403</v>
      </c>
      <c r="E6241" s="674">
        <v>10</v>
      </c>
      <c r="F6241" s="675">
        <v>0.1</v>
      </c>
      <c r="G6241" s="676">
        <v>4364.9986666666673</v>
      </c>
      <c r="H6241" s="929">
        <v>218.24993333333333</v>
      </c>
      <c r="I6241" s="929">
        <v>218.24993333333333</v>
      </c>
      <c r="J6241" s="689">
        <f t="shared" si="98"/>
        <v>4146.7487333333338</v>
      </c>
    </row>
    <row r="6242" spans="1:10" ht="12.75" customHeight="1" x14ac:dyDescent="0.2">
      <c r="A6242" s="681">
        <v>1246</v>
      </c>
      <c r="B6242" s="693">
        <v>5111740021</v>
      </c>
      <c r="C6242" s="672" t="s">
        <v>8716</v>
      </c>
      <c r="D6242" s="809" t="s">
        <v>10403</v>
      </c>
      <c r="E6242" s="674">
        <v>10</v>
      </c>
      <c r="F6242" s="675">
        <v>0.1</v>
      </c>
      <c r="G6242" s="676">
        <v>4364.9986666666673</v>
      </c>
      <c r="H6242" s="929">
        <v>218.24993333333333</v>
      </c>
      <c r="I6242" s="929">
        <v>218.24993333333333</v>
      </c>
      <c r="J6242" s="689">
        <f t="shared" si="98"/>
        <v>4146.7487333333338</v>
      </c>
    </row>
    <row r="6243" spans="1:10" ht="12.75" customHeight="1" x14ac:dyDescent="0.2">
      <c r="A6243" s="681">
        <v>1246</v>
      </c>
      <c r="B6243" s="693">
        <v>5111740022</v>
      </c>
      <c r="C6243" s="672" t="s">
        <v>8716</v>
      </c>
      <c r="D6243" s="809" t="s">
        <v>10403</v>
      </c>
      <c r="E6243" s="674">
        <v>10</v>
      </c>
      <c r="F6243" s="675">
        <v>0.1</v>
      </c>
      <c r="G6243" s="676">
        <v>4364.9986666666673</v>
      </c>
      <c r="H6243" s="929">
        <v>218.24993333333333</v>
      </c>
      <c r="I6243" s="929">
        <v>218.24993333333333</v>
      </c>
      <c r="J6243" s="689">
        <f t="shared" si="98"/>
        <v>4146.7487333333338</v>
      </c>
    </row>
    <row r="6244" spans="1:10" ht="12.75" customHeight="1" x14ac:dyDescent="0.2">
      <c r="A6244" s="681">
        <v>1246</v>
      </c>
      <c r="B6244" s="693">
        <v>5111740023</v>
      </c>
      <c r="C6244" s="672" t="s">
        <v>8716</v>
      </c>
      <c r="D6244" s="809" t="s">
        <v>10403</v>
      </c>
      <c r="E6244" s="674">
        <v>10</v>
      </c>
      <c r="F6244" s="675">
        <v>0.1</v>
      </c>
      <c r="G6244" s="676">
        <v>4364.9986666666673</v>
      </c>
      <c r="H6244" s="929">
        <v>218.24993333333333</v>
      </c>
      <c r="I6244" s="929">
        <v>218.24993333333333</v>
      </c>
      <c r="J6244" s="689">
        <f t="shared" si="98"/>
        <v>4146.7487333333338</v>
      </c>
    </row>
    <row r="6245" spans="1:10" ht="12.75" customHeight="1" x14ac:dyDescent="0.2">
      <c r="A6245" s="681">
        <v>1246</v>
      </c>
      <c r="B6245" s="693">
        <v>5111740024</v>
      </c>
      <c r="C6245" s="672" t="s">
        <v>8716</v>
      </c>
      <c r="D6245" s="809" t="s">
        <v>10403</v>
      </c>
      <c r="E6245" s="674">
        <v>10</v>
      </c>
      <c r="F6245" s="675">
        <v>0.1</v>
      </c>
      <c r="G6245" s="676">
        <v>4364.9986666666673</v>
      </c>
      <c r="H6245" s="929">
        <v>218.24993333333333</v>
      </c>
      <c r="I6245" s="929">
        <v>218.24993333333333</v>
      </c>
      <c r="J6245" s="689">
        <f t="shared" si="98"/>
        <v>4146.7487333333338</v>
      </c>
    </row>
    <row r="6246" spans="1:10" ht="12.75" customHeight="1" x14ac:dyDescent="0.2">
      <c r="A6246" s="681">
        <v>1246</v>
      </c>
      <c r="B6246" s="693">
        <v>5112570001</v>
      </c>
      <c r="C6246" s="672" t="s">
        <v>8717</v>
      </c>
      <c r="D6246" s="809" t="s">
        <v>10403</v>
      </c>
      <c r="E6246" s="674">
        <v>10</v>
      </c>
      <c r="F6246" s="675">
        <v>0.1</v>
      </c>
      <c r="G6246" s="676">
        <v>6677.03</v>
      </c>
      <c r="H6246" s="929">
        <v>333.85149999999999</v>
      </c>
      <c r="I6246" s="929">
        <v>333.85149999999999</v>
      </c>
      <c r="J6246" s="689">
        <f t="shared" si="98"/>
        <v>6343.1785</v>
      </c>
    </row>
    <row r="6247" spans="1:10" ht="12.75" customHeight="1" x14ac:dyDescent="0.2">
      <c r="A6247" s="681">
        <v>1246</v>
      </c>
      <c r="B6247" s="693">
        <v>5112570002</v>
      </c>
      <c r="C6247" s="672" t="s">
        <v>8717</v>
      </c>
      <c r="D6247" s="809" t="s">
        <v>10403</v>
      </c>
      <c r="E6247" s="674">
        <v>10</v>
      </c>
      <c r="F6247" s="675">
        <v>0.1</v>
      </c>
      <c r="G6247" s="676">
        <v>6677.03</v>
      </c>
      <c r="H6247" s="929">
        <v>333.85149999999999</v>
      </c>
      <c r="I6247" s="929">
        <v>333.85149999999999</v>
      </c>
      <c r="J6247" s="689">
        <f t="shared" si="98"/>
        <v>6343.1785</v>
      </c>
    </row>
    <row r="6248" spans="1:10" ht="12.75" customHeight="1" x14ac:dyDescent="0.2">
      <c r="A6248" s="681"/>
      <c r="B6248" s="693"/>
      <c r="C6248" s="672"/>
      <c r="D6248" s="809"/>
      <c r="E6248" s="674"/>
      <c r="F6248" s="675"/>
      <c r="G6248" s="676"/>
      <c r="H6248" s="929"/>
      <c r="I6248" s="929"/>
      <c r="J6248" s="689"/>
    </row>
    <row r="6249" spans="1:10" ht="12.75" customHeight="1" x14ac:dyDescent="0.2">
      <c r="A6249" s="681"/>
      <c r="B6249" s="693"/>
      <c r="C6249" s="672"/>
      <c r="D6249" s="809"/>
      <c r="E6249" s="674"/>
      <c r="F6249" s="675"/>
      <c r="G6249" s="676"/>
      <c r="H6249" s="929"/>
      <c r="I6249" s="929"/>
      <c r="J6249" s="689"/>
    </row>
    <row r="6250" spans="1:10" ht="12.75" customHeight="1" x14ac:dyDescent="0.2">
      <c r="A6250" s="681">
        <v>1241</v>
      </c>
      <c r="B6250" s="693">
        <v>5112230007</v>
      </c>
      <c r="C6250" s="672" t="s">
        <v>8718</v>
      </c>
      <c r="D6250" s="809" t="s">
        <v>10404</v>
      </c>
      <c r="E6250" s="674">
        <v>10</v>
      </c>
      <c r="F6250" s="675">
        <v>0.1</v>
      </c>
      <c r="G6250" s="676">
        <v>13496.599999999999</v>
      </c>
      <c r="H6250" s="929">
        <v>449.8866666666666</v>
      </c>
      <c r="I6250" s="929">
        <v>449.8866666666666</v>
      </c>
      <c r="J6250" s="689">
        <f t="shared" si="98"/>
        <v>13046.713333333331</v>
      </c>
    </row>
    <row r="6251" spans="1:10" ht="12.75" customHeight="1" x14ac:dyDescent="0.2">
      <c r="A6251" s="681">
        <v>1241</v>
      </c>
      <c r="B6251" s="693">
        <v>5110360063</v>
      </c>
      <c r="C6251" s="672" t="s">
        <v>8719</v>
      </c>
      <c r="D6251" s="809" t="s">
        <v>10404</v>
      </c>
      <c r="E6251" s="674">
        <v>10</v>
      </c>
      <c r="F6251" s="675">
        <v>0.1</v>
      </c>
      <c r="G6251" s="676">
        <v>3479.9999999999995</v>
      </c>
      <c r="H6251" s="929">
        <v>115.99999999999999</v>
      </c>
      <c r="I6251" s="929">
        <v>115.99999999999999</v>
      </c>
      <c r="J6251" s="689">
        <f t="shared" si="98"/>
        <v>3363.9999999999995</v>
      </c>
    </row>
    <row r="6252" spans="1:10" ht="12.75" customHeight="1" x14ac:dyDescent="0.2">
      <c r="A6252" s="681">
        <v>1241</v>
      </c>
      <c r="B6252" s="693">
        <v>5110760086</v>
      </c>
      <c r="C6252" s="672" t="s">
        <v>8720</v>
      </c>
      <c r="D6252" s="809" t="s">
        <v>10404</v>
      </c>
      <c r="E6252" s="674">
        <v>10</v>
      </c>
      <c r="F6252" s="675">
        <v>0.1</v>
      </c>
      <c r="G6252" s="676">
        <v>663.52</v>
      </c>
      <c r="H6252" s="929">
        <v>22.117333333333331</v>
      </c>
      <c r="I6252" s="929">
        <v>22.117333333333331</v>
      </c>
      <c r="J6252" s="689">
        <f t="shared" si="98"/>
        <v>641.40266666666662</v>
      </c>
    </row>
    <row r="6253" spans="1:10" ht="12.75" customHeight="1" x14ac:dyDescent="0.2">
      <c r="A6253" s="681">
        <v>1241</v>
      </c>
      <c r="B6253" s="693">
        <v>5111630035</v>
      </c>
      <c r="C6253" s="672" t="s">
        <v>8720</v>
      </c>
      <c r="D6253" s="809" t="s">
        <v>10404</v>
      </c>
      <c r="E6253" s="674">
        <v>10</v>
      </c>
      <c r="F6253" s="675">
        <v>0.1</v>
      </c>
      <c r="G6253" s="676">
        <v>663.52</v>
      </c>
      <c r="H6253" s="929">
        <v>22.117333333333331</v>
      </c>
      <c r="I6253" s="929">
        <v>22.117333333333331</v>
      </c>
      <c r="J6253" s="689">
        <f t="shared" si="98"/>
        <v>641.40266666666662</v>
      </c>
    </row>
    <row r="6254" spans="1:10" ht="12.75" customHeight="1" x14ac:dyDescent="0.2">
      <c r="A6254" s="681">
        <v>1241</v>
      </c>
      <c r="B6254" s="693">
        <v>5110760087</v>
      </c>
      <c r="C6254" s="672" t="s">
        <v>8720</v>
      </c>
      <c r="D6254" s="809" t="s">
        <v>10404</v>
      </c>
      <c r="E6254" s="674">
        <v>10</v>
      </c>
      <c r="F6254" s="675">
        <v>0.1</v>
      </c>
      <c r="G6254" s="676">
        <v>663.52</v>
      </c>
      <c r="H6254" s="929">
        <v>22.117333333333331</v>
      </c>
      <c r="I6254" s="929">
        <v>22.117333333333331</v>
      </c>
      <c r="J6254" s="689">
        <f t="shared" si="98"/>
        <v>641.40266666666662</v>
      </c>
    </row>
    <row r="6255" spans="1:10" ht="12.75" customHeight="1" x14ac:dyDescent="0.2">
      <c r="A6255" s="681">
        <v>1241</v>
      </c>
      <c r="B6255" s="693">
        <v>5110760088</v>
      </c>
      <c r="C6255" s="672" t="s">
        <v>8720</v>
      </c>
      <c r="D6255" s="809" t="s">
        <v>10404</v>
      </c>
      <c r="E6255" s="674">
        <v>10</v>
      </c>
      <c r="F6255" s="675">
        <v>0.1</v>
      </c>
      <c r="G6255" s="676">
        <v>663.52</v>
      </c>
      <c r="H6255" s="929">
        <v>22.117333333333331</v>
      </c>
      <c r="I6255" s="929">
        <v>22.117333333333331</v>
      </c>
      <c r="J6255" s="689">
        <f t="shared" si="98"/>
        <v>641.40266666666662</v>
      </c>
    </row>
    <row r="6256" spans="1:10" ht="12.75" customHeight="1" x14ac:dyDescent="0.2">
      <c r="A6256" s="681">
        <v>1241</v>
      </c>
      <c r="B6256" s="693">
        <v>5110760089</v>
      </c>
      <c r="C6256" s="672" t="s">
        <v>8720</v>
      </c>
      <c r="D6256" s="809" t="s">
        <v>10404</v>
      </c>
      <c r="E6256" s="674">
        <v>10</v>
      </c>
      <c r="F6256" s="675">
        <v>0.1</v>
      </c>
      <c r="G6256" s="676">
        <v>663.52</v>
      </c>
      <c r="H6256" s="929">
        <v>22.117333333333331</v>
      </c>
      <c r="I6256" s="929">
        <v>22.117333333333331</v>
      </c>
      <c r="J6256" s="689">
        <f t="shared" si="98"/>
        <v>641.40266666666662</v>
      </c>
    </row>
    <row r="6257" spans="1:10" ht="12.75" customHeight="1" x14ac:dyDescent="0.2">
      <c r="A6257" s="681">
        <v>1241</v>
      </c>
      <c r="B6257" s="693">
        <v>5110760090</v>
      </c>
      <c r="C6257" s="672" t="s">
        <v>8720</v>
      </c>
      <c r="D6257" s="809" t="s">
        <v>10404</v>
      </c>
      <c r="E6257" s="674">
        <v>10</v>
      </c>
      <c r="F6257" s="675">
        <v>0.1</v>
      </c>
      <c r="G6257" s="676">
        <v>663.52</v>
      </c>
      <c r="H6257" s="929">
        <v>22.117333333333331</v>
      </c>
      <c r="I6257" s="929">
        <v>22.117333333333331</v>
      </c>
      <c r="J6257" s="689">
        <f t="shared" si="98"/>
        <v>641.40266666666662</v>
      </c>
    </row>
    <row r="6258" spans="1:10" ht="12.75" customHeight="1" x14ac:dyDescent="0.2">
      <c r="A6258" s="681">
        <v>1241</v>
      </c>
      <c r="B6258" s="693">
        <v>5112230008</v>
      </c>
      <c r="C6258" s="672" t="s">
        <v>8721</v>
      </c>
      <c r="D6258" s="809" t="s">
        <v>10404</v>
      </c>
      <c r="E6258" s="674">
        <v>10</v>
      </c>
      <c r="F6258" s="675">
        <v>0.1</v>
      </c>
      <c r="G6258" s="676">
        <v>3242.2</v>
      </c>
      <c r="H6258" s="929">
        <v>108.07333333333332</v>
      </c>
      <c r="I6258" s="929">
        <v>108.07333333333332</v>
      </c>
      <c r="J6258" s="689">
        <f t="shared" si="98"/>
        <v>3134.1266666666666</v>
      </c>
    </row>
    <row r="6259" spans="1:10" ht="12.75" customHeight="1" x14ac:dyDescent="0.2">
      <c r="A6259" s="681">
        <v>1241</v>
      </c>
      <c r="B6259" s="693">
        <v>5111700021</v>
      </c>
      <c r="C6259" s="672" t="s">
        <v>8722</v>
      </c>
      <c r="D6259" s="809" t="s">
        <v>10404</v>
      </c>
      <c r="E6259" s="674">
        <v>10</v>
      </c>
      <c r="F6259" s="675">
        <v>0.1</v>
      </c>
      <c r="G6259" s="676">
        <v>2390.9225000000001</v>
      </c>
      <c r="H6259" s="929">
        <v>79.697416666666669</v>
      </c>
      <c r="I6259" s="929">
        <v>79.697416666666669</v>
      </c>
      <c r="J6259" s="689">
        <f t="shared" si="98"/>
        <v>2311.2250833333333</v>
      </c>
    </row>
    <row r="6260" spans="1:10" ht="12.75" customHeight="1" x14ac:dyDescent="0.2">
      <c r="A6260" s="681">
        <v>1241</v>
      </c>
      <c r="B6260" s="693">
        <v>5111700022</v>
      </c>
      <c r="C6260" s="672" t="s">
        <v>8722</v>
      </c>
      <c r="D6260" s="809" t="s">
        <v>10404</v>
      </c>
      <c r="E6260" s="674">
        <v>10</v>
      </c>
      <c r="F6260" s="675">
        <v>0.1</v>
      </c>
      <c r="G6260" s="676">
        <v>2390.9225000000001</v>
      </c>
      <c r="H6260" s="929">
        <v>79.697416666666669</v>
      </c>
      <c r="I6260" s="929">
        <v>79.697416666666669</v>
      </c>
      <c r="J6260" s="689">
        <f t="shared" si="98"/>
        <v>2311.2250833333333</v>
      </c>
    </row>
    <row r="6261" spans="1:10" ht="12.75" customHeight="1" x14ac:dyDescent="0.2">
      <c r="A6261" s="681">
        <v>1241</v>
      </c>
      <c r="B6261" s="693">
        <v>5111700031</v>
      </c>
      <c r="C6261" s="672" t="s">
        <v>8722</v>
      </c>
      <c r="D6261" s="809" t="s">
        <v>10404</v>
      </c>
      <c r="E6261" s="674">
        <v>10</v>
      </c>
      <c r="F6261" s="675">
        <v>0.1</v>
      </c>
      <c r="G6261" s="676">
        <v>2390.9225000000001</v>
      </c>
      <c r="H6261" s="929">
        <v>79.697416666666669</v>
      </c>
      <c r="I6261" s="929">
        <v>79.697416666666669</v>
      </c>
      <c r="J6261" s="689">
        <f t="shared" si="98"/>
        <v>2311.2250833333333</v>
      </c>
    </row>
    <row r="6262" spans="1:10" ht="12.75" customHeight="1" x14ac:dyDescent="0.2">
      <c r="A6262" s="681">
        <v>1241</v>
      </c>
      <c r="B6262" s="693">
        <v>5111700032</v>
      </c>
      <c r="C6262" s="672" t="s">
        <v>8722</v>
      </c>
      <c r="D6262" s="809" t="s">
        <v>10404</v>
      </c>
      <c r="E6262" s="674">
        <v>10</v>
      </c>
      <c r="F6262" s="675">
        <v>0.1</v>
      </c>
      <c r="G6262" s="676">
        <v>2390.9225000000001</v>
      </c>
      <c r="H6262" s="929">
        <v>79.697416666666669</v>
      </c>
      <c r="I6262" s="929">
        <v>79.697416666666669</v>
      </c>
      <c r="J6262" s="689">
        <f t="shared" ref="J6262:J6291" si="99">G6262-I6262</f>
        <v>2311.2250833333333</v>
      </c>
    </row>
    <row r="6263" spans="1:10" ht="12.75" customHeight="1" x14ac:dyDescent="0.2">
      <c r="A6263" s="681">
        <v>1241</v>
      </c>
      <c r="B6263" s="693">
        <v>5111700023</v>
      </c>
      <c r="C6263" s="672" t="s">
        <v>8722</v>
      </c>
      <c r="D6263" s="809" t="s">
        <v>10404</v>
      </c>
      <c r="E6263" s="674">
        <v>10</v>
      </c>
      <c r="F6263" s="675">
        <v>0.1</v>
      </c>
      <c r="G6263" s="676">
        <v>2390.9225000000001</v>
      </c>
      <c r="H6263" s="929">
        <v>79.697416666666669</v>
      </c>
      <c r="I6263" s="929">
        <v>79.697416666666669</v>
      </c>
      <c r="J6263" s="689">
        <f t="shared" si="99"/>
        <v>2311.2250833333333</v>
      </c>
    </row>
    <row r="6264" spans="1:10" ht="12.75" customHeight="1" x14ac:dyDescent="0.2">
      <c r="A6264" s="681">
        <v>1241</v>
      </c>
      <c r="B6264" s="693">
        <v>5111700024</v>
      </c>
      <c r="C6264" s="672" t="s">
        <v>8722</v>
      </c>
      <c r="D6264" s="809" t="s">
        <v>10404</v>
      </c>
      <c r="E6264" s="674">
        <v>10</v>
      </c>
      <c r="F6264" s="675">
        <v>0.1</v>
      </c>
      <c r="G6264" s="676">
        <v>2390.9225000000001</v>
      </c>
      <c r="H6264" s="929">
        <v>79.697416666666669</v>
      </c>
      <c r="I6264" s="929">
        <v>79.697416666666669</v>
      </c>
      <c r="J6264" s="689">
        <f t="shared" si="99"/>
        <v>2311.2250833333333</v>
      </c>
    </row>
    <row r="6265" spans="1:10" ht="12.75" customHeight="1" x14ac:dyDescent="0.2">
      <c r="A6265" s="681">
        <v>1241</v>
      </c>
      <c r="B6265" s="693">
        <v>5111700025</v>
      </c>
      <c r="C6265" s="672" t="s">
        <v>8722</v>
      </c>
      <c r="D6265" s="809" t="s">
        <v>10404</v>
      </c>
      <c r="E6265" s="674">
        <v>10</v>
      </c>
      <c r="F6265" s="675">
        <v>0.1</v>
      </c>
      <c r="G6265" s="676">
        <v>2390.9225000000001</v>
      </c>
      <c r="H6265" s="929">
        <v>79.697416666666669</v>
      </c>
      <c r="I6265" s="929">
        <v>79.697416666666669</v>
      </c>
      <c r="J6265" s="689">
        <f t="shared" si="99"/>
        <v>2311.2250833333333</v>
      </c>
    </row>
    <row r="6266" spans="1:10" ht="12.75" customHeight="1" x14ac:dyDescent="0.2">
      <c r="A6266" s="681">
        <v>1241</v>
      </c>
      <c r="B6266" s="693">
        <v>5111700026</v>
      </c>
      <c r="C6266" s="672" t="s">
        <v>8722</v>
      </c>
      <c r="D6266" s="809" t="s">
        <v>10404</v>
      </c>
      <c r="E6266" s="674">
        <v>10</v>
      </c>
      <c r="F6266" s="675">
        <v>0.1</v>
      </c>
      <c r="G6266" s="676">
        <v>2390.9225000000001</v>
      </c>
      <c r="H6266" s="929">
        <v>79.697416666666669</v>
      </c>
      <c r="I6266" s="929">
        <v>79.697416666666669</v>
      </c>
      <c r="J6266" s="689">
        <f t="shared" si="99"/>
        <v>2311.2250833333333</v>
      </c>
    </row>
    <row r="6267" spans="1:10" ht="12.75" customHeight="1" x14ac:dyDescent="0.2">
      <c r="A6267" s="681">
        <v>1241</v>
      </c>
      <c r="B6267" s="693">
        <v>5111700027</v>
      </c>
      <c r="C6267" s="672" t="s">
        <v>8722</v>
      </c>
      <c r="D6267" s="809" t="s">
        <v>10404</v>
      </c>
      <c r="E6267" s="674">
        <v>10</v>
      </c>
      <c r="F6267" s="675">
        <v>0.1</v>
      </c>
      <c r="G6267" s="676">
        <v>2390.9225000000001</v>
      </c>
      <c r="H6267" s="929">
        <v>79.697416666666669</v>
      </c>
      <c r="I6267" s="929">
        <v>79.697416666666669</v>
      </c>
      <c r="J6267" s="689">
        <f t="shared" si="99"/>
        <v>2311.2250833333333</v>
      </c>
    </row>
    <row r="6268" spans="1:10" ht="12.75" customHeight="1" x14ac:dyDescent="0.2">
      <c r="A6268" s="681">
        <v>1241</v>
      </c>
      <c r="B6268" s="693">
        <v>5111700028</v>
      </c>
      <c r="C6268" s="672" t="s">
        <v>8722</v>
      </c>
      <c r="D6268" s="809" t="s">
        <v>10404</v>
      </c>
      <c r="E6268" s="674">
        <v>10</v>
      </c>
      <c r="F6268" s="675">
        <v>0.1</v>
      </c>
      <c r="G6268" s="676">
        <v>2390.9225000000001</v>
      </c>
      <c r="H6268" s="929">
        <v>79.697416666666669</v>
      </c>
      <c r="I6268" s="929">
        <v>79.697416666666669</v>
      </c>
      <c r="J6268" s="689">
        <f t="shared" si="99"/>
        <v>2311.2250833333333</v>
      </c>
    </row>
    <row r="6269" spans="1:10" ht="12.75" customHeight="1" x14ac:dyDescent="0.2">
      <c r="A6269" s="681">
        <v>1241</v>
      </c>
      <c r="B6269" s="693">
        <v>5111700029</v>
      </c>
      <c r="C6269" s="672" t="s">
        <v>8722</v>
      </c>
      <c r="D6269" s="809" t="s">
        <v>10404</v>
      </c>
      <c r="E6269" s="674">
        <v>10</v>
      </c>
      <c r="F6269" s="675">
        <v>0.1</v>
      </c>
      <c r="G6269" s="676">
        <v>2390.9225000000001</v>
      </c>
      <c r="H6269" s="929">
        <v>79.697416666666669</v>
      </c>
      <c r="I6269" s="929">
        <v>79.697416666666669</v>
      </c>
      <c r="J6269" s="689">
        <f t="shared" si="99"/>
        <v>2311.2250833333333</v>
      </c>
    </row>
    <row r="6270" spans="1:10" ht="12.75" customHeight="1" x14ac:dyDescent="0.2">
      <c r="A6270" s="681">
        <v>1241</v>
      </c>
      <c r="B6270" s="693">
        <v>5111700030</v>
      </c>
      <c r="C6270" s="672" t="s">
        <v>8722</v>
      </c>
      <c r="D6270" s="809" t="s">
        <v>10404</v>
      </c>
      <c r="E6270" s="674">
        <v>10</v>
      </c>
      <c r="F6270" s="675">
        <v>0.1</v>
      </c>
      <c r="G6270" s="676">
        <v>2390.9225000000001</v>
      </c>
      <c r="H6270" s="929">
        <v>79.697416666666669</v>
      </c>
      <c r="I6270" s="929">
        <v>79.697416666666669</v>
      </c>
      <c r="J6270" s="689">
        <f t="shared" si="99"/>
        <v>2311.2250833333333</v>
      </c>
    </row>
    <row r="6271" spans="1:10" ht="12.75" customHeight="1" x14ac:dyDescent="0.2">
      <c r="A6271" s="681"/>
      <c r="B6271" s="693"/>
      <c r="C6271" s="672"/>
      <c r="D6271" s="809"/>
      <c r="E6271" s="674"/>
      <c r="F6271" s="675"/>
      <c r="G6271" s="676"/>
      <c r="H6271" s="929"/>
      <c r="I6271" s="929"/>
      <c r="J6271" s="689"/>
    </row>
    <row r="6272" spans="1:10" ht="12.75" customHeight="1" x14ac:dyDescent="0.2">
      <c r="A6272" s="681">
        <v>1241</v>
      </c>
      <c r="B6272" s="693">
        <v>5111510005</v>
      </c>
      <c r="C6272" s="672" t="s">
        <v>8723</v>
      </c>
      <c r="D6272" s="809" t="s">
        <v>10405</v>
      </c>
      <c r="E6272" s="674">
        <v>10</v>
      </c>
      <c r="F6272" s="675">
        <v>0.1</v>
      </c>
      <c r="G6272" s="676">
        <v>1999</v>
      </c>
      <c r="H6272" s="929">
        <v>49.974999999999994</v>
      </c>
      <c r="I6272" s="929">
        <v>49.974999999999994</v>
      </c>
      <c r="J6272" s="689">
        <f t="shared" si="99"/>
        <v>1949.0250000000001</v>
      </c>
    </row>
    <row r="6273" spans="1:10" ht="12.75" customHeight="1" x14ac:dyDescent="0.2">
      <c r="A6273" s="681"/>
      <c r="B6273" s="693"/>
      <c r="C6273" s="672"/>
      <c r="D6273" s="809"/>
      <c r="E6273" s="674"/>
      <c r="F6273" s="675"/>
      <c r="G6273" s="676"/>
      <c r="H6273" s="929"/>
      <c r="I6273" s="929"/>
      <c r="J6273" s="689"/>
    </row>
    <row r="6274" spans="1:10" ht="12.75" customHeight="1" x14ac:dyDescent="0.2">
      <c r="A6274" s="681">
        <v>1241</v>
      </c>
      <c r="B6274" s="693">
        <v>5110070001</v>
      </c>
      <c r="C6274" s="672" t="s">
        <v>8724</v>
      </c>
      <c r="D6274" s="809" t="s">
        <v>10406</v>
      </c>
      <c r="E6274" s="674">
        <v>10</v>
      </c>
      <c r="F6274" s="675">
        <v>0.1</v>
      </c>
      <c r="G6274" s="676">
        <v>919.99599999999998</v>
      </c>
      <c r="H6274" s="929">
        <v>15.333266666666667</v>
      </c>
      <c r="I6274" s="929">
        <v>15.333266666666667</v>
      </c>
      <c r="J6274" s="689">
        <f t="shared" si="99"/>
        <v>904.66273333333334</v>
      </c>
    </row>
    <row r="6275" spans="1:10" ht="12.75" customHeight="1" x14ac:dyDescent="0.2">
      <c r="A6275" s="681">
        <v>1241</v>
      </c>
      <c r="B6275" s="693">
        <v>5111280003</v>
      </c>
      <c r="C6275" s="672" t="s">
        <v>8725</v>
      </c>
      <c r="D6275" s="809" t="s">
        <v>10406</v>
      </c>
      <c r="E6275" s="674">
        <v>10</v>
      </c>
      <c r="F6275" s="675">
        <v>0.1</v>
      </c>
      <c r="G6275" s="676">
        <v>1185</v>
      </c>
      <c r="H6275" s="929">
        <v>19.75</v>
      </c>
      <c r="I6275" s="929">
        <v>19.75</v>
      </c>
      <c r="J6275" s="689">
        <f t="shared" si="99"/>
        <v>1165.25</v>
      </c>
    </row>
    <row r="6276" spans="1:10" ht="12.75" customHeight="1" x14ac:dyDescent="0.2">
      <c r="A6276" s="681"/>
      <c r="B6276" s="693"/>
      <c r="C6276" s="672"/>
      <c r="D6276" s="809"/>
      <c r="E6276" s="674"/>
      <c r="F6276" s="675"/>
      <c r="G6276" s="676"/>
      <c r="H6276" s="929"/>
      <c r="I6276" s="929"/>
      <c r="J6276" s="689"/>
    </row>
    <row r="6277" spans="1:10" ht="12.75" customHeight="1" x14ac:dyDescent="0.2">
      <c r="A6277" s="681">
        <v>1241</v>
      </c>
      <c r="B6277" s="693">
        <v>5111550004</v>
      </c>
      <c r="C6277" s="672" t="s">
        <v>8726</v>
      </c>
      <c r="D6277" s="809" t="s">
        <v>10407</v>
      </c>
      <c r="E6277" s="674">
        <v>10</v>
      </c>
      <c r="F6277" s="675">
        <v>0.1</v>
      </c>
      <c r="G6277" s="676">
        <v>3959.08</v>
      </c>
      <c r="H6277" s="929">
        <v>32.992333333333335</v>
      </c>
      <c r="I6277" s="929">
        <v>32.992333333333335</v>
      </c>
      <c r="J6277" s="689">
        <f t="shared" si="99"/>
        <v>3926.0876666666668</v>
      </c>
    </row>
    <row r="6278" spans="1:10" ht="12.75" customHeight="1" x14ac:dyDescent="0.2">
      <c r="A6278" s="681">
        <v>1241</v>
      </c>
      <c r="B6278" s="693">
        <v>5112520005</v>
      </c>
      <c r="C6278" s="672" t="s">
        <v>8727</v>
      </c>
      <c r="D6278" s="809" t="s">
        <v>10407</v>
      </c>
      <c r="E6278" s="674">
        <v>10</v>
      </c>
      <c r="F6278" s="675">
        <v>0.1</v>
      </c>
      <c r="G6278" s="676">
        <v>5098.99</v>
      </c>
      <c r="H6278" s="929">
        <v>42.491583333333331</v>
      </c>
      <c r="I6278" s="929">
        <v>42.491583333333331</v>
      </c>
      <c r="J6278" s="689">
        <f t="shared" si="99"/>
        <v>5056.4984166666663</v>
      </c>
    </row>
    <row r="6279" spans="1:10" ht="12.75" customHeight="1" x14ac:dyDescent="0.2">
      <c r="A6279" s="681">
        <v>1241</v>
      </c>
      <c r="B6279" s="693">
        <v>5151170022</v>
      </c>
      <c r="C6279" s="672" t="s">
        <v>8728</v>
      </c>
      <c r="D6279" s="809" t="s">
        <v>10407</v>
      </c>
      <c r="E6279" s="674">
        <v>3</v>
      </c>
      <c r="F6279" s="675">
        <v>0.33</v>
      </c>
      <c r="G6279" s="676">
        <v>2989</v>
      </c>
      <c r="H6279" s="929">
        <v>82.197500000000005</v>
      </c>
      <c r="I6279" s="929">
        <v>82.197500000000005</v>
      </c>
      <c r="J6279" s="689">
        <f t="shared" si="99"/>
        <v>2906.8024999999998</v>
      </c>
    </row>
    <row r="6280" spans="1:10" ht="12.75" customHeight="1" x14ac:dyDescent="0.2">
      <c r="A6280" s="681">
        <v>1241</v>
      </c>
      <c r="B6280" s="693" t="s">
        <v>12255</v>
      </c>
      <c r="C6280" s="672" t="s">
        <v>8729</v>
      </c>
      <c r="D6280" s="809" t="s">
        <v>10407</v>
      </c>
      <c r="E6280" s="674">
        <v>3</v>
      </c>
      <c r="F6280" s="675">
        <v>0.33</v>
      </c>
      <c r="G6280" s="676">
        <v>5100.01</v>
      </c>
      <c r="H6280" s="929">
        <v>140.25027500000002</v>
      </c>
      <c r="I6280" s="929">
        <v>140.25027500000002</v>
      </c>
      <c r="J6280" s="689">
        <f t="shared" si="99"/>
        <v>4959.7597249999999</v>
      </c>
    </row>
    <row r="6281" spans="1:10" ht="12.75" customHeight="1" x14ac:dyDescent="0.2">
      <c r="A6281" s="681">
        <v>1241</v>
      </c>
      <c r="B6281" s="693">
        <v>5151180021</v>
      </c>
      <c r="C6281" s="672" t="s">
        <v>8730</v>
      </c>
      <c r="D6281" s="809" t="s">
        <v>10407</v>
      </c>
      <c r="E6281" s="674">
        <v>3</v>
      </c>
      <c r="F6281" s="675">
        <v>0.33</v>
      </c>
      <c r="G6281" s="676">
        <v>3120.4</v>
      </c>
      <c r="H6281" s="929">
        <v>85.811000000000007</v>
      </c>
      <c r="I6281" s="929">
        <v>85.811000000000007</v>
      </c>
      <c r="J6281" s="689">
        <f t="shared" si="99"/>
        <v>3034.5889999999999</v>
      </c>
    </row>
    <row r="6282" spans="1:10" ht="12.75" customHeight="1" x14ac:dyDescent="0.2">
      <c r="A6282" s="681">
        <v>1241</v>
      </c>
      <c r="B6282" s="693">
        <v>5111280004</v>
      </c>
      <c r="C6282" s="672" t="s">
        <v>867</v>
      </c>
      <c r="D6282" s="809" t="s">
        <v>10407</v>
      </c>
      <c r="E6282" s="674">
        <v>10</v>
      </c>
      <c r="F6282" s="675">
        <v>0.1</v>
      </c>
      <c r="G6282" s="676">
        <v>765.59999999999991</v>
      </c>
      <c r="H6282" s="929">
        <v>6.379999999999999</v>
      </c>
      <c r="I6282" s="929">
        <v>6.379999999999999</v>
      </c>
      <c r="J6282" s="689">
        <f t="shared" si="99"/>
        <v>759.21999999999991</v>
      </c>
    </row>
    <row r="6283" spans="1:10" ht="12.75" customHeight="1" x14ac:dyDescent="0.2">
      <c r="A6283" s="681">
        <v>1241</v>
      </c>
      <c r="B6283" s="693">
        <v>5110070002</v>
      </c>
      <c r="C6283" s="672" t="s">
        <v>8731</v>
      </c>
      <c r="D6283" s="809" t="s">
        <v>10407</v>
      </c>
      <c r="E6283" s="674">
        <v>10</v>
      </c>
      <c r="F6283" s="675">
        <v>0.1</v>
      </c>
      <c r="G6283" s="676">
        <v>2310.7199999999998</v>
      </c>
      <c r="H6283" s="929">
        <v>19.255999999999997</v>
      </c>
      <c r="I6283" s="929">
        <v>19.255999999999997</v>
      </c>
      <c r="J6283" s="689">
        <f t="shared" si="99"/>
        <v>2291.4639999999999</v>
      </c>
    </row>
    <row r="6284" spans="1:10" ht="12.75" customHeight="1" x14ac:dyDescent="0.2">
      <c r="A6284" s="681">
        <v>1241</v>
      </c>
      <c r="B6284" s="693">
        <v>5652270021</v>
      </c>
      <c r="C6284" s="672" t="s">
        <v>8732</v>
      </c>
      <c r="D6284" s="809" t="s">
        <v>10407</v>
      </c>
      <c r="E6284" s="674">
        <v>3</v>
      </c>
      <c r="F6284" s="675">
        <v>0.33</v>
      </c>
      <c r="G6284" s="676">
        <v>2399.25</v>
      </c>
      <c r="H6284" s="929">
        <v>65.979375000000005</v>
      </c>
      <c r="I6284" s="929">
        <v>65.979375000000005</v>
      </c>
      <c r="J6284" s="689">
        <f t="shared" si="99"/>
        <v>2333.2706250000001</v>
      </c>
    </row>
    <row r="6285" spans="1:10" ht="12.75" customHeight="1" x14ac:dyDescent="0.2">
      <c r="A6285" s="681"/>
      <c r="B6285" s="693"/>
      <c r="C6285" s="672"/>
      <c r="D6285" s="809"/>
      <c r="E6285" s="674"/>
      <c r="F6285" s="675"/>
      <c r="G6285" s="676"/>
      <c r="H6285" s="929">
        <v>0</v>
      </c>
      <c r="I6285" s="929">
        <v>0</v>
      </c>
      <c r="J6285" s="689">
        <f t="shared" si="99"/>
        <v>0</v>
      </c>
    </row>
    <row r="6286" spans="1:10" ht="12.75" customHeight="1" x14ac:dyDescent="0.2">
      <c r="A6286" s="681">
        <v>1241</v>
      </c>
      <c r="B6286" s="693">
        <v>5150590005</v>
      </c>
      <c r="C6286" s="672" t="s">
        <v>8733</v>
      </c>
      <c r="D6286" s="809" t="s">
        <v>10408</v>
      </c>
      <c r="E6286" s="674">
        <v>3</v>
      </c>
      <c r="F6286" s="675">
        <v>0.33</v>
      </c>
      <c r="G6286" s="676">
        <v>3410.4</v>
      </c>
      <c r="H6286" s="929">
        <v>0</v>
      </c>
      <c r="I6286" s="929">
        <v>0</v>
      </c>
      <c r="J6286" s="689">
        <f t="shared" si="99"/>
        <v>3410.4</v>
      </c>
    </row>
    <row r="6287" spans="1:10" ht="12.75" customHeight="1" x14ac:dyDescent="0.2">
      <c r="A6287" s="681">
        <v>1241</v>
      </c>
      <c r="B6287" s="693">
        <v>5650670045</v>
      </c>
      <c r="C6287" s="672" t="s">
        <v>8734</v>
      </c>
      <c r="D6287" s="809" t="s">
        <v>10408</v>
      </c>
      <c r="E6287" s="674">
        <v>3</v>
      </c>
      <c r="F6287" s="675">
        <v>0.33</v>
      </c>
      <c r="G6287" s="676">
        <v>2030</v>
      </c>
      <c r="H6287" s="929">
        <v>0</v>
      </c>
      <c r="I6287" s="929">
        <v>0</v>
      </c>
      <c r="J6287" s="689">
        <f t="shared" si="99"/>
        <v>2030</v>
      </c>
    </row>
    <row r="6288" spans="1:10" ht="12.75" customHeight="1" x14ac:dyDescent="0.2">
      <c r="A6288" s="681">
        <v>1241</v>
      </c>
      <c r="B6288" s="693">
        <v>5650670046</v>
      </c>
      <c r="C6288" s="672" t="s">
        <v>8734</v>
      </c>
      <c r="D6288" s="809" t="s">
        <v>10408</v>
      </c>
      <c r="E6288" s="674">
        <v>3</v>
      </c>
      <c r="F6288" s="675">
        <v>0.33</v>
      </c>
      <c r="G6288" s="676">
        <v>2030</v>
      </c>
      <c r="H6288" s="929">
        <v>0</v>
      </c>
      <c r="I6288" s="929">
        <v>0</v>
      </c>
      <c r="J6288" s="689">
        <f t="shared" si="99"/>
        <v>2030</v>
      </c>
    </row>
    <row r="6289" spans="1:57" ht="12.75" customHeight="1" x14ac:dyDescent="0.2">
      <c r="A6289" s="681">
        <v>1241</v>
      </c>
      <c r="B6289" s="693">
        <v>5652470004</v>
      </c>
      <c r="C6289" s="672" t="s">
        <v>8735</v>
      </c>
      <c r="D6289" s="809" t="s">
        <v>10408</v>
      </c>
      <c r="E6289" s="674">
        <v>3</v>
      </c>
      <c r="F6289" s="675">
        <v>0.33</v>
      </c>
      <c r="G6289" s="676">
        <v>13920</v>
      </c>
      <c r="H6289" s="929">
        <v>0</v>
      </c>
      <c r="I6289" s="929">
        <v>0</v>
      </c>
      <c r="J6289" s="689">
        <f t="shared" si="99"/>
        <v>13920</v>
      </c>
    </row>
    <row r="6290" spans="1:57" ht="12.75" customHeight="1" x14ac:dyDescent="0.2">
      <c r="A6290" s="681">
        <v>1241</v>
      </c>
      <c r="B6290" s="693">
        <v>5652270019</v>
      </c>
      <c r="C6290" s="672" t="s">
        <v>8736</v>
      </c>
      <c r="D6290" s="809" t="s">
        <v>10408</v>
      </c>
      <c r="E6290" s="674">
        <v>3</v>
      </c>
      <c r="F6290" s="675">
        <v>0.33</v>
      </c>
      <c r="G6290" s="676">
        <v>4152.8</v>
      </c>
      <c r="H6290" s="929">
        <v>0</v>
      </c>
      <c r="I6290" s="929">
        <v>0</v>
      </c>
      <c r="J6290" s="689">
        <f t="shared" si="99"/>
        <v>4152.8</v>
      </c>
    </row>
    <row r="6291" spans="1:57" ht="12.75" customHeight="1" x14ac:dyDescent="0.2">
      <c r="A6291" s="681">
        <v>1241</v>
      </c>
      <c r="B6291" s="693">
        <v>5652270020</v>
      </c>
      <c r="C6291" s="672" t="s">
        <v>8736</v>
      </c>
      <c r="D6291" s="809" t="s">
        <v>10408</v>
      </c>
      <c r="E6291" s="674">
        <v>3</v>
      </c>
      <c r="F6291" s="675">
        <v>0.33</v>
      </c>
      <c r="G6291" s="676">
        <v>4152.8</v>
      </c>
      <c r="H6291" s="929">
        <v>0</v>
      </c>
      <c r="I6291" s="929">
        <v>0</v>
      </c>
      <c r="J6291" s="689">
        <f t="shared" si="99"/>
        <v>4152.8</v>
      </c>
    </row>
    <row r="6292" spans="1:57" ht="12.75" customHeight="1" x14ac:dyDescent="0.2">
      <c r="A6292" s="681"/>
      <c r="B6292" s="693"/>
      <c r="C6292" s="672"/>
      <c r="D6292" s="809"/>
      <c r="E6292" s="674"/>
      <c r="F6292" s="675"/>
      <c r="G6292" s="676"/>
      <c r="H6292" s="676"/>
      <c r="I6292" s="676"/>
      <c r="J6292" s="689"/>
    </row>
    <row r="6293" spans="1:57" ht="12.75" customHeight="1" x14ac:dyDescent="0.2">
      <c r="A6293" s="681"/>
      <c r="B6293" s="693"/>
      <c r="C6293" s="672"/>
      <c r="D6293" s="673"/>
      <c r="E6293" s="674"/>
      <c r="F6293" s="675"/>
      <c r="G6293" s="676"/>
      <c r="H6293" s="676"/>
      <c r="I6293" s="676"/>
      <c r="J6293" s="689"/>
    </row>
    <row r="6294" spans="1:57" ht="12.75" customHeight="1" x14ac:dyDescent="0.2">
      <c r="A6294" s="681"/>
      <c r="B6294" s="693"/>
      <c r="C6294" s="672"/>
      <c r="D6294" s="673"/>
      <c r="E6294" s="674"/>
      <c r="F6294" s="675"/>
      <c r="G6294" s="676">
        <f>SUM(G67:G6293)</f>
        <v>137169749.2955229</v>
      </c>
      <c r="H6294" s="676">
        <f t="shared" ref="H6294:J6294" si="100">SUM(H67:H6293)</f>
        <v>15750312.06983434</v>
      </c>
      <c r="I6294" s="676">
        <f t="shared" si="100"/>
        <v>94840726.330140173</v>
      </c>
      <c r="J6294" s="689">
        <f t="shared" si="100"/>
        <v>42329022.965382881</v>
      </c>
    </row>
    <row r="6295" spans="1:57" ht="13.5" customHeight="1" thickBot="1" x14ac:dyDescent="0.25">
      <c r="A6295" s="683"/>
      <c r="B6295" s="694"/>
      <c r="C6295" s="677"/>
      <c r="D6295" s="678"/>
      <c r="E6295" s="677"/>
      <c r="F6295" s="679"/>
      <c r="G6295" s="680"/>
      <c r="H6295" s="677"/>
      <c r="I6295" s="677"/>
      <c r="J6295" s="690"/>
    </row>
    <row r="6296" spans="1:57" s="287" customFormat="1" ht="8.25" customHeight="1" x14ac:dyDescent="0.2">
      <c r="A6296" s="685"/>
      <c r="B6296" s="685"/>
      <c r="C6296" s="295"/>
      <c r="D6296" s="295"/>
      <c r="E6296" s="295"/>
      <c r="F6296" s="295"/>
      <c r="G6296" s="295"/>
      <c r="H6296" s="295"/>
      <c r="I6296" s="295"/>
      <c r="J6296" s="692"/>
    </row>
    <row r="6297" spans="1:57" s="287" customFormat="1" ht="10.5" customHeight="1" x14ac:dyDescent="0.2">
      <c r="A6297" s="685"/>
      <c r="B6297" s="685"/>
      <c r="C6297" s="295"/>
      <c r="D6297" s="295"/>
      <c r="E6297" s="295"/>
      <c r="F6297" s="295"/>
      <c r="G6297" s="295"/>
      <c r="H6297" s="295"/>
      <c r="I6297" s="295"/>
      <c r="J6297" s="692"/>
    </row>
    <row r="6298" spans="1:57" s="301" customFormat="1" ht="15" x14ac:dyDescent="0.25">
      <c r="A6298" s="686"/>
      <c r="B6298" s="695"/>
      <c r="C6298" s="298"/>
      <c r="D6298" s="297"/>
      <c r="E6298" s="299"/>
      <c r="F6298" s="299"/>
      <c r="G6298" s="280"/>
      <c r="H6298" s="280"/>
      <c r="I6298" s="280"/>
      <c r="J6298" s="296"/>
      <c r="K6298" s="300"/>
      <c r="L6298" s="300"/>
      <c r="M6298" s="300"/>
      <c r="N6298" s="300"/>
      <c r="O6298" s="300"/>
      <c r="P6298" s="300"/>
      <c r="Q6298" s="300"/>
      <c r="R6298" s="300"/>
      <c r="S6298" s="300"/>
      <c r="T6298" s="300"/>
      <c r="U6298" s="300"/>
      <c r="V6298" s="300"/>
      <c r="W6298" s="300"/>
      <c r="X6298" s="300"/>
      <c r="Y6298" s="300"/>
      <c r="Z6298" s="300"/>
      <c r="AA6298" s="300"/>
      <c r="AB6298" s="300"/>
      <c r="AC6298" s="300"/>
      <c r="AD6298" s="300"/>
      <c r="AE6298" s="300"/>
      <c r="AF6298" s="300"/>
      <c r="AG6298" s="300"/>
      <c r="AH6298" s="300"/>
      <c r="AI6298" s="300"/>
      <c r="AJ6298" s="300"/>
      <c r="AK6298" s="300"/>
      <c r="AL6298" s="300"/>
      <c r="AM6298" s="300"/>
      <c r="AN6298" s="300"/>
      <c r="AO6298" s="300"/>
      <c r="AP6298" s="300"/>
      <c r="AQ6298" s="300"/>
      <c r="AR6298" s="300"/>
      <c r="AS6298" s="300"/>
      <c r="AT6298" s="300"/>
      <c r="AU6298" s="300"/>
      <c r="AV6298" s="300"/>
      <c r="AW6298" s="300"/>
      <c r="AX6298" s="300"/>
      <c r="AY6298" s="300"/>
      <c r="AZ6298" s="300"/>
      <c r="BA6298" s="300"/>
      <c r="BB6298" s="300"/>
      <c r="BC6298" s="300"/>
      <c r="BD6298" s="300"/>
      <c r="BE6298" s="300"/>
    </row>
    <row r="6299" spans="1:57" s="301" customFormat="1" ht="15" x14ac:dyDescent="0.25">
      <c r="A6299" s="686"/>
      <c r="B6299" s="695"/>
      <c r="C6299" s="298"/>
      <c r="D6299" s="297"/>
      <c r="E6299" s="299"/>
      <c r="F6299" s="299"/>
      <c r="G6299" s="297"/>
      <c r="H6299" s="280"/>
      <c r="I6299" s="280"/>
      <c r="J6299" s="296"/>
      <c r="K6299" s="300"/>
      <c r="L6299" s="300"/>
      <c r="M6299" s="300"/>
      <c r="N6299" s="300"/>
      <c r="O6299" s="300"/>
      <c r="P6299" s="300"/>
      <c r="Q6299" s="300"/>
      <c r="R6299" s="300"/>
      <c r="S6299" s="300"/>
      <c r="T6299" s="300"/>
      <c r="U6299" s="300"/>
      <c r="V6299" s="300"/>
      <c r="W6299" s="300"/>
      <c r="X6299" s="300"/>
      <c r="Y6299" s="300"/>
      <c r="Z6299" s="300"/>
      <c r="AA6299" s="300"/>
      <c r="AB6299" s="300"/>
      <c r="AC6299" s="300"/>
      <c r="AD6299" s="300"/>
      <c r="AE6299" s="300"/>
      <c r="AF6299" s="300"/>
      <c r="AG6299" s="300"/>
      <c r="AH6299" s="300"/>
      <c r="AI6299" s="300"/>
      <c r="AJ6299" s="300"/>
      <c r="AK6299" s="300"/>
      <c r="AL6299" s="300"/>
      <c r="AM6299" s="300"/>
      <c r="AN6299" s="300"/>
      <c r="AO6299" s="300"/>
      <c r="AP6299" s="300"/>
      <c r="AQ6299" s="300"/>
      <c r="AR6299" s="300"/>
      <c r="AS6299" s="300"/>
      <c r="AT6299" s="300"/>
      <c r="AU6299" s="300"/>
      <c r="AV6299" s="300"/>
      <c r="AW6299" s="300"/>
      <c r="AX6299" s="300"/>
      <c r="AY6299" s="300"/>
      <c r="AZ6299" s="300"/>
      <c r="BA6299" s="300"/>
      <c r="BB6299" s="300"/>
      <c r="BC6299" s="300"/>
      <c r="BD6299" s="300"/>
      <c r="BE6299" s="300"/>
    </row>
    <row r="6300" spans="1:57" s="301" customFormat="1" ht="15" x14ac:dyDescent="0.25">
      <c r="A6300" s="686"/>
      <c r="B6300" s="695"/>
      <c r="C6300" s="298"/>
      <c r="D6300" s="297"/>
      <c r="E6300" s="299"/>
      <c r="F6300" s="299"/>
      <c r="G6300" s="297"/>
      <c r="H6300" s="280"/>
      <c r="I6300" s="280"/>
      <c r="J6300" s="296"/>
      <c r="K6300" s="300"/>
      <c r="L6300" s="300"/>
      <c r="M6300" s="300"/>
      <c r="N6300" s="300"/>
      <c r="O6300" s="300"/>
      <c r="P6300" s="300"/>
      <c r="Q6300" s="300"/>
      <c r="R6300" s="300"/>
      <c r="S6300" s="300"/>
      <c r="T6300" s="300"/>
      <c r="U6300" s="300"/>
      <c r="V6300" s="300"/>
      <c r="W6300" s="300"/>
      <c r="X6300" s="300"/>
      <c r="Y6300" s="300"/>
      <c r="Z6300" s="300"/>
      <c r="AA6300" s="300"/>
      <c r="AB6300" s="300"/>
      <c r="AC6300" s="300"/>
      <c r="AD6300" s="300"/>
      <c r="AE6300" s="300"/>
      <c r="AF6300" s="300"/>
      <c r="AG6300" s="300"/>
      <c r="AH6300" s="300"/>
      <c r="AI6300" s="300"/>
      <c r="AJ6300" s="300"/>
      <c r="AK6300" s="300"/>
      <c r="AL6300" s="300"/>
      <c r="AM6300" s="300"/>
      <c r="AN6300" s="300"/>
      <c r="AO6300" s="300"/>
      <c r="AP6300" s="300"/>
      <c r="AQ6300" s="300"/>
      <c r="AR6300" s="300"/>
      <c r="AS6300" s="300"/>
      <c r="AT6300" s="300"/>
      <c r="AU6300" s="300"/>
      <c r="AV6300" s="300"/>
      <c r="AW6300" s="300"/>
      <c r="AX6300" s="300"/>
      <c r="AY6300" s="300"/>
      <c r="AZ6300" s="300"/>
      <c r="BA6300" s="300"/>
      <c r="BB6300" s="300"/>
      <c r="BC6300" s="300"/>
      <c r="BD6300" s="300"/>
      <c r="BE6300" s="300"/>
    </row>
    <row r="6301" spans="1:57" s="301" customFormat="1" ht="15" x14ac:dyDescent="0.25">
      <c r="A6301" s="686"/>
      <c r="B6301" s="695"/>
      <c r="C6301" s="298"/>
      <c r="D6301" s="297"/>
      <c r="E6301" s="299"/>
      <c r="F6301" s="299"/>
      <c r="G6301" s="297"/>
      <c r="H6301" s="280"/>
      <c r="I6301" s="280"/>
      <c r="J6301" s="296"/>
      <c r="K6301" s="300"/>
      <c r="L6301" s="300"/>
      <c r="M6301" s="300"/>
      <c r="N6301" s="300"/>
      <c r="O6301" s="300"/>
      <c r="P6301" s="300"/>
      <c r="Q6301" s="300"/>
      <c r="R6301" s="300"/>
      <c r="S6301" s="300"/>
      <c r="T6301" s="300"/>
      <c r="U6301" s="300"/>
      <c r="V6301" s="300"/>
      <c r="W6301" s="300"/>
      <c r="X6301" s="300"/>
      <c r="Y6301" s="300"/>
      <c r="Z6301" s="300"/>
      <c r="AA6301" s="300"/>
      <c r="AB6301" s="300"/>
      <c r="AC6301" s="300"/>
      <c r="AD6301" s="300"/>
      <c r="AE6301" s="300"/>
      <c r="AF6301" s="300"/>
      <c r="AG6301" s="300"/>
      <c r="AH6301" s="300"/>
      <c r="AI6301" s="300"/>
      <c r="AJ6301" s="300"/>
      <c r="AK6301" s="300"/>
      <c r="AL6301" s="300"/>
      <c r="AM6301" s="300"/>
      <c r="AN6301" s="300"/>
      <c r="AO6301" s="300"/>
      <c r="AP6301" s="300"/>
      <c r="AQ6301" s="300"/>
      <c r="AR6301" s="300"/>
      <c r="AS6301" s="300"/>
      <c r="AT6301" s="300"/>
      <c r="AU6301" s="300"/>
      <c r="AV6301" s="300"/>
      <c r="AW6301" s="300"/>
      <c r="AX6301" s="300"/>
      <c r="AY6301" s="300"/>
      <c r="AZ6301" s="300"/>
      <c r="BA6301" s="300"/>
      <c r="BB6301" s="300"/>
      <c r="BC6301" s="300"/>
      <c r="BD6301" s="300"/>
      <c r="BE6301" s="300"/>
    </row>
    <row r="6302" spans="1:57" s="301" customFormat="1" x14ac:dyDescent="0.2">
      <c r="A6302" s="686"/>
      <c r="B6302" s="695"/>
      <c r="C6302" s="302"/>
      <c r="D6302" s="302"/>
      <c r="E6302" s="302"/>
      <c r="F6302" s="297"/>
      <c r="G6302" s="297"/>
      <c r="H6302" s="302"/>
      <c r="I6302" s="302"/>
      <c r="J6302" s="296"/>
      <c r="K6302" s="300"/>
      <c r="L6302" s="300"/>
      <c r="M6302" s="300"/>
      <c r="N6302" s="300"/>
      <c r="O6302" s="300"/>
      <c r="P6302" s="300"/>
      <c r="Q6302" s="300"/>
      <c r="R6302" s="300"/>
      <c r="S6302" s="300"/>
      <c r="T6302" s="300"/>
      <c r="U6302" s="300"/>
      <c r="V6302" s="300"/>
      <c r="W6302" s="300"/>
      <c r="X6302" s="300"/>
      <c r="Y6302" s="300"/>
      <c r="Z6302" s="300"/>
      <c r="AA6302" s="300"/>
      <c r="AB6302" s="300"/>
      <c r="AC6302" s="300"/>
      <c r="AD6302" s="300"/>
      <c r="AE6302" s="300"/>
      <c r="AF6302" s="300"/>
      <c r="AG6302" s="300"/>
      <c r="AH6302" s="300"/>
      <c r="AI6302" s="300"/>
      <c r="AJ6302" s="300"/>
      <c r="AK6302" s="300"/>
      <c r="AL6302" s="300"/>
      <c r="AM6302" s="300"/>
      <c r="AN6302" s="300"/>
      <c r="AO6302" s="300"/>
      <c r="AP6302" s="300"/>
      <c r="AQ6302" s="300"/>
      <c r="AR6302" s="300"/>
      <c r="AS6302" s="300"/>
      <c r="AT6302" s="300"/>
      <c r="AU6302" s="300"/>
      <c r="AV6302" s="300"/>
      <c r="AW6302" s="300"/>
      <c r="AX6302" s="300"/>
      <c r="AY6302" s="300"/>
      <c r="AZ6302" s="300"/>
      <c r="BA6302" s="300"/>
      <c r="BB6302" s="300"/>
      <c r="BC6302" s="300"/>
      <c r="BD6302" s="300"/>
      <c r="BE6302" s="300"/>
    </row>
    <row r="6303" spans="1:57" s="287" customFormat="1" x14ac:dyDescent="0.2">
      <c r="A6303" s="361"/>
      <c r="B6303" s="361"/>
      <c r="F6303" s="286"/>
      <c r="H6303" s="280"/>
      <c r="I6303" s="280"/>
      <c r="J6303" s="362"/>
    </row>
    <row r="6304" spans="1:57" s="287" customFormat="1" x14ac:dyDescent="0.2">
      <c r="A6304" s="361"/>
      <c r="B6304" s="361"/>
      <c r="C6304" s="280"/>
      <c r="D6304" s="280"/>
      <c r="F6304" s="286"/>
      <c r="H6304" s="280"/>
      <c r="I6304" s="280"/>
      <c r="J6304" s="362"/>
    </row>
  </sheetData>
  <sortState ref="A5330:BL5354">
    <sortCondition ref="B5330:B5354"/>
  </sortState>
  <mergeCells count="13">
    <mergeCell ref="H6:H7"/>
    <mergeCell ref="I6:I7"/>
    <mergeCell ref="J6:J7"/>
    <mergeCell ref="A1:J1"/>
    <mergeCell ref="A3:J3"/>
    <mergeCell ref="A4:J4"/>
    <mergeCell ref="A6:A7"/>
    <mergeCell ref="B6:B7"/>
    <mergeCell ref="C6:C7"/>
    <mergeCell ref="D6:D7"/>
    <mergeCell ref="E6:E7"/>
    <mergeCell ref="F6:F7"/>
    <mergeCell ref="G6:G7"/>
  </mergeCells>
  <printOptions horizontalCentered="1"/>
  <pageMargins left="0.27559055118110237" right="0.27559055118110237" top="0.59055118110236227" bottom="0.39370078740157483" header="0.31496062992125984" footer="0.31496062992125984"/>
  <pageSetup scale="75" fitToHeight="0" orientation="landscape" r:id="rId1"/>
  <headerFooter>
    <oddHeader>&amp;L&amp;"Arial,Normal"&amp;8Estados de Información Contable
Notas de Gestión Administrativa&amp;R&amp;"Arial,Normal"&amp;8 07.GA.8.1</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5"/>
  <sheetViews>
    <sheetView view="pageBreakPreview" zoomScale="60" zoomScaleNormal="100" workbookViewId="0">
      <selection sqref="A1:H1"/>
    </sheetView>
  </sheetViews>
  <sheetFormatPr baseColWidth="10" defaultRowHeight="15" x14ac:dyDescent="0.25"/>
  <cols>
    <col min="1" max="1" width="13.28515625" customWidth="1"/>
    <col min="3" max="3" width="14.42578125" customWidth="1"/>
    <col min="5" max="5" width="14.28515625" customWidth="1"/>
    <col min="7" max="7" width="13.85546875" customWidth="1"/>
  </cols>
  <sheetData>
    <row r="1" spans="1:8" x14ac:dyDescent="0.25">
      <c r="A1" s="1294" t="s">
        <v>566</v>
      </c>
      <c r="B1" s="1294"/>
      <c r="C1" s="1294"/>
      <c r="D1" s="1294"/>
      <c r="E1" s="1294"/>
      <c r="F1" s="1294"/>
      <c r="G1" s="1294"/>
      <c r="H1" s="1294"/>
    </row>
    <row r="2" spans="1:8" x14ac:dyDescent="0.25">
      <c r="A2" s="1294" t="s">
        <v>739</v>
      </c>
      <c r="B2" s="1294"/>
      <c r="C2" s="1294"/>
      <c r="D2" s="1294"/>
      <c r="E2" s="1294"/>
      <c r="F2" s="1294"/>
      <c r="G2" s="1294"/>
      <c r="H2" s="1294"/>
    </row>
    <row r="3" spans="1:8" x14ac:dyDescent="0.25">
      <c r="A3" s="1294" t="s">
        <v>8966</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608"/>
      <c r="B6" s="609"/>
      <c r="C6" s="609"/>
      <c r="D6" s="609"/>
      <c r="E6" s="609"/>
      <c r="F6" s="609"/>
      <c r="G6" s="609"/>
      <c r="H6" s="610"/>
    </row>
    <row r="7" spans="1:8" x14ac:dyDescent="0.25">
      <c r="A7" s="608"/>
      <c r="B7" s="609"/>
      <c r="C7" s="609"/>
      <c r="D7" s="609"/>
      <c r="E7" s="609"/>
      <c r="F7" s="609"/>
      <c r="G7" s="609"/>
      <c r="H7" s="610"/>
    </row>
    <row r="8" spans="1:8" x14ac:dyDescent="0.25">
      <c r="A8" s="608"/>
      <c r="B8" s="609"/>
      <c r="C8" s="609"/>
      <c r="D8" s="609"/>
      <c r="E8" s="609"/>
      <c r="F8" s="609"/>
      <c r="G8" s="609"/>
      <c r="H8" s="610"/>
    </row>
    <row r="9" spans="1:8" x14ac:dyDescent="0.25">
      <c r="A9" s="608"/>
      <c r="B9" s="609"/>
      <c r="C9" s="609"/>
      <c r="D9" s="609"/>
      <c r="E9" s="609"/>
      <c r="F9" s="609"/>
      <c r="G9" s="609"/>
      <c r="H9" s="610"/>
    </row>
    <row r="10" spans="1:8" x14ac:dyDescent="0.25">
      <c r="A10" s="608"/>
      <c r="B10" s="609"/>
      <c r="C10" s="609"/>
      <c r="D10" s="609"/>
      <c r="E10" s="609"/>
      <c r="F10" s="609"/>
      <c r="G10" s="609"/>
      <c r="H10" s="610"/>
    </row>
    <row r="11" spans="1:8" x14ac:dyDescent="0.25">
      <c r="A11" s="608"/>
      <c r="B11" s="609"/>
      <c r="C11" s="609"/>
      <c r="D11" s="609"/>
      <c r="E11" s="609"/>
      <c r="F11" s="609"/>
      <c r="G11" s="609"/>
      <c r="H11" s="610"/>
    </row>
    <row r="12" spans="1:8" x14ac:dyDescent="0.25">
      <c r="A12" s="608"/>
      <c r="B12" s="609"/>
      <c r="C12" s="609"/>
      <c r="D12" s="609"/>
      <c r="E12" s="609"/>
      <c r="F12" s="609"/>
      <c r="G12" s="609"/>
      <c r="H12" s="610"/>
    </row>
    <row r="13" spans="1:8" x14ac:dyDescent="0.25">
      <c r="A13" s="608"/>
      <c r="B13" s="609"/>
      <c r="C13" s="609"/>
      <c r="D13" s="609"/>
      <c r="E13" s="609"/>
      <c r="F13" s="609"/>
      <c r="G13" s="609"/>
      <c r="H13" s="610"/>
    </row>
    <row r="14" spans="1:8" x14ac:dyDescent="0.25">
      <c r="A14" s="608"/>
      <c r="B14" s="609"/>
      <c r="C14" s="609"/>
      <c r="D14" s="609"/>
      <c r="E14" s="609"/>
      <c r="F14" s="609"/>
      <c r="G14" s="609"/>
      <c r="H14" s="610"/>
    </row>
    <row r="15" spans="1:8" x14ac:dyDescent="0.25">
      <c r="A15" s="608"/>
      <c r="B15" s="609"/>
      <c r="C15" s="609"/>
      <c r="D15" s="609"/>
      <c r="E15" s="609"/>
      <c r="F15" s="609"/>
      <c r="G15" s="609"/>
      <c r="H15" s="610"/>
    </row>
    <row r="16" spans="1:8" x14ac:dyDescent="0.25">
      <c r="A16" s="608"/>
      <c r="B16" s="609"/>
      <c r="C16" s="609"/>
      <c r="D16" s="609"/>
      <c r="E16" s="609"/>
      <c r="F16" s="609"/>
      <c r="G16" s="609"/>
      <c r="H16" s="610"/>
    </row>
    <row r="17" spans="1:8" x14ac:dyDescent="0.25">
      <c r="A17" s="608"/>
      <c r="B17" s="609"/>
      <c r="C17" s="609"/>
      <c r="D17" s="609"/>
      <c r="E17" s="609"/>
      <c r="F17" s="609"/>
      <c r="G17" s="609"/>
      <c r="H17" s="610"/>
    </row>
    <row r="18" spans="1:8" x14ac:dyDescent="0.25">
      <c r="A18" s="608"/>
      <c r="B18" s="609"/>
      <c r="C18" s="609"/>
      <c r="D18" s="609"/>
      <c r="E18" s="609"/>
      <c r="F18" s="609"/>
      <c r="G18" s="609"/>
      <c r="H18" s="610"/>
    </row>
    <row r="19" spans="1:8" x14ac:dyDescent="0.25">
      <c r="A19" s="608"/>
      <c r="B19" s="609"/>
      <c r="C19" s="609"/>
      <c r="D19" s="609"/>
      <c r="E19" s="609"/>
      <c r="F19" s="609"/>
      <c r="G19" s="609"/>
      <c r="H19" s="610"/>
    </row>
    <row r="20" spans="1:8" x14ac:dyDescent="0.25">
      <c r="A20" s="608"/>
      <c r="B20" s="609"/>
      <c r="C20" s="609"/>
      <c r="D20" s="609"/>
      <c r="E20" s="609"/>
      <c r="F20" s="609"/>
      <c r="G20" s="609"/>
      <c r="H20" s="610"/>
    </row>
    <row r="21" spans="1:8" x14ac:dyDescent="0.25">
      <c r="A21" s="608"/>
      <c r="B21" s="609"/>
      <c r="C21" s="609"/>
      <c r="D21" s="609"/>
      <c r="E21" s="609"/>
      <c r="F21" s="609"/>
      <c r="G21" s="609"/>
      <c r="H21" s="610"/>
    </row>
    <row r="22" spans="1:8" x14ac:dyDescent="0.25">
      <c r="A22" s="608"/>
      <c r="B22" s="609"/>
      <c r="C22" s="609"/>
      <c r="D22" s="609"/>
      <c r="E22" s="609"/>
      <c r="F22" s="609"/>
      <c r="G22" s="609"/>
      <c r="H22" s="610"/>
    </row>
    <row r="23" spans="1:8" x14ac:dyDescent="0.25">
      <c r="A23" s="608"/>
      <c r="B23" s="609"/>
      <c r="C23" s="609"/>
      <c r="D23" s="609"/>
      <c r="E23" s="609"/>
      <c r="F23" s="609"/>
      <c r="G23" s="609"/>
      <c r="H23" s="610"/>
    </row>
    <row r="24" spans="1:8" x14ac:dyDescent="0.25">
      <c r="A24" s="608"/>
      <c r="B24" s="609"/>
      <c r="C24" s="609"/>
      <c r="D24" s="609"/>
      <c r="E24" s="609"/>
      <c r="F24" s="609"/>
      <c r="G24" s="609"/>
      <c r="H24" s="610"/>
    </row>
    <row r="25" spans="1:8" x14ac:dyDescent="0.25">
      <c r="A25" s="608"/>
      <c r="B25" s="609"/>
      <c r="C25" s="609"/>
      <c r="D25" s="609"/>
      <c r="E25" s="609"/>
      <c r="F25" s="609"/>
      <c r="G25" s="609"/>
      <c r="H25" s="610"/>
    </row>
    <row r="26" spans="1:8" x14ac:dyDescent="0.25">
      <c r="A26" s="608"/>
      <c r="B26" s="609"/>
      <c r="C26" s="609"/>
      <c r="D26" s="609"/>
      <c r="E26" s="609"/>
      <c r="F26" s="609"/>
      <c r="G26" s="609"/>
      <c r="H26" s="610"/>
    </row>
    <row r="27" spans="1:8" x14ac:dyDescent="0.25">
      <c r="A27" s="608"/>
      <c r="B27" s="609"/>
      <c r="C27" s="609"/>
      <c r="D27" s="609"/>
      <c r="E27" s="609"/>
      <c r="F27" s="609"/>
      <c r="G27" s="609"/>
      <c r="H27" s="610"/>
    </row>
    <row r="28" spans="1:8" x14ac:dyDescent="0.25">
      <c r="A28" s="608"/>
      <c r="B28" s="609"/>
      <c r="C28" s="609"/>
      <c r="D28" s="609"/>
      <c r="E28" s="609"/>
      <c r="F28" s="609"/>
      <c r="G28" s="609"/>
      <c r="H28" s="610"/>
    </row>
    <row r="29" spans="1:8" x14ac:dyDescent="0.25">
      <c r="A29" s="608"/>
      <c r="B29" s="609"/>
      <c r="C29" s="609"/>
      <c r="D29" s="609"/>
      <c r="E29" s="609"/>
      <c r="F29" s="609"/>
      <c r="G29" s="609"/>
      <c r="H29" s="610"/>
    </row>
    <row r="30" spans="1:8" x14ac:dyDescent="0.25">
      <c r="A30" s="608"/>
      <c r="B30" s="609"/>
      <c r="C30" s="609"/>
      <c r="D30" s="609"/>
      <c r="E30" s="609"/>
      <c r="F30" s="609"/>
      <c r="G30" s="609"/>
      <c r="H30" s="610"/>
    </row>
    <row r="31" spans="1:8" x14ac:dyDescent="0.25">
      <c r="A31" s="608"/>
      <c r="B31" s="609"/>
      <c r="C31" s="609"/>
      <c r="D31" s="609"/>
      <c r="E31" s="609"/>
      <c r="F31" s="609"/>
      <c r="G31" s="609"/>
      <c r="H31" s="610"/>
    </row>
    <row r="32" spans="1:8" x14ac:dyDescent="0.25">
      <c r="A32" s="608"/>
      <c r="B32" s="609"/>
      <c r="C32" s="609"/>
      <c r="D32" s="609"/>
      <c r="E32" s="609"/>
      <c r="F32" s="609"/>
      <c r="G32" s="609"/>
      <c r="H32" s="610"/>
    </row>
    <row r="33" spans="1:8" x14ac:dyDescent="0.25">
      <c r="A33" s="608"/>
      <c r="B33" s="609"/>
      <c r="C33" s="609"/>
      <c r="D33" s="609"/>
      <c r="E33" s="609"/>
      <c r="F33" s="609"/>
      <c r="G33" s="609"/>
      <c r="H33" s="610"/>
    </row>
    <row r="34" spans="1:8" x14ac:dyDescent="0.25">
      <c r="A34" s="608"/>
      <c r="B34" s="609"/>
      <c r="C34" s="609"/>
      <c r="D34" s="609"/>
      <c r="E34" s="609"/>
      <c r="F34" s="609"/>
      <c r="G34" s="609"/>
      <c r="H34" s="610"/>
    </row>
    <row r="35" spans="1:8" x14ac:dyDescent="0.25">
      <c r="A35" s="608"/>
      <c r="B35" s="609"/>
      <c r="C35" s="609"/>
      <c r="D35" s="609"/>
      <c r="E35" s="609"/>
      <c r="F35" s="609"/>
      <c r="G35" s="609"/>
      <c r="H35" s="610"/>
    </row>
    <row r="36" spans="1:8" x14ac:dyDescent="0.25">
      <c r="A36" s="608"/>
      <c r="B36" s="609"/>
      <c r="C36" s="609"/>
      <c r="D36" s="609"/>
      <c r="E36" s="609"/>
      <c r="F36" s="609"/>
      <c r="G36" s="609"/>
      <c r="H36" s="610"/>
    </row>
    <row r="37" spans="1:8" x14ac:dyDescent="0.25">
      <c r="A37" s="608"/>
      <c r="B37" s="609"/>
      <c r="C37" s="609"/>
      <c r="D37" s="609"/>
      <c r="E37" s="609"/>
      <c r="F37" s="609"/>
      <c r="G37" s="609"/>
      <c r="H37" s="610"/>
    </row>
    <row r="38" spans="1:8" x14ac:dyDescent="0.25">
      <c r="A38" s="608"/>
      <c r="B38" s="609"/>
      <c r="C38" s="609"/>
      <c r="D38" s="609"/>
      <c r="E38" s="609"/>
      <c r="F38" s="609"/>
      <c r="G38" s="609"/>
      <c r="H38" s="610"/>
    </row>
    <row r="39" spans="1:8" ht="15.75" thickBot="1" x14ac:dyDescent="0.3">
      <c r="A39" s="611"/>
      <c r="B39" s="612"/>
      <c r="C39" s="612"/>
      <c r="D39" s="612"/>
      <c r="E39" s="612"/>
      <c r="F39" s="612"/>
      <c r="G39" s="612"/>
      <c r="H39" s="613"/>
    </row>
    <row r="41" spans="1:8" s="90" customFormat="1" x14ac:dyDescent="0.25">
      <c r="A41" s="371"/>
      <c r="B41" s="371"/>
      <c r="C41" s="371"/>
      <c r="D41" s="372"/>
      <c r="E41" s="373"/>
    </row>
    <row r="42" spans="1:8" s="90" customFormat="1" x14ac:dyDescent="0.25">
      <c r="A42" s="371"/>
      <c r="B42" s="371"/>
      <c r="C42" s="371"/>
      <c r="D42" s="372"/>
      <c r="E42" s="373"/>
    </row>
    <row r="43" spans="1:8" s="90" customFormat="1" x14ac:dyDescent="0.25">
      <c r="A43" s="371"/>
      <c r="B43" s="371"/>
      <c r="C43" s="371"/>
      <c r="D43" s="372"/>
      <c r="E43" s="373"/>
    </row>
    <row r="44" spans="1:8" s="90" customFormat="1" x14ac:dyDescent="0.25">
      <c r="A44" s="371"/>
      <c r="B44" s="371"/>
      <c r="C44" s="371"/>
      <c r="D44" s="372"/>
      <c r="E44" s="373"/>
    </row>
    <row r="45" spans="1:8" s="90" customFormat="1" x14ac:dyDescent="0.25"/>
  </sheetData>
  <mergeCells count="3">
    <mergeCell ref="A1:H1"/>
    <mergeCell ref="A2:H2"/>
    <mergeCell ref="A3:H3"/>
  </mergeCells>
  <printOptions horizontalCentered="1"/>
  <pageMargins left="0.19685039370078741" right="0.19685039370078741" top="0.74803149606299213" bottom="0.74803149606299213" header="0.31496062992125984" footer="0.31496062992125984"/>
  <pageSetup fitToHeight="0" orientation="portrait" r:id="rId1"/>
  <headerFooter>
    <oddHeader>&amp;L&amp;"Arial,Normal"&amp;8Estados de Información Contable
Notas de Gestión Administrativa&amp;R&amp;"Arial,Normal"&amp;8 7.GA.8.2</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3"/>
  <sheetViews>
    <sheetView view="pageBreakPreview" zoomScale="60" zoomScaleNormal="100" workbookViewId="0">
      <selection sqref="A1:H1"/>
    </sheetView>
  </sheetViews>
  <sheetFormatPr baseColWidth="10" defaultRowHeight="15" x14ac:dyDescent="0.25"/>
  <sheetData>
    <row r="1" spans="1:8" x14ac:dyDescent="0.25">
      <c r="A1" s="1294" t="s">
        <v>566</v>
      </c>
      <c r="B1" s="1294"/>
      <c r="C1" s="1294"/>
      <c r="D1" s="1294"/>
      <c r="E1" s="1294"/>
      <c r="F1" s="1294"/>
      <c r="G1" s="1294"/>
      <c r="H1" s="1294"/>
    </row>
    <row r="2" spans="1:8" x14ac:dyDescent="0.25">
      <c r="A2" s="1294" t="s">
        <v>2429</v>
      </c>
      <c r="B2" s="1294"/>
      <c r="C2" s="1294"/>
      <c r="D2" s="1294"/>
      <c r="E2" s="1294"/>
      <c r="F2" s="1294"/>
      <c r="G2" s="1294"/>
      <c r="H2" s="1294"/>
    </row>
    <row r="3" spans="1:8" x14ac:dyDescent="0.25">
      <c r="A3" s="1294" t="s">
        <v>2436</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608"/>
      <c r="B6" s="609"/>
      <c r="C6" s="609"/>
      <c r="D6" s="609"/>
      <c r="E6" s="609"/>
      <c r="F6" s="609"/>
      <c r="G6" s="609"/>
      <c r="H6" s="610"/>
    </row>
    <row r="7" spans="1:8" x14ac:dyDescent="0.25">
      <c r="A7" s="608"/>
      <c r="B7" s="609"/>
      <c r="C7" s="609"/>
      <c r="D7" s="609"/>
      <c r="E7" s="609"/>
      <c r="F7" s="609"/>
      <c r="G7" s="609"/>
      <c r="H7" s="610"/>
    </row>
    <row r="8" spans="1:8" ht="45.75" customHeight="1" x14ac:dyDescent="0.25">
      <c r="A8" s="1344" t="s">
        <v>7574</v>
      </c>
      <c r="B8" s="1345"/>
      <c r="C8" s="1345"/>
      <c r="D8" s="1345"/>
      <c r="E8" s="1345"/>
      <c r="F8" s="1345"/>
      <c r="G8" s="1345"/>
      <c r="H8" s="1346"/>
    </row>
    <row r="9" spans="1:8" x14ac:dyDescent="0.25">
      <c r="A9" s="608"/>
      <c r="B9" s="609"/>
      <c r="C9" s="609"/>
      <c r="D9" s="609"/>
      <c r="E9" s="609"/>
      <c r="F9" s="609"/>
      <c r="G9" s="609"/>
      <c r="H9" s="610"/>
    </row>
    <row r="10" spans="1:8" x14ac:dyDescent="0.25">
      <c r="A10" s="608"/>
      <c r="B10" s="609"/>
      <c r="C10" s="609"/>
      <c r="D10" s="609"/>
      <c r="E10" s="609"/>
      <c r="F10" s="609"/>
      <c r="G10" s="609"/>
      <c r="H10" s="610"/>
    </row>
    <row r="11" spans="1:8" x14ac:dyDescent="0.25">
      <c r="A11" s="608"/>
      <c r="B11" s="609"/>
      <c r="C11" s="609"/>
      <c r="D11" s="609"/>
      <c r="E11" s="609"/>
      <c r="F11" s="609"/>
      <c r="G11" s="609"/>
      <c r="H11" s="610"/>
    </row>
    <row r="12" spans="1:8" x14ac:dyDescent="0.25">
      <c r="A12" s="608"/>
      <c r="B12" s="609"/>
      <c r="C12" s="609"/>
      <c r="D12" s="609"/>
      <c r="E12" s="609"/>
      <c r="F12" s="609"/>
      <c r="G12" s="609"/>
      <c r="H12" s="610"/>
    </row>
    <row r="13" spans="1:8" x14ac:dyDescent="0.25">
      <c r="A13" s="608"/>
      <c r="B13" s="609"/>
      <c r="C13" s="609"/>
      <c r="D13" s="609"/>
      <c r="E13" s="609"/>
      <c r="F13" s="609"/>
      <c r="G13" s="609"/>
      <c r="H13" s="610"/>
    </row>
    <row r="14" spans="1:8" x14ac:dyDescent="0.25">
      <c r="A14" s="608"/>
      <c r="B14" s="609"/>
      <c r="C14" s="609"/>
      <c r="D14" s="609"/>
      <c r="E14" s="609"/>
      <c r="F14" s="609"/>
      <c r="G14" s="609"/>
      <c r="H14" s="610"/>
    </row>
    <row r="15" spans="1:8" x14ac:dyDescent="0.25">
      <c r="A15" s="608"/>
      <c r="B15" s="609"/>
      <c r="C15" s="609"/>
      <c r="D15" s="609"/>
      <c r="E15" s="609"/>
      <c r="F15" s="609"/>
      <c r="G15" s="609"/>
      <c r="H15" s="610"/>
    </row>
    <row r="16" spans="1:8" x14ac:dyDescent="0.25">
      <c r="A16" s="608"/>
      <c r="B16" s="609"/>
      <c r="C16" s="609"/>
      <c r="D16" s="609"/>
      <c r="E16" s="609"/>
      <c r="F16" s="609"/>
      <c r="G16" s="609"/>
      <c r="H16" s="610"/>
    </row>
    <row r="17" spans="1:8" x14ac:dyDescent="0.25">
      <c r="A17" s="608"/>
      <c r="B17" s="609"/>
      <c r="C17" s="609"/>
      <c r="D17" s="609"/>
      <c r="E17" s="609"/>
      <c r="F17" s="609"/>
      <c r="G17" s="609"/>
      <c r="H17" s="610"/>
    </row>
    <row r="18" spans="1:8" x14ac:dyDescent="0.25">
      <c r="A18" s="608"/>
      <c r="B18" s="609"/>
      <c r="C18" s="609"/>
      <c r="D18" s="609"/>
      <c r="E18" s="609"/>
      <c r="F18" s="609"/>
      <c r="G18" s="609"/>
      <c r="H18" s="610"/>
    </row>
    <row r="19" spans="1:8" x14ac:dyDescent="0.25">
      <c r="A19" s="608"/>
      <c r="B19" s="609"/>
      <c r="C19" s="609"/>
      <c r="D19" s="609"/>
      <c r="E19" s="609"/>
      <c r="F19" s="609"/>
      <c r="G19" s="609"/>
      <c r="H19" s="610"/>
    </row>
    <row r="20" spans="1:8" x14ac:dyDescent="0.25">
      <c r="A20" s="608"/>
      <c r="B20" s="609"/>
      <c r="C20" s="609"/>
      <c r="D20" s="609"/>
      <c r="E20" s="609"/>
      <c r="F20" s="609"/>
      <c r="G20" s="609"/>
      <c r="H20" s="610"/>
    </row>
    <row r="21" spans="1:8" x14ac:dyDescent="0.25">
      <c r="A21" s="608"/>
      <c r="B21" s="609"/>
      <c r="C21" s="609"/>
      <c r="D21" s="609"/>
      <c r="E21" s="609"/>
      <c r="F21" s="609"/>
      <c r="G21" s="609"/>
      <c r="H21" s="610"/>
    </row>
    <row r="22" spans="1:8" x14ac:dyDescent="0.25">
      <c r="A22" s="608"/>
      <c r="B22" s="609"/>
      <c r="C22" s="609"/>
      <c r="D22" s="609"/>
      <c r="E22" s="609"/>
      <c r="F22" s="609"/>
      <c r="G22" s="609"/>
      <c r="H22" s="610"/>
    </row>
    <row r="23" spans="1:8" x14ac:dyDescent="0.25">
      <c r="A23" s="608"/>
      <c r="B23" s="609"/>
      <c r="C23" s="609"/>
      <c r="D23" s="609"/>
      <c r="E23" s="609"/>
      <c r="F23" s="609"/>
      <c r="G23" s="609"/>
      <c r="H23" s="610"/>
    </row>
    <row r="24" spans="1:8" x14ac:dyDescent="0.25">
      <c r="A24" s="608"/>
      <c r="B24" s="609"/>
      <c r="C24" s="609"/>
      <c r="D24" s="609"/>
      <c r="E24" s="609"/>
      <c r="F24" s="609"/>
      <c r="G24" s="609"/>
      <c r="H24" s="610"/>
    </row>
    <row r="25" spans="1:8" x14ac:dyDescent="0.25">
      <c r="A25" s="608"/>
      <c r="B25" s="609"/>
      <c r="C25" s="609"/>
      <c r="D25" s="609"/>
      <c r="E25" s="609"/>
      <c r="F25" s="609"/>
      <c r="G25" s="609"/>
      <c r="H25" s="610"/>
    </row>
    <row r="26" spans="1:8" x14ac:dyDescent="0.25">
      <c r="A26" s="608"/>
      <c r="B26" s="609"/>
      <c r="C26" s="609"/>
      <c r="D26" s="609"/>
      <c r="E26" s="609"/>
      <c r="F26" s="609"/>
      <c r="G26" s="609"/>
      <c r="H26" s="610"/>
    </row>
    <row r="27" spans="1:8" x14ac:dyDescent="0.25">
      <c r="A27" s="608"/>
      <c r="B27" s="609"/>
      <c r="C27" s="609"/>
      <c r="D27" s="609"/>
      <c r="E27" s="609"/>
      <c r="F27" s="609"/>
      <c r="G27" s="609"/>
      <c r="H27" s="610"/>
    </row>
    <row r="28" spans="1:8" x14ac:dyDescent="0.25">
      <c r="A28" s="608"/>
      <c r="B28" s="609"/>
      <c r="C28" s="609"/>
      <c r="D28" s="609"/>
      <c r="E28" s="609"/>
      <c r="F28" s="609"/>
      <c r="G28" s="609"/>
      <c r="H28" s="610"/>
    </row>
    <row r="29" spans="1:8" x14ac:dyDescent="0.25">
      <c r="A29" s="608"/>
      <c r="B29" s="609"/>
      <c r="C29" s="609"/>
      <c r="D29" s="609"/>
      <c r="E29" s="609"/>
      <c r="F29" s="609"/>
      <c r="G29" s="609"/>
      <c r="H29" s="610"/>
    </row>
    <row r="30" spans="1:8" x14ac:dyDescent="0.25">
      <c r="A30" s="608"/>
      <c r="B30" s="609"/>
      <c r="C30" s="609"/>
      <c r="D30" s="609"/>
      <c r="E30" s="609"/>
      <c r="F30" s="609"/>
      <c r="G30" s="609"/>
      <c r="H30" s="610"/>
    </row>
    <row r="31" spans="1:8" x14ac:dyDescent="0.25">
      <c r="A31" s="608"/>
      <c r="B31" s="609"/>
      <c r="C31" s="609"/>
      <c r="D31" s="609"/>
      <c r="E31" s="609"/>
      <c r="F31" s="609"/>
      <c r="G31" s="609"/>
      <c r="H31" s="610"/>
    </row>
    <row r="32" spans="1:8" x14ac:dyDescent="0.25">
      <c r="A32" s="608"/>
      <c r="B32" s="609"/>
      <c r="C32" s="609"/>
      <c r="D32" s="609"/>
      <c r="E32" s="609"/>
      <c r="F32" s="609"/>
      <c r="G32" s="609"/>
      <c r="H32" s="610"/>
    </row>
    <row r="33" spans="1:8" x14ac:dyDescent="0.25">
      <c r="A33" s="608"/>
      <c r="B33" s="609"/>
      <c r="C33" s="609"/>
      <c r="D33" s="609"/>
      <c r="E33" s="609"/>
      <c r="F33" s="609"/>
      <c r="G33" s="609"/>
      <c r="H33" s="610"/>
    </row>
    <row r="34" spans="1:8" x14ac:dyDescent="0.25">
      <c r="A34" s="608"/>
      <c r="B34" s="609"/>
      <c r="C34" s="609"/>
      <c r="D34" s="609"/>
      <c r="E34" s="609"/>
      <c r="F34" s="609"/>
      <c r="G34" s="609"/>
      <c r="H34" s="610"/>
    </row>
    <row r="35" spans="1:8" x14ac:dyDescent="0.25">
      <c r="A35" s="608"/>
      <c r="B35" s="609"/>
      <c r="C35" s="609"/>
      <c r="D35" s="609"/>
      <c r="E35" s="609"/>
      <c r="F35" s="609"/>
      <c r="G35" s="609"/>
      <c r="H35" s="610"/>
    </row>
    <row r="36" spans="1:8" ht="15.75" thickBot="1" x14ac:dyDescent="0.3">
      <c r="A36" s="611"/>
      <c r="B36" s="612"/>
      <c r="C36" s="612"/>
      <c r="D36" s="612"/>
      <c r="E36" s="612"/>
      <c r="F36" s="612"/>
      <c r="G36" s="612"/>
      <c r="H36" s="613"/>
    </row>
    <row r="37" spans="1:8" x14ac:dyDescent="0.25">
      <c r="A37" s="609"/>
      <c r="B37" s="609"/>
      <c r="C37" s="609"/>
      <c r="D37" s="609"/>
      <c r="E37" s="609"/>
      <c r="F37" s="609"/>
      <c r="G37" s="609"/>
      <c r="H37" s="609"/>
    </row>
    <row r="38" spans="1:8" ht="11.25" customHeight="1" x14ac:dyDescent="0.25">
      <c r="A38" s="609"/>
      <c r="B38" s="609"/>
      <c r="C38" s="609"/>
      <c r="D38" s="609"/>
      <c r="E38" s="609"/>
      <c r="F38" s="609"/>
      <c r="G38" s="609"/>
      <c r="H38" s="609"/>
    </row>
    <row r="39" spans="1:8" s="90" customFormat="1" x14ac:dyDescent="0.25">
      <c r="A39" s="371"/>
      <c r="B39" s="371"/>
      <c r="C39" s="371"/>
      <c r="D39" s="372"/>
      <c r="E39" s="373"/>
    </row>
    <row r="40" spans="1:8" s="90" customFormat="1" x14ac:dyDescent="0.25">
      <c r="A40" s="371"/>
      <c r="B40" s="371"/>
      <c r="C40" s="371"/>
      <c r="D40" s="372"/>
      <c r="E40" s="373"/>
    </row>
    <row r="41" spans="1:8" s="90" customFormat="1" x14ac:dyDescent="0.25">
      <c r="A41" s="371"/>
      <c r="B41" s="371"/>
      <c r="C41" s="371"/>
      <c r="D41" s="372"/>
      <c r="E41" s="373"/>
    </row>
    <row r="42" spans="1:8" s="90" customFormat="1" x14ac:dyDescent="0.25">
      <c r="A42" s="371"/>
      <c r="B42" s="371"/>
      <c r="C42" s="371"/>
      <c r="D42" s="372"/>
      <c r="E42" s="373"/>
    </row>
    <row r="43" spans="1:8" s="90" customFormat="1" x14ac:dyDescent="0.25"/>
  </sheetData>
  <mergeCells count="4">
    <mergeCell ref="A1:H1"/>
    <mergeCell ref="A2:H2"/>
    <mergeCell ref="A3:H3"/>
    <mergeCell ref="A8:H8"/>
  </mergeCells>
  <pageMargins left="0.70866141732283472" right="0.70866141732283472" top="0.74803149606299213" bottom="0.39370078740157483" header="0.31496062992125984" footer="0.31496062992125984"/>
  <pageSetup scale="98" fitToHeight="0" orientation="portrait" r:id="rId1"/>
  <headerFooter>
    <oddHeader>&amp;L&amp;"Arial,Normal"&amp;8Estados e Información Contable
Notas de Gestión Administrativa&amp;R&amp;"Arial,Normal"&amp;8 7.GA.9</oddHead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S129"/>
  <sheetViews>
    <sheetView view="pageBreakPreview" topLeftCell="C1" zoomScale="60" zoomScaleNormal="100" workbookViewId="0">
      <selection sqref="A1:H1"/>
    </sheetView>
  </sheetViews>
  <sheetFormatPr baseColWidth="10" defaultColWidth="11.42578125" defaultRowHeight="15.75" x14ac:dyDescent="0.25"/>
  <cols>
    <col min="1" max="1" width="2.85546875" style="466" hidden="1" customWidth="1"/>
    <col min="2" max="2" width="4.140625" style="467" hidden="1" customWidth="1"/>
    <col min="3" max="3" width="30.85546875" style="466" customWidth="1"/>
    <col min="4" max="4" width="12.140625" style="468" bestFit="1" customWidth="1"/>
    <col min="5" max="5" width="11.85546875" style="469" bestFit="1" customWidth="1"/>
    <col min="6" max="6" width="13.140625" style="466" customWidth="1"/>
    <col min="7" max="7" width="12.5703125" style="466" customWidth="1"/>
    <col min="8" max="10" width="12.5703125" style="466" bestFit="1" customWidth="1"/>
    <col min="11" max="11" width="12.28515625" style="466" bestFit="1" customWidth="1"/>
    <col min="12" max="13" width="11.85546875" style="466" bestFit="1" customWidth="1"/>
    <col min="14" max="14" width="12.28515625" style="466" bestFit="1" customWidth="1"/>
    <col min="15" max="15" width="12.7109375" style="466" bestFit="1" customWidth="1"/>
    <col min="16" max="16" width="13.85546875" style="466" bestFit="1" customWidth="1"/>
    <col min="17" max="17" width="12.42578125" style="306" bestFit="1" customWidth="1"/>
    <col min="18" max="18" width="14.85546875" style="306" customWidth="1"/>
    <col min="19" max="19" width="12.42578125" style="306" bestFit="1" customWidth="1"/>
    <col min="20" max="16384" width="11.42578125" style="306"/>
  </cols>
  <sheetData>
    <row r="2" spans="1:16" ht="21" x14ac:dyDescent="0.35">
      <c r="A2" s="1360" t="s">
        <v>732</v>
      </c>
      <c r="B2" s="1360"/>
      <c r="C2" s="1360"/>
      <c r="D2" s="1360"/>
      <c r="E2" s="1360"/>
      <c r="F2" s="1360"/>
      <c r="G2" s="1360"/>
      <c r="H2" s="1360"/>
      <c r="I2" s="1360"/>
      <c r="J2" s="1360"/>
      <c r="K2" s="1360"/>
      <c r="L2" s="1360"/>
      <c r="M2" s="1360"/>
      <c r="N2" s="1360"/>
      <c r="O2" s="1360"/>
      <c r="P2" s="1360"/>
    </row>
    <row r="3" spans="1:16" ht="21" x14ac:dyDescent="0.35">
      <c r="A3" s="1360" t="s">
        <v>769</v>
      </c>
      <c r="B3" s="1360"/>
      <c r="C3" s="1360"/>
      <c r="D3" s="1360"/>
      <c r="E3" s="1360"/>
      <c r="F3" s="1360"/>
      <c r="G3" s="1360"/>
      <c r="H3" s="1360"/>
      <c r="I3" s="1360"/>
      <c r="J3" s="1360"/>
      <c r="K3" s="1360"/>
      <c r="L3" s="1360"/>
      <c r="M3" s="1360"/>
      <c r="N3" s="1360"/>
      <c r="O3" s="1360"/>
      <c r="P3" s="1360"/>
    </row>
    <row r="4" spans="1:16" ht="21" x14ac:dyDescent="0.35">
      <c r="A4" s="1360" t="s">
        <v>10486</v>
      </c>
      <c r="B4" s="1360"/>
      <c r="C4" s="1360"/>
      <c r="D4" s="1360"/>
      <c r="E4" s="1360"/>
      <c r="F4" s="1360"/>
      <c r="G4" s="1360"/>
      <c r="H4" s="1360"/>
      <c r="I4" s="1360"/>
      <c r="J4" s="1360"/>
      <c r="K4" s="1360"/>
      <c r="L4" s="1360"/>
      <c r="M4" s="1360"/>
      <c r="N4" s="1360"/>
      <c r="O4" s="1360"/>
      <c r="P4" s="1360"/>
    </row>
    <row r="5" spans="1:16" ht="15" x14ac:dyDescent="0.25">
      <c r="A5" s="328"/>
      <c r="B5" s="328"/>
      <c r="C5" s="328"/>
      <c r="D5" s="328"/>
      <c r="E5" s="328"/>
      <c r="F5" s="328"/>
      <c r="G5" s="328"/>
      <c r="H5" s="328"/>
      <c r="I5" s="328"/>
      <c r="J5" s="328"/>
      <c r="K5" s="328"/>
      <c r="L5" s="328"/>
      <c r="M5" s="328"/>
      <c r="N5" s="328"/>
      <c r="O5" s="328"/>
      <c r="P5" s="328"/>
    </row>
    <row r="6" spans="1:16" ht="15" x14ac:dyDescent="0.25">
      <c r="A6" s="328"/>
      <c r="B6" s="328"/>
      <c r="C6" s="328"/>
      <c r="D6" s="328"/>
      <c r="E6" s="328"/>
      <c r="F6" s="328"/>
      <c r="G6" s="328"/>
      <c r="H6" s="328"/>
      <c r="I6" s="328"/>
      <c r="J6" s="328"/>
      <c r="K6" s="328"/>
      <c r="L6" s="328"/>
      <c r="M6" s="328"/>
      <c r="N6" s="328"/>
      <c r="O6" s="328"/>
      <c r="P6" s="328"/>
    </row>
    <row r="7" spans="1:16" ht="15" x14ac:dyDescent="0.25">
      <c r="A7" s="328"/>
      <c r="B7" s="328"/>
      <c r="C7" s="328"/>
      <c r="D7" s="328"/>
      <c r="E7" s="328"/>
      <c r="F7" s="328"/>
      <c r="G7" s="328"/>
      <c r="H7" s="328"/>
      <c r="I7" s="328"/>
      <c r="J7" s="328"/>
      <c r="K7" s="328"/>
      <c r="L7" s="328"/>
      <c r="M7" s="328"/>
      <c r="N7" s="328"/>
      <c r="O7" s="328"/>
      <c r="P7" s="328"/>
    </row>
    <row r="8" spans="1:16" ht="15" x14ac:dyDescent="0.25">
      <c r="A8" s="328"/>
      <c r="B8" s="328"/>
      <c r="C8" s="328"/>
      <c r="D8" s="328"/>
      <c r="E8" s="328"/>
      <c r="F8" s="328"/>
      <c r="G8" s="328"/>
      <c r="H8" s="328"/>
      <c r="I8" s="328"/>
      <c r="J8" s="328"/>
      <c r="K8" s="328"/>
      <c r="L8" s="328"/>
      <c r="M8" s="328"/>
      <c r="N8" s="328"/>
      <c r="O8" s="328"/>
      <c r="P8" s="328"/>
    </row>
    <row r="9" spans="1:16" ht="15" x14ac:dyDescent="0.25">
      <c r="A9" s="328"/>
      <c r="B9" s="328"/>
      <c r="C9" s="328"/>
      <c r="D9" s="328"/>
      <c r="E9" s="328"/>
      <c r="F9" s="328"/>
      <c r="G9" s="328"/>
      <c r="H9" s="328"/>
      <c r="I9" s="328"/>
      <c r="J9" s="328"/>
      <c r="K9" s="328"/>
      <c r="L9" s="328"/>
      <c r="M9" s="328"/>
      <c r="N9" s="328"/>
      <c r="O9" s="328"/>
      <c r="P9" s="328"/>
    </row>
    <row r="10" spans="1:16" ht="15" x14ac:dyDescent="0.25">
      <c r="A10" s="328"/>
      <c r="B10" s="328"/>
      <c r="C10" s="328"/>
      <c r="D10" s="328"/>
      <c r="E10" s="328"/>
      <c r="F10" s="328"/>
      <c r="G10" s="328"/>
      <c r="H10" s="328"/>
      <c r="I10" s="328"/>
      <c r="J10" s="328"/>
      <c r="K10" s="328"/>
      <c r="L10" s="328"/>
      <c r="M10" s="328"/>
      <c r="N10" s="328"/>
      <c r="O10" s="328"/>
      <c r="P10" s="328"/>
    </row>
    <row r="11" spans="1:16" ht="15" x14ac:dyDescent="0.25">
      <c r="A11" s="328"/>
      <c r="B11" s="328"/>
      <c r="C11" s="328"/>
      <c r="D11" s="328"/>
      <c r="E11" s="328"/>
      <c r="F11" s="328"/>
      <c r="G11" s="328"/>
      <c r="H11" s="328"/>
      <c r="I11" s="328"/>
      <c r="J11" s="328"/>
      <c r="K11" s="328"/>
      <c r="L11" s="328"/>
      <c r="M11" s="328"/>
      <c r="N11" s="328"/>
      <c r="O11" s="328"/>
      <c r="P11" s="328"/>
    </row>
    <row r="12" spans="1:16" x14ac:dyDescent="0.25">
      <c r="P12" s="317"/>
    </row>
    <row r="13" spans="1:16" x14ac:dyDescent="0.25">
      <c r="A13" s="470"/>
      <c r="B13" s="471"/>
      <c r="C13" s="472" t="s">
        <v>214</v>
      </c>
      <c r="D13" s="473" t="s">
        <v>770</v>
      </c>
      <c r="E13" s="474" t="s">
        <v>771</v>
      </c>
      <c r="F13" s="473" t="s">
        <v>772</v>
      </c>
      <c r="G13" s="474" t="s">
        <v>773</v>
      </c>
      <c r="H13" s="473" t="s">
        <v>774</v>
      </c>
      <c r="I13" s="474" t="s">
        <v>775</v>
      </c>
      <c r="J13" s="473" t="s">
        <v>776</v>
      </c>
      <c r="K13" s="474" t="s">
        <v>777</v>
      </c>
      <c r="L13" s="473" t="s">
        <v>778</v>
      </c>
      <c r="M13" s="474" t="s">
        <v>779</v>
      </c>
      <c r="N13" s="473" t="s">
        <v>780</v>
      </c>
      <c r="O13" s="474" t="s">
        <v>781</v>
      </c>
      <c r="P13" s="475" t="s">
        <v>234</v>
      </c>
    </row>
    <row r="14" spans="1:16" ht="17.25" customHeight="1" x14ac:dyDescent="0.2">
      <c r="A14" s="476">
        <v>1</v>
      </c>
      <c r="B14" s="471"/>
      <c r="C14" s="477" t="s">
        <v>107</v>
      </c>
      <c r="D14" s="807">
        <f>SUM(D15:D23)</f>
        <v>24759934.510000002</v>
      </c>
      <c r="E14" s="807">
        <f t="shared" ref="E14:O14" si="0">SUM(E15:E23)</f>
        <v>11566587.920000002</v>
      </c>
      <c r="F14" s="807">
        <f>SUM(F15:F23)</f>
        <v>6072690.96</v>
      </c>
      <c r="G14" s="808">
        <f t="shared" si="0"/>
        <v>5690680.4199999999</v>
      </c>
      <c r="H14" s="808">
        <f t="shared" si="0"/>
        <v>4883854.21</v>
      </c>
      <c r="I14" s="808">
        <f t="shared" si="0"/>
        <v>4084167.51</v>
      </c>
      <c r="J14" s="808">
        <f t="shared" si="0"/>
        <v>3836539.0300000003</v>
      </c>
      <c r="K14" s="808">
        <f t="shared" si="0"/>
        <v>7792406.75</v>
      </c>
      <c r="L14" s="808">
        <f t="shared" si="0"/>
        <v>3660711.2600000002</v>
      </c>
      <c r="M14" s="808">
        <f t="shared" si="0"/>
        <v>3913704.56</v>
      </c>
      <c r="N14" s="808">
        <f t="shared" si="0"/>
        <v>3596094.2699999996</v>
      </c>
      <c r="O14" s="808">
        <f t="shared" si="0"/>
        <v>4792578.83</v>
      </c>
      <c r="P14" s="943">
        <f>SUM(D14:O14)</f>
        <v>84649950.230000004</v>
      </c>
    </row>
    <row r="15" spans="1:16" ht="12.75" hidden="1" customHeight="1" x14ac:dyDescent="0.2">
      <c r="A15" s="480"/>
      <c r="B15" s="471">
        <v>11</v>
      </c>
      <c r="C15" s="480" t="s">
        <v>740</v>
      </c>
      <c r="D15" s="661"/>
      <c r="E15" s="661">
        <v>23296</v>
      </c>
      <c r="F15" s="661">
        <v>1362</v>
      </c>
      <c r="G15" s="662">
        <v>500</v>
      </c>
      <c r="H15" s="662"/>
      <c r="I15" s="662">
        <v>23492</v>
      </c>
      <c r="J15" s="662">
        <v>3200</v>
      </c>
      <c r="K15" s="662">
        <v>3120</v>
      </c>
      <c r="L15" s="662">
        <v>0</v>
      </c>
      <c r="M15" s="662">
        <v>5141</v>
      </c>
      <c r="N15" s="662">
        <v>0</v>
      </c>
      <c r="O15" s="662">
        <v>2216</v>
      </c>
      <c r="P15" s="944">
        <f t="shared" ref="P15:P45" si="1">SUM(D15:O15)</f>
        <v>62327</v>
      </c>
    </row>
    <row r="16" spans="1:16" ht="12.75" hidden="1" customHeight="1" x14ac:dyDescent="0.2">
      <c r="A16" s="480"/>
      <c r="B16" s="471">
        <v>12</v>
      </c>
      <c r="C16" s="480" t="s">
        <v>741</v>
      </c>
      <c r="D16" s="661">
        <v>19338681.100000001</v>
      </c>
      <c r="E16" s="661">
        <v>7621069.7999999998</v>
      </c>
      <c r="F16" s="661">
        <v>2762995.75</v>
      </c>
      <c r="G16" s="662">
        <v>1434926.04</v>
      </c>
      <c r="H16" s="662">
        <v>993581.81</v>
      </c>
      <c r="I16" s="662">
        <v>956618</v>
      </c>
      <c r="J16" s="662">
        <v>890576.89</v>
      </c>
      <c r="K16" s="662">
        <v>1471823.4</v>
      </c>
      <c r="L16" s="662">
        <v>555993.15</v>
      </c>
      <c r="M16" s="662">
        <v>548415.88</v>
      </c>
      <c r="N16" s="662">
        <v>540463.4</v>
      </c>
      <c r="O16" s="662">
        <v>1388128.86</v>
      </c>
      <c r="P16" s="944">
        <f>SUM(D16:O16)</f>
        <v>38503274.079999998</v>
      </c>
    </row>
    <row r="17" spans="1:16" ht="22.5" hidden="1" customHeight="1" x14ac:dyDescent="0.2">
      <c r="A17" s="480"/>
      <c r="B17" s="471">
        <v>13</v>
      </c>
      <c r="C17" s="483" t="s">
        <v>742</v>
      </c>
      <c r="D17" s="661">
        <v>2645195</v>
      </c>
      <c r="E17" s="661">
        <v>2265958</v>
      </c>
      <c r="F17" s="661">
        <v>2148013</v>
      </c>
      <c r="G17" s="662">
        <v>3133429</v>
      </c>
      <c r="H17" s="662">
        <v>2783249</v>
      </c>
      <c r="I17" s="662">
        <v>2417029</v>
      </c>
      <c r="J17" s="662">
        <v>1955955</v>
      </c>
      <c r="K17" s="662">
        <v>3482679</v>
      </c>
      <c r="L17" s="662">
        <v>2159693</v>
      </c>
      <c r="M17" s="662">
        <v>2584999</v>
      </c>
      <c r="N17" s="662">
        <v>2463229</v>
      </c>
      <c r="O17" s="662">
        <v>1637644</v>
      </c>
      <c r="P17" s="944">
        <f t="shared" si="1"/>
        <v>29677072</v>
      </c>
    </row>
    <row r="18" spans="1:16" ht="12.75" hidden="1" customHeight="1" x14ac:dyDescent="0.2">
      <c r="A18" s="480"/>
      <c r="B18" s="471">
        <v>14</v>
      </c>
      <c r="C18" s="480" t="s">
        <v>743</v>
      </c>
      <c r="D18" s="661"/>
      <c r="E18" s="661"/>
      <c r="F18" s="661"/>
      <c r="G18" s="662"/>
      <c r="H18" s="662"/>
      <c r="I18" s="662"/>
      <c r="J18" s="662"/>
      <c r="K18" s="662"/>
      <c r="L18" s="662"/>
      <c r="M18" s="662"/>
      <c r="N18" s="662"/>
      <c r="O18" s="662"/>
      <c r="P18" s="944">
        <f t="shared" si="1"/>
        <v>0</v>
      </c>
    </row>
    <row r="19" spans="1:16" ht="12.75" hidden="1" customHeight="1" x14ac:dyDescent="0.2">
      <c r="A19" s="480"/>
      <c r="B19" s="471">
        <v>15</v>
      </c>
      <c r="C19" s="480" t="s">
        <v>744</v>
      </c>
      <c r="D19" s="661"/>
      <c r="E19" s="661"/>
      <c r="F19" s="661"/>
      <c r="G19" s="662"/>
      <c r="H19" s="662"/>
      <c r="I19" s="662"/>
      <c r="J19" s="662"/>
      <c r="K19" s="662"/>
      <c r="L19" s="662"/>
      <c r="M19" s="662"/>
      <c r="N19" s="662"/>
      <c r="O19" s="662"/>
      <c r="P19" s="944">
        <f t="shared" si="1"/>
        <v>0</v>
      </c>
    </row>
    <row r="20" spans="1:16" ht="12.75" hidden="1" customHeight="1" x14ac:dyDescent="0.2">
      <c r="A20" s="480"/>
      <c r="B20" s="471">
        <v>16</v>
      </c>
      <c r="C20" s="480" t="s">
        <v>733</v>
      </c>
      <c r="D20" s="661"/>
      <c r="E20" s="661"/>
      <c r="F20" s="661"/>
      <c r="G20" s="662"/>
      <c r="H20" s="662"/>
      <c r="I20" s="662"/>
      <c r="J20" s="662"/>
      <c r="K20" s="662"/>
      <c r="L20" s="662"/>
      <c r="M20" s="662"/>
      <c r="N20" s="662"/>
      <c r="O20" s="662"/>
      <c r="P20" s="944">
        <f t="shared" si="1"/>
        <v>0</v>
      </c>
    </row>
    <row r="21" spans="1:16" ht="12.75" hidden="1" customHeight="1" x14ac:dyDescent="0.2">
      <c r="A21" s="480"/>
      <c r="B21" s="471">
        <v>17</v>
      </c>
      <c r="C21" s="480" t="s">
        <v>735</v>
      </c>
      <c r="D21" s="661">
        <v>591529.44999999995</v>
      </c>
      <c r="E21" s="661">
        <v>387627.3</v>
      </c>
      <c r="F21" s="663">
        <v>328193.95</v>
      </c>
      <c r="G21" s="662">
        <v>233554.53</v>
      </c>
      <c r="H21" s="662">
        <v>369392.2</v>
      </c>
      <c r="I21" s="662">
        <v>198949.17</v>
      </c>
      <c r="J21" s="662">
        <v>173866.29</v>
      </c>
      <c r="K21" s="662">
        <v>297514.90999999997</v>
      </c>
      <c r="L21" s="662">
        <v>202664.7</v>
      </c>
      <c r="M21" s="662">
        <v>171651.02</v>
      </c>
      <c r="N21" s="662">
        <v>75662.320000000007</v>
      </c>
      <c r="O21" s="662">
        <v>201991.06</v>
      </c>
      <c r="P21" s="944">
        <f t="shared" si="1"/>
        <v>3232596.9000000004</v>
      </c>
    </row>
    <row r="22" spans="1:16" ht="12.75" hidden="1" customHeight="1" x14ac:dyDescent="0.2">
      <c r="A22" s="480"/>
      <c r="B22" s="471">
        <v>18</v>
      </c>
      <c r="C22" s="480" t="s">
        <v>734</v>
      </c>
      <c r="D22" s="661"/>
      <c r="E22" s="661"/>
      <c r="F22" s="661"/>
      <c r="G22" s="662"/>
      <c r="H22" s="662"/>
      <c r="I22" s="662"/>
      <c r="J22" s="662"/>
      <c r="K22" s="662"/>
      <c r="L22" s="662"/>
      <c r="M22" s="662"/>
      <c r="N22" s="662"/>
      <c r="O22" s="662"/>
      <c r="P22" s="944">
        <f t="shared" si="1"/>
        <v>0</v>
      </c>
    </row>
    <row r="23" spans="1:16" ht="45" hidden="1" customHeight="1" x14ac:dyDescent="0.2">
      <c r="A23" s="484"/>
      <c r="B23" s="485">
        <v>19</v>
      </c>
      <c r="C23" s="483" t="s">
        <v>745</v>
      </c>
      <c r="D23" s="661">
        <v>2184528.96</v>
      </c>
      <c r="E23" s="661">
        <v>1268636.82</v>
      </c>
      <c r="F23" s="661">
        <v>832126.26</v>
      </c>
      <c r="G23" s="662">
        <v>888270.85</v>
      </c>
      <c r="H23" s="662">
        <v>737631.2</v>
      </c>
      <c r="I23" s="662">
        <v>488079.34</v>
      </c>
      <c r="J23" s="662">
        <v>812940.85</v>
      </c>
      <c r="K23" s="664">
        <v>2537269.44</v>
      </c>
      <c r="L23" s="662">
        <v>742360.41</v>
      </c>
      <c r="M23" s="662">
        <v>603497.66</v>
      </c>
      <c r="N23" s="662">
        <v>516739.55</v>
      </c>
      <c r="O23" s="662">
        <v>1562598.91</v>
      </c>
      <c r="P23" s="944">
        <f t="shared" si="1"/>
        <v>13174680.25</v>
      </c>
    </row>
    <row r="24" spans="1:16" ht="12.75" hidden="1" customHeight="1" x14ac:dyDescent="0.2">
      <c r="A24" s="476">
        <v>2</v>
      </c>
      <c r="B24" s="471"/>
      <c r="C24" s="476" t="s">
        <v>458</v>
      </c>
      <c r="D24" s="661">
        <f>SUM(D25:D29)</f>
        <v>0</v>
      </c>
      <c r="E24" s="661">
        <f t="shared" ref="E24:O24" si="2">SUM(E25:E29)</f>
        <v>0</v>
      </c>
      <c r="F24" s="807">
        <f t="shared" si="2"/>
        <v>0</v>
      </c>
      <c r="G24" s="807">
        <f t="shared" si="2"/>
        <v>0</v>
      </c>
      <c r="H24" s="807">
        <f t="shared" si="2"/>
        <v>0</v>
      </c>
      <c r="I24" s="807">
        <f t="shared" si="2"/>
        <v>0</v>
      </c>
      <c r="J24" s="807">
        <f t="shared" si="2"/>
        <v>0</v>
      </c>
      <c r="K24" s="807">
        <f t="shared" si="2"/>
        <v>0</v>
      </c>
      <c r="L24" s="807">
        <f t="shared" si="2"/>
        <v>0</v>
      </c>
      <c r="M24" s="807">
        <f t="shared" si="2"/>
        <v>0</v>
      </c>
      <c r="N24" s="807">
        <f t="shared" si="2"/>
        <v>0</v>
      </c>
      <c r="O24" s="807">
        <f t="shared" si="2"/>
        <v>0</v>
      </c>
      <c r="P24" s="944">
        <f t="shared" si="1"/>
        <v>0</v>
      </c>
    </row>
    <row r="25" spans="1:16" ht="12.75" hidden="1" customHeight="1" x14ac:dyDescent="0.2">
      <c r="A25" s="480"/>
      <c r="B25" s="471">
        <v>21</v>
      </c>
      <c r="C25" s="480" t="s">
        <v>746</v>
      </c>
      <c r="D25" s="661"/>
      <c r="E25" s="661">
        <v>0</v>
      </c>
      <c r="F25" s="661">
        <v>0</v>
      </c>
      <c r="G25" s="662">
        <v>0</v>
      </c>
      <c r="H25" s="662">
        <v>0</v>
      </c>
      <c r="I25" s="662">
        <v>0</v>
      </c>
      <c r="J25" s="662">
        <v>0</v>
      </c>
      <c r="K25" s="662">
        <v>0</v>
      </c>
      <c r="L25" s="662">
        <v>0</v>
      </c>
      <c r="M25" s="662">
        <v>0</v>
      </c>
      <c r="N25" s="662">
        <v>0</v>
      </c>
      <c r="O25" s="662">
        <v>0</v>
      </c>
      <c r="P25" s="944">
        <f t="shared" si="1"/>
        <v>0</v>
      </c>
    </row>
    <row r="26" spans="1:16" ht="12.75" hidden="1" customHeight="1" x14ac:dyDescent="0.2">
      <c r="A26" s="480"/>
      <c r="B26" s="471">
        <v>22</v>
      </c>
      <c r="C26" s="480" t="s">
        <v>747</v>
      </c>
      <c r="D26" s="661"/>
      <c r="E26" s="661">
        <v>0</v>
      </c>
      <c r="F26" s="661">
        <v>0</v>
      </c>
      <c r="G26" s="662">
        <v>0</v>
      </c>
      <c r="H26" s="662">
        <v>0</v>
      </c>
      <c r="I26" s="662">
        <v>0</v>
      </c>
      <c r="J26" s="662">
        <v>0</v>
      </c>
      <c r="K26" s="662">
        <v>0</v>
      </c>
      <c r="L26" s="662">
        <v>0</v>
      </c>
      <c r="M26" s="662">
        <v>0</v>
      </c>
      <c r="N26" s="662">
        <v>0</v>
      </c>
      <c r="O26" s="662">
        <v>0</v>
      </c>
      <c r="P26" s="944">
        <f t="shared" si="1"/>
        <v>0</v>
      </c>
    </row>
    <row r="27" spans="1:16" ht="12.75" hidden="1" customHeight="1" x14ac:dyDescent="0.2">
      <c r="A27" s="480"/>
      <c r="B27" s="471">
        <v>23</v>
      </c>
      <c r="C27" s="480" t="s">
        <v>748</v>
      </c>
      <c r="D27" s="661"/>
      <c r="E27" s="661">
        <v>0</v>
      </c>
      <c r="F27" s="661">
        <v>0</v>
      </c>
      <c r="G27" s="662">
        <v>0</v>
      </c>
      <c r="H27" s="662">
        <v>0</v>
      </c>
      <c r="I27" s="662">
        <v>0</v>
      </c>
      <c r="J27" s="662">
        <v>0</v>
      </c>
      <c r="K27" s="662">
        <v>0</v>
      </c>
      <c r="L27" s="662">
        <v>0</v>
      </c>
      <c r="M27" s="662">
        <v>0</v>
      </c>
      <c r="N27" s="662">
        <v>0</v>
      </c>
      <c r="O27" s="662">
        <v>0</v>
      </c>
      <c r="P27" s="944">
        <f t="shared" si="1"/>
        <v>0</v>
      </c>
    </row>
    <row r="28" spans="1:16" ht="22.5" hidden="1" customHeight="1" x14ac:dyDescent="0.2">
      <c r="A28" s="480"/>
      <c r="B28" s="471">
        <v>24</v>
      </c>
      <c r="C28" s="483" t="s">
        <v>749</v>
      </c>
      <c r="D28" s="661"/>
      <c r="E28" s="661">
        <v>0</v>
      </c>
      <c r="F28" s="661">
        <v>0</v>
      </c>
      <c r="G28" s="662">
        <v>0</v>
      </c>
      <c r="H28" s="662">
        <v>0</v>
      </c>
      <c r="I28" s="662">
        <v>0</v>
      </c>
      <c r="J28" s="662">
        <v>0</v>
      </c>
      <c r="K28" s="662">
        <v>0</v>
      </c>
      <c r="L28" s="662">
        <v>0</v>
      </c>
      <c r="M28" s="662">
        <v>0</v>
      </c>
      <c r="N28" s="662">
        <v>0</v>
      </c>
      <c r="O28" s="662">
        <v>0</v>
      </c>
      <c r="P28" s="944">
        <f t="shared" si="1"/>
        <v>0</v>
      </c>
    </row>
    <row r="29" spans="1:16" ht="12.75" hidden="1" customHeight="1" x14ac:dyDescent="0.2">
      <c r="A29" s="480"/>
      <c r="B29" s="471">
        <v>25</v>
      </c>
      <c r="C29" s="480" t="s">
        <v>735</v>
      </c>
      <c r="D29" s="807"/>
      <c r="E29" s="807">
        <v>0</v>
      </c>
      <c r="F29" s="661">
        <v>0</v>
      </c>
      <c r="G29" s="662">
        <v>0</v>
      </c>
      <c r="H29" s="662">
        <v>0</v>
      </c>
      <c r="I29" s="662">
        <v>0</v>
      </c>
      <c r="J29" s="662">
        <v>0</v>
      </c>
      <c r="K29" s="662">
        <v>0</v>
      </c>
      <c r="L29" s="662">
        <v>0</v>
      </c>
      <c r="M29" s="662">
        <v>0</v>
      </c>
      <c r="N29" s="662">
        <v>0</v>
      </c>
      <c r="O29" s="662">
        <v>0</v>
      </c>
      <c r="P29" s="944">
        <f t="shared" si="1"/>
        <v>0</v>
      </c>
    </row>
    <row r="30" spans="1:16" ht="12.75" hidden="1" customHeight="1" x14ac:dyDescent="0.2">
      <c r="A30" s="476">
        <v>3</v>
      </c>
      <c r="B30" s="471"/>
      <c r="C30" s="476" t="s">
        <v>459</v>
      </c>
      <c r="D30" s="661">
        <f>SUM(D31:D32)</f>
        <v>0</v>
      </c>
      <c r="E30" s="661">
        <f t="shared" ref="E30:O30" si="3">SUM(E31:E32)</f>
        <v>0</v>
      </c>
      <c r="F30" s="807">
        <f t="shared" si="3"/>
        <v>0</v>
      </c>
      <c r="G30" s="807">
        <f t="shared" si="3"/>
        <v>0</v>
      </c>
      <c r="H30" s="807">
        <f t="shared" si="3"/>
        <v>0</v>
      </c>
      <c r="I30" s="807">
        <f t="shared" si="3"/>
        <v>0</v>
      </c>
      <c r="J30" s="807">
        <f t="shared" si="3"/>
        <v>0</v>
      </c>
      <c r="K30" s="807">
        <f t="shared" si="3"/>
        <v>0</v>
      </c>
      <c r="L30" s="807">
        <f t="shared" si="3"/>
        <v>0</v>
      </c>
      <c r="M30" s="807">
        <f t="shared" si="3"/>
        <v>0</v>
      </c>
      <c r="N30" s="807">
        <f t="shared" si="3"/>
        <v>0</v>
      </c>
      <c r="O30" s="807">
        <f t="shared" si="3"/>
        <v>0</v>
      </c>
      <c r="P30" s="944">
        <f t="shared" si="1"/>
        <v>0</v>
      </c>
    </row>
    <row r="31" spans="1:16" ht="12.75" hidden="1" customHeight="1" x14ac:dyDescent="0.2">
      <c r="A31" s="480"/>
      <c r="B31" s="471">
        <v>31</v>
      </c>
      <c r="C31" s="480" t="s">
        <v>750</v>
      </c>
      <c r="D31" s="661"/>
      <c r="E31" s="661">
        <v>0</v>
      </c>
      <c r="F31" s="661">
        <v>0</v>
      </c>
      <c r="G31" s="662">
        <v>0</v>
      </c>
      <c r="H31" s="662">
        <v>0</v>
      </c>
      <c r="I31" s="662">
        <v>0</v>
      </c>
      <c r="J31" s="662">
        <v>0</v>
      </c>
      <c r="K31" s="662">
        <v>0</v>
      </c>
      <c r="L31" s="662">
        <v>0</v>
      </c>
      <c r="M31" s="662">
        <v>0</v>
      </c>
      <c r="N31" s="662">
        <v>0</v>
      </c>
      <c r="O31" s="662">
        <v>0</v>
      </c>
      <c r="P31" s="944">
        <f t="shared" si="1"/>
        <v>0</v>
      </c>
    </row>
    <row r="32" spans="1:16" ht="56.25" hidden="1" customHeight="1" x14ac:dyDescent="0.2">
      <c r="A32" s="484"/>
      <c r="B32" s="485">
        <v>39</v>
      </c>
      <c r="C32" s="483" t="s">
        <v>751</v>
      </c>
      <c r="D32" s="807"/>
      <c r="E32" s="807">
        <v>0</v>
      </c>
      <c r="F32" s="661">
        <v>0</v>
      </c>
      <c r="G32" s="662">
        <v>0</v>
      </c>
      <c r="H32" s="662">
        <v>0</v>
      </c>
      <c r="I32" s="662">
        <v>0</v>
      </c>
      <c r="J32" s="662">
        <v>0</v>
      </c>
      <c r="K32" s="662">
        <v>0</v>
      </c>
      <c r="L32" s="662">
        <v>0</v>
      </c>
      <c r="M32" s="662">
        <v>0</v>
      </c>
      <c r="N32" s="662">
        <v>0</v>
      </c>
      <c r="O32" s="662">
        <v>0</v>
      </c>
      <c r="P32" s="944">
        <f t="shared" si="1"/>
        <v>0</v>
      </c>
    </row>
    <row r="33" spans="1:16" ht="17.25" customHeight="1" x14ac:dyDescent="0.2">
      <c r="A33" s="476">
        <v>4</v>
      </c>
      <c r="B33" s="471"/>
      <c r="C33" s="486" t="s">
        <v>113</v>
      </c>
      <c r="D33" s="807">
        <f>SUM(D34:D39)</f>
        <v>4912030.1500000004</v>
      </c>
      <c r="E33" s="807">
        <f>SUM(E34:E39)</f>
        <v>3265258.17</v>
      </c>
      <c r="F33" s="807">
        <f>SUM(F34:F39)</f>
        <v>5455049.1399999997</v>
      </c>
      <c r="G33" s="807">
        <f t="shared" ref="G33:O33" si="4">SUM(G34:G39)</f>
        <v>4658015.12</v>
      </c>
      <c r="H33" s="807">
        <f t="shared" si="4"/>
        <v>3360476.02</v>
      </c>
      <c r="I33" s="807">
        <f t="shared" si="4"/>
        <v>3189866.51</v>
      </c>
      <c r="J33" s="807">
        <f t="shared" si="4"/>
        <v>2447032.21</v>
      </c>
      <c r="K33" s="807">
        <f t="shared" si="4"/>
        <v>3532712.69</v>
      </c>
      <c r="L33" s="807">
        <f t="shared" si="4"/>
        <v>2832852.53</v>
      </c>
      <c r="M33" s="807">
        <f t="shared" si="4"/>
        <v>2024752.5699999998</v>
      </c>
      <c r="N33" s="807">
        <f t="shared" si="4"/>
        <v>2285146.36</v>
      </c>
      <c r="O33" s="807">
        <f t="shared" si="4"/>
        <v>2721596.4699999997</v>
      </c>
      <c r="P33" s="943">
        <f t="shared" si="1"/>
        <v>40684787.939999998</v>
      </c>
    </row>
    <row r="34" spans="1:16" ht="27" hidden="1" customHeight="1" x14ac:dyDescent="0.2">
      <c r="A34" s="484"/>
      <c r="B34" s="485">
        <v>41</v>
      </c>
      <c r="C34" s="487" t="s">
        <v>752</v>
      </c>
      <c r="D34" s="661">
        <v>449634.59</v>
      </c>
      <c r="E34" s="661">
        <v>479692.79999999999</v>
      </c>
      <c r="F34" s="661">
        <v>365751.6</v>
      </c>
      <c r="G34" s="662">
        <v>396690.7</v>
      </c>
      <c r="H34" s="662">
        <v>427950.5</v>
      </c>
      <c r="I34" s="662">
        <v>364693</v>
      </c>
      <c r="J34" s="662">
        <v>337508.6</v>
      </c>
      <c r="K34" s="662">
        <v>330574.40000000002</v>
      </c>
      <c r="L34" s="662">
        <v>304245.15000000002</v>
      </c>
      <c r="M34" s="662">
        <v>503813.6</v>
      </c>
      <c r="N34" s="662">
        <v>382406.6</v>
      </c>
      <c r="O34" s="662">
        <v>490830.8</v>
      </c>
      <c r="P34" s="944">
        <f t="shared" si="1"/>
        <v>4833792.34</v>
      </c>
    </row>
    <row r="35" spans="1:16" ht="17.25" hidden="1" customHeight="1" x14ac:dyDescent="0.2">
      <c r="A35" s="480"/>
      <c r="B35" s="471">
        <v>42</v>
      </c>
      <c r="C35" s="480" t="s">
        <v>753</v>
      </c>
      <c r="D35" s="661"/>
      <c r="E35" s="661"/>
      <c r="F35" s="661"/>
      <c r="G35" s="662"/>
      <c r="H35" s="662"/>
      <c r="I35" s="662"/>
      <c r="J35" s="662"/>
      <c r="K35" s="662"/>
      <c r="L35" s="662"/>
      <c r="M35" s="662"/>
      <c r="N35" s="662"/>
      <c r="O35" s="662"/>
      <c r="P35" s="944">
        <f t="shared" si="1"/>
        <v>0</v>
      </c>
    </row>
    <row r="36" spans="1:16" ht="17.25" hidden="1" customHeight="1" x14ac:dyDescent="0.2">
      <c r="A36" s="480"/>
      <c r="B36" s="471">
        <v>43</v>
      </c>
      <c r="C36" s="480" t="s">
        <v>754</v>
      </c>
      <c r="D36" s="661">
        <v>4461722.41</v>
      </c>
      <c r="E36" s="661">
        <v>2783868.58</v>
      </c>
      <c r="F36" s="661">
        <v>5046667.33</v>
      </c>
      <c r="G36" s="662">
        <v>4261160.92</v>
      </c>
      <c r="H36" s="662">
        <v>2928263.62</v>
      </c>
      <c r="I36" s="662">
        <v>2824083.69</v>
      </c>
      <c r="J36" s="662">
        <v>2107682.79</v>
      </c>
      <c r="K36" s="662">
        <v>3201461.79</v>
      </c>
      <c r="L36" s="662">
        <v>2528207.38</v>
      </c>
      <c r="M36" s="662">
        <v>1520602.39</v>
      </c>
      <c r="N36" s="662">
        <v>1902424.26</v>
      </c>
      <c r="O36" s="662">
        <v>2229184.5</v>
      </c>
      <c r="P36" s="944">
        <f t="shared" si="1"/>
        <v>35795329.659999996</v>
      </c>
    </row>
    <row r="37" spans="1:16" ht="17.25" hidden="1" customHeight="1" x14ac:dyDescent="0.2">
      <c r="A37" s="480"/>
      <c r="B37" s="471">
        <v>44</v>
      </c>
      <c r="C37" s="480" t="s">
        <v>755</v>
      </c>
      <c r="D37" s="661"/>
      <c r="E37" s="661"/>
      <c r="F37" s="661"/>
      <c r="G37" s="662"/>
      <c r="H37" s="662"/>
      <c r="I37" s="662"/>
      <c r="J37" s="662"/>
      <c r="K37" s="662"/>
      <c r="L37" s="662"/>
      <c r="M37" s="662"/>
      <c r="N37" s="662"/>
      <c r="O37" s="662"/>
      <c r="P37" s="944">
        <f t="shared" si="1"/>
        <v>0</v>
      </c>
    </row>
    <row r="38" spans="1:16" ht="17.25" hidden="1" customHeight="1" x14ac:dyDescent="0.2">
      <c r="A38" s="480"/>
      <c r="B38" s="471">
        <v>45</v>
      </c>
      <c r="C38" s="480" t="s">
        <v>735</v>
      </c>
      <c r="D38" s="661">
        <v>673.15</v>
      </c>
      <c r="E38" s="661">
        <v>1696.79</v>
      </c>
      <c r="F38" s="661">
        <v>42630.21</v>
      </c>
      <c r="G38" s="662">
        <v>163.5</v>
      </c>
      <c r="H38" s="662">
        <v>4261.8999999999996</v>
      </c>
      <c r="I38" s="662">
        <v>1089.82</v>
      </c>
      <c r="J38" s="662">
        <v>1840.82</v>
      </c>
      <c r="K38" s="662">
        <v>676.5</v>
      </c>
      <c r="L38" s="662">
        <v>400</v>
      </c>
      <c r="M38" s="662">
        <v>336.58</v>
      </c>
      <c r="N38" s="662">
        <v>315.5</v>
      </c>
      <c r="O38" s="662">
        <v>1581.17</v>
      </c>
      <c r="P38" s="944">
        <f t="shared" si="1"/>
        <v>55665.94</v>
      </c>
    </row>
    <row r="39" spans="1:16" ht="17.25" hidden="1" customHeight="1" x14ac:dyDescent="0.2">
      <c r="A39" s="484"/>
      <c r="B39" s="485">
        <v>49</v>
      </c>
      <c r="C39" s="483" t="s">
        <v>756</v>
      </c>
      <c r="D39" s="807"/>
      <c r="E39" s="807">
        <v>0</v>
      </c>
      <c r="F39" s="661">
        <v>0</v>
      </c>
      <c r="G39" s="662">
        <v>0</v>
      </c>
      <c r="H39" s="662">
        <v>0</v>
      </c>
      <c r="I39" s="662">
        <v>0</v>
      </c>
      <c r="J39" s="662">
        <v>0</v>
      </c>
      <c r="K39" s="662">
        <v>0</v>
      </c>
      <c r="L39" s="662">
        <v>0</v>
      </c>
      <c r="M39" s="662">
        <v>0</v>
      </c>
      <c r="N39" s="662">
        <v>0</v>
      </c>
      <c r="O39" s="662">
        <v>0</v>
      </c>
      <c r="P39" s="944">
        <f t="shared" si="1"/>
        <v>0</v>
      </c>
    </row>
    <row r="40" spans="1:16" ht="17.25" customHeight="1" x14ac:dyDescent="0.2">
      <c r="A40" s="476">
        <v>5</v>
      </c>
      <c r="B40" s="471"/>
      <c r="C40" s="477" t="s">
        <v>228</v>
      </c>
      <c r="D40" s="808">
        <f>SUM(D41:D43)</f>
        <v>1147058.2599999998</v>
      </c>
      <c r="E40" s="808">
        <f>SUM(E41:E43)</f>
        <v>835438.61</v>
      </c>
      <c r="F40" s="807">
        <f>SUM(F41:F43)</f>
        <v>842129.19</v>
      </c>
      <c r="G40" s="807">
        <f t="shared" ref="G40:O40" si="5">SUM(G41:G43)</f>
        <v>1002098.3200000001</v>
      </c>
      <c r="H40" s="807">
        <f t="shared" si="5"/>
        <v>1093221.3299999998</v>
      </c>
      <c r="I40" s="807">
        <f t="shared" si="5"/>
        <v>1013362.69</v>
      </c>
      <c r="J40" s="807">
        <f t="shared" si="5"/>
        <v>9201490.9700000007</v>
      </c>
      <c r="K40" s="807">
        <f t="shared" si="5"/>
        <v>711734.31</v>
      </c>
      <c r="L40" s="807">
        <f t="shared" si="5"/>
        <v>-4304821.9400000004</v>
      </c>
      <c r="M40" s="807">
        <f t="shared" si="5"/>
        <v>2157186.2600000002</v>
      </c>
      <c r="N40" s="807">
        <f t="shared" si="5"/>
        <v>-4126726.4400000004</v>
      </c>
      <c r="O40" s="807">
        <f t="shared" si="5"/>
        <v>1024334.0799999998</v>
      </c>
      <c r="P40" s="943">
        <f t="shared" si="1"/>
        <v>10596505.640000002</v>
      </c>
    </row>
    <row r="41" spans="1:16" ht="17.25" hidden="1" customHeight="1" x14ac:dyDescent="0.2">
      <c r="A41" s="480"/>
      <c r="B41" s="471">
        <v>51</v>
      </c>
      <c r="C41" s="480" t="s">
        <v>197</v>
      </c>
      <c r="D41" s="665">
        <v>306952.42</v>
      </c>
      <c r="E41" s="665">
        <v>260167.38999999998</v>
      </c>
      <c r="F41" s="665">
        <v>266013.74</v>
      </c>
      <c r="G41" s="662">
        <v>176226.28000000003</v>
      </c>
      <c r="H41" s="662">
        <v>184256.22</v>
      </c>
      <c r="I41" s="662">
        <v>225824.96</v>
      </c>
      <c r="J41" s="662">
        <v>8552251.3399999999</v>
      </c>
      <c r="K41" s="662">
        <v>76634.739999999991</v>
      </c>
      <c r="L41" s="662">
        <v>-4718116.4000000004</v>
      </c>
      <c r="M41" s="662">
        <v>1930260.36</v>
      </c>
      <c r="N41" s="662">
        <v>-4412486.32</v>
      </c>
      <c r="O41" s="662">
        <v>334460.39999999997</v>
      </c>
      <c r="P41" s="944">
        <f t="shared" si="1"/>
        <v>3182445.1299999994</v>
      </c>
    </row>
    <row r="42" spans="1:16" ht="17.25" hidden="1" customHeight="1" x14ac:dyDescent="0.2">
      <c r="A42" s="480"/>
      <c r="B42" s="471">
        <v>52</v>
      </c>
      <c r="C42" s="480" t="s">
        <v>757</v>
      </c>
      <c r="D42" s="665">
        <v>840105.83999999985</v>
      </c>
      <c r="E42" s="665">
        <v>575271.22</v>
      </c>
      <c r="F42" s="665">
        <v>576115.44999999995</v>
      </c>
      <c r="G42" s="662">
        <v>825872.04</v>
      </c>
      <c r="H42" s="662">
        <v>908965.10999999987</v>
      </c>
      <c r="I42" s="662">
        <v>787537.73</v>
      </c>
      <c r="J42" s="662">
        <v>649239.63</v>
      </c>
      <c r="K42" s="662">
        <v>635099.57000000007</v>
      </c>
      <c r="L42" s="664">
        <v>413294.46</v>
      </c>
      <c r="M42" s="662">
        <v>226925.89999999997</v>
      </c>
      <c r="N42" s="662">
        <v>285759.87999999995</v>
      </c>
      <c r="O42" s="662">
        <v>689873.67999999993</v>
      </c>
      <c r="P42" s="944">
        <f t="shared" si="1"/>
        <v>7414060.5099999998</v>
      </c>
    </row>
    <row r="43" spans="1:16" ht="17.25" hidden="1" customHeight="1" x14ac:dyDescent="0.2">
      <c r="A43" s="484"/>
      <c r="B43" s="485">
        <v>59</v>
      </c>
      <c r="C43" s="483" t="s">
        <v>758</v>
      </c>
      <c r="D43" s="808"/>
      <c r="E43" s="808">
        <v>0</v>
      </c>
      <c r="F43" s="665">
        <v>0</v>
      </c>
      <c r="G43" s="662">
        <v>0</v>
      </c>
      <c r="H43" s="662">
        <v>0</v>
      </c>
      <c r="I43" s="662">
        <v>0</v>
      </c>
      <c r="J43" s="662">
        <v>0</v>
      </c>
      <c r="K43" s="662">
        <v>0</v>
      </c>
      <c r="L43" s="664">
        <f>SUMIFS($F$5321:$F$5441,$I$5321:$I$5441,J43)</f>
        <v>0</v>
      </c>
      <c r="M43" s="662">
        <v>0</v>
      </c>
      <c r="N43" s="662">
        <v>0</v>
      </c>
      <c r="O43" s="662">
        <v>0</v>
      </c>
      <c r="P43" s="944">
        <f t="shared" si="1"/>
        <v>0</v>
      </c>
    </row>
    <row r="44" spans="1:16" ht="17.25" customHeight="1" x14ac:dyDescent="0.2">
      <c r="A44" s="476">
        <v>6</v>
      </c>
      <c r="B44" s="471"/>
      <c r="C44" s="477" t="s">
        <v>231</v>
      </c>
      <c r="D44" s="808">
        <f>SUM(D45:D47)</f>
        <v>930545.37</v>
      </c>
      <c r="E44" s="808">
        <f>SUM(E45:E47)</f>
        <v>1156549.8999999999</v>
      </c>
      <c r="F44" s="808">
        <f>SUM(F45:F47)</f>
        <v>840157.92</v>
      </c>
      <c r="G44" s="808">
        <f t="shared" ref="G44:O44" si="6">SUM(G45:G47)</f>
        <v>717230.75</v>
      </c>
      <c r="H44" s="808">
        <f t="shared" si="6"/>
        <v>934249.62</v>
      </c>
      <c r="I44" s="808">
        <f t="shared" si="6"/>
        <v>1155636.8899999999</v>
      </c>
      <c r="J44" s="808">
        <f t="shared" si="6"/>
        <v>983821.76</v>
      </c>
      <c r="K44" s="808">
        <f t="shared" si="6"/>
        <v>858733.79</v>
      </c>
      <c r="L44" s="808">
        <f t="shared" si="6"/>
        <v>555665.89</v>
      </c>
      <c r="M44" s="808">
        <f t="shared" si="6"/>
        <v>606471.12</v>
      </c>
      <c r="N44" s="808">
        <f t="shared" si="6"/>
        <v>628984.22</v>
      </c>
      <c r="O44" s="808">
        <f t="shared" si="6"/>
        <v>910705.4</v>
      </c>
      <c r="P44" s="943">
        <f t="shared" si="1"/>
        <v>10278752.629999999</v>
      </c>
    </row>
    <row r="45" spans="1:16" ht="17.25" hidden="1" customHeight="1" x14ac:dyDescent="0.2">
      <c r="A45" s="480"/>
      <c r="B45" s="471">
        <v>61</v>
      </c>
      <c r="C45" s="480" t="s">
        <v>759</v>
      </c>
      <c r="D45" s="665">
        <v>930545.37</v>
      </c>
      <c r="E45" s="665">
        <v>1156549.8999999999</v>
      </c>
      <c r="F45" s="665">
        <v>840157.92</v>
      </c>
      <c r="G45" s="662">
        <v>717230.75</v>
      </c>
      <c r="H45" s="662">
        <v>934249.62</v>
      </c>
      <c r="I45" s="662">
        <v>1155636.8899999999</v>
      </c>
      <c r="J45" s="662">
        <v>983821.76</v>
      </c>
      <c r="K45" s="662">
        <v>858733.79</v>
      </c>
      <c r="L45" s="662">
        <v>555665.89</v>
      </c>
      <c r="M45" s="662">
        <v>606471.12</v>
      </c>
      <c r="N45" s="662">
        <v>628984.22</v>
      </c>
      <c r="O45" s="662">
        <v>910705.4</v>
      </c>
      <c r="P45" s="944">
        <f t="shared" si="1"/>
        <v>10278752.629999999</v>
      </c>
    </row>
    <row r="46" spans="1:16" ht="17.25" hidden="1" customHeight="1" x14ac:dyDescent="0.2">
      <c r="A46" s="480"/>
      <c r="B46" s="471">
        <v>62</v>
      </c>
      <c r="C46" s="480" t="s">
        <v>760</v>
      </c>
      <c r="D46" s="665"/>
      <c r="E46" s="665">
        <v>0</v>
      </c>
      <c r="F46" s="665">
        <v>0</v>
      </c>
      <c r="G46" s="662">
        <v>0</v>
      </c>
      <c r="H46" s="662">
        <v>0</v>
      </c>
      <c r="I46" s="662">
        <v>0</v>
      </c>
      <c r="J46" s="662">
        <v>0</v>
      </c>
      <c r="K46" s="662">
        <v>0</v>
      </c>
      <c r="L46" s="662">
        <v>0</v>
      </c>
      <c r="M46" s="662">
        <v>0</v>
      </c>
      <c r="N46" s="662">
        <v>0</v>
      </c>
      <c r="O46" s="662">
        <v>0</v>
      </c>
      <c r="P46" s="482">
        <f t="shared" ref="P46:P64" si="7">SUM(D46:O46)</f>
        <v>0</v>
      </c>
    </row>
    <row r="47" spans="1:16" ht="17.25" hidden="1" customHeight="1" x14ac:dyDescent="0.2">
      <c r="A47" s="484"/>
      <c r="B47" s="485">
        <v>69</v>
      </c>
      <c r="C47" s="487" t="s">
        <v>761</v>
      </c>
      <c r="D47" s="808"/>
      <c r="E47" s="808">
        <v>0</v>
      </c>
      <c r="F47" s="665">
        <v>0</v>
      </c>
      <c r="G47" s="662">
        <v>0</v>
      </c>
      <c r="H47" s="662">
        <v>0</v>
      </c>
      <c r="I47" s="662">
        <v>0</v>
      </c>
      <c r="J47" s="662">
        <v>0</v>
      </c>
      <c r="K47" s="662">
        <v>0</v>
      </c>
      <c r="L47" s="662">
        <v>0</v>
      </c>
      <c r="M47" s="662">
        <v>0</v>
      </c>
      <c r="N47" s="662">
        <v>0</v>
      </c>
      <c r="O47" s="662">
        <v>0</v>
      </c>
      <c r="P47" s="482">
        <f t="shared" si="7"/>
        <v>0</v>
      </c>
    </row>
    <row r="48" spans="1:16" ht="17.25" hidden="1" customHeight="1" x14ac:dyDescent="0.2">
      <c r="A48" s="476">
        <v>7</v>
      </c>
      <c r="B48" s="471"/>
      <c r="C48" s="476" t="s">
        <v>648</v>
      </c>
      <c r="D48" s="665">
        <f>SUM(D49:D51)</f>
        <v>0</v>
      </c>
      <c r="E48" s="665">
        <f t="shared" ref="E48:O48" si="8">SUM(E49:E51)</f>
        <v>0</v>
      </c>
      <c r="F48" s="808">
        <f t="shared" si="8"/>
        <v>0</v>
      </c>
      <c r="G48" s="808">
        <f t="shared" si="8"/>
        <v>0</v>
      </c>
      <c r="H48" s="808">
        <f t="shared" si="8"/>
        <v>0</v>
      </c>
      <c r="I48" s="808">
        <f t="shared" si="8"/>
        <v>0</v>
      </c>
      <c r="J48" s="808">
        <f t="shared" si="8"/>
        <v>0</v>
      </c>
      <c r="K48" s="808">
        <f t="shared" si="8"/>
        <v>0</v>
      </c>
      <c r="L48" s="808">
        <f t="shared" si="8"/>
        <v>0</v>
      </c>
      <c r="M48" s="808">
        <f t="shared" si="8"/>
        <v>0</v>
      </c>
      <c r="N48" s="808">
        <f t="shared" si="8"/>
        <v>0</v>
      </c>
      <c r="O48" s="808">
        <f t="shared" si="8"/>
        <v>0</v>
      </c>
      <c r="P48" s="482">
        <f t="shared" si="7"/>
        <v>0</v>
      </c>
    </row>
    <row r="49" spans="1:16" ht="17.25" hidden="1" customHeight="1" x14ac:dyDescent="0.2">
      <c r="A49" s="480"/>
      <c r="B49" s="471">
        <v>71</v>
      </c>
      <c r="C49" s="480" t="s">
        <v>762</v>
      </c>
      <c r="D49" s="665"/>
      <c r="E49" s="665">
        <v>0</v>
      </c>
      <c r="F49" s="665">
        <v>0</v>
      </c>
      <c r="G49" s="662">
        <v>0</v>
      </c>
      <c r="H49" s="662">
        <v>0</v>
      </c>
      <c r="I49" s="662">
        <v>0</v>
      </c>
      <c r="J49" s="662">
        <v>0</v>
      </c>
      <c r="K49" s="662">
        <v>0</v>
      </c>
      <c r="L49" s="662">
        <v>0</v>
      </c>
      <c r="M49" s="662">
        <v>0</v>
      </c>
      <c r="N49" s="662">
        <v>0</v>
      </c>
      <c r="O49" s="662">
        <v>0</v>
      </c>
      <c r="P49" s="482">
        <f t="shared" si="7"/>
        <v>0</v>
      </c>
    </row>
    <row r="50" spans="1:16" ht="17.25" hidden="1" customHeight="1" x14ac:dyDescent="0.2">
      <c r="A50" s="480"/>
      <c r="B50" s="471">
        <v>72</v>
      </c>
      <c r="C50" s="480" t="s">
        <v>763</v>
      </c>
      <c r="D50" s="665"/>
      <c r="E50" s="665">
        <v>0</v>
      </c>
      <c r="F50" s="665">
        <v>0</v>
      </c>
      <c r="G50" s="662">
        <v>0</v>
      </c>
      <c r="H50" s="662">
        <v>0</v>
      </c>
      <c r="I50" s="662">
        <v>0</v>
      </c>
      <c r="J50" s="662">
        <v>0</v>
      </c>
      <c r="K50" s="662">
        <v>0</v>
      </c>
      <c r="L50" s="662">
        <v>0</v>
      </c>
      <c r="M50" s="662">
        <v>0</v>
      </c>
      <c r="N50" s="662">
        <v>0</v>
      </c>
      <c r="O50" s="662">
        <v>0</v>
      </c>
      <c r="P50" s="482">
        <f t="shared" si="7"/>
        <v>0</v>
      </c>
    </row>
    <row r="51" spans="1:16" ht="17.25" hidden="1" customHeight="1" x14ac:dyDescent="0.2">
      <c r="A51" s="484"/>
      <c r="B51" s="485">
        <v>73</v>
      </c>
      <c r="C51" s="483" t="s">
        <v>764</v>
      </c>
      <c r="D51" s="808"/>
      <c r="E51" s="808">
        <v>0</v>
      </c>
      <c r="F51" s="665">
        <v>0</v>
      </c>
      <c r="G51" s="662">
        <v>0</v>
      </c>
      <c r="H51" s="662">
        <v>0</v>
      </c>
      <c r="I51" s="662">
        <v>0</v>
      </c>
      <c r="J51" s="662">
        <v>0</v>
      </c>
      <c r="K51" s="662">
        <v>0</v>
      </c>
      <c r="L51" s="662">
        <v>0</v>
      </c>
      <c r="M51" s="662">
        <v>0</v>
      </c>
      <c r="N51" s="662">
        <v>0</v>
      </c>
      <c r="O51" s="662">
        <v>0</v>
      </c>
      <c r="P51" s="482">
        <f t="shared" si="7"/>
        <v>0</v>
      </c>
    </row>
    <row r="52" spans="1:16" ht="17.25" customHeight="1" x14ac:dyDescent="0.2">
      <c r="A52" s="476">
        <v>8</v>
      </c>
      <c r="B52" s="471"/>
      <c r="C52" s="477" t="s">
        <v>121</v>
      </c>
      <c r="D52" s="808">
        <f>SUM(D53:D55)</f>
        <v>55752011.770000003</v>
      </c>
      <c r="E52" s="808">
        <f>SUM(E53:E55)</f>
        <v>58593426.189999998</v>
      </c>
      <c r="F52" s="808">
        <f>SUM(F53:F55)</f>
        <v>115089185.2</v>
      </c>
      <c r="G52" s="808">
        <f t="shared" ref="G52:O52" si="9">SUM(G53:G55)</f>
        <v>109119788.49000001</v>
      </c>
      <c r="H52" s="808">
        <f t="shared" si="9"/>
        <v>96492567.819999993</v>
      </c>
      <c r="I52" s="808">
        <f t="shared" si="9"/>
        <v>78952939.579999998</v>
      </c>
      <c r="J52" s="808">
        <f t="shared" si="9"/>
        <v>89673133.890000001</v>
      </c>
      <c r="K52" s="808">
        <f t="shared" si="9"/>
        <v>69504900.909999996</v>
      </c>
      <c r="L52" s="808">
        <f t="shared" si="9"/>
        <v>70842568.159999996</v>
      </c>
      <c r="M52" s="808">
        <f t="shared" si="9"/>
        <v>72365368.519999996</v>
      </c>
      <c r="N52" s="808">
        <f t="shared" si="9"/>
        <v>59285995.460000001</v>
      </c>
      <c r="O52" s="808">
        <f t="shared" si="9"/>
        <v>56925549.629999995</v>
      </c>
      <c r="P52" s="479">
        <f t="shared" si="7"/>
        <v>932597435.62</v>
      </c>
    </row>
    <row r="53" spans="1:16" ht="12.75" x14ac:dyDescent="0.2">
      <c r="A53" s="480"/>
      <c r="B53" s="471">
        <v>81</v>
      </c>
      <c r="C53" s="489" t="s">
        <v>536</v>
      </c>
      <c r="D53" s="665">
        <v>0</v>
      </c>
      <c r="E53" s="665">
        <v>0</v>
      </c>
      <c r="F53" s="665">
        <v>0</v>
      </c>
      <c r="G53" s="662">
        <v>0</v>
      </c>
      <c r="H53" s="662">
        <v>0</v>
      </c>
      <c r="I53" s="662">
        <v>0</v>
      </c>
      <c r="J53" s="662">
        <v>0</v>
      </c>
      <c r="K53" s="662">
        <v>0</v>
      </c>
      <c r="L53" s="662">
        <v>0</v>
      </c>
      <c r="M53" s="662">
        <v>0</v>
      </c>
      <c r="N53" s="662">
        <v>0</v>
      </c>
      <c r="O53" s="662">
        <v>0</v>
      </c>
      <c r="P53" s="482">
        <f t="shared" si="7"/>
        <v>0</v>
      </c>
    </row>
    <row r="54" spans="1:16" ht="12.75" x14ac:dyDescent="0.2">
      <c r="A54" s="480"/>
      <c r="B54" s="471">
        <v>82</v>
      </c>
      <c r="C54" s="489" t="s">
        <v>535</v>
      </c>
      <c r="D54" s="665">
        <v>55752011.770000003</v>
      </c>
      <c r="E54" s="665">
        <v>58593426.189999998</v>
      </c>
      <c r="F54" s="665">
        <v>115089185.2</v>
      </c>
      <c r="G54" s="662">
        <v>109119788.49000001</v>
      </c>
      <c r="H54" s="662">
        <v>96492567.819999993</v>
      </c>
      <c r="I54" s="662">
        <v>78952939.579999998</v>
      </c>
      <c r="J54" s="662">
        <v>89673133.890000001</v>
      </c>
      <c r="K54" s="662">
        <v>69504900.909999996</v>
      </c>
      <c r="L54" s="662">
        <v>70842568.159999996</v>
      </c>
      <c r="M54" s="662">
        <v>72365368.519999996</v>
      </c>
      <c r="N54" s="662">
        <v>59285995.460000001</v>
      </c>
      <c r="O54" s="662">
        <v>56925549.629999995</v>
      </c>
      <c r="P54" s="482">
        <f t="shared" si="7"/>
        <v>932597435.62</v>
      </c>
    </row>
    <row r="55" spans="1:16" ht="12.75" hidden="1" x14ac:dyDescent="0.2">
      <c r="A55" s="476">
        <v>9</v>
      </c>
      <c r="B55" s="471"/>
      <c r="C55" s="476" t="s">
        <v>471</v>
      </c>
      <c r="D55" s="665"/>
      <c r="E55" s="662"/>
      <c r="F55" s="665"/>
      <c r="G55" s="662"/>
      <c r="H55" s="662"/>
      <c r="I55" s="662"/>
      <c r="J55" s="662"/>
      <c r="K55" s="662"/>
      <c r="L55" s="662"/>
      <c r="M55" s="662"/>
      <c r="N55" s="662"/>
      <c r="O55" s="662"/>
      <c r="P55" s="490"/>
    </row>
    <row r="56" spans="1:16" ht="12.75" hidden="1" x14ac:dyDescent="0.2">
      <c r="A56" s="480"/>
      <c r="B56" s="471">
        <v>91</v>
      </c>
      <c r="C56" s="480" t="s">
        <v>142</v>
      </c>
      <c r="D56" s="488"/>
      <c r="E56" s="488"/>
      <c r="F56" s="488"/>
      <c r="G56" s="481"/>
      <c r="H56" s="481"/>
      <c r="I56" s="481"/>
      <c r="J56" s="481"/>
      <c r="K56" s="481"/>
      <c r="L56" s="481"/>
      <c r="M56" s="481"/>
      <c r="N56" s="481"/>
      <c r="O56" s="481"/>
      <c r="P56" s="490">
        <f t="shared" si="7"/>
        <v>0</v>
      </c>
    </row>
    <row r="57" spans="1:16" ht="12.75" hidden="1" x14ac:dyDescent="0.2">
      <c r="A57" s="480"/>
      <c r="B57" s="471">
        <v>92</v>
      </c>
      <c r="C57" s="480" t="s">
        <v>765</v>
      </c>
      <c r="D57" s="488"/>
      <c r="E57" s="488"/>
      <c r="F57" s="488"/>
      <c r="G57" s="481"/>
      <c r="H57" s="481"/>
      <c r="I57" s="481"/>
      <c r="J57" s="481"/>
      <c r="K57" s="481"/>
      <c r="L57" s="481"/>
      <c r="M57" s="481"/>
      <c r="N57" s="481"/>
      <c r="O57" s="481"/>
      <c r="P57" s="490">
        <f t="shared" si="7"/>
        <v>0</v>
      </c>
    </row>
    <row r="58" spans="1:16" ht="12.75" hidden="1" x14ac:dyDescent="0.2">
      <c r="A58" s="480"/>
      <c r="B58" s="471">
        <v>93</v>
      </c>
      <c r="C58" s="491" t="s">
        <v>145</v>
      </c>
      <c r="D58" s="488"/>
      <c r="E58" s="488"/>
      <c r="F58" s="488"/>
      <c r="G58" s="481"/>
      <c r="H58" s="481"/>
      <c r="I58" s="481"/>
      <c r="J58" s="481"/>
      <c r="K58" s="481"/>
      <c r="L58" s="481"/>
      <c r="M58" s="481"/>
      <c r="N58" s="481"/>
      <c r="O58" s="481"/>
      <c r="P58" s="490">
        <f t="shared" si="7"/>
        <v>0</v>
      </c>
    </row>
    <row r="59" spans="1:16" ht="12.75" hidden="1" x14ac:dyDescent="0.2">
      <c r="A59" s="480"/>
      <c r="B59" s="471">
        <v>94</v>
      </c>
      <c r="C59" s="480" t="s">
        <v>147</v>
      </c>
      <c r="D59" s="488"/>
      <c r="E59" s="488"/>
      <c r="F59" s="488"/>
      <c r="G59" s="481"/>
      <c r="H59" s="481"/>
      <c r="I59" s="481"/>
      <c r="J59" s="481"/>
      <c r="K59" s="481"/>
      <c r="L59" s="481"/>
      <c r="M59" s="481"/>
      <c r="N59" s="481"/>
      <c r="O59" s="481"/>
      <c r="P59" s="490">
        <f t="shared" si="7"/>
        <v>0</v>
      </c>
    </row>
    <row r="60" spans="1:16" ht="12.75" hidden="1" x14ac:dyDescent="0.2">
      <c r="A60" s="480"/>
      <c r="B60" s="471">
        <v>95</v>
      </c>
      <c r="C60" s="480" t="s">
        <v>149</v>
      </c>
      <c r="D60" s="488"/>
      <c r="E60" s="488"/>
      <c r="F60" s="488"/>
      <c r="G60" s="481"/>
      <c r="H60" s="481"/>
      <c r="I60" s="481"/>
      <c r="J60" s="481"/>
      <c r="K60" s="481"/>
      <c r="L60" s="481"/>
      <c r="M60" s="481"/>
      <c r="N60" s="481"/>
      <c r="O60" s="481"/>
      <c r="P60" s="490">
        <f t="shared" si="7"/>
        <v>0</v>
      </c>
    </row>
    <row r="61" spans="1:16" ht="12.75" hidden="1" x14ac:dyDescent="0.2">
      <c r="A61" s="480"/>
      <c r="B61" s="471">
        <v>96</v>
      </c>
      <c r="C61" s="480" t="s">
        <v>766</v>
      </c>
      <c r="D61" s="488"/>
      <c r="E61" s="488"/>
      <c r="F61" s="488"/>
      <c r="G61" s="481"/>
      <c r="H61" s="481"/>
      <c r="I61" s="481"/>
      <c r="J61" s="481"/>
      <c r="K61" s="481"/>
      <c r="L61" s="481"/>
      <c r="M61" s="481"/>
      <c r="N61" s="481"/>
      <c r="O61" s="481"/>
      <c r="P61" s="490">
        <f t="shared" si="7"/>
        <v>0</v>
      </c>
    </row>
    <row r="62" spans="1:16" ht="12.75" hidden="1" x14ac:dyDescent="0.2">
      <c r="A62" s="476">
        <v>0</v>
      </c>
      <c r="B62" s="471"/>
      <c r="C62" s="476" t="s">
        <v>478</v>
      </c>
      <c r="D62" s="478">
        <f>SUM(D63:D64)</f>
        <v>0</v>
      </c>
      <c r="E62" s="478">
        <f t="shared" ref="E62:O62" si="10">SUM(E63:E64)</f>
        <v>0</v>
      </c>
      <c r="F62" s="478">
        <f t="shared" si="10"/>
        <v>0</v>
      </c>
      <c r="G62" s="478">
        <f t="shared" si="10"/>
        <v>0</v>
      </c>
      <c r="H62" s="478">
        <f t="shared" si="10"/>
        <v>0</v>
      </c>
      <c r="I62" s="478">
        <f t="shared" si="10"/>
        <v>0</v>
      </c>
      <c r="J62" s="478">
        <f t="shared" si="10"/>
        <v>0</v>
      </c>
      <c r="K62" s="478">
        <f t="shared" si="10"/>
        <v>0</v>
      </c>
      <c r="L62" s="478">
        <f t="shared" si="10"/>
        <v>0</v>
      </c>
      <c r="M62" s="478">
        <f t="shared" si="10"/>
        <v>0</v>
      </c>
      <c r="N62" s="478">
        <f t="shared" si="10"/>
        <v>0</v>
      </c>
      <c r="O62" s="478">
        <f t="shared" si="10"/>
        <v>0</v>
      </c>
      <c r="P62" s="490">
        <f t="shared" si="7"/>
        <v>0</v>
      </c>
    </row>
    <row r="63" spans="1:16" ht="12.75" hidden="1" x14ac:dyDescent="0.2">
      <c r="A63" s="480"/>
      <c r="B63" s="471">
        <v>1</v>
      </c>
      <c r="C63" s="480" t="s">
        <v>767</v>
      </c>
      <c r="D63" s="488"/>
      <c r="E63" s="488"/>
      <c r="F63" s="488"/>
      <c r="G63" s="481"/>
      <c r="H63" s="481"/>
      <c r="I63" s="481"/>
      <c r="J63" s="481"/>
      <c r="K63" s="481"/>
      <c r="L63" s="481"/>
      <c r="M63" s="481"/>
      <c r="N63" s="481"/>
      <c r="O63" s="481"/>
      <c r="P63" s="490">
        <f t="shared" si="7"/>
        <v>0</v>
      </c>
    </row>
    <row r="64" spans="1:16" ht="12.75" hidden="1" x14ac:dyDescent="0.2">
      <c r="A64" s="480"/>
      <c r="B64" s="471">
        <v>2</v>
      </c>
      <c r="C64" s="480" t="s">
        <v>768</v>
      </c>
      <c r="D64" s="488"/>
      <c r="E64" s="488"/>
      <c r="F64" s="488"/>
      <c r="G64" s="481"/>
      <c r="H64" s="481"/>
      <c r="I64" s="481"/>
      <c r="J64" s="481"/>
      <c r="K64" s="481"/>
      <c r="L64" s="481"/>
      <c r="M64" s="481"/>
      <c r="N64" s="481"/>
      <c r="O64" s="481"/>
      <c r="P64" s="490">
        <f t="shared" si="7"/>
        <v>0</v>
      </c>
    </row>
    <row r="65" spans="1:19" ht="12.75" x14ac:dyDescent="0.2">
      <c r="A65" s="492"/>
      <c r="B65" s="493"/>
      <c r="C65" s="494" t="s">
        <v>188</v>
      </c>
      <c r="D65" s="495">
        <f t="shared" ref="D65:O65" si="11">+D14+D24+D30+D33+D40+D44+D48+D52+D55+D62</f>
        <v>87501580.060000002</v>
      </c>
      <c r="E65" s="495">
        <f t="shared" si="11"/>
        <v>75417260.789999992</v>
      </c>
      <c r="F65" s="495">
        <f t="shared" si="11"/>
        <v>128299212.41</v>
      </c>
      <c r="G65" s="495">
        <f t="shared" si="11"/>
        <v>121187813.10000001</v>
      </c>
      <c r="H65" s="495">
        <f t="shared" si="11"/>
        <v>106764369</v>
      </c>
      <c r="I65" s="495">
        <f t="shared" si="11"/>
        <v>88395973.179999992</v>
      </c>
      <c r="J65" s="495">
        <f t="shared" si="11"/>
        <v>106142017.86</v>
      </c>
      <c r="K65" s="495">
        <f t="shared" si="11"/>
        <v>82400488.449999988</v>
      </c>
      <c r="L65" s="495">
        <f t="shared" si="11"/>
        <v>73586975.899999991</v>
      </c>
      <c r="M65" s="495">
        <f t="shared" si="11"/>
        <v>81067483.030000001</v>
      </c>
      <c r="N65" s="495">
        <f t="shared" si="11"/>
        <v>61669493.869999997</v>
      </c>
      <c r="O65" s="495">
        <f t="shared" si="11"/>
        <v>66374764.409999996</v>
      </c>
      <c r="P65" s="496">
        <f>SUM(D65:O65)</f>
        <v>1078807432.0599999</v>
      </c>
      <c r="Q65" s="497"/>
      <c r="R65" s="497"/>
      <c r="S65" s="497"/>
    </row>
    <row r="66" spans="1:19" ht="12.75" x14ac:dyDescent="0.2">
      <c r="A66" s="498"/>
      <c r="C66" s="498"/>
      <c r="D66" s="499"/>
      <c r="E66" s="500"/>
      <c r="F66" s="498"/>
      <c r="G66" s="498"/>
      <c r="H66" s="498"/>
      <c r="I66" s="498"/>
      <c r="J66" s="498"/>
      <c r="K66" s="498"/>
      <c r="L66" s="498"/>
      <c r="M66" s="498"/>
      <c r="N66" s="498"/>
      <c r="O66" s="498"/>
      <c r="P66" s="498"/>
    </row>
    <row r="67" spans="1:19" ht="12.75" x14ac:dyDescent="0.2">
      <c r="A67" s="498"/>
      <c r="C67" s="498"/>
      <c r="D67" s="499"/>
      <c r="E67" s="499"/>
      <c r="F67" s="499"/>
      <c r="G67" s="499"/>
      <c r="H67" s="499"/>
      <c r="I67" s="499"/>
      <c r="J67" s="499"/>
      <c r="K67" s="499"/>
      <c r="L67" s="499"/>
      <c r="M67" s="499"/>
      <c r="N67" s="499"/>
      <c r="O67" s="499"/>
      <c r="P67" s="498"/>
    </row>
    <row r="68" spans="1:19" ht="12.75" x14ac:dyDescent="0.2">
      <c r="A68" s="498"/>
      <c r="C68" s="498"/>
      <c r="D68" s="499"/>
      <c r="E68" s="499"/>
      <c r="F68" s="499"/>
      <c r="G68" s="499"/>
      <c r="H68" s="499"/>
      <c r="I68" s="499"/>
      <c r="J68" s="499"/>
      <c r="K68" s="499"/>
      <c r="L68" s="499"/>
      <c r="M68" s="499"/>
      <c r="N68" s="499"/>
      <c r="O68" s="499"/>
      <c r="P68" s="498"/>
    </row>
    <row r="69" spans="1:19" ht="12.75" x14ac:dyDescent="0.2">
      <c r="A69" s="498"/>
      <c r="C69" s="498"/>
      <c r="D69" s="499"/>
      <c r="E69" s="500"/>
      <c r="F69" s="498"/>
      <c r="G69" s="498"/>
      <c r="H69" s="498"/>
      <c r="I69" s="498"/>
      <c r="J69" s="498"/>
      <c r="K69" s="498"/>
      <c r="L69" s="498"/>
      <c r="M69" s="498"/>
      <c r="N69" s="498"/>
      <c r="O69" s="498"/>
      <c r="P69" s="498"/>
    </row>
    <row r="70" spans="1:19" ht="12.75" x14ac:dyDescent="0.2">
      <c r="A70" s="498"/>
      <c r="C70" s="498"/>
      <c r="D70" s="499"/>
      <c r="E70" s="500"/>
      <c r="F70" s="498"/>
      <c r="G70" s="498"/>
      <c r="H70" s="498"/>
      <c r="I70" s="498"/>
      <c r="J70" s="498"/>
      <c r="K70" s="498"/>
      <c r="L70" s="498"/>
      <c r="M70" s="498"/>
      <c r="N70" s="498"/>
      <c r="O70" s="498"/>
      <c r="P70" s="498"/>
    </row>
    <row r="71" spans="1:19" ht="12.75" x14ac:dyDescent="0.2">
      <c r="A71" s="498"/>
      <c r="C71" s="498"/>
      <c r="D71" s="499"/>
      <c r="E71" s="500"/>
      <c r="F71" s="498"/>
      <c r="G71" s="498"/>
      <c r="H71" s="498"/>
      <c r="I71" s="498"/>
      <c r="J71" s="498"/>
      <c r="K71" s="498"/>
      <c r="L71" s="498"/>
      <c r="M71" s="498"/>
      <c r="N71" s="498"/>
      <c r="O71" s="498"/>
      <c r="P71" s="498"/>
    </row>
    <row r="72" spans="1:19" ht="12.75" x14ac:dyDescent="0.2">
      <c r="A72" s="498"/>
      <c r="C72" s="498"/>
      <c r="D72" s="499"/>
      <c r="E72" s="500"/>
      <c r="F72" s="498"/>
      <c r="G72" s="498"/>
      <c r="H72" s="498"/>
      <c r="I72" s="498"/>
      <c r="J72" s="498"/>
      <c r="K72" s="498"/>
      <c r="L72" s="498"/>
      <c r="M72" s="498"/>
      <c r="N72" s="498"/>
      <c r="O72" s="498"/>
      <c r="P72" s="498"/>
    </row>
    <row r="73" spans="1:19" ht="12.75" x14ac:dyDescent="0.2">
      <c r="A73" s="498"/>
      <c r="C73" s="498"/>
      <c r="D73" s="499"/>
      <c r="E73" s="500"/>
      <c r="F73" s="498"/>
      <c r="G73" s="498"/>
      <c r="H73" s="498"/>
      <c r="I73" s="498"/>
      <c r="J73" s="498"/>
      <c r="K73" s="498"/>
      <c r="L73" s="498"/>
      <c r="M73" s="498"/>
      <c r="N73" s="498"/>
      <c r="O73" s="498"/>
      <c r="P73" s="498"/>
    </row>
    <row r="74" spans="1:19" ht="12.75" x14ac:dyDescent="0.2">
      <c r="A74" s="498"/>
      <c r="C74" s="498"/>
      <c r="D74" s="499"/>
      <c r="E74" s="500"/>
      <c r="F74" s="498"/>
      <c r="G74" s="498"/>
      <c r="H74" s="498"/>
      <c r="I74" s="498"/>
      <c r="J74" s="498"/>
      <c r="K74" s="498"/>
      <c r="L74" s="498"/>
      <c r="M74" s="498"/>
      <c r="N74" s="498"/>
      <c r="O74" s="498"/>
      <c r="P74" s="498"/>
    </row>
    <row r="75" spans="1:19" ht="12.75" x14ac:dyDescent="0.2">
      <c r="A75" s="498"/>
      <c r="C75" s="498"/>
      <c r="D75" s="499"/>
      <c r="E75" s="500"/>
      <c r="F75" s="498"/>
      <c r="G75" s="498"/>
      <c r="H75" s="498"/>
      <c r="I75" s="498"/>
      <c r="J75" s="498"/>
      <c r="K75" s="498"/>
      <c r="L75" s="498"/>
      <c r="M75" s="498"/>
      <c r="N75" s="498"/>
      <c r="O75" s="498"/>
      <c r="P75" s="498"/>
    </row>
    <row r="76" spans="1:19" ht="12.75" x14ac:dyDescent="0.2">
      <c r="A76" s="498"/>
      <c r="C76" s="498"/>
      <c r="D76" s="499"/>
      <c r="E76" s="500"/>
      <c r="F76" s="498"/>
      <c r="G76" s="498"/>
      <c r="H76" s="498"/>
      <c r="I76" s="498"/>
      <c r="J76" s="498"/>
      <c r="K76" s="498"/>
      <c r="L76" s="498"/>
      <c r="M76" s="498"/>
      <c r="N76" s="498"/>
      <c r="O76" s="498"/>
      <c r="P76" s="498"/>
    </row>
    <row r="77" spans="1:19" ht="12.75" x14ac:dyDescent="0.2">
      <c r="A77" s="498"/>
      <c r="C77" s="498"/>
      <c r="D77" s="499"/>
      <c r="E77" s="500"/>
      <c r="F77" s="498"/>
      <c r="G77" s="498"/>
      <c r="H77" s="498"/>
      <c r="I77" s="498"/>
      <c r="J77" s="498"/>
      <c r="K77" s="498"/>
      <c r="L77" s="498"/>
      <c r="M77" s="498"/>
      <c r="N77" s="498"/>
      <c r="O77" s="498"/>
      <c r="P77" s="498"/>
    </row>
    <row r="78" spans="1:19" ht="12.75" x14ac:dyDescent="0.2">
      <c r="A78" s="498"/>
      <c r="C78" s="498"/>
      <c r="D78" s="499"/>
      <c r="E78" s="500"/>
      <c r="F78" s="498"/>
      <c r="G78" s="498"/>
      <c r="H78" s="498"/>
      <c r="I78" s="498"/>
      <c r="J78" s="498"/>
      <c r="K78" s="498"/>
      <c r="L78" s="498"/>
      <c r="M78" s="498"/>
      <c r="N78" s="498"/>
      <c r="O78" s="498"/>
      <c r="P78" s="498"/>
    </row>
    <row r="79" spans="1:19" ht="12.75" x14ac:dyDescent="0.2">
      <c r="A79" s="498"/>
      <c r="C79" s="498"/>
      <c r="D79" s="499"/>
      <c r="E79" s="500"/>
      <c r="F79" s="498"/>
      <c r="G79" s="498"/>
      <c r="H79" s="498"/>
      <c r="I79" s="498"/>
      <c r="J79" s="498"/>
      <c r="K79" s="498"/>
      <c r="L79" s="498"/>
      <c r="M79" s="498"/>
      <c r="N79" s="498"/>
      <c r="O79" s="498"/>
      <c r="P79" s="498"/>
    </row>
    <row r="80" spans="1:19" ht="12.75" x14ac:dyDescent="0.2">
      <c r="A80" s="498"/>
      <c r="C80" s="498"/>
      <c r="D80" s="499"/>
      <c r="E80" s="500"/>
      <c r="F80" s="498"/>
      <c r="G80" s="498"/>
      <c r="H80" s="498"/>
      <c r="I80" s="498"/>
      <c r="J80" s="498"/>
      <c r="K80" s="498"/>
      <c r="L80" s="498"/>
      <c r="M80" s="498"/>
      <c r="N80" s="498"/>
      <c r="O80" s="498"/>
      <c r="P80" s="498"/>
    </row>
    <row r="81" spans="1:16" ht="12.75" x14ac:dyDescent="0.2">
      <c r="A81" s="498"/>
      <c r="C81" s="498"/>
      <c r="D81" s="499"/>
      <c r="E81" s="500"/>
      <c r="F81" s="498"/>
      <c r="G81" s="498"/>
      <c r="H81" s="498"/>
      <c r="I81" s="498"/>
      <c r="J81" s="498"/>
      <c r="K81" s="498"/>
      <c r="L81" s="498"/>
      <c r="M81" s="498"/>
      <c r="N81" s="498"/>
      <c r="O81" s="498"/>
      <c r="P81" s="498"/>
    </row>
    <row r="82" spans="1:16" ht="12.75" x14ac:dyDescent="0.2">
      <c r="A82" s="498"/>
      <c r="C82" s="498"/>
      <c r="D82" s="499"/>
      <c r="E82" s="500"/>
      <c r="F82" s="498"/>
      <c r="G82" s="498"/>
      <c r="H82" s="498"/>
      <c r="I82" s="498"/>
      <c r="J82" s="498"/>
      <c r="K82" s="498"/>
      <c r="L82" s="498"/>
      <c r="M82" s="498"/>
      <c r="N82" s="498"/>
      <c r="O82" s="498"/>
      <c r="P82" s="498"/>
    </row>
    <row r="83" spans="1:16" ht="12.75" x14ac:dyDescent="0.2">
      <c r="A83" s="498"/>
      <c r="C83" s="498"/>
      <c r="D83" s="499"/>
      <c r="E83" s="500"/>
      <c r="F83" s="498"/>
      <c r="G83" s="498"/>
      <c r="H83" s="498"/>
      <c r="I83" s="498"/>
      <c r="J83" s="498"/>
      <c r="K83" s="498"/>
      <c r="L83" s="498"/>
      <c r="M83" s="498"/>
      <c r="N83" s="498"/>
      <c r="O83" s="498"/>
      <c r="P83" s="498"/>
    </row>
    <row r="84" spans="1:16" ht="12.75" x14ac:dyDescent="0.2">
      <c r="A84" s="498"/>
      <c r="C84" s="498"/>
      <c r="D84" s="499"/>
      <c r="E84" s="500"/>
      <c r="F84" s="498"/>
      <c r="G84" s="498"/>
      <c r="H84" s="498"/>
      <c r="I84" s="498"/>
      <c r="J84" s="498"/>
      <c r="K84" s="498"/>
      <c r="L84" s="498"/>
      <c r="M84" s="498"/>
      <c r="N84" s="498"/>
      <c r="O84" s="498"/>
      <c r="P84" s="498"/>
    </row>
    <row r="85" spans="1:16" ht="12.75" x14ac:dyDescent="0.2">
      <c r="A85" s="498"/>
      <c r="C85" s="498"/>
      <c r="D85" s="499"/>
      <c r="E85" s="500"/>
      <c r="F85" s="498"/>
      <c r="G85" s="498"/>
      <c r="H85" s="498"/>
      <c r="I85" s="498"/>
      <c r="J85" s="498"/>
      <c r="K85" s="498"/>
      <c r="L85" s="498"/>
      <c r="M85" s="498"/>
      <c r="N85" s="498"/>
      <c r="O85" s="498"/>
      <c r="P85" s="498"/>
    </row>
    <row r="86" spans="1:16" ht="12.75" x14ac:dyDescent="0.2">
      <c r="A86" s="498"/>
      <c r="C86" s="498"/>
      <c r="D86" s="499"/>
      <c r="E86" s="500"/>
      <c r="F86" s="498"/>
      <c r="G86" s="498"/>
      <c r="H86" s="498"/>
      <c r="I86" s="498"/>
      <c r="J86" s="498"/>
      <c r="K86" s="498"/>
      <c r="L86" s="498"/>
      <c r="M86" s="498"/>
      <c r="N86" s="498"/>
      <c r="O86" s="498"/>
      <c r="P86" s="498"/>
    </row>
    <row r="87" spans="1:16" ht="12.75" x14ac:dyDescent="0.2">
      <c r="A87" s="498"/>
      <c r="C87" s="498"/>
      <c r="D87" s="499"/>
      <c r="E87" s="500"/>
      <c r="F87" s="498"/>
      <c r="G87" s="498"/>
      <c r="H87" s="498"/>
      <c r="I87" s="498"/>
      <c r="J87" s="498"/>
      <c r="K87" s="498"/>
      <c r="L87" s="498"/>
      <c r="M87" s="498"/>
      <c r="N87" s="498"/>
      <c r="O87" s="498"/>
      <c r="P87" s="498"/>
    </row>
    <row r="88" spans="1:16" s="287" customFormat="1" ht="12.75" x14ac:dyDescent="0.2">
      <c r="A88" s="286"/>
      <c r="C88" s="361"/>
      <c r="D88" s="290"/>
      <c r="F88" s="283"/>
      <c r="G88" s="282"/>
      <c r="I88" s="501"/>
    </row>
    <row r="89" spans="1:16" s="287" customFormat="1" ht="12" customHeight="1" x14ac:dyDescent="0.2">
      <c r="A89" s="286"/>
      <c r="C89" s="361"/>
      <c r="D89" s="290"/>
      <c r="I89" s="362"/>
    </row>
    <row r="90" spans="1:16" s="287" customFormat="1" ht="10.5" customHeight="1" x14ac:dyDescent="0.2">
      <c r="A90" s="286"/>
      <c r="C90" s="361"/>
      <c r="D90" s="290"/>
      <c r="I90" s="290"/>
    </row>
    <row r="91" spans="1:16" s="287" customFormat="1" ht="12.75" x14ac:dyDescent="0.2">
      <c r="A91" s="286"/>
      <c r="C91" s="361"/>
      <c r="D91" s="290"/>
      <c r="F91" s="282"/>
      <c r="G91" s="282"/>
      <c r="I91" s="362"/>
    </row>
    <row r="92" spans="1:16" s="287" customFormat="1" ht="12.75" x14ac:dyDescent="0.2">
      <c r="A92" s="286"/>
      <c r="C92" s="361"/>
      <c r="D92" s="290"/>
      <c r="I92" s="362"/>
    </row>
    <row r="93" spans="1:16" s="287" customFormat="1" ht="12.75" x14ac:dyDescent="0.2">
      <c r="A93" s="286"/>
      <c r="C93" s="361"/>
      <c r="D93" s="290"/>
      <c r="I93" s="362"/>
    </row>
    <row r="94" spans="1:16" s="287" customFormat="1" ht="12.75" x14ac:dyDescent="0.2">
      <c r="A94" s="286"/>
      <c r="C94" s="361"/>
      <c r="D94" s="290"/>
      <c r="I94" s="362"/>
    </row>
    <row r="95" spans="1:16" s="287" customFormat="1" ht="12.75" x14ac:dyDescent="0.2">
      <c r="A95" s="286"/>
      <c r="C95" s="361"/>
      <c r="D95" s="290"/>
      <c r="I95" s="362"/>
    </row>
    <row r="96" spans="1:16" s="498" customFormat="1" ht="11.25" x14ac:dyDescent="0.2">
      <c r="B96" s="502"/>
      <c r="E96" s="503"/>
    </row>
    <row r="97" spans="1:16" ht="12.75" x14ac:dyDescent="0.2">
      <c r="A97" s="498"/>
      <c r="C97" s="498"/>
      <c r="D97" s="499"/>
      <c r="E97" s="500"/>
      <c r="F97" s="498"/>
      <c r="G97" s="498"/>
      <c r="H97" s="498"/>
      <c r="I97" s="498"/>
      <c r="J97" s="498"/>
      <c r="K97" s="498"/>
      <c r="L97" s="498"/>
      <c r="M97" s="498"/>
      <c r="N97" s="498"/>
      <c r="O97" s="498"/>
      <c r="P97" s="498"/>
    </row>
    <row r="98" spans="1:16" ht="12.75" customHeight="1" x14ac:dyDescent="0.2">
      <c r="A98" s="306"/>
      <c r="B98" s="306"/>
      <c r="C98" s="306"/>
      <c r="D98" s="306"/>
      <c r="E98" s="306"/>
      <c r="F98" s="306"/>
      <c r="G98" s="416"/>
      <c r="H98" s="498"/>
      <c r="I98" s="498"/>
      <c r="J98" s="498"/>
      <c r="K98" s="498"/>
      <c r="L98" s="498"/>
      <c r="M98" s="498"/>
      <c r="N98" s="498"/>
      <c r="O98" s="498"/>
      <c r="P98" s="503"/>
    </row>
    <row r="99" spans="1:16" ht="12.75" x14ac:dyDescent="0.2">
      <c r="A99" s="306"/>
      <c r="B99" s="306"/>
      <c r="C99" s="306"/>
      <c r="D99" s="306"/>
      <c r="E99" s="306"/>
      <c r="F99" s="306"/>
      <c r="G99" s="306"/>
      <c r="H99" s="498"/>
      <c r="I99" s="498"/>
      <c r="J99" s="498"/>
      <c r="K99" s="498"/>
      <c r="L99" s="498"/>
      <c r="M99" s="498"/>
      <c r="N99" s="498"/>
      <c r="O99" s="498"/>
      <c r="P99" s="498"/>
    </row>
    <row r="100" spans="1:16" ht="12.75" x14ac:dyDescent="0.2">
      <c r="A100" s="306"/>
      <c r="B100" s="306"/>
      <c r="C100" s="306"/>
      <c r="D100" s="306"/>
      <c r="E100" s="306"/>
      <c r="F100" s="306"/>
      <c r="G100" s="498"/>
      <c r="H100" s="498"/>
      <c r="I100" s="498"/>
      <c r="J100" s="498"/>
      <c r="K100" s="498"/>
      <c r="L100" s="498"/>
      <c r="M100" s="498"/>
      <c r="N100" s="498"/>
      <c r="O100" s="498"/>
      <c r="P100" s="498"/>
    </row>
    <row r="101" spans="1:16" ht="12.75" x14ac:dyDescent="0.2">
      <c r="A101" s="306"/>
      <c r="B101" s="306"/>
      <c r="C101" s="306"/>
      <c r="D101" s="306"/>
      <c r="E101" s="306"/>
      <c r="F101" s="306"/>
      <c r="G101" s="498"/>
      <c r="H101" s="498"/>
      <c r="I101" s="498"/>
      <c r="J101" s="498"/>
      <c r="K101" s="498"/>
      <c r="L101" s="498"/>
      <c r="M101" s="498"/>
      <c r="N101" s="498"/>
      <c r="O101" s="498"/>
      <c r="P101" s="498"/>
    </row>
    <row r="102" spans="1:16" ht="12.75" x14ac:dyDescent="0.2">
      <c r="A102" s="306"/>
      <c r="B102" s="306"/>
      <c r="C102" s="306"/>
      <c r="D102" s="306"/>
      <c r="E102" s="306"/>
      <c r="F102" s="306"/>
      <c r="G102" s="498"/>
      <c r="H102" s="498"/>
      <c r="I102" s="498"/>
      <c r="J102" s="498"/>
      <c r="K102" s="498"/>
      <c r="L102" s="498"/>
      <c r="M102" s="498"/>
      <c r="N102" s="498"/>
      <c r="O102" s="498"/>
      <c r="P102" s="498"/>
    </row>
    <row r="103" spans="1:16" ht="12.75" x14ac:dyDescent="0.2">
      <c r="A103" s="306"/>
      <c r="B103" s="306"/>
      <c r="C103" s="306"/>
      <c r="D103" s="306"/>
      <c r="E103" s="306"/>
      <c r="F103" s="306"/>
      <c r="G103" s="498"/>
      <c r="H103" s="498"/>
      <c r="I103" s="498"/>
      <c r="J103" s="498"/>
      <c r="K103" s="498"/>
      <c r="L103" s="498"/>
      <c r="M103" s="498"/>
      <c r="N103" s="498"/>
      <c r="O103" s="498"/>
      <c r="P103" s="503"/>
    </row>
    <row r="104" spans="1:16" ht="12.75" x14ac:dyDescent="0.2">
      <c r="A104" s="306"/>
      <c r="B104" s="306"/>
      <c r="C104" s="306"/>
      <c r="D104" s="306"/>
      <c r="E104" s="306"/>
      <c r="F104" s="306"/>
      <c r="G104" s="498"/>
      <c r="H104" s="498"/>
      <c r="I104" s="498"/>
      <c r="J104" s="498"/>
      <c r="K104" s="498"/>
      <c r="L104" s="498"/>
      <c r="M104" s="498"/>
      <c r="N104" s="498"/>
      <c r="O104" s="498"/>
      <c r="P104" s="498"/>
    </row>
    <row r="105" spans="1:16" ht="12.75" x14ac:dyDescent="0.2">
      <c r="A105" s="498"/>
      <c r="C105" s="498"/>
      <c r="D105" s="499"/>
      <c r="E105" s="500"/>
      <c r="F105" s="498"/>
      <c r="G105" s="498"/>
      <c r="H105" s="498"/>
      <c r="I105" s="498"/>
      <c r="J105" s="498"/>
      <c r="K105" s="498"/>
      <c r="L105" s="498"/>
      <c r="M105" s="498"/>
      <c r="N105" s="498"/>
      <c r="O105" s="498"/>
      <c r="P105" s="498"/>
    </row>
    <row r="106" spans="1:16" ht="12.75" x14ac:dyDescent="0.2">
      <c r="A106" s="498"/>
      <c r="C106" s="498"/>
      <c r="D106" s="499"/>
      <c r="E106" s="500"/>
      <c r="F106" s="498"/>
      <c r="G106" s="498"/>
      <c r="H106" s="498"/>
      <c r="I106" s="498"/>
      <c r="J106" s="498"/>
      <c r="K106" s="498"/>
      <c r="L106" s="498"/>
      <c r="M106" s="498"/>
      <c r="N106" s="498"/>
      <c r="O106" s="498"/>
      <c r="P106" s="498"/>
    </row>
    <row r="107" spans="1:16" ht="12.75" x14ac:dyDescent="0.2">
      <c r="A107" s="498"/>
      <c r="C107" s="498"/>
      <c r="D107" s="499"/>
      <c r="E107" s="500"/>
      <c r="F107" s="498"/>
      <c r="G107" s="498"/>
      <c r="H107" s="498"/>
      <c r="I107" s="498"/>
      <c r="J107" s="498"/>
      <c r="K107" s="498"/>
      <c r="L107" s="498"/>
      <c r="M107" s="498"/>
      <c r="N107" s="498"/>
      <c r="O107" s="498"/>
      <c r="P107" s="498"/>
    </row>
    <row r="108" spans="1:16" ht="12.75" x14ac:dyDescent="0.2">
      <c r="A108" s="498"/>
      <c r="C108" s="498"/>
      <c r="D108" s="499"/>
      <c r="E108" s="500"/>
      <c r="F108" s="498"/>
      <c r="G108" s="498"/>
      <c r="H108" s="498"/>
      <c r="I108" s="498"/>
      <c r="J108" s="498"/>
      <c r="K108" s="498"/>
      <c r="L108" s="498"/>
      <c r="M108" s="498"/>
      <c r="N108" s="498"/>
      <c r="O108" s="498"/>
      <c r="P108" s="498"/>
    </row>
    <row r="109" spans="1:16" ht="12.75" x14ac:dyDescent="0.2">
      <c r="A109" s="498"/>
      <c r="C109" s="498"/>
      <c r="D109" s="499"/>
      <c r="E109" s="500"/>
      <c r="F109" s="498"/>
      <c r="G109" s="498"/>
      <c r="H109" s="498"/>
      <c r="I109" s="498"/>
      <c r="J109" s="498"/>
      <c r="K109" s="498"/>
      <c r="L109" s="498"/>
      <c r="M109" s="498"/>
      <c r="N109" s="498"/>
      <c r="O109" s="498"/>
      <c r="P109" s="498"/>
    </row>
    <row r="110" spans="1:16" ht="12.75" x14ac:dyDescent="0.2">
      <c r="A110" s="498"/>
      <c r="C110" s="498"/>
      <c r="D110" s="499"/>
      <c r="E110" s="500"/>
      <c r="F110" s="498"/>
      <c r="G110" s="498"/>
      <c r="H110" s="498"/>
      <c r="I110" s="498"/>
      <c r="J110" s="498"/>
      <c r="K110" s="498"/>
      <c r="L110" s="498"/>
      <c r="M110" s="498"/>
      <c r="N110" s="498"/>
      <c r="O110" s="498"/>
      <c r="P110" s="498"/>
    </row>
    <row r="111" spans="1:16" ht="12.75" x14ac:dyDescent="0.2">
      <c r="A111" s="498"/>
      <c r="C111" s="498"/>
      <c r="D111" s="499"/>
      <c r="E111" s="500"/>
      <c r="F111" s="498"/>
      <c r="G111" s="498"/>
      <c r="H111" s="498"/>
      <c r="I111" s="498"/>
      <c r="J111" s="498"/>
      <c r="K111" s="498"/>
      <c r="L111" s="498"/>
      <c r="M111" s="498"/>
      <c r="N111" s="498"/>
      <c r="O111" s="498"/>
      <c r="P111" s="498"/>
    </row>
    <row r="112" spans="1:16" ht="12.75" x14ac:dyDescent="0.2">
      <c r="A112" s="498"/>
      <c r="C112" s="498"/>
      <c r="D112" s="499"/>
      <c r="E112" s="500"/>
      <c r="F112" s="498"/>
      <c r="G112" s="498"/>
      <c r="H112" s="498"/>
      <c r="I112" s="498"/>
      <c r="J112" s="498"/>
      <c r="K112" s="498"/>
      <c r="L112" s="498"/>
      <c r="M112" s="498"/>
      <c r="N112" s="498"/>
      <c r="O112" s="498"/>
      <c r="P112" s="498"/>
    </row>
    <row r="113" spans="1:16" ht="12.75" x14ac:dyDescent="0.2">
      <c r="A113" s="498"/>
      <c r="C113" s="498"/>
      <c r="D113" s="499"/>
      <c r="E113" s="500"/>
      <c r="F113" s="498"/>
      <c r="G113" s="498"/>
      <c r="H113" s="498"/>
      <c r="I113" s="498"/>
      <c r="J113" s="498"/>
      <c r="K113" s="498"/>
      <c r="L113" s="498"/>
      <c r="M113" s="498"/>
      <c r="N113" s="498"/>
      <c r="O113" s="498"/>
      <c r="P113" s="498"/>
    </row>
    <row r="114" spans="1:16" ht="12.75" x14ac:dyDescent="0.2">
      <c r="A114" s="498"/>
      <c r="C114" s="498"/>
      <c r="D114" s="499"/>
      <c r="E114" s="500"/>
      <c r="F114" s="498"/>
      <c r="G114" s="498"/>
      <c r="H114" s="498"/>
      <c r="I114" s="498"/>
      <c r="J114" s="498"/>
      <c r="K114" s="498"/>
      <c r="L114" s="498"/>
      <c r="M114" s="498"/>
      <c r="N114" s="498"/>
      <c r="O114" s="498"/>
      <c r="P114" s="498"/>
    </row>
    <row r="115" spans="1:16" ht="12.75" x14ac:dyDescent="0.2">
      <c r="A115" s="498"/>
      <c r="C115" s="498"/>
      <c r="D115" s="499"/>
      <c r="E115" s="500"/>
      <c r="F115" s="498"/>
      <c r="G115" s="498"/>
      <c r="H115" s="498"/>
      <c r="I115" s="498"/>
      <c r="J115" s="498"/>
      <c r="K115" s="498"/>
      <c r="L115" s="498"/>
      <c r="M115" s="498"/>
      <c r="N115" s="498"/>
      <c r="O115" s="498"/>
      <c r="P115" s="498"/>
    </row>
    <row r="116" spans="1:16" ht="12.75" x14ac:dyDescent="0.2">
      <c r="A116" s="498"/>
      <c r="C116" s="498"/>
      <c r="D116" s="499"/>
      <c r="E116" s="500"/>
      <c r="F116" s="498"/>
      <c r="G116" s="498"/>
      <c r="H116" s="498"/>
      <c r="I116" s="498"/>
      <c r="J116" s="498"/>
      <c r="K116" s="498"/>
      <c r="L116" s="498"/>
      <c r="M116" s="498"/>
      <c r="N116" s="498"/>
      <c r="O116" s="498"/>
      <c r="P116" s="498"/>
    </row>
    <row r="117" spans="1:16" ht="12.75" x14ac:dyDescent="0.2">
      <c r="A117" s="498"/>
      <c r="C117" s="498"/>
      <c r="D117" s="499"/>
      <c r="E117" s="500"/>
      <c r="F117" s="498"/>
      <c r="G117" s="498"/>
      <c r="H117" s="498"/>
      <c r="I117" s="498"/>
      <c r="J117" s="498"/>
      <c r="K117" s="498"/>
      <c r="L117" s="498"/>
      <c r="M117" s="498"/>
      <c r="N117" s="498"/>
      <c r="O117" s="498"/>
      <c r="P117" s="498"/>
    </row>
    <row r="118" spans="1:16" ht="12.75" x14ac:dyDescent="0.2">
      <c r="A118" s="498"/>
      <c r="C118" s="498"/>
      <c r="D118" s="499"/>
      <c r="E118" s="500"/>
      <c r="F118" s="498"/>
      <c r="G118" s="498"/>
      <c r="H118" s="498"/>
      <c r="I118" s="498"/>
      <c r="J118" s="498"/>
      <c r="K118" s="498"/>
      <c r="L118" s="498"/>
      <c r="M118" s="498"/>
      <c r="N118" s="498"/>
      <c r="O118" s="498"/>
      <c r="P118" s="498"/>
    </row>
    <row r="119" spans="1:16" ht="12.75" x14ac:dyDescent="0.2">
      <c r="A119" s="498"/>
      <c r="C119" s="498"/>
      <c r="D119" s="499"/>
      <c r="E119" s="500"/>
      <c r="F119" s="498"/>
      <c r="G119" s="498"/>
      <c r="H119" s="498"/>
      <c r="I119" s="498"/>
      <c r="J119" s="498"/>
      <c r="K119" s="498"/>
      <c r="L119" s="498"/>
      <c r="M119" s="498"/>
      <c r="N119" s="498"/>
      <c r="O119" s="498"/>
      <c r="P119" s="498"/>
    </row>
    <row r="120" spans="1:16" ht="12.75" x14ac:dyDescent="0.2">
      <c r="A120" s="498"/>
      <c r="C120" s="498"/>
      <c r="D120" s="499"/>
      <c r="E120" s="500"/>
      <c r="F120" s="498"/>
      <c r="G120" s="498"/>
      <c r="H120" s="498"/>
      <c r="I120" s="498"/>
      <c r="J120" s="498"/>
      <c r="K120" s="498"/>
      <c r="L120" s="498"/>
      <c r="M120" s="498"/>
      <c r="N120" s="498"/>
      <c r="O120" s="498"/>
      <c r="P120" s="498"/>
    </row>
    <row r="121" spans="1:16" ht="12.75" x14ac:dyDescent="0.2">
      <c r="A121" s="498"/>
      <c r="C121" s="498"/>
      <c r="D121" s="499"/>
      <c r="E121" s="500"/>
      <c r="F121" s="498"/>
      <c r="G121" s="498"/>
      <c r="H121" s="498"/>
      <c r="I121" s="498"/>
      <c r="J121" s="498"/>
      <c r="K121" s="498"/>
      <c r="L121" s="498"/>
      <c r="M121" s="498"/>
      <c r="N121" s="498"/>
      <c r="O121" s="498"/>
      <c r="P121" s="498"/>
    </row>
    <row r="122" spans="1:16" ht="12.75" x14ac:dyDescent="0.2">
      <c r="A122" s="498"/>
      <c r="C122" s="498"/>
      <c r="D122" s="499"/>
      <c r="E122" s="500"/>
      <c r="F122" s="498"/>
      <c r="G122" s="498"/>
      <c r="H122" s="498"/>
      <c r="I122" s="498"/>
      <c r="J122" s="498"/>
      <c r="K122" s="498"/>
      <c r="L122" s="498"/>
      <c r="M122" s="498"/>
      <c r="N122" s="498"/>
      <c r="O122" s="498"/>
      <c r="P122" s="498"/>
    </row>
    <row r="123" spans="1:16" ht="12.75" x14ac:dyDescent="0.2">
      <c r="A123" s="498"/>
      <c r="C123" s="498"/>
      <c r="D123" s="499"/>
      <c r="E123" s="500"/>
      <c r="F123" s="498"/>
      <c r="G123" s="498"/>
      <c r="H123" s="498"/>
      <c r="I123" s="498"/>
      <c r="J123" s="498"/>
      <c r="K123" s="498"/>
      <c r="L123" s="498"/>
      <c r="M123" s="498"/>
      <c r="N123" s="498"/>
      <c r="O123" s="498"/>
      <c r="P123" s="498"/>
    </row>
    <row r="124" spans="1:16" ht="12.75" x14ac:dyDescent="0.2">
      <c r="A124" s="498"/>
      <c r="C124" s="498"/>
      <c r="D124" s="499"/>
      <c r="E124" s="500"/>
      <c r="F124" s="498"/>
      <c r="G124" s="498"/>
      <c r="H124" s="498"/>
      <c r="I124" s="498"/>
      <c r="J124" s="498"/>
      <c r="K124" s="498"/>
      <c r="L124" s="498"/>
      <c r="M124" s="498"/>
      <c r="N124" s="498"/>
      <c r="O124" s="498"/>
      <c r="P124" s="498"/>
    </row>
    <row r="125" spans="1:16" ht="12.75" x14ac:dyDescent="0.2">
      <c r="A125" s="498"/>
      <c r="C125" s="498"/>
      <c r="D125" s="499"/>
      <c r="E125" s="500"/>
      <c r="F125" s="498"/>
      <c r="G125" s="498"/>
      <c r="H125" s="498"/>
      <c r="I125" s="498"/>
      <c r="J125" s="498"/>
      <c r="K125" s="498"/>
      <c r="L125" s="498"/>
      <c r="M125" s="498"/>
      <c r="N125" s="498"/>
      <c r="O125" s="498"/>
      <c r="P125" s="498"/>
    </row>
    <row r="126" spans="1:16" ht="12.75" x14ac:dyDescent="0.2">
      <c r="A126" s="498"/>
      <c r="C126" s="498"/>
      <c r="D126" s="499"/>
      <c r="E126" s="500"/>
      <c r="F126" s="498"/>
      <c r="G126" s="498"/>
      <c r="H126" s="498"/>
      <c r="I126" s="498"/>
      <c r="J126" s="498"/>
      <c r="K126" s="498"/>
      <c r="L126" s="498"/>
      <c r="M126" s="498"/>
      <c r="N126" s="498"/>
      <c r="O126" s="498"/>
      <c r="P126" s="498"/>
    </row>
    <row r="127" spans="1:16" ht="12.75" x14ac:dyDescent="0.2">
      <c r="A127" s="498"/>
      <c r="C127" s="498"/>
      <c r="D127" s="499"/>
      <c r="E127" s="500"/>
      <c r="F127" s="498"/>
      <c r="G127" s="498"/>
      <c r="H127" s="498"/>
      <c r="I127" s="498"/>
      <c r="J127" s="498"/>
      <c r="K127" s="498"/>
      <c r="L127" s="498"/>
      <c r="M127" s="498"/>
      <c r="N127" s="498"/>
      <c r="O127" s="498"/>
      <c r="P127" s="498"/>
    </row>
    <row r="128" spans="1:16" ht="12.75" x14ac:dyDescent="0.2">
      <c r="A128" s="498"/>
      <c r="C128" s="498"/>
      <c r="D128" s="499"/>
      <c r="E128" s="500"/>
      <c r="F128" s="498"/>
      <c r="G128" s="498"/>
      <c r="H128" s="498"/>
      <c r="I128" s="498"/>
      <c r="J128" s="498"/>
      <c r="K128" s="498"/>
      <c r="L128" s="498"/>
      <c r="M128" s="498"/>
      <c r="N128" s="498"/>
      <c r="O128" s="498"/>
      <c r="P128" s="498"/>
    </row>
    <row r="129" spans="1:16" ht="12.75" x14ac:dyDescent="0.2">
      <c r="A129" s="498"/>
      <c r="C129" s="498"/>
      <c r="D129" s="499"/>
      <c r="E129" s="500"/>
      <c r="F129" s="498"/>
      <c r="G129" s="498"/>
      <c r="H129" s="498"/>
      <c r="I129" s="498"/>
      <c r="J129" s="498"/>
      <c r="K129" s="498"/>
      <c r="L129" s="498"/>
      <c r="M129" s="498"/>
      <c r="N129" s="498"/>
      <c r="O129" s="498"/>
      <c r="P129" s="498"/>
    </row>
  </sheetData>
  <mergeCells count="3">
    <mergeCell ref="A2:P2"/>
    <mergeCell ref="A3:P3"/>
    <mergeCell ref="A4:P4"/>
  </mergeCells>
  <printOptions horizontalCentered="1"/>
  <pageMargins left="0.23622047244094491" right="0.31496062992125984" top="0.6692913385826772" bottom="0.62992125984251968" header="0.31496062992125984" footer="0.31496062992125984"/>
  <pageSetup scale="68" fitToHeight="0" orientation="landscape" r:id="rId1"/>
  <headerFooter>
    <oddHeader>&amp;R&amp;"Arial,Normal"&amp;8 7.GA.10</oddHeader>
    <oddFooter>&amp;C&amp;"Arial,Normal"&amp;9“Bajo protesta de decir verdad declaramos que los Estados Financieros y sus notas, son razonablemente correctos y son responsabilidad del emisor”</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J86"/>
  <sheetViews>
    <sheetView view="pageBreakPreview" zoomScale="60" zoomScaleNormal="100" workbookViewId="0">
      <selection sqref="A1:H1"/>
    </sheetView>
  </sheetViews>
  <sheetFormatPr baseColWidth="10" defaultColWidth="11.42578125" defaultRowHeight="12.75" x14ac:dyDescent="0.2"/>
  <cols>
    <col min="1" max="1" width="36" style="5" customWidth="1"/>
    <col min="2" max="2" width="17.28515625" style="5" customWidth="1"/>
    <col min="3" max="3" width="15.7109375" style="5" customWidth="1"/>
    <col min="4" max="4" width="16.85546875" style="5" customWidth="1"/>
    <col min="5" max="5" width="15.7109375" style="5" customWidth="1"/>
    <col min="6" max="6" width="12" style="5" customWidth="1"/>
    <col min="7" max="7" width="16.140625" style="5" customWidth="1"/>
    <col min="8" max="8" width="14" style="5" customWidth="1"/>
    <col min="9" max="9" width="15" style="5" customWidth="1"/>
    <col min="10" max="10" width="17.85546875" style="5" customWidth="1"/>
    <col min="11" max="12" width="11.42578125" style="5"/>
    <col min="13" max="13" width="13.85546875" style="5" bestFit="1" customWidth="1"/>
    <col min="14" max="16384" width="11.42578125" style="5"/>
  </cols>
  <sheetData>
    <row r="2" spans="1:10" ht="15" customHeight="1" x14ac:dyDescent="0.25">
      <c r="A2" s="1364" t="s">
        <v>566</v>
      </c>
      <c r="B2" s="1364"/>
      <c r="C2" s="1364"/>
      <c r="D2" s="1364"/>
      <c r="E2" s="1364"/>
      <c r="F2" s="1364"/>
      <c r="G2" s="1364"/>
      <c r="H2" s="1364"/>
      <c r="I2" s="1364"/>
      <c r="J2" s="1364"/>
    </row>
    <row r="3" spans="1:10" ht="15" customHeight="1" x14ac:dyDescent="0.25">
      <c r="A3" s="1364" t="s">
        <v>2429</v>
      </c>
      <c r="B3" s="1364"/>
      <c r="C3" s="1364"/>
      <c r="D3" s="1364"/>
      <c r="E3" s="1364"/>
      <c r="F3" s="1364"/>
      <c r="G3" s="1364"/>
      <c r="H3" s="1364"/>
      <c r="I3" s="1364"/>
      <c r="J3" s="1364"/>
    </row>
    <row r="4" spans="1:10" ht="15" customHeight="1" x14ac:dyDescent="0.25">
      <c r="A4" s="1364" t="s">
        <v>12240</v>
      </c>
      <c r="B4" s="1364"/>
      <c r="C4" s="1364"/>
      <c r="D4" s="1364"/>
      <c r="E4" s="1364"/>
      <c r="F4" s="1364"/>
      <c r="G4" s="1364"/>
      <c r="H4" s="1364"/>
      <c r="I4" s="1364"/>
      <c r="J4" s="1364"/>
    </row>
    <row r="5" spans="1:10" ht="15" x14ac:dyDescent="0.25">
      <c r="A5" s="1364" t="s">
        <v>10389</v>
      </c>
      <c r="B5" s="1364"/>
      <c r="C5" s="1364"/>
      <c r="D5" s="1364"/>
      <c r="E5" s="1364"/>
      <c r="F5" s="1364"/>
      <c r="G5" s="1364"/>
      <c r="H5" s="1364"/>
      <c r="I5" s="1364"/>
      <c r="J5" s="1364"/>
    </row>
    <row r="10" spans="1:10" x14ac:dyDescent="0.2">
      <c r="J10" s="4"/>
    </row>
    <row r="11" spans="1:10" s="222" customFormat="1" ht="11.25" customHeight="1" x14ac:dyDescent="0.25">
      <c r="A11" s="1361" t="s">
        <v>1117</v>
      </c>
      <c r="B11" s="1361" t="s">
        <v>1118</v>
      </c>
      <c r="C11" s="1361" t="s">
        <v>1119</v>
      </c>
      <c r="D11" s="1361" t="s">
        <v>10481</v>
      </c>
      <c r="E11" s="1361" t="s">
        <v>1120</v>
      </c>
      <c r="F11" s="1361"/>
      <c r="G11" s="1361"/>
      <c r="H11" s="1361"/>
      <c r="I11" s="1361"/>
      <c r="J11" s="1361" t="s">
        <v>10482</v>
      </c>
    </row>
    <row r="12" spans="1:10" s="222" customFormat="1" ht="24" customHeight="1" x14ac:dyDescent="0.25">
      <c r="A12" s="1361"/>
      <c r="B12" s="1361"/>
      <c r="C12" s="1361"/>
      <c r="D12" s="1361"/>
      <c r="E12" s="1361" t="s">
        <v>1121</v>
      </c>
      <c r="F12" s="1361"/>
      <c r="G12" s="1361"/>
      <c r="H12" s="1361" t="s">
        <v>1122</v>
      </c>
      <c r="I12" s="1361" t="s">
        <v>1123</v>
      </c>
      <c r="J12" s="1361"/>
    </row>
    <row r="13" spans="1:10" s="222" customFormat="1" ht="39" customHeight="1" x14ac:dyDescent="0.25">
      <c r="A13" s="1361"/>
      <c r="B13" s="1361"/>
      <c r="C13" s="1361"/>
      <c r="D13" s="1361"/>
      <c r="E13" s="223" t="s">
        <v>1124</v>
      </c>
      <c r="F13" s="223" t="s">
        <v>1125</v>
      </c>
      <c r="G13" s="223" t="s">
        <v>1126</v>
      </c>
      <c r="H13" s="1361"/>
      <c r="I13" s="1361"/>
      <c r="J13" s="1361"/>
    </row>
    <row r="14" spans="1:10" s="7" customFormat="1" ht="15" customHeight="1" x14ac:dyDescent="0.2">
      <c r="A14" s="224" t="s">
        <v>783</v>
      </c>
      <c r="B14" s="225"/>
      <c r="C14" s="225"/>
      <c r="D14" s="225"/>
      <c r="E14" s="225"/>
      <c r="F14" s="225"/>
      <c r="G14" s="225"/>
      <c r="H14" s="225"/>
      <c r="I14" s="226"/>
      <c r="J14" s="226"/>
    </row>
    <row r="15" spans="1:10" s="7" customFormat="1" ht="12" customHeight="1" x14ac:dyDescent="0.2">
      <c r="A15" s="227"/>
      <c r="B15" s="225"/>
      <c r="C15" s="225"/>
      <c r="D15" s="225"/>
      <c r="E15" s="225"/>
      <c r="F15" s="225"/>
      <c r="G15" s="225"/>
      <c r="H15" s="225"/>
      <c r="I15" s="226"/>
      <c r="J15" s="226">
        <f>+D15-E15-G15</f>
        <v>0</v>
      </c>
    </row>
    <row r="16" spans="1:10" s="7" customFormat="1" ht="12.6" hidden="1" customHeight="1" x14ac:dyDescent="0.2">
      <c r="A16" s="228" t="s">
        <v>1127</v>
      </c>
      <c r="B16" s="225"/>
      <c r="C16" s="225"/>
      <c r="D16" s="225">
        <v>0</v>
      </c>
      <c r="E16" s="225">
        <v>0</v>
      </c>
      <c r="F16" s="225"/>
      <c r="G16" s="225">
        <v>0</v>
      </c>
      <c r="H16" s="225">
        <v>0</v>
      </c>
      <c r="I16" s="229"/>
      <c r="J16" s="226">
        <v>0</v>
      </c>
    </row>
    <row r="17" spans="1:12" s="7" customFormat="1" ht="12.6" hidden="1" customHeight="1" x14ac:dyDescent="0.2">
      <c r="A17" s="230" t="s">
        <v>1128</v>
      </c>
      <c r="B17" s="231"/>
      <c r="C17" s="231"/>
      <c r="D17" s="231">
        <f t="shared" ref="D17:J17" si="0">D18+D19+D20</f>
        <v>0</v>
      </c>
      <c r="E17" s="231">
        <f t="shared" si="0"/>
        <v>0</v>
      </c>
      <c r="F17" s="231">
        <f t="shared" si="0"/>
        <v>0</v>
      </c>
      <c r="G17" s="231">
        <v>0</v>
      </c>
      <c r="H17" s="231">
        <f t="shared" si="0"/>
        <v>0</v>
      </c>
      <c r="I17" s="231">
        <f t="shared" si="0"/>
        <v>0</v>
      </c>
      <c r="J17" s="231">
        <f t="shared" si="0"/>
        <v>0</v>
      </c>
    </row>
    <row r="18" spans="1:12" s="7" customFormat="1" ht="12.6" hidden="1" customHeight="1" x14ac:dyDescent="0.2">
      <c r="A18" s="227" t="s">
        <v>1129</v>
      </c>
      <c r="B18" s="225"/>
      <c r="C18" s="225"/>
      <c r="D18" s="225">
        <v>0</v>
      </c>
      <c r="E18" s="225">
        <v>0</v>
      </c>
      <c r="F18" s="225">
        <v>0</v>
      </c>
      <c r="G18" s="225">
        <v>0</v>
      </c>
      <c r="H18" s="225"/>
      <c r="I18" s="226"/>
      <c r="J18" s="226">
        <f>+D18-E18+G18</f>
        <v>0</v>
      </c>
    </row>
    <row r="19" spans="1:12" s="7" customFormat="1" ht="12.6" hidden="1" customHeight="1" x14ac:dyDescent="0.2">
      <c r="A19" s="227" t="s">
        <v>1130</v>
      </c>
      <c r="B19" s="225"/>
      <c r="C19" s="225"/>
      <c r="D19" s="225"/>
      <c r="E19" s="225"/>
      <c r="F19" s="225"/>
      <c r="G19" s="225"/>
      <c r="H19" s="225"/>
      <c r="I19" s="226"/>
      <c r="J19" s="226"/>
    </row>
    <row r="20" spans="1:12" s="7" customFormat="1" ht="12.6" hidden="1" customHeight="1" x14ac:dyDescent="0.2">
      <c r="A20" s="227" t="s">
        <v>1131</v>
      </c>
      <c r="B20" s="225"/>
      <c r="C20" s="225"/>
      <c r="D20" s="225"/>
      <c r="E20" s="225"/>
      <c r="F20" s="225"/>
      <c r="G20" s="225"/>
      <c r="H20" s="225"/>
      <c r="I20" s="226"/>
      <c r="J20" s="226"/>
    </row>
    <row r="21" spans="1:12" s="7" customFormat="1" ht="12.6" hidden="1" customHeight="1" x14ac:dyDescent="0.2">
      <c r="A21" s="227"/>
      <c r="B21" s="232"/>
      <c r="C21" s="232"/>
      <c r="D21" s="232"/>
      <c r="E21" s="232"/>
      <c r="F21" s="232"/>
      <c r="G21" s="232"/>
      <c r="H21" s="232"/>
      <c r="I21" s="233"/>
      <c r="J21" s="226"/>
      <c r="L21" s="89"/>
    </row>
    <row r="22" spans="1:12" s="7" customFormat="1" ht="12.6" hidden="1" customHeight="1" x14ac:dyDescent="0.2">
      <c r="A22" s="230" t="s">
        <v>1132</v>
      </c>
      <c r="B22" s="234"/>
      <c r="C22" s="234"/>
      <c r="D22" s="234">
        <f t="shared" ref="D22:J22" si="1">D23+D24+D25+D26</f>
        <v>0</v>
      </c>
      <c r="E22" s="234">
        <f t="shared" si="1"/>
        <v>0</v>
      </c>
      <c r="F22" s="234">
        <f t="shared" si="1"/>
        <v>0</v>
      </c>
      <c r="G22" s="234">
        <f t="shared" si="1"/>
        <v>0</v>
      </c>
      <c r="H22" s="234">
        <f t="shared" si="1"/>
        <v>0</v>
      </c>
      <c r="I22" s="234">
        <f t="shared" si="1"/>
        <v>0</v>
      </c>
      <c r="J22" s="234">
        <f t="shared" si="1"/>
        <v>0</v>
      </c>
    </row>
    <row r="23" spans="1:12" s="7" customFormat="1" ht="12.6" hidden="1" customHeight="1" x14ac:dyDescent="0.2">
      <c r="A23" s="235" t="s">
        <v>1133</v>
      </c>
      <c r="B23" s="232"/>
      <c r="C23" s="232"/>
      <c r="D23" s="232"/>
      <c r="E23" s="232"/>
      <c r="F23" s="232"/>
      <c r="G23" s="232"/>
      <c r="H23" s="232"/>
      <c r="I23" s="233"/>
      <c r="J23" s="226"/>
    </row>
    <row r="24" spans="1:12" s="7" customFormat="1" ht="12.6" hidden="1" customHeight="1" x14ac:dyDescent="0.2">
      <c r="A24" s="227" t="s">
        <v>1134</v>
      </c>
      <c r="B24" s="232"/>
      <c r="C24" s="232"/>
      <c r="D24" s="232"/>
      <c r="E24" s="232"/>
      <c r="F24" s="232"/>
      <c r="G24" s="232"/>
      <c r="H24" s="232"/>
      <c r="I24" s="233"/>
      <c r="J24" s="226"/>
    </row>
    <row r="25" spans="1:12" s="7" customFormat="1" ht="12.6" hidden="1" customHeight="1" x14ac:dyDescent="0.2">
      <c r="A25" s="227" t="s">
        <v>1130</v>
      </c>
      <c r="B25" s="232"/>
      <c r="C25" s="232"/>
      <c r="D25" s="232"/>
      <c r="E25" s="232"/>
      <c r="F25" s="232"/>
      <c r="G25" s="232"/>
      <c r="H25" s="232"/>
      <c r="I25" s="233"/>
      <c r="J25" s="226"/>
    </row>
    <row r="26" spans="1:12" s="7" customFormat="1" ht="12.6" hidden="1" customHeight="1" x14ac:dyDescent="0.2">
      <c r="A26" s="227" t="s">
        <v>1131</v>
      </c>
      <c r="B26" s="232"/>
      <c r="C26" s="232"/>
      <c r="D26" s="232"/>
      <c r="E26" s="232"/>
      <c r="F26" s="232"/>
      <c r="G26" s="232"/>
      <c r="H26" s="232"/>
      <c r="I26" s="233"/>
      <c r="J26" s="226"/>
    </row>
    <row r="27" spans="1:12" s="7" customFormat="1" ht="12.6" hidden="1" customHeight="1" x14ac:dyDescent="0.2">
      <c r="A27" s="227"/>
      <c r="B27" s="232"/>
      <c r="C27" s="232"/>
      <c r="D27" s="232"/>
      <c r="E27" s="232"/>
      <c r="F27" s="232"/>
      <c r="G27" s="232"/>
      <c r="H27" s="232"/>
      <c r="I27" s="233"/>
      <c r="J27" s="226"/>
    </row>
    <row r="28" spans="1:12" s="237" customFormat="1" ht="12.6" hidden="1" customHeight="1" x14ac:dyDescent="0.2">
      <c r="A28" s="236" t="s">
        <v>1135</v>
      </c>
      <c r="B28" s="234"/>
      <c r="C28" s="234"/>
      <c r="D28" s="234">
        <f t="shared" ref="D28:J28" si="2">D17+D22</f>
        <v>0</v>
      </c>
      <c r="E28" s="234">
        <f t="shared" si="2"/>
        <v>0</v>
      </c>
      <c r="F28" s="234">
        <f t="shared" si="2"/>
        <v>0</v>
      </c>
      <c r="G28" s="234">
        <f t="shared" si="2"/>
        <v>0</v>
      </c>
      <c r="H28" s="234">
        <f t="shared" si="2"/>
        <v>0</v>
      </c>
      <c r="I28" s="234"/>
      <c r="J28" s="234">
        <f t="shared" si="2"/>
        <v>0</v>
      </c>
    </row>
    <row r="29" spans="1:12" s="7" customFormat="1" ht="12" customHeight="1" x14ac:dyDescent="0.2">
      <c r="A29" s="227"/>
      <c r="B29" s="232"/>
      <c r="C29" s="232"/>
      <c r="D29" s="232"/>
      <c r="E29" s="232"/>
      <c r="F29" s="232"/>
      <c r="G29" s="232"/>
      <c r="H29" s="232"/>
      <c r="I29" s="233"/>
      <c r="J29" s="226"/>
    </row>
    <row r="30" spans="1:12" s="7" customFormat="1" ht="12" customHeight="1" x14ac:dyDescent="0.2">
      <c r="A30" s="227"/>
      <c r="B30" s="232"/>
      <c r="C30" s="232"/>
      <c r="D30" s="232"/>
      <c r="E30" s="232"/>
      <c r="F30" s="232"/>
      <c r="G30" s="232"/>
      <c r="H30" s="232"/>
      <c r="I30" s="233"/>
      <c r="J30" s="226"/>
    </row>
    <row r="31" spans="1:12" s="7" customFormat="1" ht="15" customHeight="1" x14ac:dyDescent="0.2">
      <c r="A31" s="228" t="s">
        <v>1136</v>
      </c>
      <c r="B31" s="232"/>
      <c r="C31" s="232"/>
      <c r="D31" s="232"/>
      <c r="E31" s="232"/>
      <c r="F31" s="232"/>
      <c r="G31" s="232"/>
      <c r="H31" s="232"/>
      <c r="I31" s="233"/>
      <c r="J31" s="226"/>
    </row>
    <row r="32" spans="1:12" s="7" customFormat="1" ht="15" customHeight="1" x14ac:dyDescent="0.2">
      <c r="A32" s="230" t="s">
        <v>1128</v>
      </c>
      <c r="B32" s="238"/>
      <c r="C32" s="238"/>
      <c r="D32" s="234">
        <f t="shared" ref="D32:J32" si="3">D33+D34+D35</f>
        <v>14999999.73</v>
      </c>
      <c r="E32" s="234">
        <f t="shared" si="3"/>
        <v>5000000.04</v>
      </c>
      <c r="F32" s="234">
        <f t="shared" si="3"/>
        <v>0</v>
      </c>
      <c r="G32" s="234">
        <f t="shared" si="3"/>
        <v>0</v>
      </c>
      <c r="H32" s="234">
        <f t="shared" si="3"/>
        <v>0</v>
      </c>
      <c r="I32" s="239">
        <f t="shared" si="3"/>
        <v>-0.5000000195000005</v>
      </c>
      <c r="J32" s="234">
        <f t="shared" si="3"/>
        <v>9999999.6900000013</v>
      </c>
      <c r="K32" s="89"/>
    </row>
    <row r="33" spans="1:13" s="7" customFormat="1" ht="15" customHeight="1" x14ac:dyDescent="0.2">
      <c r="A33" s="227" t="s">
        <v>1129</v>
      </c>
      <c r="B33" s="240" t="s">
        <v>1137</v>
      </c>
      <c r="C33" s="240" t="s">
        <v>1138</v>
      </c>
      <c r="D33" s="232">
        <v>14999999.73</v>
      </c>
      <c r="E33" s="232">
        <f>416666.67+416666.67+416666.67+416666.67+416666.67+416666.67+416666.67+416666.67+416666.67+416666.67+416666.67+416666.67</f>
        <v>5000000.04</v>
      </c>
      <c r="F33" s="232">
        <v>0</v>
      </c>
      <c r="G33" s="232">
        <v>0</v>
      </c>
      <c r="H33" s="232">
        <v>0</v>
      </c>
      <c r="I33" s="241">
        <f>(J33-D33)/J33</f>
        <v>-0.5000000195000005</v>
      </c>
      <c r="J33" s="226">
        <f>+D33-E33</f>
        <v>9999999.6900000013</v>
      </c>
    </row>
    <row r="34" spans="1:13" s="7" customFormat="1" ht="15" customHeight="1" x14ac:dyDescent="0.2">
      <c r="A34" s="227" t="s">
        <v>1139</v>
      </c>
      <c r="B34" s="232"/>
      <c r="C34" s="232"/>
      <c r="D34" s="232"/>
      <c r="E34" s="232"/>
      <c r="F34" s="232"/>
      <c r="G34" s="232"/>
      <c r="H34" s="232"/>
      <c r="I34" s="233"/>
      <c r="J34" s="226"/>
    </row>
    <row r="35" spans="1:13" s="7" customFormat="1" ht="15" customHeight="1" x14ac:dyDescent="0.2">
      <c r="A35" s="227" t="s">
        <v>1131</v>
      </c>
      <c r="B35" s="232"/>
      <c r="C35" s="232"/>
      <c r="D35" s="232"/>
      <c r="E35" s="232"/>
      <c r="F35" s="232"/>
      <c r="G35" s="232"/>
      <c r="H35" s="232"/>
      <c r="I35" s="233"/>
      <c r="J35" s="226"/>
    </row>
    <row r="36" spans="1:13" s="7" customFormat="1" ht="12" customHeight="1" x14ac:dyDescent="0.2">
      <c r="A36" s="227"/>
      <c r="B36" s="232"/>
      <c r="C36" s="232"/>
      <c r="D36" s="232"/>
      <c r="E36" s="232"/>
      <c r="F36" s="232"/>
      <c r="G36" s="232"/>
      <c r="H36" s="232"/>
      <c r="I36" s="233"/>
      <c r="J36" s="226"/>
    </row>
    <row r="37" spans="1:13" s="7" customFormat="1" ht="12.6" hidden="1" customHeight="1" x14ac:dyDescent="0.2">
      <c r="A37" s="230" t="s">
        <v>1132</v>
      </c>
      <c r="B37" s="234"/>
      <c r="C37" s="234"/>
      <c r="D37" s="234">
        <f t="shared" ref="D37:J37" si="4">D38+D39+D40+D41</f>
        <v>0</v>
      </c>
      <c r="E37" s="234">
        <f t="shared" si="4"/>
        <v>0</v>
      </c>
      <c r="F37" s="234">
        <f t="shared" si="4"/>
        <v>0</v>
      </c>
      <c r="G37" s="234">
        <f t="shared" si="4"/>
        <v>0</v>
      </c>
      <c r="H37" s="234">
        <f t="shared" si="4"/>
        <v>0</v>
      </c>
      <c r="I37" s="234">
        <f t="shared" si="4"/>
        <v>0</v>
      </c>
      <c r="J37" s="234">
        <f t="shared" si="4"/>
        <v>0</v>
      </c>
    </row>
    <row r="38" spans="1:13" s="7" customFormat="1" ht="12.6" hidden="1" customHeight="1" x14ac:dyDescent="0.2">
      <c r="A38" s="227" t="s">
        <v>1140</v>
      </c>
      <c r="B38" s="232"/>
      <c r="C38" s="232"/>
      <c r="D38" s="232"/>
      <c r="E38" s="232"/>
      <c r="F38" s="232"/>
      <c r="G38" s="232"/>
      <c r="H38" s="232"/>
      <c r="I38" s="233"/>
      <c r="J38" s="226"/>
    </row>
    <row r="39" spans="1:13" s="7" customFormat="1" ht="12.6" hidden="1" customHeight="1" x14ac:dyDescent="0.2">
      <c r="A39" s="227" t="s">
        <v>1134</v>
      </c>
      <c r="B39" s="232"/>
      <c r="C39" s="232"/>
      <c r="D39" s="232"/>
      <c r="E39" s="232"/>
      <c r="F39" s="232"/>
      <c r="G39" s="232"/>
      <c r="H39" s="232"/>
      <c r="I39" s="233"/>
      <c r="J39" s="226"/>
    </row>
    <row r="40" spans="1:13" s="7" customFormat="1" ht="12.6" hidden="1" customHeight="1" x14ac:dyDescent="0.2">
      <c r="A40" s="227" t="s">
        <v>1130</v>
      </c>
      <c r="B40" s="232"/>
      <c r="C40" s="232"/>
      <c r="D40" s="232"/>
      <c r="E40" s="232"/>
      <c r="F40" s="232"/>
      <c r="G40" s="232"/>
      <c r="H40" s="232"/>
      <c r="I40" s="233"/>
      <c r="J40" s="226"/>
    </row>
    <row r="41" spans="1:13" s="7" customFormat="1" ht="12.6" hidden="1" customHeight="1" x14ac:dyDescent="0.2">
      <c r="A41" s="227" t="s">
        <v>1131</v>
      </c>
      <c r="B41" s="232"/>
      <c r="C41" s="232"/>
      <c r="D41" s="232"/>
      <c r="E41" s="232"/>
      <c r="F41" s="232"/>
      <c r="G41" s="232"/>
      <c r="H41" s="232"/>
      <c r="I41" s="233"/>
      <c r="J41" s="226"/>
    </row>
    <row r="42" spans="1:13" s="7" customFormat="1" x14ac:dyDescent="0.2">
      <c r="A42" s="227"/>
      <c r="B42" s="232"/>
      <c r="C42" s="232"/>
      <c r="D42" s="232"/>
      <c r="E42" s="232"/>
      <c r="F42" s="232"/>
      <c r="G42" s="232"/>
      <c r="H42" s="232"/>
      <c r="I42" s="233"/>
      <c r="J42" s="226"/>
    </row>
    <row r="43" spans="1:13" s="237" customFormat="1" ht="15" customHeight="1" x14ac:dyDescent="0.2">
      <c r="A43" s="236" t="s">
        <v>1141</v>
      </c>
      <c r="B43" s="234"/>
      <c r="C43" s="234"/>
      <c r="D43" s="234">
        <f t="shared" ref="D43:J43" si="5">D32+D37</f>
        <v>14999999.73</v>
      </c>
      <c r="E43" s="234">
        <f t="shared" si="5"/>
        <v>5000000.04</v>
      </c>
      <c r="F43" s="234">
        <f t="shared" si="5"/>
        <v>0</v>
      </c>
      <c r="G43" s="234">
        <f t="shared" si="5"/>
        <v>0</v>
      </c>
      <c r="H43" s="234">
        <f t="shared" si="5"/>
        <v>0</v>
      </c>
      <c r="I43" s="234"/>
      <c r="J43" s="234">
        <f t="shared" si="5"/>
        <v>9999999.6900000013</v>
      </c>
      <c r="M43" s="242"/>
    </row>
    <row r="44" spans="1:13" s="245" customFormat="1" ht="12" customHeight="1" x14ac:dyDescent="0.2">
      <c r="A44" s="243"/>
      <c r="B44" s="234"/>
      <c r="C44" s="234"/>
      <c r="D44" s="234"/>
      <c r="E44" s="234"/>
      <c r="F44" s="234"/>
      <c r="G44" s="234"/>
      <c r="H44" s="234"/>
      <c r="I44" s="234"/>
      <c r="J44" s="244"/>
    </row>
    <row r="45" spans="1:13" s="245" customFormat="1" ht="12" customHeight="1" x14ac:dyDescent="0.2">
      <c r="A45" s="243"/>
      <c r="B45" s="234"/>
      <c r="C45" s="234"/>
      <c r="D45" s="234"/>
      <c r="E45" s="234"/>
      <c r="F45" s="234"/>
      <c r="G45" s="234"/>
      <c r="H45" s="234"/>
      <c r="I45" s="234"/>
      <c r="J45" s="244"/>
    </row>
    <row r="46" spans="1:13" s="245" customFormat="1" ht="12" customHeight="1" x14ac:dyDescent="0.2">
      <c r="A46" s="243"/>
      <c r="B46" s="234"/>
      <c r="C46" s="234"/>
      <c r="D46" s="234"/>
      <c r="E46" s="234"/>
      <c r="F46" s="234"/>
      <c r="G46" s="234"/>
      <c r="H46" s="234"/>
      <c r="I46" s="234"/>
      <c r="J46" s="244"/>
    </row>
    <row r="47" spans="1:13" s="245" customFormat="1" ht="12" customHeight="1" x14ac:dyDescent="0.2">
      <c r="A47" s="243"/>
      <c r="B47" s="234"/>
      <c r="C47" s="234"/>
      <c r="D47" s="234"/>
      <c r="E47" s="234"/>
      <c r="F47" s="234"/>
      <c r="G47" s="234"/>
      <c r="H47" s="234"/>
      <c r="I47" s="234"/>
      <c r="J47" s="244"/>
    </row>
    <row r="48" spans="1:13" s="245" customFormat="1" ht="12" customHeight="1" x14ac:dyDescent="0.2">
      <c r="A48" s="243"/>
      <c r="B48" s="234"/>
      <c r="C48" s="234"/>
      <c r="D48" s="234"/>
      <c r="E48" s="234"/>
      <c r="F48" s="234"/>
      <c r="G48" s="234"/>
      <c r="H48" s="234"/>
      <c r="I48" s="234"/>
      <c r="J48" s="244"/>
    </row>
    <row r="49" spans="1:13" s="245" customFormat="1" ht="12" customHeight="1" x14ac:dyDescent="0.2">
      <c r="A49" s="243"/>
      <c r="B49" s="234"/>
      <c r="C49" s="234"/>
      <c r="D49" s="234"/>
      <c r="E49" s="234"/>
      <c r="F49" s="234"/>
      <c r="G49" s="234"/>
      <c r="H49" s="234"/>
      <c r="I49" s="234"/>
      <c r="J49" s="244"/>
    </row>
    <row r="50" spans="1:13" s="245" customFormat="1" ht="12" customHeight="1" x14ac:dyDescent="0.2">
      <c r="A50" s="243"/>
      <c r="B50" s="234"/>
      <c r="C50" s="234"/>
      <c r="D50" s="234"/>
      <c r="E50" s="234"/>
      <c r="F50" s="234"/>
      <c r="G50" s="234"/>
      <c r="H50" s="234"/>
      <c r="I50" s="234"/>
      <c r="J50" s="244"/>
    </row>
    <row r="51" spans="1:13" s="245" customFormat="1" ht="12" customHeight="1" x14ac:dyDescent="0.2">
      <c r="A51" s="243"/>
      <c r="B51" s="234"/>
      <c r="C51" s="234"/>
      <c r="D51" s="234"/>
      <c r="E51" s="234"/>
      <c r="F51" s="234"/>
      <c r="G51" s="234"/>
      <c r="H51" s="234"/>
      <c r="I51" s="234"/>
      <c r="J51" s="244"/>
    </row>
    <row r="52" spans="1:13" s="245" customFormat="1" ht="12" customHeight="1" x14ac:dyDescent="0.2">
      <c r="A52" s="243"/>
      <c r="B52" s="234"/>
      <c r="C52" s="234"/>
      <c r="D52" s="234"/>
      <c r="E52" s="234"/>
      <c r="F52" s="234"/>
      <c r="G52" s="234"/>
      <c r="H52" s="234"/>
      <c r="I52" s="234"/>
      <c r="J52" s="244"/>
      <c r="M52" s="246"/>
    </row>
    <row r="53" spans="1:13" s="245" customFormat="1" ht="15" customHeight="1" x14ac:dyDescent="0.2">
      <c r="A53" s="243" t="s">
        <v>1142</v>
      </c>
      <c r="B53" s="234"/>
      <c r="C53" s="234"/>
      <c r="D53" s="234">
        <v>36538019.160000004</v>
      </c>
      <c r="E53" s="234">
        <v>0</v>
      </c>
      <c r="F53" s="234">
        <v>0</v>
      </c>
      <c r="G53" s="234">
        <f>J53-D53</f>
        <v>11174177.029999994</v>
      </c>
      <c r="H53" s="234">
        <v>0</v>
      </c>
      <c r="I53" s="504">
        <f>(J53-D53)/J53</f>
        <v>0.23419959512033509</v>
      </c>
      <c r="J53" s="244">
        <v>47712196.189999998</v>
      </c>
      <c r="M53" s="247"/>
    </row>
    <row r="54" spans="1:13" s="245" customFormat="1" ht="12" customHeight="1" x14ac:dyDescent="0.2">
      <c r="A54" s="243"/>
      <c r="B54" s="234"/>
      <c r="C54" s="234"/>
      <c r="D54" s="234"/>
      <c r="E54" s="234"/>
      <c r="F54" s="234"/>
      <c r="G54" s="234"/>
      <c r="H54" s="234"/>
      <c r="I54" s="248"/>
      <c r="J54" s="244"/>
    </row>
    <row r="55" spans="1:13" s="245" customFormat="1" ht="12" customHeight="1" x14ac:dyDescent="0.2">
      <c r="A55" s="243"/>
      <c r="B55" s="234"/>
      <c r="C55" s="234"/>
      <c r="D55" s="234"/>
      <c r="E55" s="234"/>
      <c r="F55" s="234"/>
      <c r="G55" s="234"/>
      <c r="H55" s="234"/>
      <c r="I55" s="234"/>
      <c r="J55" s="244"/>
      <c r="M55" s="247"/>
    </row>
    <row r="56" spans="1:13" s="237" customFormat="1" ht="17.100000000000001" customHeight="1" x14ac:dyDescent="0.2">
      <c r="A56" s="249" t="s">
        <v>1143</v>
      </c>
      <c r="B56" s="250"/>
      <c r="C56" s="250"/>
      <c r="D56" s="250">
        <f>D28+D43+D53</f>
        <v>51538018.890000001</v>
      </c>
      <c r="E56" s="250">
        <f>E28+E43+E53</f>
        <v>5000000.04</v>
      </c>
      <c r="F56" s="250">
        <f>F28+F43+F53</f>
        <v>0</v>
      </c>
      <c r="G56" s="250">
        <f>G28+G43+G53</f>
        <v>11174177.029999994</v>
      </c>
      <c r="H56" s="250">
        <f>H28+H43+H53</f>
        <v>0</v>
      </c>
      <c r="I56" s="250"/>
      <c r="J56" s="250">
        <f>J28+J43+J53</f>
        <v>57712195.879999995</v>
      </c>
    </row>
    <row r="58" spans="1:13" x14ac:dyDescent="0.2">
      <c r="C58" s="197"/>
      <c r="G58" s="197"/>
    </row>
    <row r="59" spans="1:13" x14ac:dyDescent="0.2">
      <c r="A59" s="1362"/>
      <c r="B59" s="1362"/>
      <c r="C59" s="1362"/>
      <c r="D59" s="1362"/>
      <c r="E59" s="1362"/>
      <c r="F59" s="1362"/>
      <c r="G59" s="1362"/>
      <c r="H59" s="1362"/>
      <c r="I59" s="1362"/>
      <c r="J59" s="1362"/>
    </row>
    <row r="60" spans="1:13" x14ac:dyDescent="0.2">
      <c r="E60" s="197"/>
    </row>
    <row r="63" spans="1:13" x14ac:dyDescent="0.2">
      <c r="A63" s="1"/>
    </row>
    <row r="64" spans="1:13" x14ac:dyDescent="0.2">
      <c r="A64" s="1363"/>
      <c r="B64" s="1363"/>
      <c r="C64" s="1363"/>
      <c r="D64" s="1363"/>
      <c r="E64" s="1363"/>
      <c r="F64" s="1363"/>
      <c r="G64" s="1363"/>
      <c r="H64" s="1363"/>
      <c r="I64" s="1363"/>
      <c r="J64" s="1363"/>
    </row>
    <row r="66" spans="1:62" ht="14.25" customHeight="1" x14ac:dyDescent="0.2">
      <c r="A66" s="61"/>
    </row>
    <row r="67" spans="1:62" x14ac:dyDescent="0.2">
      <c r="A67" s="251"/>
    </row>
    <row r="68" spans="1:62" x14ac:dyDescent="0.2">
      <c r="A68" s="251"/>
    </row>
    <row r="69" spans="1:62" x14ac:dyDescent="0.2">
      <c r="A69" s="251"/>
    </row>
    <row r="70" spans="1:62" s="2" customFormat="1" ht="10.5" customHeight="1" x14ac:dyDescent="0.2">
      <c r="A70" s="51"/>
      <c r="B70" s="3"/>
      <c r="C70" s="252"/>
      <c r="D70" s="3"/>
      <c r="E70" s="3"/>
      <c r="F70" s="3"/>
      <c r="G70" s="3"/>
      <c r="H70" s="3"/>
      <c r="I70" s="3"/>
    </row>
    <row r="71" spans="1:62" s="58" customFormat="1" ht="15" x14ac:dyDescent="0.25">
      <c r="A71" s="52"/>
      <c r="B71" s="53"/>
      <c r="C71" s="54"/>
      <c r="D71" s="53"/>
      <c r="E71" s="55"/>
      <c r="F71" s="55"/>
      <c r="G71" s="53"/>
      <c r="H71" s="56"/>
      <c r="I71" s="57"/>
      <c r="J71" s="57"/>
      <c r="K71" s="57"/>
      <c r="L71" s="57"/>
      <c r="M71" s="57"/>
      <c r="N71" s="57"/>
      <c r="O71" s="57"/>
      <c r="P71" s="57"/>
      <c r="Q71" s="57"/>
      <c r="R71" s="57"/>
      <c r="S71" s="57"/>
      <c r="T71" s="57"/>
      <c r="U71" s="57"/>
      <c r="V71" s="57"/>
      <c r="W71" s="57"/>
      <c r="X71" s="57"/>
      <c r="Y71" s="57"/>
      <c r="Z71" s="57"/>
      <c r="AA71" s="57"/>
      <c r="AB71" s="57"/>
      <c r="AC71" s="57"/>
      <c r="AD71" s="57"/>
      <c r="AE71" s="57"/>
      <c r="AF71" s="57"/>
      <c r="AG71" s="57"/>
      <c r="AH71" s="57"/>
      <c r="AI71" s="57"/>
      <c r="AJ71" s="57"/>
      <c r="AK71" s="57"/>
      <c r="AL71" s="57"/>
      <c r="AM71" s="57"/>
      <c r="AN71" s="57"/>
      <c r="AO71" s="57"/>
      <c r="AP71" s="57"/>
      <c r="AQ71" s="57"/>
      <c r="AR71" s="57"/>
      <c r="AS71" s="57"/>
      <c r="AT71" s="57"/>
      <c r="AU71" s="57"/>
      <c r="AV71" s="57"/>
      <c r="AW71" s="57"/>
      <c r="AX71" s="57"/>
      <c r="AY71" s="57"/>
      <c r="AZ71" s="57"/>
      <c r="BA71" s="57"/>
      <c r="BB71" s="57"/>
      <c r="BC71" s="57"/>
      <c r="BD71" s="57"/>
      <c r="BE71" s="57"/>
      <c r="BF71" s="57"/>
      <c r="BG71" s="57"/>
      <c r="BH71" s="57"/>
      <c r="BI71" s="57"/>
      <c r="BJ71" s="57"/>
    </row>
    <row r="72" spans="1:62" s="58" customFormat="1" ht="15" x14ac:dyDescent="0.25">
      <c r="A72" s="52"/>
      <c r="B72" s="53"/>
      <c r="C72" s="54"/>
      <c r="D72" s="53"/>
      <c r="E72" s="55"/>
      <c r="F72" s="55"/>
      <c r="G72" s="53"/>
      <c r="H72" s="56"/>
      <c r="I72" s="57"/>
      <c r="J72" s="57"/>
      <c r="K72" s="57"/>
      <c r="L72" s="57"/>
      <c r="M72" s="57"/>
      <c r="N72" s="57"/>
      <c r="O72" s="57"/>
      <c r="P72" s="57"/>
      <c r="Q72" s="57"/>
      <c r="R72" s="57"/>
      <c r="S72" s="57"/>
      <c r="T72" s="57"/>
      <c r="U72" s="57"/>
      <c r="V72" s="57"/>
      <c r="W72" s="57"/>
      <c r="X72" s="57"/>
      <c r="Y72" s="57"/>
      <c r="Z72" s="57"/>
      <c r="AA72" s="57"/>
      <c r="AB72" s="57"/>
      <c r="AC72" s="57"/>
      <c r="AD72" s="57"/>
      <c r="AE72" s="57"/>
      <c r="AF72" s="57"/>
      <c r="AG72" s="57"/>
      <c r="AH72" s="57"/>
      <c r="AI72" s="57"/>
      <c r="AJ72" s="57"/>
      <c r="AK72" s="57"/>
      <c r="AL72" s="57"/>
      <c r="AM72" s="57"/>
      <c r="AN72" s="57"/>
      <c r="AO72" s="57"/>
      <c r="AP72" s="57"/>
      <c r="AQ72" s="57"/>
      <c r="AR72" s="57"/>
      <c r="AS72" s="57"/>
      <c r="AT72" s="57"/>
      <c r="AU72" s="57"/>
      <c r="AV72" s="57"/>
      <c r="AW72" s="57"/>
      <c r="AX72" s="57"/>
      <c r="AY72" s="57"/>
      <c r="AZ72" s="57"/>
      <c r="BA72" s="57"/>
      <c r="BB72" s="57"/>
      <c r="BC72" s="57"/>
      <c r="BD72" s="57"/>
      <c r="BE72" s="57"/>
      <c r="BF72" s="57"/>
      <c r="BG72" s="57"/>
      <c r="BH72" s="57"/>
      <c r="BI72" s="57"/>
      <c r="BJ72" s="57"/>
    </row>
    <row r="73" spans="1:62" s="58" customFormat="1" ht="15" x14ac:dyDescent="0.25">
      <c r="A73" s="52"/>
      <c r="B73" s="53"/>
      <c r="C73" s="54"/>
      <c r="D73" s="53"/>
      <c r="E73" s="55"/>
      <c r="F73" s="55"/>
      <c r="G73" s="53"/>
      <c r="H73" s="56"/>
      <c r="I73" s="57"/>
      <c r="J73" s="57"/>
      <c r="K73" s="57"/>
      <c r="L73" s="57"/>
      <c r="M73" s="57"/>
      <c r="N73" s="57"/>
      <c r="O73" s="57"/>
      <c r="P73" s="57"/>
      <c r="Q73" s="57"/>
      <c r="R73" s="57"/>
      <c r="S73" s="57"/>
      <c r="T73" s="57"/>
      <c r="U73" s="57"/>
      <c r="V73" s="57"/>
      <c r="W73" s="57"/>
      <c r="X73" s="57"/>
      <c r="Y73" s="57"/>
      <c r="Z73" s="57"/>
      <c r="AA73" s="57"/>
      <c r="AB73" s="57"/>
      <c r="AC73" s="57"/>
      <c r="AD73" s="57"/>
      <c r="AE73" s="57"/>
      <c r="AF73" s="57"/>
      <c r="AG73" s="57"/>
      <c r="AH73" s="57"/>
      <c r="AI73" s="57"/>
      <c r="AJ73" s="57"/>
      <c r="AK73" s="57"/>
      <c r="AL73" s="57"/>
      <c r="AM73" s="57"/>
      <c r="AN73" s="57"/>
      <c r="AO73" s="57"/>
      <c r="AP73" s="57"/>
      <c r="AQ73" s="57"/>
      <c r="AR73" s="57"/>
      <c r="AS73" s="57"/>
      <c r="AT73" s="57"/>
      <c r="AU73" s="57"/>
      <c r="AV73" s="57"/>
      <c r="AW73" s="57"/>
      <c r="AX73" s="57"/>
      <c r="AY73" s="57"/>
      <c r="AZ73" s="57"/>
      <c r="BA73" s="57"/>
      <c r="BB73" s="57"/>
      <c r="BC73" s="57"/>
      <c r="BD73" s="57"/>
      <c r="BE73" s="57"/>
      <c r="BF73" s="57"/>
      <c r="BG73" s="57"/>
      <c r="BH73" s="57"/>
      <c r="BI73" s="57"/>
      <c r="BJ73" s="57"/>
    </row>
    <row r="74" spans="1:62" s="58" customFormat="1" ht="15" x14ac:dyDescent="0.25">
      <c r="A74" s="52"/>
      <c r="B74" s="53"/>
      <c r="C74" s="54"/>
      <c r="D74" s="53"/>
      <c r="E74" s="55"/>
      <c r="F74" s="55"/>
      <c r="G74" s="53"/>
      <c r="H74" s="56"/>
      <c r="I74" s="57"/>
      <c r="J74" s="57"/>
      <c r="K74" s="57"/>
      <c r="L74" s="57"/>
      <c r="M74" s="57"/>
      <c r="N74" s="57"/>
      <c r="O74" s="57"/>
      <c r="P74" s="57"/>
      <c r="Q74" s="57"/>
      <c r="R74" s="57"/>
      <c r="S74" s="57"/>
      <c r="T74" s="57"/>
      <c r="U74" s="57"/>
      <c r="V74" s="57"/>
      <c r="W74" s="57"/>
      <c r="X74" s="57"/>
      <c r="Y74" s="57"/>
      <c r="Z74" s="57"/>
      <c r="AA74" s="57"/>
      <c r="AB74" s="57"/>
      <c r="AC74" s="57"/>
      <c r="AD74" s="57"/>
      <c r="AE74" s="57"/>
      <c r="AF74" s="57"/>
      <c r="AG74" s="57"/>
      <c r="AH74" s="57"/>
      <c r="AI74" s="57"/>
      <c r="AJ74" s="57"/>
      <c r="AK74" s="57"/>
      <c r="AL74" s="57"/>
      <c r="AM74" s="57"/>
      <c r="AN74" s="57"/>
      <c r="AO74" s="57"/>
      <c r="AP74" s="57"/>
      <c r="AQ74" s="57"/>
      <c r="AR74" s="57"/>
      <c r="AS74" s="57"/>
      <c r="AT74" s="57"/>
      <c r="AU74" s="57"/>
      <c r="AV74" s="57"/>
      <c r="AW74" s="57"/>
      <c r="AX74" s="57"/>
      <c r="AY74" s="57"/>
      <c r="AZ74" s="57"/>
      <c r="BA74" s="57"/>
      <c r="BB74" s="57"/>
      <c r="BC74" s="57"/>
      <c r="BD74" s="57"/>
      <c r="BE74" s="57"/>
      <c r="BF74" s="57"/>
      <c r="BG74" s="57"/>
      <c r="BH74" s="57"/>
      <c r="BI74" s="57"/>
      <c r="BJ74" s="57"/>
    </row>
    <row r="75" spans="1:62" s="58" customFormat="1" x14ac:dyDescent="0.2">
      <c r="A75" s="52"/>
      <c r="B75" s="59"/>
      <c r="C75" s="60"/>
      <c r="D75" s="60"/>
      <c r="E75" s="60"/>
      <c r="F75" s="59"/>
      <c r="G75" s="59"/>
      <c r="H75" s="60"/>
      <c r="I75" s="57"/>
      <c r="J75" s="57"/>
      <c r="K75" s="57"/>
      <c r="L75" s="57"/>
      <c r="M75" s="57"/>
      <c r="N75" s="57"/>
      <c r="O75" s="57"/>
      <c r="P75" s="57"/>
      <c r="Q75" s="57"/>
      <c r="R75" s="57"/>
      <c r="S75" s="57"/>
      <c r="T75" s="57"/>
      <c r="U75" s="57"/>
      <c r="V75" s="57"/>
      <c r="W75" s="57"/>
      <c r="X75" s="57"/>
      <c r="Y75" s="57"/>
      <c r="Z75" s="57"/>
      <c r="AA75" s="57"/>
      <c r="AB75" s="57"/>
      <c r="AC75" s="57"/>
      <c r="AD75" s="57"/>
      <c r="AE75" s="57"/>
      <c r="AF75" s="57"/>
      <c r="AG75" s="57"/>
      <c r="AH75" s="57"/>
      <c r="AI75" s="57"/>
      <c r="AJ75" s="57"/>
      <c r="AK75" s="57"/>
      <c r="AL75" s="57"/>
      <c r="AM75" s="57"/>
      <c r="AN75" s="57"/>
      <c r="AO75" s="57"/>
      <c r="AP75" s="57"/>
      <c r="AQ75" s="57"/>
      <c r="AR75" s="57"/>
      <c r="AS75" s="57"/>
      <c r="AT75" s="57"/>
      <c r="AU75" s="57"/>
      <c r="AV75" s="57"/>
      <c r="AW75" s="57"/>
      <c r="AX75" s="57"/>
      <c r="AY75" s="57"/>
      <c r="AZ75" s="57"/>
      <c r="BA75" s="57"/>
      <c r="BB75" s="57"/>
      <c r="BC75" s="57"/>
      <c r="BD75" s="57"/>
      <c r="BE75" s="57"/>
      <c r="BF75" s="57"/>
      <c r="BG75" s="57"/>
      <c r="BH75" s="57"/>
      <c r="BI75" s="57"/>
      <c r="BJ75" s="57"/>
    </row>
    <row r="76" spans="1:62" s="58" customFormat="1" ht="10.5" x14ac:dyDescent="0.15">
      <c r="A76" s="57"/>
      <c r="B76" s="253"/>
      <c r="C76" s="57"/>
      <c r="D76" s="57"/>
      <c r="E76" s="254"/>
      <c r="F76" s="254"/>
      <c r="G76" s="57"/>
      <c r="H76" s="57"/>
      <c r="I76" s="57"/>
    </row>
    <row r="77" spans="1:62" x14ac:dyDescent="0.2">
      <c r="A77" s="1"/>
    </row>
    <row r="78" spans="1:62" x14ac:dyDescent="0.2">
      <c r="A78" s="1"/>
    </row>
    <row r="79" spans="1:62" x14ac:dyDescent="0.2">
      <c r="A79" s="1"/>
    </row>
    <row r="80" spans="1:62" x14ac:dyDescent="0.2">
      <c r="A80" s="1"/>
    </row>
    <row r="81" spans="1:1" x14ac:dyDescent="0.2">
      <c r="A81" s="1"/>
    </row>
    <row r="82" spans="1:1" x14ac:dyDescent="0.2">
      <c r="A82" s="1"/>
    </row>
    <row r="83" spans="1:1" x14ac:dyDescent="0.2">
      <c r="A83" s="1"/>
    </row>
    <row r="84" spans="1:1" x14ac:dyDescent="0.2">
      <c r="A84" s="1"/>
    </row>
    <row r="85" spans="1:1" x14ac:dyDescent="0.2">
      <c r="A85" s="1"/>
    </row>
    <row r="86" spans="1:1" x14ac:dyDescent="0.2">
      <c r="A86" s="1"/>
    </row>
  </sheetData>
  <mergeCells count="15">
    <mergeCell ref="H12:H13"/>
    <mergeCell ref="I12:I13"/>
    <mergeCell ref="A59:J59"/>
    <mergeCell ref="A64:J64"/>
    <mergeCell ref="A2:J2"/>
    <mergeCell ref="A3:J3"/>
    <mergeCell ref="A4:J4"/>
    <mergeCell ref="A11:A13"/>
    <mergeCell ref="B11:B13"/>
    <mergeCell ref="C11:C13"/>
    <mergeCell ref="D11:D13"/>
    <mergeCell ref="E11:I11"/>
    <mergeCell ref="J11:J13"/>
    <mergeCell ref="E12:G12"/>
    <mergeCell ref="A5:J5"/>
  </mergeCells>
  <pageMargins left="0.62992125984251968" right="0.62992125984251968" top="0.51181102362204722" bottom="0.35433070866141736" header="0.31496062992125984" footer="0.31496062992125984"/>
  <pageSetup scale="70" orientation="landscape" r:id="rId1"/>
  <headerFooter>
    <oddHeader>&amp;R&amp;"Arial,Normal"&amp;8 7.GA.11</oddHead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7"/>
  <sheetViews>
    <sheetView view="pageBreakPreview" zoomScale="60" zoomScaleNormal="100" workbookViewId="0">
      <selection activeCell="A41" sqref="A41:XFD41"/>
    </sheetView>
  </sheetViews>
  <sheetFormatPr baseColWidth="10" defaultRowHeight="15" x14ac:dyDescent="0.25"/>
  <sheetData>
    <row r="1" spans="1:8" x14ac:dyDescent="0.25">
      <c r="A1" s="1294" t="s">
        <v>566</v>
      </c>
      <c r="B1" s="1294"/>
      <c r="C1" s="1294"/>
      <c r="D1" s="1294"/>
      <c r="E1" s="1294"/>
      <c r="F1" s="1294"/>
      <c r="G1" s="1294"/>
      <c r="H1" s="1294"/>
    </row>
    <row r="2" spans="1:8" x14ac:dyDescent="0.25">
      <c r="A2" s="1294" t="s">
        <v>2429</v>
      </c>
      <c r="B2" s="1294"/>
      <c r="C2" s="1294"/>
      <c r="D2" s="1294"/>
      <c r="E2" s="1294"/>
      <c r="F2" s="1294"/>
      <c r="G2" s="1294"/>
      <c r="H2" s="1294"/>
    </row>
    <row r="3" spans="1:8" x14ac:dyDescent="0.25">
      <c r="A3" s="1294" t="s">
        <v>2437</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608"/>
      <c r="B6" s="609"/>
      <c r="C6" s="609"/>
      <c r="D6" s="609"/>
      <c r="E6" s="609"/>
      <c r="F6" s="609"/>
      <c r="G6" s="609"/>
      <c r="H6" s="610"/>
    </row>
    <row r="7" spans="1:8" x14ac:dyDescent="0.25">
      <c r="A7" s="608"/>
      <c r="B7" s="609"/>
      <c r="C7" s="609"/>
      <c r="D7" s="609"/>
      <c r="E7" s="609"/>
      <c r="F7" s="609"/>
      <c r="G7" s="609"/>
      <c r="H7" s="610"/>
    </row>
    <row r="8" spans="1:8" ht="30.75" customHeight="1" x14ac:dyDescent="0.25">
      <c r="A8" s="1338" t="s">
        <v>10487</v>
      </c>
      <c r="B8" s="1339"/>
      <c r="C8" s="1339"/>
      <c r="D8" s="1339"/>
      <c r="E8" s="1339"/>
      <c r="F8" s="1339"/>
      <c r="G8" s="1339"/>
      <c r="H8" s="1340"/>
    </row>
    <row r="9" spans="1:8" x14ac:dyDescent="0.25">
      <c r="A9" s="608"/>
      <c r="B9" s="609"/>
      <c r="C9" s="609"/>
      <c r="D9" s="609"/>
      <c r="E9" s="609"/>
      <c r="F9" s="609"/>
      <c r="G9" s="609"/>
      <c r="H9" s="610"/>
    </row>
    <row r="10" spans="1:8" x14ac:dyDescent="0.25">
      <c r="A10" s="608"/>
      <c r="B10" s="609"/>
      <c r="C10" s="609"/>
      <c r="D10" s="609"/>
      <c r="E10" s="609"/>
      <c r="F10" s="609"/>
      <c r="G10" s="609"/>
      <c r="H10" s="610"/>
    </row>
    <row r="11" spans="1:8" x14ac:dyDescent="0.25">
      <c r="A11" s="608"/>
      <c r="B11" s="609"/>
      <c r="C11" s="609"/>
      <c r="D11" s="609"/>
      <c r="E11" s="609"/>
      <c r="F11" s="609"/>
      <c r="G11" s="609"/>
      <c r="H11" s="610"/>
    </row>
    <row r="12" spans="1:8" x14ac:dyDescent="0.25">
      <c r="A12" s="608"/>
      <c r="B12" s="609"/>
      <c r="C12" s="609"/>
      <c r="D12" s="609"/>
      <c r="E12" s="609"/>
      <c r="F12" s="609"/>
      <c r="G12" s="609"/>
      <c r="H12" s="610"/>
    </row>
    <row r="13" spans="1:8" x14ac:dyDescent="0.25">
      <c r="A13" s="608"/>
      <c r="B13" s="609"/>
      <c r="C13" s="609"/>
      <c r="D13" s="609"/>
      <c r="E13" s="609"/>
      <c r="F13" s="609"/>
      <c r="G13" s="609"/>
      <c r="H13" s="610"/>
    </row>
    <row r="14" spans="1:8" x14ac:dyDescent="0.25">
      <c r="A14" s="608"/>
      <c r="B14" s="609"/>
      <c r="C14" s="609"/>
      <c r="D14" s="609"/>
      <c r="E14" s="609"/>
      <c r="F14" s="609"/>
      <c r="G14" s="609"/>
      <c r="H14" s="610"/>
    </row>
    <row r="15" spans="1:8" x14ac:dyDescent="0.25">
      <c r="A15" s="608"/>
      <c r="B15" s="609"/>
      <c r="C15" s="609"/>
      <c r="D15" s="609"/>
      <c r="E15" s="609"/>
      <c r="F15" s="609"/>
      <c r="G15" s="609"/>
      <c r="H15" s="610"/>
    </row>
    <row r="16" spans="1:8" x14ac:dyDescent="0.25">
      <c r="A16" s="608"/>
      <c r="B16" s="609"/>
      <c r="C16" s="609"/>
      <c r="D16" s="609"/>
      <c r="E16" s="609"/>
      <c r="F16" s="609"/>
      <c r="G16" s="609"/>
      <c r="H16" s="610"/>
    </row>
    <row r="17" spans="1:8" x14ac:dyDescent="0.25">
      <c r="A17" s="608"/>
      <c r="B17" s="609"/>
      <c r="C17" s="609"/>
      <c r="D17" s="609"/>
      <c r="E17" s="609"/>
      <c r="F17" s="609"/>
      <c r="G17" s="609"/>
      <c r="H17" s="610"/>
    </row>
    <row r="18" spans="1:8" x14ac:dyDescent="0.25">
      <c r="A18" s="608"/>
      <c r="B18" s="609"/>
      <c r="C18" s="609"/>
      <c r="D18" s="609"/>
      <c r="E18" s="609"/>
      <c r="F18" s="609"/>
      <c r="G18" s="609"/>
      <c r="H18" s="610"/>
    </row>
    <row r="19" spans="1:8" x14ac:dyDescent="0.25">
      <c r="A19" s="608"/>
      <c r="B19" s="609"/>
      <c r="C19" s="609"/>
      <c r="D19" s="609"/>
      <c r="E19" s="609"/>
      <c r="F19" s="609"/>
      <c r="G19" s="609"/>
      <c r="H19" s="610"/>
    </row>
    <row r="20" spans="1:8" x14ac:dyDescent="0.25">
      <c r="A20" s="608"/>
      <c r="B20" s="609"/>
      <c r="C20" s="609"/>
      <c r="D20" s="609"/>
      <c r="E20" s="609"/>
      <c r="F20" s="609"/>
      <c r="G20" s="609"/>
      <c r="H20" s="610"/>
    </row>
    <row r="21" spans="1:8" x14ac:dyDescent="0.25">
      <c r="A21" s="608"/>
      <c r="B21" s="609"/>
      <c r="C21" s="609"/>
      <c r="D21" s="609"/>
      <c r="E21" s="609"/>
      <c r="F21" s="609"/>
      <c r="G21" s="609"/>
      <c r="H21" s="610"/>
    </row>
    <row r="22" spans="1:8" x14ac:dyDescent="0.25">
      <c r="A22" s="608"/>
      <c r="B22" s="609"/>
      <c r="C22" s="609"/>
      <c r="D22" s="609"/>
      <c r="E22" s="609"/>
      <c r="F22" s="609"/>
      <c r="G22" s="609"/>
      <c r="H22" s="610"/>
    </row>
    <row r="23" spans="1:8" x14ac:dyDescent="0.25">
      <c r="A23" s="608"/>
      <c r="B23" s="609"/>
      <c r="C23" s="609"/>
      <c r="D23" s="609"/>
      <c r="E23" s="609"/>
      <c r="F23" s="609"/>
      <c r="G23" s="609"/>
      <c r="H23" s="610"/>
    </row>
    <row r="24" spans="1:8" x14ac:dyDescent="0.25">
      <c r="A24" s="608"/>
      <c r="B24" s="609"/>
      <c r="C24" s="609"/>
      <c r="D24" s="609"/>
      <c r="E24" s="609"/>
      <c r="F24" s="609"/>
      <c r="G24" s="609"/>
      <c r="H24" s="610"/>
    </row>
    <row r="25" spans="1:8" x14ac:dyDescent="0.25">
      <c r="A25" s="608"/>
      <c r="B25" s="609"/>
      <c r="C25" s="609"/>
      <c r="D25" s="609"/>
      <c r="E25" s="609"/>
      <c r="F25" s="609"/>
      <c r="G25" s="609"/>
      <c r="H25" s="610"/>
    </row>
    <row r="26" spans="1:8" x14ac:dyDescent="0.25">
      <c r="A26" s="608"/>
      <c r="B26" s="609"/>
      <c r="C26" s="609"/>
      <c r="D26" s="609"/>
      <c r="E26" s="609"/>
      <c r="F26" s="609"/>
      <c r="G26" s="609"/>
      <c r="H26" s="610"/>
    </row>
    <row r="27" spans="1:8" x14ac:dyDescent="0.25">
      <c r="A27" s="608"/>
      <c r="B27" s="609"/>
      <c r="C27" s="609"/>
      <c r="D27" s="609"/>
      <c r="E27" s="609"/>
      <c r="F27" s="609"/>
      <c r="G27" s="609"/>
      <c r="H27" s="610"/>
    </row>
    <row r="28" spans="1:8" x14ac:dyDescent="0.25">
      <c r="A28" s="608"/>
      <c r="B28" s="609"/>
      <c r="C28" s="609"/>
      <c r="D28" s="609"/>
      <c r="E28" s="609"/>
      <c r="F28" s="609"/>
      <c r="G28" s="609"/>
      <c r="H28" s="610"/>
    </row>
    <row r="29" spans="1:8" x14ac:dyDescent="0.25">
      <c r="A29" s="608"/>
      <c r="B29" s="609"/>
      <c r="C29" s="609"/>
      <c r="D29" s="609"/>
      <c r="E29" s="609"/>
      <c r="F29" s="609"/>
      <c r="G29" s="609"/>
      <c r="H29" s="610"/>
    </row>
    <row r="30" spans="1:8" x14ac:dyDescent="0.25">
      <c r="A30" s="608"/>
      <c r="B30" s="609"/>
      <c r="C30" s="609"/>
      <c r="D30" s="609"/>
      <c r="E30" s="609"/>
      <c r="F30" s="609"/>
      <c r="G30" s="609"/>
      <c r="H30" s="610"/>
    </row>
    <row r="31" spans="1:8" x14ac:dyDescent="0.25">
      <c r="A31" s="608"/>
      <c r="B31" s="609"/>
      <c r="C31" s="609"/>
      <c r="D31" s="609"/>
      <c r="E31" s="609"/>
      <c r="F31" s="609"/>
      <c r="G31" s="609"/>
      <c r="H31" s="610"/>
    </row>
    <row r="32" spans="1:8" x14ac:dyDescent="0.25">
      <c r="A32" s="608"/>
      <c r="B32" s="609"/>
      <c r="C32" s="609"/>
      <c r="D32" s="609"/>
      <c r="E32" s="609"/>
      <c r="F32" s="609"/>
      <c r="G32" s="609"/>
      <c r="H32" s="610"/>
    </row>
    <row r="33" spans="1:8" x14ac:dyDescent="0.25">
      <c r="A33" s="608"/>
      <c r="B33" s="609"/>
      <c r="C33" s="609"/>
      <c r="D33" s="609"/>
      <c r="E33" s="609"/>
      <c r="F33" s="609"/>
      <c r="G33" s="609"/>
      <c r="H33" s="610"/>
    </row>
    <row r="34" spans="1:8" x14ac:dyDescent="0.25">
      <c r="A34" s="608"/>
      <c r="B34" s="609"/>
      <c r="C34" s="609"/>
      <c r="D34" s="609"/>
      <c r="E34" s="609"/>
      <c r="F34" s="609"/>
      <c r="G34" s="609"/>
      <c r="H34" s="610"/>
    </row>
    <row r="35" spans="1:8" x14ac:dyDescent="0.25">
      <c r="A35" s="608"/>
      <c r="B35" s="609"/>
      <c r="C35" s="609"/>
      <c r="D35" s="609"/>
      <c r="E35" s="609"/>
      <c r="F35" s="609"/>
      <c r="G35" s="609"/>
      <c r="H35" s="610"/>
    </row>
    <row r="36" spans="1:8" x14ac:dyDescent="0.25">
      <c r="A36" s="608"/>
      <c r="B36" s="609"/>
      <c r="C36" s="609"/>
      <c r="D36" s="609"/>
      <c r="E36" s="609"/>
      <c r="F36" s="609"/>
      <c r="G36" s="609"/>
      <c r="H36" s="610"/>
    </row>
    <row r="37" spans="1:8" ht="15.75" thickBot="1" x14ac:dyDescent="0.3">
      <c r="A37" s="611"/>
      <c r="B37" s="612"/>
      <c r="C37" s="612"/>
      <c r="D37" s="612"/>
      <c r="E37" s="612"/>
      <c r="F37" s="612"/>
      <c r="G37" s="612"/>
      <c r="H37" s="613"/>
    </row>
    <row r="42" spans="1:8" x14ac:dyDescent="0.25">
      <c r="A42" s="609"/>
      <c r="B42" s="609"/>
      <c r="C42" s="609"/>
      <c r="D42" s="609"/>
      <c r="E42" s="609"/>
      <c r="F42" s="609"/>
      <c r="G42" s="609"/>
      <c r="H42" s="609"/>
    </row>
    <row r="43" spans="1:8" s="90" customFormat="1" x14ac:dyDescent="0.25">
      <c r="A43" s="371"/>
      <c r="B43" s="371"/>
      <c r="C43" s="371"/>
      <c r="D43" s="372"/>
      <c r="E43" s="373"/>
    </row>
    <row r="44" spans="1:8" s="90" customFormat="1" x14ac:dyDescent="0.25">
      <c r="A44" s="371"/>
      <c r="B44" s="371"/>
      <c r="C44" s="371"/>
      <c r="D44" s="372"/>
      <c r="E44" s="373"/>
    </row>
    <row r="45" spans="1:8" s="90" customFormat="1" x14ac:dyDescent="0.25">
      <c r="A45" s="371"/>
      <c r="B45" s="371"/>
      <c r="C45" s="371"/>
      <c r="D45" s="372"/>
      <c r="E45" s="373"/>
    </row>
    <row r="46" spans="1:8" s="90" customFormat="1" x14ac:dyDescent="0.25">
      <c r="A46" s="371"/>
      <c r="B46" s="371"/>
      <c r="C46" s="371"/>
      <c r="D46" s="372"/>
      <c r="E46" s="373"/>
    </row>
    <row r="47" spans="1:8" s="90" customFormat="1" x14ac:dyDescent="0.25"/>
  </sheetData>
  <mergeCells count="4">
    <mergeCell ref="A1:H1"/>
    <mergeCell ref="A2:H2"/>
    <mergeCell ref="A3:H3"/>
    <mergeCell ref="A8:H8"/>
  </mergeCells>
  <pageMargins left="0.70866141732283472" right="0.70866141732283472" top="0.74803149606299213" bottom="0.39370078740157483" header="0.31496062992125984" footer="0.31496062992125984"/>
  <pageSetup scale="98" fitToHeight="0" orientation="portrait" r:id="rId1"/>
  <headerFooter>
    <oddHeader>&amp;L&amp;"Arial,Normal"&amp;8Estados e Información Contable
Notas de Gestión Administrativa&amp;R&amp;"Arial,Normal"&amp;8 7.GA.12</oddHead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1"/>
  <sheetViews>
    <sheetView view="pageBreakPreview" zoomScale="60" zoomScaleNormal="100" workbookViewId="0">
      <selection sqref="A1:H1"/>
    </sheetView>
  </sheetViews>
  <sheetFormatPr baseColWidth="10" defaultRowHeight="15" x14ac:dyDescent="0.25"/>
  <sheetData>
    <row r="1" spans="1:8" x14ac:dyDescent="0.25">
      <c r="A1" s="1294" t="s">
        <v>566</v>
      </c>
      <c r="B1" s="1294"/>
      <c r="C1" s="1294"/>
      <c r="D1" s="1294"/>
      <c r="E1" s="1294"/>
      <c r="F1" s="1294"/>
      <c r="G1" s="1294"/>
      <c r="H1" s="1294"/>
    </row>
    <row r="2" spans="1:8" x14ac:dyDescent="0.25">
      <c r="A2" s="1294" t="s">
        <v>2429</v>
      </c>
      <c r="B2" s="1294"/>
      <c r="C2" s="1294"/>
      <c r="D2" s="1294"/>
      <c r="E2" s="1294"/>
      <c r="F2" s="1294"/>
      <c r="G2" s="1294"/>
      <c r="H2" s="1294"/>
    </row>
    <row r="3" spans="1:8" x14ac:dyDescent="0.25">
      <c r="A3" s="1294" t="s">
        <v>2438</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608"/>
      <c r="B6" s="609"/>
      <c r="C6" s="609"/>
      <c r="D6" s="609"/>
      <c r="E6" s="609"/>
      <c r="F6" s="609"/>
      <c r="G6" s="609"/>
      <c r="H6" s="610"/>
    </row>
    <row r="7" spans="1:8" x14ac:dyDescent="0.25">
      <c r="A7" s="608"/>
      <c r="B7" s="609"/>
      <c r="C7" s="609"/>
      <c r="D7" s="609"/>
      <c r="E7" s="609"/>
      <c r="F7" s="609"/>
      <c r="G7" s="609"/>
      <c r="H7" s="610"/>
    </row>
    <row r="8" spans="1:8" x14ac:dyDescent="0.25">
      <c r="A8" s="608"/>
      <c r="B8" s="609"/>
      <c r="C8" s="609"/>
      <c r="D8" s="609"/>
      <c r="E8" s="609"/>
      <c r="F8" s="609"/>
      <c r="G8" s="609"/>
      <c r="H8" s="610"/>
    </row>
    <row r="9" spans="1:8" ht="39" customHeight="1" x14ac:dyDescent="0.25">
      <c r="A9" s="1344" t="s">
        <v>7575</v>
      </c>
      <c r="B9" s="1345"/>
      <c r="C9" s="1345"/>
      <c r="D9" s="1345"/>
      <c r="E9" s="1345"/>
      <c r="F9" s="1345"/>
      <c r="G9" s="1345"/>
      <c r="H9" s="1346"/>
    </row>
    <row r="10" spans="1:8" x14ac:dyDescent="0.25">
      <c r="A10" s="753"/>
      <c r="B10" s="754"/>
      <c r="C10" s="754"/>
      <c r="D10" s="754"/>
      <c r="E10" s="754"/>
      <c r="F10" s="754"/>
      <c r="G10" s="754"/>
      <c r="H10" s="755"/>
    </row>
    <row r="11" spans="1:8" ht="58.5" customHeight="1" x14ac:dyDescent="0.25">
      <c r="A11" s="1344" t="s">
        <v>7576</v>
      </c>
      <c r="B11" s="1345"/>
      <c r="C11" s="1345"/>
      <c r="D11" s="1345"/>
      <c r="E11" s="1345"/>
      <c r="F11" s="1345"/>
      <c r="G11" s="1345"/>
      <c r="H11" s="1346"/>
    </row>
    <row r="12" spans="1:8" x14ac:dyDescent="0.25">
      <c r="A12" s="753"/>
      <c r="B12" s="754"/>
      <c r="C12" s="754"/>
      <c r="D12" s="754"/>
      <c r="E12" s="754"/>
      <c r="F12" s="754"/>
      <c r="G12" s="754"/>
      <c r="H12" s="755"/>
    </row>
    <row r="13" spans="1:8" ht="42" customHeight="1" x14ac:dyDescent="0.25">
      <c r="A13" s="1344" t="s">
        <v>7565</v>
      </c>
      <c r="B13" s="1345"/>
      <c r="C13" s="1345"/>
      <c r="D13" s="1345"/>
      <c r="E13" s="1345"/>
      <c r="F13" s="1345"/>
      <c r="G13" s="1345"/>
      <c r="H13" s="1346"/>
    </row>
    <row r="14" spans="1:8" x14ac:dyDescent="0.25">
      <c r="A14" s="753"/>
      <c r="B14" s="754"/>
      <c r="C14" s="754"/>
      <c r="D14" s="754"/>
      <c r="E14" s="754"/>
      <c r="F14" s="754"/>
      <c r="G14" s="754"/>
      <c r="H14" s="755"/>
    </row>
    <row r="15" spans="1:8" ht="44.25" customHeight="1" x14ac:dyDescent="0.25">
      <c r="A15" s="1344" t="s">
        <v>7577</v>
      </c>
      <c r="B15" s="1345"/>
      <c r="C15" s="1345"/>
      <c r="D15" s="1345"/>
      <c r="E15" s="1345"/>
      <c r="F15" s="1345"/>
      <c r="G15" s="1345"/>
      <c r="H15" s="1346"/>
    </row>
    <row r="16" spans="1:8" x14ac:dyDescent="0.25">
      <c r="A16" s="753"/>
      <c r="B16" s="754"/>
      <c r="C16" s="754"/>
      <c r="D16" s="754"/>
      <c r="E16" s="754"/>
      <c r="F16" s="754"/>
      <c r="G16" s="754"/>
      <c r="H16" s="755"/>
    </row>
    <row r="17" spans="1:8" x14ac:dyDescent="0.25">
      <c r="A17" s="753"/>
      <c r="B17" s="754"/>
      <c r="C17" s="754"/>
      <c r="D17" s="754"/>
      <c r="E17" s="754"/>
      <c r="F17" s="754"/>
      <c r="G17" s="754"/>
      <c r="H17" s="755"/>
    </row>
    <row r="18" spans="1:8" x14ac:dyDescent="0.25">
      <c r="A18" s="608"/>
      <c r="B18" s="609"/>
      <c r="C18" s="609"/>
      <c r="D18" s="609"/>
      <c r="E18" s="609"/>
      <c r="F18" s="609"/>
      <c r="G18" s="609"/>
      <c r="H18" s="610"/>
    </row>
    <row r="19" spans="1:8" x14ac:dyDescent="0.25">
      <c r="A19" s="608"/>
      <c r="B19" s="609"/>
      <c r="C19" s="609"/>
      <c r="D19" s="609"/>
      <c r="E19" s="609"/>
      <c r="F19" s="609"/>
      <c r="G19" s="609"/>
      <c r="H19" s="610"/>
    </row>
    <row r="20" spans="1:8" x14ac:dyDescent="0.25">
      <c r="A20" s="608"/>
      <c r="B20" s="609"/>
      <c r="C20" s="609"/>
      <c r="D20" s="609"/>
      <c r="E20" s="609"/>
      <c r="F20" s="609"/>
      <c r="G20" s="609"/>
      <c r="H20" s="610"/>
    </row>
    <row r="21" spans="1:8" x14ac:dyDescent="0.25">
      <c r="A21" s="608"/>
      <c r="B21" s="609"/>
      <c r="C21" s="609"/>
      <c r="D21" s="609"/>
      <c r="E21" s="609"/>
      <c r="F21" s="609"/>
      <c r="G21" s="609"/>
      <c r="H21" s="610"/>
    </row>
    <row r="22" spans="1:8" x14ac:dyDescent="0.25">
      <c r="A22" s="608"/>
      <c r="B22" s="609"/>
      <c r="C22" s="609"/>
      <c r="D22" s="609"/>
      <c r="E22" s="609"/>
      <c r="F22" s="609"/>
      <c r="G22" s="609"/>
      <c r="H22" s="610"/>
    </row>
    <row r="23" spans="1:8" x14ac:dyDescent="0.25">
      <c r="A23" s="608"/>
      <c r="B23" s="609"/>
      <c r="C23" s="609"/>
      <c r="D23" s="609"/>
      <c r="E23" s="609"/>
      <c r="F23" s="609"/>
      <c r="G23" s="609"/>
      <c r="H23" s="610"/>
    </row>
    <row r="24" spans="1:8" x14ac:dyDescent="0.25">
      <c r="A24" s="608"/>
      <c r="B24" s="609"/>
      <c r="C24" s="609"/>
      <c r="D24" s="609"/>
      <c r="E24" s="609"/>
      <c r="F24" s="609"/>
      <c r="G24" s="609"/>
      <c r="H24" s="610"/>
    </row>
    <row r="25" spans="1:8" x14ac:dyDescent="0.25">
      <c r="A25" s="608"/>
      <c r="B25" s="609"/>
      <c r="C25" s="609"/>
      <c r="D25" s="609"/>
      <c r="E25" s="609"/>
      <c r="F25" s="609"/>
      <c r="G25" s="609"/>
      <c r="H25" s="610"/>
    </row>
    <row r="26" spans="1:8" x14ac:dyDescent="0.25">
      <c r="A26" s="608"/>
      <c r="B26" s="609"/>
      <c r="C26" s="609"/>
      <c r="D26" s="609"/>
      <c r="E26" s="609"/>
      <c r="F26" s="609"/>
      <c r="G26" s="609"/>
      <c r="H26" s="610"/>
    </row>
    <row r="27" spans="1:8" x14ac:dyDescent="0.25">
      <c r="A27" s="608"/>
      <c r="B27" s="609"/>
      <c r="C27" s="609"/>
      <c r="D27" s="609"/>
      <c r="E27" s="609"/>
      <c r="F27" s="609"/>
      <c r="G27" s="609"/>
      <c r="H27" s="610"/>
    </row>
    <row r="28" spans="1:8" x14ac:dyDescent="0.25">
      <c r="A28" s="608"/>
      <c r="B28" s="609"/>
      <c r="C28" s="609"/>
      <c r="D28" s="609"/>
      <c r="E28" s="609"/>
      <c r="F28" s="609"/>
      <c r="G28" s="609"/>
      <c r="H28" s="610"/>
    </row>
    <row r="29" spans="1:8" x14ac:dyDescent="0.25">
      <c r="A29" s="608"/>
      <c r="B29" s="609"/>
      <c r="C29" s="609"/>
      <c r="D29" s="609"/>
      <c r="E29" s="609"/>
      <c r="F29" s="609"/>
      <c r="G29" s="609"/>
      <c r="H29" s="610"/>
    </row>
    <row r="30" spans="1:8" x14ac:dyDescent="0.25">
      <c r="A30" s="608"/>
      <c r="B30" s="609"/>
      <c r="C30" s="609"/>
      <c r="D30" s="609"/>
      <c r="E30" s="609"/>
      <c r="F30" s="609"/>
      <c r="G30" s="609"/>
      <c r="H30" s="610"/>
    </row>
    <row r="31" spans="1:8" x14ac:dyDescent="0.25">
      <c r="A31" s="608"/>
      <c r="B31" s="609"/>
      <c r="C31" s="609"/>
      <c r="D31" s="609"/>
      <c r="E31" s="609"/>
      <c r="F31" s="609"/>
      <c r="G31" s="609"/>
      <c r="H31" s="610"/>
    </row>
    <row r="32" spans="1:8" ht="15.75" thickBot="1" x14ac:dyDescent="0.3">
      <c r="A32" s="611"/>
      <c r="B32" s="612"/>
      <c r="C32" s="612"/>
      <c r="D32" s="612"/>
      <c r="E32" s="612"/>
      <c r="F32" s="612"/>
      <c r="G32" s="612"/>
      <c r="H32" s="613"/>
    </row>
    <row r="37" spans="1:5" s="90" customFormat="1" x14ac:dyDescent="0.25">
      <c r="A37" s="371"/>
      <c r="B37" s="371"/>
      <c r="C37" s="371"/>
      <c r="D37" s="372"/>
      <c r="E37" s="373"/>
    </row>
    <row r="38" spans="1:5" s="90" customFormat="1" x14ac:dyDescent="0.25">
      <c r="A38" s="371"/>
      <c r="B38" s="371"/>
      <c r="C38" s="371"/>
      <c r="D38" s="372"/>
      <c r="E38" s="373"/>
    </row>
    <row r="39" spans="1:5" s="90" customFormat="1" x14ac:dyDescent="0.25">
      <c r="A39" s="371"/>
      <c r="B39" s="371"/>
      <c r="C39" s="371"/>
      <c r="D39" s="372"/>
      <c r="E39" s="373"/>
    </row>
    <row r="40" spans="1:5" s="90" customFormat="1" x14ac:dyDescent="0.25">
      <c r="A40" s="371"/>
      <c r="B40" s="371"/>
      <c r="C40" s="371"/>
      <c r="D40" s="372"/>
      <c r="E40" s="373"/>
    </row>
    <row r="41" spans="1:5" s="90" customFormat="1" x14ac:dyDescent="0.25"/>
  </sheetData>
  <mergeCells count="7">
    <mergeCell ref="A11:H11"/>
    <mergeCell ref="A13:H13"/>
    <mergeCell ref="A15:H15"/>
    <mergeCell ref="A1:H1"/>
    <mergeCell ref="A2:H2"/>
    <mergeCell ref="A3:H3"/>
    <mergeCell ref="A9:H9"/>
  </mergeCells>
  <pageMargins left="0.70866141732283472" right="0.70866141732283472" top="0.74803149606299213" bottom="0.39370078740157483" header="0.31496062992125984" footer="0.31496062992125984"/>
  <pageSetup scale="98" fitToHeight="0" orientation="portrait" r:id="rId1"/>
  <headerFooter>
    <oddHeader>&amp;L&amp;"Arial,Normal"&amp;8Estados e Información Contable
Notas de Gestión Administrativa&amp;R&amp;"Arial,Normal"&amp;8 7.GA.13</oddHead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7"/>
  <sheetViews>
    <sheetView view="pageBreakPreview" zoomScale="60" zoomScaleNormal="100" workbookViewId="0">
      <selection activeCell="K59" sqref="K58:K59"/>
    </sheetView>
  </sheetViews>
  <sheetFormatPr baseColWidth="10" defaultRowHeight="15" x14ac:dyDescent="0.25"/>
  <sheetData>
    <row r="1" spans="1:8" x14ac:dyDescent="0.25">
      <c r="A1" s="1294" t="s">
        <v>566</v>
      </c>
      <c r="B1" s="1294"/>
      <c r="C1" s="1294"/>
      <c r="D1" s="1294"/>
      <c r="E1" s="1294"/>
      <c r="F1" s="1294"/>
      <c r="G1" s="1294"/>
      <c r="H1" s="1294"/>
    </row>
    <row r="2" spans="1:8" x14ac:dyDescent="0.25">
      <c r="A2" s="1294" t="s">
        <v>2429</v>
      </c>
      <c r="B2" s="1294"/>
      <c r="C2" s="1294"/>
      <c r="D2" s="1294"/>
      <c r="E2" s="1294"/>
      <c r="F2" s="1294"/>
      <c r="G2" s="1294"/>
      <c r="H2" s="1294"/>
    </row>
    <row r="3" spans="1:8" x14ac:dyDescent="0.25">
      <c r="A3" s="1294" t="s">
        <v>2439</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608"/>
      <c r="B6" s="609"/>
      <c r="C6" s="609"/>
      <c r="D6" s="609"/>
      <c r="E6" s="609"/>
      <c r="F6" s="609"/>
      <c r="G6" s="609"/>
      <c r="H6" s="610"/>
    </row>
    <row r="7" spans="1:8" x14ac:dyDescent="0.25">
      <c r="A7" s="608"/>
      <c r="B7" s="609"/>
      <c r="C7" s="609"/>
      <c r="D7" s="609"/>
      <c r="E7" s="609"/>
      <c r="F7" s="609"/>
      <c r="G7" s="609"/>
      <c r="H7" s="610"/>
    </row>
    <row r="8" spans="1:8" ht="37.5" customHeight="1" x14ac:dyDescent="0.25">
      <c r="A8" s="1344" t="s">
        <v>7578</v>
      </c>
      <c r="B8" s="1345"/>
      <c r="C8" s="1345"/>
      <c r="D8" s="1345"/>
      <c r="E8" s="1345"/>
      <c r="F8" s="1345"/>
      <c r="G8" s="1345"/>
      <c r="H8" s="1346"/>
    </row>
    <row r="9" spans="1:8" x14ac:dyDescent="0.25">
      <c r="A9" s="608"/>
      <c r="B9" s="609"/>
      <c r="C9" s="609"/>
      <c r="D9" s="609"/>
      <c r="E9" s="609"/>
      <c r="F9" s="609"/>
      <c r="G9" s="609"/>
      <c r="H9" s="610"/>
    </row>
    <row r="10" spans="1:8" x14ac:dyDescent="0.25">
      <c r="A10" s="608"/>
      <c r="B10" s="609"/>
      <c r="C10" s="609"/>
      <c r="D10" s="609"/>
      <c r="E10" s="609"/>
      <c r="F10" s="609"/>
      <c r="G10" s="609"/>
      <c r="H10" s="610"/>
    </row>
    <row r="11" spans="1:8" x14ac:dyDescent="0.25">
      <c r="A11" s="608"/>
      <c r="B11" s="609"/>
      <c r="C11" s="609"/>
      <c r="D11" s="609"/>
      <c r="E11" s="609"/>
      <c r="F11" s="609"/>
      <c r="G11" s="609"/>
      <c r="H11" s="610"/>
    </row>
    <row r="12" spans="1:8" x14ac:dyDescent="0.25">
      <c r="A12" s="608"/>
      <c r="B12" s="609"/>
      <c r="C12" s="609"/>
      <c r="D12" s="609"/>
      <c r="E12" s="609"/>
      <c r="F12" s="609"/>
      <c r="G12" s="609"/>
      <c r="H12" s="610"/>
    </row>
    <row r="13" spans="1:8" x14ac:dyDescent="0.25">
      <c r="A13" s="608"/>
      <c r="B13" s="609"/>
      <c r="C13" s="609"/>
      <c r="D13" s="609"/>
      <c r="E13" s="609"/>
      <c r="F13" s="609"/>
      <c r="G13" s="609"/>
      <c r="H13" s="610"/>
    </row>
    <row r="14" spans="1:8" x14ac:dyDescent="0.25">
      <c r="A14" s="608"/>
      <c r="B14" s="609"/>
      <c r="C14" s="609"/>
      <c r="D14" s="609"/>
      <c r="E14" s="609"/>
      <c r="F14" s="609"/>
      <c r="G14" s="609"/>
      <c r="H14" s="610"/>
    </row>
    <row r="15" spans="1:8" x14ac:dyDescent="0.25">
      <c r="A15" s="608"/>
      <c r="B15" s="609"/>
      <c r="C15" s="609"/>
      <c r="D15" s="609"/>
      <c r="E15" s="609"/>
      <c r="F15" s="609"/>
      <c r="G15" s="609"/>
      <c r="H15" s="610"/>
    </row>
    <row r="16" spans="1:8" x14ac:dyDescent="0.25">
      <c r="A16" s="608"/>
      <c r="B16" s="609"/>
      <c r="C16" s="609"/>
      <c r="D16" s="609"/>
      <c r="E16" s="609"/>
      <c r="F16" s="609"/>
      <c r="G16" s="609"/>
      <c r="H16" s="610"/>
    </row>
    <row r="17" spans="1:8" x14ac:dyDescent="0.25">
      <c r="A17" s="608"/>
      <c r="B17" s="609"/>
      <c r="C17" s="609"/>
      <c r="D17" s="609"/>
      <c r="E17" s="609"/>
      <c r="F17" s="609"/>
      <c r="G17" s="609"/>
      <c r="H17" s="610"/>
    </row>
    <row r="18" spans="1:8" x14ac:dyDescent="0.25">
      <c r="A18" s="608"/>
      <c r="B18" s="609"/>
      <c r="C18" s="609"/>
      <c r="D18" s="609"/>
      <c r="E18" s="609"/>
      <c r="F18" s="609"/>
      <c r="G18" s="609"/>
      <c r="H18" s="610"/>
    </row>
    <row r="19" spans="1:8" x14ac:dyDescent="0.25">
      <c r="A19" s="608"/>
      <c r="B19" s="609"/>
      <c r="C19" s="609"/>
      <c r="D19" s="609"/>
      <c r="E19" s="609"/>
      <c r="F19" s="609"/>
      <c r="G19" s="609"/>
      <c r="H19" s="610"/>
    </row>
    <row r="20" spans="1:8" x14ac:dyDescent="0.25">
      <c r="A20" s="608"/>
      <c r="B20" s="609"/>
      <c r="C20" s="609"/>
      <c r="D20" s="609"/>
      <c r="E20" s="609"/>
      <c r="F20" s="609"/>
      <c r="G20" s="609"/>
      <c r="H20" s="610"/>
    </row>
    <row r="21" spans="1:8" x14ac:dyDescent="0.25">
      <c r="A21" s="608"/>
      <c r="B21" s="609"/>
      <c r="C21" s="609"/>
      <c r="D21" s="609"/>
      <c r="E21" s="609"/>
      <c r="F21" s="609"/>
      <c r="G21" s="609"/>
      <c r="H21" s="610"/>
    </row>
    <row r="22" spans="1:8" x14ac:dyDescent="0.25">
      <c r="A22" s="608"/>
      <c r="B22" s="609"/>
      <c r="C22" s="609"/>
      <c r="D22" s="609"/>
      <c r="E22" s="609"/>
      <c r="F22" s="609"/>
      <c r="G22" s="609"/>
      <c r="H22" s="610"/>
    </row>
    <row r="23" spans="1:8" x14ac:dyDescent="0.25">
      <c r="A23" s="608"/>
      <c r="B23" s="609"/>
      <c r="C23" s="609"/>
      <c r="D23" s="609"/>
      <c r="E23" s="609"/>
      <c r="F23" s="609"/>
      <c r="G23" s="609"/>
      <c r="H23" s="610"/>
    </row>
    <row r="24" spans="1:8" x14ac:dyDescent="0.25">
      <c r="A24" s="608"/>
      <c r="B24" s="609"/>
      <c r="C24" s="609"/>
      <c r="D24" s="609"/>
      <c r="E24" s="609"/>
      <c r="F24" s="609"/>
      <c r="G24" s="609"/>
      <c r="H24" s="610"/>
    </row>
    <row r="25" spans="1:8" x14ac:dyDescent="0.25">
      <c r="A25" s="608"/>
      <c r="B25" s="609"/>
      <c r="C25" s="609"/>
      <c r="D25" s="609"/>
      <c r="E25" s="609"/>
      <c r="F25" s="609"/>
      <c r="G25" s="609"/>
      <c r="H25" s="610"/>
    </row>
    <row r="26" spans="1:8" x14ac:dyDescent="0.25">
      <c r="A26" s="608"/>
      <c r="B26" s="609"/>
      <c r="C26" s="609"/>
      <c r="D26" s="609"/>
      <c r="E26" s="609"/>
      <c r="F26" s="609"/>
      <c r="G26" s="609"/>
      <c r="H26" s="610"/>
    </row>
    <row r="27" spans="1:8" x14ac:dyDescent="0.25">
      <c r="A27" s="608"/>
      <c r="B27" s="609"/>
      <c r="C27" s="609"/>
      <c r="D27" s="609"/>
      <c r="E27" s="609"/>
      <c r="F27" s="609"/>
      <c r="G27" s="609"/>
      <c r="H27" s="610"/>
    </row>
    <row r="28" spans="1:8" x14ac:dyDescent="0.25">
      <c r="A28" s="608"/>
      <c r="B28" s="609"/>
      <c r="C28" s="609"/>
      <c r="D28" s="609"/>
      <c r="E28" s="609"/>
      <c r="F28" s="609"/>
      <c r="G28" s="609"/>
      <c r="H28" s="610"/>
    </row>
    <row r="29" spans="1:8" x14ac:dyDescent="0.25">
      <c r="A29" s="608"/>
      <c r="B29" s="609"/>
      <c r="C29" s="609"/>
      <c r="D29" s="609"/>
      <c r="E29" s="609"/>
      <c r="F29" s="609"/>
      <c r="G29" s="609"/>
      <c r="H29" s="610"/>
    </row>
    <row r="30" spans="1:8" x14ac:dyDescent="0.25">
      <c r="A30" s="608"/>
      <c r="B30" s="609"/>
      <c r="C30" s="609"/>
      <c r="D30" s="609"/>
      <c r="E30" s="609"/>
      <c r="F30" s="609"/>
      <c r="G30" s="609"/>
      <c r="H30" s="610"/>
    </row>
    <row r="31" spans="1:8" x14ac:dyDescent="0.25">
      <c r="A31" s="608"/>
      <c r="B31" s="609"/>
      <c r="C31" s="609"/>
      <c r="D31" s="609"/>
      <c r="E31" s="609"/>
      <c r="F31" s="609"/>
      <c r="G31" s="609"/>
      <c r="H31" s="610"/>
    </row>
    <row r="32" spans="1:8" x14ac:dyDescent="0.25">
      <c r="A32" s="608"/>
      <c r="B32" s="609"/>
      <c r="C32" s="609"/>
      <c r="D32" s="609"/>
      <c r="E32" s="609"/>
      <c r="F32" s="609"/>
      <c r="G32" s="609"/>
      <c r="H32" s="610"/>
    </row>
    <row r="33" spans="1:8" x14ac:dyDescent="0.25">
      <c r="A33" s="608"/>
      <c r="B33" s="609"/>
      <c r="C33" s="609"/>
      <c r="D33" s="609"/>
      <c r="E33" s="609"/>
      <c r="F33" s="609"/>
      <c r="G33" s="609"/>
      <c r="H33" s="610"/>
    </row>
    <row r="34" spans="1:8" x14ac:dyDescent="0.25">
      <c r="A34" s="608"/>
      <c r="B34" s="609"/>
      <c r="C34" s="609"/>
      <c r="D34" s="609"/>
      <c r="E34" s="609"/>
      <c r="F34" s="609"/>
      <c r="G34" s="609"/>
      <c r="H34" s="610"/>
    </row>
    <row r="35" spans="1:8" x14ac:dyDescent="0.25">
      <c r="A35" s="608"/>
      <c r="B35" s="609"/>
      <c r="C35" s="609"/>
      <c r="D35" s="609"/>
      <c r="E35" s="609"/>
      <c r="F35" s="609"/>
      <c r="G35" s="609"/>
      <c r="H35" s="610"/>
    </row>
    <row r="36" spans="1:8" x14ac:dyDescent="0.25">
      <c r="A36" s="608"/>
      <c r="B36" s="609"/>
      <c r="C36" s="609"/>
      <c r="D36" s="609"/>
      <c r="E36" s="609"/>
      <c r="F36" s="609"/>
      <c r="G36" s="609"/>
      <c r="H36" s="610"/>
    </row>
    <row r="37" spans="1:8" ht="15.75" thickBot="1" x14ac:dyDescent="0.3">
      <c r="A37" s="611"/>
      <c r="B37" s="612"/>
      <c r="C37" s="612"/>
      <c r="D37" s="612"/>
      <c r="E37" s="612"/>
      <c r="F37" s="612"/>
      <c r="G37" s="612"/>
      <c r="H37" s="613"/>
    </row>
    <row r="43" spans="1:8" s="90" customFormat="1" x14ac:dyDescent="0.25">
      <c r="A43" s="371"/>
      <c r="B43" s="371"/>
      <c r="C43" s="371"/>
      <c r="D43" s="372"/>
      <c r="E43" s="373"/>
    </row>
    <row r="44" spans="1:8" s="90" customFormat="1" x14ac:dyDescent="0.25">
      <c r="A44" s="371"/>
      <c r="B44" s="371"/>
      <c r="C44" s="371"/>
      <c r="D44" s="372"/>
      <c r="E44" s="373"/>
    </row>
    <row r="45" spans="1:8" s="90" customFormat="1" x14ac:dyDescent="0.25">
      <c r="A45" s="371"/>
      <c r="B45" s="371"/>
      <c r="C45" s="371"/>
      <c r="D45" s="372"/>
      <c r="E45" s="373"/>
    </row>
    <row r="46" spans="1:8" s="90" customFormat="1" x14ac:dyDescent="0.25">
      <c r="A46" s="371"/>
      <c r="B46" s="371"/>
      <c r="C46" s="371"/>
      <c r="D46" s="372"/>
      <c r="E46" s="373"/>
    </row>
    <row r="47" spans="1:8" s="90" customFormat="1" x14ac:dyDescent="0.25"/>
  </sheetData>
  <mergeCells count="4">
    <mergeCell ref="A1:H1"/>
    <mergeCell ref="A2:H2"/>
    <mergeCell ref="A3:H3"/>
    <mergeCell ref="A8:H8"/>
  </mergeCells>
  <pageMargins left="0.70866141732283472" right="0.70866141732283472" top="0.74803149606299213" bottom="0.39370078740157483" header="0.31496062992125984" footer="0.31496062992125984"/>
  <pageSetup scale="98" fitToHeight="0" orientation="portrait" r:id="rId1"/>
  <headerFooter>
    <oddHeader>&amp;L&amp;"Arial,Normal"&amp;8Estados e Información Contable
Notas de Gestión Administrativa&amp;R&amp;"Arial,Normal"&amp;8 7.GA.14</oddHead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7"/>
  <sheetViews>
    <sheetView view="pageBreakPreview" zoomScale="60" zoomScaleNormal="100" workbookViewId="0">
      <selection sqref="A1:H1"/>
    </sheetView>
  </sheetViews>
  <sheetFormatPr baseColWidth="10" defaultRowHeight="15" x14ac:dyDescent="0.25"/>
  <sheetData>
    <row r="1" spans="1:8" x14ac:dyDescent="0.25">
      <c r="A1" s="1294" t="s">
        <v>566</v>
      </c>
      <c r="B1" s="1294"/>
      <c r="C1" s="1294"/>
      <c r="D1" s="1294"/>
      <c r="E1" s="1294"/>
      <c r="F1" s="1294"/>
      <c r="G1" s="1294"/>
      <c r="H1" s="1294"/>
    </row>
    <row r="2" spans="1:8" x14ac:dyDescent="0.25">
      <c r="A2" s="1294" t="s">
        <v>2429</v>
      </c>
      <c r="B2" s="1294"/>
      <c r="C2" s="1294"/>
      <c r="D2" s="1294"/>
      <c r="E2" s="1294"/>
      <c r="F2" s="1294"/>
      <c r="G2" s="1294"/>
      <c r="H2" s="1294"/>
    </row>
    <row r="3" spans="1:8" x14ac:dyDescent="0.25">
      <c r="A3" s="1294" t="s">
        <v>2440</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608"/>
      <c r="B6" s="609"/>
      <c r="C6" s="609"/>
      <c r="D6" s="609"/>
      <c r="E6" s="609"/>
      <c r="F6" s="609"/>
      <c r="G6" s="609"/>
      <c r="H6" s="610"/>
    </row>
    <row r="7" spans="1:8" x14ac:dyDescent="0.25">
      <c r="A7" s="608"/>
      <c r="B7" s="609"/>
      <c r="C7" s="609"/>
      <c r="D7" s="609"/>
      <c r="E7" s="609"/>
      <c r="F7" s="609"/>
      <c r="G7" s="609"/>
      <c r="H7" s="610"/>
    </row>
    <row r="8" spans="1:8" ht="27.75" customHeight="1" x14ac:dyDescent="0.25">
      <c r="A8" s="1344" t="s">
        <v>7579</v>
      </c>
      <c r="B8" s="1345"/>
      <c r="C8" s="1345"/>
      <c r="D8" s="1345"/>
      <c r="E8" s="1345"/>
      <c r="F8" s="1345"/>
      <c r="G8" s="1345"/>
      <c r="H8" s="1346"/>
    </row>
    <row r="9" spans="1:8" x14ac:dyDescent="0.25">
      <c r="A9" s="608"/>
      <c r="B9" s="609"/>
      <c r="C9" s="609"/>
      <c r="D9" s="609"/>
      <c r="E9" s="609"/>
      <c r="F9" s="609"/>
      <c r="G9" s="609"/>
      <c r="H9" s="610"/>
    </row>
    <row r="10" spans="1:8" x14ac:dyDescent="0.25">
      <c r="A10" s="608"/>
      <c r="B10" s="609"/>
      <c r="C10" s="609"/>
      <c r="D10" s="609"/>
      <c r="E10" s="609"/>
      <c r="F10" s="609"/>
      <c r="G10" s="609"/>
      <c r="H10" s="610"/>
    </row>
    <row r="11" spans="1:8" x14ac:dyDescent="0.25">
      <c r="A11" s="608"/>
      <c r="B11" s="609"/>
      <c r="C11" s="609"/>
      <c r="D11" s="609"/>
      <c r="E11" s="609"/>
      <c r="F11" s="609"/>
      <c r="G11" s="609"/>
      <c r="H11" s="610"/>
    </row>
    <row r="12" spans="1:8" x14ac:dyDescent="0.25">
      <c r="A12" s="608"/>
      <c r="B12" s="609"/>
      <c r="C12" s="609"/>
      <c r="D12" s="609"/>
      <c r="E12" s="609"/>
      <c r="F12" s="609"/>
      <c r="G12" s="609"/>
      <c r="H12" s="610"/>
    </row>
    <row r="13" spans="1:8" x14ac:dyDescent="0.25">
      <c r="A13" s="608"/>
      <c r="B13" s="609"/>
      <c r="C13" s="609"/>
      <c r="D13" s="609"/>
      <c r="E13" s="609"/>
      <c r="F13" s="609"/>
      <c r="G13" s="609"/>
      <c r="H13" s="610"/>
    </row>
    <row r="14" spans="1:8" x14ac:dyDescent="0.25">
      <c r="A14" s="608"/>
      <c r="B14" s="609"/>
      <c r="C14" s="609"/>
      <c r="D14" s="609"/>
      <c r="E14" s="609"/>
      <c r="F14" s="609"/>
      <c r="G14" s="609"/>
      <c r="H14" s="610"/>
    </row>
    <row r="15" spans="1:8" x14ac:dyDescent="0.25">
      <c r="A15" s="608"/>
      <c r="B15" s="609"/>
      <c r="C15" s="609"/>
      <c r="D15" s="609"/>
      <c r="E15" s="609"/>
      <c r="F15" s="609"/>
      <c r="G15" s="609"/>
      <c r="H15" s="610"/>
    </row>
    <row r="16" spans="1:8" x14ac:dyDescent="0.25">
      <c r="A16" s="608"/>
      <c r="B16" s="609"/>
      <c r="C16" s="609"/>
      <c r="D16" s="609"/>
      <c r="E16" s="609"/>
      <c r="F16" s="609"/>
      <c r="G16" s="609"/>
      <c r="H16" s="610"/>
    </row>
    <row r="17" spans="1:8" x14ac:dyDescent="0.25">
      <c r="A17" s="608"/>
      <c r="B17" s="609"/>
      <c r="C17" s="609"/>
      <c r="D17" s="609"/>
      <c r="E17" s="609"/>
      <c r="F17" s="609"/>
      <c r="G17" s="609"/>
      <c r="H17" s="610"/>
    </row>
    <row r="18" spans="1:8" x14ac:dyDescent="0.25">
      <c r="A18" s="608"/>
      <c r="B18" s="609"/>
      <c r="C18" s="609"/>
      <c r="D18" s="609"/>
      <c r="E18" s="609"/>
      <c r="F18" s="609"/>
      <c r="G18" s="609"/>
      <c r="H18" s="610"/>
    </row>
    <row r="19" spans="1:8" x14ac:dyDescent="0.25">
      <c r="A19" s="608"/>
      <c r="B19" s="609"/>
      <c r="C19" s="609"/>
      <c r="D19" s="609"/>
      <c r="E19" s="609"/>
      <c r="F19" s="609"/>
      <c r="G19" s="609"/>
      <c r="H19" s="610"/>
    </row>
    <row r="20" spans="1:8" x14ac:dyDescent="0.25">
      <c r="A20" s="608"/>
      <c r="B20" s="609"/>
      <c r="C20" s="609"/>
      <c r="D20" s="609"/>
      <c r="E20" s="609"/>
      <c r="F20" s="609"/>
      <c r="G20" s="609"/>
      <c r="H20" s="610"/>
    </row>
    <row r="21" spans="1:8" x14ac:dyDescent="0.25">
      <c r="A21" s="608"/>
      <c r="B21" s="609"/>
      <c r="C21" s="609"/>
      <c r="D21" s="609"/>
      <c r="E21" s="609"/>
      <c r="F21" s="609"/>
      <c r="G21" s="609"/>
      <c r="H21" s="610"/>
    </row>
    <row r="22" spans="1:8" x14ac:dyDescent="0.25">
      <c r="A22" s="608"/>
      <c r="B22" s="609"/>
      <c r="C22" s="609"/>
      <c r="D22" s="609"/>
      <c r="E22" s="609"/>
      <c r="F22" s="609"/>
      <c r="G22" s="609"/>
      <c r="H22" s="610"/>
    </row>
    <row r="23" spans="1:8" x14ac:dyDescent="0.25">
      <c r="A23" s="608"/>
      <c r="B23" s="609"/>
      <c r="C23" s="609"/>
      <c r="D23" s="609"/>
      <c r="E23" s="609"/>
      <c r="F23" s="609"/>
      <c r="G23" s="609"/>
      <c r="H23" s="610"/>
    </row>
    <row r="24" spans="1:8" x14ac:dyDescent="0.25">
      <c r="A24" s="608"/>
      <c r="B24" s="609"/>
      <c r="C24" s="609"/>
      <c r="D24" s="609"/>
      <c r="E24" s="609"/>
      <c r="F24" s="609"/>
      <c r="G24" s="609"/>
      <c r="H24" s="610"/>
    </row>
    <row r="25" spans="1:8" x14ac:dyDescent="0.25">
      <c r="A25" s="608"/>
      <c r="B25" s="609"/>
      <c r="C25" s="609"/>
      <c r="D25" s="609"/>
      <c r="E25" s="609"/>
      <c r="F25" s="609"/>
      <c r="G25" s="609"/>
      <c r="H25" s="610"/>
    </row>
    <row r="26" spans="1:8" x14ac:dyDescent="0.25">
      <c r="A26" s="608"/>
      <c r="B26" s="609"/>
      <c r="C26" s="609"/>
      <c r="D26" s="609"/>
      <c r="E26" s="609"/>
      <c r="F26" s="609"/>
      <c r="G26" s="609"/>
      <c r="H26" s="610"/>
    </row>
    <row r="27" spans="1:8" x14ac:dyDescent="0.25">
      <c r="A27" s="608"/>
      <c r="B27" s="609"/>
      <c r="C27" s="609"/>
      <c r="D27" s="609"/>
      <c r="E27" s="609"/>
      <c r="F27" s="609"/>
      <c r="G27" s="609"/>
      <c r="H27" s="610"/>
    </row>
    <row r="28" spans="1:8" x14ac:dyDescent="0.25">
      <c r="A28" s="608"/>
      <c r="B28" s="609"/>
      <c r="C28" s="609"/>
      <c r="D28" s="609"/>
      <c r="E28" s="609"/>
      <c r="F28" s="609"/>
      <c r="G28" s="609"/>
      <c r="H28" s="610"/>
    </row>
    <row r="29" spans="1:8" x14ac:dyDescent="0.25">
      <c r="A29" s="608"/>
      <c r="B29" s="609"/>
      <c r="C29" s="609"/>
      <c r="D29" s="609"/>
      <c r="E29" s="609"/>
      <c r="F29" s="609"/>
      <c r="G29" s="609"/>
      <c r="H29" s="610"/>
    </row>
    <row r="30" spans="1:8" x14ac:dyDescent="0.25">
      <c r="A30" s="608"/>
      <c r="B30" s="609"/>
      <c r="C30" s="609"/>
      <c r="D30" s="609"/>
      <c r="E30" s="609"/>
      <c r="F30" s="609"/>
      <c r="G30" s="609"/>
      <c r="H30" s="610"/>
    </row>
    <row r="31" spans="1:8" x14ac:dyDescent="0.25">
      <c r="A31" s="608"/>
      <c r="B31" s="609"/>
      <c r="C31" s="609"/>
      <c r="D31" s="609"/>
      <c r="E31" s="609"/>
      <c r="F31" s="609"/>
      <c r="G31" s="609"/>
      <c r="H31" s="610"/>
    </row>
    <row r="32" spans="1:8" x14ac:dyDescent="0.25">
      <c r="A32" s="608"/>
      <c r="B32" s="609"/>
      <c r="C32" s="609"/>
      <c r="D32" s="609"/>
      <c r="E32" s="609"/>
      <c r="F32" s="609"/>
      <c r="G32" s="609"/>
      <c r="H32" s="610"/>
    </row>
    <row r="33" spans="1:8" x14ac:dyDescent="0.25">
      <c r="A33" s="608"/>
      <c r="B33" s="609"/>
      <c r="C33" s="609"/>
      <c r="D33" s="609"/>
      <c r="E33" s="609"/>
      <c r="F33" s="609"/>
      <c r="G33" s="609"/>
      <c r="H33" s="610"/>
    </row>
    <row r="34" spans="1:8" x14ac:dyDescent="0.25">
      <c r="A34" s="608"/>
      <c r="B34" s="609"/>
      <c r="C34" s="609"/>
      <c r="D34" s="609"/>
      <c r="E34" s="609"/>
      <c r="F34" s="609"/>
      <c r="G34" s="609"/>
      <c r="H34" s="610"/>
    </row>
    <row r="35" spans="1:8" x14ac:dyDescent="0.25">
      <c r="A35" s="608"/>
      <c r="B35" s="609"/>
      <c r="C35" s="609"/>
      <c r="D35" s="609"/>
      <c r="E35" s="609"/>
      <c r="F35" s="609"/>
      <c r="G35" s="609"/>
      <c r="H35" s="610"/>
    </row>
    <row r="36" spans="1:8" x14ac:dyDescent="0.25">
      <c r="A36" s="608"/>
      <c r="B36" s="609"/>
      <c r="C36" s="609"/>
      <c r="D36" s="609"/>
      <c r="E36" s="609"/>
      <c r="F36" s="609"/>
      <c r="G36" s="609"/>
      <c r="H36" s="610"/>
    </row>
    <row r="37" spans="1:8" ht="15.75" thickBot="1" x14ac:dyDescent="0.3">
      <c r="A37" s="611"/>
      <c r="B37" s="612"/>
      <c r="C37" s="612"/>
      <c r="D37" s="612"/>
      <c r="E37" s="612"/>
      <c r="F37" s="612"/>
      <c r="G37" s="612"/>
      <c r="H37" s="613"/>
    </row>
    <row r="43" spans="1:8" s="90" customFormat="1" x14ac:dyDescent="0.25">
      <c r="A43" s="371"/>
      <c r="B43" s="371"/>
      <c r="C43" s="371"/>
      <c r="D43" s="372"/>
      <c r="E43" s="373"/>
    </row>
    <row r="44" spans="1:8" s="90" customFormat="1" x14ac:dyDescent="0.25">
      <c r="A44" s="371"/>
      <c r="B44" s="371"/>
      <c r="C44" s="371"/>
      <c r="D44" s="372"/>
      <c r="E44" s="373"/>
    </row>
    <row r="45" spans="1:8" s="90" customFormat="1" x14ac:dyDescent="0.25">
      <c r="A45" s="371"/>
      <c r="B45" s="371"/>
      <c r="C45" s="371"/>
      <c r="D45" s="372"/>
      <c r="E45" s="373"/>
    </row>
    <row r="46" spans="1:8" s="90" customFormat="1" x14ac:dyDescent="0.25">
      <c r="A46" s="371"/>
      <c r="B46" s="371"/>
      <c r="C46" s="371"/>
      <c r="D46" s="372"/>
      <c r="E46" s="373"/>
    </row>
    <row r="47" spans="1:8" s="90" customFormat="1" x14ac:dyDescent="0.25"/>
  </sheetData>
  <mergeCells count="4">
    <mergeCell ref="A1:H1"/>
    <mergeCell ref="A2:H2"/>
    <mergeCell ref="A3:H3"/>
    <mergeCell ref="A8:H8"/>
  </mergeCells>
  <pageMargins left="0.70866141732283472" right="0.70866141732283472" top="0.74803149606299213" bottom="0.39370078740157483" header="0.31496062992125984" footer="0.31496062992125984"/>
  <pageSetup scale="98" fitToHeight="0" orientation="portrait" r:id="rId1"/>
  <headerFooter>
    <oddHeader>&amp;L&amp;"Arial,Normal"&amp;8Estados e Información Contable
Notas de Gestión Administrativa&amp;R&amp;"Arial,Normal"&amp;8 7.GA.15</oddHead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8"/>
  <sheetViews>
    <sheetView view="pageBreakPreview" zoomScale="60" zoomScaleNormal="100" workbookViewId="0">
      <selection activeCell="P45" sqref="P45"/>
    </sheetView>
  </sheetViews>
  <sheetFormatPr baseColWidth="10" defaultRowHeight="15" x14ac:dyDescent="0.25"/>
  <sheetData>
    <row r="1" spans="1:8" x14ac:dyDescent="0.25">
      <c r="A1" s="1294" t="s">
        <v>566</v>
      </c>
      <c r="B1" s="1294"/>
      <c r="C1" s="1294"/>
      <c r="D1" s="1294"/>
      <c r="E1" s="1294"/>
      <c r="F1" s="1294"/>
      <c r="G1" s="1294"/>
      <c r="H1" s="1294"/>
    </row>
    <row r="2" spans="1:8" x14ac:dyDescent="0.25">
      <c r="A2" s="1294" t="s">
        <v>2429</v>
      </c>
      <c r="B2" s="1294"/>
      <c r="C2" s="1294"/>
      <c r="D2" s="1294"/>
      <c r="E2" s="1294"/>
      <c r="F2" s="1294"/>
      <c r="G2" s="1294"/>
      <c r="H2" s="1294"/>
    </row>
    <row r="3" spans="1:8" x14ac:dyDescent="0.25">
      <c r="A3" s="1294" t="s">
        <v>2441</v>
      </c>
      <c r="B3" s="1294"/>
      <c r="C3" s="1294"/>
      <c r="D3" s="1294"/>
      <c r="E3" s="1294"/>
      <c r="F3" s="1294"/>
      <c r="G3" s="1294"/>
      <c r="H3" s="1294"/>
    </row>
    <row r="4" spans="1:8" ht="15.75" thickBot="1" x14ac:dyDescent="0.3">
      <c r="A4" s="604"/>
      <c r="B4" s="604"/>
      <c r="C4" s="604"/>
      <c r="D4" s="604"/>
      <c r="E4" s="604"/>
      <c r="F4" s="604"/>
      <c r="G4" s="604"/>
      <c r="H4" s="604"/>
    </row>
    <row r="5" spans="1:8" x14ac:dyDescent="0.25">
      <c r="A5" s="605"/>
      <c r="B5" s="606"/>
      <c r="C5" s="606"/>
      <c r="D5" s="606"/>
      <c r="E5" s="606"/>
      <c r="F5" s="606"/>
      <c r="G5" s="606"/>
      <c r="H5" s="607"/>
    </row>
    <row r="6" spans="1:8" x14ac:dyDescent="0.25">
      <c r="A6" s="608"/>
      <c r="B6" s="609"/>
      <c r="C6" s="609"/>
      <c r="D6" s="609"/>
      <c r="E6" s="609"/>
      <c r="F6" s="609"/>
      <c r="G6" s="609"/>
      <c r="H6" s="610"/>
    </row>
    <row r="7" spans="1:8" x14ac:dyDescent="0.25">
      <c r="A7" s="608"/>
      <c r="B7" s="609"/>
      <c r="C7" s="609"/>
      <c r="D7" s="609"/>
      <c r="E7" s="609"/>
      <c r="F7" s="609"/>
      <c r="G7" s="609"/>
      <c r="H7" s="610"/>
    </row>
    <row r="8" spans="1:8" x14ac:dyDescent="0.25">
      <c r="A8" s="608"/>
      <c r="B8" s="609"/>
      <c r="C8" s="609"/>
      <c r="D8" s="609"/>
      <c r="E8" s="609"/>
      <c r="F8" s="609"/>
      <c r="G8" s="609"/>
      <c r="H8" s="610"/>
    </row>
    <row r="9" spans="1:8" ht="29.25" customHeight="1" x14ac:dyDescent="0.25">
      <c r="A9" s="1338" t="s">
        <v>7566</v>
      </c>
      <c r="B9" s="1339"/>
      <c r="C9" s="1339"/>
      <c r="D9" s="1339"/>
      <c r="E9" s="1339"/>
      <c r="F9" s="1339"/>
      <c r="G9" s="1339"/>
      <c r="H9" s="1340"/>
    </row>
    <row r="10" spans="1:8" x14ac:dyDescent="0.25">
      <c r="A10" s="608"/>
      <c r="B10" s="609"/>
      <c r="C10" s="609"/>
      <c r="D10" s="609"/>
      <c r="E10" s="609"/>
      <c r="F10" s="609"/>
      <c r="G10" s="609"/>
      <c r="H10" s="610"/>
    </row>
    <row r="11" spans="1:8" x14ac:dyDescent="0.25">
      <c r="A11" s="608"/>
      <c r="B11" s="609"/>
      <c r="C11" s="609"/>
      <c r="D11" s="609"/>
      <c r="E11" s="609"/>
      <c r="F11" s="609"/>
      <c r="G11" s="609"/>
      <c r="H11" s="610"/>
    </row>
    <row r="12" spans="1:8" x14ac:dyDescent="0.25">
      <c r="A12" s="608"/>
      <c r="B12" s="609"/>
      <c r="C12" s="609"/>
      <c r="D12" s="609"/>
      <c r="E12" s="609"/>
      <c r="F12" s="609"/>
      <c r="G12" s="609"/>
      <c r="H12" s="610"/>
    </row>
    <row r="13" spans="1:8" x14ac:dyDescent="0.25">
      <c r="A13" s="608"/>
      <c r="B13" s="609"/>
      <c r="C13" s="609"/>
      <c r="D13" s="609"/>
      <c r="E13" s="609"/>
      <c r="F13" s="609"/>
      <c r="G13" s="609"/>
      <c r="H13" s="610"/>
    </row>
    <row r="14" spans="1:8" x14ac:dyDescent="0.25">
      <c r="A14" s="608"/>
      <c r="B14" s="609"/>
      <c r="C14" s="609"/>
      <c r="D14" s="609"/>
      <c r="E14" s="609"/>
      <c r="F14" s="609"/>
      <c r="G14" s="609"/>
      <c r="H14" s="610"/>
    </row>
    <row r="15" spans="1:8" x14ac:dyDescent="0.25">
      <c r="A15" s="608"/>
      <c r="B15" s="609"/>
      <c r="C15" s="609"/>
      <c r="D15" s="609"/>
      <c r="E15" s="609"/>
      <c r="F15" s="609"/>
      <c r="G15" s="609"/>
      <c r="H15" s="610"/>
    </row>
    <row r="16" spans="1:8" x14ac:dyDescent="0.25">
      <c r="A16" s="608"/>
      <c r="B16" s="609"/>
      <c r="C16" s="609"/>
      <c r="D16" s="609"/>
      <c r="E16" s="609"/>
      <c r="F16" s="609"/>
      <c r="G16" s="609"/>
      <c r="H16" s="610"/>
    </row>
    <row r="17" spans="1:8" x14ac:dyDescent="0.25">
      <c r="A17" s="608"/>
      <c r="B17" s="609"/>
      <c r="C17" s="609"/>
      <c r="D17" s="609"/>
      <c r="E17" s="609"/>
      <c r="F17" s="609"/>
      <c r="G17" s="609"/>
      <c r="H17" s="610"/>
    </row>
    <row r="18" spans="1:8" x14ac:dyDescent="0.25">
      <c r="A18" s="608"/>
      <c r="B18" s="609"/>
      <c r="C18" s="609"/>
      <c r="D18" s="609"/>
      <c r="E18" s="609"/>
      <c r="F18" s="609"/>
      <c r="G18" s="609"/>
      <c r="H18" s="610"/>
    </row>
    <row r="19" spans="1:8" x14ac:dyDescent="0.25">
      <c r="A19" s="608"/>
      <c r="B19" s="609"/>
      <c r="C19" s="609"/>
      <c r="D19" s="609"/>
      <c r="E19" s="609"/>
      <c r="F19" s="609"/>
      <c r="G19" s="609"/>
      <c r="H19" s="610"/>
    </row>
    <row r="20" spans="1:8" x14ac:dyDescent="0.25">
      <c r="A20" s="608"/>
      <c r="B20" s="609"/>
      <c r="C20" s="609"/>
      <c r="D20" s="609"/>
      <c r="E20" s="609"/>
      <c r="F20" s="609"/>
      <c r="G20" s="609"/>
      <c r="H20" s="610"/>
    </row>
    <row r="21" spans="1:8" x14ac:dyDescent="0.25">
      <c r="A21" s="608"/>
      <c r="B21" s="609"/>
      <c r="C21" s="609"/>
      <c r="D21" s="609"/>
      <c r="E21" s="609"/>
      <c r="F21" s="609"/>
      <c r="G21" s="609"/>
      <c r="H21" s="610"/>
    </row>
    <row r="22" spans="1:8" x14ac:dyDescent="0.25">
      <c r="A22" s="608"/>
      <c r="B22" s="609"/>
      <c r="C22" s="609"/>
      <c r="D22" s="609"/>
      <c r="E22" s="609"/>
      <c r="F22" s="609"/>
      <c r="G22" s="609"/>
      <c r="H22" s="610"/>
    </row>
    <row r="23" spans="1:8" x14ac:dyDescent="0.25">
      <c r="A23" s="608"/>
      <c r="B23" s="609"/>
      <c r="C23" s="609"/>
      <c r="D23" s="609"/>
      <c r="E23" s="609"/>
      <c r="F23" s="609"/>
      <c r="G23" s="609"/>
      <c r="H23" s="610"/>
    </row>
    <row r="24" spans="1:8" x14ac:dyDescent="0.25">
      <c r="A24" s="608"/>
      <c r="B24" s="609"/>
      <c r="C24" s="609"/>
      <c r="D24" s="609"/>
      <c r="E24" s="609"/>
      <c r="F24" s="609"/>
      <c r="G24" s="609"/>
      <c r="H24" s="610"/>
    </row>
    <row r="25" spans="1:8" x14ac:dyDescent="0.25">
      <c r="A25" s="608"/>
      <c r="B25" s="609"/>
      <c r="C25" s="609"/>
      <c r="D25" s="609"/>
      <c r="E25" s="609"/>
      <c r="F25" s="609"/>
      <c r="G25" s="609"/>
      <c r="H25" s="610"/>
    </row>
    <row r="26" spans="1:8" x14ac:dyDescent="0.25">
      <c r="A26" s="608"/>
      <c r="B26" s="609"/>
      <c r="C26" s="609"/>
      <c r="D26" s="609"/>
      <c r="E26" s="609"/>
      <c r="F26" s="609"/>
      <c r="G26" s="609"/>
      <c r="H26" s="610"/>
    </row>
    <row r="27" spans="1:8" x14ac:dyDescent="0.25">
      <c r="A27" s="608"/>
      <c r="B27" s="609"/>
      <c r="C27" s="609"/>
      <c r="D27" s="609"/>
      <c r="E27" s="609"/>
      <c r="F27" s="609"/>
      <c r="G27" s="609"/>
      <c r="H27" s="610"/>
    </row>
    <row r="28" spans="1:8" x14ac:dyDescent="0.25">
      <c r="A28" s="608"/>
      <c r="B28" s="609"/>
      <c r="C28" s="609"/>
      <c r="D28" s="609"/>
      <c r="E28" s="609"/>
      <c r="F28" s="609"/>
      <c r="G28" s="609"/>
      <c r="H28" s="610"/>
    </row>
    <row r="29" spans="1:8" x14ac:dyDescent="0.25">
      <c r="A29" s="608"/>
      <c r="B29" s="609"/>
      <c r="C29" s="609"/>
      <c r="D29" s="609"/>
      <c r="E29" s="609"/>
      <c r="F29" s="609"/>
      <c r="G29" s="609"/>
      <c r="H29" s="610"/>
    </row>
    <row r="30" spans="1:8" x14ac:dyDescent="0.25">
      <c r="A30" s="608"/>
      <c r="B30" s="609"/>
      <c r="C30" s="609"/>
      <c r="D30" s="609"/>
      <c r="E30" s="609"/>
      <c r="F30" s="609"/>
      <c r="G30" s="609"/>
      <c r="H30" s="610"/>
    </row>
    <row r="31" spans="1:8" x14ac:dyDescent="0.25">
      <c r="A31" s="608"/>
      <c r="B31" s="609"/>
      <c r="C31" s="609"/>
      <c r="D31" s="609"/>
      <c r="E31" s="609"/>
      <c r="F31" s="609"/>
      <c r="G31" s="609"/>
      <c r="H31" s="610"/>
    </row>
    <row r="32" spans="1:8" x14ac:dyDescent="0.25">
      <c r="A32" s="608"/>
      <c r="B32" s="609"/>
      <c r="C32" s="609"/>
      <c r="D32" s="609"/>
      <c r="E32" s="609"/>
      <c r="F32" s="609"/>
      <c r="G32" s="609"/>
      <c r="H32" s="610"/>
    </row>
    <row r="33" spans="1:8" x14ac:dyDescent="0.25">
      <c r="A33" s="608"/>
      <c r="B33" s="609"/>
      <c r="C33" s="609"/>
      <c r="D33" s="609"/>
      <c r="E33" s="609"/>
      <c r="F33" s="609"/>
      <c r="G33" s="609"/>
      <c r="H33" s="610"/>
    </row>
    <row r="34" spans="1:8" x14ac:dyDescent="0.25">
      <c r="A34" s="608"/>
      <c r="B34" s="609"/>
      <c r="C34" s="609"/>
      <c r="D34" s="609"/>
      <c r="E34" s="609"/>
      <c r="F34" s="609"/>
      <c r="G34" s="609"/>
      <c r="H34" s="610"/>
    </row>
    <row r="35" spans="1:8" x14ac:dyDescent="0.25">
      <c r="A35" s="608"/>
      <c r="B35" s="609"/>
      <c r="C35" s="609"/>
      <c r="D35" s="609"/>
      <c r="E35" s="609"/>
      <c r="F35" s="609"/>
      <c r="G35" s="609"/>
      <c r="H35" s="610"/>
    </row>
    <row r="36" spans="1:8" x14ac:dyDescent="0.25">
      <c r="A36" s="608"/>
      <c r="B36" s="609"/>
      <c r="C36" s="609"/>
      <c r="D36" s="609"/>
      <c r="E36" s="609"/>
      <c r="F36" s="609"/>
      <c r="G36" s="609"/>
      <c r="H36" s="610"/>
    </row>
    <row r="37" spans="1:8" ht="15.75" thickBot="1" x14ac:dyDescent="0.3">
      <c r="A37" s="611"/>
      <c r="B37" s="612"/>
      <c r="C37" s="612"/>
      <c r="D37" s="612"/>
      <c r="E37" s="612"/>
      <c r="F37" s="612"/>
      <c r="G37" s="612"/>
      <c r="H37" s="613"/>
    </row>
    <row r="44" spans="1:8" s="90" customFormat="1" x14ac:dyDescent="0.25">
      <c r="A44" s="371"/>
      <c r="B44" s="371"/>
      <c r="C44" s="371"/>
      <c r="D44" s="372"/>
      <c r="E44" s="373"/>
    </row>
    <row r="45" spans="1:8" s="90" customFormat="1" x14ac:dyDescent="0.25">
      <c r="A45" s="371"/>
      <c r="B45" s="371"/>
      <c r="C45" s="371"/>
      <c r="D45" s="372"/>
      <c r="E45" s="373"/>
    </row>
    <row r="46" spans="1:8" s="90" customFormat="1" x14ac:dyDescent="0.25">
      <c r="A46" s="371"/>
      <c r="B46" s="371"/>
      <c r="C46" s="371"/>
      <c r="D46" s="372"/>
      <c r="E46" s="373"/>
    </row>
    <row r="47" spans="1:8" s="90" customFormat="1" x14ac:dyDescent="0.25">
      <c r="A47" s="371"/>
      <c r="B47" s="371"/>
      <c r="C47" s="371"/>
      <c r="D47" s="372"/>
      <c r="E47" s="373"/>
    </row>
    <row r="48" spans="1:8" s="90" customFormat="1" x14ac:dyDescent="0.25"/>
  </sheetData>
  <mergeCells count="4">
    <mergeCell ref="A1:H1"/>
    <mergeCell ref="A2:H2"/>
    <mergeCell ref="A3:H3"/>
    <mergeCell ref="A9:H9"/>
  </mergeCells>
  <pageMargins left="0.70866141732283472" right="0.70866141732283472" top="0.74803149606299213" bottom="0.39370078740157483" header="0.31496062992125984" footer="0.31496062992125984"/>
  <pageSetup scale="98" fitToHeight="0" orientation="portrait" r:id="rId1"/>
  <headerFooter>
    <oddHeader>&amp;L&amp;"Arial,Normal"&amp;8Estados e Información Contable
Notas de Gestión Administrativa&amp;R&amp;"Arial,Normal"&amp;8 7.GA.16</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51"/>
  <sheetViews>
    <sheetView view="pageBreakPreview" topLeftCell="A55" zoomScale="60" zoomScaleNormal="100" workbookViewId="0"/>
  </sheetViews>
  <sheetFormatPr baseColWidth="10" defaultColWidth="11.42578125" defaultRowHeight="12.75" x14ac:dyDescent="0.2"/>
  <cols>
    <col min="1" max="1" width="81" style="329" customWidth="1"/>
    <col min="2" max="2" width="3.28515625" style="329" customWidth="1"/>
    <col min="3" max="3" width="13.140625" style="336" customWidth="1"/>
    <col min="4" max="4" width="1.42578125" style="336" customWidth="1"/>
    <col min="5" max="5" width="19.85546875" style="343" bestFit="1" customWidth="1"/>
    <col min="6" max="6" width="14.85546875" style="343" hidden="1" customWidth="1"/>
    <col min="7" max="7" width="21.5703125" style="343" bestFit="1" customWidth="1"/>
    <col min="8" max="8" width="3.28515625" style="307" bestFit="1" customWidth="1"/>
    <col min="9" max="16384" width="11.42578125" style="329"/>
  </cols>
  <sheetData>
    <row r="1" spans="1:8" ht="21" customHeight="1" x14ac:dyDescent="0.25">
      <c r="A1" s="330"/>
      <c r="B1" s="330"/>
      <c r="C1" s="331"/>
      <c r="D1" s="331"/>
      <c r="E1" s="332"/>
      <c r="F1" s="332"/>
      <c r="G1" s="285"/>
      <c r="H1" s="1132" t="s">
        <v>2472</v>
      </c>
    </row>
    <row r="2" spans="1:8" ht="12.75" customHeight="1" x14ac:dyDescent="0.25">
      <c r="A2" s="1148" t="s">
        <v>646</v>
      </c>
      <c r="B2" s="1148"/>
      <c r="C2" s="1148"/>
      <c r="D2" s="1148"/>
      <c r="E2" s="1148"/>
      <c r="F2" s="1148"/>
      <c r="G2" s="1148"/>
      <c r="H2" s="1132"/>
    </row>
    <row r="3" spans="1:8" ht="12.75" customHeight="1" x14ac:dyDescent="0.25">
      <c r="A3" s="1148" t="s">
        <v>2458</v>
      </c>
      <c r="B3" s="1148"/>
      <c r="C3" s="1148"/>
      <c r="D3" s="1148"/>
      <c r="E3" s="1148"/>
      <c r="F3" s="1148"/>
      <c r="G3" s="1148"/>
      <c r="H3" s="1132"/>
    </row>
    <row r="4" spans="1:8" ht="14.25" customHeight="1" x14ac:dyDescent="0.25">
      <c r="A4" s="1148" t="s">
        <v>8660</v>
      </c>
      <c r="B4" s="1148"/>
      <c r="C4" s="1148"/>
      <c r="D4" s="1148"/>
      <c r="E4" s="1148"/>
      <c r="F4" s="1148"/>
      <c r="G4" s="1148"/>
      <c r="H4" s="1132"/>
    </row>
    <row r="5" spans="1:8" ht="14.25" customHeight="1" x14ac:dyDescent="0.25">
      <c r="A5" s="330"/>
      <c r="B5" s="330"/>
      <c r="C5" s="331"/>
      <c r="D5" s="331"/>
      <c r="E5" s="332"/>
      <c r="F5" s="332"/>
      <c r="G5" s="285"/>
      <c r="H5" s="285"/>
    </row>
    <row r="6" spans="1:8" ht="11.25" customHeight="1" x14ac:dyDescent="0.25">
      <c r="A6" s="330"/>
      <c r="B6" s="330"/>
      <c r="C6" s="331"/>
      <c r="D6" s="331"/>
      <c r="E6" s="332"/>
      <c r="F6" s="332"/>
      <c r="G6" s="332"/>
      <c r="H6" s="288"/>
    </row>
    <row r="7" spans="1:8" ht="11.25" customHeight="1" x14ac:dyDescent="0.25">
      <c r="A7" s="330"/>
      <c r="B7" s="330"/>
      <c r="C7" s="331"/>
      <c r="D7" s="331"/>
      <c r="E7" s="332"/>
      <c r="F7" s="332"/>
      <c r="G7" s="332"/>
      <c r="H7" s="295"/>
    </row>
    <row r="8" spans="1:8" ht="11.25" customHeight="1" x14ac:dyDescent="0.25">
      <c r="A8" s="330"/>
      <c r="B8" s="330"/>
      <c r="C8" s="331"/>
      <c r="D8" s="331"/>
      <c r="E8" s="332"/>
      <c r="F8" s="332"/>
      <c r="G8" s="332"/>
      <c r="H8" s="291"/>
    </row>
    <row r="9" spans="1:8" ht="10.5" customHeight="1" x14ac:dyDescent="0.2">
      <c r="A9" s="329" t="s">
        <v>559</v>
      </c>
      <c r="C9" s="333"/>
      <c r="D9" s="333"/>
      <c r="E9" s="632">
        <v>2018</v>
      </c>
      <c r="F9" s="634"/>
      <c r="G9" s="632">
        <v>2017</v>
      </c>
      <c r="H9" s="280"/>
    </row>
    <row r="10" spans="1:8" x14ac:dyDescent="0.2">
      <c r="A10" s="335" t="s">
        <v>2459</v>
      </c>
      <c r="B10" s="335"/>
      <c r="E10" s="334"/>
      <c r="F10" s="334"/>
      <c r="G10" s="334"/>
      <c r="H10" s="280"/>
    </row>
    <row r="11" spans="1:8" ht="4.5" customHeight="1" x14ac:dyDescent="0.2">
      <c r="C11" s="9"/>
      <c r="D11" s="9"/>
      <c r="E11" s="8"/>
      <c r="F11" s="8"/>
      <c r="G11" s="8"/>
      <c r="H11" s="287"/>
    </row>
    <row r="12" spans="1:8" ht="12" customHeight="1" x14ac:dyDescent="0.2">
      <c r="A12" s="337" t="s">
        <v>647</v>
      </c>
      <c r="B12" s="337"/>
      <c r="C12" s="338"/>
      <c r="D12" s="338"/>
      <c r="E12" s="339">
        <f>SUM(E14:E29)</f>
        <v>1078807432.0600002</v>
      </c>
      <c r="F12" s="339"/>
      <c r="G12" s="339">
        <f>SUM(G14:G29)</f>
        <v>1110140976.8499999</v>
      </c>
      <c r="H12" s="280"/>
    </row>
    <row r="13" spans="1:8" s="335" customFormat="1" ht="3.75" customHeight="1" x14ac:dyDescent="0.2">
      <c r="A13" s="340"/>
      <c r="B13" s="340"/>
      <c r="C13" s="341"/>
      <c r="D13" s="341"/>
      <c r="E13" s="342"/>
      <c r="F13" s="342"/>
      <c r="G13" s="342"/>
      <c r="H13" s="280"/>
    </row>
    <row r="14" spans="1:8" x14ac:dyDescent="0.2">
      <c r="A14" s="343" t="s">
        <v>2460</v>
      </c>
      <c r="B14" s="340"/>
      <c r="C14" s="344"/>
      <c r="D14" s="344"/>
      <c r="E14" s="313">
        <v>71475269.980000004</v>
      </c>
      <c r="F14" s="8"/>
      <c r="G14" s="313">
        <v>75011525.560000002</v>
      </c>
      <c r="H14" s="280"/>
    </row>
    <row r="15" spans="1:8" ht="12.75" hidden="1" customHeight="1" x14ac:dyDescent="0.2">
      <c r="A15" s="343" t="s">
        <v>111</v>
      </c>
      <c r="B15" s="340"/>
      <c r="C15" s="344"/>
      <c r="D15" s="344"/>
      <c r="E15" s="313"/>
      <c r="F15" s="8"/>
      <c r="G15" s="313"/>
      <c r="H15" s="280"/>
    </row>
    <row r="16" spans="1:8" x14ac:dyDescent="0.2">
      <c r="A16" s="343" t="s">
        <v>113</v>
      </c>
      <c r="B16" s="340"/>
      <c r="C16" s="344"/>
      <c r="D16" s="344"/>
      <c r="E16" s="313">
        <v>40684787.939999998</v>
      </c>
      <c r="F16" s="8"/>
      <c r="G16" s="313">
        <v>48265490.939999998</v>
      </c>
      <c r="H16" s="280"/>
    </row>
    <row r="17" spans="1:8" x14ac:dyDescent="0.2">
      <c r="A17" s="343" t="s">
        <v>197</v>
      </c>
      <c r="B17" s="340"/>
      <c r="C17" s="344"/>
      <c r="D17" s="344"/>
      <c r="E17" s="313">
        <v>1918097</v>
      </c>
      <c r="F17" s="8"/>
      <c r="G17" s="313">
        <v>2217992.69</v>
      </c>
      <c r="H17" s="280"/>
    </row>
    <row r="18" spans="1:8" x14ac:dyDescent="0.2">
      <c r="A18" s="343" t="s">
        <v>2461</v>
      </c>
      <c r="B18" s="340"/>
      <c r="C18" s="344"/>
      <c r="D18" s="344"/>
      <c r="E18" s="313">
        <v>10278752.630000001</v>
      </c>
      <c r="F18" s="8"/>
      <c r="G18" s="313">
        <v>8341612.0499999998</v>
      </c>
      <c r="H18" s="280"/>
    </row>
    <row r="19" spans="1:8" ht="12.75" hidden="1" customHeight="1" x14ac:dyDescent="0.2">
      <c r="A19" s="343" t="s">
        <v>2462</v>
      </c>
      <c r="B19" s="340"/>
      <c r="C19" s="344"/>
      <c r="D19" s="344"/>
      <c r="E19" s="313"/>
      <c r="F19" s="8"/>
      <c r="G19" s="313">
        <v>0</v>
      </c>
      <c r="H19" s="280"/>
    </row>
    <row r="20" spans="1:8" s="630" customFormat="1" ht="25.5" x14ac:dyDescent="0.25">
      <c r="A20" s="625" t="s">
        <v>119</v>
      </c>
      <c r="B20" s="626"/>
      <c r="C20" s="627"/>
      <c r="D20" s="627"/>
      <c r="E20" s="623">
        <v>13174680.25</v>
      </c>
      <c r="F20" s="628"/>
      <c r="G20" s="623">
        <v>11515835.140000001</v>
      </c>
      <c r="H20" s="629"/>
    </row>
    <row r="21" spans="1:8" x14ac:dyDescent="0.2">
      <c r="A21" s="343" t="s">
        <v>121</v>
      </c>
      <c r="B21" s="340"/>
      <c r="C21" s="344"/>
      <c r="D21" s="344"/>
      <c r="E21" s="313">
        <v>932597435.62</v>
      </c>
      <c r="F21" s="8"/>
      <c r="G21" s="313">
        <v>955370671.37</v>
      </c>
      <c r="H21" s="280"/>
    </row>
    <row r="22" spans="1:8" hidden="1" x14ac:dyDescent="0.2">
      <c r="A22" s="335" t="s">
        <v>471</v>
      </c>
      <c r="B22" s="335"/>
      <c r="C22" s="344"/>
      <c r="D22" s="344"/>
      <c r="E22" s="346"/>
      <c r="F22" s="346"/>
      <c r="G22" s="346"/>
      <c r="H22" s="280"/>
    </row>
    <row r="23" spans="1:8" hidden="1" x14ac:dyDescent="0.2">
      <c r="A23" s="329" t="s">
        <v>472</v>
      </c>
      <c r="C23" s="344"/>
      <c r="D23" s="344"/>
      <c r="E23" s="342">
        <v>0</v>
      </c>
      <c r="F23" s="342"/>
      <c r="G23" s="342">
        <v>0</v>
      </c>
      <c r="H23" s="291"/>
    </row>
    <row r="24" spans="1:8" hidden="1" x14ac:dyDescent="0.2">
      <c r="A24" s="329" t="s">
        <v>650</v>
      </c>
      <c r="C24" s="344"/>
      <c r="D24" s="344"/>
      <c r="E24" s="342">
        <v>0</v>
      </c>
      <c r="F24" s="342"/>
      <c r="G24" s="342">
        <v>0</v>
      </c>
      <c r="H24" s="280"/>
    </row>
    <row r="25" spans="1:8" hidden="1" x14ac:dyDescent="0.2">
      <c r="A25" s="329" t="s">
        <v>474</v>
      </c>
      <c r="C25" s="344"/>
      <c r="D25" s="344"/>
      <c r="E25" s="342">
        <v>0</v>
      </c>
      <c r="F25" s="342"/>
      <c r="G25" s="342">
        <v>0</v>
      </c>
      <c r="H25" s="280"/>
    </row>
    <row r="26" spans="1:8" hidden="1" x14ac:dyDescent="0.2">
      <c r="A26" s="329" t="s">
        <v>651</v>
      </c>
      <c r="C26" s="344"/>
      <c r="D26" s="344"/>
      <c r="E26" s="342">
        <v>0</v>
      </c>
      <c r="F26" s="342"/>
      <c r="G26" s="342">
        <v>0</v>
      </c>
      <c r="H26" s="280"/>
    </row>
    <row r="27" spans="1:8" hidden="1" x14ac:dyDescent="0.2">
      <c r="A27" s="329" t="s">
        <v>652</v>
      </c>
      <c r="C27" s="344"/>
      <c r="D27" s="344"/>
      <c r="E27" s="342">
        <v>0</v>
      </c>
      <c r="F27" s="342"/>
      <c r="G27" s="342">
        <v>0</v>
      </c>
      <c r="H27" s="280"/>
    </row>
    <row r="28" spans="1:8" hidden="1" x14ac:dyDescent="0.2">
      <c r="C28" s="344"/>
      <c r="D28" s="344"/>
      <c r="E28" s="342"/>
      <c r="F28" s="342"/>
      <c r="G28" s="342"/>
      <c r="H28" s="280"/>
    </row>
    <row r="29" spans="1:8" x14ac:dyDescent="0.2">
      <c r="A29" s="343" t="s">
        <v>12239</v>
      </c>
      <c r="B29" s="340"/>
      <c r="C29" s="344"/>
      <c r="D29" s="344"/>
      <c r="E29" s="346">
        <v>8678408.6400000006</v>
      </c>
      <c r="F29" s="346"/>
      <c r="G29" s="346">
        <v>9417849.0999999996</v>
      </c>
      <c r="H29" s="280"/>
    </row>
    <row r="30" spans="1:8" s="335" customFormat="1" ht="4.5" customHeight="1" x14ac:dyDescent="0.2">
      <c r="C30" s="341"/>
      <c r="D30" s="341"/>
      <c r="E30" s="338"/>
      <c r="F30" s="338"/>
      <c r="G30" s="338">
        <v>0</v>
      </c>
      <c r="H30" s="295"/>
    </row>
    <row r="31" spans="1:8" x14ac:dyDescent="0.2">
      <c r="A31" s="337" t="s">
        <v>653</v>
      </c>
      <c r="B31" s="337"/>
      <c r="C31" s="338"/>
      <c r="D31" s="338"/>
      <c r="E31" s="339">
        <f>SUM(E33:E48)</f>
        <v>1185548691</v>
      </c>
      <c r="F31" s="339"/>
      <c r="G31" s="339">
        <f>SUM(G33:G48)</f>
        <v>908680105.76999986</v>
      </c>
      <c r="H31" s="291"/>
    </row>
    <row r="32" spans="1:8" ht="5.25" customHeight="1" x14ac:dyDescent="0.2">
      <c r="A32" s="347"/>
      <c r="B32" s="347"/>
      <c r="E32" s="342"/>
      <c r="F32" s="342"/>
      <c r="G32" s="342"/>
      <c r="H32" s="291"/>
    </row>
    <row r="33" spans="1:8" x14ac:dyDescent="0.2">
      <c r="A33" s="343" t="s">
        <v>135</v>
      </c>
      <c r="B33" s="340"/>
      <c r="C33" s="344"/>
      <c r="D33" s="344"/>
      <c r="E33" s="313">
        <v>437988935.54000002</v>
      </c>
      <c r="F33" s="8"/>
      <c r="G33" s="313">
        <v>413277421.25</v>
      </c>
      <c r="H33" s="280"/>
    </row>
    <row r="34" spans="1:8" x14ac:dyDescent="0.2">
      <c r="A34" s="343" t="s">
        <v>137</v>
      </c>
      <c r="B34" s="340"/>
      <c r="C34" s="344"/>
      <c r="D34" s="344"/>
      <c r="E34" s="313">
        <v>74443392.969999999</v>
      </c>
      <c r="F34" s="8"/>
      <c r="G34" s="313">
        <v>85504438.680000007</v>
      </c>
      <c r="H34" s="280"/>
    </row>
    <row r="35" spans="1:8" x14ac:dyDescent="0.2">
      <c r="A35" s="343" t="s">
        <v>139</v>
      </c>
      <c r="B35" s="340"/>
      <c r="C35" s="344"/>
      <c r="D35" s="344"/>
      <c r="E35" s="313">
        <v>211272111.68000001</v>
      </c>
      <c r="F35" s="8"/>
      <c r="G35" s="313">
        <v>214590016.95999998</v>
      </c>
      <c r="H35" s="280"/>
    </row>
    <row r="36" spans="1:8" x14ac:dyDescent="0.2">
      <c r="A36" s="343" t="s">
        <v>142</v>
      </c>
      <c r="B36" s="340"/>
      <c r="C36" s="344"/>
      <c r="D36" s="344"/>
      <c r="E36" s="313">
        <v>49343758.049999997</v>
      </c>
      <c r="F36" s="8"/>
      <c r="G36" s="313">
        <v>48200992.559999995</v>
      </c>
      <c r="H36" s="280"/>
    </row>
    <row r="37" spans="1:8" x14ac:dyDescent="0.2">
      <c r="A37" s="343" t="s">
        <v>144</v>
      </c>
      <c r="B37" s="340"/>
      <c r="C37" s="344"/>
      <c r="D37" s="344"/>
      <c r="E37" s="313">
        <v>36679281.100000001</v>
      </c>
      <c r="F37" s="8"/>
      <c r="G37" s="313">
        <v>26731076.609999999</v>
      </c>
      <c r="H37" s="280"/>
    </row>
    <row r="38" spans="1:8" ht="12.75" hidden="1" customHeight="1" x14ac:dyDescent="0.2">
      <c r="A38" s="343" t="s">
        <v>145</v>
      </c>
      <c r="B38" s="340"/>
      <c r="C38" s="344"/>
      <c r="D38" s="344"/>
      <c r="E38" s="313"/>
      <c r="F38" s="8"/>
      <c r="G38" s="313">
        <v>0</v>
      </c>
      <c r="H38" s="280"/>
    </row>
    <row r="39" spans="1:8" x14ac:dyDescent="0.2">
      <c r="A39" s="343" t="s">
        <v>147</v>
      </c>
      <c r="B39" s="340"/>
      <c r="C39" s="344"/>
      <c r="D39" s="344"/>
      <c r="E39" s="313">
        <v>8132075.3600000003</v>
      </c>
      <c r="F39" s="8"/>
      <c r="G39" s="313">
        <v>12683920.059999999</v>
      </c>
      <c r="H39" s="280"/>
    </row>
    <row r="40" spans="1:8" x14ac:dyDescent="0.2">
      <c r="A40" s="343" t="s">
        <v>149</v>
      </c>
      <c r="B40" s="340"/>
      <c r="C40" s="344"/>
      <c r="D40" s="344"/>
      <c r="E40" s="313">
        <v>48654220.399999999</v>
      </c>
      <c r="F40" s="8"/>
      <c r="G40" s="313">
        <v>35326928.629999995</v>
      </c>
      <c r="H40" s="280"/>
    </row>
    <row r="41" spans="1:8" x14ac:dyDescent="0.2">
      <c r="A41" s="343" t="s">
        <v>2463</v>
      </c>
      <c r="B41" s="340"/>
      <c r="C41" s="344"/>
      <c r="D41" s="344"/>
      <c r="E41" s="313">
        <f>1473708.34+317561207.56</f>
        <v>319034915.89999998</v>
      </c>
      <c r="F41" s="8"/>
      <c r="G41" s="313">
        <v>72365311.019999996</v>
      </c>
      <c r="H41" s="280"/>
    </row>
    <row r="42" spans="1:8" hidden="1" x14ac:dyDescent="0.2">
      <c r="A42" s="348" t="s">
        <v>654</v>
      </c>
      <c r="B42" s="348"/>
      <c r="E42" s="342">
        <v>0</v>
      </c>
      <c r="F42" s="342"/>
      <c r="G42" s="342">
        <v>0</v>
      </c>
      <c r="H42" s="295"/>
    </row>
    <row r="43" spans="1:8" hidden="1" x14ac:dyDescent="0.2">
      <c r="A43" s="348" t="s">
        <v>655</v>
      </c>
      <c r="B43" s="348"/>
      <c r="C43" s="344"/>
      <c r="D43" s="344"/>
      <c r="E43" s="342">
        <v>0</v>
      </c>
      <c r="F43" s="342"/>
      <c r="G43" s="342">
        <v>0</v>
      </c>
      <c r="H43" s="291"/>
    </row>
    <row r="44" spans="1:8" hidden="1" x14ac:dyDescent="0.2">
      <c r="A44" s="348"/>
      <c r="B44" s="348"/>
      <c r="C44" s="9"/>
      <c r="D44" s="9"/>
      <c r="E44" s="342"/>
      <c r="F44" s="342"/>
      <c r="G44" s="342"/>
      <c r="H44" s="295"/>
    </row>
    <row r="45" spans="1:8" hidden="1" x14ac:dyDescent="0.2">
      <c r="A45" s="335" t="s">
        <v>468</v>
      </c>
      <c r="B45" s="335"/>
      <c r="C45" s="344"/>
      <c r="D45" s="344"/>
      <c r="E45" s="346"/>
      <c r="F45" s="346"/>
      <c r="G45" s="346"/>
      <c r="H45" s="295"/>
    </row>
    <row r="46" spans="1:8" hidden="1" x14ac:dyDescent="0.2">
      <c r="A46" s="329" t="s">
        <v>469</v>
      </c>
      <c r="C46" s="9"/>
      <c r="D46" s="9"/>
      <c r="E46" s="342">
        <v>0</v>
      </c>
      <c r="F46" s="342"/>
      <c r="G46" s="342">
        <v>0</v>
      </c>
      <c r="H46" s="287"/>
    </row>
    <row r="47" spans="1:8" hidden="1" x14ac:dyDescent="0.2">
      <c r="A47" s="329" t="s">
        <v>649</v>
      </c>
      <c r="C47" s="9"/>
      <c r="D47" s="9"/>
      <c r="E47" s="342">
        <v>0</v>
      </c>
      <c r="F47" s="342"/>
      <c r="G47" s="342">
        <v>0</v>
      </c>
      <c r="H47" s="280"/>
    </row>
    <row r="48" spans="1:8" hidden="1" x14ac:dyDescent="0.2">
      <c r="A48" s="343" t="s">
        <v>470</v>
      </c>
      <c r="B48" s="340"/>
      <c r="C48" s="344"/>
      <c r="D48" s="344"/>
      <c r="E48" s="8">
        <v>0</v>
      </c>
      <c r="F48" s="8"/>
      <c r="G48" s="8">
        <v>0</v>
      </c>
      <c r="H48" s="280"/>
    </row>
    <row r="49" spans="1:8" ht="5.25" customHeight="1" x14ac:dyDescent="0.2">
      <c r="C49" s="9"/>
      <c r="D49" s="9"/>
      <c r="E49" s="342"/>
      <c r="F49" s="342"/>
      <c r="G49" s="342"/>
      <c r="H49" s="280"/>
    </row>
    <row r="50" spans="1:8" x14ac:dyDescent="0.2">
      <c r="A50" s="335" t="s">
        <v>656</v>
      </c>
      <c r="B50" s="335"/>
      <c r="C50" s="344"/>
      <c r="D50" s="344"/>
      <c r="E50" s="349">
        <f>E12-E31</f>
        <v>-106741258.93999982</v>
      </c>
      <c r="F50" s="349"/>
      <c r="G50" s="349">
        <f>G12-G31</f>
        <v>201460871.08000004</v>
      </c>
      <c r="H50" s="295"/>
    </row>
    <row r="51" spans="1:8" ht="3.75" customHeight="1" x14ac:dyDescent="0.2">
      <c r="A51" s="335"/>
      <c r="B51" s="335"/>
      <c r="C51" s="344"/>
      <c r="D51" s="344"/>
      <c r="E51" s="338"/>
      <c r="F51" s="338"/>
      <c r="G51" s="338"/>
      <c r="H51" s="295"/>
    </row>
    <row r="52" spans="1:8" x14ac:dyDescent="0.2">
      <c r="A52" s="335" t="s">
        <v>657</v>
      </c>
      <c r="B52" s="335"/>
      <c r="H52" s="300"/>
    </row>
    <row r="53" spans="1:8" ht="3" customHeight="1" x14ac:dyDescent="0.2">
      <c r="A53" s="335"/>
      <c r="B53" s="335"/>
      <c r="H53" s="300"/>
    </row>
    <row r="54" spans="1:8" x14ac:dyDescent="0.2">
      <c r="A54" s="337" t="s">
        <v>647</v>
      </c>
      <c r="B54" s="337"/>
      <c r="C54" s="350"/>
      <c r="D54" s="350"/>
      <c r="E54" s="351">
        <f>SUM(E55:E57)</f>
        <v>0</v>
      </c>
      <c r="F54" s="351"/>
      <c r="G54" s="351">
        <f>SUM(G55:G57)</f>
        <v>0</v>
      </c>
      <c r="H54" s="300"/>
    </row>
    <row r="55" spans="1:8" x14ac:dyDescent="0.2">
      <c r="A55" s="329" t="s">
        <v>199</v>
      </c>
      <c r="C55" s="350"/>
      <c r="D55" s="350"/>
      <c r="E55" s="352">
        <v>0</v>
      </c>
      <c r="F55" s="352"/>
      <c r="G55" s="352">
        <v>0</v>
      </c>
      <c r="H55" s="300"/>
    </row>
    <row r="56" spans="1:8" x14ac:dyDescent="0.2">
      <c r="A56" s="329" t="s">
        <v>46</v>
      </c>
      <c r="C56" s="350"/>
      <c r="D56" s="350"/>
      <c r="E56" s="350">
        <v>0</v>
      </c>
      <c r="F56" s="350"/>
      <c r="G56" s="350">
        <v>0</v>
      </c>
      <c r="H56" s="300"/>
    </row>
    <row r="57" spans="1:8" x14ac:dyDescent="0.2">
      <c r="A57" s="329" t="s">
        <v>2464</v>
      </c>
      <c r="C57" s="350"/>
      <c r="D57" s="350"/>
      <c r="E57" s="353">
        <v>0</v>
      </c>
      <c r="F57" s="353"/>
      <c r="G57" s="353">
        <v>0</v>
      </c>
      <c r="H57" s="287"/>
    </row>
    <row r="58" spans="1:8" ht="5.25" customHeight="1" x14ac:dyDescent="0.2">
      <c r="H58" s="287"/>
    </row>
    <row r="59" spans="1:8" x14ac:dyDescent="0.2">
      <c r="A59" s="337" t="s">
        <v>653</v>
      </c>
      <c r="B59" s="337"/>
      <c r="C59" s="354"/>
      <c r="D59" s="354"/>
      <c r="E59" s="339">
        <f>+E60+E61+E62</f>
        <v>3431516.990000017</v>
      </c>
      <c r="F59" s="339"/>
      <c r="G59" s="339">
        <f>+G60+G61+G62</f>
        <v>120466152.59999999</v>
      </c>
      <c r="H59" s="287"/>
    </row>
    <row r="60" spans="1:8" ht="11.25" customHeight="1" x14ac:dyDescent="0.2">
      <c r="A60" s="343" t="s">
        <v>199</v>
      </c>
      <c r="B60" s="340"/>
      <c r="C60" s="344"/>
      <c r="D60" s="344"/>
      <c r="E60" s="352">
        <f>318581880.73-317561207.56</f>
        <v>1020673.1700000167</v>
      </c>
      <c r="F60" s="8"/>
      <c r="G60" s="313">
        <f>170405133.23-70578982.96</f>
        <v>99826150.269999996</v>
      </c>
      <c r="H60" s="287"/>
    </row>
    <row r="61" spans="1:8" ht="11.25" customHeight="1" x14ac:dyDescent="0.2">
      <c r="A61" s="343" t="s">
        <v>46</v>
      </c>
      <c r="B61" s="340"/>
      <c r="C61" s="344"/>
      <c r="D61" s="344"/>
      <c r="E61" s="8">
        <v>644841.28</v>
      </c>
      <c r="F61" s="8"/>
      <c r="G61" s="313">
        <v>20640002.330000002</v>
      </c>
      <c r="H61" s="287"/>
    </row>
    <row r="62" spans="1:8" ht="11.25" customHeight="1" x14ac:dyDescent="0.2">
      <c r="A62" s="343" t="s">
        <v>2464</v>
      </c>
      <c r="B62" s="340"/>
      <c r="C62" s="344"/>
      <c r="D62" s="344"/>
      <c r="E62" s="8">
        <v>1766002.54</v>
      </c>
      <c r="F62" s="8"/>
      <c r="G62" s="8">
        <v>0</v>
      </c>
      <c r="H62" s="287"/>
    </row>
    <row r="63" spans="1:8" ht="6.75" customHeight="1" x14ac:dyDescent="0.2">
      <c r="C63" s="9"/>
      <c r="D63" s="9"/>
      <c r="E63" s="8"/>
      <c r="F63" s="8"/>
      <c r="G63" s="8"/>
      <c r="H63" s="280"/>
    </row>
    <row r="64" spans="1:8" x14ac:dyDescent="0.2">
      <c r="A64" s="335" t="s">
        <v>658</v>
      </c>
      <c r="B64" s="335"/>
      <c r="C64" s="341"/>
      <c r="D64" s="341"/>
      <c r="E64" s="345">
        <f>E54-E59</f>
        <v>-3431516.990000017</v>
      </c>
      <c r="F64" s="345"/>
      <c r="G64" s="345">
        <f>G54-G59</f>
        <v>-120466152.59999999</v>
      </c>
      <c r="H64" s="280"/>
    </row>
    <row r="65" spans="1:8" x14ac:dyDescent="0.2">
      <c r="A65" s="335"/>
      <c r="B65" s="335"/>
      <c r="C65" s="341"/>
      <c r="D65" s="341"/>
      <c r="E65" s="341"/>
      <c r="F65" s="341"/>
      <c r="G65" s="341"/>
      <c r="H65" s="280"/>
    </row>
    <row r="66" spans="1:8" x14ac:dyDescent="0.2">
      <c r="A66" s="335"/>
      <c r="B66" s="335"/>
      <c r="C66" s="341"/>
      <c r="D66" s="341"/>
      <c r="E66" s="341"/>
      <c r="F66" s="341"/>
      <c r="G66" s="341"/>
      <c r="H66" s="280"/>
    </row>
    <row r="67" spans="1:8" x14ac:dyDescent="0.2">
      <c r="A67" s="335"/>
      <c r="B67" s="335"/>
      <c r="C67" s="341"/>
      <c r="D67" s="341"/>
      <c r="E67" s="341"/>
      <c r="F67" s="341"/>
      <c r="G67" s="341"/>
      <c r="H67" s="280"/>
    </row>
    <row r="68" spans="1:8" x14ac:dyDescent="0.2">
      <c r="A68" s="335"/>
      <c r="B68" s="335"/>
      <c r="C68" s="341"/>
      <c r="D68" s="341"/>
      <c r="E68" s="341"/>
      <c r="F68" s="341"/>
      <c r="G68" s="341"/>
      <c r="H68" s="280"/>
    </row>
    <row r="69" spans="1:8" x14ac:dyDescent="0.2">
      <c r="A69" s="335"/>
      <c r="B69" s="335"/>
      <c r="C69" s="341"/>
      <c r="D69" s="341"/>
      <c r="E69" s="341"/>
      <c r="F69" s="341"/>
      <c r="G69" s="341"/>
      <c r="H69" s="280"/>
    </row>
    <row r="70" spans="1:8" x14ac:dyDescent="0.2">
      <c r="A70" s="335"/>
      <c r="B70" s="335"/>
      <c r="C70" s="341"/>
      <c r="D70" s="341"/>
      <c r="E70" s="341"/>
      <c r="F70" s="341"/>
      <c r="G70" s="341"/>
      <c r="H70" s="287"/>
    </row>
    <row r="71" spans="1:8" x14ac:dyDescent="0.2">
      <c r="A71" s="335" t="s">
        <v>659</v>
      </c>
      <c r="B71" s="335"/>
      <c r="C71" s="355"/>
      <c r="D71" s="355"/>
      <c r="E71" s="329"/>
      <c r="F71" s="329"/>
      <c r="G71" s="329"/>
      <c r="H71" s="287"/>
    </row>
    <row r="72" spans="1:8" ht="4.5" customHeight="1" x14ac:dyDescent="0.2">
      <c r="C72" s="9"/>
      <c r="D72" s="9"/>
      <c r="E72" s="8"/>
      <c r="F72" s="8"/>
      <c r="G72" s="8"/>
      <c r="H72" s="287"/>
    </row>
    <row r="73" spans="1:8" x14ac:dyDescent="0.2">
      <c r="A73" s="337" t="s">
        <v>647</v>
      </c>
      <c r="B73" s="337"/>
      <c r="C73" s="62"/>
      <c r="D73" s="62"/>
      <c r="E73" s="11">
        <f>SUM(E74:E77)</f>
        <v>6174176.9900000002</v>
      </c>
      <c r="F73" s="11"/>
      <c r="G73" s="11">
        <f>SUM(G75:G77)</f>
        <v>21109488.149999999</v>
      </c>
      <c r="H73" s="287"/>
    </row>
    <row r="74" spans="1:8" ht="11.25" customHeight="1" x14ac:dyDescent="0.2">
      <c r="A74" s="343" t="s">
        <v>2465</v>
      </c>
      <c r="B74" s="340"/>
      <c r="C74" s="344"/>
      <c r="D74" s="344"/>
      <c r="E74" s="8">
        <v>0</v>
      </c>
      <c r="F74" s="8"/>
      <c r="G74" s="8">
        <v>0</v>
      </c>
      <c r="H74" s="287"/>
    </row>
    <row r="75" spans="1:8" ht="11.25" customHeight="1" x14ac:dyDescent="0.2">
      <c r="A75" s="631" t="s">
        <v>2466</v>
      </c>
      <c r="B75" s="340"/>
      <c r="C75" s="344"/>
      <c r="D75" s="344"/>
      <c r="E75" s="8">
        <v>0</v>
      </c>
      <c r="F75" s="8"/>
      <c r="G75" s="8">
        <v>0</v>
      </c>
      <c r="H75" s="287"/>
    </row>
    <row r="76" spans="1:8" ht="11.25" customHeight="1" x14ac:dyDescent="0.2">
      <c r="A76" s="631" t="s">
        <v>2467</v>
      </c>
      <c r="B76" s="340"/>
      <c r="C76" s="344"/>
      <c r="D76" s="344"/>
      <c r="E76" s="8">
        <v>0</v>
      </c>
      <c r="F76" s="8"/>
      <c r="G76" s="8">
        <v>0</v>
      </c>
      <c r="H76" s="287"/>
    </row>
    <row r="77" spans="1:8" ht="11.25" customHeight="1" x14ac:dyDescent="0.2">
      <c r="A77" s="343" t="s">
        <v>2468</v>
      </c>
      <c r="B77" s="340"/>
      <c r="C77" s="344"/>
      <c r="D77" s="344"/>
      <c r="E77" s="10">
        <v>6174176.9900000002</v>
      </c>
      <c r="F77" s="10"/>
      <c r="G77" s="10">
        <v>21109488.149999999</v>
      </c>
      <c r="H77" s="287"/>
    </row>
    <row r="78" spans="1:8" ht="6" customHeight="1" x14ac:dyDescent="0.2">
      <c r="C78" s="9"/>
      <c r="D78" s="9"/>
      <c r="E78" s="8"/>
      <c r="F78" s="8"/>
      <c r="G78" s="8"/>
      <c r="H78" s="287"/>
    </row>
    <row r="79" spans="1:8" x14ac:dyDescent="0.2">
      <c r="A79" s="337" t="s">
        <v>653</v>
      </c>
      <c r="B79" s="337"/>
      <c r="C79" s="62"/>
      <c r="D79" s="62"/>
      <c r="E79" s="11">
        <f>SUM(E80:E83)</f>
        <v>16810925.879999999</v>
      </c>
      <c r="F79" s="11"/>
      <c r="G79" s="11">
        <f>SUM(G80:G83)</f>
        <v>901731.9</v>
      </c>
      <c r="H79" s="280"/>
    </row>
    <row r="80" spans="1:8" ht="11.25" customHeight="1" x14ac:dyDescent="0.2">
      <c r="A80" s="343" t="s">
        <v>2469</v>
      </c>
      <c r="B80" s="340"/>
      <c r="C80" s="344"/>
      <c r="D80" s="344"/>
      <c r="E80" s="8">
        <v>0</v>
      </c>
      <c r="F80" s="8"/>
      <c r="G80" s="8">
        <v>0</v>
      </c>
      <c r="H80" s="287"/>
    </row>
    <row r="81" spans="1:8" ht="11.25" customHeight="1" x14ac:dyDescent="0.2">
      <c r="A81" s="631" t="s">
        <v>2466</v>
      </c>
      <c r="B81" s="340"/>
      <c r="C81" s="344"/>
      <c r="D81" s="344"/>
      <c r="E81" s="8">
        <v>0</v>
      </c>
      <c r="F81" s="8"/>
      <c r="G81" s="8">
        <v>0</v>
      </c>
      <c r="H81" s="287"/>
    </row>
    <row r="82" spans="1:8" ht="11.25" customHeight="1" x14ac:dyDescent="0.2">
      <c r="A82" s="631" t="s">
        <v>2467</v>
      </c>
      <c r="B82" s="340"/>
      <c r="C82" s="344"/>
      <c r="D82" s="344"/>
      <c r="E82" s="8">
        <v>0</v>
      </c>
      <c r="F82" s="8"/>
      <c r="G82" s="8">
        <v>0</v>
      </c>
      <c r="H82" s="287"/>
    </row>
    <row r="83" spans="1:8" ht="11.25" customHeight="1" x14ac:dyDescent="0.2">
      <c r="A83" s="343" t="s">
        <v>2470</v>
      </c>
      <c r="B83" s="340"/>
      <c r="C83" s="344"/>
      <c r="D83" s="344"/>
      <c r="E83" s="10">
        <v>16810925.879999999</v>
      </c>
      <c r="F83" s="10"/>
      <c r="G83" s="10">
        <v>901731.9</v>
      </c>
      <c r="H83" s="287"/>
    </row>
    <row r="84" spans="1:8" ht="3.75" customHeight="1" x14ac:dyDescent="0.2">
      <c r="C84" s="9"/>
      <c r="D84" s="9"/>
      <c r="E84" s="8"/>
      <c r="F84" s="8"/>
      <c r="G84" s="8"/>
      <c r="H84" s="291"/>
    </row>
    <row r="85" spans="1:8" x14ac:dyDescent="0.2">
      <c r="A85" s="356" t="s">
        <v>660</v>
      </c>
      <c r="B85" s="356"/>
      <c r="C85" s="341"/>
      <c r="D85" s="341"/>
      <c r="E85" s="345">
        <f>E73-E79</f>
        <v>-10636748.889999999</v>
      </c>
      <c r="F85" s="345"/>
      <c r="G85" s="345">
        <f>G73-G79</f>
        <v>20207756.25</v>
      </c>
      <c r="H85" s="287"/>
    </row>
    <row r="86" spans="1:8" ht="5.25" customHeight="1" x14ac:dyDescent="0.2">
      <c r="A86" s="357"/>
      <c r="B86" s="357"/>
      <c r="C86" s="9"/>
      <c r="D86" s="9"/>
      <c r="E86" s="8"/>
      <c r="F86" s="8"/>
      <c r="G86" s="8"/>
      <c r="H86" s="280"/>
    </row>
    <row r="87" spans="1:8" x14ac:dyDescent="0.2">
      <c r="A87" s="1149" t="s">
        <v>661</v>
      </c>
      <c r="B87" s="1149"/>
      <c r="C87" s="341"/>
      <c r="D87" s="341"/>
      <c r="E87" s="345">
        <f>E50+E85+E64</f>
        <v>-120809524.81999984</v>
      </c>
      <c r="F87" s="345"/>
      <c r="G87" s="345">
        <f>G50+G85+G64</f>
        <v>101202474.73000005</v>
      </c>
      <c r="H87" s="280"/>
    </row>
    <row r="88" spans="1:8" ht="2.25" customHeight="1" x14ac:dyDescent="0.2">
      <c r="A88" s="356"/>
      <c r="B88" s="356"/>
      <c r="C88" s="341"/>
      <c r="D88" s="341"/>
      <c r="E88" s="358"/>
      <c r="F88" s="358"/>
      <c r="G88" s="358"/>
      <c r="H88" s="287"/>
    </row>
    <row r="89" spans="1:8" x14ac:dyDescent="0.2">
      <c r="A89" s="356" t="s">
        <v>662</v>
      </c>
      <c r="B89" s="356"/>
      <c r="C89" s="359"/>
      <c r="D89" s="359"/>
      <c r="E89" s="360">
        <v>150781040.81</v>
      </c>
      <c r="F89" s="360"/>
      <c r="G89" s="360">
        <v>49578566.079999998</v>
      </c>
    </row>
    <row r="90" spans="1:8" x14ac:dyDescent="0.2">
      <c r="A90" s="356" t="s">
        <v>663</v>
      </c>
      <c r="B90" s="356"/>
      <c r="C90" s="359"/>
      <c r="D90" s="359"/>
      <c r="E90" s="360">
        <v>29971515.989999998</v>
      </c>
      <c r="F90" s="360">
        <v>67285761.390000001</v>
      </c>
      <c r="G90" s="360">
        <v>150781040.81</v>
      </c>
      <c r="H90" s="280"/>
    </row>
    <row r="91" spans="1:8" x14ac:dyDescent="0.2">
      <c r="A91" s="356"/>
      <c r="B91" s="356"/>
      <c r="C91" s="359"/>
      <c r="D91" s="359"/>
      <c r="E91" s="359"/>
      <c r="F91" s="359"/>
      <c r="G91" s="359"/>
      <c r="H91" s="306"/>
    </row>
    <row r="92" spans="1:8" x14ac:dyDescent="0.2">
      <c r="A92" s="356"/>
      <c r="B92" s="356"/>
      <c r="C92" s="359"/>
      <c r="D92" s="359"/>
      <c r="E92" s="359"/>
      <c r="F92" s="359"/>
      <c r="G92" s="359"/>
      <c r="H92" s="291"/>
    </row>
    <row r="93" spans="1:8" x14ac:dyDescent="0.2">
      <c r="A93" s="356"/>
      <c r="B93" s="356"/>
      <c r="C93" s="359"/>
      <c r="D93" s="359"/>
      <c r="E93" s="359"/>
      <c r="F93" s="359"/>
      <c r="G93" s="359"/>
      <c r="H93" s="280"/>
    </row>
    <row r="94" spans="1:8" x14ac:dyDescent="0.2">
      <c r="A94" s="356"/>
      <c r="B94" s="356"/>
      <c r="C94" s="359"/>
      <c r="D94" s="359"/>
      <c r="E94" s="359"/>
      <c r="F94" s="359"/>
      <c r="G94" s="359"/>
      <c r="H94" s="280"/>
    </row>
    <row r="95" spans="1:8" x14ac:dyDescent="0.2">
      <c r="A95" s="356"/>
      <c r="B95" s="356"/>
      <c r="C95" s="359"/>
      <c r="D95" s="359"/>
      <c r="E95" s="359"/>
      <c r="F95" s="359"/>
      <c r="G95" s="359"/>
      <c r="H95" s="280"/>
    </row>
    <row r="96" spans="1:8" x14ac:dyDescent="0.2">
      <c r="A96" s="356"/>
      <c r="B96" s="356"/>
      <c r="C96" s="359"/>
      <c r="D96" s="359">
        <f>E87+E89-E90</f>
        <v>1.601874828338623E-7</v>
      </c>
      <c r="E96" s="359"/>
      <c r="F96" s="359"/>
      <c r="G96" s="359"/>
      <c r="H96" s="280"/>
    </row>
    <row r="97" spans="1:8" x14ac:dyDescent="0.2">
      <c r="A97" s="356"/>
      <c r="B97" s="356"/>
      <c r="C97" s="359"/>
      <c r="D97" s="359"/>
      <c r="E97" s="359"/>
      <c r="F97" s="359"/>
      <c r="G97" s="359"/>
      <c r="H97" s="280"/>
    </row>
    <row r="98" spans="1:8" x14ac:dyDescent="0.2">
      <c r="A98" s="356"/>
      <c r="B98" s="356"/>
      <c r="C98" s="359"/>
      <c r="D98" s="359"/>
      <c r="E98" s="359"/>
      <c r="F98" s="359"/>
      <c r="G98" s="359"/>
      <c r="H98" s="280"/>
    </row>
    <row r="99" spans="1:8" x14ac:dyDescent="0.2">
      <c r="A99" s="356"/>
      <c r="B99" s="356"/>
      <c r="C99" s="359"/>
      <c r="D99" s="359"/>
      <c r="E99" s="359"/>
      <c r="F99" s="359"/>
      <c r="G99" s="359"/>
      <c r="H99" s="280"/>
    </row>
    <row r="100" spans="1:8" x14ac:dyDescent="0.2">
      <c r="A100" s="356"/>
      <c r="B100" s="356"/>
      <c r="C100" s="359"/>
      <c r="D100" s="359"/>
      <c r="E100" s="359"/>
      <c r="F100" s="359"/>
      <c r="G100" s="359"/>
      <c r="H100" s="280"/>
    </row>
    <row r="101" spans="1:8" x14ac:dyDescent="0.2">
      <c r="A101" s="356"/>
      <c r="B101" s="356"/>
      <c r="C101" s="359"/>
      <c r="D101" s="359"/>
      <c r="E101" s="359"/>
      <c r="F101" s="359"/>
      <c r="G101" s="359"/>
      <c r="H101" s="280"/>
    </row>
    <row r="102" spans="1:8" x14ac:dyDescent="0.2">
      <c r="A102" s="356"/>
      <c r="B102" s="356"/>
      <c r="C102" s="359"/>
      <c r="D102" s="359"/>
      <c r="E102" s="359"/>
      <c r="F102" s="359"/>
      <c r="G102" s="359"/>
      <c r="H102" s="312"/>
    </row>
    <row r="103" spans="1:8" x14ac:dyDescent="0.2">
      <c r="A103" s="356"/>
      <c r="B103" s="356"/>
      <c r="C103" s="359"/>
      <c r="D103" s="359"/>
      <c r="E103" s="359"/>
      <c r="F103" s="359"/>
      <c r="G103" s="359"/>
      <c r="H103" s="312"/>
    </row>
    <row r="104" spans="1:8" x14ac:dyDescent="0.2">
      <c r="A104" s="356"/>
      <c r="B104" s="356"/>
      <c r="C104" s="359"/>
      <c r="D104" s="359"/>
      <c r="E104" s="359"/>
      <c r="F104" s="359"/>
      <c r="G104" s="359"/>
      <c r="H104" s="818"/>
    </row>
    <row r="105" spans="1:8" x14ac:dyDescent="0.2">
      <c r="A105" s="356"/>
      <c r="B105" s="356"/>
      <c r="C105" s="359"/>
      <c r="D105" s="359"/>
      <c r="E105" s="359"/>
      <c r="F105" s="359"/>
      <c r="G105" s="359"/>
      <c r="H105" s="818"/>
    </row>
    <row r="106" spans="1:8" x14ac:dyDescent="0.2">
      <c r="A106" s="356"/>
      <c r="B106" s="356"/>
      <c r="C106" s="359"/>
      <c r="D106" s="359"/>
      <c r="E106" s="359"/>
      <c r="F106" s="359"/>
      <c r="G106" s="359"/>
    </row>
    <row r="107" spans="1:8" s="287" customFormat="1" ht="15.75" customHeight="1" x14ac:dyDescent="0.2">
      <c r="A107" s="286"/>
      <c r="C107" s="361"/>
      <c r="D107" s="290"/>
      <c r="H107" s="307"/>
    </row>
    <row r="108" spans="1:8" s="287" customFormat="1" ht="10.5" customHeight="1" x14ac:dyDescent="0.2">
      <c r="A108" s="286"/>
      <c r="C108" s="361"/>
      <c r="D108" s="290"/>
      <c r="H108" s="307"/>
    </row>
    <row r="109" spans="1:8" s="287" customFormat="1" x14ac:dyDescent="0.2">
      <c r="A109" s="286"/>
      <c r="C109" s="361"/>
      <c r="D109" s="290"/>
      <c r="H109" s="307"/>
    </row>
    <row r="110" spans="1:8" s="287" customFormat="1" x14ac:dyDescent="0.2">
      <c r="A110" s="286"/>
      <c r="C110" s="361"/>
      <c r="D110" s="290"/>
      <c r="H110" s="307"/>
    </row>
    <row r="111" spans="1:8" s="287" customFormat="1" x14ac:dyDescent="0.2">
      <c r="A111" s="286"/>
      <c r="C111" s="361"/>
      <c r="D111" s="290"/>
      <c r="H111" s="307"/>
    </row>
    <row r="112" spans="1:8" s="287" customFormat="1" x14ac:dyDescent="0.2">
      <c r="A112" s="286"/>
      <c r="C112" s="361"/>
      <c r="D112" s="290"/>
      <c r="H112" s="307"/>
    </row>
    <row r="113" spans="1:8" s="287" customFormat="1" x14ac:dyDescent="0.2">
      <c r="A113" s="286"/>
      <c r="C113" s="361"/>
      <c r="D113" s="290"/>
      <c r="E113" s="290"/>
      <c r="F113" s="290"/>
      <c r="G113" s="290"/>
      <c r="H113" s="307"/>
    </row>
    <row r="115" spans="1:8" x14ac:dyDescent="0.2">
      <c r="H115" s="306"/>
    </row>
    <row r="116" spans="1:8" x14ac:dyDescent="0.2">
      <c r="E116" s="342"/>
      <c r="F116" s="342"/>
      <c r="G116" s="342"/>
      <c r="H116" s="306"/>
    </row>
    <row r="117" spans="1:8" x14ac:dyDescent="0.2">
      <c r="H117" s="306"/>
    </row>
    <row r="127" spans="1:8" x14ac:dyDescent="0.2">
      <c r="H127" s="306"/>
    </row>
    <row r="137" spans="8:8" x14ac:dyDescent="0.2">
      <c r="H137" s="306"/>
    </row>
    <row r="138" spans="8:8" x14ac:dyDescent="0.2">
      <c r="H138" s="306"/>
    </row>
    <row r="139" spans="8:8" x14ac:dyDescent="0.2">
      <c r="H139" s="306"/>
    </row>
    <row r="141" spans="8:8" x14ac:dyDescent="0.2">
      <c r="H141" s="306"/>
    </row>
    <row r="148" spans="1:8" s="363" customFormat="1" ht="45.75" customHeight="1" x14ac:dyDescent="0.2">
      <c r="C148" s="364"/>
      <c r="D148" s="364"/>
      <c r="H148" s="307"/>
    </row>
    <row r="149" spans="1:8" s="363" customFormat="1" x14ac:dyDescent="0.2">
      <c r="C149" s="364"/>
      <c r="D149" s="364"/>
      <c r="H149" s="307"/>
    </row>
    <row r="150" spans="1:8" x14ac:dyDescent="0.2">
      <c r="A150" s="306"/>
      <c r="B150" s="306"/>
      <c r="C150" s="307"/>
      <c r="D150" s="307"/>
      <c r="E150" s="306"/>
      <c r="F150" s="306"/>
      <c r="G150" s="306"/>
    </row>
    <row r="151" spans="1:8" ht="15.75" x14ac:dyDescent="0.2">
      <c r="A151" s="365"/>
      <c r="B151" s="306"/>
      <c r="C151" s="307"/>
      <c r="D151" s="307"/>
      <c r="E151" s="306"/>
      <c r="F151" s="306"/>
      <c r="G151" s="306"/>
    </row>
  </sheetData>
  <mergeCells count="5">
    <mergeCell ref="H1:H4"/>
    <mergeCell ref="A2:G2"/>
    <mergeCell ref="A3:G3"/>
    <mergeCell ref="A4:G4"/>
    <mergeCell ref="A87:B87"/>
  </mergeCells>
  <printOptions horizontalCentered="1"/>
  <pageMargins left="0" right="0" top="0.35433070866141736" bottom="0.47244094488188981" header="0.31496062992125984" footer="0.23622047244094491"/>
  <pageSetup scale="94" fitToHeight="0" orientation="landscape" r:id="rId1"/>
  <headerFooter>
    <oddFooter>&amp;C&amp;"Arial,Normal"&amp;8“Bajo protesta de decir verdad declaramos que los Estados Financieros y sus notas, son razonablemente correctos y son responsabilidad del emisor”</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146"/>
  <sheetViews>
    <sheetView view="pageBreakPreview" zoomScale="60" zoomScaleNormal="100" workbookViewId="0">
      <selection sqref="A1:H1"/>
    </sheetView>
  </sheetViews>
  <sheetFormatPr baseColWidth="10" defaultColWidth="11.42578125" defaultRowHeight="12.75" x14ac:dyDescent="0.2"/>
  <cols>
    <col min="1" max="1" width="6.7109375" style="309" bestFit="1" customWidth="1"/>
    <col min="2" max="2" width="56.85546875" style="306" customWidth="1"/>
    <col min="3" max="4" width="15.85546875" style="313" bestFit="1" customWidth="1"/>
    <col min="5" max="5" width="1.7109375" style="306" customWidth="1"/>
    <col min="6" max="6" width="6.7109375" style="309" bestFit="1" customWidth="1"/>
    <col min="7" max="7" width="60.28515625" style="306" customWidth="1"/>
    <col min="8" max="9" width="15.85546875" style="307" bestFit="1" customWidth="1"/>
    <col min="10" max="10" width="10.5703125" style="307" hidden="1" customWidth="1"/>
    <col min="11" max="11" width="3.28515625" style="307" bestFit="1" customWidth="1"/>
    <col min="12" max="12" width="16" style="306" bestFit="1" customWidth="1"/>
    <col min="13" max="13" width="14.85546875" style="306" bestFit="1" customWidth="1"/>
    <col min="14" max="14" width="13.85546875" style="306" bestFit="1" customWidth="1"/>
    <col min="15" max="15" width="15.85546875" style="306" customWidth="1"/>
    <col min="16" max="16384" width="11.42578125" style="306"/>
  </cols>
  <sheetData>
    <row r="1" spans="1:13" s="282" customFormat="1" ht="13.5" customHeight="1" x14ac:dyDescent="0.2">
      <c r="A1" s="283"/>
      <c r="C1" s="284"/>
      <c r="D1" s="284"/>
      <c r="F1" s="283"/>
      <c r="H1" s="285"/>
      <c r="I1" s="285"/>
      <c r="J1" s="285" t="s">
        <v>2450</v>
      </c>
      <c r="K1" s="635" t="s">
        <v>302</v>
      </c>
    </row>
    <row r="2" spans="1:13" s="281" customFormat="1" ht="18.75" x14ac:dyDescent="0.3">
      <c r="A2" s="1131" t="s">
        <v>566</v>
      </c>
      <c r="B2" s="1131"/>
      <c r="C2" s="1131"/>
      <c r="D2" s="1131"/>
      <c r="E2" s="1131"/>
      <c r="F2" s="1131"/>
      <c r="G2" s="1131"/>
      <c r="H2" s="1131"/>
      <c r="I2" s="1131"/>
      <c r="J2" s="1131"/>
      <c r="K2" s="1132"/>
    </row>
    <row r="3" spans="1:13" s="281" customFormat="1" ht="18.75" x14ac:dyDescent="0.3">
      <c r="A3" s="1131" t="s">
        <v>10493</v>
      </c>
      <c r="B3" s="1131"/>
      <c r="C3" s="1131"/>
      <c r="D3" s="1131"/>
      <c r="E3" s="1131"/>
      <c r="F3" s="1131"/>
      <c r="G3" s="1131"/>
      <c r="H3" s="1131"/>
      <c r="I3" s="1131"/>
      <c r="J3" s="1131"/>
      <c r="K3" s="1132"/>
    </row>
    <row r="4" spans="1:13" s="282" customFormat="1" ht="18.75" x14ac:dyDescent="0.3">
      <c r="A4" s="1131" t="s">
        <v>11737</v>
      </c>
      <c r="B4" s="1131"/>
      <c r="C4" s="1131"/>
      <c r="D4" s="1131"/>
      <c r="E4" s="1131"/>
      <c r="F4" s="1131"/>
      <c r="G4" s="1131"/>
      <c r="H4" s="1131"/>
      <c r="I4" s="1131"/>
      <c r="J4" s="1131"/>
      <c r="K4" s="1132"/>
    </row>
    <row r="5" spans="1:13" s="282" customFormat="1" ht="13.5" customHeight="1" x14ac:dyDescent="0.2">
      <c r="A5" s="283"/>
      <c r="C5" s="284"/>
      <c r="D5" s="284"/>
      <c r="F5" s="283"/>
      <c r="H5" s="285"/>
      <c r="I5" s="285"/>
      <c r="J5" s="285" t="s">
        <v>2450</v>
      </c>
      <c r="K5" s="1132"/>
    </row>
    <row r="6" spans="1:13" s="287" customFormat="1" x14ac:dyDescent="0.2">
      <c r="A6" s="286"/>
      <c r="C6" s="288">
        <v>2018</v>
      </c>
      <c r="D6" s="288">
        <v>2017</v>
      </c>
      <c r="F6" s="286"/>
      <c r="H6" s="288">
        <v>2018</v>
      </c>
      <c r="I6" s="288">
        <v>2017</v>
      </c>
      <c r="J6" s="288"/>
      <c r="K6" s="288"/>
    </row>
    <row r="7" spans="1:13" s="287" customFormat="1" x14ac:dyDescent="0.2">
      <c r="A7" s="283">
        <v>1</v>
      </c>
      <c r="B7" s="282" t="s">
        <v>1</v>
      </c>
      <c r="F7" s="283">
        <v>2</v>
      </c>
      <c r="G7" s="282" t="s">
        <v>2</v>
      </c>
      <c r="K7" s="295"/>
    </row>
    <row r="8" spans="1:13" s="287" customFormat="1" x14ac:dyDescent="0.2">
      <c r="A8" s="283">
        <v>1.1000000000000001</v>
      </c>
      <c r="B8" s="282" t="s">
        <v>567</v>
      </c>
      <c r="C8" s="289">
        <f>C9+C13+C18+C22+C23+C24+C25</f>
        <v>51553822.710000001</v>
      </c>
      <c r="D8" s="289">
        <f>D9+D13+D18+D22+D23+D24+D25</f>
        <v>155552421.65000001</v>
      </c>
      <c r="F8" s="283">
        <v>2.1</v>
      </c>
      <c r="G8" s="282" t="s">
        <v>568</v>
      </c>
      <c r="H8" s="289">
        <f>+H9+H15+H16+H17+H18+H19+H20+H21</f>
        <v>47712196.189999998</v>
      </c>
      <c r="I8" s="289">
        <f>+I9+I15+I16+I17+I18+I19+I20+I21</f>
        <v>36538019.160000004</v>
      </c>
      <c r="J8" s="289"/>
      <c r="K8" s="291"/>
      <c r="L8" s="290"/>
    </row>
    <row r="9" spans="1:13" s="287" customFormat="1" x14ac:dyDescent="0.2">
      <c r="A9" s="283" t="s">
        <v>5</v>
      </c>
      <c r="B9" s="282" t="s">
        <v>6</v>
      </c>
      <c r="C9" s="291">
        <f>SUM(C10:C12)</f>
        <v>29971515.989999998</v>
      </c>
      <c r="D9" s="291">
        <f>SUM(D10:D12)</f>
        <v>150781040.81</v>
      </c>
      <c r="F9" s="283" t="s">
        <v>7</v>
      </c>
      <c r="G9" s="282" t="s">
        <v>8</v>
      </c>
      <c r="H9" s="280">
        <f>SUM(H10:H14)</f>
        <v>47712196.189999998</v>
      </c>
      <c r="I9" s="280">
        <f>SUM(I10:I14)</f>
        <v>36538019.160000004</v>
      </c>
      <c r="J9" s="280"/>
      <c r="K9" s="280"/>
      <c r="L9" s="290"/>
      <c r="M9" s="290"/>
    </row>
    <row r="10" spans="1:13" s="287" customFormat="1" x14ac:dyDescent="0.2">
      <c r="A10" s="286" t="s">
        <v>569</v>
      </c>
      <c r="B10" s="621" t="s">
        <v>570</v>
      </c>
      <c r="C10" s="280">
        <v>38000</v>
      </c>
      <c r="D10" s="280">
        <v>63000</v>
      </c>
      <c r="F10" s="287" t="s">
        <v>571</v>
      </c>
      <c r="G10" s="621" t="s">
        <v>572</v>
      </c>
      <c r="H10" s="280">
        <v>86967.06</v>
      </c>
      <c r="I10" s="280">
        <v>300351.43</v>
      </c>
      <c r="J10" s="280"/>
      <c r="K10" s="280"/>
      <c r="M10" s="290"/>
    </row>
    <row r="11" spans="1:13" s="287" customFormat="1" x14ac:dyDescent="0.2">
      <c r="A11" s="286" t="s">
        <v>573</v>
      </c>
      <c r="B11" s="621" t="s">
        <v>574</v>
      </c>
      <c r="C11" s="280">
        <v>29933515.989999998</v>
      </c>
      <c r="D11" s="280">
        <v>3753040.81</v>
      </c>
      <c r="F11" s="286" t="s">
        <v>575</v>
      </c>
      <c r="G11" s="621" t="s">
        <v>576</v>
      </c>
      <c r="H11" s="280">
        <v>27814757.43</v>
      </c>
      <c r="I11" s="280">
        <v>23898662.949999999</v>
      </c>
      <c r="J11" s="280"/>
      <c r="K11" s="280"/>
    </row>
    <row r="12" spans="1:13" s="287" customFormat="1" x14ac:dyDescent="0.2">
      <c r="A12" s="287" t="s">
        <v>577</v>
      </c>
      <c r="B12" s="621" t="s">
        <v>578</v>
      </c>
      <c r="C12" s="280">
        <v>0</v>
      </c>
      <c r="D12" s="280">
        <v>146965000</v>
      </c>
      <c r="F12" s="286" t="s">
        <v>579</v>
      </c>
      <c r="G12" s="621" t="s">
        <v>2451</v>
      </c>
      <c r="H12" s="280">
        <v>9756031.9499999993</v>
      </c>
      <c r="I12" s="280">
        <v>837747.39</v>
      </c>
      <c r="J12" s="280"/>
      <c r="K12" s="280"/>
    </row>
    <row r="13" spans="1:13" s="287" customFormat="1" x14ac:dyDescent="0.2">
      <c r="A13" s="283" t="s">
        <v>9</v>
      </c>
      <c r="B13" s="282" t="s">
        <v>10</v>
      </c>
      <c r="C13" s="291">
        <f>SUM(C14:C17)</f>
        <v>19881532.32</v>
      </c>
      <c r="D13" s="291">
        <f>SUM(D14:D17)</f>
        <v>2447528.84</v>
      </c>
      <c r="F13" s="287" t="s">
        <v>580</v>
      </c>
      <c r="G13" s="621" t="s">
        <v>581</v>
      </c>
      <c r="H13" s="280">
        <v>8934031.2899999991</v>
      </c>
      <c r="I13" s="280">
        <v>10392449.4</v>
      </c>
      <c r="J13" s="280"/>
      <c r="K13" s="280"/>
    </row>
    <row r="14" spans="1:13" s="287" customFormat="1" x14ac:dyDescent="0.2">
      <c r="A14" s="286" t="s">
        <v>582</v>
      </c>
      <c r="B14" s="621" t="s">
        <v>583</v>
      </c>
      <c r="C14" s="280">
        <v>19881532.32</v>
      </c>
      <c r="D14" s="280">
        <v>2447528.84</v>
      </c>
      <c r="F14" s="287" t="s">
        <v>584</v>
      </c>
      <c r="G14" s="621" t="s">
        <v>585</v>
      </c>
      <c r="H14" s="280">
        <v>1120408.46</v>
      </c>
      <c r="I14" s="280">
        <v>1108807.99</v>
      </c>
      <c r="J14" s="280"/>
      <c r="K14" s="280"/>
    </row>
    <row r="15" spans="1:13" s="287" customFormat="1" x14ac:dyDescent="0.2">
      <c r="A15" s="286" t="s">
        <v>586</v>
      </c>
      <c r="B15" s="621" t="s">
        <v>587</v>
      </c>
      <c r="C15" s="280">
        <v>0</v>
      </c>
      <c r="D15" s="280">
        <v>0</v>
      </c>
      <c r="F15" s="283" t="s">
        <v>11</v>
      </c>
      <c r="G15" s="282" t="s">
        <v>12</v>
      </c>
      <c r="H15" s="280">
        <v>0</v>
      </c>
      <c r="I15" s="280">
        <v>0</v>
      </c>
      <c r="J15" s="280"/>
      <c r="K15" s="280"/>
    </row>
    <row r="16" spans="1:13" s="287" customFormat="1" x14ac:dyDescent="0.2">
      <c r="A16" s="286" t="s">
        <v>588</v>
      </c>
      <c r="B16" s="621" t="s">
        <v>589</v>
      </c>
      <c r="C16" s="280">
        <v>0</v>
      </c>
      <c r="D16" s="280">
        <v>0</v>
      </c>
      <c r="F16" s="283" t="s">
        <v>15</v>
      </c>
      <c r="G16" s="282" t="s">
        <v>16</v>
      </c>
      <c r="H16" s="280">
        <v>0</v>
      </c>
      <c r="I16" s="280">
        <v>0</v>
      </c>
      <c r="J16" s="280"/>
      <c r="K16" s="280"/>
    </row>
    <row r="17" spans="1:13" s="287" customFormat="1" x14ac:dyDescent="0.2">
      <c r="A17" s="286" t="s">
        <v>590</v>
      </c>
      <c r="B17" s="621" t="s">
        <v>591</v>
      </c>
      <c r="C17" s="280">
        <v>0</v>
      </c>
      <c r="D17" s="280">
        <v>0</v>
      </c>
      <c r="F17" s="283" t="s">
        <v>19</v>
      </c>
      <c r="G17" s="282" t="s">
        <v>20</v>
      </c>
      <c r="H17" s="280">
        <v>0</v>
      </c>
      <c r="I17" s="280">
        <v>0</v>
      </c>
      <c r="J17" s="280"/>
      <c r="K17" s="280"/>
    </row>
    <row r="18" spans="1:13" s="287" customFormat="1" x14ac:dyDescent="0.2">
      <c r="A18" s="283" t="s">
        <v>13</v>
      </c>
      <c r="B18" s="282" t="s">
        <v>14</v>
      </c>
      <c r="C18" s="291">
        <f>SUM(C19:C21)</f>
        <v>6890.4</v>
      </c>
      <c r="D18" s="291">
        <f>SUM(D19:D21)</f>
        <v>629968</v>
      </c>
      <c r="F18" s="283" t="s">
        <v>592</v>
      </c>
      <c r="G18" s="282" t="s">
        <v>23</v>
      </c>
      <c r="H18" s="280">
        <v>0</v>
      </c>
      <c r="I18" s="280">
        <v>0</v>
      </c>
      <c r="J18" s="280"/>
      <c r="K18" s="280"/>
    </row>
    <row r="19" spans="1:13" s="287" customFormat="1" x14ac:dyDescent="0.2">
      <c r="A19" s="286" t="s">
        <v>593</v>
      </c>
      <c r="B19" s="621" t="s">
        <v>594</v>
      </c>
      <c r="C19" s="280">
        <v>0</v>
      </c>
      <c r="D19" s="280">
        <v>623077.6</v>
      </c>
      <c r="F19" s="283" t="s">
        <v>595</v>
      </c>
      <c r="G19" s="282" t="s">
        <v>26</v>
      </c>
      <c r="H19" s="280">
        <v>0</v>
      </c>
      <c r="I19" s="280">
        <v>0</v>
      </c>
      <c r="J19" s="280"/>
      <c r="K19" s="280"/>
    </row>
    <row r="20" spans="1:13" s="287" customFormat="1" x14ac:dyDescent="0.2">
      <c r="A20" s="286" t="s">
        <v>596</v>
      </c>
      <c r="B20" s="621" t="s">
        <v>597</v>
      </c>
      <c r="C20" s="280">
        <v>6890.4</v>
      </c>
      <c r="D20" s="280">
        <v>6890.4</v>
      </c>
      <c r="F20" s="283" t="s">
        <v>598</v>
      </c>
      <c r="G20" s="282" t="s">
        <v>29</v>
      </c>
      <c r="H20" s="280">
        <v>0</v>
      </c>
      <c r="I20" s="280">
        <v>0</v>
      </c>
      <c r="J20" s="280"/>
      <c r="K20" s="280"/>
    </row>
    <row r="21" spans="1:13" s="287" customFormat="1" x14ac:dyDescent="0.2">
      <c r="A21" s="286" t="s">
        <v>599</v>
      </c>
      <c r="B21" s="621" t="s">
        <v>2452</v>
      </c>
      <c r="C21" s="280">
        <v>0</v>
      </c>
      <c r="D21" s="280">
        <v>0</v>
      </c>
      <c r="F21" s="282" t="s">
        <v>600</v>
      </c>
      <c r="G21" s="282" t="s">
        <v>30</v>
      </c>
      <c r="H21" s="280">
        <v>0</v>
      </c>
      <c r="I21" s="280">
        <v>0</v>
      </c>
      <c r="J21" s="280"/>
      <c r="K21" s="280"/>
    </row>
    <row r="22" spans="1:13" s="287" customFormat="1" ht="13.5" customHeight="1" x14ac:dyDescent="0.2">
      <c r="A22" s="283" t="s">
        <v>17</v>
      </c>
      <c r="B22" s="282" t="s">
        <v>18</v>
      </c>
      <c r="C22" s="291">
        <v>0</v>
      </c>
      <c r="D22" s="291">
        <v>0</v>
      </c>
      <c r="H22" s="280"/>
      <c r="I22" s="280"/>
      <c r="J22" s="280"/>
      <c r="K22" s="280"/>
    </row>
    <row r="23" spans="1:13" s="287" customFormat="1" x14ac:dyDescent="0.2">
      <c r="A23" s="283" t="s">
        <v>21</v>
      </c>
      <c r="B23" s="282" t="s">
        <v>22</v>
      </c>
      <c r="C23" s="291">
        <v>0</v>
      </c>
      <c r="D23" s="291">
        <v>0</v>
      </c>
      <c r="F23" s="283">
        <v>2.2000000000000002</v>
      </c>
      <c r="G23" s="282" t="s">
        <v>601</v>
      </c>
      <c r="H23" s="289">
        <f>+H24+H25+H26+H28+H29+H30</f>
        <v>9999999.6899999995</v>
      </c>
      <c r="I23" s="289">
        <f>+I24+I25+I26+I28+I29+I30</f>
        <v>14999999.73</v>
      </c>
      <c r="J23" s="289"/>
      <c r="K23" s="291"/>
    </row>
    <row r="24" spans="1:13" s="287" customFormat="1" x14ac:dyDescent="0.2">
      <c r="A24" s="283" t="s">
        <v>24</v>
      </c>
      <c r="B24" s="282" t="s">
        <v>25</v>
      </c>
      <c r="C24" s="291">
        <v>0</v>
      </c>
      <c r="D24" s="291">
        <v>0</v>
      </c>
      <c r="F24" s="283" t="s">
        <v>35</v>
      </c>
      <c r="G24" s="282" t="s">
        <v>8</v>
      </c>
      <c r="H24" s="280">
        <v>0</v>
      </c>
      <c r="I24" s="280">
        <v>0</v>
      </c>
      <c r="J24" s="280"/>
      <c r="K24" s="280"/>
      <c r="L24" s="290"/>
    </row>
    <row r="25" spans="1:13" s="287" customFormat="1" x14ac:dyDescent="0.2">
      <c r="A25" s="283" t="s">
        <v>27</v>
      </c>
      <c r="B25" s="282" t="s">
        <v>28</v>
      </c>
      <c r="C25" s="291">
        <f>SUM(C26)</f>
        <v>1693884</v>
      </c>
      <c r="D25" s="291">
        <f>SUM(D26)</f>
        <v>1693884</v>
      </c>
      <c r="F25" s="283" t="s">
        <v>39</v>
      </c>
      <c r="G25" s="282" t="s">
        <v>40</v>
      </c>
      <c r="H25" s="280">
        <v>0</v>
      </c>
      <c r="I25" s="280">
        <v>0</v>
      </c>
      <c r="J25" s="280"/>
      <c r="K25" s="280"/>
    </row>
    <row r="26" spans="1:13" s="287" customFormat="1" x14ac:dyDescent="0.2">
      <c r="A26" s="286" t="s">
        <v>602</v>
      </c>
      <c r="B26" s="621" t="s">
        <v>603</v>
      </c>
      <c r="C26" s="280">
        <v>1693884</v>
      </c>
      <c r="D26" s="280">
        <v>1693884</v>
      </c>
      <c r="F26" s="283" t="s">
        <v>43</v>
      </c>
      <c r="G26" s="282" t="s">
        <v>44</v>
      </c>
      <c r="H26" s="291">
        <f>SUM(H27)</f>
        <v>9999999.6899999995</v>
      </c>
      <c r="I26" s="291">
        <f>SUM(I27)</f>
        <v>14999999.73</v>
      </c>
      <c r="J26" s="291"/>
      <c r="K26" s="291"/>
      <c r="M26" s="290"/>
    </row>
    <row r="27" spans="1:13" s="287" customFormat="1" x14ac:dyDescent="0.2">
      <c r="A27" s="283">
        <v>1.2</v>
      </c>
      <c r="B27" s="282" t="s">
        <v>606</v>
      </c>
      <c r="C27" s="289">
        <f>+C30+C34+C44+C41+C48</f>
        <v>970299736.83000004</v>
      </c>
      <c r="D27" s="289">
        <f>+D30+D34+D44+D41</f>
        <v>1088747496.5900002</v>
      </c>
      <c r="F27" s="287" t="s">
        <v>604</v>
      </c>
      <c r="G27" s="621" t="s">
        <v>605</v>
      </c>
      <c r="H27" s="280">
        <v>9999999.6899999995</v>
      </c>
      <c r="I27" s="280">
        <v>14999999.73</v>
      </c>
      <c r="J27" s="280"/>
      <c r="K27" s="280"/>
      <c r="L27" s="290"/>
    </row>
    <row r="28" spans="1:13" s="287" customFormat="1" x14ac:dyDescent="0.2">
      <c r="A28" s="283" t="s">
        <v>33</v>
      </c>
      <c r="B28" s="282" t="s">
        <v>34</v>
      </c>
      <c r="C28" s="280">
        <v>0</v>
      </c>
      <c r="D28" s="280">
        <v>0</v>
      </c>
      <c r="F28" s="283" t="s">
        <v>607</v>
      </c>
      <c r="G28" s="282" t="s">
        <v>47</v>
      </c>
      <c r="H28" s="280">
        <v>0</v>
      </c>
      <c r="I28" s="280">
        <v>0</v>
      </c>
      <c r="J28" s="280"/>
      <c r="K28" s="280"/>
    </row>
    <row r="29" spans="1:13" s="287" customFormat="1" x14ac:dyDescent="0.2">
      <c r="A29" s="283" t="s">
        <v>37</v>
      </c>
      <c r="B29" s="282" t="s">
        <v>38</v>
      </c>
      <c r="C29" s="280">
        <v>0</v>
      </c>
      <c r="D29" s="280">
        <v>0</v>
      </c>
      <c r="F29" s="282" t="s">
        <v>608</v>
      </c>
      <c r="G29" s="282" t="s">
        <v>50</v>
      </c>
      <c r="H29" s="280">
        <v>0</v>
      </c>
      <c r="I29" s="280">
        <v>0</v>
      </c>
      <c r="J29" s="280"/>
      <c r="K29" s="280"/>
      <c r="M29" s="290"/>
    </row>
    <row r="30" spans="1:13" s="287" customFormat="1" x14ac:dyDescent="0.2">
      <c r="A30" s="283" t="s">
        <v>41</v>
      </c>
      <c r="B30" s="282" t="s">
        <v>42</v>
      </c>
      <c r="C30" s="292">
        <f>SUM(C31:C33)</f>
        <v>946650837.32000005</v>
      </c>
      <c r="D30" s="292">
        <f>SUM(D31:D33)</f>
        <v>1043690311.88</v>
      </c>
      <c r="F30" s="282" t="s">
        <v>609</v>
      </c>
      <c r="G30" s="282" t="s">
        <v>53</v>
      </c>
      <c r="H30" s="280">
        <v>0</v>
      </c>
      <c r="I30" s="280">
        <v>0</v>
      </c>
      <c r="J30" s="280"/>
      <c r="K30" s="280"/>
    </row>
    <row r="31" spans="1:13" s="287" customFormat="1" x14ac:dyDescent="0.2">
      <c r="A31" s="286" t="s">
        <v>610</v>
      </c>
      <c r="B31" s="621" t="s">
        <v>611</v>
      </c>
      <c r="C31" s="280">
        <v>752869784.87</v>
      </c>
      <c r="D31" s="280">
        <v>752869784.87</v>
      </c>
      <c r="F31" s="286"/>
      <c r="H31" s="280"/>
      <c r="I31" s="280"/>
      <c r="J31" s="280"/>
      <c r="K31" s="280"/>
    </row>
    <row r="32" spans="1:13" s="287" customFormat="1" x14ac:dyDescent="0.2">
      <c r="A32" s="286" t="s">
        <v>612</v>
      </c>
      <c r="B32" s="621" t="s">
        <v>613</v>
      </c>
      <c r="C32" s="280">
        <v>190994376.74000001</v>
      </c>
      <c r="D32" s="280">
        <v>190994376.74000001</v>
      </c>
      <c r="G32" s="282" t="s">
        <v>2453</v>
      </c>
      <c r="H32" s="289">
        <f>+H23+H8</f>
        <v>57712195.879999995</v>
      </c>
      <c r="I32" s="289">
        <f>+I23+I8</f>
        <v>51538018.890000001</v>
      </c>
      <c r="J32" s="289"/>
      <c r="K32" s="291"/>
    </row>
    <row r="33" spans="1:14" s="287" customFormat="1" x14ac:dyDescent="0.2">
      <c r="A33" s="286" t="s">
        <v>1206</v>
      </c>
      <c r="B33" s="621" t="s">
        <v>614</v>
      </c>
      <c r="C33" s="280">
        <v>2786675.71</v>
      </c>
      <c r="D33" s="280">
        <f>178830624.56-79004474.29</f>
        <v>99826150.269999996</v>
      </c>
      <c r="F33" s="286"/>
      <c r="K33" s="295"/>
    </row>
    <row r="34" spans="1:14" s="287" customFormat="1" x14ac:dyDescent="0.2">
      <c r="A34" s="283" t="s">
        <v>45</v>
      </c>
      <c r="B34" s="282" t="s">
        <v>46</v>
      </c>
      <c r="C34" s="292">
        <f>SUM(C35:C40)</f>
        <v>137169749.30000001</v>
      </c>
      <c r="D34" s="292">
        <f>SUM(D35:D40)</f>
        <v>136524908.01999998</v>
      </c>
      <c r="F34" s="283">
        <v>3</v>
      </c>
      <c r="G34" s="282" t="s">
        <v>615</v>
      </c>
      <c r="H34" s="291">
        <f>H35+H40</f>
        <v>964141363.66000009</v>
      </c>
      <c r="I34" s="291">
        <f>I35+I40</f>
        <v>1192761899.3499999</v>
      </c>
      <c r="J34" s="291"/>
      <c r="K34" s="291"/>
    </row>
    <row r="35" spans="1:14" s="287" customFormat="1" x14ac:dyDescent="0.2">
      <c r="A35" s="286" t="s">
        <v>617</v>
      </c>
      <c r="B35" s="621" t="s">
        <v>618</v>
      </c>
      <c r="C35" s="280">
        <v>13127034.98</v>
      </c>
      <c r="D35" s="280">
        <v>12810278.59</v>
      </c>
      <c r="F35" s="283">
        <v>3.1</v>
      </c>
      <c r="G35" s="282" t="s">
        <v>616</v>
      </c>
      <c r="H35" s="289">
        <f>SUM(H36:H38)</f>
        <v>0</v>
      </c>
      <c r="I35" s="289">
        <f>SUM(I36:I38)</f>
        <v>0</v>
      </c>
      <c r="J35" s="289"/>
      <c r="K35" s="291"/>
    </row>
    <row r="36" spans="1:14" s="287" customFormat="1" x14ac:dyDescent="0.2">
      <c r="A36" s="286" t="s">
        <v>619</v>
      </c>
      <c r="B36" s="621" t="s">
        <v>620</v>
      </c>
      <c r="C36" s="280">
        <v>641337.4</v>
      </c>
      <c r="D36" s="280">
        <v>630632.55000000005</v>
      </c>
      <c r="F36" s="283" t="s">
        <v>58</v>
      </c>
      <c r="G36" s="282" t="s">
        <v>59</v>
      </c>
      <c r="H36" s="280">
        <v>0</v>
      </c>
      <c r="I36" s="280">
        <v>0</v>
      </c>
      <c r="J36" s="280"/>
      <c r="K36" s="280"/>
    </row>
    <row r="37" spans="1:14" s="287" customFormat="1" x14ac:dyDescent="0.2">
      <c r="A37" s="286" t="s">
        <v>7473</v>
      </c>
      <c r="B37" s="621" t="s">
        <v>8080</v>
      </c>
      <c r="C37" s="280">
        <v>49536.77</v>
      </c>
      <c r="D37" s="280">
        <v>49536.77</v>
      </c>
      <c r="F37" s="283" t="s">
        <v>60</v>
      </c>
      <c r="G37" s="282" t="s">
        <v>61</v>
      </c>
      <c r="H37" s="280">
        <v>0</v>
      </c>
      <c r="I37" s="280">
        <v>0</v>
      </c>
      <c r="J37" s="280"/>
      <c r="K37" s="280"/>
    </row>
    <row r="38" spans="1:14" s="287" customFormat="1" x14ac:dyDescent="0.2">
      <c r="A38" s="286" t="s">
        <v>621</v>
      </c>
      <c r="B38" s="621" t="s">
        <v>510</v>
      </c>
      <c r="C38" s="280">
        <v>107205304.75</v>
      </c>
      <c r="D38" s="280">
        <v>107179804.75</v>
      </c>
      <c r="F38" s="283" t="s">
        <v>62</v>
      </c>
      <c r="G38" s="282" t="s">
        <v>190</v>
      </c>
      <c r="H38" s="280">
        <v>0</v>
      </c>
      <c r="I38" s="280">
        <v>0</v>
      </c>
      <c r="J38" s="280"/>
      <c r="K38" s="280"/>
    </row>
    <row r="39" spans="1:14" s="287" customFormat="1" x14ac:dyDescent="0.2">
      <c r="A39" s="286" t="s">
        <v>622</v>
      </c>
      <c r="B39" s="621" t="s">
        <v>623</v>
      </c>
      <c r="C39" s="280">
        <v>16123335.4</v>
      </c>
      <c r="D39" s="280">
        <v>15831455.359999999</v>
      </c>
      <c r="K39" s="295"/>
    </row>
    <row r="40" spans="1:14" s="287" customFormat="1" x14ac:dyDescent="0.2">
      <c r="A40" s="286" t="s">
        <v>624</v>
      </c>
      <c r="B40" s="621" t="s">
        <v>625</v>
      </c>
      <c r="C40" s="280">
        <v>23200</v>
      </c>
      <c r="D40" s="280">
        <v>23200</v>
      </c>
      <c r="F40" s="283">
        <v>3.2</v>
      </c>
      <c r="G40" s="282" t="s">
        <v>626</v>
      </c>
      <c r="H40" s="289">
        <f>+H41+H42+H43+H45+H47</f>
        <v>964141363.66000009</v>
      </c>
      <c r="I40" s="289">
        <f>+I41+I42+I43+I45+I47</f>
        <v>1192761899.3499999</v>
      </c>
      <c r="J40" s="289"/>
      <c r="K40" s="291"/>
    </row>
    <row r="41" spans="1:14" s="287" customFormat="1" x14ac:dyDescent="0.2">
      <c r="A41" s="283" t="s">
        <v>48</v>
      </c>
      <c r="B41" s="282" t="s">
        <v>49</v>
      </c>
      <c r="C41" s="291">
        <f>SUM(C42:C43)</f>
        <v>285855.8</v>
      </c>
      <c r="D41" s="291">
        <f>SUM(D42:D43)</f>
        <v>285855.8</v>
      </c>
      <c r="F41" s="283" t="s">
        <v>65</v>
      </c>
      <c r="G41" s="282" t="s">
        <v>66</v>
      </c>
      <c r="H41" s="280">
        <v>-128794385.42</v>
      </c>
      <c r="I41" s="280">
        <v>179816003.84</v>
      </c>
      <c r="J41" s="280"/>
      <c r="K41" s="280"/>
      <c r="N41" s="290"/>
    </row>
    <row r="42" spans="1:14" s="287" customFormat="1" x14ac:dyDescent="0.2">
      <c r="A42" s="287" t="s">
        <v>627</v>
      </c>
      <c r="B42" s="621" t="s">
        <v>628</v>
      </c>
      <c r="C42" s="280">
        <v>206697.4</v>
      </c>
      <c r="D42" s="280">
        <v>206697.4</v>
      </c>
      <c r="F42" s="283" t="s">
        <v>67</v>
      </c>
      <c r="G42" s="282" t="s">
        <v>68</v>
      </c>
      <c r="H42" s="280">
        <v>268060820.13</v>
      </c>
      <c r="I42" s="280">
        <f>196496457.89-8425491.33</f>
        <v>188070966.55999997</v>
      </c>
      <c r="J42" s="280"/>
      <c r="K42" s="280"/>
      <c r="L42" s="290"/>
      <c r="M42" s="280"/>
    </row>
    <row r="43" spans="1:14" s="287" customFormat="1" ht="12" customHeight="1" x14ac:dyDescent="0.2">
      <c r="A43" s="287" t="s">
        <v>703</v>
      </c>
      <c r="B43" s="621" t="s">
        <v>704</v>
      </c>
      <c r="C43" s="280">
        <v>79158.399999999994</v>
      </c>
      <c r="D43" s="280">
        <v>79158.399999999994</v>
      </c>
      <c r="F43" s="283" t="s">
        <v>69</v>
      </c>
      <c r="G43" s="282" t="s">
        <v>70</v>
      </c>
      <c r="H43" s="291">
        <v>824874928.95000005</v>
      </c>
      <c r="I43" s="291">
        <v>824874928.95000005</v>
      </c>
      <c r="J43" s="291"/>
      <c r="K43" s="291"/>
      <c r="L43" s="290"/>
      <c r="M43" s="290"/>
    </row>
    <row r="44" spans="1:14" s="287" customFormat="1" ht="12" customHeight="1" x14ac:dyDescent="0.2">
      <c r="A44" s="283" t="s">
        <v>51</v>
      </c>
      <c r="B44" s="282" t="s">
        <v>52</v>
      </c>
      <c r="C44" s="291">
        <f>SUM(C45:C47)</f>
        <v>-113806705.59</v>
      </c>
      <c r="D44" s="291">
        <f>SUM(D45:D47)</f>
        <v>-91753579.109999999</v>
      </c>
      <c r="F44" s="283" t="s">
        <v>71</v>
      </c>
      <c r="G44" s="282" t="s">
        <v>72</v>
      </c>
      <c r="H44" s="291">
        <f>SUM(H88:H90)</f>
        <v>0</v>
      </c>
      <c r="I44" s="291">
        <f>SUM(I88:I90)</f>
        <v>0</v>
      </c>
      <c r="J44" s="291"/>
      <c r="K44" s="291"/>
      <c r="L44" s="290"/>
    </row>
    <row r="45" spans="1:14" s="287" customFormat="1" x14ac:dyDescent="0.2">
      <c r="A45" s="287" t="s">
        <v>705</v>
      </c>
      <c r="B45" s="621" t="s">
        <v>706</v>
      </c>
      <c r="C45" s="280">
        <v>-18908443.32</v>
      </c>
      <c r="D45" s="280">
        <v>-12605628.84</v>
      </c>
      <c r="F45" s="283" t="s">
        <v>73</v>
      </c>
      <c r="G45" s="282" t="s">
        <v>74</v>
      </c>
      <c r="H45" s="280">
        <f>SUM(H92:H93)</f>
        <v>0</v>
      </c>
      <c r="I45" s="280">
        <f>SUM(I92:I93)</f>
        <v>0</v>
      </c>
      <c r="J45" s="280"/>
      <c r="K45" s="280"/>
    </row>
    <row r="46" spans="1:14" s="287" customFormat="1" x14ac:dyDescent="0.2">
      <c r="A46" s="287" t="s">
        <v>629</v>
      </c>
      <c r="B46" s="621" t="s">
        <v>630</v>
      </c>
      <c r="C46" s="280">
        <v>-94840726.269999996</v>
      </c>
      <c r="D46" s="280">
        <v>-79090414.269999996</v>
      </c>
      <c r="F46" s="283"/>
      <c r="G46" s="282"/>
      <c r="H46" s="280"/>
      <c r="I46" s="280"/>
      <c r="J46" s="280"/>
      <c r="K46" s="280"/>
    </row>
    <row r="47" spans="1:14" s="287" customFormat="1" x14ac:dyDescent="0.2">
      <c r="A47" s="287" t="s">
        <v>707</v>
      </c>
      <c r="B47" s="621" t="s">
        <v>2471</v>
      </c>
      <c r="C47" s="280">
        <v>-57536</v>
      </c>
      <c r="D47" s="280">
        <v>-57536</v>
      </c>
      <c r="F47" s="283"/>
      <c r="G47" s="282"/>
      <c r="H47" s="280"/>
      <c r="I47" s="280"/>
      <c r="J47" s="280"/>
      <c r="K47" s="280"/>
    </row>
    <row r="48" spans="1:14" s="287" customFormat="1" ht="14.25" customHeight="1" x14ac:dyDescent="0.2">
      <c r="A48" s="283" t="s">
        <v>8601</v>
      </c>
      <c r="B48" s="282" t="s">
        <v>54</v>
      </c>
      <c r="C48" s="291">
        <f>SUM(C49)</f>
        <v>0</v>
      </c>
      <c r="D48" s="280">
        <v>0</v>
      </c>
      <c r="K48" s="295"/>
    </row>
    <row r="49" spans="1:64" s="287" customFormat="1" x14ac:dyDescent="0.2">
      <c r="A49" s="287" t="s">
        <v>8602</v>
      </c>
      <c r="B49" s="621" t="s">
        <v>8603</v>
      </c>
      <c r="C49" s="280">
        <v>0</v>
      </c>
      <c r="D49" s="280">
        <v>0</v>
      </c>
      <c r="F49" s="283" t="s">
        <v>73</v>
      </c>
      <c r="G49" s="282" t="s">
        <v>74</v>
      </c>
      <c r="H49" s="280">
        <f>SUM(H96:H97)</f>
        <v>0</v>
      </c>
      <c r="I49" s="280">
        <f>SUM(I96:I97)</f>
        <v>0</v>
      </c>
      <c r="J49" s="280"/>
      <c r="K49" s="280"/>
    </row>
    <row r="50" spans="1:64" s="287" customFormat="1" ht="7.5" customHeight="1" x14ac:dyDescent="0.2">
      <c r="A50" s="286"/>
      <c r="C50" s="280"/>
      <c r="D50" s="280"/>
      <c r="K50" s="295"/>
    </row>
    <row r="51" spans="1:64" s="287" customFormat="1" x14ac:dyDescent="0.2">
      <c r="B51" s="282" t="s">
        <v>2454</v>
      </c>
      <c r="C51" s="293">
        <f>+C27+C8</f>
        <v>1021853559.5400001</v>
      </c>
      <c r="D51" s="293">
        <f>+D27+D8</f>
        <v>1244299918.2400002</v>
      </c>
      <c r="G51" s="282" t="s">
        <v>2455</v>
      </c>
      <c r="H51" s="289">
        <f>+H32+H34</f>
        <v>1021853559.5400001</v>
      </c>
      <c r="I51" s="289">
        <f>+I32+I34</f>
        <v>1244299918.24</v>
      </c>
      <c r="J51" s="289"/>
      <c r="K51" s="291"/>
      <c r="L51" s="290"/>
      <c r="M51" s="290"/>
      <c r="N51" s="290"/>
    </row>
    <row r="52" spans="1:64" s="287" customFormat="1" x14ac:dyDescent="0.2">
      <c r="C52" s="290"/>
      <c r="D52" s="290"/>
      <c r="K52" s="295"/>
      <c r="M52" s="290"/>
    </row>
    <row r="53" spans="1:64" s="287" customFormat="1" x14ac:dyDescent="0.2">
      <c r="A53" s="1365"/>
      <c r="B53" s="1365"/>
      <c r="C53" s="1365"/>
      <c r="D53" s="1365"/>
      <c r="E53" s="1365"/>
      <c r="F53" s="1365"/>
      <c r="G53" s="1365"/>
      <c r="H53" s="1365"/>
      <c r="I53" s="1365"/>
      <c r="J53" s="1365"/>
      <c r="K53" s="1037"/>
    </row>
    <row r="54" spans="1:64" s="287" customFormat="1" x14ac:dyDescent="0.2">
      <c r="A54" s="283"/>
      <c r="B54" s="282"/>
      <c r="C54" s="290"/>
      <c r="F54" s="283"/>
      <c r="G54" s="282"/>
    </row>
    <row r="55" spans="1:64" s="287" customFormat="1" x14ac:dyDescent="0.2">
      <c r="A55" s="286"/>
      <c r="B55" s="621"/>
      <c r="C55" s="280"/>
      <c r="D55" s="280"/>
      <c r="F55" s="286"/>
      <c r="G55" s="621"/>
      <c r="H55" s="280"/>
      <c r="I55" s="280"/>
      <c r="J55" s="280"/>
      <c r="K55" s="280"/>
    </row>
    <row r="56" spans="1:64" s="287" customFormat="1" x14ac:dyDescent="0.2">
      <c r="A56" s="286"/>
      <c r="B56" s="621"/>
      <c r="C56" s="280"/>
      <c r="D56" s="280"/>
      <c r="F56" s="286"/>
      <c r="G56" s="621"/>
      <c r="H56" s="280"/>
      <c r="I56" s="280"/>
      <c r="J56" s="280"/>
      <c r="K56" s="280"/>
      <c r="L56" s="290"/>
      <c r="M56" s="290"/>
    </row>
    <row r="57" spans="1:64" s="287" customFormat="1" x14ac:dyDescent="0.2">
      <c r="A57" s="286"/>
      <c r="B57" s="621"/>
      <c r="C57" s="280"/>
      <c r="D57" s="280"/>
      <c r="F57" s="286"/>
      <c r="G57" s="621"/>
      <c r="H57" s="280"/>
      <c r="I57" s="280"/>
      <c r="J57" s="280"/>
      <c r="K57" s="280"/>
      <c r="M57" s="290"/>
    </row>
    <row r="58" spans="1:64" s="287" customFormat="1" x14ac:dyDescent="0.2">
      <c r="A58" s="286"/>
      <c r="B58" s="621"/>
      <c r="C58" s="280"/>
      <c r="D58" s="280"/>
      <c r="F58" s="286"/>
      <c r="G58" s="621"/>
      <c r="H58" s="280"/>
      <c r="I58" s="280"/>
      <c r="J58" s="280"/>
      <c r="K58" s="280"/>
      <c r="L58" s="290"/>
    </row>
    <row r="59" spans="1:64" s="287" customFormat="1" x14ac:dyDescent="0.2">
      <c r="A59" s="286"/>
      <c r="B59" s="621"/>
      <c r="C59" s="280"/>
      <c r="D59" s="280"/>
      <c r="F59" s="286"/>
      <c r="G59" s="621"/>
      <c r="H59" s="280"/>
      <c r="I59" s="280"/>
      <c r="J59" s="280"/>
      <c r="K59" s="280"/>
      <c r="L59" s="290"/>
      <c r="M59" s="290"/>
    </row>
    <row r="60" spans="1:64" s="287" customFormat="1" ht="14.25" customHeight="1" x14ac:dyDescent="0.2">
      <c r="F60" s="286"/>
      <c r="G60" s="621"/>
      <c r="H60" s="280"/>
      <c r="I60" s="280"/>
      <c r="J60" s="280"/>
      <c r="K60" s="280"/>
    </row>
    <row r="61" spans="1:64" s="287" customFormat="1" x14ac:dyDescent="0.2">
      <c r="A61" s="286"/>
      <c r="F61" s="286"/>
      <c r="G61" s="621"/>
      <c r="H61" s="280"/>
      <c r="I61" s="280"/>
      <c r="J61" s="280"/>
      <c r="K61" s="280"/>
      <c r="L61" s="290"/>
    </row>
    <row r="62" spans="1:64" s="287" customFormat="1" ht="10.5" customHeight="1" x14ac:dyDescent="0.2">
      <c r="A62" s="294"/>
      <c r="B62" s="295"/>
      <c r="C62" s="295"/>
      <c r="D62" s="295"/>
      <c r="E62" s="295"/>
      <c r="F62" s="295"/>
      <c r="G62" s="295"/>
      <c r="H62" s="295"/>
      <c r="I62" s="295"/>
      <c r="J62" s="295"/>
      <c r="K62" s="295"/>
    </row>
    <row r="63" spans="1:64" s="301" customFormat="1" ht="15" x14ac:dyDescent="0.25">
      <c r="A63" s="296"/>
      <c r="B63" s="297"/>
      <c r="C63" s="298"/>
      <c r="D63" s="297"/>
      <c r="E63" s="299"/>
      <c r="F63" s="299"/>
      <c r="G63" s="280"/>
      <c r="H63" s="280"/>
      <c r="I63" s="280"/>
      <c r="J63" s="300"/>
      <c r="K63" s="300"/>
      <c r="L63" s="300"/>
      <c r="M63" s="300"/>
      <c r="N63" s="300"/>
      <c r="O63" s="300"/>
      <c r="P63" s="300"/>
      <c r="Q63" s="300"/>
      <c r="R63" s="300"/>
      <c r="S63" s="300"/>
      <c r="T63" s="300"/>
      <c r="U63" s="300"/>
      <c r="V63" s="300"/>
      <c r="W63" s="300"/>
      <c r="X63" s="300"/>
      <c r="Y63" s="300"/>
      <c r="Z63" s="300"/>
      <c r="AA63" s="300"/>
      <c r="AB63" s="300"/>
      <c r="AC63" s="300"/>
      <c r="AD63" s="300"/>
      <c r="AE63" s="300"/>
      <c r="AF63" s="300"/>
      <c r="AG63" s="300"/>
      <c r="AH63" s="300"/>
      <c r="AI63" s="300"/>
      <c r="AJ63" s="300"/>
      <c r="AK63" s="300"/>
      <c r="AL63" s="300"/>
      <c r="AM63" s="300"/>
      <c r="AN63" s="300"/>
      <c r="AO63" s="300"/>
      <c r="AP63" s="300"/>
      <c r="AQ63" s="300"/>
      <c r="AR63" s="300"/>
      <c r="AS63" s="300"/>
      <c r="AT63" s="300"/>
      <c r="AU63" s="300"/>
      <c r="AV63" s="300"/>
      <c r="AW63" s="300"/>
      <c r="AX63" s="300"/>
      <c r="AY63" s="300"/>
      <c r="AZ63" s="300"/>
      <c r="BA63" s="300"/>
      <c r="BB63" s="300"/>
      <c r="BC63" s="300"/>
      <c r="BD63" s="300"/>
      <c r="BE63" s="300"/>
      <c r="BF63" s="300"/>
      <c r="BG63" s="300"/>
      <c r="BH63" s="300"/>
      <c r="BI63" s="300"/>
      <c r="BJ63" s="300"/>
      <c r="BK63" s="300"/>
      <c r="BL63" s="300"/>
    </row>
    <row r="64" spans="1:64" s="301" customFormat="1" ht="15" x14ac:dyDescent="0.25">
      <c r="A64" s="296"/>
      <c r="B64" s="297"/>
      <c r="C64" s="298"/>
      <c r="D64" s="297"/>
      <c r="E64" s="299"/>
      <c r="F64" s="299"/>
      <c r="G64" s="297"/>
      <c r="H64" s="280"/>
      <c r="I64" s="280"/>
      <c r="J64" s="300"/>
      <c r="K64" s="300"/>
      <c r="L64" s="300"/>
      <c r="M64" s="300"/>
      <c r="N64" s="300"/>
      <c r="O64" s="300"/>
      <c r="P64" s="300"/>
      <c r="Q64" s="300"/>
      <c r="R64" s="300"/>
      <c r="S64" s="300"/>
      <c r="T64" s="300"/>
      <c r="U64" s="300"/>
      <c r="V64" s="300"/>
      <c r="W64" s="300"/>
      <c r="X64" s="300"/>
      <c r="Y64" s="300"/>
      <c r="Z64" s="300"/>
      <c r="AA64" s="300"/>
      <c r="AB64" s="300"/>
      <c r="AC64" s="300"/>
      <c r="AD64" s="300"/>
      <c r="AE64" s="300"/>
      <c r="AF64" s="300"/>
      <c r="AG64" s="300"/>
      <c r="AH64" s="300"/>
      <c r="AI64" s="300"/>
      <c r="AJ64" s="300"/>
      <c r="AK64" s="300"/>
      <c r="AL64" s="300"/>
      <c r="AM64" s="300"/>
      <c r="AN64" s="300"/>
      <c r="AO64" s="300"/>
      <c r="AP64" s="300"/>
      <c r="AQ64" s="300"/>
      <c r="AR64" s="300"/>
      <c r="AS64" s="300"/>
      <c r="AT64" s="300"/>
      <c r="AU64" s="300"/>
      <c r="AV64" s="300"/>
      <c r="AW64" s="300"/>
      <c r="AX64" s="300"/>
      <c r="AY64" s="300"/>
      <c r="AZ64" s="300"/>
      <c r="BA64" s="300"/>
      <c r="BB64" s="300"/>
      <c r="BC64" s="300"/>
      <c r="BD64" s="300"/>
      <c r="BE64" s="300"/>
      <c r="BF64" s="300"/>
      <c r="BG64" s="300"/>
      <c r="BH64" s="300"/>
      <c r="BI64" s="300"/>
      <c r="BJ64" s="300"/>
      <c r="BK64" s="300"/>
      <c r="BL64" s="300"/>
    </row>
    <row r="65" spans="1:64" s="301" customFormat="1" ht="15" x14ac:dyDescent="0.25">
      <c r="A65" s="296"/>
      <c r="B65" s="297"/>
      <c r="C65" s="298"/>
      <c r="D65" s="297"/>
      <c r="E65" s="299"/>
      <c r="F65" s="299"/>
      <c r="G65" s="297"/>
      <c r="H65" s="280"/>
      <c r="I65" s="280"/>
      <c r="J65" s="300"/>
      <c r="K65" s="300"/>
      <c r="L65" s="300"/>
      <c r="M65" s="300"/>
      <c r="N65" s="300"/>
      <c r="O65" s="300"/>
      <c r="P65" s="300"/>
      <c r="Q65" s="300"/>
      <c r="R65" s="300"/>
      <c r="S65" s="300"/>
      <c r="T65" s="300"/>
      <c r="U65" s="300"/>
      <c r="V65" s="300"/>
      <c r="W65" s="300"/>
      <c r="X65" s="300"/>
      <c r="Y65" s="300"/>
      <c r="Z65" s="300"/>
      <c r="AA65" s="300"/>
      <c r="AB65" s="300"/>
      <c r="AC65" s="300"/>
      <c r="AD65" s="300"/>
      <c r="AE65" s="300"/>
      <c r="AF65" s="300"/>
      <c r="AG65" s="300"/>
      <c r="AH65" s="300"/>
      <c r="AI65" s="300"/>
      <c r="AJ65" s="300"/>
      <c r="AK65" s="300"/>
      <c r="AL65" s="300"/>
      <c r="AM65" s="300"/>
      <c r="AN65" s="300"/>
      <c r="AO65" s="300"/>
      <c r="AP65" s="300"/>
      <c r="AQ65" s="300"/>
      <c r="AR65" s="300"/>
      <c r="AS65" s="300"/>
      <c r="AT65" s="300"/>
      <c r="AU65" s="300"/>
      <c r="AV65" s="300"/>
      <c r="AW65" s="300"/>
      <c r="AX65" s="300"/>
      <c r="AY65" s="300"/>
      <c r="AZ65" s="300"/>
      <c r="BA65" s="300"/>
      <c r="BB65" s="300"/>
      <c r="BC65" s="300"/>
      <c r="BD65" s="300"/>
      <c r="BE65" s="300"/>
      <c r="BF65" s="300"/>
      <c r="BG65" s="300"/>
      <c r="BH65" s="300"/>
      <c r="BI65" s="300"/>
      <c r="BJ65" s="300"/>
      <c r="BK65" s="300"/>
      <c r="BL65" s="300"/>
    </row>
    <row r="66" spans="1:64" s="301" customFormat="1" ht="15" x14ac:dyDescent="0.25">
      <c r="A66" s="296"/>
      <c r="B66" s="297"/>
      <c r="C66" s="298"/>
      <c r="D66" s="297"/>
      <c r="E66" s="299"/>
      <c r="F66" s="299"/>
      <c r="G66" s="297"/>
      <c r="H66" s="280"/>
      <c r="I66" s="280"/>
      <c r="J66" s="300"/>
      <c r="K66" s="300"/>
      <c r="L66" s="300"/>
      <c r="M66" s="300"/>
      <c r="N66" s="300"/>
      <c r="O66" s="300"/>
      <c r="P66" s="300"/>
      <c r="Q66" s="300"/>
      <c r="R66" s="300"/>
      <c r="S66" s="300"/>
      <c r="T66" s="300"/>
      <c r="U66" s="300"/>
      <c r="V66" s="300"/>
      <c r="W66" s="300"/>
      <c r="X66" s="300"/>
      <c r="Y66" s="300"/>
      <c r="Z66" s="300"/>
      <c r="AA66" s="300"/>
      <c r="AB66" s="300"/>
      <c r="AC66" s="300"/>
      <c r="AD66" s="300"/>
      <c r="AE66" s="300"/>
      <c r="AF66" s="300"/>
      <c r="AG66" s="300"/>
      <c r="AH66" s="300"/>
      <c r="AI66" s="300"/>
      <c r="AJ66" s="300"/>
      <c r="AK66" s="300"/>
      <c r="AL66" s="300"/>
      <c r="AM66" s="300"/>
      <c r="AN66" s="300"/>
      <c r="AO66" s="300"/>
      <c r="AP66" s="300"/>
      <c r="AQ66" s="300"/>
      <c r="AR66" s="300"/>
      <c r="AS66" s="300"/>
      <c r="AT66" s="300"/>
      <c r="AU66" s="300"/>
      <c r="AV66" s="300"/>
      <c r="AW66" s="300"/>
      <c r="AX66" s="300"/>
      <c r="AY66" s="300"/>
      <c r="AZ66" s="300"/>
      <c r="BA66" s="300"/>
      <c r="BB66" s="300"/>
      <c r="BC66" s="300"/>
      <c r="BD66" s="300"/>
      <c r="BE66" s="300"/>
      <c r="BF66" s="300"/>
      <c r="BG66" s="300"/>
      <c r="BH66" s="300"/>
      <c r="BI66" s="300"/>
      <c r="BJ66" s="300"/>
      <c r="BK66" s="300"/>
      <c r="BL66" s="300"/>
    </row>
    <row r="67" spans="1:64" s="301" customFormat="1" x14ac:dyDescent="0.2">
      <c r="A67" s="296"/>
      <c r="B67" s="297"/>
      <c r="C67" s="302"/>
      <c r="D67" s="302"/>
      <c r="E67" s="302"/>
      <c r="F67" s="297"/>
      <c r="G67" s="297"/>
      <c r="H67" s="302"/>
      <c r="I67" s="302"/>
      <c r="J67" s="300"/>
      <c r="K67" s="300"/>
      <c r="L67" s="300"/>
      <c r="M67" s="300"/>
      <c r="N67" s="300"/>
      <c r="O67" s="300"/>
      <c r="P67" s="300"/>
      <c r="Q67" s="300"/>
      <c r="R67" s="300"/>
      <c r="S67" s="300"/>
      <c r="T67" s="300"/>
      <c r="U67" s="300"/>
      <c r="V67" s="300"/>
      <c r="W67" s="300"/>
      <c r="X67" s="300"/>
      <c r="Y67" s="300"/>
      <c r="Z67" s="300"/>
      <c r="AA67" s="300"/>
      <c r="AB67" s="300"/>
      <c r="AC67" s="300"/>
      <c r="AD67" s="300"/>
      <c r="AE67" s="300"/>
      <c r="AF67" s="300"/>
      <c r="AG67" s="300"/>
      <c r="AH67" s="300"/>
      <c r="AI67" s="300"/>
      <c r="AJ67" s="300"/>
      <c r="AK67" s="300"/>
      <c r="AL67" s="300"/>
      <c r="AM67" s="300"/>
      <c r="AN67" s="300"/>
      <c r="AO67" s="300"/>
      <c r="AP67" s="300"/>
      <c r="AQ67" s="300"/>
      <c r="AR67" s="300"/>
      <c r="AS67" s="300"/>
      <c r="AT67" s="300"/>
      <c r="AU67" s="300"/>
      <c r="AV67" s="300"/>
      <c r="AW67" s="300"/>
      <c r="AX67" s="300"/>
      <c r="AY67" s="300"/>
      <c r="AZ67" s="300"/>
      <c r="BA67" s="300"/>
      <c r="BB67" s="300"/>
      <c r="BC67" s="300"/>
      <c r="BD67" s="300"/>
      <c r="BE67" s="300"/>
      <c r="BF67" s="300"/>
      <c r="BG67" s="300"/>
      <c r="BH67" s="300"/>
      <c r="BI67" s="300"/>
      <c r="BJ67" s="300"/>
      <c r="BK67" s="300"/>
      <c r="BL67" s="300"/>
    </row>
    <row r="68" spans="1:64" s="287" customFormat="1" x14ac:dyDescent="0.2">
      <c r="F68" s="286"/>
      <c r="H68" s="280"/>
      <c r="I68" s="280"/>
      <c r="J68" s="280"/>
      <c r="K68" s="280"/>
    </row>
    <row r="69" spans="1:64" s="287" customFormat="1" x14ac:dyDescent="0.2">
      <c r="A69" s="286"/>
      <c r="C69" s="280"/>
      <c r="D69" s="280"/>
      <c r="F69" s="286"/>
      <c r="H69" s="280"/>
      <c r="I69" s="280"/>
      <c r="J69" s="280"/>
      <c r="K69" s="280"/>
    </row>
    <row r="70" spans="1:64" s="287" customFormat="1" x14ac:dyDescent="0.2">
      <c r="A70" s="286"/>
      <c r="C70" s="280"/>
      <c r="D70" s="280"/>
    </row>
    <row r="71" spans="1:64" s="287" customFormat="1" x14ac:dyDescent="0.2"/>
    <row r="72" spans="1:64" s="287" customFormat="1" x14ac:dyDescent="0.2">
      <c r="F72" s="286"/>
    </row>
    <row r="73" spans="1:64" s="287" customFormat="1" x14ac:dyDescent="0.2">
      <c r="A73" s="286"/>
      <c r="C73" s="280"/>
      <c r="D73" s="280"/>
      <c r="F73" s="286"/>
      <c r="H73" s="280"/>
      <c r="I73" s="280"/>
      <c r="J73" s="280"/>
      <c r="K73" s="280"/>
    </row>
    <row r="74" spans="1:64" s="287" customFormat="1" x14ac:dyDescent="0.2">
      <c r="A74" s="286"/>
      <c r="C74" s="280"/>
      <c r="D74" s="280"/>
    </row>
    <row r="75" spans="1:64" s="287" customFormat="1" x14ac:dyDescent="0.2">
      <c r="A75" s="286"/>
      <c r="C75" s="280"/>
      <c r="D75" s="280"/>
    </row>
    <row r="76" spans="1:64" s="287" customFormat="1" x14ac:dyDescent="0.2">
      <c r="C76" s="280"/>
      <c r="D76" s="280"/>
    </row>
    <row r="77" spans="1:64" s="287" customFormat="1" x14ac:dyDescent="0.2">
      <c r="A77" s="286"/>
      <c r="B77" s="303"/>
      <c r="C77" s="280"/>
      <c r="D77" s="280"/>
    </row>
    <row r="78" spans="1:64" s="287" customFormat="1" x14ac:dyDescent="0.2">
      <c r="A78" s="286"/>
      <c r="B78" s="303"/>
      <c r="C78" s="280"/>
      <c r="D78" s="280"/>
    </row>
    <row r="79" spans="1:64" s="287" customFormat="1" x14ac:dyDescent="0.2">
      <c r="A79" s="286"/>
      <c r="B79" s="303"/>
      <c r="C79" s="280"/>
      <c r="D79" s="280"/>
    </row>
    <row r="80" spans="1:64" s="287" customFormat="1" x14ac:dyDescent="0.2">
      <c r="A80" s="286"/>
      <c r="B80" s="303"/>
      <c r="C80" s="280"/>
      <c r="D80" s="280"/>
    </row>
    <row r="81" spans="1:11" s="287" customFormat="1" x14ac:dyDescent="0.2">
      <c r="A81" s="286"/>
      <c r="B81" s="303"/>
      <c r="C81" s="280"/>
      <c r="D81" s="280"/>
    </row>
    <row r="82" spans="1:11" s="287" customFormat="1" x14ac:dyDescent="0.2">
      <c r="C82" s="280"/>
      <c r="D82" s="280"/>
    </row>
    <row r="83" spans="1:11" s="287" customFormat="1" x14ac:dyDescent="0.2">
      <c r="C83" s="280"/>
      <c r="D83" s="280"/>
    </row>
    <row r="84" spans="1:11" s="287" customFormat="1" x14ac:dyDescent="0.2">
      <c r="C84" s="280"/>
      <c r="D84" s="280"/>
    </row>
    <row r="85" spans="1:11" s="287" customFormat="1" x14ac:dyDescent="0.2">
      <c r="C85" s="280"/>
      <c r="D85" s="280"/>
      <c r="H85" s="280"/>
      <c r="I85" s="280"/>
      <c r="J85" s="280"/>
      <c r="K85" s="280"/>
    </row>
    <row r="86" spans="1:11" s="287" customFormat="1" x14ac:dyDescent="0.2">
      <c r="C86" s="280"/>
      <c r="D86" s="280"/>
      <c r="F86" s="286"/>
      <c r="H86" s="280"/>
      <c r="I86" s="280"/>
      <c r="J86" s="280"/>
      <c r="K86" s="280"/>
    </row>
    <row r="87" spans="1:11" s="287" customFormat="1" x14ac:dyDescent="0.2">
      <c r="C87" s="280"/>
      <c r="D87" s="280"/>
    </row>
    <row r="88" spans="1:11" s="287" customFormat="1" x14ac:dyDescent="0.2">
      <c r="C88" s="280"/>
      <c r="D88" s="280"/>
    </row>
    <row r="89" spans="1:11" s="287" customFormat="1" x14ac:dyDescent="0.2">
      <c r="A89" s="286"/>
      <c r="C89" s="280"/>
      <c r="D89" s="280"/>
      <c r="F89" s="286"/>
      <c r="H89" s="291"/>
      <c r="I89" s="291"/>
      <c r="J89" s="291"/>
      <c r="K89" s="291"/>
    </row>
    <row r="90" spans="1:11" s="287" customFormat="1" x14ac:dyDescent="0.2">
      <c r="C90" s="280"/>
      <c r="D90" s="280"/>
      <c r="H90" s="291"/>
      <c r="I90" s="291"/>
      <c r="J90" s="291"/>
      <c r="K90" s="291"/>
    </row>
    <row r="91" spans="1:11" s="287" customFormat="1" x14ac:dyDescent="0.2">
      <c r="A91" s="286"/>
      <c r="C91" s="280"/>
      <c r="D91" s="280"/>
      <c r="F91" s="286"/>
      <c r="H91" s="291"/>
      <c r="I91" s="291"/>
      <c r="J91" s="291"/>
      <c r="K91" s="291"/>
    </row>
    <row r="92" spans="1:11" s="287" customFormat="1" x14ac:dyDescent="0.2">
      <c r="C92" s="304"/>
      <c r="D92" s="304"/>
    </row>
    <row r="93" spans="1:11" s="287" customFormat="1" x14ac:dyDescent="0.2">
      <c r="A93" s="286"/>
      <c r="C93" s="280"/>
      <c r="D93" s="280"/>
      <c r="H93" s="280"/>
      <c r="I93" s="280"/>
      <c r="J93" s="280"/>
      <c r="K93" s="280"/>
    </row>
    <row r="94" spans="1:11" s="287" customFormat="1" x14ac:dyDescent="0.2">
      <c r="A94" s="286"/>
      <c r="C94" s="280"/>
      <c r="D94" s="280"/>
      <c r="H94" s="280"/>
      <c r="I94" s="280"/>
      <c r="J94" s="280"/>
      <c r="K94" s="280"/>
    </row>
    <row r="95" spans="1:11" s="287" customFormat="1" ht="9" customHeight="1" x14ac:dyDescent="0.2">
      <c r="A95" s="286"/>
      <c r="C95" s="280"/>
      <c r="D95" s="280"/>
    </row>
    <row r="96" spans="1:11" x14ac:dyDescent="0.2">
      <c r="A96" s="286"/>
      <c r="B96" s="305"/>
      <c r="C96" s="291"/>
      <c r="D96" s="291"/>
      <c r="E96" s="287"/>
      <c r="F96" s="286"/>
    </row>
    <row r="97" spans="1:11" x14ac:dyDescent="0.2">
      <c r="A97" s="286"/>
      <c r="B97" s="287"/>
      <c r="C97" s="280"/>
      <c r="D97" s="280"/>
      <c r="E97" s="287"/>
      <c r="F97" s="286"/>
      <c r="G97" s="287"/>
      <c r="H97" s="280"/>
      <c r="I97" s="280"/>
      <c r="J97" s="280"/>
      <c r="K97" s="280"/>
    </row>
    <row r="98" spans="1:11" x14ac:dyDescent="0.2">
      <c r="A98" s="306"/>
      <c r="C98" s="306"/>
      <c r="D98" s="306"/>
      <c r="F98" s="306"/>
      <c r="H98" s="306"/>
      <c r="I98" s="306"/>
      <c r="J98" s="306"/>
      <c r="K98" s="306"/>
    </row>
    <row r="99" spans="1:11" x14ac:dyDescent="0.2">
      <c r="A99" s="306"/>
      <c r="C99" s="308"/>
      <c r="D99" s="308"/>
      <c r="E99" s="287"/>
      <c r="F99" s="306"/>
      <c r="H99" s="291"/>
      <c r="I99" s="291"/>
      <c r="J99" s="291"/>
      <c r="K99" s="291"/>
    </row>
    <row r="100" spans="1:11" x14ac:dyDescent="0.2">
      <c r="A100" s="306"/>
      <c r="C100" s="280"/>
      <c r="D100" s="280"/>
      <c r="E100" s="287"/>
      <c r="F100" s="306"/>
      <c r="H100" s="280"/>
      <c r="I100" s="280"/>
      <c r="J100" s="280"/>
      <c r="K100" s="280"/>
    </row>
    <row r="101" spans="1:11" x14ac:dyDescent="0.2">
      <c r="A101" s="306"/>
      <c r="C101" s="280"/>
      <c r="D101" s="280"/>
      <c r="E101" s="287"/>
      <c r="F101" s="306"/>
      <c r="H101" s="280"/>
      <c r="I101" s="280"/>
      <c r="J101" s="280"/>
      <c r="K101" s="280"/>
    </row>
    <row r="102" spans="1:11" x14ac:dyDescent="0.2">
      <c r="A102" s="306"/>
      <c r="C102" s="308"/>
      <c r="D102" s="308"/>
      <c r="E102" s="287"/>
      <c r="F102" s="306"/>
      <c r="H102" s="280"/>
      <c r="I102" s="280"/>
      <c r="J102" s="280"/>
      <c r="K102" s="280"/>
    </row>
    <row r="103" spans="1:11" x14ac:dyDescent="0.2">
      <c r="A103" s="306"/>
      <c r="C103" s="280"/>
      <c r="D103" s="280"/>
      <c r="E103" s="287"/>
      <c r="F103" s="306"/>
      <c r="H103" s="280"/>
      <c r="I103" s="280"/>
      <c r="J103" s="280"/>
      <c r="K103" s="280"/>
    </row>
    <row r="104" spans="1:11" x14ac:dyDescent="0.2">
      <c r="A104" s="306"/>
      <c r="C104" s="280"/>
      <c r="D104" s="280"/>
      <c r="E104" s="287"/>
      <c r="F104" s="306"/>
      <c r="H104" s="280"/>
      <c r="I104" s="280"/>
      <c r="J104" s="280"/>
      <c r="K104" s="280"/>
    </row>
    <row r="105" spans="1:11" x14ac:dyDescent="0.2">
      <c r="A105" s="286"/>
      <c r="B105" s="287"/>
      <c r="C105" s="308"/>
      <c r="D105" s="308"/>
      <c r="E105" s="287"/>
      <c r="F105" s="306"/>
      <c r="H105" s="280"/>
      <c r="I105" s="280"/>
      <c r="J105" s="280"/>
      <c r="K105" s="280"/>
    </row>
    <row r="106" spans="1:11" x14ac:dyDescent="0.2">
      <c r="A106" s="286"/>
      <c r="B106" s="287"/>
      <c r="C106" s="280"/>
      <c r="D106" s="280"/>
      <c r="E106" s="287"/>
      <c r="F106" s="306"/>
      <c r="H106" s="280"/>
      <c r="I106" s="280"/>
      <c r="J106" s="280"/>
      <c r="K106" s="280"/>
    </row>
    <row r="107" spans="1:11" s="307" customFormat="1" ht="10.5" customHeight="1" x14ac:dyDescent="0.2">
      <c r="A107" s="309"/>
      <c r="B107" s="306"/>
      <c r="C107" s="297"/>
      <c r="D107" s="297"/>
      <c r="E107" s="306"/>
      <c r="F107" s="310"/>
      <c r="G107" s="311"/>
      <c r="H107" s="312"/>
      <c r="I107" s="312"/>
      <c r="J107" s="312"/>
      <c r="K107" s="312"/>
    </row>
    <row r="108" spans="1:11" s="307" customFormat="1" ht="6.75" customHeight="1" x14ac:dyDescent="0.2">
      <c r="A108" s="309"/>
      <c r="B108" s="306"/>
      <c r="C108" s="297"/>
      <c r="D108" s="297"/>
      <c r="E108" s="306"/>
      <c r="F108" s="310"/>
      <c r="G108" s="311"/>
      <c r="H108" s="312"/>
      <c r="I108" s="312"/>
      <c r="J108" s="312"/>
      <c r="K108" s="312"/>
    </row>
    <row r="109" spans="1:11" s="307" customFormat="1" ht="8.25" customHeight="1" x14ac:dyDescent="0.2">
      <c r="A109" s="931"/>
      <c r="B109" s="931"/>
      <c r="C109" s="931"/>
      <c r="D109" s="931"/>
      <c r="E109" s="931"/>
      <c r="F109" s="931"/>
      <c r="G109" s="931"/>
      <c r="H109" s="931"/>
      <c r="I109" s="931"/>
      <c r="J109" s="931"/>
      <c r="K109" s="931"/>
    </row>
    <row r="110" spans="1:11" s="307" customFormat="1" x14ac:dyDescent="0.2">
      <c r="A110" s="931"/>
      <c r="B110" s="931"/>
      <c r="C110" s="931"/>
      <c r="D110" s="931"/>
      <c r="E110" s="931"/>
      <c r="F110" s="931"/>
      <c r="G110" s="931"/>
      <c r="H110" s="931"/>
      <c r="I110" s="931"/>
      <c r="J110" s="931"/>
      <c r="K110" s="931"/>
    </row>
    <row r="111" spans="1:11" s="307" customFormat="1" x14ac:dyDescent="0.2">
      <c r="A111" s="309"/>
      <c r="B111" s="306"/>
      <c r="C111" s="297"/>
      <c r="D111" s="297"/>
      <c r="E111" s="306"/>
      <c r="F111" s="309"/>
      <c r="G111" s="306"/>
    </row>
    <row r="112" spans="1:11" s="307" customFormat="1" x14ac:dyDescent="0.2">
      <c r="A112" s="310"/>
      <c r="B112" s="306"/>
      <c r="C112" s="297"/>
      <c r="D112" s="297"/>
      <c r="E112" s="306"/>
      <c r="F112" s="309"/>
      <c r="G112" s="306"/>
    </row>
    <row r="113" spans="1:11" s="307" customFormat="1" x14ac:dyDescent="0.2">
      <c r="A113" s="309"/>
      <c r="B113" s="306"/>
      <c r="C113" s="297"/>
      <c r="D113" s="297"/>
      <c r="E113" s="306"/>
      <c r="F113" s="309"/>
      <c r="G113" s="306"/>
    </row>
    <row r="114" spans="1:11" s="307" customFormat="1" x14ac:dyDescent="0.2">
      <c r="A114" s="309"/>
      <c r="B114" s="306"/>
      <c r="C114" s="297"/>
      <c r="D114" s="297"/>
      <c r="E114" s="306"/>
      <c r="F114" s="309"/>
      <c r="G114" s="306"/>
    </row>
    <row r="115" spans="1:11" s="307" customFormat="1" x14ac:dyDescent="0.2">
      <c r="A115" s="309"/>
      <c r="B115" s="306"/>
      <c r="C115" s="297"/>
      <c r="D115" s="297"/>
      <c r="E115" s="306"/>
      <c r="F115" s="309"/>
      <c r="G115" s="306"/>
    </row>
    <row r="116" spans="1:11" s="307" customFormat="1" x14ac:dyDescent="0.2">
      <c r="A116" s="309"/>
      <c r="B116" s="306"/>
      <c r="C116" s="297"/>
      <c r="D116" s="297"/>
      <c r="E116" s="306"/>
      <c r="F116" s="309"/>
      <c r="G116" s="306"/>
    </row>
    <row r="117" spans="1:11" s="307" customFormat="1" x14ac:dyDescent="0.2">
      <c r="A117" s="309"/>
      <c r="B117" s="306"/>
      <c r="C117" s="297"/>
      <c r="D117" s="297"/>
      <c r="E117" s="306"/>
      <c r="F117" s="309"/>
      <c r="G117" s="306"/>
    </row>
    <row r="118" spans="1:11" s="307" customFormat="1" x14ac:dyDescent="0.2"/>
    <row r="119" spans="1:11" s="307" customFormat="1" x14ac:dyDescent="0.2"/>
    <row r="120" spans="1:11" x14ac:dyDescent="0.2">
      <c r="A120" s="307"/>
      <c r="B120" s="307"/>
      <c r="C120" s="307"/>
      <c r="D120" s="307"/>
      <c r="E120" s="307"/>
      <c r="F120" s="307"/>
      <c r="G120" s="307"/>
      <c r="H120" s="306"/>
      <c r="I120" s="306"/>
      <c r="J120" s="306"/>
      <c r="K120" s="306"/>
    </row>
    <row r="121" spans="1:11" x14ac:dyDescent="0.2">
      <c r="A121" s="307"/>
      <c r="B121" s="307"/>
      <c r="C121" s="307"/>
      <c r="D121" s="307"/>
      <c r="E121" s="307"/>
      <c r="F121" s="307"/>
      <c r="G121" s="307"/>
      <c r="H121" s="306"/>
      <c r="I121" s="306"/>
      <c r="J121" s="306"/>
      <c r="K121" s="306"/>
    </row>
    <row r="122" spans="1:11" x14ac:dyDescent="0.2">
      <c r="A122" s="307"/>
      <c r="B122" s="307"/>
      <c r="C122" s="307"/>
      <c r="D122" s="307"/>
      <c r="E122" s="307"/>
      <c r="F122" s="307"/>
      <c r="G122" s="307"/>
      <c r="H122" s="306"/>
      <c r="I122" s="306"/>
      <c r="J122" s="306"/>
      <c r="K122" s="306"/>
    </row>
    <row r="132" spans="1:11" ht="9.75" customHeight="1" x14ac:dyDescent="0.2">
      <c r="H132" s="306"/>
      <c r="I132" s="306"/>
      <c r="J132" s="306"/>
      <c r="K132" s="306"/>
    </row>
    <row r="142" spans="1:11" ht="27.75" customHeight="1" x14ac:dyDescent="0.2">
      <c r="A142" s="306"/>
      <c r="C142" s="306"/>
      <c r="D142" s="306"/>
      <c r="F142" s="306"/>
      <c r="H142" s="306"/>
      <c r="I142" s="306"/>
      <c r="J142" s="306"/>
      <c r="K142" s="306"/>
    </row>
    <row r="143" spans="1:11" ht="24" customHeight="1" x14ac:dyDescent="0.2">
      <c r="A143" s="306"/>
      <c r="C143" s="306"/>
      <c r="D143" s="306"/>
      <c r="F143" s="306"/>
      <c r="H143" s="306"/>
      <c r="I143" s="306"/>
      <c r="J143" s="306"/>
      <c r="K143" s="306"/>
    </row>
    <row r="144" spans="1:11" ht="15" customHeight="1" x14ac:dyDescent="0.2">
      <c r="A144" s="306"/>
      <c r="C144" s="306"/>
      <c r="D144" s="306"/>
      <c r="F144" s="306"/>
      <c r="H144" s="306"/>
      <c r="I144" s="306"/>
      <c r="J144" s="306"/>
      <c r="K144" s="306"/>
    </row>
    <row r="146" spans="1:11" ht="44.25" customHeight="1" x14ac:dyDescent="0.2">
      <c r="A146" s="306"/>
      <c r="C146" s="306"/>
      <c r="D146" s="306"/>
      <c r="F146" s="306"/>
      <c r="H146" s="306"/>
      <c r="I146" s="306"/>
      <c r="J146" s="306"/>
      <c r="K146" s="306"/>
    </row>
  </sheetData>
  <mergeCells count="5">
    <mergeCell ref="A2:J2"/>
    <mergeCell ref="K2:K5"/>
    <mergeCell ref="A3:J3"/>
    <mergeCell ref="A4:J4"/>
    <mergeCell ref="A53:J53"/>
  </mergeCells>
  <printOptions horizontalCentered="1"/>
  <pageMargins left="0.15748031496062992" right="0.17" top="0.33" bottom="0.11811023622047245" header="0.31496062992125984" footer="0.31496062992125984"/>
  <pageSetup scale="66" orientation="landscape" r:id="rId1"/>
  <headerFooter>
    <oddFooter>&amp;C&amp;"Arial,Normal"&amp;9“Bajo protesta de decir verdad declaramos que los Estados Financieros y sus notas, son razonablemente correctos y son responsabilidad del emisor”</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8"/>
  <sheetViews>
    <sheetView view="pageBreakPreview" zoomScale="60" zoomScaleNormal="100" workbookViewId="0">
      <selection sqref="A1:I1"/>
    </sheetView>
  </sheetViews>
  <sheetFormatPr baseColWidth="10" defaultRowHeight="15" x14ac:dyDescent="0.25"/>
  <cols>
    <col min="1" max="1" width="3.28515625" style="946" customWidth="1"/>
    <col min="2" max="2" width="33.140625" style="946" customWidth="1"/>
    <col min="3" max="3" width="12.28515625" style="946" bestFit="1" customWidth="1"/>
    <col min="4" max="4" width="12.42578125" style="946" customWidth="1"/>
    <col min="5" max="6" width="11.42578125" style="946"/>
    <col min="7" max="7" width="11.7109375" style="946" bestFit="1" customWidth="1"/>
    <col min="8" max="16384" width="11.42578125" style="946"/>
  </cols>
  <sheetData>
    <row r="1" spans="1:9" x14ac:dyDescent="0.25">
      <c r="A1" s="1375" t="s">
        <v>719</v>
      </c>
      <c r="B1" s="1375"/>
      <c r="C1" s="1375"/>
      <c r="D1" s="1375"/>
      <c r="E1" s="1375"/>
      <c r="F1" s="1375"/>
      <c r="G1" s="1375"/>
      <c r="H1" s="1375"/>
      <c r="I1" s="1375"/>
    </row>
    <row r="2" spans="1:9" x14ac:dyDescent="0.25">
      <c r="A2" s="1376" t="s">
        <v>10522</v>
      </c>
      <c r="B2" s="1376"/>
      <c r="C2" s="1376"/>
      <c r="D2" s="1376"/>
      <c r="E2" s="1376"/>
      <c r="F2" s="1376"/>
      <c r="G2" s="1376"/>
      <c r="H2" s="1376"/>
      <c r="I2" s="1376"/>
    </row>
    <row r="3" spans="1:9" x14ac:dyDescent="0.25">
      <c r="A3" s="1376" t="s">
        <v>11724</v>
      </c>
      <c r="B3" s="1376"/>
      <c r="C3" s="1376"/>
      <c r="D3" s="1376"/>
      <c r="E3" s="1376"/>
      <c r="F3" s="1376"/>
      <c r="G3" s="1376"/>
      <c r="H3" s="1376"/>
      <c r="I3" s="1376"/>
    </row>
    <row r="4" spans="1:9" ht="15.75" thickBot="1" x14ac:dyDescent="0.3">
      <c r="A4" s="1376" t="s">
        <v>10492</v>
      </c>
      <c r="B4" s="1376"/>
      <c r="C4" s="1376"/>
      <c r="D4" s="1376"/>
      <c r="E4" s="1376"/>
      <c r="F4" s="1376"/>
      <c r="G4" s="1376"/>
      <c r="H4" s="1376"/>
      <c r="I4" s="1376"/>
    </row>
    <row r="5" spans="1:9" ht="33.75" x14ac:dyDescent="0.25">
      <c r="A5" s="1377" t="s">
        <v>10521</v>
      </c>
      <c r="B5" s="1378"/>
      <c r="C5" s="1068" t="s">
        <v>439</v>
      </c>
      <c r="D5" s="1381" t="s">
        <v>10520</v>
      </c>
      <c r="E5" s="1381" t="s">
        <v>10519</v>
      </c>
      <c r="F5" s="1381" t="s">
        <v>10518</v>
      </c>
      <c r="G5" s="1068" t="s">
        <v>11723</v>
      </c>
      <c r="H5" s="1381" t="s">
        <v>10517</v>
      </c>
      <c r="I5" s="1381" t="s">
        <v>10516</v>
      </c>
    </row>
    <row r="6" spans="1:9" ht="34.5" thickBot="1" x14ac:dyDescent="0.3">
      <c r="A6" s="1379"/>
      <c r="B6" s="1380"/>
      <c r="C6" s="1047" t="s">
        <v>11722</v>
      </c>
      <c r="D6" s="1382"/>
      <c r="E6" s="1382"/>
      <c r="F6" s="1382"/>
      <c r="G6" s="1047" t="s">
        <v>11721</v>
      </c>
      <c r="H6" s="1382"/>
      <c r="I6" s="1382"/>
    </row>
    <row r="7" spans="1:9" x14ac:dyDescent="0.25">
      <c r="A7" s="1388"/>
      <c r="B7" s="1389"/>
      <c r="C7" s="950"/>
      <c r="D7" s="950"/>
      <c r="E7" s="950"/>
      <c r="F7" s="950"/>
      <c r="G7" s="950"/>
      <c r="H7" s="950"/>
      <c r="I7" s="950"/>
    </row>
    <row r="8" spans="1:9" x14ac:dyDescent="0.25">
      <c r="A8" s="1370" t="s">
        <v>10515</v>
      </c>
      <c r="B8" s="1371"/>
      <c r="C8" s="1044">
        <f t="shared" ref="C8:I8" si="0">C9+C13</f>
        <v>14999999.73</v>
      </c>
      <c r="D8" s="1044">
        <f t="shared" si="0"/>
        <v>0</v>
      </c>
      <c r="E8" s="1044">
        <f t="shared" si="0"/>
        <v>5000000.04</v>
      </c>
      <c r="F8" s="1044">
        <f t="shared" si="0"/>
        <v>0</v>
      </c>
      <c r="G8" s="1044">
        <f t="shared" si="0"/>
        <v>9999999.6900000013</v>
      </c>
      <c r="H8" s="1044">
        <f t="shared" si="0"/>
        <v>1277544.06</v>
      </c>
      <c r="I8" s="1044">
        <f t="shared" si="0"/>
        <v>196164.28</v>
      </c>
    </row>
    <row r="9" spans="1:9" x14ac:dyDescent="0.25">
      <c r="A9" s="1370" t="s">
        <v>10514</v>
      </c>
      <c r="B9" s="1371"/>
      <c r="C9" s="950">
        <f t="shared" ref="C9:I9" si="1">SUM(C10:C12)</f>
        <v>0</v>
      </c>
      <c r="D9" s="950">
        <f t="shared" si="1"/>
        <v>0</v>
      </c>
      <c r="E9" s="950">
        <f t="shared" si="1"/>
        <v>0</v>
      </c>
      <c r="F9" s="950">
        <f t="shared" si="1"/>
        <v>0</v>
      </c>
      <c r="G9" s="950">
        <f t="shared" si="1"/>
        <v>0</v>
      </c>
      <c r="H9" s="950">
        <f t="shared" si="1"/>
        <v>0</v>
      </c>
      <c r="I9" s="950">
        <f t="shared" si="1"/>
        <v>0</v>
      </c>
    </row>
    <row r="10" spans="1:9" x14ac:dyDescent="0.25">
      <c r="A10" s="1046"/>
      <c r="B10" s="947" t="s">
        <v>10513</v>
      </c>
      <c r="C10" s="947">
        <v>0</v>
      </c>
      <c r="D10" s="947">
        <v>0</v>
      </c>
      <c r="E10" s="947">
        <v>0</v>
      </c>
      <c r="F10" s="947">
        <v>0</v>
      </c>
      <c r="G10" s="947">
        <v>0</v>
      </c>
      <c r="H10" s="947">
        <v>0</v>
      </c>
      <c r="I10" s="947">
        <v>0</v>
      </c>
    </row>
    <row r="11" spans="1:9" x14ac:dyDescent="0.25">
      <c r="A11" s="1045"/>
      <c r="B11" s="947" t="s">
        <v>10512</v>
      </c>
      <c r="C11" s="947">
        <v>0</v>
      </c>
      <c r="D11" s="947">
        <v>0</v>
      </c>
      <c r="E11" s="947">
        <v>0</v>
      </c>
      <c r="F11" s="947">
        <v>0</v>
      </c>
      <c r="G11" s="947">
        <v>0</v>
      </c>
      <c r="H11" s="947">
        <v>0</v>
      </c>
      <c r="I11" s="947">
        <v>0</v>
      </c>
    </row>
    <row r="12" spans="1:9" x14ac:dyDescent="0.25">
      <c r="A12" s="1045"/>
      <c r="B12" s="947" t="s">
        <v>10511</v>
      </c>
      <c r="C12" s="947">
        <v>0</v>
      </c>
      <c r="D12" s="947">
        <v>0</v>
      </c>
      <c r="E12" s="947">
        <v>0</v>
      </c>
      <c r="F12" s="947">
        <v>0</v>
      </c>
      <c r="G12" s="947">
        <v>0</v>
      </c>
      <c r="H12" s="947">
        <v>0</v>
      </c>
      <c r="I12" s="947">
        <v>0</v>
      </c>
    </row>
    <row r="13" spans="1:9" x14ac:dyDescent="0.25">
      <c r="A13" s="1370" t="s">
        <v>10510</v>
      </c>
      <c r="B13" s="1371"/>
      <c r="C13" s="950">
        <f t="shared" ref="C13:I13" si="2">SUM(C14:C16)</f>
        <v>14999999.73</v>
      </c>
      <c r="D13" s="950">
        <f t="shared" si="2"/>
        <v>0</v>
      </c>
      <c r="E13" s="950">
        <f t="shared" si="2"/>
        <v>5000000.04</v>
      </c>
      <c r="F13" s="950">
        <f t="shared" si="2"/>
        <v>0</v>
      </c>
      <c r="G13" s="950">
        <f t="shared" si="2"/>
        <v>9999999.6900000013</v>
      </c>
      <c r="H13" s="950">
        <f t="shared" si="2"/>
        <v>1277544.06</v>
      </c>
      <c r="I13" s="950">
        <f t="shared" si="2"/>
        <v>196164.28</v>
      </c>
    </row>
    <row r="14" spans="1:9" x14ac:dyDescent="0.25">
      <c r="A14" s="1046"/>
      <c r="B14" s="947" t="s">
        <v>10509</v>
      </c>
      <c r="C14" s="947">
        <v>14999999.73</v>
      </c>
      <c r="D14" s="947">
        <v>0</v>
      </c>
      <c r="E14" s="947">
        <v>5000000.04</v>
      </c>
      <c r="F14" s="947">
        <v>0</v>
      </c>
      <c r="G14" s="947">
        <f>C14-E14</f>
        <v>9999999.6900000013</v>
      </c>
      <c r="H14" s="947">
        <v>1277544.06</v>
      </c>
      <c r="I14" s="947">
        <v>196164.28</v>
      </c>
    </row>
    <row r="15" spans="1:9" x14ac:dyDescent="0.25">
      <c r="A15" s="1045"/>
      <c r="B15" s="947" t="s">
        <v>10508</v>
      </c>
      <c r="C15" s="947">
        <v>0</v>
      </c>
      <c r="D15" s="947">
        <v>0</v>
      </c>
      <c r="E15" s="947">
        <v>0</v>
      </c>
      <c r="F15" s="947">
        <v>0</v>
      </c>
      <c r="G15" s="947">
        <v>0</v>
      </c>
      <c r="H15" s="947">
        <v>0</v>
      </c>
      <c r="I15" s="947">
        <v>0</v>
      </c>
    </row>
    <row r="16" spans="1:9" x14ac:dyDescent="0.25">
      <c r="A16" s="1045"/>
      <c r="B16" s="947" t="s">
        <v>10507</v>
      </c>
      <c r="C16" s="947">
        <v>0</v>
      </c>
      <c r="D16" s="947">
        <v>0</v>
      </c>
      <c r="E16" s="947">
        <v>0</v>
      </c>
      <c r="F16" s="947">
        <v>0</v>
      </c>
      <c r="G16" s="947">
        <v>0</v>
      </c>
      <c r="H16" s="947">
        <v>0</v>
      </c>
      <c r="I16" s="947">
        <v>0</v>
      </c>
    </row>
    <row r="17" spans="1:9" x14ac:dyDescent="0.25">
      <c r="A17" s="1370" t="s">
        <v>10506</v>
      </c>
      <c r="B17" s="1371"/>
      <c r="C17" s="1044">
        <v>36538019.160000004</v>
      </c>
      <c r="D17" s="1044">
        <v>11174177.029999994</v>
      </c>
      <c r="E17" s="1044">
        <v>0</v>
      </c>
      <c r="F17" s="1044">
        <v>0</v>
      </c>
      <c r="G17" s="950">
        <f>C17-E17+D17</f>
        <v>47712196.189999998</v>
      </c>
      <c r="H17" s="1044">
        <v>0</v>
      </c>
      <c r="I17" s="1044">
        <v>0</v>
      </c>
    </row>
    <row r="18" spans="1:9" x14ac:dyDescent="0.25">
      <c r="A18" s="1045"/>
      <c r="B18" s="947"/>
      <c r="C18" s="947"/>
      <c r="D18" s="947"/>
      <c r="E18" s="947"/>
      <c r="F18" s="947"/>
      <c r="G18" s="947"/>
      <c r="H18" s="947"/>
      <c r="I18" s="947"/>
    </row>
    <row r="19" spans="1:9" ht="21" customHeight="1" x14ac:dyDescent="0.25">
      <c r="A19" s="1370" t="s">
        <v>10505</v>
      </c>
      <c r="B19" s="1371"/>
      <c r="C19" s="950">
        <f t="shared" ref="C19:I19" si="3">C8+C17</f>
        <v>51538018.890000001</v>
      </c>
      <c r="D19" s="950">
        <f t="shared" si="3"/>
        <v>11174177.029999994</v>
      </c>
      <c r="E19" s="950">
        <f t="shared" si="3"/>
        <v>5000000.04</v>
      </c>
      <c r="F19" s="950">
        <f t="shared" si="3"/>
        <v>0</v>
      </c>
      <c r="G19" s="950">
        <f t="shared" si="3"/>
        <v>57712195.879999995</v>
      </c>
      <c r="H19" s="950">
        <f t="shared" si="3"/>
        <v>1277544.06</v>
      </c>
      <c r="I19" s="950">
        <f t="shared" si="3"/>
        <v>196164.28</v>
      </c>
    </row>
    <row r="20" spans="1:9" x14ac:dyDescent="0.25">
      <c r="A20" s="1370"/>
      <c r="B20" s="1371"/>
      <c r="C20" s="950"/>
      <c r="D20" s="950"/>
      <c r="E20" s="950"/>
      <c r="F20" s="950"/>
      <c r="G20" s="950"/>
      <c r="H20" s="950"/>
      <c r="I20" s="950"/>
    </row>
    <row r="21" spans="1:9" x14ac:dyDescent="0.25">
      <c r="A21" s="1370" t="s">
        <v>11720</v>
      </c>
      <c r="B21" s="1371"/>
      <c r="C21" s="950">
        <v>0</v>
      </c>
      <c r="D21" s="950">
        <v>0</v>
      </c>
      <c r="E21" s="950">
        <v>0</v>
      </c>
      <c r="F21" s="950">
        <v>0</v>
      </c>
      <c r="G21" s="950">
        <v>0</v>
      </c>
      <c r="H21" s="950">
        <v>0</v>
      </c>
      <c r="I21" s="950">
        <v>0</v>
      </c>
    </row>
    <row r="22" spans="1:9" x14ac:dyDescent="0.25">
      <c r="A22" s="1366" t="s">
        <v>10504</v>
      </c>
      <c r="B22" s="1367"/>
      <c r="C22" s="947">
        <v>0</v>
      </c>
      <c r="D22" s="947">
        <v>0</v>
      </c>
      <c r="E22" s="947">
        <v>0</v>
      </c>
      <c r="F22" s="947">
        <v>0</v>
      </c>
      <c r="G22" s="947">
        <v>0</v>
      </c>
      <c r="H22" s="947">
        <v>0</v>
      </c>
      <c r="I22" s="947">
        <v>0</v>
      </c>
    </row>
    <row r="23" spans="1:9" x14ac:dyDescent="0.25">
      <c r="A23" s="1366" t="s">
        <v>10503</v>
      </c>
      <c r="B23" s="1367"/>
      <c r="C23" s="947">
        <v>0</v>
      </c>
      <c r="D23" s="947">
        <v>0</v>
      </c>
      <c r="E23" s="947">
        <v>0</v>
      </c>
      <c r="F23" s="947">
        <v>0</v>
      </c>
      <c r="G23" s="947">
        <v>0</v>
      </c>
      <c r="H23" s="947">
        <v>0</v>
      </c>
      <c r="I23" s="947">
        <v>0</v>
      </c>
    </row>
    <row r="24" spans="1:9" x14ac:dyDescent="0.25">
      <c r="A24" s="1366" t="s">
        <v>10502</v>
      </c>
      <c r="B24" s="1367"/>
      <c r="C24" s="947">
        <v>0</v>
      </c>
      <c r="D24" s="947">
        <v>0</v>
      </c>
      <c r="E24" s="947">
        <v>0</v>
      </c>
      <c r="F24" s="947">
        <v>0</v>
      </c>
      <c r="G24" s="947">
        <v>0</v>
      </c>
      <c r="H24" s="947">
        <v>0</v>
      </c>
      <c r="I24" s="947">
        <v>0</v>
      </c>
    </row>
    <row r="25" spans="1:9" x14ac:dyDescent="0.25">
      <c r="A25" s="1386"/>
      <c r="B25" s="1387"/>
      <c r="C25" s="1044"/>
      <c r="D25" s="1044"/>
      <c r="E25" s="1044"/>
      <c r="F25" s="1044"/>
      <c r="G25" s="1044"/>
      <c r="H25" s="1044"/>
      <c r="I25" s="1044"/>
    </row>
    <row r="26" spans="1:9" ht="24" customHeight="1" x14ac:dyDescent="0.25">
      <c r="A26" s="1370" t="s">
        <v>11719</v>
      </c>
      <c r="B26" s="1371"/>
      <c r="C26" s="950">
        <v>0</v>
      </c>
      <c r="D26" s="950">
        <v>0</v>
      </c>
      <c r="E26" s="950">
        <v>0</v>
      </c>
      <c r="F26" s="950">
        <v>0</v>
      </c>
      <c r="G26" s="950">
        <v>0</v>
      </c>
      <c r="H26" s="950">
        <v>0</v>
      </c>
      <c r="I26" s="950">
        <v>0</v>
      </c>
    </row>
    <row r="27" spans="1:9" x14ac:dyDescent="0.25">
      <c r="A27" s="1366" t="s">
        <v>10501</v>
      </c>
      <c r="B27" s="1367"/>
      <c r="C27" s="947">
        <v>0</v>
      </c>
      <c r="D27" s="947">
        <v>0</v>
      </c>
      <c r="E27" s="947">
        <v>0</v>
      </c>
      <c r="F27" s="947">
        <v>0</v>
      </c>
      <c r="G27" s="947">
        <v>0</v>
      </c>
      <c r="H27" s="947">
        <v>0</v>
      </c>
      <c r="I27" s="947">
        <v>0</v>
      </c>
    </row>
    <row r="28" spans="1:9" x14ac:dyDescent="0.25">
      <c r="A28" s="1366" t="s">
        <v>10500</v>
      </c>
      <c r="B28" s="1367"/>
      <c r="C28" s="947">
        <v>0</v>
      </c>
      <c r="D28" s="947">
        <v>0</v>
      </c>
      <c r="E28" s="947">
        <v>0</v>
      </c>
      <c r="F28" s="947">
        <v>0</v>
      </c>
      <c r="G28" s="947">
        <v>0</v>
      </c>
      <c r="H28" s="947">
        <v>0</v>
      </c>
      <c r="I28" s="947">
        <v>0</v>
      </c>
    </row>
    <row r="29" spans="1:9" x14ac:dyDescent="0.25">
      <c r="A29" s="1366" t="s">
        <v>10499</v>
      </c>
      <c r="B29" s="1367"/>
      <c r="C29" s="947">
        <v>0</v>
      </c>
      <c r="D29" s="947">
        <v>0</v>
      </c>
      <c r="E29" s="947">
        <v>0</v>
      </c>
      <c r="F29" s="947">
        <v>0</v>
      </c>
      <c r="G29" s="947">
        <v>0</v>
      </c>
      <c r="H29" s="947">
        <v>0</v>
      </c>
      <c r="I29" s="947">
        <v>0</v>
      </c>
    </row>
    <row r="30" spans="1:9" ht="15.75" thickBot="1" x14ac:dyDescent="0.3">
      <c r="A30" s="1368"/>
      <c r="B30" s="1369"/>
      <c r="C30" s="1043"/>
      <c r="D30" s="1043"/>
      <c r="E30" s="1043"/>
      <c r="F30" s="1043"/>
      <c r="G30" s="1043"/>
      <c r="H30" s="1043"/>
      <c r="I30" s="1043"/>
    </row>
    <row r="31" spans="1:9" ht="15.75" thickBot="1" x14ac:dyDescent="0.3"/>
    <row r="32" spans="1:9" ht="22.5" x14ac:dyDescent="0.25">
      <c r="B32" s="1383" t="s">
        <v>10498</v>
      </c>
      <c r="C32" s="1042" t="s">
        <v>431</v>
      </c>
      <c r="D32" s="1042" t="s">
        <v>11718</v>
      </c>
      <c r="E32" s="1042" t="s">
        <v>11717</v>
      </c>
      <c r="F32" s="1372" t="s">
        <v>11716</v>
      </c>
      <c r="G32" s="1042" t="s">
        <v>11715</v>
      </c>
    </row>
    <row r="33" spans="1:12" x14ac:dyDescent="0.25">
      <c r="B33" s="1384"/>
      <c r="C33" s="956" t="s">
        <v>11714</v>
      </c>
      <c r="D33" s="956" t="s">
        <v>11713</v>
      </c>
      <c r="E33" s="956" t="s">
        <v>11712</v>
      </c>
      <c r="F33" s="1373"/>
      <c r="G33" s="956" t="s">
        <v>11711</v>
      </c>
    </row>
    <row r="34" spans="1:12" ht="15.75" thickBot="1" x14ac:dyDescent="0.3">
      <c r="B34" s="1385"/>
      <c r="C34" s="1041"/>
      <c r="D34" s="960" t="s">
        <v>11710</v>
      </c>
      <c r="E34" s="1041"/>
      <c r="F34" s="1374"/>
      <c r="G34" s="1041"/>
    </row>
    <row r="35" spans="1:12" ht="22.5" x14ac:dyDescent="0.25">
      <c r="B35" s="955" t="s">
        <v>10497</v>
      </c>
      <c r="C35" s="1040">
        <v>0</v>
      </c>
      <c r="D35" s="1040">
        <v>0</v>
      </c>
      <c r="E35" s="1040">
        <v>0</v>
      </c>
      <c r="F35" s="1040">
        <v>0</v>
      </c>
      <c r="G35" s="1040">
        <v>0</v>
      </c>
    </row>
    <row r="36" spans="1:12" x14ac:dyDescent="0.25">
      <c r="B36" s="1014" t="s">
        <v>10496</v>
      </c>
      <c r="C36" s="1040">
        <v>0</v>
      </c>
      <c r="D36" s="1040">
        <v>0</v>
      </c>
      <c r="E36" s="1040">
        <v>0</v>
      </c>
      <c r="F36" s="1040">
        <v>0</v>
      </c>
      <c r="G36" s="1040">
        <v>0</v>
      </c>
    </row>
    <row r="37" spans="1:12" x14ac:dyDescent="0.25">
      <c r="B37" s="1014" t="s">
        <v>10495</v>
      </c>
      <c r="C37" s="1040">
        <v>0</v>
      </c>
      <c r="D37" s="1040">
        <v>0</v>
      </c>
      <c r="E37" s="1040">
        <v>0</v>
      </c>
      <c r="F37" s="1040">
        <v>0</v>
      </c>
      <c r="G37" s="1040">
        <v>0</v>
      </c>
    </row>
    <row r="38" spans="1:12" ht="15.75" thickBot="1" x14ac:dyDescent="0.3">
      <c r="B38" s="1039" t="s">
        <v>10494</v>
      </c>
      <c r="C38" s="1038">
        <v>0</v>
      </c>
      <c r="D38" s="1038">
        <v>0</v>
      </c>
      <c r="E38" s="1038">
        <v>0</v>
      </c>
      <c r="F38" s="1038">
        <v>0</v>
      </c>
      <c r="G38" s="1038">
        <v>0</v>
      </c>
    </row>
    <row r="42" spans="1:12" s="305" customFormat="1" ht="8.25" customHeight="1" x14ac:dyDescent="0.2">
      <c r="A42" s="281"/>
      <c r="B42" s="311"/>
      <c r="C42" s="319"/>
      <c r="D42" s="319"/>
      <c r="E42" s="319"/>
      <c r="G42" s="280"/>
      <c r="L42" s="326"/>
    </row>
    <row r="43" spans="1:12" s="295" customFormat="1" ht="12.75" x14ac:dyDescent="0.2">
      <c r="A43" s="309"/>
      <c r="B43" s="306"/>
      <c r="C43" s="313"/>
      <c r="D43" s="297"/>
      <c r="E43" s="313"/>
      <c r="G43" s="287"/>
    </row>
    <row r="44" spans="1:12" s="295" customFormat="1" ht="12.75" x14ac:dyDescent="0.2">
      <c r="A44" s="309"/>
      <c r="B44" s="306"/>
      <c r="C44" s="313"/>
      <c r="D44" s="297"/>
      <c r="E44" s="313"/>
      <c r="G44" s="287"/>
    </row>
    <row r="45" spans="1:12" s="295" customFormat="1" ht="12.75" x14ac:dyDescent="0.2">
      <c r="A45" s="309"/>
      <c r="B45" s="306"/>
      <c r="C45" s="313"/>
      <c r="D45" s="297"/>
      <c r="E45" s="313"/>
      <c r="G45" s="287"/>
    </row>
    <row r="46" spans="1:12" s="295" customFormat="1" ht="12.75" x14ac:dyDescent="0.2">
      <c r="A46" s="309"/>
      <c r="B46" s="306"/>
      <c r="C46" s="313"/>
      <c r="D46" s="297"/>
      <c r="E46" s="313"/>
      <c r="G46" s="280"/>
    </row>
    <row r="47" spans="1:12" s="295" customFormat="1" ht="12.75" x14ac:dyDescent="0.2">
      <c r="A47" s="309"/>
      <c r="B47" s="306"/>
      <c r="C47" s="313"/>
      <c r="D47" s="297"/>
      <c r="E47" s="313"/>
      <c r="G47" s="287"/>
    </row>
    <row r="48" spans="1:12" s="306" customFormat="1" ht="12.75" x14ac:dyDescent="0.2">
      <c r="C48" s="313"/>
      <c r="D48" s="297"/>
      <c r="E48" s="313"/>
      <c r="G48" s="287"/>
    </row>
  </sheetData>
  <mergeCells count="29">
    <mergeCell ref="I5:I6"/>
    <mergeCell ref="A25:B25"/>
    <mergeCell ref="A7:B7"/>
    <mergeCell ref="A8:B8"/>
    <mergeCell ref="A9:B9"/>
    <mergeCell ref="F32:F34"/>
    <mergeCell ref="A1:I1"/>
    <mergeCell ref="A2:I2"/>
    <mergeCell ref="A3:I3"/>
    <mergeCell ref="A4:I4"/>
    <mergeCell ref="A5:B6"/>
    <mergeCell ref="D5:D6"/>
    <mergeCell ref="E5:E6"/>
    <mergeCell ref="F5:F6"/>
    <mergeCell ref="H5:H6"/>
    <mergeCell ref="A13:B13"/>
    <mergeCell ref="A17:B17"/>
    <mergeCell ref="A19:B19"/>
    <mergeCell ref="A20:B20"/>
    <mergeCell ref="A21:B21"/>
    <mergeCell ref="B32:B34"/>
    <mergeCell ref="A28:B28"/>
    <mergeCell ref="A29:B29"/>
    <mergeCell ref="A30:B30"/>
    <mergeCell ref="A22:B22"/>
    <mergeCell ref="A23:B23"/>
    <mergeCell ref="A24:B24"/>
    <mergeCell ref="A26:B26"/>
    <mergeCell ref="A27:B27"/>
  </mergeCells>
  <pageMargins left="0.70866141732283472" right="0.70866141732283472" top="0.74803149606299213" bottom="0.74803149606299213" header="0.31496062992125984" footer="0.31496062992125984"/>
  <pageSetup scale="76"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view="pageBreakPreview" zoomScale="60" zoomScaleNormal="100" workbookViewId="0">
      <selection sqref="A1:K1"/>
    </sheetView>
  </sheetViews>
  <sheetFormatPr baseColWidth="10" defaultRowHeight="12" x14ac:dyDescent="0.2"/>
  <cols>
    <col min="1" max="1" width="30.5703125" style="1048" customWidth="1"/>
    <col min="2" max="16384" width="11.42578125" style="1048"/>
  </cols>
  <sheetData>
    <row r="1" spans="1:11" x14ac:dyDescent="0.2">
      <c r="A1" s="1390" t="s">
        <v>719</v>
      </c>
      <c r="B1" s="1390"/>
      <c r="C1" s="1390"/>
      <c r="D1" s="1390"/>
      <c r="E1" s="1390"/>
      <c r="F1" s="1390"/>
      <c r="G1" s="1390"/>
      <c r="H1" s="1390"/>
      <c r="I1" s="1390"/>
      <c r="J1" s="1390"/>
      <c r="K1" s="1390"/>
    </row>
    <row r="2" spans="1:11" ht="15" customHeight="1" x14ac:dyDescent="0.2">
      <c r="A2" s="1391" t="s">
        <v>10535</v>
      </c>
      <c r="B2" s="1391"/>
      <c r="C2" s="1391"/>
      <c r="D2" s="1391"/>
      <c r="E2" s="1391"/>
      <c r="F2" s="1391"/>
      <c r="G2" s="1391"/>
      <c r="H2" s="1391"/>
      <c r="I2" s="1391"/>
      <c r="J2" s="1391"/>
      <c r="K2" s="1391"/>
    </row>
    <row r="3" spans="1:11" ht="15" customHeight="1" x14ac:dyDescent="0.2">
      <c r="A3" s="1391" t="s">
        <v>11725</v>
      </c>
      <c r="B3" s="1391"/>
      <c r="C3" s="1391"/>
      <c r="D3" s="1391"/>
      <c r="E3" s="1391"/>
      <c r="F3" s="1391"/>
      <c r="G3" s="1391"/>
      <c r="H3" s="1391"/>
      <c r="I3" s="1391"/>
      <c r="J3" s="1391"/>
      <c r="K3" s="1391"/>
    </row>
    <row r="4" spans="1:11" ht="12.75" thickBot="1" x14ac:dyDescent="0.25">
      <c r="A4" s="1391" t="s">
        <v>10492</v>
      </c>
      <c r="B4" s="1391"/>
      <c r="C4" s="1391"/>
      <c r="D4" s="1391"/>
      <c r="E4" s="1391"/>
      <c r="F4" s="1391"/>
      <c r="G4" s="1391"/>
      <c r="H4" s="1391"/>
      <c r="I4" s="1391"/>
      <c r="J4" s="1391"/>
      <c r="K4" s="1391"/>
    </row>
    <row r="5" spans="1:11" ht="120.75" thickBot="1" x14ac:dyDescent="0.25">
      <c r="A5" s="1069" t="s">
        <v>10534</v>
      </c>
      <c r="B5" s="1070" t="s">
        <v>11726</v>
      </c>
      <c r="C5" s="1070" t="s">
        <v>11727</v>
      </c>
      <c r="D5" s="1070" t="s">
        <v>11728</v>
      </c>
      <c r="E5" s="1070" t="s">
        <v>11729</v>
      </c>
      <c r="F5" s="1070" t="s">
        <v>11730</v>
      </c>
      <c r="G5" s="1070" t="s">
        <v>11731</v>
      </c>
      <c r="H5" s="1070" t="s">
        <v>11732</v>
      </c>
      <c r="I5" s="1070" t="s">
        <v>11733</v>
      </c>
      <c r="J5" s="1070" t="s">
        <v>11734</v>
      </c>
      <c r="K5" s="1070" t="s">
        <v>11735</v>
      </c>
    </row>
    <row r="6" spans="1:11" x14ac:dyDescent="0.2">
      <c r="A6" s="1049"/>
      <c r="B6" s="1050"/>
      <c r="C6" s="1050"/>
      <c r="D6" s="1050"/>
      <c r="E6" s="1050"/>
      <c r="F6" s="1050"/>
      <c r="G6" s="1050"/>
      <c r="H6" s="1050"/>
      <c r="I6" s="1050"/>
      <c r="J6" s="1050"/>
      <c r="K6" s="1050"/>
    </row>
    <row r="7" spans="1:11" ht="24" x14ac:dyDescent="0.2">
      <c r="A7" s="1051" t="s">
        <v>10533</v>
      </c>
      <c r="B7" s="1052"/>
      <c r="C7" s="1052"/>
      <c r="D7" s="1052"/>
      <c r="E7" s="1052"/>
      <c r="F7" s="1052"/>
      <c r="G7" s="1052"/>
      <c r="H7" s="1052"/>
      <c r="I7" s="1052"/>
      <c r="J7" s="1052"/>
      <c r="K7" s="1052"/>
    </row>
    <row r="8" spans="1:11" x14ac:dyDescent="0.2">
      <c r="A8" s="1053" t="s">
        <v>10532</v>
      </c>
      <c r="B8" s="1052"/>
      <c r="C8" s="1052"/>
      <c r="D8" s="1052"/>
      <c r="E8" s="1052"/>
      <c r="F8" s="1052"/>
      <c r="G8" s="1052"/>
      <c r="H8" s="1052"/>
      <c r="I8" s="1052"/>
      <c r="J8" s="1052"/>
      <c r="K8" s="1052"/>
    </row>
    <row r="9" spans="1:11" x14ac:dyDescent="0.2">
      <c r="A9" s="1053" t="s">
        <v>10531</v>
      </c>
      <c r="B9" s="1052"/>
      <c r="C9" s="1052"/>
      <c r="D9" s="1052"/>
      <c r="E9" s="1052"/>
      <c r="F9" s="1052"/>
      <c r="G9" s="1052"/>
      <c r="H9" s="1052"/>
      <c r="I9" s="1052"/>
      <c r="J9" s="1052"/>
      <c r="K9" s="1052"/>
    </row>
    <row r="10" spans="1:11" x14ac:dyDescent="0.2">
      <c r="A10" s="1053" t="s">
        <v>10530</v>
      </c>
      <c r="B10" s="1052"/>
      <c r="C10" s="1052"/>
      <c r="D10" s="1052"/>
      <c r="E10" s="1052"/>
      <c r="F10" s="1052"/>
      <c r="G10" s="1052"/>
      <c r="H10" s="1052"/>
      <c r="I10" s="1052"/>
      <c r="J10" s="1052"/>
      <c r="K10" s="1052"/>
    </row>
    <row r="11" spans="1:11" x14ac:dyDescent="0.2">
      <c r="A11" s="1053" t="s">
        <v>10529</v>
      </c>
      <c r="B11" s="1052"/>
      <c r="C11" s="1052"/>
      <c r="D11" s="1052"/>
      <c r="E11" s="1052"/>
      <c r="F11" s="1052"/>
      <c r="G11" s="1052"/>
      <c r="H11" s="1052"/>
      <c r="I11" s="1052"/>
      <c r="J11" s="1052"/>
      <c r="K11" s="1052"/>
    </row>
    <row r="12" spans="1:11" x14ac:dyDescent="0.2">
      <c r="A12" s="1054"/>
      <c r="B12" s="1052"/>
      <c r="C12" s="1052"/>
      <c r="D12" s="1052"/>
      <c r="E12" s="1052"/>
      <c r="F12" s="1052"/>
      <c r="G12" s="1052"/>
      <c r="H12" s="1052"/>
      <c r="I12" s="1052"/>
      <c r="J12" s="1052"/>
      <c r="K12" s="1052"/>
    </row>
    <row r="13" spans="1:11" x14ac:dyDescent="0.2">
      <c r="A13" s="1051" t="s">
        <v>10528</v>
      </c>
      <c r="B13" s="1052"/>
      <c r="C13" s="1052"/>
      <c r="D13" s="1052"/>
      <c r="E13" s="1052"/>
      <c r="F13" s="1052"/>
      <c r="G13" s="1052"/>
      <c r="H13" s="1052"/>
      <c r="I13" s="1052"/>
      <c r="J13" s="1052"/>
      <c r="K13" s="1052"/>
    </row>
    <row r="14" spans="1:11" x14ac:dyDescent="0.2">
      <c r="A14" s="1053" t="s">
        <v>10527</v>
      </c>
      <c r="B14" s="1052"/>
      <c r="C14" s="1052"/>
      <c r="D14" s="1052"/>
      <c r="E14" s="1052"/>
      <c r="F14" s="1052"/>
      <c r="G14" s="1052"/>
      <c r="H14" s="1052"/>
      <c r="I14" s="1052"/>
      <c r="J14" s="1052"/>
      <c r="K14" s="1052"/>
    </row>
    <row r="15" spans="1:11" x14ac:dyDescent="0.2">
      <c r="A15" s="1053" t="s">
        <v>10526</v>
      </c>
      <c r="B15" s="1052"/>
      <c r="C15" s="1052"/>
      <c r="D15" s="1052"/>
      <c r="E15" s="1052"/>
      <c r="F15" s="1052"/>
      <c r="G15" s="1052"/>
      <c r="H15" s="1052"/>
      <c r="I15" s="1052"/>
      <c r="J15" s="1052"/>
      <c r="K15" s="1052"/>
    </row>
    <row r="16" spans="1:11" x14ac:dyDescent="0.2">
      <c r="A16" s="1053" t="s">
        <v>10525</v>
      </c>
      <c r="B16" s="1052"/>
      <c r="C16" s="1052"/>
      <c r="D16" s="1052"/>
      <c r="E16" s="1052"/>
      <c r="F16" s="1052"/>
      <c r="G16" s="1052"/>
      <c r="H16" s="1052"/>
      <c r="I16" s="1052"/>
      <c r="J16" s="1052"/>
      <c r="K16" s="1052"/>
    </row>
    <row r="17" spans="1:12" x14ac:dyDescent="0.2">
      <c r="A17" s="1053" t="s">
        <v>10524</v>
      </c>
      <c r="B17" s="1052"/>
      <c r="C17" s="1052"/>
      <c r="D17" s="1052"/>
      <c r="E17" s="1052"/>
      <c r="F17" s="1052"/>
      <c r="G17" s="1052"/>
      <c r="H17" s="1052"/>
      <c r="I17" s="1052"/>
      <c r="J17" s="1052"/>
      <c r="K17" s="1052"/>
    </row>
    <row r="18" spans="1:12" x14ac:dyDescent="0.2">
      <c r="A18" s="1054"/>
      <c r="B18" s="1052"/>
      <c r="C18" s="1052"/>
      <c r="D18" s="1052"/>
      <c r="E18" s="1052"/>
      <c r="F18" s="1052"/>
      <c r="G18" s="1052"/>
      <c r="H18" s="1052"/>
      <c r="I18" s="1052"/>
      <c r="J18" s="1052"/>
      <c r="K18" s="1052"/>
    </row>
    <row r="19" spans="1:12" ht="24" x14ac:dyDescent="0.2">
      <c r="A19" s="1051" t="s">
        <v>10523</v>
      </c>
      <c r="B19" s="1052"/>
      <c r="C19" s="1052"/>
      <c r="D19" s="1052"/>
      <c r="E19" s="1052"/>
      <c r="F19" s="1052"/>
      <c r="G19" s="1052"/>
      <c r="H19" s="1052"/>
      <c r="I19" s="1052"/>
      <c r="J19" s="1052"/>
      <c r="K19" s="1052"/>
    </row>
    <row r="20" spans="1:12" ht="12.75" thickBot="1" x14ac:dyDescent="0.25">
      <c r="A20" s="1055"/>
      <c r="B20" s="1056"/>
      <c r="C20" s="1056"/>
      <c r="D20" s="1056"/>
      <c r="E20" s="1056"/>
      <c r="F20" s="1056"/>
      <c r="G20" s="1056"/>
      <c r="H20" s="1056"/>
      <c r="I20" s="1056"/>
      <c r="J20" s="1056"/>
      <c r="K20" s="1056"/>
    </row>
    <row r="28" spans="1:12" s="946" customFormat="1" ht="15" x14ac:dyDescent="0.25"/>
    <row r="29" spans="1:12" s="305" customFormat="1" ht="8.25" customHeight="1" x14ac:dyDescent="0.2">
      <c r="A29" s="281"/>
      <c r="B29" s="311"/>
      <c r="C29" s="319"/>
      <c r="D29" s="319"/>
      <c r="E29" s="319"/>
      <c r="G29" s="280"/>
      <c r="L29" s="326"/>
    </row>
    <row r="30" spans="1:12" s="295" customFormat="1" ht="12.75" x14ac:dyDescent="0.2">
      <c r="A30" s="309"/>
      <c r="B30" s="306"/>
      <c r="C30" s="313"/>
      <c r="D30" s="297"/>
      <c r="E30" s="313"/>
      <c r="G30" s="287"/>
    </row>
    <row r="31" spans="1:12" s="295" customFormat="1" ht="12.75" x14ac:dyDescent="0.2">
      <c r="A31" s="309"/>
      <c r="B31" s="306"/>
      <c r="C31" s="313"/>
      <c r="D31" s="297"/>
      <c r="E31" s="313"/>
      <c r="G31" s="287"/>
    </row>
    <row r="32" spans="1:12" s="295" customFormat="1" ht="12.75" x14ac:dyDescent="0.2">
      <c r="A32" s="309"/>
      <c r="B32" s="306"/>
      <c r="C32" s="313"/>
      <c r="D32" s="297"/>
      <c r="E32" s="313"/>
      <c r="G32" s="287"/>
    </row>
    <row r="33" spans="1:7" s="295" customFormat="1" ht="12.75" x14ac:dyDescent="0.2">
      <c r="A33" s="309"/>
      <c r="B33" s="306"/>
      <c r="C33" s="313"/>
      <c r="D33" s="297"/>
      <c r="E33" s="313"/>
      <c r="G33" s="280"/>
    </row>
    <row r="34" spans="1:7" s="295" customFormat="1" ht="12.75" x14ac:dyDescent="0.2">
      <c r="A34" s="309"/>
      <c r="B34" s="306"/>
      <c r="C34" s="313"/>
      <c r="D34" s="297"/>
      <c r="E34" s="313"/>
      <c r="G34" s="287"/>
    </row>
    <row r="35" spans="1:7" s="306" customFormat="1" ht="12.75" x14ac:dyDescent="0.2">
      <c r="C35" s="313"/>
      <c r="D35" s="297"/>
      <c r="E35" s="313"/>
      <c r="G35" s="287"/>
    </row>
  </sheetData>
  <mergeCells count="4">
    <mergeCell ref="A1:K1"/>
    <mergeCell ref="A2:K2"/>
    <mergeCell ref="A3:K3"/>
    <mergeCell ref="A4:K4"/>
  </mergeCells>
  <pageMargins left="0.39370078740157483" right="0.39370078740157483" top="0.74803149606299213" bottom="0.74803149606299213" header="0.31496062992125984" footer="0.31496062992125984"/>
  <pageSetup scale="89" fitToHeight="0" orientation="landscape"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9"/>
  <sheetViews>
    <sheetView view="pageBreakPreview" topLeftCell="A58" zoomScale="60" zoomScaleNormal="100" workbookViewId="0">
      <selection activeCell="A82" sqref="A82:XFD82"/>
    </sheetView>
  </sheetViews>
  <sheetFormatPr baseColWidth="10" defaultRowHeight="15" x14ac:dyDescent="0.25"/>
  <cols>
    <col min="1" max="1" width="76.7109375" bestFit="1" customWidth="1"/>
    <col min="2" max="4" width="13.5703125" customWidth="1"/>
    <col min="6" max="7" width="14.42578125" bestFit="1" customWidth="1"/>
  </cols>
  <sheetData>
    <row r="1" spans="1:7" x14ac:dyDescent="0.25">
      <c r="A1" s="1392" t="s">
        <v>719</v>
      </c>
      <c r="B1" s="1392"/>
      <c r="C1" s="1392"/>
      <c r="D1" s="1392"/>
    </row>
    <row r="2" spans="1:7" x14ac:dyDescent="0.25">
      <c r="A2" s="1392" t="s">
        <v>10573</v>
      </c>
      <c r="B2" s="1392"/>
      <c r="C2" s="1392"/>
      <c r="D2" s="1392"/>
    </row>
    <row r="3" spans="1:7" x14ac:dyDescent="0.25">
      <c r="A3" s="1392" t="s">
        <v>11724</v>
      </c>
      <c r="B3" s="1392"/>
      <c r="C3" s="1392"/>
      <c r="D3" s="1392"/>
    </row>
    <row r="4" spans="1:7" x14ac:dyDescent="0.25">
      <c r="A4" s="1392" t="s">
        <v>10492</v>
      </c>
      <c r="B4" s="1392"/>
      <c r="C4" s="1392"/>
      <c r="D4" s="1392"/>
    </row>
    <row r="5" spans="1:7" ht="15.75" thickBot="1" x14ac:dyDescent="0.3"/>
    <row r="6" spans="1:7" ht="30" customHeight="1" thickBot="1" x14ac:dyDescent="0.3">
      <c r="A6" s="991" t="s">
        <v>10491</v>
      </c>
      <c r="B6" s="958" t="s">
        <v>10572</v>
      </c>
      <c r="C6" s="958" t="s">
        <v>220</v>
      </c>
      <c r="D6" s="959" t="s">
        <v>10571</v>
      </c>
    </row>
    <row r="7" spans="1:7" x14ac:dyDescent="0.25">
      <c r="A7" s="968"/>
      <c r="B7" s="980"/>
      <c r="C7" s="979"/>
      <c r="D7" s="979"/>
    </row>
    <row r="8" spans="1:7" x14ac:dyDescent="0.25">
      <c r="A8" s="964" t="s">
        <v>10570</v>
      </c>
      <c r="B8" s="967">
        <f>B9+B10+B11</f>
        <v>845081315</v>
      </c>
      <c r="C8" s="966">
        <f>C9+C10+C11</f>
        <v>1078807432.0599999</v>
      </c>
      <c r="D8" s="966">
        <f>D9+D10+D11</f>
        <v>1078807432.0599999</v>
      </c>
    </row>
    <row r="9" spans="1:7" x14ac:dyDescent="0.25">
      <c r="A9" s="970" t="s">
        <v>10569</v>
      </c>
      <c r="B9" s="967">
        <v>623377760</v>
      </c>
      <c r="C9" s="966">
        <v>642723740.80999994</v>
      </c>
      <c r="D9" s="966">
        <v>642723740.80999994</v>
      </c>
    </row>
    <row r="10" spans="1:7" x14ac:dyDescent="0.25">
      <c r="A10" s="970" t="s">
        <v>10543</v>
      </c>
      <c r="B10" s="967">
        <v>221703555</v>
      </c>
      <c r="C10" s="966">
        <v>436083691.24999994</v>
      </c>
      <c r="D10" s="966">
        <v>436083691.24999994</v>
      </c>
    </row>
    <row r="11" spans="1:7" x14ac:dyDescent="0.25">
      <c r="A11" s="970" t="s">
        <v>10568</v>
      </c>
      <c r="B11" s="967">
        <v>0</v>
      </c>
      <c r="C11" s="966">
        <v>0</v>
      </c>
      <c r="D11" s="966">
        <v>0</v>
      </c>
    </row>
    <row r="12" spans="1:7" x14ac:dyDescent="0.25">
      <c r="A12" s="968"/>
      <c r="B12" s="967"/>
      <c r="C12" s="966"/>
      <c r="D12" s="966"/>
    </row>
    <row r="13" spans="1:7" x14ac:dyDescent="0.25">
      <c r="A13" s="964" t="s">
        <v>10567</v>
      </c>
      <c r="B13" s="967">
        <f>B14+B15</f>
        <v>845081315</v>
      </c>
      <c r="C13" s="966">
        <f>C14+C15</f>
        <v>1231028556.76</v>
      </c>
      <c r="D13" s="966">
        <f>D14+D15</f>
        <v>1193371966.3199999</v>
      </c>
    </row>
    <row r="14" spans="1:7" x14ac:dyDescent="0.25">
      <c r="A14" s="970" t="s">
        <v>10549</v>
      </c>
      <c r="B14" s="967">
        <v>220630000.41999999</v>
      </c>
      <c r="C14" s="966">
        <v>113268328.77</v>
      </c>
      <c r="D14" s="966">
        <v>112763941.66</v>
      </c>
      <c r="F14" s="166"/>
      <c r="G14" s="166"/>
    </row>
    <row r="15" spans="1:7" x14ac:dyDescent="0.25">
      <c r="A15" s="1095" t="s">
        <v>10566</v>
      </c>
      <c r="B15" s="1098">
        <v>624451314.58000004</v>
      </c>
      <c r="C15" s="1021">
        <v>1117760227.99</v>
      </c>
      <c r="D15" s="1021">
        <v>1080608024.6599998</v>
      </c>
    </row>
    <row r="16" spans="1:7" x14ac:dyDescent="0.25">
      <c r="A16" s="968"/>
      <c r="B16" s="967"/>
      <c r="C16" s="966"/>
      <c r="D16" s="966"/>
    </row>
    <row r="17" spans="1:4" x14ac:dyDescent="0.25">
      <c r="A17" s="964" t="s">
        <v>10565</v>
      </c>
      <c r="B17" s="993"/>
      <c r="C17" s="966">
        <f>C18+C19</f>
        <v>146622267.91999999</v>
      </c>
      <c r="D17" s="966">
        <f>D18+D19</f>
        <v>146622267.91999999</v>
      </c>
    </row>
    <row r="18" spans="1:4" x14ac:dyDescent="0.25">
      <c r="A18" s="970" t="s">
        <v>10548</v>
      </c>
      <c r="B18" s="993"/>
      <c r="C18" s="1021">
        <v>0</v>
      </c>
      <c r="D18" s="1021">
        <v>0</v>
      </c>
    </row>
    <row r="19" spans="1:4" x14ac:dyDescent="0.25">
      <c r="A19" s="970" t="s">
        <v>10538</v>
      </c>
      <c r="B19" s="993"/>
      <c r="C19" s="1021">
        <v>146622267.91999999</v>
      </c>
      <c r="D19" s="1021">
        <v>146622267.91999999</v>
      </c>
    </row>
    <row r="20" spans="1:4" x14ac:dyDescent="0.25">
      <c r="A20" s="968"/>
      <c r="B20" s="967"/>
      <c r="C20" s="966"/>
      <c r="D20" s="966"/>
    </row>
    <row r="21" spans="1:4" x14ac:dyDescent="0.25">
      <c r="A21" s="964" t="s">
        <v>10564</v>
      </c>
      <c r="B21" s="967">
        <f>B8-B13</f>
        <v>0</v>
      </c>
      <c r="C21" s="966">
        <f>C8-C13+C17</f>
        <v>-5598856.7800000608</v>
      </c>
      <c r="D21" s="966">
        <f>D8-D13+D17</f>
        <v>32057733.659999996</v>
      </c>
    </row>
    <row r="22" spans="1:4" x14ac:dyDescent="0.25">
      <c r="A22" s="964" t="s">
        <v>10563</v>
      </c>
      <c r="B22" s="967">
        <f>B21-B11</f>
        <v>0</v>
      </c>
      <c r="C22" s="966">
        <f>C21-C11</f>
        <v>-5598856.7800000608</v>
      </c>
      <c r="D22" s="966">
        <f>D21-D11</f>
        <v>32057733.659999996</v>
      </c>
    </row>
    <row r="23" spans="1:4" ht="27" customHeight="1" x14ac:dyDescent="0.25">
      <c r="A23" s="992" t="s">
        <v>10562</v>
      </c>
      <c r="B23" s="967">
        <f>B22-B17</f>
        <v>0</v>
      </c>
      <c r="C23" s="966">
        <f>C22-C17</f>
        <v>-152221124.70000005</v>
      </c>
      <c r="D23" s="966">
        <f>D22-D17</f>
        <v>-114564534.25999999</v>
      </c>
    </row>
    <row r="24" spans="1:4" ht="15.75" thickBot="1" x14ac:dyDescent="0.3">
      <c r="A24" s="976"/>
      <c r="B24" s="975"/>
      <c r="C24" s="974"/>
      <c r="D24" s="974"/>
    </row>
    <row r="25" spans="1:4" ht="15.75" thickBot="1" x14ac:dyDescent="0.3"/>
    <row r="26" spans="1:4" ht="15.75" thickBot="1" x14ac:dyDescent="0.3">
      <c r="A26" s="991" t="s">
        <v>201</v>
      </c>
      <c r="B26" s="958" t="s">
        <v>243</v>
      </c>
      <c r="C26" s="959" t="s">
        <v>220</v>
      </c>
      <c r="D26" s="959" t="s">
        <v>246</v>
      </c>
    </row>
    <row r="27" spans="1:4" x14ac:dyDescent="0.25">
      <c r="A27" s="990"/>
      <c r="B27" s="989"/>
      <c r="C27" s="988"/>
      <c r="D27" s="988"/>
    </row>
    <row r="28" spans="1:4" x14ac:dyDescent="0.25">
      <c r="A28" s="964" t="s">
        <v>10561</v>
      </c>
      <c r="B28" s="987">
        <f>B29+B30</f>
        <v>1716931.99</v>
      </c>
      <c r="C28" s="986">
        <f>C29+C30</f>
        <v>1473708.34</v>
      </c>
      <c r="D28" s="986">
        <f>D29+D30</f>
        <v>1473708.34</v>
      </c>
    </row>
    <row r="29" spans="1:4" x14ac:dyDescent="0.25">
      <c r="A29" s="970" t="s">
        <v>10560</v>
      </c>
      <c r="B29" s="987">
        <v>0</v>
      </c>
      <c r="C29" s="987">
        <v>94318.79</v>
      </c>
      <c r="D29" s="987">
        <v>94318.79</v>
      </c>
    </row>
    <row r="30" spans="1:4" x14ac:dyDescent="0.25">
      <c r="A30" s="1095" t="s">
        <v>10559</v>
      </c>
      <c r="B30" s="1096">
        <v>1716931.99</v>
      </c>
      <c r="C30" s="1097">
        <v>1379389.55</v>
      </c>
      <c r="D30" s="1097">
        <v>1379389.55</v>
      </c>
    </row>
    <row r="31" spans="1:4" x14ac:dyDescent="0.25">
      <c r="A31" s="968"/>
      <c r="B31" s="987"/>
      <c r="C31" s="986"/>
      <c r="D31" s="986"/>
    </row>
    <row r="32" spans="1:4" x14ac:dyDescent="0.25">
      <c r="A32" s="964" t="s">
        <v>10558</v>
      </c>
      <c r="B32" s="985">
        <f>B23+B28</f>
        <v>1716931.99</v>
      </c>
      <c r="C32" s="984">
        <f>C23+C28</f>
        <v>-150747416.36000004</v>
      </c>
      <c r="D32" s="984">
        <f>D23+D28</f>
        <v>-113090825.91999999</v>
      </c>
    </row>
    <row r="33" spans="1:4" ht="15.75" thickBot="1" x14ac:dyDescent="0.3">
      <c r="A33" s="983"/>
      <c r="B33" s="982"/>
      <c r="C33" s="981"/>
      <c r="D33" s="981"/>
    </row>
    <row r="34" spans="1:4" ht="15.75" thickBot="1" x14ac:dyDescent="0.3"/>
    <row r="35" spans="1:4" x14ac:dyDescent="0.25">
      <c r="A35" s="1393" t="s">
        <v>201</v>
      </c>
      <c r="B35" s="1372" t="s">
        <v>10545</v>
      </c>
      <c r="C35" s="1383" t="s">
        <v>220</v>
      </c>
      <c r="D35" s="973" t="s">
        <v>10544</v>
      </c>
    </row>
    <row r="36" spans="1:4" ht="15.75" thickBot="1" x14ac:dyDescent="0.3">
      <c r="A36" s="1394"/>
      <c r="B36" s="1374"/>
      <c r="C36" s="1385"/>
      <c r="D36" s="972" t="s">
        <v>246</v>
      </c>
    </row>
    <row r="37" spans="1:4" x14ac:dyDescent="0.25">
      <c r="A37" s="968"/>
      <c r="B37" s="980"/>
      <c r="C37" s="979"/>
      <c r="D37" s="979"/>
    </row>
    <row r="38" spans="1:4" x14ac:dyDescent="0.25">
      <c r="A38" s="964" t="s">
        <v>10557</v>
      </c>
      <c r="B38" s="967">
        <f>B39+B40</f>
        <v>0</v>
      </c>
      <c r="C38" s="966">
        <f>C39+C40</f>
        <v>0</v>
      </c>
      <c r="D38" s="966">
        <f>D39+D40</f>
        <v>0</v>
      </c>
    </row>
    <row r="39" spans="1:4" x14ac:dyDescent="0.25">
      <c r="A39" s="970" t="s">
        <v>10551</v>
      </c>
      <c r="B39" s="967">
        <v>0</v>
      </c>
      <c r="C39" s="966">
        <v>0</v>
      </c>
      <c r="D39" s="966">
        <v>0</v>
      </c>
    </row>
    <row r="40" spans="1:4" x14ac:dyDescent="0.25">
      <c r="A40" s="970" t="s">
        <v>10541</v>
      </c>
      <c r="B40" s="967">
        <v>0</v>
      </c>
      <c r="C40" s="966">
        <v>0</v>
      </c>
      <c r="D40" s="966">
        <v>0</v>
      </c>
    </row>
    <row r="41" spans="1:4" x14ac:dyDescent="0.25">
      <c r="A41" s="964" t="s">
        <v>10556</v>
      </c>
      <c r="B41" s="967">
        <f>B42+B43</f>
        <v>5000000.04</v>
      </c>
      <c r="C41" s="966">
        <f>C42+C43</f>
        <v>5000000.04</v>
      </c>
      <c r="D41" s="966">
        <f>D42+D43</f>
        <v>5000000.04</v>
      </c>
    </row>
    <row r="42" spans="1:4" x14ac:dyDescent="0.25">
      <c r="A42" s="970" t="s">
        <v>10550</v>
      </c>
      <c r="B42" s="967">
        <v>0</v>
      </c>
      <c r="C42" s="966">
        <v>0</v>
      </c>
      <c r="D42" s="966">
        <v>0</v>
      </c>
    </row>
    <row r="43" spans="1:4" x14ac:dyDescent="0.25">
      <c r="A43" s="1095" t="s">
        <v>10540</v>
      </c>
      <c r="B43" s="1098">
        <v>5000000.04</v>
      </c>
      <c r="C43" s="1021">
        <v>5000000.04</v>
      </c>
      <c r="D43" s="1021">
        <v>5000000.04</v>
      </c>
    </row>
    <row r="44" spans="1:4" x14ac:dyDescent="0.25">
      <c r="A44" s="968"/>
      <c r="B44" s="967"/>
      <c r="C44" s="966"/>
      <c r="D44" s="966"/>
    </row>
    <row r="45" spans="1:4" x14ac:dyDescent="0.25">
      <c r="A45" s="964" t="s">
        <v>10555</v>
      </c>
      <c r="B45" s="963">
        <f>B38-B41</f>
        <v>-5000000.04</v>
      </c>
      <c r="C45" s="963">
        <f>C38-C41</f>
        <v>-5000000.04</v>
      </c>
      <c r="D45" s="963">
        <f>D38-D41</f>
        <v>-5000000.04</v>
      </c>
    </row>
    <row r="46" spans="1:4" ht="15.75" thickBot="1" x14ac:dyDescent="0.3">
      <c r="A46" s="962"/>
      <c r="B46" s="961"/>
      <c r="C46" s="961"/>
      <c r="D46" s="961"/>
    </row>
    <row r="47" spans="1:4" ht="15.75" thickBot="1" x14ac:dyDescent="0.3"/>
    <row r="48" spans="1:4" x14ac:dyDescent="0.25">
      <c r="A48" s="1393" t="s">
        <v>201</v>
      </c>
      <c r="B48" s="978" t="s">
        <v>10554</v>
      </c>
      <c r="C48" s="1383" t="s">
        <v>220</v>
      </c>
      <c r="D48" s="973" t="s">
        <v>10544</v>
      </c>
    </row>
    <row r="49" spans="1:5" ht="15.75" thickBot="1" x14ac:dyDescent="0.3">
      <c r="A49" s="1394"/>
      <c r="B49" s="977" t="s">
        <v>243</v>
      </c>
      <c r="C49" s="1385"/>
      <c r="D49" s="972" t="s">
        <v>246</v>
      </c>
    </row>
    <row r="50" spans="1:5" x14ac:dyDescent="0.25">
      <c r="A50" s="971"/>
      <c r="B50" s="967"/>
      <c r="C50" s="966"/>
      <c r="D50" s="966"/>
    </row>
    <row r="51" spans="1:5" x14ac:dyDescent="0.25">
      <c r="A51" s="964" t="s">
        <v>10553</v>
      </c>
      <c r="B51" s="967">
        <v>623377760</v>
      </c>
      <c r="C51" s="966">
        <v>642723740.80999994</v>
      </c>
      <c r="D51" s="966">
        <v>642723740.80999994</v>
      </c>
    </row>
    <row r="52" spans="1:5" x14ac:dyDescent="0.25">
      <c r="A52" s="964" t="s">
        <v>10552</v>
      </c>
      <c r="B52" s="967">
        <f>B53-B54</f>
        <v>0</v>
      </c>
      <c r="C52" s="966">
        <f>C53-C54</f>
        <v>0</v>
      </c>
      <c r="D52" s="966">
        <f>D53-D54</f>
        <v>0</v>
      </c>
    </row>
    <row r="53" spans="1:5" x14ac:dyDescent="0.25">
      <c r="A53" s="970" t="s">
        <v>10551</v>
      </c>
      <c r="B53" s="967">
        <v>0</v>
      </c>
      <c r="C53" s="966">
        <v>0</v>
      </c>
      <c r="D53" s="966">
        <v>0</v>
      </c>
    </row>
    <row r="54" spans="1:5" x14ac:dyDescent="0.25">
      <c r="A54" s="970" t="s">
        <v>10550</v>
      </c>
      <c r="B54" s="967">
        <v>0</v>
      </c>
      <c r="C54" s="966">
        <v>0</v>
      </c>
      <c r="D54" s="966">
        <v>0</v>
      </c>
    </row>
    <row r="55" spans="1:5" x14ac:dyDescent="0.25">
      <c r="A55" s="968"/>
      <c r="B55" s="967"/>
      <c r="C55" s="966"/>
      <c r="D55" s="966"/>
    </row>
    <row r="56" spans="1:5" x14ac:dyDescent="0.25">
      <c r="A56" s="964" t="s">
        <v>10549</v>
      </c>
      <c r="B56" s="1098">
        <v>220630000.41999999</v>
      </c>
      <c r="C56" s="1021">
        <v>113268328.77</v>
      </c>
      <c r="D56" s="1021">
        <v>112763941.66</v>
      </c>
    </row>
    <row r="57" spans="1:5" x14ac:dyDescent="0.25">
      <c r="A57" s="968"/>
      <c r="B57" s="967"/>
      <c r="C57" s="966"/>
      <c r="D57" s="966"/>
    </row>
    <row r="58" spans="1:5" x14ac:dyDescent="0.25">
      <c r="A58" s="964" t="s">
        <v>10548</v>
      </c>
      <c r="B58" s="969"/>
      <c r="C58" s="1021">
        <v>0</v>
      </c>
      <c r="D58" s="1021">
        <v>0</v>
      </c>
      <c r="E58" s="760"/>
    </row>
    <row r="59" spans="1:5" x14ac:dyDescent="0.25">
      <c r="A59" s="968"/>
      <c r="B59" s="967"/>
      <c r="C59" s="966"/>
      <c r="D59" s="966"/>
    </row>
    <row r="60" spans="1:5" x14ac:dyDescent="0.25">
      <c r="A60" s="964" t="s">
        <v>10547</v>
      </c>
      <c r="B60" s="963">
        <f>B51+B52-B56+B58</f>
        <v>402747759.58000004</v>
      </c>
      <c r="C60" s="965">
        <f>C51+C52-C56+C58</f>
        <v>529455412.03999996</v>
      </c>
      <c r="D60" s="965">
        <f>D51+D52-D56+D58</f>
        <v>529959799.14999998</v>
      </c>
    </row>
    <row r="61" spans="1:5" x14ac:dyDescent="0.25">
      <c r="A61" s="964" t="s">
        <v>10546</v>
      </c>
      <c r="B61" s="963">
        <f>B60-B52</f>
        <v>402747759.58000004</v>
      </c>
      <c r="C61" s="963">
        <f t="shared" ref="C61:D61" si="0">C60-C52</f>
        <v>529455412.03999996</v>
      </c>
      <c r="D61" s="963">
        <f t="shared" si="0"/>
        <v>529959799.14999998</v>
      </c>
    </row>
    <row r="62" spans="1:5" ht="15.75" thickBot="1" x14ac:dyDescent="0.3">
      <c r="A62" s="976"/>
      <c r="B62" s="975"/>
      <c r="C62" s="974"/>
      <c r="D62" s="974"/>
    </row>
    <row r="63" spans="1:5" ht="15.75" thickBot="1" x14ac:dyDescent="0.3"/>
    <row r="64" spans="1:5" x14ac:dyDescent="0.25">
      <c r="A64" s="1393" t="s">
        <v>201</v>
      </c>
      <c r="B64" s="1372" t="s">
        <v>10545</v>
      </c>
      <c r="C64" s="1383" t="s">
        <v>220</v>
      </c>
      <c r="D64" s="973" t="s">
        <v>10544</v>
      </c>
    </row>
    <row r="65" spans="1:4" ht="15.75" thickBot="1" x14ac:dyDescent="0.3">
      <c r="A65" s="1394"/>
      <c r="B65" s="1374"/>
      <c r="C65" s="1385"/>
      <c r="D65" s="972" t="s">
        <v>246</v>
      </c>
    </row>
    <row r="66" spans="1:4" x14ac:dyDescent="0.25">
      <c r="A66" s="971"/>
      <c r="B66" s="967"/>
      <c r="C66" s="966"/>
      <c r="D66" s="966"/>
    </row>
    <row r="67" spans="1:4" x14ac:dyDescent="0.25">
      <c r="A67" s="964" t="s">
        <v>10543</v>
      </c>
      <c r="B67" s="967">
        <v>221703555</v>
      </c>
      <c r="C67" s="966">
        <v>436083691.24999994</v>
      </c>
      <c r="D67" s="966">
        <v>436083691.24999994</v>
      </c>
    </row>
    <row r="68" spans="1:4" x14ac:dyDescent="0.25">
      <c r="A68" s="964" t="s">
        <v>10542</v>
      </c>
      <c r="B68" s="967">
        <f>B69-B70</f>
        <v>-5000000.04</v>
      </c>
      <c r="C68" s="966">
        <f>C69-C70</f>
        <v>-5000000.04</v>
      </c>
      <c r="D68" s="966">
        <f>D69-D70</f>
        <v>-5000000.04</v>
      </c>
    </row>
    <row r="69" spans="1:4" x14ac:dyDescent="0.25">
      <c r="A69" s="970" t="s">
        <v>10541</v>
      </c>
      <c r="B69" s="967">
        <v>0</v>
      </c>
      <c r="C69" s="966">
        <v>0</v>
      </c>
      <c r="D69" s="966">
        <v>0</v>
      </c>
    </row>
    <row r="70" spans="1:4" x14ac:dyDescent="0.25">
      <c r="A70" s="970" t="s">
        <v>10540</v>
      </c>
      <c r="B70" s="967">
        <v>5000000.04</v>
      </c>
      <c r="C70" s="966">
        <v>5000000.04</v>
      </c>
      <c r="D70" s="966">
        <v>5000000.04</v>
      </c>
    </row>
    <row r="71" spans="1:4" x14ac:dyDescent="0.25">
      <c r="A71" s="968"/>
      <c r="B71" s="967"/>
      <c r="C71" s="966"/>
      <c r="D71" s="966"/>
    </row>
    <row r="72" spans="1:4" x14ac:dyDescent="0.25">
      <c r="A72" s="964" t="s">
        <v>10539</v>
      </c>
      <c r="B72" s="1098">
        <v>624451314.58000004</v>
      </c>
      <c r="C72" s="1021">
        <v>1117760227.99</v>
      </c>
      <c r="D72" s="1021">
        <v>1080608024.6599998</v>
      </c>
    </row>
    <row r="73" spans="1:4" x14ac:dyDescent="0.25">
      <c r="A73" s="968"/>
      <c r="B73" s="967"/>
      <c r="C73" s="966"/>
      <c r="D73" s="966"/>
    </row>
    <row r="74" spans="1:4" x14ac:dyDescent="0.25">
      <c r="A74" s="964" t="s">
        <v>10538</v>
      </c>
      <c r="B74" s="969"/>
      <c r="C74" s="1021">
        <v>146622267.91999999</v>
      </c>
      <c r="D74" s="1021">
        <v>146622267.91999999</v>
      </c>
    </row>
    <row r="75" spans="1:4" x14ac:dyDescent="0.25">
      <c r="A75" s="968"/>
      <c r="B75" s="967"/>
      <c r="C75" s="966"/>
      <c r="D75" s="966"/>
    </row>
    <row r="76" spans="1:4" x14ac:dyDescent="0.25">
      <c r="A76" s="964" t="s">
        <v>10537</v>
      </c>
      <c r="B76" s="963">
        <f>B67+B68-B72+B74</f>
        <v>-407747759.62</v>
      </c>
      <c r="C76" s="965">
        <f>C67+C68-C72+C74</f>
        <v>-540054268.86000013</v>
      </c>
      <c r="D76" s="965">
        <f>D67+D68-D72+D74</f>
        <v>-502902065.52999997</v>
      </c>
    </row>
    <row r="77" spans="1:4" x14ac:dyDescent="0.25">
      <c r="A77" s="964" t="s">
        <v>10536</v>
      </c>
      <c r="B77" s="963">
        <f>B76-B68</f>
        <v>-402747759.57999998</v>
      </c>
      <c r="C77" s="963">
        <f>C76-C68</f>
        <v>-535054268.82000011</v>
      </c>
      <c r="D77" s="963">
        <f>D76-D68</f>
        <v>-497902065.48999995</v>
      </c>
    </row>
    <row r="78" spans="1:4" ht="15.75" thickBot="1" x14ac:dyDescent="0.3">
      <c r="A78" s="962"/>
      <c r="B78" s="961"/>
      <c r="C78" s="961"/>
      <c r="D78" s="961"/>
    </row>
    <row r="82" s="1124" customFormat="1" x14ac:dyDescent="0.25"/>
    <row r="83" s="1124" customFormat="1" x14ac:dyDescent="0.25"/>
    <row r="84" s="1124" customFormat="1" x14ac:dyDescent="0.25"/>
    <row r="85" s="1124" customFormat="1" x14ac:dyDescent="0.25"/>
    <row r="86" s="1124" customFormat="1" x14ac:dyDescent="0.25"/>
    <row r="87" s="1124" customFormat="1" x14ac:dyDescent="0.25"/>
    <row r="88" s="1124" customFormat="1" x14ac:dyDescent="0.25"/>
    <row r="89" s="1124" customFormat="1" x14ac:dyDescent="0.25"/>
    <row r="90" s="1124" customFormat="1" x14ac:dyDescent="0.25"/>
    <row r="91" s="1124" customFormat="1" x14ac:dyDescent="0.25"/>
    <row r="92" s="1124" customFormat="1" x14ac:dyDescent="0.25"/>
    <row r="93" s="1124" customFormat="1" x14ac:dyDescent="0.25"/>
    <row r="94" s="1124" customFormat="1" x14ac:dyDescent="0.25"/>
    <row r="95" s="1124" customFormat="1" x14ac:dyDescent="0.25"/>
    <row r="96" s="1124" customFormat="1" x14ac:dyDescent="0.25"/>
    <row r="97" spans="1:12" s="1124" customFormat="1" x14ac:dyDescent="0.25"/>
    <row r="98" spans="1:12" s="1124" customFormat="1" x14ac:dyDescent="0.25"/>
    <row r="102" spans="1:12" s="946" customFormat="1" x14ac:dyDescent="0.25"/>
    <row r="103" spans="1:12" s="305" customFormat="1" ht="8.25" customHeight="1" x14ac:dyDescent="0.2">
      <c r="A103" s="281"/>
      <c r="B103" s="311"/>
      <c r="C103" s="319"/>
      <c r="D103" s="319"/>
      <c r="E103" s="319"/>
      <c r="G103" s="280"/>
      <c r="L103" s="326"/>
    </row>
    <row r="104" spans="1:12" s="295" customFormat="1" ht="12.75" x14ac:dyDescent="0.2">
      <c r="A104" s="309"/>
      <c r="B104" s="306"/>
      <c r="C104" s="313"/>
      <c r="D104" s="297"/>
      <c r="E104" s="313"/>
      <c r="G104" s="287"/>
    </row>
    <row r="105" spans="1:12" s="295" customFormat="1" ht="12.75" x14ac:dyDescent="0.2">
      <c r="A105" s="309"/>
      <c r="B105" s="306"/>
      <c r="C105" s="313"/>
      <c r="D105" s="297"/>
      <c r="E105" s="313"/>
      <c r="G105" s="287"/>
    </row>
    <row r="106" spans="1:12" s="295" customFormat="1" ht="12.75" x14ac:dyDescent="0.2">
      <c r="A106" s="309"/>
      <c r="B106" s="306"/>
      <c r="C106" s="313"/>
      <c r="D106" s="297"/>
      <c r="E106" s="313"/>
      <c r="G106" s="287"/>
    </row>
    <row r="107" spans="1:12" s="295" customFormat="1" ht="12.75" x14ac:dyDescent="0.2">
      <c r="A107" s="309"/>
      <c r="B107" s="306"/>
      <c r="C107" s="313"/>
      <c r="D107" s="297"/>
      <c r="E107" s="313"/>
      <c r="G107" s="280"/>
    </row>
    <row r="108" spans="1:12" s="295" customFormat="1" ht="12.75" x14ac:dyDescent="0.2">
      <c r="A108" s="309"/>
      <c r="B108" s="306"/>
      <c r="C108" s="313"/>
      <c r="D108" s="297"/>
      <c r="E108" s="313"/>
      <c r="G108" s="287"/>
    </row>
    <row r="109" spans="1:12" s="306" customFormat="1" ht="12.75" x14ac:dyDescent="0.2">
      <c r="C109" s="313"/>
      <c r="D109" s="297"/>
      <c r="E109" s="313"/>
      <c r="G109" s="287"/>
    </row>
  </sheetData>
  <mergeCells count="12">
    <mergeCell ref="A48:A49"/>
    <mergeCell ref="C48:C49"/>
    <mergeCell ref="A64:A65"/>
    <mergeCell ref="B64:B65"/>
    <mergeCell ref="C64:C65"/>
    <mergeCell ref="A1:D1"/>
    <mergeCell ref="A2:D2"/>
    <mergeCell ref="A3:D3"/>
    <mergeCell ref="A4:D4"/>
    <mergeCell ref="A35:A36"/>
    <mergeCell ref="B35:B36"/>
    <mergeCell ref="C35:C36"/>
  </mergeCells>
  <pageMargins left="0.39370078740157483" right="0.39370078740157483" top="0.39370078740157483" bottom="0.39370078740157483" header="0.31496062992125984" footer="0.31496062992125984"/>
  <pageSetup scale="83" fitToHeight="0"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0"/>
  <sheetViews>
    <sheetView view="pageBreakPreview" topLeftCell="A22" zoomScale="60" zoomScaleNormal="100" workbookViewId="0">
      <selection activeCell="A48" sqref="A48:XFD48"/>
    </sheetView>
  </sheetViews>
  <sheetFormatPr baseColWidth="10" defaultRowHeight="11.25" x14ac:dyDescent="0.2"/>
  <cols>
    <col min="1" max="2" width="5.42578125" style="1057" customWidth="1"/>
    <col min="3" max="3" width="41.5703125" style="1057" customWidth="1"/>
    <col min="4" max="9" width="14.7109375" style="1057" customWidth="1"/>
    <col min="10" max="11" width="11.42578125" style="1057"/>
    <col min="12" max="12" width="12.5703125" style="1057" bestFit="1" customWidth="1"/>
    <col min="13" max="16384" width="11.42578125" style="1057"/>
  </cols>
  <sheetData>
    <row r="1" spans="1:9" x14ac:dyDescent="0.2">
      <c r="A1" s="1375" t="s">
        <v>719</v>
      </c>
      <c r="B1" s="1375"/>
      <c r="C1" s="1375"/>
      <c r="D1" s="1375"/>
      <c r="E1" s="1375"/>
      <c r="F1" s="1375"/>
      <c r="G1" s="1375"/>
      <c r="H1" s="1375"/>
      <c r="I1" s="1375"/>
    </row>
    <row r="2" spans="1:9" x14ac:dyDescent="0.2">
      <c r="A2" s="1375" t="s">
        <v>10640</v>
      </c>
      <c r="B2" s="1375"/>
      <c r="C2" s="1375"/>
      <c r="D2" s="1375"/>
      <c r="E2" s="1375"/>
      <c r="F2" s="1375"/>
      <c r="G2" s="1375"/>
      <c r="H2" s="1375"/>
      <c r="I2" s="1375"/>
    </row>
    <row r="3" spans="1:9" x14ac:dyDescent="0.2">
      <c r="A3" s="1375" t="s">
        <v>11724</v>
      </c>
      <c r="B3" s="1375"/>
      <c r="C3" s="1375"/>
      <c r="D3" s="1375"/>
      <c r="E3" s="1375"/>
      <c r="F3" s="1375"/>
      <c r="G3" s="1375"/>
      <c r="H3" s="1375"/>
      <c r="I3" s="1375"/>
    </row>
    <row r="4" spans="1:9" ht="12" thickBot="1" x14ac:dyDescent="0.25">
      <c r="A4" s="1375" t="s">
        <v>10492</v>
      </c>
      <c r="B4" s="1375"/>
      <c r="C4" s="1375"/>
      <c r="D4" s="1375"/>
      <c r="E4" s="1375"/>
      <c r="F4" s="1375"/>
      <c r="G4" s="1375"/>
      <c r="H4" s="1375"/>
      <c r="I4" s="1375"/>
    </row>
    <row r="5" spans="1:9" ht="12" thickBot="1" x14ac:dyDescent="0.25">
      <c r="A5" s="1414"/>
      <c r="B5" s="1415"/>
      <c r="C5" s="1416"/>
      <c r="D5" s="1417" t="s">
        <v>215</v>
      </c>
      <c r="E5" s="1418"/>
      <c r="F5" s="1418"/>
      <c r="G5" s="1418"/>
      <c r="H5" s="1419"/>
      <c r="I5" s="1420" t="s">
        <v>10639</v>
      </c>
    </row>
    <row r="6" spans="1:9" x14ac:dyDescent="0.2">
      <c r="A6" s="1423" t="s">
        <v>201</v>
      </c>
      <c r="B6" s="1424"/>
      <c r="C6" s="1425"/>
      <c r="D6" s="1420" t="s">
        <v>10638</v>
      </c>
      <c r="E6" s="1420" t="s">
        <v>10648</v>
      </c>
      <c r="F6" s="1420" t="s">
        <v>245</v>
      </c>
      <c r="G6" s="1420" t="s">
        <v>220</v>
      </c>
      <c r="H6" s="1420" t="s">
        <v>221</v>
      </c>
      <c r="I6" s="1421"/>
    </row>
    <row r="7" spans="1:9" ht="12" thickBot="1" x14ac:dyDescent="0.25">
      <c r="A7" s="1426" t="s">
        <v>11736</v>
      </c>
      <c r="B7" s="1427"/>
      <c r="C7" s="1428"/>
      <c r="D7" s="1422"/>
      <c r="E7" s="1422"/>
      <c r="F7" s="1422"/>
      <c r="G7" s="1422"/>
      <c r="H7" s="1422"/>
      <c r="I7" s="1422"/>
    </row>
    <row r="8" spans="1:9" x14ac:dyDescent="0.2">
      <c r="A8" s="1409"/>
      <c r="B8" s="1410"/>
      <c r="C8" s="1411"/>
      <c r="D8" s="995"/>
      <c r="E8" s="995"/>
      <c r="F8" s="995"/>
      <c r="G8" s="995"/>
      <c r="H8" s="995"/>
      <c r="I8" s="995"/>
    </row>
    <row r="9" spans="1:9" x14ac:dyDescent="0.2">
      <c r="A9" s="1397" t="s">
        <v>10637</v>
      </c>
      <c r="B9" s="1398"/>
      <c r="C9" s="1412"/>
      <c r="D9" s="995"/>
      <c r="E9" s="995"/>
      <c r="F9" s="995"/>
      <c r="G9" s="995"/>
      <c r="H9" s="995"/>
      <c r="I9" s="995"/>
    </row>
    <row r="10" spans="1:9" x14ac:dyDescent="0.2">
      <c r="A10" s="1058"/>
      <c r="B10" s="1402" t="s">
        <v>10636</v>
      </c>
      <c r="C10" s="1403"/>
      <c r="D10" s="995">
        <v>179835000</v>
      </c>
      <c r="E10" s="995">
        <v>-81620294.359999999</v>
      </c>
      <c r="F10" s="995">
        <f>D10+E10</f>
        <v>98214705.640000001</v>
      </c>
      <c r="G10" s="995">
        <v>84649950.230000004</v>
      </c>
      <c r="H10" s="995">
        <v>84649950.230000004</v>
      </c>
      <c r="I10" s="995">
        <f t="shared" ref="I10:I41" si="0">H10-D10</f>
        <v>-95185049.769999996</v>
      </c>
    </row>
    <row r="11" spans="1:9" x14ac:dyDescent="0.2">
      <c r="A11" s="1058"/>
      <c r="B11" s="1402" t="s">
        <v>10635</v>
      </c>
      <c r="C11" s="1403"/>
      <c r="D11" s="995">
        <v>0</v>
      </c>
      <c r="E11" s="995">
        <v>0</v>
      </c>
      <c r="F11" s="995">
        <v>0</v>
      </c>
      <c r="G11" s="995">
        <v>0</v>
      </c>
      <c r="H11" s="995">
        <v>0</v>
      </c>
      <c r="I11" s="995">
        <f t="shared" si="0"/>
        <v>0</v>
      </c>
    </row>
    <row r="12" spans="1:9" x14ac:dyDescent="0.2">
      <c r="A12" s="1058"/>
      <c r="B12" s="1402" t="s">
        <v>10634</v>
      </c>
      <c r="C12" s="1403"/>
      <c r="D12" s="995">
        <v>50000</v>
      </c>
      <c r="E12" s="995">
        <v>0</v>
      </c>
      <c r="F12" s="995">
        <f>D12+E12</f>
        <v>50000</v>
      </c>
      <c r="G12" s="995">
        <v>0</v>
      </c>
      <c r="H12" s="995">
        <v>0</v>
      </c>
      <c r="I12" s="995">
        <f t="shared" si="0"/>
        <v>-50000</v>
      </c>
    </row>
    <row r="13" spans="1:9" x14ac:dyDescent="0.2">
      <c r="A13" s="1058"/>
      <c r="B13" s="1402" t="s">
        <v>10633</v>
      </c>
      <c r="C13" s="1403"/>
      <c r="D13" s="995">
        <v>27995000</v>
      </c>
      <c r="E13" s="995">
        <v>17347000</v>
      </c>
      <c r="F13" s="995">
        <f>D13+E13</f>
        <v>45342000</v>
      </c>
      <c r="G13" s="995">
        <v>40684787.939999998</v>
      </c>
      <c r="H13" s="995">
        <v>40684787.939999998</v>
      </c>
      <c r="I13" s="995">
        <f t="shared" si="0"/>
        <v>12689787.939999998</v>
      </c>
    </row>
    <row r="14" spans="1:9" x14ac:dyDescent="0.2">
      <c r="A14" s="1058"/>
      <c r="B14" s="1402" t="s">
        <v>10632</v>
      </c>
      <c r="C14" s="1403"/>
      <c r="D14" s="995">
        <v>2200000</v>
      </c>
      <c r="E14" s="995">
        <v>0</v>
      </c>
      <c r="F14" s="995">
        <f>D14+E14</f>
        <v>2200000</v>
      </c>
      <c r="G14" s="995">
        <v>1918097</v>
      </c>
      <c r="H14" s="995">
        <v>1918097</v>
      </c>
      <c r="I14" s="995">
        <f t="shared" si="0"/>
        <v>-281903</v>
      </c>
    </row>
    <row r="15" spans="1:9" x14ac:dyDescent="0.2">
      <c r="A15" s="1058"/>
      <c r="B15" s="1402" t="s">
        <v>10631</v>
      </c>
      <c r="C15" s="1403"/>
      <c r="D15" s="995">
        <v>6350000</v>
      </c>
      <c r="E15" s="995">
        <v>6343000</v>
      </c>
      <c r="F15" s="995">
        <f>D15+E15</f>
        <v>12693000</v>
      </c>
      <c r="G15" s="995">
        <v>10278752.629999999</v>
      </c>
      <c r="H15" s="995">
        <v>10278752.629999999</v>
      </c>
      <c r="I15" s="995">
        <f t="shared" si="0"/>
        <v>3928752.629999999</v>
      </c>
    </row>
    <row r="16" spans="1:9" x14ac:dyDescent="0.2">
      <c r="A16" s="1058"/>
      <c r="B16" s="1402" t="s">
        <v>10630</v>
      </c>
      <c r="C16" s="1403"/>
      <c r="D16" s="995"/>
      <c r="E16" s="995"/>
      <c r="F16" s="995"/>
      <c r="G16" s="995">
        <v>0</v>
      </c>
      <c r="H16" s="995">
        <v>0</v>
      </c>
      <c r="I16" s="995">
        <f t="shared" si="0"/>
        <v>0</v>
      </c>
    </row>
    <row r="17" spans="1:9" x14ac:dyDescent="0.2">
      <c r="A17" s="1413"/>
      <c r="B17" s="1402" t="s">
        <v>10629</v>
      </c>
      <c r="C17" s="1403"/>
      <c r="D17" s="1408">
        <f>SUM(D19:D29)</f>
        <v>380258217.69999999</v>
      </c>
      <c r="E17" s="1407">
        <f>SUM(E19:E29)</f>
        <v>118531000</v>
      </c>
      <c r="F17" s="1407">
        <f>SUM(F19:F29)</f>
        <v>498789217.69999999</v>
      </c>
      <c r="G17" s="1407">
        <f>SUM(G19:G29)</f>
        <v>474024202.06999999</v>
      </c>
      <c r="H17" s="1407">
        <f>SUM(H19:H29)</f>
        <v>474024202.06999999</v>
      </c>
      <c r="I17" s="1407">
        <f t="shared" si="0"/>
        <v>93765984.370000005</v>
      </c>
    </row>
    <row r="18" spans="1:9" x14ac:dyDescent="0.2">
      <c r="A18" s="1413"/>
      <c r="B18" s="1402" t="s">
        <v>10628</v>
      </c>
      <c r="C18" s="1403"/>
      <c r="D18" s="1408"/>
      <c r="E18" s="1407"/>
      <c r="F18" s="1407"/>
      <c r="G18" s="1407"/>
      <c r="H18" s="1407"/>
      <c r="I18" s="1407">
        <f t="shared" si="0"/>
        <v>0</v>
      </c>
    </row>
    <row r="19" spans="1:9" x14ac:dyDescent="0.2">
      <c r="A19" s="1058"/>
      <c r="B19" s="1059"/>
      <c r="C19" s="1060" t="s">
        <v>10627</v>
      </c>
      <c r="D19" s="1061">
        <v>225300968.94999993</v>
      </c>
      <c r="E19" s="1061">
        <v>118531000</v>
      </c>
      <c r="F19" s="1061">
        <f t="shared" ref="F19:F29" si="1">D19+E19</f>
        <v>343831968.94999993</v>
      </c>
      <c r="G19" s="1061">
        <v>319066953.31999999</v>
      </c>
      <c r="H19" s="1061">
        <v>319066953.31999999</v>
      </c>
      <c r="I19" s="995">
        <f t="shared" si="0"/>
        <v>93765984.370000064</v>
      </c>
    </row>
    <row r="20" spans="1:9" x14ac:dyDescent="0.2">
      <c r="A20" s="1058"/>
      <c r="B20" s="1059"/>
      <c r="C20" s="1060" t="s">
        <v>10626</v>
      </c>
      <c r="D20" s="1061">
        <v>74086900.849999994</v>
      </c>
      <c r="E20" s="1061">
        <v>0</v>
      </c>
      <c r="F20" s="1061">
        <f t="shared" si="1"/>
        <v>74086900.849999994</v>
      </c>
      <c r="G20" s="1061">
        <v>74086900.849999994</v>
      </c>
      <c r="H20" s="1061">
        <v>74086900.849999994</v>
      </c>
      <c r="I20" s="995">
        <f t="shared" si="0"/>
        <v>0</v>
      </c>
    </row>
    <row r="21" spans="1:9" x14ac:dyDescent="0.2">
      <c r="A21" s="1058"/>
      <c r="B21" s="1059"/>
      <c r="C21" s="1060" t="s">
        <v>10625</v>
      </c>
      <c r="D21" s="1061">
        <v>4357962.04</v>
      </c>
      <c r="E21" s="1061">
        <v>0</v>
      </c>
      <c r="F21" s="1061">
        <f t="shared" si="1"/>
        <v>4357962.04</v>
      </c>
      <c r="G21" s="1061">
        <v>4357962.04</v>
      </c>
      <c r="H21" s="1061">
        <v>4357962.04</v>
      </c>
      <c r="I21" s="995">
        <f t="shared" si="0"/>
        <v>0</v>
      </c>
    </row>
    <row r="22" spans="1:9" x14ac:dyDescent="0.2">
      <c r="A22" s="1058"/>
      <c r="B22" s="1059"/>
      <c r="C22" s="1060" t="s">
        <v>10624</v>
      </c>
      <c r="D22" s="1061">
        <v>0</v>
      </c>
      <c r="E22" s="1061">
        <v>0</v>
      </c>
      <c r="F22" s="1061">
        <f t="shared" si="1"/>
        <v>0</v>
      </c>
      <c r="G22" s="1061">
        <v>0</v>
      </c>
      <c r="H22" s="1061">
        <v>0</v>
      </c>
      <c r="I22" s="995">
        <f t="shared" si="0"/>
        <v>0</v>
      </c>
    </row>
    <row r="23" spans="1:9" x14ac:dyDescent="0.2">
      <c r="A23" s="1058"/>
      <c r="B23" s="1059"/>
      <c r="C23" s="1060" t="s">
        <v>10623</v>
      </c>
      <c r="D23" s="1061">
        <v>759400.28</v>
      </c>
      <c r="E23" s="1061">
        <v>0</v>
      </c>
      <c r="F23" s="1061">
        <f t="shared" si="1"/>
        <v>759400.28</v>
      </c>
      <c r="G23" s="1061">
        <v>759400.28</v>
      </c>
      <c r="H23" s="1061">
        <v>759400.28</v>
      </c>
      <c r="I23" s="995">
        <f t="shared" si="0"/>
        <v>0</v>
      </c>
    </row>
    <row r="24" spans="1:9" x14ac:dyDescent="0.2">
      <c r="A24" s="1058"/>
      <c r="B24" s="1059"/>
      <c r="C24" s="1060" t="s">
        <v>10622</v>
      </c>
      <c r="D24" s="1061">
        <v>6658707.4699999997</v>
      </c>
      <c r="E24" s="1061">
        <v>0</v>
      </c>
      <c r="F24" s="1061">
        <f t="shared" si="1"/>
        <v>6658707.4699999997</v>
      </c>
      <c r="G24" s="1061">
        <v>6658707.4699999997</v>
      </c>
      <c r="H24" s="1061">
        <v>6658707.4699999997</v>
      </c>
      <c r="I24" s="995">
        <f t="shared" si="0"/>
        <v>0</v>
      </c>
    </row>
    <row r="25" spans="1:9" x14ac:dyDescent="0.2">
      <c r="A25" s="1058"/>
      <c r="B25" s="1059"/>
      <c r="C25" s="1060" t="s">
        <v>10621</v>
      </c>
      <c r="D25" s="1061">
        <v>0</v>
      </c>
      <c r="E25" s="1061">
        <v>0</v>
      </c>
      <c r="F25" s="1061">
        <f t="shared" si="1"/>
        <v>0</v>
      </c>
      <c r="G25" s="1061">
        <v>0</v>
      </c>
      <c r="H25" s="1061">
        <v>0</v>
      </c>
      <c r="I25" s="995">
        <f t="shared" si="0"/>
        <v>0</v>
      </c>
    </row>
    <row r="26" spans="1:9" x14ac:dyDescent="0.2">
      <c r="A26" s="1058"/>
      <c r="B26" s="1059"/>
      <c r="C26" s="1060" t="s">
        <v>10620</v>
      </c>
      <c r="D26" s="1061">
        <v>0</v>
      </c>
      <c r="E26" s="1061">
        <v>0</v>
      </c>
      <c r="F26" s="1061">
        <f t="shared" si="1"/>
        <v>0</v>
      </c>
      <c r="G26" s="1061">
        <v>0</v>
      </c>
      <c r="H26" s="1061">
        <v>0</v>
      </c>
      <c r="I26" s="995">
        <f t="shared" si="0"/>
        <v>0</v>
      </c>
    </row>
    <row r="27" spans="1:9" x14ac:dyDescent="0.2">
      <c r="A27" s="1058"/>
      <c r="B27" s="1059"/>
      <c r="C27" s="1060" t="s">
        <v>10619</v>
      </c>
      <c r="D27" s="1061">
        <v>14473762.109999999</v>
      </c>
      <c r="E27" s="1061">
        <v>0</v>
      </c>
      <c r="F27" s="1061">
        <f t="shared" si="1"/>
        <v>14473762.109999999</v>
      </c>
      <c r="G27" s="1061">
        <v>14473762.109999999</v>
      </c>
      <c r="H27" s="1061">
        <v>14473762.109999999</v>
      </c>
      <c r="I27" s="995">
        <f t="shared" si="0"/>
        <v>0</v>
      </c>
    </row>
    <row r="28" spans="1:9" x14ac:dyDescent="0.2">
      <c r="A28" s="1058"/>
      <c r="B28" s="1059"/>
      <c r="C28" s="1060" t="s">
        <v>10618</v>
      </c>
      <c r="D28" s="1061">
        <v>54620516</v>
      </c>
      <c r="E28" s="1061">
        <v>0</v>
      </c>
      <c r="F28" s="1061">
        <f t="shared" si="1"/>
        <v>54620516</v>
      </c>
      <c r="G28" s="1061">
        <v>54620516</v>
      </c>
      <c r="H28" s="1061">
        <v>54620516</v>
      </c>
      <c r="I28" s="995">
        <f t="shared" si="0"/>
        <v>0</v>
      </c>
    </row>
    <row r="29" spans="1:9" x14ac:dyDescent="0.2">
      <c r="A29" s="1058"/>
      <c r="B29" s="1059"/>
      <c r="C29" s="1060" t="s">
        <v>10617</v>
      </c>
      <c r="D29" s="1061">
        <v>0</v>
      </c>
      <c r="E29" s="1061">
        <v>0</v>
      </c>
      <c r="F29" s="1061">
        <f t="shared" si="1"/>
        <v>0</v>
      </c>
      <c r="G29" s="1061">
        <v>0</v>
      </c>
      <c r="H29" s="1061">
        <v>0</v>
      </c>
      <c r="I29" s="995">
        <f t="shared" si="0"/>
        <v>0</v>
      </c>
    </row>
    <row r="30" spans="1:9" x14ac:dyDescent="0.2">
      <c r="A30" s="1058"/>
      <c r="B30" s="1402" t="s">
        <v>10616</v>
      </c>
      <c r="C30" s="1403"/>
      <c r="D30" s="995">
        <f>SUM(D31:D35)</f>
        <v>22489542.300000001</v>
      </c>
      <c r="E30" s="995">
        <f>SUM(E31:E35)</f>
        <v>0</v>
      </c>
      <c r="F30" s="995">
        <f>SUM(F31:F35)</f>
        <v>22489542.300000001</v>
      </c>
      <c r="G30" s="995">
        <f>SUM(G31:G35)</f>
        <v>22489542.300000001</v>
      </c>
      <c r="H30" s="995">
        <f>SUM(H31:H35)</f>
        <v>22489542.300000001</v>
      </c>
      <c r="I30" s="995">
        <f t="shared" si="0"/>
        <v>0</v>
      </c>
    </row>
    <row r="31" spans="1:9" x14ac:dyDescent="0.2">
      <c r="A31" s="1058"/>
      <c r="B31" s="1059"/>
      <c r="C31" s="1060" t="s">
        <v>10615</v>
      </c>
      <c r="D31" s="995">
        <v>16047088.84</v>
      </c>
      <c r="E31" s="995">
        <v>0</v>
      </c>
      <c r="F31" s="995">
        <f t="shared" ref="F31:F36" si="2">D31+E31</f>
        <v>16047088.84</v>
      </c>
      <c r="G31" s="1061">
        <v>16047088.84</v>
      </c>
      <c r="H31" s="1061">
        <v>16047088.84</v>
      </c>
      <c r="I31" s="995">
        <f t="shared" si="0"/>
        <v>0</v>
      </c>
    </row>
    <row r="32" spans="1:9" x14ac:dyDescent="0.2">
      <c r="A32" s="1058"/>
      <c r="B32" s="1059"/>
      <c r="C32" s="1060" t="s">
        <v>10614</v>
      </c>
      <c r="D32" s="995">
        <v>1932903.09</v>
      </c>
      <c r="E32" s="995">
        <v>0</v>
      </c>
      <c r="F32" s="995">
        <f t="shared" si="2"/>
        <v>1932903.09</v>
      </c>
      <c r="G32" s="1061">
        <v>1932903.09</v>
      </c>
      <c r="H32" s="1061">
        <v>1932903.09</v>
      </c>
      <c r="I32" s="995">
        <f t="shared" si="0"/>
        <v>0</v>
      </c>
    </row>
    <row r="33" spans="1:9" x14ac:dyDescent="0.2">
      <c r="A33" s="1058"/>
      <c r="B33" s="1059"/>
      <c r="C33" s="1060" t="s">
        <v>10613</v>
      </c>
      <c r="D33" s="995">
        <v>4509550.37</v>
      </c>
      <c r="E33" s="995">
        <v>0</v>
      </c>
      <c r="F33" s="995">
        <f t="shared" si="2"/>
        <v>4509550.37</v>
      </c>
      <c r="G33" s="1061">
        <v>4509550.37</v>
      </c>
      <c r="H33" s="1061">
        <v>4509550.37</v>
      </c>
      <c r="I33" s="995">
        <f t="shared" si="0"/>
        <v>0</v>
      </c>
    </row>
    <row r="34" spans="1:9" x14ac:dyDescent="0.2">
      <c r="A34" s="1058"/>
      <c r="B34" s="1059"/>
      <c r="C34" s="1060" t="s">
        <v>10612</v>
      </c>
      <c r="D34" s="995">
        <v>0</v>
      </c>
      <c r="E34" s="995">
        <v>0</v>
      </c>
      <c r="F34" s="995">
        <f t="shared" si="2"/>
        <v>0</v>
      </c>
      <c r="G34" s="1061">
        <v>0</v>
      </c>
      <c r="H34" s="1061">
        <v>0</v>
      </c>
      <c r="I34" s="995">
        <f t="shared" si="0"/>
        <v>0</v>
      </c>
    </row>
    <row r="35" spans="1:9" x14ac:dyDescent="0.2">
      <c r="A35" s="1058"/>
      <c r="B35" s="1059"/>
      <c r="C35" s="1060" t="s">
        <v>10611</v>
      </c>
      <c r="D35" s="995">
        <v>0</v>
      </c>
      <c r="E35" s="995">
        <v>0</v>
      </c>
      <c r="F35" s="995">
        <f t="shared" si="2"/>
        <v>0</v>
      </c>
      <c r="G35" s="1061">
        <v>0</v>
      </c>
      <c r="H35" s="1061">
        <v>0</v>
      </c>
      <c r="I35" s="995">
        <f t="shared" si="0"/>
        <v>0</v>
      </c>
    </row>
    <row r="36" spans="1:9" x14ac:dyDescent="0.2">
      <c r="A36" s="1058"/>
      <c r="B36" s="1402" t="s">
        <v>10610</v>
      </c>
      <c r="C36" s="1403"/>
      <c r="D36" s="995">
        <v>0</v>
      </c>
      <c r="E36" s="995">
        <v>0</v>
      </c>
      <c r="F36" s="995">
        <f t="shared" si="2"/>
        <v>0</v>
      </c>
      <c r="G36" s="995">
        <v>0</v>
      </c>
      <c r="H36" s="995">
        <v>0</v>
      </c>
      <c r="I36" s="995">
        <f t="shared" si="0"/>
        <v>0</v>
      </c>
    </row>
    <row r="37" spans="1:9" x14ac:dyDescent="0.2">
      <c r="A37" s="1058"/>
      <c r="B37" s="1402" t="s">
        <v>10609</v>
      </c>
      <c r="C37" s="1403"/>
      <c r="D37" s="1061">
        <f>SUM(D38)</f>
        <v>0</v>
      </c>
      <c r="E37" s="1061">
        <f>SUM(E38)</f>
        <v>0</v>
      </c>
      <c r="F37" s="1061">
        <f>SUM(F38)</f>
        <v>0</v>
      </c>
      <c r="G37" s="995">
        <f>SUM(G38)</f>
        <v>0</v>
      </c>
      <c r="H37" s="995">
        <f>SUM(H38)</f>
        <v>0</v>
      </c>
      <c r="I37" s="995">
        <f t="shared" si="0"/>
        <v>0</v>
      </c>
    </row>
    <row r="38" spans="1:9" x14ac:dyDescent="0.2">
      <c r="A38" s="1058"/>
      <c r="B38" s="1059"/>
      <c r="C38" s="1060" t="s">
        <v>10608</v>
      </c>
      <c r="D38" s="995">
        <v>0</v>
      </c>
      <c r="E38" s="995">
        <v>0</v>
      </c>
      <c r="F38" s="995">
        <v>0</v>
      </c>
      <c r="G38" s="1061">
        <v>0</v>
      </c>
      <c r="H38" s="1061">
        <v>0</v>
      </c>
      <c r="I38" s="995">
        <f t="shared" si="0"/>
        <v>0</v>
      </c>
    </row>
    <row r="39" spans="1:9" x14ac:dyDescent="0.2">
      <c r="A39" s="1058"/>
      <c r="B39" s="1402" t="s">
        <v>10607</v>
      </c>
      <c r="C39" s="1403"/>
      <c r="D39" s="995">
        <f>SUM(D40:D41)</f>
        <v>4200000</v>
      </c>
      <c r="E39" s="995">
        <f>SUM(E40:E41)</f>
        <v>4924000</v>
      </c>
      <c r="F39" s="995">
        <f>SUM(F40:F41)</f>
        <v>9124000</v>
      </c>
      <c r="G39" s="995">
        <f>SUM(G40:G41)</f>
        <v>8678408.6400000006</v>
      </c>
      <c r="H39" s="995">
        <f>SUM(H40:H41)</f>
        <v>8678408.6400000006</v>
      </c>
      <c r="I39" s="995">
        <f t="shared" si="0"/>
        <v>4478408.6400000006</v>
      </c>
    </row>
    <row r="40" spans="1:9" x14ac:dyDescent="0.2">
      <c r="A40" s="1058"/>
      <c r="B40" s="1059"/>
      <c r="C40" s="1060" t="s">
        <v>10606</v>
      </c>
      <c r="D40" s="995">
        <v>0</v>
      </c>
      <c r="E40" s="995">
        <v>0</v>
      </c>
      <c r="F40" s="995">
        <f>D40+E40</f>
        <v>0</v>
      </c>
      <c r="G40" s="1061">
        <v>0</v>
      </c>
      <c r="H40" s="1061">
        <v>0</v>
      </c>
      <c r="I40" s="995">
        <f t="shared" si="0"/>
        <v>0</v>
      </c>
    </row>
    <row r="41" spans="1:9" x14ac:dyDescent="0.2">
      <c r="A41" s="1058"/>
      <c r="B41" s="1059"/>
      <c r="C41" s="1060" t="s">
        <v>10605</v>
      </c>
      <c r="D41" s="995">
        <v>4200000</v>
      </c>
      <c r="E41" s="995">
        <v>4924000</v>
      </c>
      <c r="F41" s="995">
        <f>D41+E41</f>
        <v>9124000</v>
      </c>
      <c r="G41" s="1061">
        <v>8678408.6400000006</v>
      </c>
      <c r="H41" s="1061">
        <v>8678408.6400000006</v>
      </c>
      <c r="I41" s="995">
        <f t="shared" si="0"/>
        <v>4478408.6400000006</v>
      </c>
    </row>
    <row r="42" spans="1:9" x14ac:dyDescent="0.2">
      <c r="A42" s="1062"/>
      <c r="B42" s="1063"/>
      <c r="C42" s="1064"/>
      <c r="D42" s="995"/>
      <c r="E42" s="995"/>
      <c r="F42" s="995"/>
      <c r="G42" s="995"/>
      <c r="H42" s="995"/>
      <c r="I42" s="995"/>
    </row>
    <row r="43" spans="1:9" x14ac:dyDescent="0.2">
      <c r="A43" s="1397" t="s">
        <v>10604</v>
      </c>
      <c r="B43" s="1398"/>
      <c r="C43" s="1399"/>
      <c r="D43" s="1406">
        <f>D10+D11+D12+D13+D14+D15+D16+D17+D30+D36+D37+D39</f>
        <v>623377760</v>
      </c>
      <c r="E43" s="1405">
        <f>E10+E11+E12+E13+E14+E15+E16+E17+E30+E36+E37+E39</f>
        <v>65524705.640000001</v>
      </c>
      <c r="F43" s="1405">
        <f>F10+F11+F12+F13+F14+F15+F16+F17+F30+F36+F37+F39</f>
        <v>688902465.63999987</v>
      </c>
      <c r="G43" s="1405">
        <f>G10+G11+G12+G13+G14+G15+G16+G17+G30+G36+G37+G39</f>
        <v>642723740.80999994</v>
      </c>
      <c r="H43" s="1405">
        <v>642723740.80999994</v>
      </c>
      <c r="I43" s="1405">
        <f>H43-D43</f>
        <v>19345980.809999943</v>
      </c>
    </row>
    <row r="44" spans="1:9" x14ac:dyDescent="0.2">
      <c r="A44" s="1397" t="s">
        <v>10603</v>
      </c>
      <c r="B44" s="1398"/>
      <c r="C44" s="1399"/>
      <c r="D44" s="1406"/>
      <c r="E44" s="1405"/>
      <c r="F44" s="1405"/>
      <c r="G44" s="1405"/>
      <c r="H44" s="1405"/>
      <c r="I44" s="1405">
        <f>H44-D44</f>
        <v>0</v>
      </c>
    </row>
    <row r="45" spans="1:9" x14ac:dyDescent="0.2">
      <c r="A45" s="1397" t="s">
        <v>10602</v>
      </c>
      <c r="B45" s="1398"/>
      <c r="C45" s="1399"/>
      <c r="D45" s="997"/>
      <c r="E45" s="997"/>
      <c r="F45" s="997"/>
      <c r="G45" s="997"/>
      <c r="H45" s="997"/>
      <c r="I45" s="995"/>
    </row>
    <row r="46" spans="1:9" ht="12" thickBot="1" x14ac:dyDescent="0.25">
      <c r="A46" s="1065"/>
      <c r="B46" s="1395"/>
      <c r="C46" s="1396"/>
      <c r="D46" s="994"/>
      <c r="E46" s="994"/>
      <c r="F46" s="994"/>
      <c r="G46" s="994"/>
      <c r="H46" s="994"/>
      <c r="I46" s="994"/>
    </row>
    <row r="55" spans="1:9" x14ac:dyDescent="0.2">
      <c r="A55" s="1066"/>
      <c r="B55" s="1066"/>
      <c r="C55" s="1066"/>
      <c r="D55" s="1067"/>
      <c r="E55" s="1067"/>
      <c r="F55" s="1067"/>
      <c r="G55" s="1067"/>
      <c r="H55" s="1067"/>
      <c r="I55" s="1067"/>
    </row>
    <row r="56" spans="1:9" x14ac:dyDescent="0.2">
      <c r="A56" s="1397" t="s">
        <v>10601</v>
      </c>
      <c r="B56" s="1398"/>
      <c r="C56" s="1399"/>
      <c r="D56" s="995"/>
      <c r="E56" s="995"/>
      <c r="F56" s="995"/>
      <c r="G56" s="995"/>
      <c r="H56" s="995"/>
      <c r="I56" s="995"/>
    </row>
    <row r="57" spans="1:9" x14ac:dyDescent="0.2">
      <c r="A57" s="1058"/>
      <c r="B57" s="1402" t="s">
        <v>10600</v>
      </c>
      <c r="C57" s="1403"/>
      <c r="D57" s="995">
        <f>SUM(D58:D65)</f>
        <v>219200000</v>
      </c>
      <c r="E57" s="995">
        <f>SUM(E58:E65)</f>
        <v>34305327</v>
      </c>
      <c r="F57" s="995">
        <f>SUM(F58:F65)</f>
        <v>253505327</v>
      </c>
      <c r="G57" s="995">
        <f>SUM(G58:G65)</f>
        <v>253505327</v>
      </c>
      <c r="H57" s="995">
        <f>SUM(H58:H65)</f>
        <v>253505327</v>
      </c>
      <c r="I57" s="995">
        <f t="shared" ref="I57:I75" si="3">H57-D57</f>
        <v>34305327</v>
      </c>
    </row>
    <row r="58" spans="1:9" x14ac:dyDescent="0.2">
      <c r="A58" s="1058"/>
      <c r="B58" s="1059"/>
      <c r="C58" s="1060" t="s">
        <v>10599</v>
      </c>
      <c r="D58" s="1061">
        <v>0</v>
      </c>
      <c r="E58" s="1061">
        <v>0</v>
      </c>
      <c r="F58" s="1061">
        <f t="shared" ref="F58:F65" si="4">D58+E58</f>
        <v>0</v>
      </c>
      <c r="G58" s="1061">
        <v>0</v>
      </c>
      <c r="H58" s="1061">
        <v>0</v>
      </c>
      <c r="I58" s="995">
        <f t="shared" si="3"/>
        <v>0</v>
      </c>
    </row>
    <row r="59" spans="1:9" x14ac:dyDescent="0.2">
      <c r="A59" s="1058"/>
      <c r="B59" s="1059"/>
      <c r="C59" s="1060" t="s">
        <v>10598</v>
      </c>
      <c r="D59" s="1061">
        <v>0</v>
      </c>
      <c r="E59" s="1061">
        <v>0</v>
      </c>
      <c r="F59" s="1061">
        <f t="shared" si="4"/>
        <v>0</v>
      </c>
      <c r="G59" s="1061">
        <v>0</v>
      </c>
      <c r="H59" s="1061">
        <v>0</v>
      </c>
      <c r="I59" s="995">
        <f t="shared" si="3"/>
        <v>0</v>
      </c>
    </row>
    <row r="60" spans="1:9" x14ac:dyDescent="0.2">
      <c r="A60" s="1058"/>
      <c r="B60" s="1059"/>
      <c r="C60" s="1060" t="s">
        <v>10597</v>
      </c>
      <c r="D60" s="1061">
        <v>31500000</v>
      </c>
      <c r="E60" s="1061">
        <v>5744919</v>
      </c>
      <c r="F60" s="1061">
        <f t="shared" si="4"/>
        <v>37244919</v>
      </c>
      <c r="G60" s="1061">
        <v>37244919</v>
      </c>
      <c r="H60" s="1061">
        <v>37244919</v>
      </c>
      <c r="I60" s="995">
        <f t="shared" si="3"/>
        <v>5744919</v>
      </c>
    </row>
    <row r="61" spans="1:9" x14ac:dyDescent="0.2">
      <c r="A61" s="1058"/>
      <c r="B61" s="1059"/>
      <c r="C61" s="1060" t="s">
        <v>10596</v>
      </c>
      <c r="D61" s="1061">
        <v>187700000</v>
      </c>
      <c r="E61" s="1061">
        <v>28560408</v>
      </c>
      <c r="F61" s="1061">
        <f t="shared" si="4"/>
        <v>216260408</v>
      </c>
      <c r="G61" s="1061">
        <v>216260408</v>
      </c>
      <c r="H61" s="1061">
        <v>216260408</v>
      </c>
      <c r="I61" s="995">
        <f t="shared" si="3"/>
        <v>28560408</v>
      </c>
    </row>
    <row r="62" spans="1:9" x14ac:dyDescent="0.2">
      <c r="A62" s="1058"/>
      <c r="B62" s="1059"/>
      <c r="C62" s="1060" t="s">
        <v>10595</v>
      </c>
      <c r="D62" s="1061">
        <v>0</v>
      </c>
      <c r="E62" s="1061">
        <v>0</v>
      </c>
      <c r="F62" s="1061">
        <f t="shared" si="4"/>
        <v>0</v>
      </c>
      <c r="G62" s="1061">
        <v>0</v>
      </c>
      <c r="H62" s="1061">
        <v>0</v>
      </c>
      <c r="I62" s="995">
        <f t="shared" si="3"/>
        <v>0</v>
      </c>
    </row>
    <row r="63" spans="1:9" x14ac:dyDescent="0.2">
      <c r="A63" s="1058"/>
      <c r="B63" s="1059"/>
      <c r="C63" s="1060" t="s">
        <v>10594</v>
      </c>
      <c r="D63" s="1061">
        <v>0</v>
      </c>
      <c r="E63" s="1061">
        <v>0</v>
      </c>
      <c r="F63" s="1061">
        <f t="shared" si="4"/>
        <v>0</v>
      </c>
      <c r="G63" s="1061">
        <v>0</v>
      </c>
      <c r="H63" s="1061">
        <v>0</v>
      </c>
      <c r="I63" s="995">
        <f t="shared" si="3"/>
        <v>0</v>
      </c>
    </row>
    <row r="64" spans="1:9" x14ac:dyDescent="0.2">
      <c r="A64" s="1058"/>
      <c r="B64" s="1059"/>
      <c r="C64" s="1060" t="s">
        <v>10593</v>
      </c>
      <c r="D64" s="1061">
        <v>0</v>
      </c>
      <c r="E64" s="1061">
        <v>0</v>
      </c>
      <c r="F64" s="1061">
        <f t="shared" si="4"/>
        <v>0</v>
      </c>
      <c r="G64" s="1061">
        <v>0</v>
      </c>
      <c r="H64" s="1061">
        <v>0</v>
      </c>
      <c r="I64" s="995">
        <f t="shared" si="3"/>
        <v>0</v>
      </c>
    </row>
    <row r="65" spans="1:9" x14ac:dyDescent="0.2">
      <c r="A65" s="1058"/>
      <c r="B65" s="1059"/>
      <c r="C65" s="954" t="s">
        <v>10592</v>
      </c>
      <c r="D65" s="1061">
        <v>0</v>
      </c>
      <c r="E65" s="1061">
        <v>0</v>
      </c>
      <c r="F65" s="1061">
        <f t="shared" si="4"/>
        <v>0</v>
      </c>
      <c r="G65" s="1061">
        <v>0</v>
      </c>
      <c r="H65" s="1061">
        <v>0</v>
      </c>
      <c r="I65" s="995">
        <f t="shared" si="3"/>
        <v>0</v>
      </c>
    </row>
    <row r="66" spans="1:9" x14ac:dyDescent="0.2">
      <c r="A66" s="1058"/>
      <c r="B66" s="1402" t="s">
        <v>10591</v>
      </c>
      <c r="C66" s="1403"/>
      <c r="D66" s="995">
        <f>SUM(D67:D70)</f>
        <v>2503555</v>
      </c>
      <c r="E66" s="995">
        <f>SUM(E67:E70)</f>
        <v>169129318.47999999</v>
      </c>
      <c r="F66" s="995">
        <f>SUM(F67:F70)</f>
        <v>171632873.47999999</v>
      </c>
      <c r="G66" s="995">
        <f>SUM(G67:G70)</f>
        <v>171632873.47999996</v>
      </c>
      <c r="H66" s="995">
        <f>SUM(H67:H70)</f>
        <v>171632873.47999996</v>
      </c>
      <c r="I66" s="995">
        <f t="shared" si="3"/>
        <v>169129318.47999996</v>
      </c>
    </row>
    <row r="67" spans="1:9" x14ac:dyDescent="0.2">
      <c r="A67" s="1058"/>
      <c r="B67" s="1059"/>
      <c r="C67" s="1060" t="s">
        <v>10590</v>
      </c>
      <c r="D67" s="1061">
        <v>0</v>
      </c>
      <c r="E67" s="1061">
        <v>0</v>
      </c>
      <c r="F67" s="1061">
        <v>0</v>
      </c>
      <c r="G67" s="1061">
        <v>0</v>
      </c>
      <c r="H67" s="1061">
        <v>0</v>
      </c>
      <c r="I67" s="995">
        <f t="shared" si="3"/>
        <v>0</v>
      </c>
    </row>
    <row r="68" spans="1:9" x14ac:dyDescent="0.2">
      <c r="A68" s="1058"/>
      <c r="B68" s="1059"/>
      <c r="C68" s="1060" t="s">
        <v>10589</v>
      </c>
      <c r="D68" s="1061">
        <v>0</v>
      </c>
      <c r="E68" s="1061">
        <v>0</v>
      </c>
      <c r="F68" s="1061">
        <v>0</v>
      </c>
      <c r="G68" s="1061">
        <v>0</v>
      </c>
      <c r="H68" s="1061">
        <v>0</v>
      </c>
      <c r="I68" s="995">
        <f t="shared" si="3"/>
        <v>0</v>
      </c>
    </row>
    <row r="69" spans="1:9" x14ac:dyDescent="0.2">
      <c r="A69" s="1058"/>
      <c r="B69" s="1059"/>
      <c r="C69" s="1060" t="s">
        <v>10588</v>
      </c>
      <c r="D69" s="1061">
        <v>0</v>
      </c>
      <c r="E69" s="1061">
        <v>0</v>
      </c>
      <c r="F69" s="1061">
        <v>0</v>
      </c>
      <c r="G69" s="1061">
        <v>0</v>
      </c>
      <c r="H69" s="1061">
        <v>0</v>
      </c>
      <c r="I69" s="995">
        <f t="shared" si="3"/>
        <v>0</v>
      </c>
    </row>
    <row r="70" spans="1:9" x14ac:dyDescent="0.2">
      <c r="A70" s="1058"/>
      <c r="B70" s="1059"/>
      <c r="C70" s="1060" t="s">
        <v>10587</v>
      </c>
      <c r="D70" s="1061">
        <v>2503555</v>
      </c>
      <c r="E70" s="1061">
        <v>169129318.47999999</v>
      </c>
      <c r="F70" s="1061">
        <f>D70+E70</f>
        <v>171632873.47999999</v>
      </c>
      <c r="G70" s="1061">
        <v>171632873.47999996</v>
      </c>
      <c r="H70" s="1061">
        <v>171632873.47999996</v>
      </c>
      <c r="I70" s="995">
        <f t="shared" si="3"/>
        <v>169129318.47999996</v>
      </c>
    </row>
    <row r="71" spans="1:9" x14ac:dyDescent="0.2">
      <c r="A71" s="1058"/>
      <c r="B71" s="1402" t="s">
        <v>10586</v>
      </c>
      <c r="C71" s="1403"/>
      <c r="D71" s="995">
        <f>SUM(D72:D73)</f>
        <v>0</v>
      </c>
      <c r="E71" s="995">
        <f>SUM(E72:E73)</f>
        <v>11970648.880000001</v>
      </c>
      <c r="F71" s="995">
        <f>SUM(F72:F73)</f>
        <v>11970648.880000001</v>
      </c>
      <c r="G71" s="995">
        <f>SUM(G72:G73)</f>
        <v>10945490.77</v>
      </c>
      <c r="H71" s="995">
        <f>SUM(H72:H73)</f>
        <v>10945490.77</v>
      </c>
      <c r="I71" s="995">
        <f t="shared" si="3"/>
        <v>10945490.77</v>
      </c>
    </row>
    <row r="72" spans="1:9" x14ac:dyDescent="0.2">
      <c r="A72" s="1058"/>
      <c r="B72" s="1059"/>
      <c r="C72" s="1060" t="s">
        <v>10585</v>
      </c>
      <c r="D72" s="1061">
        <v>0</v>
      </c>
      <c r="E72" s="1061">
        <v>11970648.880000001</v>
      </c>
      <c r="F72" s="1061">
        <f>D72+E72</f>
        <v>11970648.880000001</v>
      </c>
      <c r="G72" s="1061">
        <v>10945490.77</v>
      </c>
      <c r="H72" s="1061">
        <v>10945490.77</v>
      </c>
      <c r="I72" s="995">
        <f t="shared" si="3"/>
        <v>10945490.77</v>
      </c>
    </row>
    <row r="73" spans="1:9" x14ac:dyDescent="0.2">
      <c r="A73" s="1058"/>
      <c r="B73" s="1059"/>
      <c r="C73" s="1060" t="s">
        <v>10584</v>
      </c>
      <c r="D73" s="1061">
        <v>0</v>
      </c>
      <c r="E73" s="1061">
        <v>0</v>
      </c>
      <c r="F73" s="1061">
        <f>D73+E73</f>
        <v>0</v>
      </c>
      <c r="G73" s="1061">
        <v>0</v>
      </c>
      <c r="H73" s="1061">
        <v>0</v>
      </c>
      <c r="I73" s="995">
        <f t="shared" si="3"/>
        <v>0</v>
      </c>
    </row>
    <row r="74" spans="1:9" x14ac:dyDescent="0.2">
      <c r="A74" s="1058"/>
      <c r="B74" s="1402" t="s">
        <v>10583</v>
      </c>
      <c r="C74" s="1403"/>
      <c r="D74" s="995">
        <v>0</v>
      </c>
      <c r="E74" s="995">
        <v>0</v>
      </c>
      <c r="F74" s="995">
        <v>0</v>
      </c>
      <c r="G74" s="995">
        <v>0</v>
      </c>
      <c r="H74" s="995">
        <v>0</v>
      </c>
      <c r="I74" s="995">
        <f t="shared" si="3"/>
        <v>0</v>
      </c>
    </row>
    <row r="75" spans="1:9" x14ac:dyDescent="0.2">
      <c r="A75" s="1058"/>
      <c r="B75" s="1402" t="s">
        <v>10582</v>
      </c>
      <c r="C75" s="1403"/>
      <c r="D75" s="995">
        <v>0</v>
      </c>
      <c r="E75" s="995">
        <v>0</v>
      </c>
      <c r="F75" s="995">
        <v>0</v>
      </c>
      <c r="G75" s="995">
        <v>0</v>
      </c>
      <c r="H75" s="995">
        <v>0</v>
      </c>
      <c r="I75" s="995">
        <f t="shared" si="3"/>
        <v>0</v>
      </c>
    </row>
    <row r="76" spans="1:9" x14ac:dyDescent="0.2">
      <c r="A76" s="1062"/>
      <c r="B76" s="1400"/>
      <c r="C76" s="1401"/>
      <c r="D76" s="995"/>
      <c r="E76" s="995"/>
      <c r="F76" s="995"/>
      <c r="G76" s="995"/>
      <c r="H76" s="995"/>
      <c r="I76" s="995"/>
    </row>
    <row r="77" spans="1:9" x14ac:dyDescent="0.2">
      <c r="A77" s="1397" t="s">
        <v>10581</v>
      </c>
      <c r="B77" s="1398"/>
      <c r="C77" s="1399"/>
      <c r="D77" s="1002">
        <f>D57+D66+D71+D74+D75</f>
        <v>221703555</v>
      </c>
      <c r="E77" s="1002">
        <f>E57+E66+E71+E74+E75</f>
        <v>215405294.35999998</v>
      </c>
      <c r="F77" s="1002">
        <f>F57+F66+F71+F74+F75</f>
        <v>437108849.36000001</v>
      </c>
      <c r="G77" s="1002">
        <f>G57+G66+G71+G74+G75</f>
        <v>436083691.24999994</v>
      </c>
      <c r="H77" s="1002">
        <f>H57+H66+H71+H74+H75</f>
        <v>436083691.24999994</v>
      </c>
      <c r="I77" s="1002">
        <f>H77-D77</f>
        <v>214380136.24999994</v>
      </c>
    </row>
    <row r="78" spans="1:9" x14ac:dyDescent="0.2">
      <c r="A78" s="1062"/>
      <c r="B78" s="1400"/>
      <c r="C78" s="1401"/>
      <c r="D78" s="995"/>
      <c r="E78" s="995"/>
      <c r="F78" s="995"/>
      <c r="G78" s="995"/>
      <c r="H78" s="995"/>
      <c r="I78" s="995"/>
    </row>
    <row r="79" spans="1:9" x14ac:dyDescent="0.2">
      <c r="A79" s="1397" t="s">
        <v>10580</v>
      </c>
      <c r="B79" s="1398"/>
      <c r="C79" s="1399"/>
      <c r="D79" s="1002">
        <f>SUM(D80)</f>
        <v>0</v>
      </c>
      <c r="E79" s="1002">
        <f>SUM(E80)</f>
        <v>0</v>
      </c>
      <c r="F79" s="1002">
        <f>SUM(F80)</f>
        <v>0</v>
      </c>
      <c r="G79" s="1002">
        <f>SUM(G80)</f>
        <v>0</v>
      </c>
      <c r="H79" s="1002">
        <f>SUM(H80)</f>
        <v>0</v>
      </c>
      <c r="I79" s="995">
        <f>H79-D79</f>
        <v>0</v>
      </c>
    </row>
    <row r="80" spans="1:9" x14ac:dyDescent="0.2">
      <c r="A80" s="1058"/>
      <c r="B80" s="1402" t="s">
        <v>10579</v>
      </c>
      <c r="C80" s="1403"/>
      <c r="D80" s="995">
        <v>0</v>
      </c>
      <c r="E80" s="995">
        <v>0</v>
      </c>
      <c r="F80" s="995">
        <v>0</v>
      </c>
      <c r="G80" s="995">
        <v>0</v>
      </c>
      <c r="H80" s="995">
        <v>0</v>
      </c>
      <c r="I80" s="995">
        <f>H80-D80</f>
        <v>0</v>
      </c>
    </row>
    <row r="81" spans="1:12" x14ac:dyDescent="0.2">
      <c r="A81" s="1062"/>
      <c r="B81" s="1400"/>
      <c r="C81" s="1401"/>
      <c r="D81" s="995"/>
      <c r="E81" s="995"/>
      <c r="F81" s="995"/>
      <c r="G81" s="995"/>
      <c r="H81" s="995"/>
      <c r="I81" s="995"/>
    </row>
    <row r="82" spans="1:12" x14ac:dyDescent="0.2">
      <c r="A82" s="1397" t="s">
        <v>10578</v>
      </c>
      <c r="B82" s="1398"/>
      <c r="C82" s="1399"/>
      <c r="D82" s="1002">
        <f>D43+D77+D79</f>
        <v>845081315</v>
      </c>
      <c r="E82" s="1002">
        <f>E43+E77+E79</f>
        <v>280930000</v>
      </c>
      <c r="F82" s="1002">
        <f>F43+F77+F79</f>
        <v>1126011315</v>
      </c>
      <c r="G82" s="1002">
        <f>G43+G77+G79</f>
        <v>1078807432.0599999</v>
      </c>
      <c r="H82" s="1002">
        <f>H43+H77+H79</f>
        <v>1078807432.0599999</v>
      </c>
      <c r="I82" s="1002">
        <f>H82-D82</f>
        <v>233726117.05999994</v>
      </c>
    </row>
    <row r="83" spans="1:12" x14ac:dyDescent="0.2">
      <c r="A83" s="1062"/>
      <c r="B83" s="1400"/>
      <c r="C83" s="1401"/>
      <c r="D83" s="995"/>
      <c r="E83" s="995"/>
      <c r="F83" s="995"/>
      <c r="G83" s="995"/>
      <c r="H83" s="995"/>
      <c r="I83" s="995"/>
    </row>
    <row r="84" spans="1:12" x14ac:dyDescent="0.2">
      <c r="A84" s="1058"/>
      <c r="B84" s="1404" t="s">
        <v>10577</v>
      </c>
      <c r="C84" s="1399"/>
      <c r="D84" s="995"/>
      <c r="E84" s="995"/>
      <c r="F84" s="995"/>
      <c r="G84" s="995"/>
      <c r="H84" s="995"/>
      <c r="I84" s="995">
        <f>H84-D84</f>
        <v>0</v>
      </c>
    </row>
    <row r="85" spans="1:12" x14ac:dyDescent="0.2">
      <c r="A85" s="1058"/>
      <c r="B85" s="1402" t="s">
        <v>10576</v>
      </c>
      <c r="C85" s="1403"/>
      <c r="D85" s="995">
        <v>0</v>
      </c>
      <c r="E85" s="995">
        <v>0</v>
      </c>
      <c r="F85" s="995">
        <v>0</v>
      </c>
      <c r="G85" s="995">
        <v>0</v>
      </c>
      <c r="H85" s="995">
        <v>0</v>
      </c>
      <c r="I85" s="995">
        <f>H85-D85</f>
        <v>0</v>
      </c>
    </row>
    <row r="86" spans="1:12" x14ac:dyDescent="0.2">
      <c r="A86" s="1058"/>
      <c r="B86" s="1402" t="s">
        <v>10575</v>
      </c>
      <c r="C86" s="1403"/>
      <c r="D86" s="995">
        <v>0</v>
      </c>
      <c r="E86" s="995">
        <v>0</v>
      </c>
      <c r="F86" s="995">
        <v>0</v>
      </c>
      <c r="G86" s="995">
        <v>0</v>
      </c>
      <c r="H86" s="995">
        <v>0</v>
      </c>
      <c r="I86" s="995">
        <f>H86-D86</f>
        <v>0</v>
      </c>
    </row>
    <row r="87" spans="1:12" x14ac:dyDescent="0.2">
      <c r="A87" s="1058"/>
      <c r="B87" s="1404" t="s">
        <v>10574</v>
      </c>
      <c r="C87" s="1399"/>
      <c r="D87" s="1002">
        <f>D85+D86</f>
        <v>0</v>
      </c>
      <c r="E87" s="1002">
        <f>E85+E86</f>
        <v>0</v>
      </c>
      <c r="F87" s="1002">
        <f>F85+F86</f>
        <v>0</v>
      </c>
      <c r="G87" s="1002">
        <f>G85+G86</f>
        <v>0</v>
      </c>
      <c r="H87" s="1002">
        <f>H85+H86</f>
        <v>0</v>
      </c>
      <c r="I87" s="995">
        <f>H87-D87</f>
        <v>0</v>
      </c>
    </row>
    <row r="88" spans="1:12" ht="12" thickBot="1" x14ac:dyDescent="0.25">
      <c r="A88" s="1065"/>
      <c r="B88" s="1395"/>
      <c r="C88" s="1396"/>
      <c r="D88" s="994"/>
      <c r="E88" s="994"/>
      <c r="F88" s="994"/>
      <c r="G88" s="994"/>
      <c r="H88" s="994"/>
      <c r="I88" s="994"/>
    </row>
    <row r="93" spans="1:12" s="946" customFormat="1" ht="15" x14ac:dyDescent="0.25"/>
    <row r="94" spans="1:12" s="305" customFormat="1" ht="8.25" customHeight="1" x14ac:dyDescent="0.2">
      <c r="A94" s="281"/>
      <c r="B94" s="311"/>
      <c r="C94" s="319"/>
      <c r="D94" s="319"/>
      <c r="E94" s="319"/>
      <c r="G94" s="280"/>
      <c r="L94" s="326"/>
    </row>
    <row r="95" spans="1:12" s="295" customFormat="1" ht="12.75" x14ac:dyDescent="0.2">
      <c r="A95" s="309"/>
      <c r="B95" s="306"/>
      <c r="C95" s="313"/>
      <c r="D95" s="297"/>
      <c r="E95" s="313"/>
      <c r="G95" s="287"/>
    </row>
    <row r="96" spans="1:12" s="295" customFormat="1" ht="12.75" x14ac:dyDescent="0.2">
      <c r="A96" s="309"/>
      <c r="B96" s="306"/>
      <c r="C96" s="313"/>
      <c r="D96" s="297"/>
      <c r="E96" s="313"/>
      <c r="G96" s="287"/>
    </row>
    <row r="97" spans="1:7" s="295" customFormat="1" ht="12.75" x14ac:dyDescent="0.2">
      <c r="A97" s="309"/>
      <c r="B97" s="306"/>
      <c r="C97" s="313"/>
      <c r="D97" s="297"/>
      <c r="E97" s="313"/>
      <c r="G97" s="287"/>
    </row>
    <row r="98" spans="1:7" s="295" customFormat="1" ht="12.75" x14ac:dyDescent="0.2">
      <c r="A98" s="309"/>
      <c r="B98" s="306"/>
      <c r="C98" s="313"/>
      <c r="D98" s="297"/>
      <c r="E98" s="313"/>
      <c r="G98" s="280"/>
    </row>
    <row r="99" spans="1:7" s="295" customFormat="1" ht="12.75" x14ac:dyDescent="0.2">
      <c r="A99" s="309"/>
      <c r="B99" s="306"/>
      <c r="C99" s="313"/>
      <c r="D99" s="297"/>
      <c r="E99" s="313"/>
      <c r="G99" s="287"/>
    </row>
    <row r="100" spans="1:7" s="306" customFormat="1" ht="12.75" x14ac:dyDescent="0.2">
      <c r="C100" s="313"/>
      <c r="D100" s="297"/>
      <c r="E100" s="313"/>
      <c r="G100" s="287"/>
    </row>
  </sheetData>
  <mergeCells count="65">
    <mergeCell ref="A1:I1"/>
    <mergeCell ref="A2:I2"/>
    <mergeCell ref="A3:I3"/>
    <mergeCell ref="A4:I4"/>
    <mergeCell ref="A5:C5"/>
    <mergeCell ref="D5:H5"/>
    <mergeCell ref="I5:I7"/>
    <mergeCell ref="A6:C6"/>
    <mergeCell ref="A7:C7"/>
    <mergeCell ref="D6:D7"/>
    <mergeCell ref="F6:F7"/>
    <mergeCell ref="G6:G7"/>
    <mergeCell ref="H6:H7"/>
    <mergeCell ref="E6:E7"/>
    <mergeCell ref="A8:C8"/>
    <mergeCell ref="A9:C9"/>
    <mergeCell ref="B10:C10"/>
    <mergeCell ref="B16:C16"/>
    <mergeCell ref="A17:A18"/>
    <mergeCell ref="B17:C17"/>
    <mergeCell ref="B18:C18"/>
    <mergeCell ref="B15:C15"/>
    <mergeCell ref="B11:C11"/>
    <mergeCell ref="B12:C12"/>
    <mergeCell ref="B13:C13"/>
    <mergeCell ref="B14:C14"/>
    <mergeCell ref="G17:G18"/>
    <mergeCell ref="H17:H18"/>
    <mergeCell ref="I17:I18"/>
    <mergeCell ref="B30:C30"/>
    <mergeCell ref="D17:D18"/>
    <mergeCell ref="E17:E18"/>
    <mergeCell ref="F17:F18"/>
    <mergeCell ref="B36:C36"/>
    <mergeCell ref="I43:I44"/>
    <mergeCell ref="A45:C45"/>
    <mergeCell ref="A56:C56"/>
    <mergeCell ref="E43:E44"/>
    <mergeCell ref="F43:F44"/>
    <mergeCell ref="G43:G44"/>
    <mergeCell ref="H43:H44"/>
    <mergeCell ref="B37:C37"/>
    <mergeCell ref="B39:C39"/>
    <mergeCell ref="A43:C43"/>
    <mergeCell ref="A44:C44"/>
    <mergeCell ref="D43:D44"/>
    <mergeCell ref="B57:C57"/>
    <mergeCell ref="B66:C66"/>
    <mergeCell ref="B46:C46"/>
    <mergeCell ref="B86:C86"/>
    <mergeCell ref="B87:C87"/>
    <mergeCell ref="B76:C76"/>
    <mergeCell ref="B71:C71"/>
    <mergeCell ref="B74:C74"/>
    <mergeCell ref="B75:C75"/>
    <mergeCell ref="B88:C88"/>
    <mergeCell ref="A77:C77"/>
    <mergeCell ref="B78:C78"/>
    <mergeCell ref="A79:C79"/>
    <mergeCell ref="B80:C80"/>
    <mergeCell ref="B81:C81"/>
    <mergeCell ref="A82:C82"/>
    <mergeCell ref="B83:C83"/>
    <mergeCell ref="B84:C84"/>
    <mergeCell ref="B85:C85"/>
  </mergeCells>
  <pageMargins left="0.39370078740157483" right="0.39370078740157483" top="0.39370078740157483" bottom="0.39370078740157483" header="0.31496062992125984" footer="0.31496062992125984"/>
  <pageSetup scale="92" fitToHeight="0"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5"/>
  <sheetViews>
    <sheetView view="pageBreakPreview" topLeftCell="A107" zoomScale="60" zoomScaleNormal="100" workbookViewId="0">
      <selection sqref="A1:H1"/>
    </sheetView>
  </sheetViews>
  <sheetFormatPr baseColWidth="10" defaultColWidth="11.42578125" defaultRowHeight="12.75" x14ac:dyDescent="0.2"/>
  <cols>
    <col min="1" max="1" width="6.85546875" style="21" bestFit="1" customWidth="1"/>
    <col min="2" max="2" width="66.28515625" style="21" bestFit="1" customWidth="1"/>
    <col min="3" max="8" width="14.5703125" style="22" customWidth="1"/>
    <col min="9" max="9" width="3.5703125" style="307" customWidth="1"/>
    <col min="10" max="16384" width="11.42578125" style="19"/>
  </cols>
  <sheetData>
    <row r="1" spans="1:10" ht="10.5" customHeight="1" x14ac:dyDescent="0.2">
      <c r="H1" s="531"/>
      <c r="I1" s="615"/>
    </row>
    <row r="2" spans="1:10" ht="15.75" customHeight="1" x14ac:dyDescent="0.25">
      <c r="A2" s="1184" t="s">
        <v>732</v>
      </c>
      <c r="B2" s="1184"/>
      <c r="C2" s="1184"/>
      <c r="D2" s="1184"/>
      <c r="E2" s="1184"/>
      <c r="F2" s="1184"/>
      <c r="G2" s="1184"/>
      <c r="H2" s="1184"/>
      <c r="I2" s="1185"/>
    </row>
    <row r="3" spans="1:10" ht="15.75" customHeight="1" x14ac:dyDescent="0.25">
      <c r="A3" s="1186" t="s">
        <v>10647</v>
      </c>
      <c r="B3" s="1186"/>
      <c r="C3" s="1186"/>
      <c r="D3" s="1186"/>
      <c r="E3" s="1186"/>
      <c r="F3" s="1186"/>
      <c r="G3" s="1186"/>
      <c r="H3" s="1186"/>
      <c r="I3" s="1185"/>
    </row>
    <row r="4" spans="1:10" ht="15.75" customHeight="1" x14ac:dyDescent="0.25">
      <c r="A4" s="1186" t="s">
        <v>10646</v>
      </c>
      <c r="B4" s="1186"/>
      <c r="C4" s="1186"/>
      <c r="D4" s="1186"/>
      <c r="E4" s="1186"/>
      <c r="F4" s="1186"/>
      <c r="G4" s="1186"/>
      <c r="H4" s="1186"/>
      <c r="I4" s="1185"/>
    </row>
    <row r="5" spans="1:10" ht="15.75" customHeight="1" x14ac:dyDescent="0.25">
      <c r="A5" s="1186" t="s">
        <v>8660</v>
      </c>
      <c r="B5" s="1186"/>
      <c r="C5" s="1186"/>
      <c r="D5" s="1186"/>
      <c r="E5" s="1186"/>
      <c r="F5" s="1186"/>
      <c r="G5" s="1186"/>
      <c r="H5" s="1186"/>
      <c r="I5" s="1185"/>
    </row>
    <row r="6" spans="1:10" ht="12" customHeight="1" thickBot="1" x14ac:dyDescent="0.25">
      <c r="A6" s="20"/>
      <c r="G6" s="23"/>
      <c r="H6" s="531"/>
      <c r="I6" s="295"/>
    </row>
    <row r="7" spans="1:10" s="24" customFormat="1" x14ac:dyDescent="0.2">
      <c r="A7" s="1187" t="s">
        <v>201</v>
      </c>
      <c r="B7" s="1188"/>
      <c r="C7" s="1193" t="s">
        <v>241</v>
      </c>
      <c r="D7" s="1194"/>
      <c r="E7" s="1194"/>
      <c r="F7" s="1194"/>
      <c r="G7" s="1195"/>
      <c r="H7" s="1196" t="s">
        <v>242</v>
      </c>
      <c r="I7" s="291"/>
    </row>
    <row r="8" spans="1:10" ht="26.25" thickBot="1" x14ac:dyDescent="0.25">
      <c r="A8" s="1189"/>
      <c r="B8" s="1190"/>
      <c r="C8" s="932" t="s">
        <v>243</v>
      </c>
      <c r="D8" s="932" t="s">
        <v>244</v>
      </c>
      <c r="E8" s="932" t="s">
        <v>245</v>
      </c>
      <c r="F8" s="932" t="s">
        <v>220</v>
      </c>
      <c r="G8" s="932" t="s">
        <v>246</v>
      </c>
      <c r="H8" s="1197"/>
      <c r="I8" s="280"/>
    </row>
    <row r="9" spans="1:10" ht="15" customHeight="1" thickBot="1" x14ac:dyDescent="0.25">
      <c r="A9" s="1191"/>
      <c r="B9" s="1192"/>
      <c r="C9" s="25">
        <v>1</v>
      </c>
      <c r="D9" s="25">
        <v>2</v>
      </c>
      <c r="E9" s="25" t="s">
        <v>247</v>
      </c>
      <c r="F9" s="25">
        <v>4</v>
      </c>
      <c r="G9" s="25">
        <v>5</v>
      </c>
      <c r="H9" s="25" t="s">
        <v>248</v>
      </c>
      <c r="I9" s="280"/>
    </row>
    <row r="10" spans="1:10" s="26" customFormat="1" ht="21" customHeight="1" x14ac:dyDescent="0.2">
      <c r="A10" s="1429" t="s">
        <v>10642</v>
      </c>
      <c r="B10" s="1430"/>
      <c r="C10" s="210">
        <f t="shared" ref="C10:H10" si="0">C11+C19+C29++C48+C68+C72+C84+C58</f>
        <v>220630000.42999998</v>
      </c>
      <c r="D10" s="532">
        <f t="shared" si="0"/>
        <v>-102700674.62</v>
      </c>
      <c r="E10" s="210">
        <f t="shared" si="0"/>
        <v>117929325.81</v>
      </c>
      <c r="F10" s="210">
        <f t="shared" si="0"/>
        <v>113268328.77</v>
      </c>
      <c r="G10" s="210">
        <f t="shared" si="0"/>
        <v>112763941.66000001</v>
      </c>
      <c r="H10" s="532">
        <f t="shared" si="0"/>
        <v>4660997.0400000028</v>
      </c>
      <c r="I10" s="280"/>
      <c r="J10" s="536"/>
    </row>
    <row r="11" spans="1:10" s="26" customFormat="1" ht="21" customHeight="1" x14ac:dyDescent="0.2">
      <c r="A11" s="208" t="s">
        <v>12180</v>
      </c>
      <c r="B11" s="209" t="s">
        <v>135</v>
      </c>
      <c r="C11" s="210">
        <f t="shared" ref="C11:H11" si="1">SUM(C12:C18)</f>
        <v>60827738.719999999</v>
      </c>
      <c r="D11" s="532">
        <f t="shared" si="1"/>
        <v>-11010734.99</v>
      </c>
      <c r="E11" s="210">
        <f t="shared" si="1"/>
        <v>49817003.730000004</v>
      </c>
      <c r="F11" s="210">
        <f t="shared" si="1"/>
        <v>49817003.719999999</v>
      </c>
      <c r="G11" s="210">
        <f t="shared" si="1"/>
        <v>49815323.550000004</v>
      </c>
      <c r="H11" s="532">
        <f t="shared" si="1"/>
        <v>1.0000000707805157E-2</v>
      </c>
      <c r="I11" s="280"/>
      <c r="J11" s="536"/>
    </row>
    <row r="12" spans="1:10" s="26" customFormat="1" ht="21" customHeight="1" x14ac:dyDescent="0.2">
      <c r="A12" s="211" t="s">
        <v>12181</v>
      </c>
      <c r="B12" s="533" t="s">
        <v>249</v>
      </c>
      <c r="C12" s="213">
        <v>0</v>
      </c>
      <c r="D12" s="534">
        <v>46236.97</v>
      </c>
      <c r="E12" s="213">
        <f>C12+D12</f>
        <v>46236.97</v>
      </c>
      <c r="F12" s="213">
        <v>46236.97</v>
      </c>
      <c r="G12" s="213">
        <v>46236.97</v>
      </c>
      <c r="H12" s="534">
        <f>E12-F12</f>
        <v>0</v>
      </c>
      <c r="I12" s="280"/>
      <c r="J12" s="536"/>
    </row>
    <row r="13" spans="1:10" s="26" customFormat="1" ht="21" customHeight="1" x14ac:dyDescent="0.2">
      <c r="A13" s="211" t="s">
        <v>12182</v>
      </c>
      <c r="B13" s="533" t="s">
        <v>250</v>
      </c>
      <c r="C13" s="213">
        <v>492036</v>
      </c>
      <c r="D13" s="534">
        <v>2681.5</v>
      </c>
      <c r="E13" s="213">
        <f t="shared" ref="E13:E85" si="2">C13+D13</f>
        <v>494717.5</v>
      </c>
      <c r="F13" s="213">
        <v>494717.5</v>
      </c>
      <c r="G13" s="213">
        <v>494717.5</v>
      </c>
      <c r="H13" s="534">
        <f t="shared" ref="H13:H54" si="3">E13-F13</f>
        <v>0</v>
      </c>
      <c r="I13" s="280"/>
      <c r="J13" s="536"/>
    </row>
    <row r="14" spans="1:10" s="26" customFormat="1" ht="21" customHeight="1" x14ac:dyDescent="0.2">
      <c r="A14" s="211" t="s">
        <v>12183</v>
      </c>
      <c r="B14" s="533" t="s">
        <v>251</v>
      </c>
      <c r="C14" s="213">
        <v>47493510.659999996</v>
      </c>
      <c r="D14" s="534">
        <v>-2743406.48</v>
      </c>
      <c r="E14" s="213">
        <f t="shared" si="2"/>
        <v>44750104.18</v>
      </c>
      <c r="F14" s="213">
        <v>44750104.18</v>
      </c>
      <c r="G14" s="213">
        <v>44750104.18</v>
      </c>
      <c r="H14" s="534">
        <f t="shared" si="3"/>
        <v>0</v>
      </c>
      <c r="I14" s="280"/>
      <c r="J14" s="536"/>
    </row>
    <row r="15" spans="1:10" s="26" customFormat="1" ht="21" customHeight="1" x14ac:dyDescent="0.2">
      <c r="A15" s="211" t="s">
        <v>12184</v>
      </c>
      <c r="B15" s="533" t="s">
        <v>252</v>
      </c>
      <c r="C15" s="213">
        <v>0</v>
      </c>
      <c r="D15" s="534">
        <v>0</v>
      </c>
      <c r="E15" s="213">
        <f t="shared" si="2"/>
        <v>0</v>
      </c>
      <c r="F15" s="213">
        <v>0</v>
      </c>
      <c r="G15" s="213">
        <v>0</v>
      </c>
      <c r="H15" s="534">
        <f t="shared" si="3"/>
        <v>0</v>
      </c>
      <c r="I15" s="280"/>
      <c r="J15" s="536"/>
    </row>
    <row r="16" spans="1:10" s="26" customFormat="1" ht="21" customHeight="1" x14ac:dyDescent="0.2">
      <c r="A16" s="211" t="s">
        <v>12185</v>
      </c>
      <c r="B16" s="533" t="s">
        <v>253</v>
      </c>
      <c r="C16" s="213">
        <v>12431188.060000001</v>
      </c>
      <c r="D16" s="534">
        <v>-10228920.43</v>
      </c>
      <c r="E16" s="213">
        <f t="shared" si="2"/>
        <v>2202267.6300000008</v>
      </c>
      <c r="F16" s="213">
        <v>2202267.62</v>
      </c>
      <c r="G16" s="213">
        <v>2200587.4500000002</v>
      </c>
      <c r="H16" s="534">
        <f t="shared" si="3"/>
        <v>1.0000000707805157E-2</v>
      </c>
      <c r="I16" s="280"/>
      <c r="J16" s="536"/>
    </row>
    <row r="17" spans="1:10" s="26" customFormat="1" ht="12.75" hidden="1" customHeight="1" x14ac:dyDescent="0.2">
      <c r="A17" s="211">
        <v>1600</v>
      </c>
      <c r="B17" s="533" t="s">
        <v>254</v>
      </c>
      <c r="C17" s="213">
        <v>0</v>
      </c>
      <c r="D17" s="534">
        <v>0</v>
      </c>
      <c r="E17" s="213">
        <f t="shared" si="2"/>
        <v>0</v>
      </c>
      <c r="F17" s="213">
        <v>0</v>
      </c>
      <c r="G17" s="213"/>
      <c r="H17" s="534">
        <f t="shared" si="3"/>
        <v>0</v>
      </c>
      <c r="I17" s="280"/>
      <c r="J17" s="536"/>
    </row>
    <row r="18" spans="1:10" s="26" customFormat="1" ht="21" customHeight="1" x14ac:dyDescent="0.2">
      <c r="A18" s="211" t="s">
        <v>12186</v>
      </c>
      <c r="B18" s="533" t="s">
        <v>255</v>
      </c>
      <c r="C18" s="213">
        <v>411004</v>
      </c>
      <c r="D18" s="534">
        <v>1912673.45</v>
      </c>
      <c r="E18" s="213">
        <f t="shared" si="2"/>
        <v>2323677.4500000002</v>
      </c>
      <c r="F18" s="213">
        <v>2323677.4500000002</v>
      </c>
      <c r="G18" s="213">
        <v>2323677.4500000002</v>
      </c>
      <c r="H18" s="534">
        <f t="shared" si="3"/>
        <v>0</v>
      </c>
      <c r="I18" s="280"/>
      <c r="J18" s="536"/>
    </row>
    <row r="19" spans="1:10" s="26" customFormat="1" ht="21" customHeight="1" x14ac:dyDescent="0.2">
      <c r="A19" s="214" t="s">
        <v>12187</v>
      </c>
      <c r="B19" s="215" t="s">
        <v>137</v>
      </c>
      <c r="C19" s="216">
        <f t="shared" ref="C19:H19" si="4">SUM(C20:C28)</f>
        <v>50020119.810000002</v>
      </c>
      <c r="D19" s="532">
        <f t="shared" si="4"/>
        <v>-37258959.739999995</v>
      </c>
      <c r="E19" s="210">
        <f t="shared" si="4"/>
        <v>12761160.070000004</v>
      </c>
      <c r="F19" s="210">
        <f t="shared" si="4"/>
        <v>12760823.66</v>
      </c>
      <c r="G19" s="210">
        <f t="shared" si="4"/>
        <v>12760823.66</v>
      </c>
      <c r="H19" s="535">
        <f t="shared" si="4"/>
        <v>336.41000000152735</v>
      </c>
      <c r="I19" s="280"/>
      <c r="J19" s="536"/>
    </row>
    <row r="20" spans="1:10" s="26" customFormat="1" ht="21" customHeight="1" x14ac:dyDescent="0.2">
      <c r="A20" s="211" t="s">
        <v>12188</v>
      </c>
      <c r="B20" s="533" t="s">
        <v>256</v>
      </c>
      <c r="C20" s="213">
        <v>6353034.1299999999</v>
      </c>
      <c r="D20" s="534">
        <v>-6069258.96</v>
      </c>
      <c r="E20" s="213">
        <f t="shared" si="2"/>
        <v>283775.16999999993</v>
      </c>
      <c r="F20" s="213">
        <v>283438.77</v>
      </c>
      <c r="G20" s="213">
        <v>283438.77</v>
      </c>
      <c r="H20" s="534">
        <f t="shared" si="3"/>
        <v>336.39999999990687</v>
      </c>
      <c r="I20" s="280"/>
      <c r="J20" s="536"/>
    </row>
    <row r="21" spans="1:10" s="26" customFormat="1" ht="21" customHeight="1" x14ac:dyDescent="0.2">
      <c r="A21" s="211" t="s">
        <v>12189</v>
      </c>
      <c r="B21" s="533" t="s">
        <v>257</v>
      </c>
      <c r="C21" s="213">
        <v>3066760.45</v>
      </c>
      <c r="D21" s="534">
        <v>-2270294.48</v>
      </c>
      <c r="E21" s="213">
        <f t="shared" si="2"/>
        <v>796465.9700000002</v>
      </c>
      <c r="F21" s="213">
        <v>796465.97</v>
      </c>
      <c r="G21" s="534">
        <v>796465.97</v>
      </c>
      <c r="H21" s="534">
        <f t="shared" si="3"/>
        <v>0</v>
      </c>
      <c r="I21" s="280"/>
      <c r="J21" s="536"/>
    </row>
    <row r="22" spans="1:10" s="26" customFormat="1" ht="21" customHeight="1" x14ac:dyDescent="0.2">
      <c r="A22" s="211" t="s">
        <v>12190</v>
      </c>
      <c r="B22" s="533" t="s">
        <v>258</v>
      </c>
      <c r="C22" s="213">
        <v>407183.47</v>
      </c>
      <c r="D22" s="534">
        <v>-406787.74</v>
      </c>
      <c r="E22" s="213">
        <f t="shared" si="2"/>
        <v>395.72999999998137</v>
      </c>
      <c r="F22" s="213">
        <v>395.73</v>
      </c>
      <c r="G22" s="213">
        <v>395.73</v>
      </c>
      <c r="H22" s="534">
        <f t="shared" si="3"/>
        <v>-1.8644641386345029E-11</v>
      </c>
      <c r="I22" s="280"/>
    </row>
    <row r="23" spans="1:10" s="26" customFormat="1" ht="21" customHeight="1" x14ac:dyDescent="0.2">
      <c r="A23" s="211" t="s">
        <v>12191</v>
      </c>
      <c r="B23" s="533" t="s">
        <v>259</v>
      </c>
      <c r="C23" s="213">
        <v>6673273.9900000002</v>
      </c>
      <c r="D23" s="534">
        <v>-6438647.9000000004</v>
      </c>
      <c r="E23" s="213">
        <f t="shared" si="2"/>
        <v>234626.08999999985</v>
      </c>
      <c r="F23" s="213">
        <v>234626.09</v>
      </c>
      <c r="G23" s="213">
        <v>234626.09</v>
      </c>
      <c r="H23" s="534">
        <f t="shared" si="3"/>
        <v>0</v>
      </c>
      <c r="I23" s="280"/>
    </row>
    <row r="24" spans="1:10" s="26" customFormat="1" ht="21" customHeight="1" x14ac:dyDescent="0.2">
      <c r="A24" s="211" t="s">
        <v>12192</v>
      </c>
      <c r="B24" s="533" t="s">
        <v>260</v>
      </c>
      <c r="C24" s="213">
        <v>18506661.940000001</v>
      </c>
      <c r="D24" s="534">
        <v>-11111303.57</v>
      </c>
      <c r="E24" s="213">
        <f t="shared" si="2"/>
        <v>7395358.370000001</v>
      </c>
      <c r="F24" s="213">
        <v>7395358.3499999996</v>
      </c>
      <c r="G24" s="213">
        <v>7395358.3499999996</v>
      </c>
      <c r="H24" s="534">
        <f t="shared" si="3"/>
        <v>2.0000001415610313E-2</v>
      </c>
      <c r="I24" s="280"/>
    </row>
    <row r="25" spans="1:10" s="26" customFormat="1" ht="21" customHeight="1" x14ac:dyDescent="0.2">
      <c r="A25" s="211" t="s">
        <v>12193</v>
      </c>
      <c r="B25" s="533" t="s">
        <v>261</v>
      </c>
      <c r="C25" s="213">
        <v>11557821.34</v>
      </c>
      <c r="D25" s="534">
        <v>-8165603.2199999997</v>
      </c>
      <c r="E25" s="213">
        <f t="shared" si="2"/>
        <v>3392218.12</v>
      </c>
      <c r="F25" s="213">
        <v>3392218.13</v>
      </c>
      <c r="G25" s="213">
        <v>3392218.13</v>
      </c>
      <c r="H25" s="534">
        <f t="shared" si="3"/>
        <v>-9.9999997764825821E-3</v>
      </c>
      <c r="I25" s="280"/>
    </row>
    <row r="26" spans="1:10" s="26" customFormat="1" ht="21" customHeight="1" x14ac:dyDescent="0.2">
      <c r="A26" s="211" t="s">
        <v>12194</v>
      </c>
      <c r="B26" s="533" t="s">
        <v>262</v>
      </c>
      <c r="C26" s="213">
        <v>1270484.8700000001</v>
      </c>
      <c r="D26" s="534">
        <v>-903414.47</v>
      </c>
      <c r="E26" s="213">
        <f t="shared" si="2"/>
        <v>367070.40000000014</v>
      </c>
      <c r="F26" s="213">
        <v>367070.4</v>
      </c>
      <c r="G26" s="213">
        <v>367070.4</v>
      </c>
      <c r="H26" s="534">
        <f t="shared" si="3"/>
        <v>0</v>
      </c>
      <c r="I26" s="280"/>
    </row>
    <row r="27" spans="1:10" s="26" customFormat="1" ht="21" hidden="1" customHeight="1" x14ac:dyDescent="0.2">
      <c r="A27" s="211">
        <v>2800</v>
      </c>
      <c r="B27" s="533" t="s">
        <v>263</v>
      </c>
      <c r="C27" s="213">
        <v>0</v>
      </c>
      <c r="D27" s="534">
        <v>0</v>
      </c>
      <c r="E27" s="213">
        <f t="shared" si="2"/>
        <v>0</v>
      </c>
      <c r="F27" s="213">
        <v>0</v>
      </c>
      <c r="G27" s="213"/>
      <c r="H27" s="534">
        <f t="shared" si="3"/>
        <v>0</v>
      </c>
      <c r="I27" s="280"/>
    </row>
    <row r="28" spans="1:10" s="26" customFormat="1" ht="21" customHeight="1" x14ac:dyDescent="0.2">
      <c r="A28" s="211" t="s">
        <v>12195</v>
      </c>
      <c r="B28" s="533" t="s">
        <v>264</v>
      </c>
      <c r="C28" s="213">
        <v>2184899.62</v>
      </c>
      <c r="D28" s="534">
        <v>-1893649.4</v>
      </c>
      <c r="E28" s="213">
        <f t="shared" si="2"/>
        <v>291250.2200000002</v>
      </c>
      <c r="F28" s="213">
        <v>291250.21999999997</v>
      </c>
      <c r="G28" s="213">
        <v>291250.21999999997</v>
      </c>
      <c r="H28" s="534">
        <f t="shared" si="3"/>
        <v>0</v>
      </c>
      <c r="I28" s="280"/>
    </row>
    <row r="29" spans="1:10" s="26" customFormat="1" ht="21" customHeight="1" x14ac:dyDescent="0.2">
      <c r="A29" s="214" t="s">
        <v>12196</v>
      </c>
      <c r="B29" s="215" t="s">
        <v>139</v>
      </c>
      <c r="C29" s="216">
        <f>SUM(C30:C37)+C47</f>
        <v>25690197.409999996</v>
      </c>
      <c r="D29" s="532">
        <f>SUM(D30:D37)+D47</f>
        <v>3502652.9200000018</v>
      </c>
      <c r="E29" s="210">
        <f>SUM(E30:E37)+E47</f>
        <v>29192850.329999998</v>
      </c>
      <c r="F29" s="210">
        <f>SUM(F30:F37)+F47</f>
        <v>29188243.170000002</v>
      </c>
      <c r="G29" s="210">
        <f>SUM(G30:G37)+G47</f>
        <v>28685536.23</v>
      </c>
      <c r="H29" s="535">
        <f t="shared" ref="H29" si="5">SUM(H30:H47)</f>
        <v>4607.1600000009639</v>
      </c>
      <c r="I29" s="280"/>
    </row>
    <row r="30" spans="1:10" s="26" customFormat="1" ht="21" customHeight="1" x14ac:dyDescent="0.2">
      <c r="A30" s="211" t="s">
        <v>12197</v>
      </c>
      <c r="B30" s="533" t="s">
        <v>265</v>
      </c>
      <c r="C30" s="213">
        <v>1521852.62</v>
      </c>
      <c r="D30" s="534">
        <v>-1001352.48</v>
      </c>
      <c r="E30" s="213">
        <f t="shared" si="2"/>
        <v>520500.14000000013</v>
      </c>
      <c r="F30" s="213">
        <v>520500.15</v>
      </c>
      <c r="G30" s="213">
        <v>520500.15</v>
      </c>
      <c r="H30" s="534">
        <f t="shared" si="3"/>
        <v>-9.9999998928979039E-3</v>
      </c>
      <c r="I30" s="280"/>
    </row>
    <row r="31" spans="1:10" s="26" customFormat="1" ht="21" customHeight="1" x14ac:dyDescent="0.2">
      <c r="A31" s="211" t="s">
        <v>12198</v>
      </c>
      <c r="B31" s="533" t="s">
        <v>266</v>
      </c>
      <c r="C31" s="213">
        <v>9120936.4000000004</v>
      </c>
      <c r="D31" s="534">
        <v>-5358725.97</v>
      </c>
      <c r="E31" s="213">
        <f t="shared" si="2"/>
        <v>3762210.4300000006</v>
      </c>
      <c r="F31" s="213">
        <v>3762210.41</v>
      </c>
      <c r="G31" s="213">
        <v>3602210.42</v>
      </c>
      <c r="H31" s="534">
        <f t="shared" si="3"/>
        <v>2.0000000484287739E-2</v>
      </c>
      <c r="I31" s="280"/>
    </row>
    <row r="32" spans="1:10" s="26" customFormat="1" ht="21" customHeight="1" x14ac:dyDescent="0.2">
      <c r="A32" s="211" t="s">
        <v>12199</v>
      </c>
      <c r="B32" s="533" t="s">
        <v>267</v>
      </c>
      <c r="C32" s="213">
        <v>0</v>
      </c>
      <c r="D32" s="534">
        <v>6677029.5999999996</v>
      </c>
      <c r="E32" s="213">
        <f t="shared" si="2"/>
        <v>6677029.5999999996</v>
      </c>
      <c r="F32" s="213">
        <v>6677029.5999999996</v>
      </c>
      <c r="G32" s="213">
        <v>6341435.4500000002</v>
      </c>
      <c r="H32" s="534">
        <f t="shared" si="3"/>
        <v>0</v>
      </c>
      <c r="I32" s="280"/>
    </row>
    <row r="33" spans="1:9" s="26" customFormat="1" ht="21" customHeight="1" x14ac:dyDescent="0.2">
      <c r="A33" s="211" t="s">
        <v>12200</v>
      </c>
      <c r="B33" s="533" t="s">
        <v>268</v>
      </c>
      <c r="C33" s="213">
        <v>2944051.2000000002</v>
      </c>
      <c r="D33" s="534">
        <v>-1913043.1</v>
      </c>
      <c r="E33" s="213">
        <f t="shared" si="2"/>
        <v>1031008.1000000001</v>
      </c>
      <c r="F33" s="213">
        <v>1031008.1</v>
      </c>
      <c r="G33" s="213">
        <v>1031008.1</v>
      </c>
      <c r="H33" s="534">
        <f t="shared" si="3"/>
        <v>0</v>
      </c>
      <c r="I33" s="280"/>
    </row>
    <row r="34" spans="1:9" s="26" customFormat="1" ht="21" customHeight="1" x14ac:dyDescent="0.2">
      <c r="A34" s="211" t="s">
        <v>12201</v>
      </c>
      <c r="B34" s="533" t="s">
        <v>269</v>
      </c>
      <c r="C34" s="213">
        <v>1740</v>
      </c>
      <c r="D34" s="534">
        <v>3139633.91</v>
      </c>
      <c r="E34" s="213">
        <f t="shared" si="2"/>
        <v>3141373.91</v>
      </c>
      <c r="F34" s="213">
        <v>3136766.76</v>
      </c>
      <c r="G34" s="213">
        <v>3131157.96</v>
      </c>
      <c r="H34" s="534">
        <f t="shared" si="3"/>
        <v>4607.1500000003725</v>
      </c>
      <c r="I34" s="280"/>
    </row>
    <row r="35" spans="1:9" s="26" customFormat="1" ht="24" customHeight="1" x14ac:dyDescent="0.2">
      <c r="A35" s="211" t="s">
        <v>12202</v>
      </c>
      <c r="B35" s="533" t="s">
        <v>270</v>
      </c>
      <c r="C35" s="213">
        <v>84125.23</v>
      </c>
      <c r="D35" s="534">
        <v>7619312.3899999997</v>
      </c>
      <c r="E35" s="213">
        <f t="shared" si="2"/>
        <v>7703437.6200000001</v>
      </c>
      <c r="F35" s="213">
        <v>7703437.6200000001</v>
      </c>
      <c r="G35" s="213">
        <v>7703437.6200000001</v>
      </c>
      <c r="H35" s="534">
        <f t="shared" si="3"/>
        <v>0</v>
      </c>
      <c r="I35" s="280"/>
    </row>
    <row r="36" spans="1:9" s="26" customFormat="1" ht="21.75" customHeight="1" x14ac:dyDescent="0.2">
      <c r="A36" s="211" t="s">
        <v>12203</v>
      </c>
      <c r="B36" s="533" t="s">
        <v>271</v>
      </c>
      <c r="C36" s="213">
        <v>214500.66</v>
      </c>
      <c r="D36" s="534">
        <v>-127195.37</v>
      </c>
      <c r="E36" s="213">
        <f t="shared" si="2"/>
        <v>87305.290000000008</v>
      </c>
      <c r="F36" s="213">
        <v>87305.29</v>
      </c>
      <c r="G36" s="213">
        <v>87305.29</v>
      </c>
      <c r="H36" s="534">
        <f t="shared" si="3"/>
        <v>0</v>
      </c>
      <c r="I36" s="280"/>
    </row>
    <row r="37" spans="1:9" s="26" customFormat="1" ht="23.25" customHeight="1" x14ac:dyDescent="0.2">
      <c r="A37" s="211" t="s">
        <v>12204</v>
      </c>
      <c r="B37" s="533" t="s">
        <v>272</v>
      </c>
      <c r="C37" s="213">
        <v>18913.36</v>
      </c>
      <c r="D37" s="534">
        <v>4915734.12</v>
      </c>
      <c r="E37" s="213">
        <f t="shared" si="2"/>
        <v>4934647.4800000004</v>
      </c>
      <c r="F37" s="213">
        <v>4934647.4800000004</v>
      </c>
      <c r="G37" s="213">
        <v>4934647.4800000004</v>
      </c>
      <c r="H37" s="534">
        <f t="shared" si="3"/>
        <v>0</v>
      </c>
      <c r="I37" s="280"/>
    </row>
    <row r="38" spans="1:9" ht="10.5" customHeight="1" x14ac:dyDescent="0.2">
      <c r="H38" s="531"/>
      <c r="I38" s="615"/>
    </row>
    <row r="39" spans="1:9" ht="15.75" customHeight="1" x14ac:dyDescent="0.25">
      <c r="A39" s="1184" t="s">
        <v>732</v>
      </c>
      <c r="B39" s="1184"/>
      <c r="C39" s="1184"/>
      <c r="D39" s="1184"/>
      <c r="E39" s="1184"/>
      <c r="F39" s="1184"/>
      <c r="G39" s="1184"/>
      <c r="H39" s="1184"/>
      <c r="I39" s="1185"/>
    </row>
    <row r="40" spans="1:9" ht="15.75" customHeight="1" x14ac:dyDescent="0.25">
      <c r="A40" s="1186" t="s">
        <v>10647</v>
      </c>
      <c r="B40" s="1186"/>
      <c r="C40" s="1186"/>
      <c r="D40" s="1186"/>
      <c r="E40" s="1186"/>
      <c r="F40" s="1186"/>
      <c r="G40" s="1186"/>
      <c r="H40" s="1186"/>
      <c r="I40" s="1185"/>
    </row>
    <row r="41" spans="1:9" ht="15.75" customHeight="1" x14ac:dyDescent="0.25">
      <c r="A41" s="1186" t="s">
        <v>10646</v>
      </c>
      <c r="B41" s="1186"/>
      <c r="C41" s="1186"/>
      <c r="D41" s="1186"/>
      <c r="E41" s="1186"/>
      <c r="F41" s="1186"/>
      <c r="G41" s="1186"/>
      <c r="H41" s="1186"/>
      <c r="I41" s="1185"/>
    </row>
    <row r="42" spans="1:9" ht="15.75" customHeight="1" x14ac:dyDescent="0.25">
      <c r="A42" s="1186" t="s">
        <v>8660</v>
      </c>
      <c r="B42" s="1186"/>
      <c r="C42" s="1186"/>
      <c r="D42" s="1186"/>
      <c r="E42" s="1186"/>
      <c r="F42" s="1186"/>
      <c r="G42" s="1186"/>
      <c r="H42" s="1186"/>
      <c r="I42" s="1185"/>
    </row>
    <row r="43" spans="1:9" ht="8.25" customHeight="1" thickBot="1" x14ac:dyDescent="0.25">
      <c r="A43" s="20"/>
      <c r="G43" s="23"/>
      <c r="H43" s="531"/>
      <c r="I43" s="295"/>
    </row>
    <row r="44" spans="1:9" s="24" customFormat="1" x14ac:dyDescent="0.2">
      <c r="A44" s="1187" t="s">
        <v>201</v>
      </c>
      <c r="B44" s="1188"/>
      <c r="C44" s="1193" t="s">
        <v>241</v>
      </c>
      <c r="D44" s="1194"/>
      <c r="E44" s="1194"/>
      <c r="F44" s="1194"/>
      <c r="G44" s="1195"/>
      <c r="H44" s="1196" t="s">
        <v>242</v>
      </c>
      <c r="I44" s="291"/>
    </row>
    <row r="45" spans="1:9" ht="26.25" thickBot="1" x14ac:dyDescent="0.25">
      <c r="A45" s="1189"/>
      <c r="B45" s="1190"/>
      <c r="C45" s="1099" t="s">
        <v>243</v>
      </c>
      <c r="D45" s="1099" t="s">
        <v>244</v>
      </c>
      <c r="E45" s="1099" t="s">
        <v>245</v>
      </c>
      <c r="F45" s="1099" t="s">
        <v>220</v>
      </c>
      <c r="G45" s="1099" t="s">
        <v>246</v>
      </c>
      <c r="H45" s="1197"/>
      <c r="I45" s="280"/>
    </row>
    <row r="46" spans="1:9" ht="15" customHeight="1" thickBot="1" x14ac:dyDescent="0.25">
      <c r="A46" s="1191"/>
      <c r="B46" s="1192"/>
      <c r="C46" s="25">
        <v>1</v>
      </c>
      <c r="D46" s="25">
        <v>2</v>
      </c>
      <c r="E46" s="25" t="s">
        <v>247</v>
      </c>
      <c r="F46" s="25">
        <v>4</v>
      </c>
      <c r="G46" s="25">
        <v>5</v>
      </c>
      <c r="H46" s="25" t="s">
        <v>248</v>
      </c>
      <c r="I46" s="280"/>
    </row>
    <row r="47" spans="1:9" s="26" customFormat="1" ht="21" customHeight="1" x14ac:dyDescent="0.2">
      <c r="A47" s="853" t="s">
        <v>12205</v>
      </c>
      <c r="B47" s="814" t="s">
        <v>273</v>
      </c>
      <c r="C47" s="534">
        <v>11784077.939999999</v>
      </c>
      <c r="D47" s="534">
        <v>-10448740.18</v>
      </c>
      <c r="E47" s="534">
        <f t="shared" si="2"/>
        <v>1335337.7599999998</v>
      </c>
      <c r="F47" s="534">
        <v>1335337.76</v>
      </c>
      <c r="G47" s="534">
        <v>1333833.76</v>
      </c>
      <c r="H47" s="534">
        <f t="shared" si="3"/>
        <v>0</v>
      </c>
      <c r="I47" s="280"/>
    </row>
    <row r="48" spans="1:9" s="26" customFormat="1" ht="21" customHeight="1" x14ac:dyDescent="0.2">
      <c r="A48" s="214" t="s">
        <v>12206</v>
      </c>
      <c r="B48" s="215" t="s">
        <v>140</v>
      </c>
      <c r="C48" s="216">
        <f t="shared" ref="C48:H48" si="6">SUM(C49:C57)</f>
        <v>15800080.82</v>
      </c>
      <c r="D48" s="532">
        <f t="shared" si="6"/>
        <v>-8675133.209999999</v>
      </c>
      <c r="E48" s="210">
        <f t="shared" si="6"/>
        <v>7124947.6100000013</v>
      </c>
      <c r="F48" s="210">
        <f t="shared" si="6"/>
        <v>7124940.1100000003</v>
      </c>
      <c r="G48" s="210">
        <f t="shared" si="6"/>
        <v>7124940.1100000003</v>
      </c>
      <c r="H48" s="535">
        <f t="shared" si="6"/>
        <v>7.5</v>
      </c>
      <c r="I48" s="295"/>
    </row>
    <row r="49" spans="1:9" s="26" customFormat="1" ht="21" customHeight="1" x14ac:dyDescent="0.2">
      <c r="A49" s="211" t="s">
        <v>12207</v>
      </c>
      <c r="B49" s="533" t="s">
        <v>142</v>
      </c>
      <c r="C49" s="217">
        <v>1740000</v>
      </c>
      <c r="D49" s="534">
        <v>-148910</v>
      </c>
      <c r="E49" s="213">
        <f t="shared" si="2"/>
        <v>1591090</v>
      </c>
      <c r="F49" s="213">
        <v>1591090</v>
      </c>
      <c r="G49" s="213">
        <v>1591090</v>
      </c>
      <c r="H49" s="534">
        <f t="shared" si="3"/>
        <v>0</v>
      </c>
      <c r="I49" s="291"/>
    </row>
    <row r="50" spans="1:9" s="26" customFormat="1" ht="21" customHeight="1" x14ac:dyDescent="0.2">
      <c r="A50" s="211" t="s">
        <v>12208</v>
      </c>
      <c r="B50" s="533" t="s">
        <v>144</v>
      </c>
      <c r="C50" s="217">
        <v>0</v>
      </c>
      <c r="D50" s="534">
        <v>736307.28</v>
      </c>
      <c r="E50" s="213">
        <f t="shared" si="2"/>
        <v>736307.28</v>
      </c>
      <c r="F50" s="213">
        <v>736299.79</v>
      </c>
      <c r="G50" s="213">
        <v>736299.79</v>
      </c>
      <c r="H50" s="534">
        <f t="shared" si="3"/>
        <v>7.4899999999906868</v>
      </c>
      <c r="I50" s="291"/>
    </row>
    <row r="51" spans="1:9" s="26" customFormat="1" ht="12.75" hidden="1" customHeight="1" x14ac:dyDescent="0.2">
      <c r="A51" s="211">
        <v>4300</v>
      </c>
      <c r="B51" s="533" t="s">
        <v>145</v>
      </c>
      <c r="C51" s="217">
        <v>0</v>
      </c>
      <c r="D51" s="534">
        <v>0</v>
      </c>
      <c r="E51" s="213">
        <f t="shared" si="2"/>
        <v>0</v>
      </c>
      <c r="F51" s="213">
        <v>0</v>
      </c>
      <c r="G51" s="213"/>
      <c r="H51" s="534">
        <f t="shared" si="3"/>
        <v>0</v>
      </c>
      <c r="I51" s="291"/>
    </row>
    <row r="52" spans="1:9" s="26" customFormat="1" ht="21" customHeight="1" x14ac:dyDescent="0.2">
      <c r="A52" s="211" t="s">
        <v>12209</v>
      </c>
      <c r="B52" s="533" t="s">
        <v>274</v>
      </c>
      <c r="C52" s="217">
        <v>12154560.880000001</v>
      </c>
      <c r="D52" s="534">
        <v>-7357010.5599999996</v>
      </c>
      <c r="E52" s="213">
        <f t="shared" si="2"/>
        <v>4797550.3200000012</v>
      </c>
      <c r="F52" s="213">
        <v>4797550.32</v>
      </c>
      <c r="G52" s="213">
        <v>4797550.32</v>
      </c>
      <c r="H52" s="534">
        <f t="shared" si="3"/>
        <v>0</v>
      </c>
      <c r="I52" s="291"/>
    </row>
    <row r="53" spans="1:9" s="26" customFormat="1" ht="21" customHeight="1" x14ac:dyDescent="0.2">
      <c r="A53" s="211" t="s">
        <v>12210</v>
      </c>
      <c r="B53" s="533" t="s">
        <v>149</v>
      </c>
      <c r="C53" s="217">
        <v>1905519.94</v>
      </c>
      <c r="D53" s="534">
        <v>-1905519.93</v>
      </c>
      <c r="E53" s="213">
        <f t="shared" si="2"/>
        <v>1.0000000009313226E-2</v>
      </c>
      <c r="F53" s="213">
        <v>0</v>
      </c>
      <c r="G53" s="213">
        <v>0</v>
      </c>
      <c r="H53" s="534">
        <f t="shared" si="3"/>
        <v>1.0000000009313226E-2</v>
      </c>
      <c r="I53" s="291"/>
    </row>
    <row r="54" spans="1:9" s="26" customFormat="1" ht="21" hidden="1" customHeight="1" x14ac:dyDescent="0.2">
      <c r="A54" s="211">
        <v>4600</v>
      </c>
      <c r="B54" s="212" t="s">
        <v>275</v>
      </c>
      <c r="C54" s="217">
        <v>0</v>
      </c>
      <c r="D54" s="534">
        <v>0</v>
      </c>
      <c r="E54" s="213">
        <f t="shared" si="2"/>
        <v>0</v>
      </c>
      <c r="F54" s="213">
        <v>0</v>
      </c>
      <c r="G54" s="213">
        <v>0</v>
      </c>
      <c r="H54" s="534">
        <f t="shared" si="3"/>
        <v>0</v>
      </c>
      <c r="I54" s="280"/>
    </row>
    <row r="55" spans="1:9" s="26" customFormat="1" ht="21" hidden="1" customHeight="1" x14ac:dyDescent="0.2">
      <c r="A55" s="211">
        <v>4700</v>
      </c>
      <c r="B55" s="212" t="s">
        <v>153</v>
      </c>
      <c r="C55" s="217">
        <v>0</v>
      </c>
      <c r="D55" s="534">
        <v>0</v>
      </c>
      <c r="E55" s="213">
        <f t="shared" si="2"/>
        <v>0</v>
      </c>
      <c r="F55" s="213">
        <v>0</v>
      </c>
      <c r="G55" s="213">
        <v>0</v>
      </c>
      <c r="H55" s="759">
        <v>0</v>
      </c>
      <c r="I55" s="280"/>
    </row>
    <row r="56" spans="1:9" s="26" customFormat="1" ht="21" hidden="1" customHeight="1" x14ac:dyDescent="0.2">
      <c r="A56" s="211">
        <v>4800</v>
      </c>
      <c r="B56" s="212" t="s">
        <v>155</v>
      </c>
      <c r="C56" s="217">
        <v>0</v>
      </c>
      <c r="D56" s="534">
        <v>0</v>
      </c>
      <c r="E56" s="213">
        <f t="shared" si="2"/>
        <v>0</v>
      </c>
      <c r="F56" s="213">
        <v>0</v>
      </c>
      <c r="G56" s="213">
        <v>0</v>
      </c>
      <c r="H56" s="759">
        <v>0</v>
      </c>
      <c r="I56" s="295"/>
    </row>
    <row r="57" spans="1:9" s="26" customFormat="1" ht="21" hidden="1" customHeight="1" x14ac:dyDescent="0.2">
      <c r="A57" s="211">
        <v>4900</v>
      </c>
      <c r="B57" s="212" t="s">
        <v>276</v>
      </c>
      <c r="C57" s="217">
        <v>0</v>
      </c>
      <c r="D57" s="534">
        <v>0</v>
      </c>
      <c r="E57" s="213">
        <f t="shared" si="2"/>
        <v>0</v>
      </c>
      <c r="F57" s="213">
        <v>0</v>
      </c>
      <c r="G57" s="213">
        <v>0</v>
      </c>
      <c r="H57" s="759">
        <v>0</v>
      </c>
      <c r="I57" s="295"/>
    </row>
    <row r="58" spans="1:9" s="26" customFormat="1" ht="21" customHeight="1" x14ac:dyDescent="0.2">
      <c r="A58" s="214" t="s">
        <v>12211</v>
      </c>
      <c r="B58" s="215" t="s">
        <v>277</v>
      </c>
      <c r="C58" s="216">
        <f t="shared" ref="C58:H58" si="7">SUM(C59:C67)</f>
        <v>0</v>
      </c>
      <c r="D58" s="532">
        <f t="shared" si="7"/>
        <v>115967</v>
      </c>
      <c r="E58" s="210">
        <f t="shared" si="7"/>
        <v>115967</v>
      </c>
      <c r="F58" s="210">
        <f t="shared" si="7"/>
        <v>115967</v>
      </c>
      <c r="G58" s="210">
        <f t="shared" si="7"/>
        <v>115967</v>
      </c>
      <c r="H58" s="535">
        <f t="shared" si="7"/>
        <v>0</v>
      </c>
      <c r="I58" s="295"/>
    </row>
    <row r="59" spans="1:9" s="26" customFormat="1" ht="21" customHeight="1" x14ac:dyDescent="0.2">
      <c r="A59" s="211" t="s">
        <v>12212</v>
      </c>
      <c r="B59" s="533" t="s">
        <v>278</v>
      </c>
      <c r="C59" s="217">
        <v>0</v>
      </c>
      <c r="D59" s="534">
        <v>3389</v>
      </c>
      <c r="E59" s="213">
        <f t="shared" si="2"/>
        <v>3389</v>
      </c>
      <c r="F59" s="213">
        <v>3389</v>
      </c>
      <c r="G59" s="213">
        <v>3389</v>
      </c>
      <c r="H59" s="534">
        <f t="shared" ref="H59:H79" si="8">E59-F59</f>
        <v>0</v>
      </c>
      <c r="I59" s="291"/>
    </row>
    <row r="60" spans="1:9" s="26" customFormat="1" ht="21" customHeight="1" x14ac:dyDescent="0.2">
      <c r="A60" s="211" t="s">
        <v>12213</v>
      </c>
      <c r="B60" s="533" t="s">
        <v>279</v>
      </c>
      <c r="C60" s="217">
        <v>0</v>
      </c>
      <c r="D60" s="534">
        <v>0</v>
      </c>
      <c r="E60" s="213">
        <f t="shared" si="2"/>
        <v>0</v>
      </c>
      <c r="F60" s="213">
        <v>0</v>
      </c>
      <c r="G60" s="213">
        <v>0</v>
      </c>
      <c r="H60" s="534">
        <f t="shared" si="8"/>
        <v>0</v>
      </c>
      <c r="I60" s="291"/>
    </row>
    <row r="61" spans="1:9" s="26" customFormat="1" ht="21" customHeight="1" x14ac:dyDescent="0.2">
      <c r="A61" s="211" t="s">
        <v>12214</v>
      </c>
      <c r="B61" s="533" t="s">
        <v>280</v>
      </c>
      <c r="C61" s="217">
        <v>0</v>
      </c>
      <c r="D61" s="534">
        <v>0</v>
      </c>
      <c r="E61" s="213">
        <f t="shared" si="2"/>
        <v>0</v>
      </c>
      <c r="F61" s="213">
        <v>0</v>
      </c>
      <c r="G61" s="213"/>
      <c r="H61" s="534">
        <f t="shared" si="8"/>
        <v>0</v>
      </c>
      <c r="I61" s="291"/>
    </row>
    <row r="62" spans="1:9" s="26" customFormat="1" ht="21" customHeight="1" x14ac:dyDescent="0.2">
      <c r="A62" s="211" t="s">
        <v>12215</v>
      </c>
      <c r="B62" s="533" t="s">
        <v>281</v>
      </c>
      <c r="C62" s="217">
        <v>0</v>
      </c>
      <c r="D62" s="534">
        <v>0</v>
      </c>
      <c r="E62" s="213">
        <f t="shared" si="2"/>
        <v>0</v>
      </c>
      <c r="F62" s="213">
        <v>0</v>
      </c>
      <c r="G62" s="213">
        <v>0</v>
      </c>
      <c r="H62" s="534">
        <f t="shared" si="8"/>
        <v>0</v>
      </c>
      <c r="I62" s="291"/>
    </row>
    <row r="63" spans="1:9" s="26" customFormat="1" ht="12.75" hidden="1" customHeight="1" x14ac:dyDescent="0.2">
      <c r="A63" s="211">
        <v>5500</v>
      </c>
      <c r="B63" s="533" t="s">
        <v>282</v>
      </c>
      <c r="C63" s="217">
        <v>0</v>
      </c>
      <c r="D63" s="534">
        <v>0</v>
      </c>
      <c r="E63" s="213">
        <f t="shared" si="2"/>
        <v>0</v>
      </c>
      <c r="F63" s="213">
        <v>0</v>
      </c>
      <c r="G63" s="213"/>
      <c r="H63" s="213">
        <f t="shared" si="8"/>
        <v>0</v>
      </c>
      <c r="I63" s="291"/>
    </row>
    <row r="64" spans="1:9" s="26" customFormat="1" ht="21" customHeight="1" x14ac:dyDescent="0.2">
      <c r="A64" s="853" t="s">
        <v>12216</v>
      </c>
      <c r="B64" s="814" t="s">
        <v>283</v>
      </c>
      <c r="C64" s="759">
        <v>0</v>
      </c>
      <c r="D64" s="534">
        <v>112578</v>
      </c>
      <c r="E64" s="534">
        <f t="shared" si="2"/>
        <v>112578</v>
      </c>
      <c r="F64" s="534">
        <v>112578</v>
      </c>
      <c r="G64" s="534">
        <v>112578</v>
      </c>
      <c r="H64" s="534">
        <f t="shared" si="8"/>
        <v>0</v>
      </c>
      <c r="I64" s="291"/>
    </row>
    <row r="65" spans="1:9" s="26" customFormat="1" ht="12.75" hidden="1" customHeight="1" x14ac:dyDescent="0.2">
      <c r="A65" s="211">
        <v>5700</v>
      </c>
      <c r="B65" s="533" t="s">
        <v>284</v>
      </c>
      <c r="C65" s="217">
        <v>0</v>
      </c>
      <c r="D65" s="534">
        <v>0</v>
      </c>
      <c r="E65" s="213">
        <f t="shared" si="2"/>
        <v>0</v>
      </c>
      <c r="F65" s="213">
        <v>0</v>
      </c>
      <c r="G65" s="213"/>
      <c r="H65" s="213">
        <f t="shared" si="8"/>
        <v>0</v>
      </c>
      <c r="I65" s="291"/>
    </row>
    <row r="66" spans="1:9" s="26" customFormat="1" ht="12.75" hidden="1" customHeight="1" x14ac:dyDescent="0.2">
      <c r="A66" s="211">
        <v>5800</v>
      </c>
      <c r="B66" s="533" t="s">
        <v>285</v>
      </c>
      <c r="C66" s="217">
        <v>0</v>
      </c>
      <c r="D66" s="534">
        <v>0</v>
      </c>
      <c r="E66" s="213">
        <f t="shared" si="2"/>
        <v>0</v>
      </c>
      <c r="F66" s="213">
        <v>0</v>
      </c>
      <c r="G66" s="213"/>
      <c r="H66" s="213">
        <f t="shared" si="8"/>
        <v>0</v>
      </c>
      <c r="I66" s="291"/>
    </row>
    <row r="67" spans="1:9" s="26" customFormat="1" ht="21" customHeight="1" x14ac:dyDescent="0.2">
      <c r="A67" s="211" t="s">
        <v>12217</v>
      </c>
      <c r="B67" s="533" t="s">
        <v>49</v>
      </c>
      <c r="C67" s="217">
        <v>0</v>
      </c>
      <c r="D67" s="534">
        <v>0</v>
      </c>
      <c r="E67" s="213">
        <f t="shared" si="2"/>
        <v>0</v>
      </c>
      <c r="F67" s="213">
        <v>0</v>
      </c>
      <c r="G67" s="213"/>
      <c r="H67" s="213">
        <f t="shared" si="8"/>
        <v>0</v>
      </c>
      <c r="I67" s="291"/>
    </row>
    <row r="68" spans="1:9" s="26" customFormat="1" ht="21" customHeight="1" x14ac:dyDescent="0.2">
      <c r="A68" s="214" t="s">
        <v>12218</v>
      </c>
      <c r="B68" s="215" t="s">
        <v>183</v>
      </c>
      <c r="C68" s="216">
        <f t="shared" ref="C68:H68" si="9">SUM(C69:C71)</f>
        <v>37172463.659999996</v>
      </c>
      <c r="D68" s="535">
        <f t="shared" si="9"/>
        <v>-32516417.699999999</v>
      </c>
      <c r="E68" s="216">
        <f t="shared" si="9"/>
        <v>4656045.96</v>
      </c>
      <c r="F68" s="210">
        <f t="shared" si="9"/>
        <v>0</v>
      </c>
      <c r="G68" s="210">
        <f t="shared" si="9"/>
        <v>0</v>
      </c>
      <c r="H68" s="216">
        <f t="shared" si="9"/>
        <v>4656045.96</v>
      </c>
      <c r="I68" s="295"/>
    </row>
    <row r="69" spans="1:9" s="26" customFormat="1" ht="21" customHeight="1" x14ac:dyDescent="0.2">
      <c r="A69" s="211" t="s">
        <v>12219</v>
      </c>
      <c r="B69" s="533" t="s">
        <v>286</v>
      </c>
      <c r="C69" s="217">
        <v>11430308.41</v>
      </c>
      <c r="D69" s="534">
        <v>-6774262.4500000002</v>
      </c>
      <c r="E69" s="213">
        <f t="shared" si="2"/>
        <v>4656045.96</v>
      </c>
      <c r="F69" s="213">
        <v>0</v>
      </c>
      <c r="G69" s="213">
        <v>0</v>
      </c>
      <c r="H69" s="213">
        <f t="shared" si="8"/>
        <v>4656045.96</v>
      </c>
      <c r="I69" s="300"/>
    </row>
    <row r="70" spans="1:9" s="26" customFormat="1" ht="21" hidden="1" customHeight="1" x14ac:dyDescent="0.2">
      <c r="A70" s="211">
        <v>6200</v>
      </c>
      <c r="B70" s="212" t="s">
        <v>287</v>
      </c>
      <c r="C70" s="217">
        <v>0</v>
      </c>
      <c r="D70" s="534">
        <v>0</v>
      </c>
      <c r="E70" s="213">
        <f t="shared" si="2"/>
        <v>0</v>
      </c>
      <c r="F70" s="213">
        <v>0</v>
      </c>
      <c r="G70" s="213">
        <v>0</v>
      </c>
      <c r="H70" s="213">
        <f t="shared" si="8"/>
        <v>0</v>
      </c>
      <c r="I70" s="300"/>
    </row>
    <row r="71" spans="1:9" s="26" customFormat="1" ht="21" customHeight="1" x14ac:dyDescent="0.2">
      <c r="A71" s="211" t="s">
        <v>12220</v>
      </c>
      <c r="B71" s="533" t="s">
        <v>288</v>
      </c>
      <c r="C71" s="217">
        <v>25742155.25</v>
      </c>
      <c r="D71" s="534">
        <v>-25742155.25</v>
      </c>
      <c r="E71" s="213">
        <f t="shared" si="2"/>
        <v>0</v>
      </c>
      <c r="F71" s="213">
        <v>0</v>
      </c>
      <c r="G71" s="213">
        <v>0</v>
      </c>
      <c r="H71" s="213">
        <f t="shared" si="8"/>
        <v>0</v>
      </c>
      <c r="I71" s="300"/>
    </row>
    <row r="72" spans="1:9" s="26" customFormat="1" ht="21" customHeight="1" x14ac:dyDescent="0.2">
      <c r="A72" s="214" t="s">
        <v>12221</v>
      </c>
      <c r="B72" s="215" t="s">
        <v>289</v>
      </c>
      <c r="C72" s="216">
        <f>SUM(C73:C79)</f>
        <v>31119400.010000002</v>
      </c>
      <c r="D72" s="532">
        <f>SUM(D73:D79)</f>
        <v>-31119400.010000002</v>
      </c>
      <c r="E72" s="210">
        <f>SUM(E73:E79)</f>
        <v>0</v>
      </c>
      <c r="F72" s="210">
        <f>SUM(F73:F79)</f>
        <v>0</v>
      </c>
      <c r="G72" s="210">
        <f>SUM(G73:G79)</f>
        <v>0</v>
      </c>
      <c r="H72" s="213">
        <f t="shared" si="8"/>
        <v>0</v>
      </c>
      <c r="I72" s="300"/>
    </row>
    <row r="73" spans="1:9" s="26" customFormat="1" ht="21" hidden="1" customHeight="1" x14ac:dyDescent="0.2">
      <c r="A73" s="211">
        <v>7100</v>
      </c>
      <c r="B73" s="212" t="s">
        <v>290</v>
      </c>
      <c r="C73" s="217">
        <v>0</v>
      </c>
      <c r="D73" s="534">
        <v>0</v>
      </c>
      <c r="E73" s="213">
        <f t="shared" si="2"/>
        <v>0</v>
      </c>
      <c r="F73" s="213">
        <v>0</v>
      </c>
      <c r="G73" s="213">
        <v>0</v>
      </c>
      <c r="H73" s="213">
        <f t="shared" si="8"/>
        <v>0</v>
      </c>
      <c r="I73" s="300"/>
    </row>
    <row r="74" spans="1:9" s="26" customFormat="1" ht="21" hidden="1" customHeight="1" x14ac:dyDescent="0.2">
      <c r="A74" s="211">
        <v>7200</v>
      </c>
      <c r="B74" s="212" t="s">
        <v>291</v>
      </c>
      <c r="C74" s="217">
        <v>0</v>
      </c>
      <c r="D74" s="534">
        <v>0</v>
      </c>
      <c r="E74" s="213">
        <f t="shared" si="2"/>
        <v>0</v>
      </c>
      <c r="F74" s="213">
        <v>0</v>
      </c>
      <c r="G74" s="213">
        <v>0</v>
      </c>
      <c r="H74" s="213">
        <f t="shared" si="8"/>
        <v>0</v>
      </c>
      <c r="I74" s="287"/>
    </row>
    <row r="75" spans="1:9" s="26" customFormat="1" ht="21" hidden="1" customHeight="1" x14ac:dyDescent="0.2">
      <c r="A75" s="211">
        <v>7300</v>
      </c>
      <c r="B75" s="212" t="s">
        <v>292</v>
      </c>
      <c r="C75" s="217">
        <v>0</v>
      </c>
      <c r="D75" s="534">
        <v>0</v>
      </c>
      <c r="E75" s="213">
        <f t="shared" si="2"/>
        <v>0</v>
      </c>
      <c r="F75" s="213">
        <v>0</v>
      </c>
      <c r="G75" s="213">
        <v>0</v>
      </c>
      <c r="H75" s="213">
        <f t="shared" si="8"/>
        <v>0</v>
      </c>
      <c r="I75" s="287"/>
    </row>
    <row r="76" spans="1:9" s="26" customFormat="1" ht="21" hidden="1" customHeight="1" x14ac:dyDescent="0.2">
      <c r="A76" s="211">
        <v>7400</v>
      </c>
      <c r="B76" s="212" t="s">
        <v>293</v>
      </c>
      <c r="C76" s="217">
        <v>0</v>
      </c>
      <c r="D76" s="534">
        <v>0</v>
      </c>
      <c r="E76" s="213">
        <f t="shared" si="2"/>
        <v>0</v>
      </c>
      <c r="F76" s="213">
        <v>0</v>
      </c>
      <c r="G76" s="213">
        <v>0</v>
      </c>
      <c r="H76" s="213">
        <f t="shared" si="8"/>
        <v>0</v>
      </c>
      <c r="I76" s="287"/>
    </row>
    <row r="77" spans="1:9" s="26" customFormat="1" ht="21" hidden="1" customHeight="1" x14ac:dyDescent="0.2">
      <c r="A77" s="211">
        <v>7500</v>
      </c>
      <c r="B77" s="212" t="s">
        <v>294</v>
      </c>
      <c r="C77" s="217">
        <v>0</v>
      </c>
      <c r="D77" s="534">
        <v>0</v>
      </c>
      <c r="E77" s="213">
        <f t="shared" si="2"/>
        <v>0</v>
      </c>
      <c r="F77" s="213">
        <v>0</v>
      </c>
      <c r="G77" s="213">
        <v>0</v>
      </c>
      <c r="H77" s="213">
        <f t="shared" si="8"/>
        <v>0</v>
      </c>
      <c r="I77" s="287"/>
    </row>
    <row r="78" spans="1:9" s="26" customFormat="1" ht="21" hidden="1" customHeight="1" x14ac:dyDescent="0.2">
      <c r="A78" s="211">
        <v>7600</v>
      </c>
      <c r="B78" s="212" t="s">
        <v>295</v>
      </c>
      <c r="C78" s="217">
        <v>0</v>
      </c>
      <c r="D78" s="534">
        <v>0</v>
      </c>
      <c r="E78" s="213">
        <f t="shared" si="2"/>
        <v>0</v>
      </c>
      <c r="F78" s="213">
        <v>0</v>
      </c>
      <c r="G78" s="213">
        <v>0</v>
      </c>
      <c r="H78" s="213">
        <f t="shared" si="8"/>
        <v>0</v>
      </c>
      <c r="I78" s="287"/>
    </row>
    <row r="79" spans="1:9" s="26" customFormat="1" ht="21" customHeight="1" x14ac:dyDescent="0.2">
      <c r="A79" s="211" t="s">
        <v>12222</v>
      </c>
      <c r="B79" s="533" t="s">
        <v>296</v>
      </c>
      <c r="C79" s="217">
        <v>31119400.010000002</v>
      </c>
      <c r="D79" s="534">
        <v>-31119400.010000002</v>
      </c>
      <c r="E79" s="213">
        <f t="shared" si="2"/>
        <v>0</v>
      </c>
      <c r="F79" s="213">
        <v>0</v>
      </c>
      <c r="G79" s="213">
        <v>0</v>
      </c>
      <c r="H79" s="213">
        <f t="shared" si="8"/>
        <v>0</v>
      </c>
      <c r="I79" s="287"/>
    </row>
    <row r="80" spans="1:9" s="26" customFormat="1" ht="21" hidden="1" customHeight="1" x14ac:dyDescent="0.2">
      <c r="A80" s="214">
        <v>8000</v>
      </c>
      <c r="B80" s="215" t="s">
        <v>121</v>
      </c>
      <c r="C80" s="216">
        <f t="shared" ref="C80:H80" si="10">SUM(C81:C83)</f>
        <v>0</v>
      </c>
      <c r="D80" s="532">
        <f t="shared" si="10"/>
        <v>0</v>
      </c>
      <c r="E80" s="210">
        <f t="shared" si="10"/>
        <v>0</v>
      </c>
      <c r="F80" s="210">
        <f t="shared" si="10"/>
        <v>0</v>
      </c>
      <c r="G80" s="210">
        <f t="shared" si="10"/>
        <v>0</v>
      </c>
      <c r="H80" s="216">
        <f t="shared" si="10"/>
        <v>0</v>
      </c>
      <c r="I80" s="280"/>
    </row>
    <row r="81" spans="1:9" s="26" customFormat="1" ht="21" hidden="1" customHeight="1" x14ac:dyDescent="0.2">
      <c r="A81" s="211">
        <v>8100</v>
      </c>
      <c r="B81" s="212" t="s">
        <v>198</v>
      </c>
      <c r="C81" s="217">
        <v>0</v>
      </c>
      <c r="D81" s="534">
        <v>0</v>
      </c>
      <c r="E81" s="213">
        <f t="shared" si="2"/>
        <v>0</v>
      </c>
      <c r="F81" s="213">
        <v>0</v>
      </c>
      <c r="G81" s="213">
        <v>0</v>
      </c>
      <c r="H81" s="217">
        <v>0</v>
      </c>
      <c r="I81" s="280"/>
    </row>
    <row r="82" spans="1:9" s="26" customFormat="1" ht="21" hidden="1" customHeight="1" x14ac:dyDescent="0.2">
      <c r="A82" s="211">
        <v>8300</v>
      </c>
      <c r="B82" s="212" t="s">
        <v>59</v>
      </c>
      <c r="C82" s="217">
        <v>0</v>
      </c>
      <c r="D82" s="534">
        <v>0</v>
      </c>
      <c r="E82" s="213">
        <f t="shared" si="2"/>
        <v>0</v>
      </c>
      <c r="F82" s="213">
        <v>0</v>
      </c>
      <c r="G82" s="213">
        <v>0</v>
      </c>
      <c r="H82" s="217">
        <v>0</v>
      </c>
      <c r="I82" s="280"/>
    </row>
    <row r="83" spans="1:9" s="26" customFormat="1" ht="21" hidden="1" customHeight="1" x14ac:dyDescent="0.2">
      <c r="A83" s="211">
        <v>8500</v>
      </c>
      <c r="B83" s="212" t="s">
        <v>162</v>
      </c>
      <c r="C83" s="217">
        <v>0</v>
      </c>
      <c r="D83" s="534">
        <v>0</v>
      </c>
      <c r="E83" s="213">
        <f t="shared" si="2"/>
        <v>0</v>
      </c>
      <c r="F83" s="213">
        <v>0</v>
      </c>
      <c r="G83" s="213">
        <v>0</v>
      </c>
      <c r="H83" s="213">
        <f t="shared" ref="H83:H91" si="11">E83-F83</f>
        <v>0</v>
      </c>
      <c r="I83" s="287"/>
    </row>
    <row r="84" spans="1:9" s="26" customFormat="1" ht="21" customHeight="1" x14ac:dyDescent="0.2">
      <c r="A84" s="214" t="s">
        <v>11749</v>
      </c>
      <c r="B84" s="215" t="s">
        <v>297</v>
      </c>
      <c r="C84" s="216">
        <f t="shared" ref="C84:H84" si="12">SUM(C85:C91)</f>
        <v>0</v>
      </c>
      <c r="D84" s="532">
        <f t="shared" si="12"/>
        <v>14261351.109999999</v>
      </c>
      <c r="E84" s="210">
        <f t="shared" si="12"/>
        <v>14261351.109999999</v>
      </c>
      <c r="F84" s="210">
        <f t="shared" si="12"/>
        <v>14261351.109999999</v>
      </c>
      <c r="G84" s="210">
        <f t="shared" si="12"/>
        <v>14261351.109999999</v>
      </c>
      <c r="H84" s="216">
        <f t="shared" si="12"/>
        <v>0</v>
      </c>
      <c r="I84" s="287"/>
    </row>
    <row r="85" spans="1:9" s="26" customFormat="1" ht="21" customHeight="1" x14ac:dyDescent="0.2">
      <c r="A85" s="211" t="s">
        <v>12223</v>
      </c>
      <c r="B85" s="212" t="s">
        <v>298</v>
      </c>
      <c r="C85" s="217">
        <v>0</v>
      </c>
      <c r="D85" s="534">
        <v>0</v>
      </c>
      <c r="E85" s="213">
        <f t="shared" si="2"/>
        <v>0</v>
      </c>
      <c r="F85" s="213">
        <v>0</v>
      </c>
      <c r="G85" s="213">
        <v>0</v>
      </c>
      <c r="H85" s="213">
        <f t="shared" si="11"/>
        <v>0</v>
      </c>
      <c r="I85" s="287"/>
    </row>
    <row r="86" spans="1:9" s="26" customFormat="1" ht="21" customHeight="1" x14ac:dyDescent="0.2">
      <c r="A86" s="211" t="s">
        <v>12224</v>
      </c>
      <c r="B86" s="533" t="s">
        <v>164</v>
      </c>
      <c r="C86" s="217">
        <v>0</v>
      </c>
      <c r="D86" s="534">
        <v>0</v>
      </c>
      <c r="E86" s="213">
        <f t="shared" ref="E86:E91" si="13">C86+D86</f>
        <v>0</v>
      </c>
      <c r="F86" s="213">
        <v>0</v>
      </c>
      <c r="G86" s="213">
        <v>0</v>
      </c>
      <c r="H86" s="213">
        <f t="shared" si="11"/>
        <v>0</v>
      </c>
      <c r="I86" s="280"/>
    </row>
    <row r="87" spans="1:9" s="26" customFormat="1" ht="12.75" hidden="1" customHeight="1" x14ac:dyDescent="0.2">
      <c r="A87" s="211">
        <v>9300</v>
      </c>
      <c r="B87" s="533" t="s">
        <v>166</v>
      </c>
      <c r="C87" s="217">
        <v>0</v>
      </c>
      <c r="D87" s="534">
        <v>0</v>
      </c>
      <c r="E87" s="213">
        <f t="shared" si="13"/>
        <v>0</v>
      </c>
      <c r="F87" s="213">
        <v>0</v>
      </c>
      <c r="G87" s="213"/>
      <c r="H87" s="213">
        <f t="shared" si="11"/>
        <v>0</v>
      </c>
      <c r="I87" s="287"/>
    </row>
    <row r="88" spans="1:9" s="26" customFormat="1" ht="21" customHeight="1" x14ac:dyDescent="0.2">
      <c r="A88" s="211" t="s">
        <v>12225</v>
      </c>
      <c r="B88" s="533" t="s">
        <v>168</v>
      </c>
      <c r="C88" s="217">
        <v>0</v>
      </c>
      <c r="D88" s="534">
        <v>0</v>
      </c>
      <c r="E88" s="213">
        <f t="shared" si="13"/>
        <v>0</v>
      </c>
      <c r="F88" s="213">
        <v>0</v>
      </c>
      <c r="G88" s="213">
        <v>0</v>
      </c>
      <c r="H88" s="534">
        <f t="shared" si="11"/>
        <v>0</v>
      </c>
      <c r="I88" s="287"/>
    </row>
    <row r="89" spans="1:9" s="26" customFormat="1" ht="21" hidden="1" customHeight="1" x14ac:dyDescent="0.2">
      <c r="A89" s="211">
        <v>9500</v>
      </c>
      <c r="B89" s="533" t="s">
        <v>170</v>
      </c>
      <c r="C89" s="217">
        <v>0</v>
      </c>
      <c r="D89" s="534">
        <v>0</v>
      </c>
      <c r="E89" s="213">
        <f t="shared" si="13"/>
        <v>0</v>
      </c>
      <c r="F89" s="213">
        <v>0</v>
      </c>
      <c r="G89" s="213"/>
      <c r="H89" s="213">
        <f t="shared" si="11"/>
        <v>0</v>
      </c>
      <c r="I89" s="287"/>
    </row>
    <row r="90" spans="1:9" s="26" customFormat="1" ht="12.75" hidden="1" customHeight="1" x14ac:dyDescent="0.2">
      <c r="A90" s="211">
        <v>9600</v>
      </c>
      <c r="B90" s="533" t="s">
        <v>172</v>
      </c>
      <c r="C90" s="217">
        <v>0</v>
      </c>
      <c r="D90" s="534">
        <v>0</v>
      </c>
      <c r="E90" s="213">
        <f t="shared" si="13"/>
        <v>0</v>
      </c>
      <c r="F90" s="213">
        <v>0</v>
      </c>
      <c r="G90" s="213"/>
      <c r="H90" s="213">
        <f t="shared" si="11"/>
        <v>0</v>
      </c>
      <c r="I90" s="287"/>
    </row>
    <row r="91" spans="1:9" s="26" customFormat="1" ht="21" customHeight="1" x14ac:dyDescent="0.2">
      <c r="A91" s="211" t="s">
        <v>12226</v>
      </c>
      <c r="B91" s="533" t="s">
        <v>299</v>
      </c>
      <c r="C91" s="217">
        <v>0</v>
      </c>
      <c r="D91" s="534">
        <v>14261351.109999999</v>
      </c>
      <c r="E91" s="213">
        <f t="shared" si="13"/>
        <v>14261351.109999999</v>
      </c>
      <c r="F91" s="213">
        <v>14261351.109999999</v>
      </c>
      <c r="G91" s="213">
        <v>14261351.109999999</v>
      </c>
      <c r="H91" s="534">
        <f t="shared" si="11"/>
        <v>0</v>
      </c>
      <c r="I91" s="287"/>
    </row>
    <row r="92" spans="1:9" ht="8.25" customHeight="1" x14ac:dyDescent="0.2">
      <c r="D92" s="855"/>
      <c r="I92" s="291"/>
    </row>
    <row r="93" spans="1:9" x14ac:dyDescent="0.2">
      <c r="I93" s="280"/>
    </row>
    <row r="94" spans="1:9" x14ac:dyDescent="0.2">
      <c r="I94" s="280"/>
    </row>
    <row r="95" spans="1:9" x14ac:dyDescent="0.2">
      <c r="I95" s="280"/>
    </row>
    <row r="96" spans="1:9" x14ac:dyDescent="0.2">
      <c r="I96" s="280"/>
    </row>
    <row r="97" spans="1:10" x14ac:dyDescent="0.2">
      <c r="I97" s="287"/>
    </row>
    <row r="98" spans="1:10" ht="10.5" customHeight="1" x14ac:dyDescent="0.2">
      <c r="H98" s="531"/>
      <c r="I98" s="615"/>
    </row>
    <row r="99" spans="1:10" ht="15.75" customHeight="1" x14ac:dyDescent="0.25">
      <c r="A99" s="1184" t="s">
        <v>732</v>
      </c>
      <c r="B99" s="1184"/>
      <c r="C99" s="1184"/>
      <c r="D99" s="1184"/>
      <c r="E99" s="1184"/>
      <c r="F99" s="1184"/>
      <c r="G99" s="1184"/>
      <c r="H99" s="1184"/>
      <c r="I99" s="1185"/>
    </row>
    <row r="100" spans="1:10" ht="15.75" customHeight="1" x14ac:dyDescent="0.25">
      <c r="A100" s="1186" t="s">
        <v>10647</v>
      </c>
      <c r="B100" s="1186"/>
      <c r="C100" s="1186"/>
      <c r="D100" s="1186"/>
      <c r="E100" s="1186"/>
      <c r="F100" s="1186"/>
      <c r="G100" s="1186"/>
      <c r="H100" s="1186"/>
      <c r="I100" s="1185"/>
    </row>
    <row r="101" spans="1:10" ht="15.75" customHeight="1" x14ac:dyDescent="0.25">
      <c r="A101" s="1186" t="s">
        <v>10646</v>
      </c>
      <c r="B101" s="1186"/>
      <c r="C101" s="1186"/>
      <c r="D101" s="1186"/>
      <c r="E101" s="1186"/>
      <c r="F101" s="1186"/>
      <c r="G101" s="1186"/>
      <c r="H101" s="1186"/>
      <c r="I101" s="1185"/>
    </row>
    <row r="102" spans="1:10" ht="15.75" customHeight="1" x14ac:dyDescent="0.25">
      <c r="A102" s="1186" t="s">
        <v>8660</v>
      </c>
      <c r="B102" s="1186"/>
      <c r="C102" s="1186"/>
      <c r="D102" s="1186"/>
      <c r="E102" s="1186"/>
      <c r="F102" s="1186"/>
      <c r="G102" s="1186"/>
      <c r="H102" s="1186"/>
      <c r="I102" s="1185"/>
    </row>
    <row r="103" spans="1:10" ht="13.5" customHeight="1" thickBot="1" x14ac:dyDescent="0.25">
      <c r="A103" s="20"/>
      <c r="G103" s="23"/>
      <c r="H103" s="531"/>
      <c r="I103" s="295"/>
    </row>
    <row r="104" spans="1:10" s="24" customFormat="1" x14ac:dyDescent="0.2">
      <c r="A104" s="1187" t="s">
        <v>201</v>
      </c>
      <c r="B104" s="1188"/>
      <c r="C104" s="1193" t="s">
        <v>241</v>
      </c>
      <c r="D104" s="1194"/>
      <c r="E104" s="1194"/>
      <c r="F104" s="1194"/>
      <c r="G104" s="1195"/>
      <c r="H104" s="1196" t="s">
        <v>242</v>
      </c>
      <c r="I104" s="291"/>
    </row>
    <row r="105" spans="1:10" ht="26.25" thickBot="1" x14ac:dyDescent="0.25">
      <c r="A105" s="1189"/>
      <c r="B105" s="1190"/>
      <c r="C105" s="1099" t="s">
        <v>243</v>
      </c>
      <c r="D105" s="1099" t="s">
        <v>244</v>
      </c>
      <c r="E105" s="1099" t="s">
        <v>245</v>
      </c>
      <c r="F105" s="1099" t="s">
        <v>220</v>
      </c>
      <c r="G105" s="1099" t="s">
        <v>246</v>
      </c>
      <c r="H105" s="1197"/>
      <c r="I105" s="280"/>
    </row>
    <row r="106" spans="1:10" ht="15" customHeight="1" thickBot="1" x14ac:dyDescent="0.25">
      <c r="A106" s="1191"/>
      <c r="B106" s="1192"/>
      <c r="C106" s="25">
        <v>1</v>
      </c>
      <c r="D106" s="25">
        <v>2</v>
      </c>
      <c r="E106" s="25" t="s">
        <v>247</v>
      </c>
      <c r="F106" s="25">
        <v>4</v>
      </c>
      <c r="G106" s="25">
        <v>5</v>
      </c>
      <c r="H106" s="25" t="s">
        <v>248</v>
      </c>
      <c r="I106" s="280"/>
    </row>
    <row r="107" spans="1:10" s="26" customFormat="1" ht="21" customHeight="1" x14ac:dyDescent="0.2">
      <c r="A107" s="1429" t="s">
        <v>12227</v>
      </c>
      <c r="B107" s="1430"/>
      <c r="C107" s="210">
        <f>C108+C116+C126++C145+C165+C169+C181+C155</f>
        <v>624451314.56999993</v>
      </c>
      <c r="D107" s="532">
        <f t="shared" ref="D107" si="14">D108+D116+D126++D145+D165+D169+D181+D155</f>
        <v>538898472.27999997</v>
      </c>
      <c r="E107" s="210">
        <f t="shared" ref="E107" si="15">E108+E116+E126++E145+E165+E169+E181+E155</f>
        <v>1163349786.8499999</v>
      </c>
      <c r="F107" s="210">
        <f t="shared" ref="F107" si="16">F108+F116+F126++F145+F165+F169+F181+F155</f>
        <v>1122760228.03</v>
      </c>
      <c r="G107" s="210">
        <f t="shared" ref="G107" si="17">G108+G116+G126++G145+G165+G169+G181+G155</f>
        <v>1085608024.6999998</v>
      </c>
      <c r="H107" s="532">
        <f t="shared" ref="H107" si="18">H108+H116+H126++H145+H165+H169+H181+H155</f>
        <v>40589558.819999985</v>
      </c>
      <c r="I107" s="280"/>
      <c r="J107" s="536"/>
    </row>
    <row r="108" spans="1:10" s="26" customFormat="1" ht="21" customHeight="1" x14ac:dyDescent="0.2">
      <c r="A108" s="208" t="s">
        <v>12180</v>
      </c>
      <c r="B108" s="209" t="s">
        <v>135</v>
      </c>
      <c r="C108" s="210">
        <f t="shared" ref="C108:H108" si="19">SUM(C109:C115)</f>
        <v>319836053.42000002</v>
      </c>
      <c r="D108" s="532">
        <f t="shared" si="19"/>
        <v>68337426.430000007</v>
      </c>
      <c r="E108" s="210">
        <f t="shared" si="19"/>
        <v>388173479.85000008</v>
      </c>
      <c r="F108" s="210">
        <f t="shared" si="19"/>
        <v>388171931.81999999</v>
      </c>
      <c r="G108" s="210">
        <f t="shared" si="19"/>
        <v>382466333.94</v>
      </c>
      <c r="H108" s="532">
        <f t="shared" si="19"/>
        <v>1548.0300000160933</v>
      </c>
      <c r="I108" s="280"/>
      <c r="J108" s="536"/>
    </row>
    <row r="109" spans="1:10" s="26" customFormat="1" ht="21" customHeight="1" x14ac:dyDescent="0.2">
      <c r="A109" s="211" t="s">
        <v>12181</v>
      </c>
      <c r="B109" s="533" t="s">
        <v>249</v>
      </c>
      <c r="C109" s="213">
        <v>190297081.34</v>
      </c>
      <c r="D109" s="534">
        <v>7183538.9000000004</v>
      </c>
      <c r="E109" s="213">
        <f>C109+D109</f>
        <v>197480620.24000001</v>
      </c>
      <c r="F109" s="213">
        <v>197480620.22</v>
      </c>
      <c r="G109" s="213">
        <v>197480620.22</v>
      </c>
      <c r="H109" s="534">
        <f>E109-F109</f>
        <v>2.000001072883606E-2</v>
      </c>
      <c r="I109" s="280"/>
      <c r="J109" s="536"/>
    </row>
    <row r="110" spans="1:10" s="26" customFormat="1" ht="21" customHeight="1" x14ac:dyDescent="0.2">
      <c r="A110" s="211" t="s">
        <v>12182</v>
      </c>
      <c r="B110" s="533" t="s">
        <v>250</v>
      </c>
      <c r="C110" s="213">
        <v>22302951.91</v>
      </c>
      <c r="D110" s="534">
        <v>1754548.02</v>
      </c>
      <c r="E110" s="213">
        <f t="shared" ref="E110:E115" si="20">C110+D110</f>
        <v>24057499.93</v>
      </c>
      <c r="F110" s="213">
        <v>24057499.920000002</v>
      </c>
      <c r="G110" s="213">
        <v>24057499.920000002</v>
      </c>
      <c r="H110" s="534">
        <f t="shared" ref="H110:H115" si="21">E110-F110</f>
        <v>9.9999979138374329E-3</v>
      </c>
      <c r="I110" s="280"/>
      <c r="J110" s="536"/>
    </row>
    <row r="111" spans="1:10" s="26" customFormat="1" ht="21" customHeight="1" x14ac:dyDescent="0.2">
      <c r="A111" s="211" t="s">
        <v>12183</v>
      </c>
      <c r="B111" s="533" t="s">
        <v>251</v>
      </c>
      <c r="C111" s="213">
        <v>69335383.359999999</v>
      </c>
      <c r="D111" s="534">
        <v>34865795.039999999</v>
      </c>
      <c r="E111" s="213">
        <f t="shared" si="20"/>
        <v>104201178.40000001</v>
      </c>
      <c r="F111" s="213">
        <v>104200178.40000001</v>
      </c>
      <c r="G111" s="213">
        <v>104133677.8</v>
      </c>
      <c r="H111" s="534">
        <f t="shared" si="21"/>
        <v>1000</v>
      </c>
      <c r="I111" s="280"/>
      <c r="J111" s="536"/>
    </row>
    <row r="112" spans="1:10" s="26" customFormat="1" ht="21" customHeight="1" x14ac:dyDescent="0.2">
      <c r="A112" s="211" t="s">
        <v>12184</v>
      </c>
      <c r="B112" s="533" t="s">
        <v>252</v>
      </c>
      <c r="C112" s="213">
        <v>1907355.68</v>
      </c>
      <c r="D112" s="534">
        <v>290924.78999999998</v>
      </c>
      <c r="E112" s="213">
        <f t="shared" si="20"/>
        <v>2198280.4699999997</v>
      </c>
      <c r="F112" s="213">
        <v>2198280.4700000002</v>
      </c>
      <c r="G112" s="213">
        <v>2198280.4700000002</v>
      </c>
      <c r="H112" s="534">
        <f t="shared" si="21"/>
        <v>0</v>
      </c>
      <c r="I112" s="280"/>
      <c r="J112" s="536"/>
    </row>
    <row r="113" spans="1:10" s="26" customFormat="1" ht="21" customHeight="1" x14ac:dyDescent="0.2">
      <c r="A113" s="211" t="s">
        <v>12185</v>
      </c>
      <c r="B113" s="533" t="s">
        <v>253</v>
      </c>
      <c r="C113" s="213">
        <v>32265892.27</v>
      </c>
      <c r="D113" s="534">
        <v>22459302.460000001</v>
      </c>
      <c r="E113" s="213">
        <f t="shared" si="20"/>
        <v>54725194.730000004</v>
      </c>
      <c r="F113" s="213">
        <v>54724646.729999997</v>
      </c>
      <c r="G113" s="213">
        <v>49085549.450000003</v>
      </c>
      <c r="H113" s="534">
        <f t="shared" si="21"/>
        <v>548.00000000745058</v>
      </c>
      <c r="I113" s="280"/>
      <c r="J113" s="536"/>
    </row>
    <row r="114" spans="1:10" s="26" customFormat="1" ht="12.75" hidden="1" customHeight="1" x14ac:dyDescent="0.2">
      <c r="A114" s="211">
        <v>1600</v>
      </c>
      <c r="B114" s="533" t="s">
        <v>254</v>
      </c>
      <c r="C114" s="213">
        <v>0</v>
      </c>
      <c r="D114" s="534">
        <v>0</v>
      </c>
      <c r="E114" s="213">
        <f t="shared" si="20"/>
        <v>0</v>
      </c>
      <c r="F114" s="213">
        <v>0</v>
      </c>
      <c r="G114" s="213"/>
      <c r="H114" s="534">
        <f t="shared" si="21"/>
        <v>0</v>
      </c>
      <c r="I114" s="280"/>
      <c r="J114" s="536"/>
    </row>
    <row r="115" spans="1:10" s="26" customFormat="1" ht="21" customHeight="1" x14ac:dyDescent="0.2">
      <c r="A115" s="211" t="s">
        <v>12186</v>
      </c>
      <c r="B115" s="533" t="s">
        <v>255</v>
      </c>
      <c r="C115" s="213">
        <v>3727388.86</v>
      </c>
      <c r="D115" s="534">
        <v>1783317.22</v>
      </c>
      <c r="E115" s="213">
        <f t="shared" si="20"/>
        <v>5510706.0800000001</v>
      </c>
      <c r="F115" s="213">
        <v>5510706.0800000001</v>
      </c>
      <c r="G115" s="213">
        <v>5510706.0800000001</v>
      </c>
      <c r="H115" s="534">
        <f t="shared" si="21"/>
        <v>0</v>
      </c>
      <c r="I115" s="280"/>
      <c r="J115" s="536"/>
    </row>
    <row r="116" spans="1:10" s="26" customFormat="1" ht="21" customHeight="1" x14ac:dyDescent="0.2">
      <c r="A116" s="214" t="s">
        <v>12187</v>
      </c>
      <c r="B116" s="215" t="s">
        <v>137</v>
      </c>
      <c r="C116" s="216">
        <f t="shared" ref="C116:H116" si="22">SUM(C117:C125)</f>
        <v>25880317.629999999</v>
      </c>
      <c r="D116" s="532">
        <f t="shared" si="22"/>
        <v>36003672.590000004</v>
      </c>
      <c r="E116" s="210">
        <f t="shared" si="22"/>
        <v>61883990.219999999</v>
      </c>
      <c r="F116" s="210">
        <f t="shared" si="22"/>
        <v>61682569.31000001</v>
      </c>
      <c r="G116" s="210">
        <f t="shared" si="22"/>
        <v>56797918.509999998</v>
      </c>
      <c r="H116" s="535">
        <f t="shared" si="22"/>
        <v>201420.90999999421</v>
      </c>
      <c r="I116" s="280"/>
      <c r="J116" s="536"/>
    </row>
    <row r="117" spans="1:10" s="26" customFormat="1" ht="21" customHeight="1" x14ac:dyDescent="0.2">
      <c r="A117" s="211" t="s">
        <v>12188</v>
      </c>
      <c r="B117" s="533" t="s">
        <v>256</v>
      </c>
      <c r="C117" s="213">
        <v>0</v>
      </c>
      <c r="D117" s="534">
        <v>3086039.16</v>
      </c>
      <c r="E117" s="213">
        <f t="shared" ref="E117:E125" si="23">C117+D117</f>
        <v>3086039.16</v>
      </c>
      <c r="F117" s="213">
        <v>3027479.96</v>
      </c>
      <c r="G117" s="213">
        <v>2523356.4900000002</v>
      </c>
      <c r="H117" s="534">
        <f t="shared" ref="H117:H125" si="24">E117-F117</f>
        <v>58559.200000000186</v>
      </c>
      <c r="I117" s="280"/>
      <c r="J117" s="536"/>
    </row>
    <row r="118" spans="1:10" s="26" customFormat="1" ht="21" customHeight="1" x14ac:dyDescent="0.2">
      <c r="A118" s="211" t="s">
        <v>12189</v>
      </c>
      <c r="B118" s="533" t="s">
        <v>257</v>
      </c>
      <c r="C118" s="213">
        <v>0</v>
      </c>
      <c r="D118" s="534">
        <v>733009.19</v>
      </c>
      <c r="E118" s="213">
        <f t="shared" si="23"/>
        <v>733009.19</v>
      </c>
      <c r="F118" s="213">
        <v>730709.59</v>
      </c>
      <c r="G118" s="534">
        <v>680321.55</v>
      </c>
      <c r="H118" s="534">
        <f t="shared" si="24"/>
        <v>2299.5999999999767</v>
      </c>
      <c r="I118" s="280"/>
      <c r="J118" s="536"/>
    </row>
    <row r="119" spans="1:10" s="26" customFormat="1" ht="21" customHeight="1" x14ac:dyDescent="0.2">
      <c r="A119" s="211" t="s">
        <v>12190</v>
      </c>
      <c r="B119" s="533" t="s">
        <v>258</v>
      </c>
      <c r="C119" s="213">
        <v>0</v>
      </c>
      <c r="D119" s="534">
        <v>83370.31</v>
      </c>
      <c r="E119" s="213">
        <f t="shared" si="23"/>
        <v>83370.31</v>
      </c>
      <c r="F119" s="213">
        <v>83370.31</v>
      </c>
      <c r="G119" s="213">
        <v>82444.7</v>
      </c>
      <c r="H119" s="534">
        <f t="shared" si="24"/>
        <v>0</v>
      </c>
      <c r="I119" s="280"/>
    </row>
    <row r="120" spans="1:10" s="26" customFormat="1" ht="21" customHeight="1" x14ac:dyDescent="0.2">
      <c r="A120" s="211" t="s">
        <v>12191</v>
      </c>
      <c r="B120" s="533" t="s">
        <v>259</v>
      </c>
      <c r="C120" s="213">
        <v>56304.25</v>
      </c>
      <c r="D120" s="534">
        <v>1847878.2</v>
      </c>
      <c r="E120" s="213">
        <f t="shared" si="23"/>
        <v>1904182.45</v>
      </c>
      <c r="F120" s="213">
        <v>1856490.21</v>
      </c>
      <c r="G120" s="213">
        <v>1777764.7</v>
      </c>
      <c r="H120" s="534">
        <f t="shared" si="24"/>
        <v>47692.239999999991</v>
      </c>
      <c r="I120" s="280"/>
    </row>
    <row r="121" spans="1:10" s="26" customFormat="1" ht="21" customHeight="1" x14ac:dyDescent="0.2">
      <c r="A121" s="211" t="s">
        <v>12192</v>
      </c>
      <c r="B121" s="533" t="s">
        <v>260</v>
      </c>
      <c r="C121" s="213">
        <v>0</v>
      </c>
      <c r="D121" s="534">
        <v>10312967.029999999</v>
      </c>
      <c r="E121" s="213">
        <f t="shared" si="23"/>
        <v>10312967.029999999</v>
      </c>
      <c r="F121" s="213">
        <v>10286440.59</v>
      </c>
      <c r="G121" s="213">
        <v>9921069.9199999999</v>
      </c>
      <c r="H121" s="534">
        <f t="shared" si="24"/>
        <v>26526.439999999478</v>
      </c>
      <c r="I121" s="280"/>
    </row>
    <row r="122" spans="1:10" s="26" customFormat="1" ht="21" customHeight="1" x14ac:dyDescent="0.2">
      <c r="A122" s="211" t="s">
        <v>12193</v>
      </c>
      <c r="B122" s="533" t="s">
        <v>261</v>
      </c>
      <c r="C122" s="213">
        <v>22544013.379999999</v>
      </c>
      <c r="D122" s="534">
        <v>14549046.49</v>
      </c>
      <c r="E122" s="213">
        <f t="shared" si="23"/>
        <v>37093059.869999997</v>
      </c>
      <c r="F122" s="213">
        <v>37093059.880000003</v>
      </c>
      <c r="G122" s="213">
        <v>33811802.969999999</v>
      </c>
      <c r="H122" s="534">
        <f t="shared" si="24"/>
        <v>-1.000000536441803E-2</v>
      </c>
      <c r="I122" s="280"/>
    </row>
    <row r="123" spans="1:10" s="26" customFormat="1" ht="21" customHeight="1" x14ac:dyDescent="0.2">
      <c r="A123" s="211" t="s">
        <v>12194</v>
      </c>
      <c r="B123" s="533" t="s">
        <v>262</v>
      </c>
      <c r="C123" s="213">
        <v>3280000</v>
      </c>
      <c r="D123" s="534">
        <v>1279916.28</v>
      </c>
      <c r="E123" s="213">
        <f t="shared" si="23"/>
        <v>4559916.28</v>
      </c>
      <c r="F123" s="213">
        <v>4547156.28</v>
      </c>
      <c r="G123" s="213">
        <v>4001730.08</v>
      </c>
      <c r="H123" s="534">
        <f t="shared" si="24"/>
        <v>12760</v>
      </c>
      <c r="I123" s="280"/>
    </row>
    <row r="124" spans="1:10" s="26" customFormat="1" ht="21" hidden="1" customHeight="1" x14ac:dyDescent="0.2">
      <c r="A124" s="211">
        <v>2800</v>
      </c>
      <c r="B124" s="533" t="s">
        <v>263</v>
      </c>
      <c r="C124" s="213">
        <v>0</v>
      </c>
      <c r="D124" s="534">
        <v>0</v>
      </c>
      <c r="E124" s="213">
        <f t="shared" si="23"/>
        <v>0</v>
      </c>
      <c r="F124" s="213">
        <v>0</v>
      </c>
      <c r="G124" s="213"/>
      <c r="H124" s="534">
        <f t="shared" si="24"/>
        <v>0</v>
      </c>
      <c r="I124" s="280"/>
    </row>
    <row r="125" spans="1:10" s="26" customFormat="1" ht="21" customHeight="1" x14ac:dyDescent="0.2">
      <c r="A125" s="211" t="s">
        <v>12195</v>
      </c>
      <c r="B125" s="533" t="s">
        <v>264</v>
      </c>
      <c r="C125" s="213">
        <v>0</v>
      </c>
      <c r="D125" s="534">
        <v>4111445.93</v>
      </c>
      <c r="E125" s="213">
        <f t="shared" si="23"/>
        <v>4111445.93</v>
      </c>
      <c r="F125" s="213">
        <v>4057862.49</v>
      </c>
      <c r="G125" s="213">
        <v>3999428.1</v>
      </c>
      <c r="H125" s="534">
        <f t="shared" si="24"/>
        <v>53583.439999999944</v>
      </c>
      <c r="I125" s="280"/>
    </row>
    <row r="126" spans="1:10" s="26" customFormat="1" ht="21" customHeight="1" x14ac:dyDescent="0.2">
      <c r="A126" s="214" t="s">
        <v>12196</v>
      </c>
      <c r="B126" s="215" t="s">
        <v>139</v>
      </c>
      <c r="C126" s="216">
        <f>SUM(C127:C134)+C144</f>
        <v>82521614.739999995</v>
      </c>
      <c r="D126" s="532">
        <f t="shared" ref="D126:H126" si="25">SUM(D127:D134)+D144</f>
        <v>117271953.59999999</v>
      </c>
      <c r="E126" s="210">
        <f t="shared" si="25"/>
        <v>199793568.34</v>
      </c>
      <c r="F126" s="210">
        <f t="shared" si="25"/>
        <v>199749221.51000002</v>
      </c>
      <c r="G126" s="210">
        <f t="shared" si="25"/>
        <v>184184573.48000002</v>
      </c>
      <c r="H126" s="535">
        <f t="shared" si="25"/>
        <v>44346.830000001937</v>
      </c>
      <c r="I126" s="280"/>
    </row>
    <row r="127" spans="1:10" s="26" customFormat="1" ht="21" customHeight="1" x14ac:dyDescent="0.2">
      <c r="A127" s="211" t="s">
        <v>12197</v>
      </c>
      <c r="B127" s="533" t="s">
        <v>265</v>
      </c>
      <c r="C127" s="213">
        <v>59397386.399999999</v>
      </c>
      <c r="D127" s="534">
        <v>25391640.059999999</v>
      </c>
      <c r="E127" s="213">
        <f t="shared" ref="E127:E144" si="26">C127+D127</f>
        <v>84789026.459999993</v>
      </c>
      <c r="F127" s="213">
        <f>67123673.46+17665353</f>
        <v>84789026.459999993</v>
      </c>
      <c r="G127" s="213">
        <f>67123673.46+17665353</f>
        <v>84789026.459999993</v>
      </c>
      <c r="H127" s="534">
        <f t="shared" ref="H127:H144" si="27">E127-F127</f>
        <v>0</v>
      </c>
      <c r="I127" s="280"/>
    </row>
    <row r="128" spans="1:10" s="26" customFormat="1" ht="21" customHeight="1" x14ac:dyDescent="0.2">
      <c r="A128" s="211" t="s">
        <v>12198</v>
      </c>
      <c r="B128" s="533" t="s">
        <v>266</v>
      </c>
      <c r="C128" s="213">
        <v>0</v>
      </c>
      <c r="D128" s="534">
        <v>14969566.24</v>
      </c>
      <c r="E128" s="213">
        <f t="shared" si="26"/>
        <v>14969566.24</v>
      </c>
      <c r="F128" s="213">
        <v>14969566.23</v>
      </c>
      <c r="G128" s="213">
        <v>12948578.119999999</v>
      </c>
      <c r="H128" s="534">
        <f t="shared" si="27"/>
        <v>9.9999997764825821E-3</v>
      </c>
      <c r="I128" s="280"/>
    </row>
    <row r="129" spans="1:9" s="26" customFormat="1" ht="21" customHeight="1" x14ac:dyDescent="0.2">
      <c r="A129" s="211" t="s">
        <v>12199</v>
      </c>
      <c r="B129" s="533" t="s">
        <v>267</v>
      </c>
      <c r="C129" s="213">
        <v>0</v>
      </c>
      <c r="D129" s="534">
        <v>12260347.369999999</v>
      </c>
      <c r="E129" s="213">
        <f t="shared" si="26"/>
        <v>12260347.369999999</v>
      </c>
      <c r="F129" s="213">
        <v>12260347.359999999</v>
      </c>
      <c r="G129" s="213">
        <v>10628380.57</v>
      </c>
      <c r="H129" s="534">
        <f t="shared" si="27"/>
        <v>9.9999997764825821E-3</v>
      </c>
      <c r="I129" s="280"/>
    </row>
    <row r="130" spans="1:9" s="26" customFormat="1" ht="21" customHeight="1" x14ac:dyDescent="0.2">
      <c r="A130" s="211" t="s">
        <v>12200</v>
      </c>
      <c r="B130" s="533" t="s">
        <v>268</v>
      </c>
      <c r="C130" s="213">
        <v>1190176.1000000001</v>
      </c>
      <c r="D130" s="534">
        <v>2715656.23</v>
      </c>
      <c r="E130" s="213">
        <f t="shared" si="26"/>
        <v>3905832.33</v>
      </c>
      <c r="F130" s="213">
        <v>3905832.33</v>
      </c>
      <c r="G130" s="213">
        <v>3184699.53</v>
      </c>
      <c r="H130" s="534">
        <f t="shared" si="27"/>
        <v>0</v>
      </c>
      <c r="I130" s="280"/>
    </row>
    <row r="131" spans="1:9" s="26" customFormat="1" ht="21" customHeight="1" x14ac:dyDescent="0.2">
      <c r="A131" s="211" t="s">
        <v>12201</v>
      </c>
      <c r="B131" s="533" t="s">
        <v>269</v>
      </c>
      <c r="C131" s="213">
        <v>0</v>
      </c>
      <c r="D131" s="534">
        <v>34709717.280000001</v>
      </c>
      <c r="E131" s="213">
        <f t="shared" si="26"/>
        <v>34709717.280000001</v>
      </c>
      <c r="F131" s="213">
        <v>34709717.280000001</v>
      </c>
      <c r="G131" s="213">
        <v>28447439.440000001</v>
      </c>
      <c r="H131" s="534">
        <f t="shared" si="27"/>
        <v>0</v>
      </c>
      <c r="I131" s="280"/>
    </row>
    <row r="132" spans="1:9" s="26" customFormat="1" ht="21" customHeight="1" x14ac:dyDescent="0.2">
      <c r="A132" s="211" t="s">
        <v>12202</v>
      </c>
      <c r="B132" s="533" t="s">
        <v>270</v>
      </c>
      <c r="C132" s="213">
        <v>20000000</v>
      </c>
      <c r="D132" s="534">
        <v>5103370.3099999996</v>
      </c>
      <c r="E132" s="213">
        <f t="shared" si="26"/>
        <v>25103370.309999999</v>
      </c>
      <c r="F132" s="213">
        <v>25103370.309999999</v>
      </c>
      <c r="G132" s="213">
        <v>25097570.309999999</v>
      </c>
      <c r="H132" s="534">
        <f t="shared" si="27"/>
        <v>0</v>
      </c>
      <c r="I132" s="280"/>
    </row>
    <row r="133" spans="1:9" s="26" customFormat="1" ht="21" customHeight="1" x14ac:dyDescent="0.2">
      <c r="A133" s="211" t="s">
        <v>12203</v>
      </c>
      <c r="B133" s="533" t="s">
        <v>271</v>
      </c>
      <c r="C133" s="213">
        <v>440394.92</v>
      </c>
      <c r="D133" s="534">
        <v>138438.48000000001</v>
      </c>
      <c r="E133" s="213">
        <f t="shared" si="26"/>
        <v>578833.4</v>
      </c>
      <c r="F133" s="213">
        <v>578833.4</v>
      </c>
      <c r="G133" s="213">
        <v>566931.4</v>
      </c>
      <c r="H133" s="534">
        <f t="shared" si="27"/>
        <v>0</v>
      </c>
      <c r="I133" s="280"/>
    </row>
    <row r="134" spans="1:9" s="26" customFormat="1" ht="21" customHeight="1" x14ac:dyDescent="0.2">
      <c r="A134" s="211" t="s">
        <v>12204</v>
      </c>
      <c r="B134" s="533" t="s">
        <v>272</v>
      </c>
      <c r="C134" s="213">
        <v>6264</v>
      </c>
      <c r="D134" s="534">
        <v>11003472.91</v>
      </c>
      <c r="E134" s="213">
        <f t="shared" si="26"/>
        <v>11009736.91</v>
      </c>
      <c r="F134" s="213">
        <v>11002839.859999999</v>
      </c>
      <c r="G134" s="213">
        <v>6104353.3799999999</v>
      </c>
      <c r="H134" s="534">
        <f t="shared" si="27"/>
        <v>6897.0500000007451</v>
      </c>
      <c r="I134" s="280"/>
    </row>
    <row r="135" spans="1:9" ht="10.5" customHeight="1" x14ac:dyDescent="0.2">
      <c r="H135" s="531"/>
      <c r="I135" s="615"/>
    </row>
    <row r="136" spans="1:9" ht="15.75" customHeight="1" x14ac:dyDescent="0.25">
      <c r="A136" s="1184" t="s">
        <v>732</v>
      </c>
      <c r="B136" s="1184"/>
      <c r="C136" s="1184"/>
      <c r="D136" s="1184"/>
      <c r="E136" s="1184"/>
      <c r="F136" s="1184"/>
      <c r="G136" s="1184"/>
      <c r="H136" s="1184"/>
      <c r="I136" s="1185"/>
    </row>
    <row r="137" spans="1:9" ht="15.75" customHeight="1" x14ac:dyDescent="0.25">
      <c r="A137" s="1186" t="s">
        <v>10647</v>
      </c>
      <c r="B137" s="1186"/>
      <c r="C137" s="1186"/>
      <c r="D137" s="1186"/>
      <c r="E137" s="1186"/>
      <c r="F137" s="1186"/>
      <c r="G137" s="1186"/>
      <c r="H137" s="1186"/>
      <c r="I137" s="1185"/>
    </row>
    <row r="138" spans="1:9" ht="15.75" customHeight="1" x14ac:dyDescent="0.25">
      <c r="A138" s="1186" t="s">
        <v>10646</v>
      </c>
      <c r="B138" s="1186"/>
      <c r="C138" s="1186"/>
      <c r="D138" s="1186"/>
      <c r="E138" s="1186"/>
      <c r="F138" s="1186"/>
      <c r="G138" s="1186"/>
      <c r="H138" s="1186"/>
      <c r="I138" s="1185"/>
    </row>
    <row r="139" spans="1:9" ht="15.75" customHeight="1" x14ac:dyDescent="0.25">
      <c r="A139" s="1186" t="s">
        <v>8660</v>
      </c>
      <c r="B139" s="1186"/>
      <c r="C139" s="1186"/>
      <c r="D139" s="1186"/>
      <c r="E139" s="1186"/>
      <c r="F139" s="1186"/>
      <c r="G139" s="1186"/>
      <c r="H139" s="1186"/>
      <c r="I139" s="1185"/>
    </row>
    <row r="140" spans="1:9" ht="6.75" customHeight="1" thickBot="1" x14ac:dyDescent="0.25">
      <c r="A140" s="20"/>
      <c r="G140" s="23"/>
      <c r="H140" s="531"/>
      <c r="I140" s="295"/>
    </row>
    <row r="141" spans="1:9" s="24" customFormat="1" x14ac:dyDescent="0.2">
      <c r="A141" s="1187" t="s">
        <v>201</v>
      </c>
      <c r="B141" s="1188"/>
      <c r="C141" s="1193" t="s">
        <v>241</v>
      </c>
      <c r="D141" s="1194"/>
      <c r="E141" s="1194"/>
      <c r="F141" s="1194"/>
      <c r="G141" s="1195"/>
      <c r="H141" s="1196" t="s">
        <v>242</v>
      </c>
      <c r="I141" s="291"/>
    </row>
    <row r="142" spans="1:9" ht="26.25" thickBot="1" x14ac:dyDescent="0.25">
      <c r="A142" s="1189"/>
      <c r="B142" s="1190"/>
      <c r="C142" s="1099" t="s">
        <v>243</v>
      </c>
      <c r="D142" s="1099" t="s">
        <v>244</v>
      </c>
      <c r="E142" s="1099" t="s">
        <v>245</v>
      </c>
      <c r="F142" s="1099" t="s">
        <v>220</v>
      </c>
      <c r="G142" s="1099" t="s">
        <v>246</v>
      </c>
      <c r="H142" s="1197"/>
      <c r="I142" s="280"/>
    </row>
    <row r="143" spans="1:9" ht="15" customHeight="1" thickBot="1" x14ac:dyDescent="0.25">
      <c r="A143" s="1191"/>
      <c r="B143" s="1192"/>
      <c r="C143" s="25">
        <v>1</v>
      </c>
      <c r="D143" s="25">
        <v>2</v>
      </c>
      <c r="E143" s="25" t="s">
        <v>247</v>
      </c>
      <c r="F143" s="25">
        <v>4</v>
      </c>
      <c r="G143" s="25">
        <v>5</v>
      </c>
      <c r="H143" s="25" t="s">
        <v>248</v>
      </c>
      <c r="I143" s="280"/>
    </row>
    <row r="144" spans="1:9" s="26" customFormat="1" ht="21" customHeight="1" x14ac:dyDescent="0.2">
      <c r="A144" s="853" t="s">
        <v>12205</v>
      </c>
      <c r="B144" s="814" t="s">
        <v>273</v>
      </c>
      <c r="C144" s="534">
        <v>1487393.32</v>
      </c>
      <c r="D144" s="534">
        <v>10979744.720000001</v>
      </c>
      <c r="E144" s="534">
        <f t="shared" si="26"/>
        <v>12467138.040000001</v>
      </c>
      <c r="F144" s="534">
        <v>12429688.279999999</v>
      </c>
      <c r="G144" s="534">
        <v>12417594.27</v>
      </c>
      <c r="H144" s="534">
        <f t="shared" si="27"/>
        <v>37449.760000001639</v>
      </c>
      <c r="I144" s="280"/>
    </row>
    <row r="145" spans="1:9" s="26" customFormat="1" ht="21" customHeight="1" x14ac:dyDescent="0.2">
      <c r="A145" s="214" t="s">
        <v>12206</v>
      </c>
      <c r="B145" s="215" t="s">
        <v>140</v>
      </c>
      <c r="C145" s="216">
        <f t="shared" ref="C145:H145" si="28">SUM(C146:C154)</f>
        <v>94941622.640000001</v>
      </c>
      <c r="D145" s="532">
        <f t="shared" si="28"/>
        <v>41433304.18</v>
      </c>
      <c r="E145" s="210">
        <f t="shared" si="28"/>
        <v>136374926.81999999</v>
      </c>
      <c r="F145" s="210">
        <f t="shared" si="28"/>
        <v>135684394.80000001</v>
      </c>
      <c r="G145" s="210">
        <f t="shared" si="28"/>
        <v>135479954.81</v>
      </c>
      <c r="H145" s="535">
        <f t="shared" si="28"/>
        <v>690532.01999999816</v>
      </c>
      <c r="I145" s="295"/>
    </row>
    <row r="146" spans="1:9" s="26" customFormat="1" ht="21" customHeight="1" x14ac:dyDescent="0.2">
      <c r="A146" s="211" t="s">
        <v>12207</v>
      </c>
      <c r="B146" s="533" t="s">
        <v>142</v>
      </c>
      <c r="C146" s="217">
        <v>46965865.840000004</v>
      </c>
      <c r="D146" s="534">
        <v>786802.21</v>
      </c>
      <c r="E146" s="213">
        <f t="shared" ref="E146:E154" si="29">C146+D146</f>
        <v>47752668.050000004</v>
      </c>
      <c r="F146" s="213">
        <v>47752668.049999997</v>
      </c>
      <c r="G146" s="213">
        <v>47752668.049999997</v>
      </c>
      <c r="H146" s="534">
        <f t="shared" ref="H146:H151" si="30">E146-F146</f>
        <v>0</v>
      </c>
      <c r="I146" s="291"/>
    </row>
    <row r="147" spans="1:9" s="26" customFormat="1" ht="21" customHeight="1" x14ac:dyDescent="0.2">
      <c r="A147" s="211" t="s">
        <v>12208</v>
      </c>
      <c r="B147" s="533" t="s">
        <v>144</v>
      </c>
      <c r="C147" s="217">
        <v>8365188.2199999997</v>
      </c>
      <c r="D147" s="534">
        <v>28228046.420000002</v>
      </c>
      <c r="E147" s="213">
        <f t="shared" si="29"/>
        <v>36593234.640000001</v>
      </c>
      <c r="F147" s="213">
        <v>35942981.310000002</v>
      </c>
      <c r="G147" s="213">
        <v>35942981.310000002</v>
      </c>
      <c r="H147" s="534">
        <f t="shared" si="30"/>
        <v>650253.32999999821</v>
      </c>
      <c r="I147" s="291"/>
    </row>
    <row r="148" spans="1:9" s="26" customFormat="1" ht="12.75" hidden="1" customHeight="1" x14ac:dyDescent="0.2">
      <c r="A148" s="211">
        <v>4300</v>
      </c>
      <c r="B148" s="533" t="s">
        <v>145</v>
      </c>
      <c r="C148" s="217">
        <v>0</v>
      </c>
      <c r="D148" s="534">
        <v>0</v>
      </c>
      <c r="E148" s="213">
        <f t="shared" si="29"/>
        <v>0</v>
      </c>
      <c r="F148" s="213">
        <v>0</v>
      </c>
      <c r="G148" s="213"/>
      <c r="H148" s="534">
        <f t="shared" si="30"/>
        <v>0</v>
      </c>
      <c r="I148" s="291"/>
    </row>
    <row r="149" spans="1:9" s="26" customFormat="1" ht="21" customHeight="1" x14ac:dyDescent="0.2">
      <c r="A149" s="211" t="s">
        <v>12209</v>
      </c>
      <c r="B149" s="533" t="s">
        <v>274</v>
      </c>
      <c r="C149" s="217">
        <v>56519.97</v>
      </c>
      <c r="D149" s="534">
        <v>3318283.76</v>
      </c>
      <c r="E149" s="213">
        <f t="shared" si="29"/>
        <v>3374803.73</v>
      </c>
      <c r="F149" s="213">
        <v>3334525.04</v>
      </c>
      <c r="G149" s="213">
        <v>3130085.05</v>
      </c>
      <c r="H149" s="534">
        <f t="shared" si="30"/>
        <v>40278.689999999944</v>
      </c>
      <c r="I149" s="291"/>
    </row>
    <row r="150" spans="1:9" s="26" customFormat="1" ht="21" customHeight="1" x14ac:dyDescent="0.2">
      <c r="A150" s="211" t="s">
        <v>12210</v>
      </c>
      <c r="B150" s="533" t="s">
        <v>149</v>
      </c>
      <c r="C150" s="217">
        <v>39554048.609999999</v>
      </c>
      <c r="D150" s="534">
        <v>9100171.7899999991</v>
      </c>
      <c r="E150" s="213">
        <f t="shared" si="29"/>
        <v>48654220.399999999</v>
      </c>
      <c r="F150" s="213">
        <v>48654220.399999999</v>
      </c>
      <c r="G150" s="213">
        <v>48654220.399999999</v>
      </c>
      <c r="H150" s="534">
        <f t="shared" si="30"/>
        <v>0</v>
      </c>
      <c r="I150" s="291"/>
    </row>
    <row r="151" spans="1:9" s="26" customFormat="1" ht="21" hidden="1" customHeight="1" x14ac:dyDescent="0.2">
      <c r="A151" s="211">
        <v>4600</v>
      </c>
      <c r="B151" s="212" t="s">
        <v>275</v>
      </c>
      <c r="C151" s="217">
        <v>0</v>
      </c>
      <c r="D151" s="534">
        <v>0</v>
      </c>
      <c r="E151" s="213">
        <f t="shared" si="29"/>
        <v>0</v>
      </c>
      <c r="F151" s="213">
        <v>0</v>
      </c>
      <c r="G151" s="213">
        <v>0</v>
      </c>
      <c r="H151" s="534">
        <f t="shared" si="30"/>
        <v>0</v>
      </c>
      <c r="I151" s="280"/>
    </row>
    <row r="152" spans="1:9" s="26" customFormat="1" ht="21" hidden="1" customHeight="1" x14ac:dyDescent="0.2">
      <c r="A152" s="211">
        <v>4700</v>
      </c>
      <c r="B152" s="212" t="s">
        <v>153</v>
      </c>
      <c r="C152" s="217">
        <v>0</v>
      </c>
      <c r="D152" s="534">
        <v>0</v>
      </c>
      <c r="E152" s="213">
        <f t="shared" si="29"/>
        <v>0</v>
      </c>
      <c r="F152" s="213">
        <v>0</v>
      </c>
      <c r="G152" s="213">
        <v>0</v>
      </c>
      <c r="H152" s="759">
        <v>0</v>
      </c>
      <c r="I152" s="280"/>
    </row>
    <row r="153" spans="1:9" s="26" customFormat="1" ht="21" hidden="1" customHeight="1" x14ac:dyDescent="0.2">
      <c r="A153" s="211">
        <v>4800</v>
      </c>
      <c r="B153" s="212" t="s">
        <v>155</v>
      </c>
      <c r="C153" s="217">
        <v>0</v>
      </c>
      <c r="D153" s="534">
        <v>0</v>
      </c>
      <c r="E153" s="213">
        <f t="shared" si="29"/>
        <v>0</v>
      </c>
      <c r="F153" s="213">
        <v>0</v>
      </c>
      <c r="G153" s="213">
        <v>0</v>
      </c>
      <c r="H153" s="759">
        <v>0</v>
      </c>
      <c r="I153" s="295"/>
    </row>
    <row r="154" spans="1:9" s="26" customFormat="1" ht="21" hidden="1" customHeight="1" x14ac:dyDescent="0.2">
      <c r="A154" s="211">
        <v>4900</v>
      </c>
      <c r="B154" s="212" t="s">
        <v>276</v>
      </c>
      <c r="C154" s="217">
        <v>0</v>
      </c>
      <c r="D154" s="534">
        <v>0</v>
      </c>
      <c r="E154" s="213">
        <f t="shared" si="29"/>
        <v>0</v>
      </c>
      <c r="F154" s="213">
        <v>0</v>
      </c>
      <c r="G154" s="213">
        <v>0</v>
      </c>
      <c r="H154" s="759">
        <v>0</v>
      </c>
      <c r="I154" s="295"/>
    </row>
    <row r="155" spans="1:9" s="26" customFormat="1" ht="21" customHeight="1" x14ac:dyDescent="0.2">
      <c r="A155" s="214" t="s">
        <v>12211</v>
      </c>
      <c r="B155" s="215" t="s">
        <v>277</v>
      </c>
      <c r="C155" s="216">
        <f t="shared" ref="C155:H155" si="31">SUM(C156:C164)</f>
        <v>0</v>
      </c>
      <c r="D155" s="532">
        <f t="shared" si="31"/>
        <v>538531.28</v>
      </c>
      <c r="E155" s="210">
        <f t="shared" si="31"/>
        <v>538531.28</v>
      </c>
      <c r="F155" s="210">
        <f t="shared" si="31"/>
        <v>528874.28</v>
      </c>
      <c r="G155" s="210">
        <f t="shared" si="31"/>
        <v>512549.6</v>
      </c>
      <c r="H155" s="535">
        <f t="shared" si="31"/>
        <v>9657</v>
      </c>
      <c r="I155" s="295"/>
    </row>
    <row r="156" spans="1:9" s="26" customFormat="1" ht="20.25" customHeight="1" x14ac:dyDescent="0.2">
      <c r="A156" s="211" t="s">
        <v>12212</v>
      </c>
      <c r="B156" s="533" t="s">
        <v>278</v>
      </c>
      <c r="C156" s="217">
        <v>0</v>
      </c>
      <c r="D156" s="534">
        <v>323024.39</v>
      </c>
      <c r="E156" s="213">
        <f t="shared" ref="E156:E164" si="32">C156+D156</f>
        <v>323024.39</v>
      </c>
      <c r="F156" s="213">
        <v>313367.39</v>
      </c>
      <c r="G156" s="213">
        <v>305348.31</v>
      </c>
      <c r="H156" s="534">
        <f t="shared" ref="H156:H164" si="33">E156-F156</f>
        <v>9657</v>
      </c>
      <c r="I156" s="291"/>
    </row>
    <row r="157" spans="1:9" s="26" customFormat="1" ht="20.25" customHeight="1" x14ac:dyDescent="0.2">
      <c r="A157" s="211" t="s">
        <v>12213</v>
      </c>
      <c r="B157" s="533" t="s">
        <v>279</v>
      </c>
      <c r="C157" s="217">
        <v>0</v>
      </c>
      <c r="D157" s="534">
        <v>10704.85</v>
      </c>
      <c r="E157" s="213">
        <f t="shared" si="32"/>
        <v>10704.85</v>
      </c>
      <c r="F157" s="213">
        <v>10704.85</v>
      </c>
      <c r="G157" s="213">
        <v>2399.25</v>
      </c>
      <c r="H157" s="534">
        <f t="shared" si="33"/>
        <v>0</v>
      </c>
      <c r="I157" s="291"/>
    </row>
    <row r="158" spans="1:9" s="26" customFormat="1" ht="20.25" customHeight="1" x14ac:dyDescent="0.2">
      <c r="A158" s="211" t="s">
        <v>12214</v>
      </c>
      <c r="B158" s="533" t="s">
        <v>280</v>
      </c>
      <c r="C158" s="217">
        <v>0</v>
      </c>
      <c r="D158" s="534">
        <v>0</v>
      </c>
      <c r="E158" s="213">
        <f t="shared" si="32"/>
        <v>0</v>
      </c>
      <c r="F158" s="213">
        <v>0</v>
      </c>
      <c r="G158" s="213"/>
      <c r="H158" s="534">
        <f t="shared" si="33"/>
        <v>0</v>
      </c>
      <c r="I158" s="291"/>
    </row>
    <row r="159" spans="1:9" s="26" customFormat="1" ht="21" customHeight="1" x14ac:dyDescent="0.2">
      <c r="A159" s="211" t="s">
        <v>12215</v>
      </c>
      <c r="B159" s="533" t="s">
        <v>281</v>
      </c>
      <c r="C159" s="217">
        <v>0</v>
      </c>
      <c r="D159" s="534">
        <v>25500</v>
      </c>
      <c r="E159" s="213">
        <f t="shared" si="32"/>
        <v>25500</v>
      </c>
      <c r="F159" s="213">
        <v>25500</v>
      </c>
      <c r="G159" s="213">
        <v>25500</v>
      </c>
      <c r="H159" s="534">
        <f t="shared" si="33"/>
        <v>0</v>
      </c>
      <c r="I159" s="291"/>
    </row>
    <row r="160" spans="1:9" s="26" customFormat="1" ht="12.75" hidden="1" customHeight="1" x14ac:dyDescent="0.2">
      <c r="A160" s="211">
        <v>5500</v>
      </c>
      <c r="B160" s="533" t="s">
        <v>282</v>
      </c>
      <c r="C160" s="217">
        <v>0</v>
      </c>
      <c r="D160" s="534">
        <v>0</v>
      </c>
      <c r="E160" s="213">
        <f t="shared" si="32"/>
        <v>0</v>
      </c>
      <c r="F160" s="213">
        <v>0</v>
      </c>
      <c r="G160" s="213"/>
      <c r="H160" s="213">
        <f t="shared" si="33"/>
        <v>0</v>
      </c>
      <c r="I160" s="291"/>
    </row>
    <row r="161" spans="1:9" s="26" customFormat="1" ht="21" customHeight="1" x14ac:dyDescent="0.2">
      <c r="A161" s="853" t="s">
        <v>12216</v>
      </c>
      <c r="B161" s="814" t="s">
        <v>283</v>
      </c>
      <c r="C161" s="759">
        <v>0</v>
      </c>
      <c r="D161" s="534">
        <v>179302.04</v>
      </c>
      <c r="E161" s="534">
        <f t="shared" si="32"/>
        <v>179302.04</v>
      </c>
      <c r="F161" s="534">
        <v>179302.04</v>
      </c>
      <c r="G161" s="534">
        <v>179302.04</v>
      </c>
      <c r="H161" s="534">
        <f t="shared" si="33"/>
        <v>0</v>
      </c>
      <c r="I161" s="291"/>
    </row>
    <row r="162" spans="1:9" s="26" customFormat="1" ht="12.75" hidden="1" customHeight="1" x14ac:dyDescent="0.2">
      <c r="A162" s="211">
        <v>5700</v>
      </c>
      <c r="B162" s="533" t="s">
        <v>284</v>
      </c>
      <c r="C162" s="217">
        <v>0</v>
      </c>
      <c r="D162" s="534">
        <v>0</v>
      </c>
      <c r="E162" s="213">
        <f t="shared" si="32"/>
        <v>0</v>
      </c>
      <c r="F162" s="213">
        <v>0</v>
      </c>
      <c r="G162" s="213"/>
      <c r="H162" s="213">
        <f t="shared" si="33"/>
        <v>0</v>
      </c>
      <c r="I162" s="291"/>
    </row>
    <row r="163" spans="1:9" s="26" customFormat="1" ht="12.75" hidden="1" customHeight="1" x14ac:dyDescent="0.2">
      <c r="A163" s="211">
        <v>5800</v>
      </c>
      <c r="B163" s="533" t="s">
        <v>285</v>
      </c>
      <c r="C163" s="217">
        <v>0</v>
      </c>
      <c r="D163" s="534">
        <v>0</v>
      </c>
      <c r="E163" s="213">
        <f t="shared" si="32"/>
        <v>0</v>
      </c>
      <c r="F163" s="213">
        <v>0</v>
      </c>
      <c r="G163" s="213"/>
      <c r="H163" s="213">
        <f t="shared" si="33"/>
        <v>0</v>
      </c>
      <c r="I163" s="291"/>
    </row>
    <row r="164" spans="1:9" s="26" customFormat="1" ht="21" customHeight="1" x14ac:dyDescent="0.2">
      <c r="A164" s="211" t="s">
        <v>12217</v>
      </c>
      <c r="B164" s="533" t="s">
        <v>49</v>
      </c>
      <c r="C164" s="217">
        <v>0</v>
      </c>
      <c r="D164" s="534">
        <v>0</v>
      </c>
      <c r="E164" s="213">
        <f t="shared" si="32"/>
        <v>0</v>
      </c>
      <c r="F164" s="213">
        <v>0</v>
      </c>
      <c r="G164" s="213"/>
      <c r="H164" s="213">
        <f t="shared" si="33"/>
        <v>0</v>
      </c>
      <c r="I164" s="291"/>
    </row>
    <row r="165" spans="1:9" s="26" customFormat="1" ht="21" customHeight="1" x14ac:dyDescent="0.2">
      <c r="A165" s="214" t="s">
        <v>12218</v>
      </c>
      <c r="B165" s="215" t="s">
        <v>183</v>
      </c>
      <c r="C165" s="216">
        <f t="shared" ref="C165:H165" si="34">SUM(C166:C168)</f>
        <v>62559324.229999997</v>
      </c>
      <c r="D165" s="535">
        <f t="shared" si="34"/>
        <v>297430613.06999999</v>
      </c>
      <c r="E165" s="216">
        <f t="shared" si="34"/>
        <v>359989937.30000001</v>
      </c>
      <c r="F165" s="210">
        <f t="shared" si="34"/>
        <v>320347883.27000004</v>
      </c>
      <c r="G165" s="210">
        <f t="shared" si="34"/>
        <v>309571341.31999999</v>
      </c>
      <c r="H165" s="216">
        <f t="shared" si="34"/>
        <v>39642054.029999971</v>
      </c>
      <c r="I165" s="295"/>
    </row>
    <row r="166" spans="1:9" s="26" customFormat="1" ht="21" customHeight="1" x14ac:dyDescent="0.2">
      <c r="A166" s="211" t="s">
        <v>12219</v>
      </c>
      <c r="B166" s="533" t="s">
        <v>286</v>
      </c>
      <c r="C166" s="217">
        <v>60055769.229999997</v>
      </c>
      <c r="D166" s="534">
        <v>298168165.52999997</v>
      </c>
      <c r="E166" s="213">
        <f t="shared" ref="E166:E168" si="35">C166+D166</f>
        <v>358223934.75999999</v>
      </c>
      <c r="F166" s="213">
        <f>317561370.73+1020500+10</f>
        <v>318581880.73000002</v>
      </c>
      <c r="G166" s="213">
        <v>307805338.77999997</v>
      </c>
      <c r="H166" s="534">
        <f t="shared" ref="H166:H176" si="36">E166-F166</f>
        <v>39642054.029999971</v>
      </c>
      <c r="I166" s="291"/>
    </row>
    <row r="167" spans="1:9" s="26" customFormat="1" ht="21" hidden="1" customHeight="1" x14ac:dyDescent="0.2">
      <c r="A167" s="211">
        <v>6200</v>
      </c>
      <c r="B167" s="212" t="s">
        <v>287</v>
      </c>
      <c r="C167" s="217">
        <v>0</v>
      </c>
      <c r="D167" s="534">
        <v>0</v>
      </c>
      <c r="E167" s="213">
        <f t="shared" si="35"/>
        <v>0</v>
      </c>
      <c r="F167" s="213">
        <v>0</v>
      </c>
      <c r="G167" s="213">
        <v>0</v>
      </c>
      <c r="H167" s="213">
        <f t="shared" si="36"/>
        <v>0</v>
      </c>
      <c r="I167" s="300"/>
    </row>
    <row r="168" spans="1:9" s="26" customFormat="1" ht="21" customHeight="1" x14ac:dyDescent="0.2">
      <c r="A168" s="211" t="s">
        <v>12220</v>
      </c>
      <c r="B168" s="533" t="s">
        <v>288</v>
      </c>
      <c r="C168" s="217">
        <v>2503555</v>
      </c>
      <c r="D168" s="534">
        <v>-737552.46</v>
      </c>
      <c r="E168" s="213">
        <f t="shared" si="35"/>
        <v>1766002.54</v>
      </c>
      <c r="F168" s="213">
        <v>1766002.54</v>
      </c>
      <c r="G168" s="213">
        <v>1766002.54</v>
      </c>
      <c r="H168" s="534">
        <f t="shared" si="36"/>
        <v>0</v>
      </c>
      <c r="I168" s="291"/>
    </row>
    <row r="169" spans="1:9" s="26" customFormat="1" ht="21" customHeight="1" x14ac:dyDescent="0.2">
      <c r="A169" s="214" t="s">
        <v>12221</v>
      </c>
      <c r="B169" s="215" t="s">
        <v>289</v>
      </c>
      <c r="C169" s="216">
        <f>SUM(C170:C176)</f>
        <v>21995449.879999999</v>
      </c>
      <c r="D169" s="532">
        <f>SUM(D170:D176)</f>
        <v>-21995449.879999999</v>
      </c>
      <c r="E169" s="210">
        <f>SUM(E170:E176)</f>
        <v>0</v>
      </c>
      <c r="F169" s="210">
        <f>SUM(F170:F176)</f>
        <v>0</v>
      </c>
      <c r="G169" s="210">
        <f>SUM(G170:G176)</f>
        <v>0</v>
      </c>
      <c r="H169" s="213">
        <f t="shared" si="36"/>
        <v>0</v>
      </c>
      <c r="I169" s="300"/>
    </row>
    <row r="170" spans="1:9" s="26" customFormat="1" ht="21" hidden="1" customHeight="1" x14ac:dyDescent="0.2">
      <c r="A170" s="211">
        <v>7100</v>
      </c>
      <c r="B170" s="212" t="s">
        <v>290</v>
      </c>
      <c r="C170" s="217">
        <v>0</v>
      </c>
      <c r="D170" s="534">
        <v>0</v>
      </c>
      <c r="E170" s="213">
        <f t="shared" ref="E170:E176" si="37">C170+D170</f>
        <v>0</v>
      </c>
      <c r="F170" s="213">
        <v>0</v>
      </c>
      <c r="G170" s="213">
        <v>0</v>
      </c>
      <c r="H170" s="213">
        <f t="shared" si="36"/>
        <v>0</v>
      </c>
      <c r="I170" s="300"/>
    </row>
    <row r="171" spans="1:9" s="26" customFormat="1" ht="21" hidden="1" customHeight="1" x14ac:dyDescent="0.2">
      <c r="A171" s="211">
        <v>7200</v>
      </c>
      <c r="B171" s="212" t="s">
        <v>291</v>
      </c>
      <c r="C171" s="217">
        <v>0</v>
      </c>
      <c r="D171" s="534">
        <v>0</v>
      </c>
      <c r="E171" s="213">
        <f t="shared" si="37"/>
        <v>0</v>
      </c>
      <c r="F171" s="213">
        <v>0</v>
      </c>
      <c r="G171" s="213">
        <v>0</v>
      </c>
      <c r="H171" s="213">
        <f t="shared" si="36"/>
        <v>0</v>
      </c>
      <c r="I171" s="287"/>
    </row>
    <row r="172" spans="1:9" s="26" customFormat="1" ht="21" hidden="1" customHeight="1" x14ac:dyDescent="0.2">
      <c r="A172" s="211">
        <v>7300</v>
      </c>
      <c r="B172" s="212" t="s">
        <v>292</v>
      </c>
      <c r="C172" s="217">
        <v>0</v>
      </c>
      <c r="D172" s="534">
        <v>0</v>
      </c>
      <c r="E172" s="213">
        <f t="shared" si="37"/>
        <v>0</v>
      </c>
      <c r="F172" s="213">
        <v>0</v>
      </c>
      <c r="G172" s="213">
        <v>0</v>
      </c>
      <c r="H172" s="213">
        <f t="shared" si="36"/>
        <v>0</v>
      </c>
      <c r="I172" s="287"/>
    </row>
    <row r="173" spans="1:9" s="26" customFormat="1" ht="21" hidden="1" customHeight="1" x14ac:dyDescent="0.2">
      <c r="A173" s="211">
        <v>7400</v>
      </c>
      <c r="B173" s="212" t="s">
        <v>293</v>
      </c>
      <c r="C173" s="217">
        <v>0</v>
      </c>
      <c r="D173" s="534">
        <v>0</v>
      </c>
      <c r="E173" s="213">
        <f t="shared" si="37"/>
        <v>0</v>
      </c>
      <c r="F173" s="213">
        <v>0</v>
      </c>
      <c r="G173" s="213">
        <v>0</v>
      </c>
      <c r="H173" s="213">
        <f t="shared" si="36"/>
        <v>0</v>
      </c>
      <c r="I173" s="287"/>
    </row>
    <row r="174" spans="1:9" s="26" customFormat="1" ht="21" hidden="1" customHeight="1" x14ac:dyDescent="0.2">
      <c r="A174" s="211">
        <v>7500</v>
      </c>
      <c r="B174" s="212" t="s">
        <v>294</v>
      </c>
      <c r="C174" s="217">
        <v>0</v>
      </c>
      <c r="D174" s="534">
        <v>0</v>
      </c>
      <c r="E174" s="213">
        <f t="shared" si="37"/>
        <v>0</v>
      </c>
      <c r="F174" s="213">
        <v>0</v>
      </c>
      <c r="G174" s="213">
        <v>0</v>
      </c>
      <c r="H174" s="213">
        <f t="shared" si="36"/>
        <v>0</v>
      </c>
      <c r="I174" s="287"/>
    </row>
    <row r="175" spans="1:9" s="26" customFormat="1" ht="21" hidden="1" customHeight="1" x14ac:dyDescent="0.2">
      <c r="A175" s="211">
        <v>7600</v>
      </c>
      <c r="B175" s="212" t="s">
        <v>295</v>
      </c>
      <c r="C175" s="217">
        <v>0</v>
      </c>
      <c r="D175" s="534">
        <v>0</v>
      </c>
      <c r="E175" s="213">
        <f t="shared" si="37"/>
        <v>0</v>
      </c>
      <c r="F175" s="213">
        <v>0</v>
      </c>
      <c r="G175" s="213">
        <v>0</v>
      </c>
      <c r="H175" s="213">
        <f t="shared" si="36"/>
        <v>0</v>
      </c>
      <c r="I175" s="287"/>
    </row>
    <row r="176" spans="1:9" s="26" customFormat="1" ht="21" customHeight="1" x14ac:dyDescent="0.2">
      <c r="A176" s="211" t="s">
        <v>12222</v>
      </c>
      <c r="B176" s="533" t="s">
        <v>296</v>
      </c>
      <c r="C176" s="217">
        <v>21995449.879999999</v>
      </c>
      <c r="D176" s="534">
        <v>-21995449.879999999</v>
      </c>
      <c r="E176" s="213">
        <f t="shared" si="37"/>
        <v>0</v>
      </c>
      <c r="F176" s="213">
        <v>0</v>
      </c>
      <c r="G176" s="213">
        <v>0</v>
      </c>
      <c r="H176" s="534">
        <f t="shared" si="36"/>
        <v>0</v>
      </c>
      <c r="I176" s="291"/>
    </row>
    <row r="177" spans="1:9" s="26" customFormat="1" ht="21" hidden="1" customHeight="1" x14ac:dyDescent="0.2">
      <c r="A177" s="214">
        <v>8000</v>
      </c>
      <c r="B177" s="215" t="s">
        <v>121</v>
      </c>
      <c r="C177" s="216">
        <f t="shared" ref="C177:H177" si="38">SUM(C178:C180)</f>
        <v>0</v>
      </c>
      <c r="D177" s="532">
        <f t="shared" si="38"/>
        <v>0</v>
      </c>
      <c r="E177" s="210">
        <f t="shared" si="38"/>
        <v>0</v>
      </c>
      <c r="F177" s="210">
        <f t="shared" si="38"/>
        <v>0</v>
      </c>
      <c r="G177" s="210">
        <f t="shared" si="38"/>
        <v>0</v>
      </c>
      <c r="H177" s="216">
        <f t="shared" si="38"/>
        <v>0</v>
      </c>
      <c r="I177" s="280"/>
    </row>
    <row r="178" spans="1:9" s="26" customFormat="1" ht="21" hidden="1" customHeight="1" x14ac:dyDescent="0.2">
      <c r="A178" s="211">
        <v>8100</v>
      </c>
      <c r="B178" s="212" t="s">
        <v>198</v>
      </c>
      <c r="C178" s="217">
        <v>0</v>
      </c>
      <c r="D178" s="534">
        <v>0</v>
      </c>
      <c r="E178" s="213">
        <f t="shared" ref="E178:E180" si="39">C178+D178</f>
        <v>0</v>
      </c>
      <c r="F178" s="213">
        <v>0</v>
      </c>
      <c r="G178" s="213">
        <v>0</v>
      </c>
      <c r="H178" s="217">
        <v>0</v>
      </c>
      <c r="I178" s="280"/>
    </row>
    <row r="179" spans="1:9" s="26" customFormat="1" ht="21" hidden="1" customHeight="1" x14ac:dyDescent="0.2">
      <c r="A179" s="211">
        <v>8300</v>
      </c>
      <c r="B179" s="212" t="s">
        <v>59</v>
      </c>
      <c r="C179" s="217">
        <v>0</v>
      </c>
      <c r="D179" s="534">
        <v>0</v>
      </c>
      <c r="E179" s="213">
        <f t="shared" si="39"/>
        <v>0</v>
      </c>
      <c r="F179" s="213">
        <v>0</v>
      </c>
      <c r="G179" s="213">
        <v>0</v>
      </c>
      <c r="H179" s="217">
        <v>0</v>
      </c>
      <c r="I179" s="280"/>
    </row>
    <row r="180" spans="1:9" s="26" customFormat="1" ht="21" hidden="1" customHeight="1" x14ac:dyDescent="0.2">
      <c r="A180" s="211">
        <v>8500</v>
      </c>
      <c r="B180" s="212" t="s">
        <v>162</v>
      </c>
      <c r="C180" s="217">
        <v>0</v>
      </c>
      <c r="D180" s="534">
        <v>0</v>
      </c>
      <c r="E180" s="213">
        <f t="shared" si="39"/>
        <v>0</v>
      </c>
      <c r="F180" s="213">
        <v>0</v>
      </c>
      <c r="G180" s="213">
        <v>0</v>
      </c>
      <c r="H180" s="213">
        <f t="shared" ref="H180" si="40">E180-F180</f>
        <v>0</v>
      </c>
      <c r="I180" s="287"/>
    </row>
    <row r="181" spans="1:9" s="26" customFormat="1" ht="21" customHeight="1" x14ac:dyDescent="0.2">
      <c r="A181" s="214" t="s">
        <v>11749</v>
      </c>
      <c r="B181" s="215" t="s">
        <v>297</v>
      </c>
      <c r="C181" s="216">
        <f t="shared" ref="C181:H181" si="41">SUM(C182:C188)</f>
        <v>16716932.030000001</v>
      </c>
      <c r="D181" s="532">
        <f t="shared" si="41"/>
        <v>-121578.98999999999</v>
      </c>
      <c r="E181" s="210">
        <f t="shared" si="41"/>
        <v>16595353.039999999</v>
      </c>
      <c r="F181" s="210">
        <f t="shared" si="41"/>
        <v>16595353.039999999</v>
      </c>
      <c r="G181" s="210">
        <f t="shared" si="41"/>
        <v>16595353.039999999</v>
      </c>
      <c r="H181" s="216">
        <f t="shared" si="41"/>
        <v>0</v>
      </c>
      <c r="I181" s="287"/>
    </row>
    <row r="182" spans="1:9" s="26" customFormat="1" ht="21" customHeight="1" x14ac:dyDescent="0.2">
      <c r="A182" s="211" t="s">
        <v>12223</v>
      </c>
      <c r="B182" s="212" t="s">
        <v>298</v>
      </c>
      <c r="C182" s="217">
        <v>5000000.04</v>
      </c>
      <c r="D182" s="534">
        <v>0</v>
      </c>
      <c r="E182" s="213">
        <f t="shared" ref="E182:E188" si="42">C182+D182</f>
        <v>5000000.04</v>
      </c>
      <c r="F182" s="213">
        <v>5000000.04</v>
      </c>
      <c r="G182" s="213">
        <v>5000000.04</v>
      </c>
      <c r="H182" s="213">
        <f t="shared" ref="H182:H188" si="43">E182-F182</f>
        <v>0</v>
      </c>
      <c r="I182" s="287"/>
    </row>
    <row r="183" spans="1:9" s="26" customFormat="1" ht="21" customHeight="1" x14ac:dyDescent="0.2">
      <c r="A183" s="211" t="s">
        <v>12224</v>
      </c>
      <c r="B183" s="533" t="s">
        <v>164</v>
      </c>
      <c r="C183" s="217">
        <v>1625071.61</v>
      </c>
      <c r="D183" s="534">
        <v>-347527.55</v>
      </c>
      <c r="E183" s="213">
        <f t="shared" si="42"/>
        <v>1277544.06</v>
      </c>
      <c r="F183" s="213">
        <v>1277544.06</v>
      </c>
      <c r="G183" s="213">
        <v>1277544.06</v>
      </c>
      <c r="H183" s="213">
        <f t="shared" si="43"/>
        <v>0</v>
      </c>
      <c r="I183" s="280"/>
    </row>
    <row r="184" spans="1:9" s="26" customFormat="1" ht="12.75" hidden="1" customHeight="1" x14ac:dyDescent="0.2">
      <c r="A184" s="211">
        <v>9300</v>
      </c>
      <c r="B184" s="533" t="s">
        <v>166</v>
      </c>
      <c r="C184" s="217">
        <v>0</v>
      </c>
      <c r="D184" s="534">
        <v>0</v>
      </c>
      <c r="E184" s="213">
        <f t="shared" si="42"/>
        <v>0</v>
      </c>
      <c r="F184" s="213">
        <v>0</v>
      </c>
      <c r="G184" s="213"/>
      <c r="H184" s="213">
        <f t="shared" si="43"/>
        <v>0</v>
      </c>
      <c r="I184" s="287"/>
    </row>
    <row r="185" spans="1:9" s="26" customFormat="1" ht="21" customHeight="1" x14ac:dyDescent="0.2">
      <c r="A185" s="211" t="s">
        <v>12225</v>
      </c>
      <c r="B185" s="533" t="s">
        <v>168</v>
      </c>
      <c r="C185" s="217">
        <v>91860.38</v>
      </c>
      <c r="D185" s="534">
        <v>104303.9</v>
      </c>
      <c r="E185" s="213">
        <f t="shared" si="42"/>
        <v>196164.28</v>
      </c>
      <c r="F185" s="213">
        <v>196164.28</v>
      </c>
      <c r="G185" s="213">
        <v>196164.28</v>
      </c>
      <c r="H185" s="534">
        <f t="shared" si="43"/>
        <v>0</v>
      </c>
      <c r="I185" s="287"/>
    </row>
    <row r="186" spans="1:9" s="26" customFormat="1" ht="21" hidden="1" customHeight="1" x14ac:dyDescent="0.2">
      <c r="A186" s="211">
        <v>9500</v>
      </c>
      <c r="B186" s="533" t="s">
        <v>170</v>
      </c>
      <c r="C186" s="217">
        <v>0</v>
      </c>
      <c r="D186" s="534">
        <v>0</v>
      </c>
      <c r="E186" s="213">
        <f t="shared" si="42"/>
        <v>0</v>
      </c>
      <c r="F186" s="213">
        <v>0</v>
      </c>
      <c r="G186" s="213"/>
      <c r="H186" s="213">
        <f t="shared" si="43"/>
        <v>0</v>
      </c>
      <c r="I186" s="287"/>
    </row>
    <row r="187" spans="1:9" s="26" customFormat="1" ht="12.75" hidden="1" customHeight="1" x14ac:dyDescent="0.2">
      <c r="A187" s="211">
        <v>9600</v>
      </c>
      <c r="B187" s="533" t="s">
        <v>172</v>
      </c>
      <c r="C187" s="217">
        <v>0</v>
      </c>
      <c r="D187" s="534">
        <v>0</v>
      </c>
      <c r="E187" s="213">
        <f t="shared" si="42"/>
        <v>0</v>
      </c>
      <c r="F187" s="213">
        <v>0</v>
      </c>
      <c r="G187" s="213"/>
      <c r="H187" s="213">
        <f t="shared" si="43"/>
        <v>0</v>
      </c>
      <c r="I187" s="287"/>
    </row>
    <row r="188" spans="1:9" s="26" customFormat="1" ht="21" customHeight="1" x14ac:dyDescent="0.2">
      <c r="A188" s="211" t="s">
        <v>12226</v>
      </c>
      <c r="B188" s="533" t="s">
        <v>299</v>
      </c>
      <c r="C188" s="217">
        <v>10000000</v>
      </c>
      <c r="D188" s="534">
        <v>121644.66</v>
      </c>
      <c r="E188" s="213">
        <f t="shared" si="42"/>
        <v>10121644.66</v>
      </c>
      <c r="F188" s="213">
        <v>10121644.66</v>
      </c>
      <c r="G188" s="213">
        <v>10121644.66</v>
      </c>
      <c r="H188" s="534">
        <f t="shared" si="43"/>
        <v>0</v>
      </c>
      <c r="I188" s="287"/>
    </row>
    <row r="189" spans="1:9" s="26" customFormat="1" ht="17.25" customHeight="1" x14ac:dyDescent="0.2">
      <c r="A189" s="1183" t="s">
        <v>10641</v>
      </c>
      <c r="B189" s="1183"/>
      <c r="C189" s="216">
        <f>C10+C107</f>
        <v>845081314.99999988</v>
      </c>
      <c r="D189" s="535">
        <f t="shared" ref="D189:H189" si="44">D10+D107</f>
        <v>436197797.65999997</v>
      </c>
      <c r="E189" s="216">
        <f t="shared" si="44"/>
        <v>1281279112.6599998</v>
      </c>
      <c r="F189" s="535">
        <f t="shared" si="44"/>
        <v>1236028556.8</v>
      </c>
      <c r="G189" s="535">
        <f t="shared" si="44"/>
        <v>1198371966.3599999</v>
      </c>
      <c r="H189" s="216">
        <f t="shared" si="44"/>
        <v>45250555.859999985</v>
      </c>
      <c r="I189" s="287"/>
    </row>
    <row r="190" spans="1:9" ht="8.25" customHeight="1" x14ac:dyDescent="0.2">
      <c r="D190" s="855"/>
      <c r="I190" s="291"/>
    </row>
    <row r="191" spans="1:9" x14ac:dyDescent="0.2">
      <c r="I191" s="287"/>
    </row>
    <row r="192" spans="1:9" x14ac:dyDescent="0.2">
      <c r="I192" s="280"/>
    </row>
    <row r="193" spans="9:9" x14ac:dyDescent="0.2">
      <c r="I193" s="280"/>
    </row>
    <row r="194" spans="9:9" x14ac:dyDescent="0.2">
      <c r="I194" s="287"/>
    </row>
    <row r="195" spans="9:9" ht="14.25" customHeight="1" x14ac:dyDescent="0.2"/>
  </sheetData>
  <mergeCells count="35">
    <mergeCell ref="H104:H105"/>
    <mergeCell ref="A2:H2"/>
    <mergeCell ref="I2:I5"/>
    <mergeCell ref="A3:H3"/>
    <mergeCell ref="A4:H4"/>
    <mergeCell ref="A5:H5"/>
    <mergeCell ref="A7:B9"/>
    <mergeCell ref="C7:G7"/>
    <mergeCell ref="H7:H8"/>
    <mergeCell ref="A39:H39"/>
    <mergeCell ref="I39:I42"/>
    <mergeCell ref="A40:H40"/>
    <mergeCell ref="A41:H41"/>
    <mergeCell ref="A42:H42"/>
    <mergeCell ref="H44:H45"/>
    <mergeCell ref="A99:H99"/>
    <mergeCell ref="I99:I102"/>
    <mergeCell ref="A100:H100"/>
    <mergeCell ref="A101:H101"/>
    <mergeCell ref="A102:H102"/>
    <mergeCell ref="A10:B10"/>
    <mergeCell ref="A107:B107"/>
    <mergeCell ref="A189:B189"/>
    <mergeCell ref="A44:B46"/>
    <mergeCell ref="C44:G44"/>
    <mergeCell ref="A104:B106"/>
    <mergeCell ref="C104:G104"/>
    <mergeCell ref="A141:B143"/>
    <mergeCell ref="C141:G141"/>
    <mergeCell ref="H141:H142"/>
    <mergeCell ref="A136:H136"/>
    <mergeCell ref="I136:I139"/>
    <mergeCell ref="A137:H137"/>
    <mergeCell ref="A138:H138"/>
    <mergeCell ref="A139:H139"/>
  </mergeCells>
  <printOptions horizontalCentered="1"/>
  <pageMargins left="0.15748031496062992" right="0.15748031496062992" top="0.27559055118110237" bottom="0.51181102362204722" header="0.31496062992125984" footer="0.31496062992125984"/>
  <pageSetup scale="82" fitToHeight="0" orientation="landscape" r:id="rId1"/>
  <headerFooter>
    <oddFooter>&amp;C“Bajo protesta de decir verdad declaramos que los Estados Financieros y sus notas, son razonablemente correctos y son responsabilidad del emisor”</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80"/>
  <sheetViews>
    <sheetView view="pageBreakPreview" topLeftCell="A52" zoomScale="60" zoomScaleNormal="100" workbookViewId="0">
      <selection sqref="A1:H1"/>
    </sheetView>
  </sheetViews>
  <sheetFormatPr baseColWidth="10" defaultColWidth="11.42578125" defaultRowHeight="12.75" x14ac:dyDescent="0.2"/>
  <cols>
    <col min="1" max="1" width="8.140625" style="537" customWidth="1"/>
    <col min="2" max="2" width="66.28515625" style="537" bestFit="1" customWidth="1"/>
    <col min="3" max="3" width="15.5703125" style="538" bestFit="1" customWidth="1"/>
    <col min="4" max="4" width="16.28515625" style="538" bestFit="1" customWidth="1"/>
    <col min="5" max="7" width="15.5703125" style="538" bestFit="1" customWidth="1"/>
    <col min="8" max="8" width="13.7109375" style="538" bestFit="1" customWidth="1"/>
    <col min="9" max="9" width="3.5703125" style="307" bestFit="1" customWidth="1"/>
    <col min="10" max="10" width="11.42578125" style="540"/>
    <col min="11" max="11" width="12.42578125" style="540" bestFit="1" customWidth="1"/>
    <col min="12" max="16384" width="11.42578125" style="540"/>
  </cols>
  <sheetData>
    <row r="1" spans="1:9" ht="14.25" customHeight="1" x14ac:dyDescent="0.2">
      <c r="H1" s="539"/>
      <c r="I1" s="615"/>
    </row>
    <row r="2" spans="1:9" ht="15.75" customHeight="1" x14ac:dyDescent="0.25">
      <c r="A2" s="1198" t="s">
        <v>719</v>
      </c>
      <c r="B2" s="1198"/>
      <c r="C2" s="1198"/>
      <c r="D2" s="1198"/>
      <c r="E2" s="1198"/>
      <c r="F2" s="1198"/>
      <c r="G2" s="1198"/>
      <c r="H2" s="1198"/>
      <c r="I2" s="1185"/>
    </row>
    <row r="3" spans="1:9" ht="15.75" customHeight="1" x14ac:dyDescent="0.25">
      <c r="A3" s="1199" t="s">
        <v>10647</v>
      </c>
      <c r="B3" s="1199"/>
      <c r="C3" s="1199"/>
      <c r="D3" s="1199"/>
      <c r="E3" s="1199"/>
      <c r="F3" s="1199"/>
      <c r="G3" s="1199"/>
      <c r="H3" s="1199"/>
      <c r="I3" s="1185"/>
    </row>
    <row r="4" spans="1:9" ht="15.75" customHeight="1" x14ac:dyDescent="0.25">
      <c r="A4" s="1199" t="s">
        <v>308</v>
      </c>
      <c r="B4" s="1199"/>
      <c r="C4" s="1199"/>
      <c r="D4" s="1199"/>
      <c r="E4" s="1199"/>
      <c r="F4" s="1199"/>
      <c r="G4" s="1199"/>
      <c r="H4" s="1199"/>
      <c r="I4" s="1185"/>
    </row>
    <row r="5" spans="1:9" ht="15.75" customHeight="1" x14ac:dyDescent="0.25">
      <c r="A5" s="1199" t="s">
        <v>8659</v>
      </c>
      <c r="B5" s="1199"/>
      <c r="C5" s="1199"/>
      <c r="D5" s="1199"/>
      <c r="E5" s="1199"/>
      <c r="F5" s="1199"/>
      <c r="G5" s="1199"/>
      <c r="H5" s="1199"/>
      <c r="I5" s="1185"/>
    </row>
    <row r="6" spans="1:9" ht="13.5" thickBot="1" x14ac:dyDescent="0.25">
      <c r="A6" s="1432"/>
      <c r="B6" s="1432"/>
      <c r="C6" s="1432"/>
      <c r="D6" s="1432"/>
      <c r="E6" s="1432"/>
      <c r="F6" s="1432"/>
      <c r="G6" s="1432"/>
      <c r="H6" s="1432"/>
      <c r="I6" s="295"/>
    </row>
    <row r="7" spans="1:9" s="544" customFormat="1" x14ac:dyDescent="0.2">
      <c r="A7" s="1200" t="s">
        <v>201</v>
      </c>
      <c r="B7" s="1201"/>
      <c r="C7" s="1206" t="s">
        <v>241</v>
      </c>
      <c r="D7" s="1207"/>
      <c r="E7" s="1207"/>
      <c r="F7" s="1207"/>
      <c r="G7" s="1208"/>
      <c r="H7" s="1209" t="s">
        <v>242</v>
      </c>
      <c r="I7" s="291"/>
    </row>
    <row r="8" spans="1:9" ht="26.25" thickBot="1" x14ac:dyDescent="0.25">
      <c r="A8" s="1202"/>
      <c r="B8" s="1203"/>
      <c r="C8" s="934" t="s">
        <v>243</v>
      </c>
      <c r="D8" s="934" t="s">
        <v>244</v>
      </c>
      <c r="E8" s="934" t="s">
        <v>245</v>
      </c>
      <c r="F8" s="934" t="s">
        <v>220</v>
      </c>
      <c r="G8" s="934" t="s">
        <v>246</v>
      </c>
      <c r="H8" s="1210"/>
      <c r="I8" s="280"/>
    </row>
    <row r="9" spans="1:9" ht="15" customHeight="1" thickBot="1" x14ac:dyDescent="0.25">
      <c r="A9" s="1204"/>
      <c r="B9" s="1205"/>
      <c r="C9" s="545">
        <v>1</v>
      </c>
      <c r="D9" s="545">
        <v>2</v>
      </c>
      <c r="E9" s="545" t="s">
        <v>247</v>
      </c>
      <c r="F9" s="545">
        <v>4</v>
      </c>
      <c r="G9" s="545">
        <v>5</v>
      </c>
      <c r="H9" s="545" t="s">
        <v>248</v>
      </c>
      <c r="I9" s="280"/>
    </row>
    <row r="10" spans="1:9" s="547" customFormat="1" ht="11.25" customHeight="1" x14ac:dyDescent="0.2">
      <c r="A10" s="208"/>
      <c r="B10" s="209" t="s">
        <v>12228</v>
      </c>
      <c r="C10" s="546">
        <f>SUM(C11:C36)</f>
        <v>220630000.39999995</v>
      </c>
      <c r="D10" s="546">
        <f t="shared" ref="D10:H10" si="0">SUM(D11:D36)</f>
        <v>-102700674.62</v>
      </c>
      <c r="E10" s="546">
        <f t="shared" si="0"/>
        <v>117929325.77999997</v>
      </c>
      <c r="F10" s="546">
        <f t="shared" si="0"/>
        <v>113268328.76999997</v>
      </c>
      <c r="G10" s="546">
        <f t="shared" si="0"/>
        <v>112763941.65999997</v>
      </c>
      <c r="H10" s="546">
        <f t="shared" si="0"/>
        <v>4660997.0099999979</v>
      </c>
      <c r="I10" s="280"/>
    </row>
    <row r="11" spans="1:9" s="547" customFormat="1" ht="15" customHeight="1" x14ac:dyDescent="0.2">
      <c r="A11" s="551">
        <v>150000</v>
      </c>
      <c r="B11" s="619" t="s">
        <v>1201</v>
      </c>
      <c r="C11" s="534">
        <v>12319936.6</v>
      </c>
      <c r="D11" s="213">
        <v>3321911.39</v>
      </c>
      <c r="E11" s="213">
        <f t="shared" ref="E11:E36" si="1">C11+D11</f>
        <v>15641847.99</v>
      </c>
      <c r="F11" s="213">
        <v>15641847.98</v>
      </c>
      <c r="G11" s="213">
        <v>15641847.98</v>
      </c>
      <c r="H11" s="213">
        <f t="shared" ref="H11:H36" si="2">E11-F11</f>
        <v>9.9999997764825821E-3</v>
      </c>
      <c r="I11" s="280"/>
    </row>
    <row r="12" spans="1:9" s="547" customFormat="1" ht="15" customHeight="1" x14ac:dyDescent="0.2">
      <c r="A12" s="551">
        <v>170000</v>
      </c>
      <c r="B12" s="619" t="s">
        <v>8686</v>
      </c>
      <c r="C12" s="534">
        <v>1385318.07</v>
      </c>
      <c r="D12" s="213">
        <v>222727.61</v>
      </c>
      <c r="E12" s="213">
        <f t="shared" si="1"/>
        <v>1608045.6800000002</v>
      </c>
      <c r="F12" s="213">
        <v>1608045.68</v>
      </c>
      <c r="G12" s="213">
        <v>1608045.68</v>
      </c>
      <c r="H12" s="213">
        <f t="shared" si="2"/>
        <v>0</v>
      </c>
      <c r="I12" s="280"/>
    </row>
    <row r="13" spans="1:9" s="547" customFormat="1" ht="15" customHeight="1" x14ac:dyDescent="0.2">
      <c r="A13" s="551">
        <v>180000</v>
      </c>
      <c r="B13" s="619" t="s">
        <v>8685</v>
      </c>
      <c r="C13" s="534">
        <v>9883202.9800000004</v>
      </c>
      <c r="D13" s="213">
        <v>-1954502.64</v>
      </c>
      <c r="E13" s="213">
        <f t="shared" si="1"/>
        <v>7928700.3400000008</v>
      </c>
      <c r="F13" s="213">
        <v>7928700.3399999999</v>
      </c>
      <c r="G13" s="213">
        <v>7768700.3499999996</v>
      </c>
      <c r="H13" s="213">
        <f t="shared" si="2"/>
        <v>0</v>
      </c>
      <c r="I13" s="280"/>
    </row>
    <row r="14" spans="1:9" s="547" customFormat="1" ht="15" customHeight="1" x14ac:dyDescent="0.2">
      <c r="A14" s="551">
        <v>190000</v>
      </c>
      <c r="B14" s="619" t="s">
        <v>8684</v>
      </c>
      <c r="C14" s="534">
        <v>5048912.68</v>
      </c>
      <c r="D14" s="213">
        <v>-830329.75</v>
      </c>
      <c r="E14" s="213">
        <f t="shared" si="1"/>
        <v>4218582.93</v>
      </c>
      <c r="F14" s="213">
        <v>4218582.93</v>
      </c>
      <c r="G14" s="213">
        <v>4218582.93</v>
      </c>
      <c r="H14" s="534">
        <f t="shared" si="2"/>
        <v>0</v>
      </c>
      <c r="I14" s="280"/>
    </row>
    <row r="15" spans="1:9" s="547" customFormat="1" ht="15" customHeight="1" x14ac:dyDescent="0.2">
      <c r="A15" s="551">
        <v>200000</v>
      </c>
      <c r="B15" s="619" t="s">
        <v>8683</v>
      </c>
      <c r="C15" s="534">
        <v>1162972.7</v>
      </c>
      <c r="D15" s="213">
        <v>1937498.75</v>
      </c>
      <c r="E15" s="213">
        <f t="shared" si="1"/>
        <v>3100471.45</v>
      </c>
      <c r="F15" s="213">
        <v>3100471.45</v>
      </c>
      <c r="G15" s="213">
        <v>3100471.45</v>
      </c>
      <c r="H15" s="534">
        <f t="shared" si="2"/>
        <v>0</v>
      </c>
      <c r="I15" s="280"/>
    </row>
    <row r="16" spans="1:9" s="547" customFormat="1" ht="15" customHeight="1" x14ac:dyDescent="0.2">
      <c r="A16" s="551">
        <v>210000</v>
      </c>
      <c r="B16" s="619" t="s">
        <v>8682</v>
      </c>
      <c r="C16" s="534">
        <v>2835484.85</v>
      </c>
      <c r="D16" s="213">
        <v>663378.61</v>
      </c>
      <c r="E16" s="213">
        <f t="shared" si="1"/>
        <v>3498863.46</v>
      </c>
      <c r="F16" s="213">
        <v>3498863.46</v>
      </c>
      <c r="G16" s="213">
        <v>3498863.46</v>
      </c>
      <c r="H16" s="213">
        <f t="shared" si="2"/>
        <v>0</v>
      </c>
      <c r="I16" s="280"/>
    </row>
    <row r="17" spans="1:9" s="547" customFormat="1" ht="15" customHeight="1" x14ac:dyDescent="0.2">
      <c r="A17" s="551">
        <v>220000</v>
      </c>
      <c r="B17" s="619" t="s">
        <v>8681</v>
      </c>
      <c r="C17" s="534">
        <v>15614117.33</v>
      </c>
      <c r="D17" s="213">
        <v>10892118.51</v>
      </c>
      <c r="E17" s="213">
        <f t="shared" si="1"/>
        <v>26506235.84</v>
      </c>
      <c r="F17" s="213">
        <v>26506228.359999999</v>
      </c>
      <c r="G17" s="213">
        <v>26169130.210000001</v>
      </c>
      <c r="H17" s="213">
        <f t="shared" si="2"/>
        <v>7.4800000004470348</v>
      </c>
      <c r="I17" s="280"/>
    </row>
    <row r="18" spans="1:9" s="547" customFormat="1" ht="15" customHeight="1" x14ac:dyDescent="0.2">
      <c r="A18" s="551">
        <v>230000</v>
      </c>
      <c r="B18" s="619" t="s">
        <v>8680</v>
      </c>
      <c r="C18" s="534">
        <v>19610054.289999999</v>
      </c>
      <c r="D18" s="213">
        <v>-12296376.49</v>
      </c>
      <c r="E18" s="213">
        <f t="shared" si="1"/>
        <v>7313677.7999999989</v>
      </c>
      <c r="F18" s="213">
        <v>7313677.7800000003</v>
      </c>
      <c r="G18" s="213">
        <v>7311997.6100000003</v>
      </c>
      <c r="H18" s="213">
        <f t="shared" si="2"/>
        <v>1.999999862164259E-2</v>
      </c>
      <c r="I18" s="280"/>
    </row>
    <row r="19" spans="1:9" s="547" customFormat="1" ht="15" customHeight="1" x14ac:dyDescent="0.2">
      <c r="A19" s="551">
        <v>240000</v>
      </c>
      <c r="B19" s="619" t="s">
        <v>8679</v>
      </c>
      <c r="C19" s="534">
        <v>8295922.3099999996</v>
      </c>
      <c r="D19" s="213">
        <v>-3457895.73</v>
      </c>
      <c r="E19" s="213">
        <f t="shared" si="1"/>
        <v>4838026.58</v>
      </c>
      <c r="F19" s="213">
        <v>4833419.43</v>
      </c>
      <c r="G19" s="213">
        <v>4833419.43</v>
      </c>
      <c r="H19" s="213">
        <f t="shared" si="2"/>
        <v>4607.1500000003725</v>
      </c>
      <c r="I19" s="280"/>
    </row>
    <row r="20" spans="1:9" s="547" customFormat="1" ht="15" customHeight="1" x14ac:dyDescent="0.2">
      <c r="A20" s="551">
        <v>250000</v>
      </c>
      <c r="B20" s="619" t="s">
        <v>8678</v>
      </c>
      <c r="C20" s="534">
        <v>3374271.66</v>
      </c>
      <c r="D20" s="213">
        <v>-501837.05</v>
      </c>
      <c r="E20" s="213">
        <f t="shared" si="1"/>
        <v>2872434.6100000003</v>
      </c>
      <c r="F20" s="213">
        <v>2872434.61</v>
      </c>
      <c r="G20" s="213">
        <v>2872434.61</v>
      </c>
      <c r="H20" s="213">
        <f t="shared" si="2"/>
        <v>0</v>
      </c>
      <c r="I20" s="280"/>
    </row>
    <row r="21" spans="1:9" s="547" customFormat="1" ht="15" customHeight="1" x14ac:dyDescent="0.2">
      <c r="A21" s="551">
        <v>270000</v>
      </c>
      <c r="B21" s="619" t="s">
        <v>8677</v>
      </c>
      <c r="C21" s="534">
        <v>56718153.32</v>
      </c>
      <c r="D21" s="213">
        <v>-44816791.369999997</v>
      </c>
      <c r="E21" s="213">
        <f t="shared" si="1"/>
        <v>11901361.950000003</v>
      </c>
      <c r="F21" s="213">
        <v>7245315.9900000002</v>
      </c>
      <c r="G21" s="213">
        <v>7245315.9900000002</v>
      </c>
      <c r="H21" s="213">
        <f t="shared" si="2"/>
        <v>4656045.9600000028</v>
      </c>
      <c r="I21" s="280"/>
    </row>
    <row r="22" spans="1:9" s="547" customFormat="1" ht="15" customHeight="1" x14ac:dyDescent="0.2">
      <c r="A22" s="551">
        <v>280000</v>
      </c>
      <c r="B22" s="619" t="s">
        <v>8676</v>
      </c>
      <c r="C22" s="534">
        <v>4208037.79</v>
      </c>
      <c r="D22" s="213">
        <v>-1813248.95</v>
      </c>
      <c r="E22" s="213">
        <f t="shared" si="1"/>
        <v>2394788.84</v>
      </c>
      <c r="F22" s="213">
        <v>2394788.85</v>
      </c>
      <c r="G22" s="213">
        <v>2394788.85</v>
      </c>
      <c r="H22" s="213">
        <f t="shared" si="2"/>
        <v>-1.0000000242143869E-2</v>
      </c>
      <c r="I22" s="280"/>
    </row>
    <row r="23" spans="1:9" s="547" customFormat="1" ht="15" customHeight="1" x14ac:dyDescent="0.2">
      <c r="A23" s="551">
        <v>290000</v>
      </c>
      <c r="B23" s="619" t="s">
        <v>8675</v>
      </c>
      <c r="C23" s="534">
        <v>38057531.649999999</v>
      </c>
      <c r="D23" s="213">
        <v>-31259072.800000001</v>
      </c>
      <c r="E23" s="213">
        <f t="shared" si="1"/>
        <v>6798458.8499999978</v>
      </c>
      <c r="F23" s="213">
        <v>6798458.8600000003</v>
      </c>
      <c r="G23" s="213">
        <v>6792850.0599999996</v>
      </c>
      <c r="H23" s="213">
        <f t="shared" si="2"/>
        <v>-1.0000002570450306E-2</v>
      </c>
      <c r="I23" s="280"/>
    </row>
    <row r="24" spans="1:9" s="547" customFormat="1" ht="15" customHeight="1" x14ac:dyDescent="0.2">
      <c r="A24" s="551">
        <v>300000</v>
      </c>
      <c r="B24" s="619" t="s">
        <v>8674</v>
      </c>
      <c r="C24" s="534">
        <v>10267026.17</v>
      </c>
      <c r="D24" s="213">
        <v>-8977521.4499999993</v>
      </c>
      <c r="E24" s="213">
        <f t="shared" si="1"/>
        <v>1289504.7200000007</v>
      </c>
      <c r="F24" s="213">
        <v>1289504.72</v>
      </c>
      <c r="G24" s="213">
        <v>1289504.72</v>
      </c>
      <c r="H24" s="213">
        <f t="shared" si="2"/>
        <v>0</v>
      </c>
      <c r="I24" s="280"/>
    </row>
    <row r="25" spans="1:9" s="547" customFormat="1" ht="15" customHeight="1" x14ac:dyDescent="0.2">
      <c r="A25" s="551">
        <v>310000</v>
      </c>
      <c r="B25" s="619" t="s">
        <v>8673</v>
      </c>
      <c r="C25" s="534">
        <v>669112.81000000006</v>
      </c>
      <c r="D25" s="213">
        <v>-178624.93</v>
      </c>
      <c r="E25" s="213">
        <f t="shared" si="1"/>
        <v>490487.88000000006</v>
      </c>
      <c r="F25" s="213">
        <v>490487.88</v>
      </c>
      <c r="G25" s="213">
        <v>490487.88</v>
      </c>
      <c r="H25" s="213">
        <f t="shared" si="2"/>
        <v>0</v>
      </c>
      <c r="I25" s="280"/>
    </row>
    <row r="26" spans="1:9" s="547" customFormat="1" ht="15" customHeight="1" x14ac:dyDescent="0.2">
      <c r="A26" s="551">
        <v>320000</v>
      </c>
      <c r="B26" s="619" t="s">
        <v>1202</v>
      </c>
      <c r="C26" s="534">
        <v>95290.45</v>
      </c>
      <c r="D26" s="213">
        <v>36546.410000000003</v>
      </c>
      <c r="E26" s="213">
        <f t="shared" si="1"/>
        <v>131836.85999999999</v>
      </c>
      <c r="F26" s="213">
        <v>131836.85999999999</v>
      </c>
      <c r="G26" s="213">
        <v>131836.85999999999</v>
      </c>
      <c r="H26" s="213">
        <f t="shared" si="2"/>
        <v>0</v>
      </c>
      <c r="I26" s="280"/>
    </row>
    <row r="27" spans="1:9" s="547" customFormat="1" ht="15" customHeight="1" x14ac:dyDescent="0.2">
      <c r="A27" s="551">
        <v>330000</v>
      </c>
      <c r="B27" s="619" t="s">
        <v>8672</v>
      </c>
      <c r="C27" s="534">
        <v>78343.360000000001</v>
      </c>
      <c r="D27" s="213">
        <v>-50256.480000000003</v>
      </c>
      <c r="E27" s="213">
        <f t="shared" si="1"/>
        <v>28086.879999999997</v>
      </c>
      <c r="F27" s="213">
        <v>28086.880000000001</v>
      </c>
      <c r="G27" s="213">
        <v>28086.880000000001</v>
      </c>
      <c r="H27" s="213">
        <f t="shared" si="2"/>
        <v>0</v>
      </c>
      <c r="I27" s="280"/>
    </row>
    <row r="28" spans="1:9" s="547" customFormat="1" ht="15" customHeight="1" x14ac:dyDescent="0.2">
      <c r="A28" s="551">
        <v>340000</v>
      </c>
      <c r="B28" s="619" t="s">
        <v>8671</v>
      </c>
      <c r="C28" s="534">
        <v>6197505.9299999997</v>
      </c>
      <c r="D28" s="213">
        <v>-4959242.17</v>
      </c>
      <c r="E28" s="213">
        <f t="shared" si="1"/>
        <v>1238263.7599999998</v>
      </c>
      <c r="F28" s="213">
        <v>1237927.3600000001</v>
      </c>
      <c r="G28" s="213">
        <v>1237927.3600000001</v>
      </c>
      <c r="H28" s="213">
        <f t="shared" si="2"/>
        <v>336.39999999967404</v>
      </c>
      <c r="I28" s="280"/>
    </row>
    <row r="29" spans="1:9" s="547" customFormat="1" ht="15" customHeight="1" x14ac:dyDescent="0.2">
      <c r="A29" s="551">
        <v>350000</v>
      </c>
      <c r="B29" s="619" t="s">
        <v>8670</v>
      </c>
      <c r="C29" s="534">
        <v>47400.26</v>
      </c>
      <c r="D29" s="213">
        <v>-28766.66</v>
      </c>
      <c r="E29" s="213">
        <f t="shared" si="1"/>
        <v>18633.600000000002</v>
      </c>
      <c r="F29" s="213">
        <v>18633.599999999999</v>
      </c>
      <c r="G29" s="213">
        <v>18633.599999999999</v>
      </c>
      <c r="H29" s="213">
        <f t="shared" si="2"/>
        <v>0</v>
      </c>
      <c r="I29" s="280"/>
    </row>
    <row r="30" spans="1:9" s="547" customFormat="1" ht="15" customHeight="1" x14ac:dyDescent="0.2">
      <c r="A30" s="552">
        <v>360000</v>
      </c>
      <c r="B30" s="619" t="s">
        <v>8669</v>
      </c>
      <c r="C30" s="534">
        <v>449027.48</v>
      </c>
      <c r="D30" s="213">
        <v>3021809.41</v>
      </c>
      <c r="E30" s="213">
        <f t="shared" si="1"/>
        <v>3470836.89</v>
      </c>
      <c r="F30" s="213">
        <v>3470836.89</v>
      </c>
      <c r="G30" s="213">
        <v>3470836.89</v>
      </c>
      <c r="H30" s="213">
        <f t="shared" si="2"/>
        <v>0</v>
      </c>
      <c r="I30" s="280"/>
    </row>
    <row r="31" spans="1:9" s="547" customFormat="1" ht="15" customHeight="1" x14ac:dyDescent="0.2">
      <c r="A31" s="552">
        <v>370000</v>
      </c>
      <c r="B31" s="619" t="s">
        <v>8668</v>
      </c>
      <c r="C31" s="534">
        <v>2124937.7599999998</v>
      </c>
      <c r="D31" s="213">
        <v>-1304563.4099999999</v>
      </c>
      <c r="E31" s="213">
        <f t="shared" si="1"/>
        <v>820374.34999999986</v>
      </c>
      <c r="F31" s="213">
        <v>820374.34</v>
      </c>
      <c r="G31" s="213">
        <v>820374.34</v>
      </c>
      <c r="H31" s="213">
        <f t="shared" si="2"/>
        <v>9.9999998928979039E-3</v>
      </c>
      <c r="I31" s="280"/>
    </row>
    <row r="32" spans="1:9" s="547" customFormat="1" ht="15" customHeight="1" x14ac:dyDescent="0.2">
      <c r="A32" s="552">
        <v>380000</v>
      </c>
      <c r="B32" s="619" t="s">
        <v>8667</v>
      </c>
      <c r="C32" s="534">
        <v>196292.56</v>
      </c>
      <c r="D32" s="213">
        <v>-85767.21</v>
      </c>
      <c r="E32" s="213">
        <f t="shared" si="1"/>
        <v>110525.34999999999</v>
      </c>
      <c r="F32" s="213">
        <v>110525.35</v>
      </c>
      <c r="G32" s="213">
        <v>110525.35</v>
      </c>
      <c r="H32" s="213">
        <f t="shared" si="2"/>
        <v>0</v>
      </c>
      <c r="I32" s="280"/>
    </row>
    <row r="33" spans="1:9" s="547" customFormat="1" ht="15" customHeight="1" x14ac:dyDescent="0.2">
      <c r="A33" s="552">
        <v>390000</v>
      </c>
      <c r="B33" s="619" t="s">
        <v>8666</v>
      </c>
      <c r="C33" s="534">
        <v>1272243.94</v>
      </c>
      <c r="D33" s="213">
        <v>-1085872.9099999999</v>
      </c>
      <c r="E33" s="213">
        <f t="shared" si="1"/>
        <v>186371.03000000003</v>
      </c>
      <c r="F33" s="213">
        <v>186371.03</v>
      </c>
      <c r="G33" s="213">
        <v>186371.03</v>
      </c>
      <c r="H33" s="213">
        <f t="shared" si="2"/>
        <v>0</v>
      </c>
      <c r="I33" s="280"/>
    </row>
    <row r="34" spans="1:9" s="547" customFormat="1" ht="15" customHeight="1" x14ac:dyDescent="0.2">
      <c r="A34" s="552">
        <v>400000</v>
      </c>
      <c r="B34" s="619" t="s">
        <v>8665</v>
      </c>
      <c r="C34" s="534">
        <v>2550196.48</v>
      </c>
      <c r="D34" s="213">
        <v>-1977168.76</v>
      </c>
      <c r="E34" s="213">
        <f t="shared" si="1"/>
        <v>573027.72</v>
      </c>
      <c r="F34" s="213">
        <v>573027.72</v>
      </c>
      <c r="G34" s="213">
        <v>573027.72</v>
      </c>
      <c r="H34" s="213">
        <f t="shared" si="2"/>
        <v>0</v>
      </c>
      <c r="I34" s="280"/>
    </row>
    <row r="35" spans="1:9" s="547" customFormat="1" ht="15" customHeight="1" x14ac:dyDescent="0.2">
      <c r="A35" s="552">
        <v>410000</v>
      </c>
      <c r="B35" s="619" t="s">
        <v>8664</v>
      </c>
      <c r="C35" s="534">
        <v>3026803.5</v>
      </c>
      <c r="D35" s="213">
        <v>-1178375.77</v>
      </c>
      <c r="E35" s="213">
        <f t="shared" si="1"/>
        <v>1848427.73</v>
      </c>
      <c r="F35" s="213">
        <v>1848427.73</v>
      </c>
      <c r="G35" s="213">
        <v>1848427.73</v>
      </c>
      <c r="H35" s="213">
        <f t="shared" si="2"/>
        <v>0</v>
      </c>
      <c r="I35" s="280"/>
    </row>
    <row r="36" spans="1:9" s="547" customFormat="1" ht="15" customHeight="1" x14ac:dyDescent="0.2">
      <c r="A36" s="552">
        <v>420000</v>
      </c>
      <c r="B36" s="619" t="s">
        <v>1203</v>
      </c>
      <c r="C36" s="534">
        <v>15141903.470000001</v>
      </c>
      <c r="D36" s="213">
        <v>-6040450.7800000003</v>
      </c>
      <c r="E36" s="213">
        <f t="shared" si="1"/>
        <v>9101452.6900000013</v>
      </c>
      <c r="F36" s="213">
        <v>9101452.6899999995</v>
      </c>
      <c r="G36" s="213">
        <v>9101452.6899999995</v>
      </c>
      <c r="H36" s="213">
        <f t="shared" si="2"/>
        <v>0</v>
      </c>
      <c r="I36" s="280"/>
    </row>
    <row r="37" spans="1:9" s="547" customFormat="1" ht="15" customHeight="1" x14ac:dyDescent="0.2">
      <c r="A37" s="1183"/>
      <c r="B37" s="1183"/>
      <c r="C37" s="550"/>
      <c r="D37" s="550"/>
      <c r="E37" s="550"/>
      <c r="F37" s="550"/>
      <c r="G37" s="550"/>
      <c r="H37" s="550"/>
      <c r="I37" s="280"/>
    </row>
    <row r="38" spans="1:9" s="547" customFormat="1" ht="15" customHeight="1" x14ac:dyDescent="0.2">
      <c r="A38" s="1104"/>
      <c r="B38" s="1104"/>
      <c r="C38" s="1105"/>
      <c r="D38" s="1105"/>
      <c r="E38" s="1105"/>
      <c r="F38" s="1105"/>
      <c r="G38" s="1105"/>
      <c r="H38" s="1105"/>
      <c r="I38" s="280"/>
    </row>
    <row r="39" spans="1:9" s="547" customFormat="1" ht="15" customHeight="1" x14ac:dyDescent="0.2">
      <c r="A39" s="1104"/>
      <c r="B39" s="1104"/>
      <c r="C39" s="1105"/>
      <c r="D39" s="1105"/>
      <c r="E39" s="1105"/>
      <c r="F39" s="1105"/>
      <c r="G39" s="1105"/>
      <c r="H39" s="1105"/>
      <c r="I39" s="280"/>
    </row>
    <row r="40" spans="1:9" s="547" customFormat="1" ht="15" customHeight="1" x14ac:dyDescent="0.2">
      <c r="A40" s="1104"/>
      <c r="B40" s="1104"/>
      <c r="C40" s="1105"/>
      <c r="D40" s="1105"/>
      <c r="E40" s="1105"/>
      <c r="F40" s="1105"/>
      <c r="G40" s="1105"/>
      <c r="H40" s="1105"/>
      <c r="I40" s="280"/>
    </row>
    <row r="41" spans="1:9" s="547" customFormat="1" ht="15" customHeight="1" x14ac:dyDescent="0.2">
      <c r="A41" s="1104"/>
      <c r="B41" s="1104"/>
      <c r="C41" s="1105"/>
      <c r="D41" s="1105"/>
      <c r="E41" s="1105"/>
      <c r="F41" s="1105"/>
      <c r="G41" s="1105"/>
      <c r="H41" s="1105"/>
      <c r="I41" s="280"/>
    </row>
    <row r="42" spans="1:9" s="547" customFormat="1" ht="15" customHeight="1" x14ac:dyDescent="0.2">
      <c r="A42" s="1104"/>
      <c r="B42" s="1104"/>
      <c r="C42" s="1105"/>
      <c r="D42" s="1105"/>
      <c r="E42" s="1105"/>
      <c r="F42" s="1105"/>
      <c r="G42" s="1105"/>
      <c r="H42" s="1105"/>
      <c r="I42" s="280"/>
    </row>
    <row r="43" spans="1:9" s="547" customFormat="1" ht="15" customHeight="1" x14ac:dyDescent="0.2">
      <c r="A43" s="1104"/>
      <c r="B43" s="1104"/>
      <c r="C43" s="1105"/>
      <c r="D43" s="1105"/>
      <c r="E43" s="1105"/>
      <c r="F43" s="1105"/>
      <c r="G43" s="1105"/>
      <c r="H43" s="1105"/>
      <c r="I43" s="280"/>
    </row>
    <row r="44" spans="1:9" s="547" customFormat="1" ht="15" customHeight="1" x14ac:dyDescent="0.2">
      <c r="A44" s="1104"/>
      <c r="B44" s="1104"/>
      <c r="C44" s="1105"/>
      <c r="D44" s="1105"/>
      <c r="E44" s="1105"/>
      <c r="F44" s="1105"/>
      <c r="G44" s="1105"/>
      <c r="H44" s="1105"/>
      <c r="I44" s="280"/>
    </row>
    <row r="45" spans="1:9" s="547" customFormat="1" ht="11.25" customHeight="1" x14ac:dyDescent="0.2">
      <c r="A45" s="208"/>
      <c r="B45" s="209" t="s">
        <v>12229</v>
      </c>
      <c r="C45" s="546">
        <f>SUM(C46:C71)</f>
        <v>624451314.60000014</v>
      </c>
      <c r="D45" s="546">
        <f t="shared" ref="D45" si="3">SUM(D46:D71)</f>
        <v>538898472.27999997</v>
      </c>
      <c r="E45" s="546">
        <f t="shared" ref="E45" si="4">SUM(E46:E71)</f>
        <v>1163349786.8799999</v>
      </c>
      <c r="F45" s="546">
        <f t="shared" ref="F45" si="5">SUM(F46:F71)</f>
        <v>1122760228.03</v>
      </c>
      <c r="G45" s="546">
        <f t="shared" ref="G45" si="6">SUM(G46:G71)</f>
        <v>1085608024.6999998</v>
      </c>
      <c r="H45" s="546">
        <f t="shared" ref="H45" si="7">SUM(H46:H71)</f>
        <v>40589558.849999949</v>
      </c>
      <c r="I45" s="280"/>
    </row>
    <row r="46" spans="1:9" s="547" customFormat="1" ht="15" customHeight="1" x14ac:dyDescent="0.2">
      <c r="A46" s="551">
        <v>150000</v>
      </c>
      <c r="B46" s="619" t="s">
        <v>1201</v>
      </c>
      <c r="C46" s="534">
        <v>3527082.13</v>
      </c>
      <c r="D46" s="213">
        <v>689730.69</v>
      </c>
      <c r="E46" s="213">
        <f t="shared" ref="E46:E71" si="8">C46+D46</f>
        <v>4216812.82</v>
      </c>
      <c r="F46" s="213">
        <v>4216812.82</v>
      </c>
      <c r="G46" s="213">
        <v>4120757.82</v>
      </c>
      <c r="H46" s="213">
        <f t="shared" ref="H46:H71" si="9">E46-F46</f>
        <v>0</v>
      </c>
      <c r="I46" s="280"/>
    </row>
    <row r="47" spans="1:9" s="547" customFormat="1" ht="15" customHeight="1" x14ac:dyDescent="0.2">
      <c r="A47" s="551">
        <v>170000</v>
      </c>
      <c r="B47" s="619" t="s">
        <v>8686</v>
      </c>
      <c r="C47" s="534">
        <v>5740546.4299999997</v>
      </c>
      <c r="D47" s="213">
        <v>-4032576.42</v>
      </c>
      <c r="E47" s="213">
        <f t="shared" si="8"/>
        <v>1707970.0099999998</v>
      </c>
      <c r="F47" s="213">
        <v>1707970</v>
      </c>
      <c r="G47" s="213">
        <v>1704192.95</v>
      </c>
      <c r="H47" s="213">
        <f t="shared" si="9"/>
        <v>9.9999997764825821E-3</v>
      </c>
      <c r="I47" s="280"/>
    </row>
    <row r="48" spans="1:9" s="547" customFormat="1" ht="15" customHeight="1" x14ac:dyDescent="0.2">
      <c r="A48" s="551">
        <v>180000</v>
      </c>
      <c r="B48" s="619" t="s">
        <v>8685</v>
      </c>
      <c r="C48" s="534">
        <v>7944486.4100000001</v>
      </c>
      <c r="D48" s="213">
        <v>5640342.29</v>
      </c>
      <c r="E48" s="213">
        <f t="shared" si="8"/>
        <v>13584828.699999999</v>
      </c>
      <c r="F48" s="213">
        <v>13540318.699999999</v>
      </c>
      <c r="G48" s="213">
        <v>12613275.890000001</v>
      </c>
      <c r="H48" s="213">
        <f t="shared" si="9"/>
        <v>44510</v>
      </c>
      <c r="I48" s="280"/>
    </row>
    <row r="49" spans="1:9" s="547" customFormat="1" ht="15" customHeight="1" x14ac:dyDescent="0.2">
      <c r="A49" s="551">
        <v>190000</v>
      </c>
      <c r="B49" s="619" t="s">
        <v>8684</v>
      </c>
      <c r="C49" s="534">
        <v>283123.90000000002</v>
      </c>
      <c r="D49" s="213">
        <v>4864716.42</v>
      </c>
      <c r="E49" s="213">
        <f t="shared" si="8"/>
        <v>5147840.32</v>
      </c>
      <c r="F49" s="213">
        <v>5123945.62</v>
      </c>
      <c r="G49" s="213">
        <v>5048617.9800000004</v>
      </c>
      <c r="H49" s="534">
        <f t="shared" si="9"/>
        <v>23894.700000000186</v>
      </c>
      <c r="I49" s="280"/>
    </row>
    <row r="50" spans="1:9" s="547" customFormat="1" ht="15" customHeight="1" x14ac:dyDescent="0.2">
      <c r="A50" s="551">
        <v>200000</v>
      </c>
      <c r="B50" s="619" t="s">
        <v>8683</v>
      </c>
      <c r="C50" s="534">
        <v>303590.33</v>
      </c>
      <c r="D50" s="213">
        <v>859986.86</v>
      </c>
      <c r="E50" s="213">
        <f t="shared" si="8"/>
        <v>1163577.19</v>
      </c>
      <c r="F50" s="213">
        <v>1163577.18</v>
      </c>
      <c r="G50" s="213">
        <v>937479.97</v>
      </c>
      <c r="H50" s="534">
        <f t="shared" si="9"/>
        <v>1.0000000009313226E-2</v>
      </c>
      <c r="I50" s="280"/>
    </row>
    <row r="51" spans="1:9" s="547" customFormat="1" ht="15" customHeight="1" x14ac:dyDescent="0.2">
      <c r="A51" s="551">
        <v>210000</v>
      </c>
      <c r="B51" s="619" t="s">
        <v>8682</v>
      </c>
      <c r="C51" s="534">
        <v>565937.47</v>
      </c>
      <c r="D51" s="213">
        <v>2022036.32</v>
      </c>
      <c r="E51" s="213">
        <f t="shared" si="8"/>
        <v>2587973.79</v>
      </c>
      <c r="F51" s="213">
        <v>2578316.7999999998</v>
      </c>
      <c r="G51" s="213">
        <v>2541605.34</v>
      </c>
      <c r="H51" s="213">
        <f t="shared" si="9"/>
        <v>9656.9900000002235</v>
      </c>
      <c r="I51" s="280"/>
    </row>
    <row r="52" spans="1:9" s="547" customFormat="1" ht="15" customHeight="1" x14ac:dyDescent="0.2">
      <c r="A52" s="551">
        <v>220000</v>
      </c>
      <c r="B52" s="619" t="s">
        <v>8681</v>
      </c>
      <c r="C52" s="534">
        <v>48699758.960000001</v>
      </c>
      <c r="D52" s="213">
        <v>59095387.659999996</v>
      </c>
      <c r="E52" s="213">
        <f t="shared" si="8"/>
        <v>107795146.62</v>
      </c>
      <c r="F52" s="213">
        <f>89477220.28+17665353</f>
        <v>107142573.28</v>
      </c>
      <c r="G52" s="213">
        <f>88563171.28+17665353</f>
        <v>106228524.28</v>
      </c>
      <c r="H52" s="213">
        <f t="shared" si="9"/>
        <v>652573.34000000358</v>
      </c>
      <c r="I52" s="280"/>
    </row>
    <row r="53" spans="1:9" s="547" customFormat="1" ht="15" customHeight="1" x14ac:dyDescent="0.2">
      <c r="A53" s="551">
        <v>230000</v>
      </c>
      <c r="B53" s="619" t="s">
        <v>8680</v>
      </c>
      <c r="C53" s="534">
        <v>13652726.220000001</v>
      </c>
      <c r="D53" s="213">
        <v>50850783.159999996</v>
      </c>
      <c r="E53" s="213">
        <f t="shared" si="8"/>
        <v>64503509.379999995</v>
      </c>
      <c r="F53" s="213">
        <v>64462984.659999996</v>
      </c>
      <c r="G53" s="213">
        <v>55439068.350000001</v>
      </c>
      <c r="H53" s="213">
        <f t="shared" si="9"/>
        <v>40524.719999998808</v>
      </c>
      <c r="I53" s="280"/>
    </row>
    <row r="54" spans="1:9" s="547" customFormat="1" ht="15" customHeight="1" x14ac:dyDescent="0.2">
      <c r="A54" s="551">
        <v>240000</v>
      </c>
      <c r="B54" s="619" t="s">
        <v>8679</v>
      </c>
      <c r="C54" s="534">
        <v>31956718.960000001</v>
      </c>
      <c r="D54" s="213">
        <v>12812971.130000001</v>
      </c>
      <c r="E54" s="213">
        <f t="shared" si="8"/>
        <v>44769690.090000004</v>
      </c>
      <c r="F54" s="213">
        <v>44758345.090000004</v>
      </c>
      <c r="G54" s="213">
        <v>44084397.07</v>
      </c>
      <c r="H54" s="213">
        <f t="shared" si="9"/>
        <v>11345</v>
      </c>
      <c r="I54" s="280"/>
    </row>
    <row r="55" spans="1:9" s="547" customFormat="1" ht="15" customHeight="1" x14ac:dyDescent="0.2">
      <c r="A55" s="551">
        <v>250000</v>
      </c>
      <c r="B55" s="619" t="s">
        <v>8678</v>
      </c>
      <c r="C55" s="534">
        <v>421249.7</v>
      </c>
      <c r="D55" s="213">
        <v>3036608.34</v>
      </c>
      <c r="E55" s="213">
        <f t="shared" si="8"/>
        <v>3457858.04</v>
      </c>
      <c r="F55" s="213">
        <v>3457858.04</v>
      </c>
      <c r="G55" s="213">
        <v>3369925.6</v>
      </c>
      <c r="H55" s="213">
        <f t="shared" si="9"/>
        <v>0</v>
      </c>
      <c r="I55" s="280"/>
    </row>
    <row r="56" spans="1:9" s="547" customFormat="1" ht="15" customHeight="1" x14ac:dyDescent="0.2">
      <c r="A56" s="551">
        <v>270000</v>
      </c>
      <c r="B56" s="619" t="s">
        <v>8677</v>
      </c>
      <c r="C56" s="534">
        <v>97449136.939999998</v>
      </c>
      <c r="D56" s="213">
        <v>286799895.26999998</v>
      </c>
      <c r="E56" s="213">
        <f t="shared" si="8"/>
        <v>384249032.20999998</v>
      </c>
      <c r="F56" s="213">
        <f>343549018.41+1020510</f>
        <v>344569528.41000003</v>
      </c>
      <c r="G56" s="213">
        <f>332252372.13+1020510</f>
        <v>333272882.13</v>
      </c>
      <c r="H56" s="213">
        <f t="shared" si="9"/>
        <v>39679503.799999952</v>
      </c>
      <c r="I56" s="280"/>
    </row>
    <row r="57" spans="1:9" s="547" customFormat="1" ht="15" customHeight="1" x14ac:dyDescent="0.2">
      <c r="A57" s="551">
        <v>280000</v>
      </c>
      <c r="B57" s="619" t="s">
        <v>8676</v>
      </c>
      <c r="C57" s="534">
        <v>11793499.42</v>
      </c>
      <c r="D57" s="213">
        <v>2075592.92</v>
      </c>
      <c r="E57" s="213">
        <f t="shared" si="8"/>
        <v>13869092.34</v>
      </c>
      <c r="F57" s="213">
        <v>13837602.609999999</v>
      </c>
      <c r="G57" s="213">
        <v>13623277.17</v>
      </c>
      <c r="H57" s="213">
        <f t="shared" si="9"/>
        <v>31489.730000000447</v>
      </c>
      <c r="I57" s="280"/>
    </row>
    <row r="58" spans="1:9" s="547" customFormat="1" ht="15" customHeight="1" x14ac:dyDescent="0.2">
      <c r="A58" s="551">
        <v>290000</v>
      </c>
      <c r="B58" s="619" t="s">
        <v>8675</v>
      </c>
      <c r="C58" s="534">
        <v>96607858.569999993</v>
      </c>
      <c r="D58" s="213">
        <v>37074078.469999999</v>
      </c>
      <c r="E58" s="213">
        <f t="shared" si="8"/>
        <v>133681937.03999999</v>
      </c>
      <c r="F58" s="213">
        <v>133648396.84999999</v>
      </c>
      <c r="G58" s="213">
        <v>123934123.5</v>
      </c>
      <c r="H58" s="213">
        <f t="shared" si="9"/>
        <v>33540.189999997616</v>
      </c>
      <c r="I58" s="280"/>
    </row>
    <row r="59" spans="1:9" s="547" customFormat="1" ht="15" customHeight="1" x14ac:dyDescent="0.2">
      <c r="A59" s="551">
        <v>300000</v>
      </c>
      <c r="B59" s="619" t="s">
        <v>8674</v>
      </c>
      <c r="C59" s="534">
        <v>99934555.75</v>
      </c>
      <c r="D59" s="213">
        <v>20236212.82</v>
      </c>
      <c r="E59" s="213">
        <f t="shared" si="8"/>
        <v>120170768.56999999</v>
      </c>
      <c r="F59" s="213">
        <v>120166467.69</v>
      </c>
      <c r="G59" s="213">
        <v>119321697.66</v>
      </c>
      <c r="H59" s="213">
        <f t="shared" si="9"/>
        <v>4300.8799999952316</v>
      </c>
      <c r="I59" s="280"/>
    </row>
    <row r="60" spans="1:9" s="547" customFormat="1" ht="15" customHeight="1" x14ac:dyDescent="0.2">
      <c r="A60" s="551">
        <v>310000</v>
      </c>
      <c r="B60" s="619" t="s">
        <v>8673</v>
      </c>
      <c r="C60" s="534">
        <v>4314746.79</v>
      </c>
      <c r="D60" s="213">
        <v>807008.46</v>
      </c>
      <c r="E60" s="213">
        <f t="shared" si="8"/>
        <v>5121755.25</v>
      </c>
      <c r="F60" s="213">
        <v>5121755.24</v>
      </c>
      <c r="G60" s="213">
        <v>5079174.99</v>
      </c>
      <c r="H60" s="213">
        <f t="shared" si="9"/>
        <v>9.9999997764825821E-3</v>
      </c>
      <c r="I60" s="280"/>
    </row>
    <row r="61" spans="1:9" s="547" customFormat="1" ht="15" customHeight="1" x14ac:dyDescent="0.2">
      <c r="A61" s="551">
        <v>320000</v>
      </c>
      <c r="B61" s="619" t="s">
        <v>1202</v>
      </c>
      <c r="C61" s="534">
        <v>4512209.66</v>
      </c>
      <c r="D61" s="213">
        <v>-910312.15</v>
      </c>
      <c r="E61" s="213">
        <f t="shared" si="8"/>
        <v>3601897.5100000002</v>
      </c>
      <c r="F61" s="213">
        <v>3589672.29</v>
      </c>
      <c r="G61" s="213">
        <v>3578232.29</v>
      </c>
      <c r="H61" s="213">
        <f t="shared" si="9"/>
        <v>12225.220000000205</v>
      </c>
      <c r="I61" s="280"/>
    </row>
    <row r="62" spans="1:9" s="547" customFormat="1" ht="15" customHeight="1" x14ac:dyDescent="0.2">
      <c r="A62" s="551">
        <v>330000</v>
      </c>
      <c r="B62" s="619" t="s">
        <v>8672</v>
      </c>
      <c r="C62" s="534">
        <v>1619554.05</v>
      </c>
      <c r="D62" s="213">
        <v>1546809.81</v>
      </c>
      <c r="E62" s="213">
        <f t="shared" si="8"/>
        <v>3166363.8600000003</v>
      </c>
      <c r="F62" s="213">
        <v>3166363.86</v>
      </c>
      <c r="G62" s="213">
        <v>3134205.85</v>
      </c>
      <c r="H62" s="213">
        <f t="shared" si="9"/>
        <v>0</v>
      </c>
      <c r="I62" s="280"/>
    </row>
    <row r="63" spans="1:9" s="547" customFormat="1" ht="15" customHeight="1" x14ac:dyDescent="0.2">
      <c r="A63" s="551">
        <v>340000</v>
      </c>
      <c r="B63" s="619" t="s">
        <v>8671</v>
      </c>
      <c r="C63" s="534">
        <v>31150947.91</v>
      </c>
      <c r="D63" s="213">
        <v>-108021.25</v>
      </c>
      <c r="E63" s="213">
        <f t="shared" si="8"/>
        <v>31042926.66</v>
      </c>
      <c r="F63" s="213">
        <v>31039437.059999999</v>
      </c>
      <c r="G63" s="213">
        <v>30700401.75</v>
      </c>
      <c r="H63" s="213">
        <f t="shared" si="9"/>
        <v>3489.6000000014901</v>
      </c>
      <c r="I63" s="280"/>
    </row>
    <row r="64" spans="1:9" s="547" customFormat="1" ht="15" customHeight="1" x14ac:dyDescent="0.2">
      <c r="A64" s="551">
        <v>350000</v>
      </c>
      <c r="B64" s="619" t="s">
        <v>8670</v>
      </c>
      <c r="C64" s="534">
        <v>515636.47</v>
      </c>
      <c r="D64" s="213">
        <v>125852.05</v>
      </c>
      <c r="E64" s="213">
        <f t="shared" si="8"/>
        <v>641488.52</v>
      </c>
      <c r="F64" s="213">
        <v>641488.52</v>
      </c>
      <c r="G64" s="213">
        <v>641488.52</v>
      </c>
      <c r="H64" s="213">
        <f t="shared" si="9"/>
        <v>0</v>
      </c>
      <c r="I64" s="280"/>
    </row>
    <row r="65" spans="1:34" s="547" customFormat="1" ht="15" customHeight="1" x14ac:dyDescent="0.2">
      <c r="A65" s="552">
        <v>360000</v>
      </c>
      <c r="B65" s="619" t="s">
        <v>8669</v>
      </c>
      <c r="C65" s="534">
        <v>3794883.42</v>
      </c>
      <c r="D65" s="213">
        <v>7407576.1600000001</v>
      </c>
      <c r="E65" s="213">
        <f t="shared" si="8"/>
        <v>11202459.58</v>
      </c>
      <c r="F65" s="213">
        <v>11194380.32</v>
      </c>
      <c r="G65" s="213">
        <v>10763053.67</v>
      </c>
      <c r="H65" s="213">
        <f t="shared" si="9"/>
        <v>8079.2599999997765</v>
      </c>
      <c r="I65" s="280"/>
    </row>
    <row r="66" spans="1:34" s="547" customFormat="1" ht="15" customHeight="1" x14ac:dyDescent="0.2">
      <c r="A66" s="552">
        <v>370000</v>
      </c>
      <c r="B66" s="619" t="s">
        <v>8668</v>
      </c>
      <c r="C66" s="534">
        <v>7451447.1900000004</v>
      </c>
      <c r="D66" s="213">
        <v>4553050.7</v>
      </c>
      <c r="E66" s="213">
        <f t="shared" si="8"/>
        <v>12004497.890000001</v>
      </c>
      <c r="F66" s="213">
        <v>12002270.689999999</v>
      </c>
      <c r="G66" s="213">
        <v>11717310.289999999</v>
      </c>
      <c r="H66" s="213">
        <f t="shared" si="9"/>
        <v>2227.2000000011176</v>
      </c>
      <c r="I66" s="280"/>
    </row>
    <row r="67" spans="1:34" s="547" customFormat="1" ht="15" customHeight="1" x14ac:dyDescent="0.2">
      <c r="A67" s="552">
        <v>380000</v>
      </c>
      <c r="B67" s="619" t="s">
        <v>8667</v>
      </c>
      <c r="C67" s="534">
        <v>2275315.5499999998</v>
      </c>
      <c r="D67" s="213">
        <v>1371289.09</v>
      </c>
      <c r="E67" s="213">
        <f t="shared" si="8"/>
        <v>3646604.6399999997</v>
      </c>
      <c r="F67" s="213">
        <v>3646604.64</v>
      </c>
      <c r="G67" s="213">
        <v>3605462.95</v>
      </c>
      <c r="H67" s="213">
        <f t="shared" si="9"/>
        <v>0</v>
      </c>
      <c r="I67" s="280"/>
    </row>
    <row r="68" spans="1:34" s="547" customFormat="1" ht="15" customHeight="1" x14ac:dyDescent="0.2">
      <c r="A68" s="552">
        <v>390000</v>
      </c>
      <c r="B68" s="619" t="s">
        <v>8666</v>
      </c>
      <c r="C68" s="534">
        <v>3460044.1</v>
      </c>
      <c r="D68" s="213">
        <v>2097525.88</v>
      </c>
      <c r="E68" s="213">
        <f t="shared" si="8"/>
        <v>5557569.9800000004</v>
      </c>
      <c r="F68" s="213">
        <v>5551185.9800000004</v>
      </c>
      <c r="G68" s="213">
        <v>5429650.3899999997</v>
      </c>
      <c r="H68" s="213">
        <f t="shared" si="9"/>
        <v>6384</v>
      </c>
      <c r="I68" s="280"/>
    </row>
    <row r="69" spans="1:34" s="547" customFormat="1" ht="15" customHeight="1" x14ac:dyDescent="0.2">
      <c r="A69" s="552">
        <v>400000</v>
      </c>
      <c r="B69" s="619" t="s">
        <v>8665</v>
      </c>
      <c r="C69" s="534">
        <v>26342531.09</v>
      </c>
      <c r="D69" s="213">
        <v>3156180.76</v>
      </c>
      <c r="E69" s="213">
        <f t="shared" si="8"/>
        <v>29498711.850000001</v>
      </c>
      <c r="F69" s="213">
        <v>29472897.670000002</v>
      </c>
      <c r="G69" s="213">
        <v>29097463.449999999</v>
      </c>
      <c r="H69" s="213">
        <f t="shared" si="9"/>
        <v>25814.179999999702</v>
      </c>
      <c r="I69" s="280"/>
    </row>
    <row r="70" spans="1:34" s="547" customFormat="1" ht="15" customHeight="1" x14ac:dyDescent="0.2">
      <c r="A70" s="552">
        <v>410000</v>
      </c>
      <c r="B70" s="619" t="s">
        <v>8664</v>
      </c>
      <c r="C70" s="534">
        <v>55014373.710000001</v>
      </c>
      <c r="D70" s="213">
        <v>18111366.129999999</v>
      </c>
      <c r="E70" s="213">
        <f t="shared" si="8"/>
        <v>73125739.840000004</v>
      </c>
      <c r="F70" s="213">
        <v>73125739.829999998</v>
      </c>
      <c r="G70" s="213">
        <v>72779079.650000006</v>
      </c>
      <c r="H70" s="213">
        <f t="shared" si="9"/>
        <v>1.000000536441803E-2</v>
      </c>
      <c r="I70" s="280"/>
    </row>
    <row r="71" spans="1:34" s="547" customFormat="1" ht="15" customHeight="1" x14ac:dyDescent="0.2">
      <c r="A71" s="552">
        <v>420000</v>
      </c>
      <c r="B71" s="619" t="s">
        <v>1203</v>
      </c>
      <c r="C71" s="534">
        <v>65119353.469999999</v>
      </c>
      <c r="D71" s="213">
        <v>18714380.710000001</v>
      </c>
      <c r="E71" s="213">
        <f t="shared" si="8"/>
        <v>83833734.180000007</v>
      </c>
      <c r="F71" s="213">
        <v>83833734.180000007</v>
      </c>
      <c r="G71" s="213">
        <v>82842675.189999998</v>
      </c>
      <c r="H71" s="213">
        <f t="shared" si="9"/>
        <v>0</v>
      </c>
      <c r="I71" s="280"/>
    </row>
    <row r="72" spans="1:34" s="547" customFormat="1" ht="15" customHeight="1" x14ac:dyDescent="0.2">
      <c r="A72" s="1431" t="s">
        <v>10641</v>
      </c>
      <c r="B72" s="1431"/>
      <c r="C72" s="550">
        <f>C10+C45</f>
        <v>845081315.00000012</v>
      </c>
      <c r="D72" s="550">
        <f t="shared" ref="D72:H72" si="10">D10+D45</f>
        <v>436197797.65999997</v>
      </c>
      <c r="E72" s="550">
        <f t="shared" si="10"/>
        <v>1281279112.6599998</v>
      </c>
      <c r="F72" s="550">
        <f t="shared" si="10"/>
        <v>1236028556.8</v>
      </c>
      <c r="G72" s="550">
        <f t="shared" si="10"/>
        <v>1198371966.3599997</v>
      </c>
      <c r="H72" s="550">
        <f t="shared" si="10"/>
        <v>45250555.859999947</v>
      </c>
      <c r="I72" s="280"/>
    </row>
    <row r="73" spans="1:34" x14ac:dyDescent="0.2">
      <c r="I73" s="295"/>
      <c r="K73" s="1103"/>
      <c r="M73" s="1103"/>
      <c r="N73" s="1103"/>
      <c r="O73" s="1103"/>
      <c r="P73" s="1103"/>
      <c r="Q73" s="1103"/>
      <c r="R73" s="1103"/>
      <c r="S73" s="1103"/>
      <c r="T73" s="1103"/>
      <c r="U73" s="1103"/>
      <c r="V73" s="1103"/>
      <c r="W73" s="1103"/>
      <c r="X73" s="1103"/>
      <c r="Y73" s="1103"/>
      <c r="Z73" s="1103"/>
      <c r="AA73" s="1103"/>
      <c r="AB73" s="1103"/>
      <c r="AC73" s="1103"/>
      <c r="AD73" s="1103"/>
      <c r="AE73" s="1103"/>
      <c r="AF73" s="1103"/>
      <c r="AG73" s="1103"/>
      <c r="AH73" s="1103"/>
    </row>
    <row r="74" spans="1:34" s="19" customFormat="1" ht="8.25" customHeight="1" x14ac:dyDescent="0.2">
      <c r="A74" s="21"/>
      <c r="B74" s="21"/>
      <c r="C74" s="22"/>
      <c r="D74" s="855"/>
      <c r="E74" s="22"/>
      <c r="F74" s="22"/>
      <c r="G74" s="22"/>
      <c r="H74" s="22"/>
      <c r="I74" s="291"/>
    </row>
    <row r="75" spans="1:34" s="19" customFormat="1" x14ac:dyDescent="0.2">
      <c r="A75" s="21"/>
      <c r="B75" s="21"/>
      <c r="C75" s="22"/>
      <c r="D75" s="22"/>
      <c r="E75" s="22"/>
      <c r="F75" s="22"/>
      <c r="G75" s="22"/>
      <c r="H75" s="22"/>
      <c r="I75" s="287"/>
    </row>
    <row r="76" spans="1:34" s="19" customFormat="1" x14ac:dyDescent="0.2">
      <c r="A76" s="21"/>
      <c r="B76" s="21"/>
      <c r="C76" s="22"/>
      <c r="D76" s="22"/>
      <c r="E76" s="22"/>
      <c r="F76" s="22"/>
      <c r="G76" s="22"/>
      <c r="H76" s="22"/>
      <c r="I76" s="280"/>
    </row>
    <row r="77" spans="1:34" s="19" customFormat="1" x14ac:dyDescent="0.2">
      <c r="A77" s="21"/>
      <c r="B77" s="21"/>
      <c r="C77" s="22"/>
      <c r="D77" s="22"/>
      <c r="E77" s="22"/>
      <c r="F77" s="22"/>
      <c r="G77" s="22"/>
      <c r="H77" s="22"/>
      <c r="I77" s="280"/>
    </row>
    <row r="78" spans="1:34" s="19" customFormat="1" x14ac:dyDescent="0.2">
      <c r="A78" s="21"/>
      <c r="B78" s="21"/>
      <c r="C78" s="22"/>
      <c r="D78" s="22"/>
      <c r="E78" s="22"/>
      <c r="F78" s="22"/>
      <c r="G78" s="22"/>
      <c r="H78" s="22"/>
      <c r="I78" s="287"/>
    </row>
    <row r="79" spans="1:34" s="19" customFormat="1" ht="14.25" customHeight="1" x14ac:dyDescent="0.2">
      <c r="A79" s="21"/>
      <c r="B79" s="21"/>
      <c r="C79" s="22"/>
      <c r="D79" s="22"/>
      <c r="E79" s="22"/>
      <c r="F79" s="22"/>
      <c r="G79" s="22"/>
      <c r="H79" s="22"/>
      <c r="I79" s="307"/>
    </row>
    <row r="80" spans="1:34" x14ac:dyDescent="0.2">
      <c r="I80" s="287"/>
    </row>
  </sheetData>
  <mergeCells count="11">
    <mergeCell ref="A72:B72"/>
    <mergeCell ref="A37:B37"/>
    <mergeCell ref="A2:H2"/>
    <mergeCell ref="I2:I5"/>
    <mergeCell ref="A3:H3"/>
    <mergeCell ref="A4:H4"/>
    <mergeCell ref="A5:H5"/>
    <mergeCell ref="A7:B9"/>
    <mergeCell ref="C7:G7"/>
    <mergeCell ref="H7:H8"/>
    <mergeCell ref="A6:H6"/>
  </mergeCells>
  <printOptions horizontalCentered="1"/>
  <pageMargins left="0.15748031496062992" right="0.15748031496062992" top="0.27559055118110237" bottom="0.51181102362204722" header="0.31496062992125984" footer="0.31496062992125984"/>
  <pageSetup scale="79" fitToHeight="0" orientation="landscape" r:id="rId1"/>
  <headerFooter>
    <oddFooter>&amp;C“Bajo protesta de decir verdad declaramos que los Estados Financieros y sus notas, son razonablemente correctos y son responsabilidad del emisor”</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9"/>
  <sheetViews>
    <sheetView view="pageBreakPreview" topLeftCell="A49" zoomScale="60" zoomScaleNormal="100" workbookViewId="0">
      <selection sqref="A1:H1"/>
    </sheetView>
  </sheetViews>
  <sheetFormatPr baseColWidth="10" defaultColWidth="11.42578125" defaultRowHeight="12.75" x14ac:dyDescent="0.2"/>
  <cols>
    <col min="1" max="1" width="6.28515625" style="537" bestFit="1" customWidth="1"/>
    <col min="2" max="2" width="66.28515625" style="537" bestFit="1" customWidth="1"/>
    <col min="3" max="3" width="13.7109375" style="538" customWidth="1"/>
    <col min="4" max="4" width="15" style="538" customWidth="1"/>
    <col min="5" max="5" width="16.85546875" style="538" customWidth="1"/>
    <col min="6" max="6" width="14.85546875" style="538" customWidth="1"/>
    <col min="7" max="8" width="13.7109375" style="538" customWidth="1"/>
    <col min="9" max="9" width="3.5703125" style="307" bestFit="1" customWidth="1"/>
    <col min="10" max="16384" width="11.42578125" style="540"/>
  </cols>
  <sheetData>
    <row r="1" spans="1:9" x14ac:dyDescent="0.2">
      <c r="H1" s="539"/>
      <c r="I1" s="615"/>
    </row>
    <row r="2" spans="1:9" ht="15.75" customHeight="1" x14ac:dyDescent="0.25">
      <c r="A2" s="1198" t="s">
        <v>719</v>
      </c>
      <c r="B2" s="1198"/>
      <c r="C2" s="1198"/>
      <c r="D2" s="1198"/>
      <c r="E2" s="1198"/>
      <c r="F2" s="1198"/>
      <c r="G2" s="1198"/>
      <c r="H2" s="1198"/>
      <c r="I2" s="1185"/>
    </row>
    <row r="3" spans="1:9" ht="15.75" customHeight="1" x14ac:dyDescent="0.25">
      <c r="A3" s="1199" t="s">
        <v>10647</v>
      </c>
      <c r="B3" s="1199"/>
      <c r="C3" s="1199"/>
      <c r="D3" s="1199"/>
      <c r="E3" s="1199"/>
      <c r="F3" s="1199"/>
      <c r="G3" s="1199"/>
      <c r="H3" s="1199"/>
      <c r="I3" s="1185"/>
    </row>
    <row r="4" spans="1:9" ht="15.75" customHeight="1" x14ac:dyDescent="0.25">
      <c r="A4" s="1199" t="s">
        <v>309</v>
      </c>
      <c r="B4" s="1199"/>
      <c r="C4" s="1199"/>
      <c r="D4" s="1199"/>
      <c r="E4" s="1199"/>
      <c r="F4" s="1199"/>
      <c r="G4" s="1199"/>
      <c r="H4" s="1199"/>
      <c r="I4" s="1185"/>
    </row>
    <row r="5" spans="1:9" ht="15.75" customHeight="1" x14ac:dyDescent="0.25">
      <c r="A5" s="1199" t="s">
        <v>8659</v>
      </c>
      <c r="B5" s="1199"/>
      <c r="C5" s="1199"/>
      <c r="D5" s="1199"/>
      <c r="E5" s="1199"/>
      <c r="F5" s="1199"/>
      <c r="G5" s="1199"/>
      <c r="H5" s="1199"/>
      <c r="I5" s="1185"/>
    </row>
    <row r="6" spans="1:9" ht="15.75" customHeight="1" x14ac:dyDescent="0.25">
      <c r="A6" s="1199" t="s">
        <v>10492</v>
      </c>
      <c r="B6" s="1199"/>
      <c r="C6" s="1199"/>
      <c r="D6" s="1199"/>
      <c r="E6" s="1199"/>
      <c r="F6" s="1199"/>
      <c r="G6" s="1199"/>
      <c r="H6" s="1199"/>
      <c r="I6" s="616"/>
    </row>
    <row r="7" spans="1:9" ht="15.75" customHeight="1" x14ac:dyDescent="0.25">
      <c r="A7" s="933"/>
      <c r="B7" s="933"/>
      <c r="C7" s="933"/>
      <c r="D7" s="933"/>
      <c r="E7" s="933"/>
      <c r="F7" s="933"/>
      <c r="G7" s="933"/>
      <c r="H7" s="933"/>
      <c r="I7" s="616"/>
    </row>
    <row r="8" spans="1:9" ht="15.75" customHeight="1" x14ac:dyDescent="0.25">
      <c r="A8" s="933"/>
      <c r="B8" s="933"/>
      <c r="C8" s="933"/>
      <c r="D8" s="933"/>
      <c r="E8" s="933"/>
      <c r="F8" s="933"/>
      <c r="G8" s="933"/>
      <c r="H8" s="933"/>
      <c r="I8" s="616"/>
    </row>
    <row r="9" spans="1:9" ht="13.5" thickBot="1" x14ac:dyDescent="0.25">
      <c r="A9" s="541"/>
      <c r="G9" s="542"/>
      <c r="H9" s="539"/>
      <c r="I9" s="295"/>
    </row>
    <row r="10" spans="1:9" s="544" customFormat="1" x14ac:dyDescent="0.2">
      <c r="A10" s="1200" t="s">
        <v>201</v>
      </c>
      <c r="B10" s="1201"/>
      <c r="C10" s="1206" t="s">
        <v>241</v>
      </c>
      <c r="D10" s="1207"/>
      <c r="E10" s="1207"/>
      <c r="F10" s="1207"/>
      <c r="G10" s="1208"/>
      <c r="H10" s="1209" t="s">
        <v>242</v>
      </c>
      <c r="I10" s="291"/>
    </row>
    <row r="11" spans="1:9" ht="26.25" thickBot="1" x14ac:dyDescent="0.25">
      <c r="A11" s="1202"/>
      <c r="B11" s="1203"/>
      <c r="C11" s="934" t="s">
        <v>243</v>
      </c>
      <c r="D11" s="934" t="s">
        <v>244</v>
      </c>
      <c r="E11" s="934" t="s">
        <v>245</v>
      </c>
      <c r="F11" s="934" t="s">
        <v>220</v>
      </c>
      <c r="G11" s="934" t="s">
        <v>246</v>
      </c>
      <c r="H11" s="1210"/>
      <c r="I11" s="280"/>
    </row>
    <row r="12" spans="1:9" ht="15" customHeight="1" thickBot="1" x14ac:dyDescent="0.25">
      <c r="A12" s="1204"/>
      <c r="B12" s="1205"/>
      <c r="C12" s="545">
        <v>1</v>
      </c>
      <c r="D12" s="545">
        <v>2</v>
      </c>
      <c r="E12" s="545" t="s">
        <v>247</v>
      </c>
      <c r="F12" s="545">
        <v>4</v>
      </c>
      <c r="G12" s="545">
        <v>5</v>
      </c>
      <c r="H12" s="545" t="s">
        <v>248</v>
      </c>
      <c r="I12" s="280"/>
    </row>
    <row r="13" spans="1:9" s="547" customFormat="1" ht="19.5" customHeight="1" x14ac:dyDescent="0.2">
      <c r="A13" s="1433" t="s">
        <v>10649</v>
      </c>
      <c r="B13" s="1434"/>
      <c r="C13" s="554">
        <f>C14+C23+C31+C41</f>
        <v>220630000.41000003</v>
      </c>
      <c r="D13" s="554">
        <f t="shared" ref="D13:H13" si="0">D14+D23+D31+D41</f>
        <v>-102700674.61999999</v>
      </c>
      <c r="E13" s="554">
        <f t="shared" si="0"/>
        <v>117929325.78999999</v>
      </c>
      <c r="F13" s="554">
        <f t="shared" si="0"/>
        <v>113268328.76999998</v>
      </c>
      <c r="G13" s="554">
        <f t="shared" si="0"/>
        <v>112763941.66</v>
      </c>
      <c r="H13" s="554">
        <f t="shared" si="0"/>
        <v>4660997.0200000145</v>
      </c>
      <c r="I13" s="280"/>
    </row>
    <row r="14" spans="1:9" s="547" customFormat="1" ht="19.5" customHeight="1" x14ac:dyDescent="0.2">
      <c r="A14" s="553" t="s">
        <v>12180</v>
      </c>
      <c r="B14" s="209" t="s">
        <v>310</v>
      </c>
      <c r="C14" s="554">
        <f t="shared" ref="C14:H14" si="1">SUM(C15:C22)</f>
        <v>109359896.90000001</v>
      </c>
      <c r="D14" s="554">
        <f t="shared" si="1"/>
        <v>-30995589.190000001</v>
      </c>
      <c r="E14" s="554">
        <f t="shared" si="1"/>
        <v>78364307.709999993</v>
      </c>
      <c r="F14" s="554">
        <f t="shared" si="1"/>
        <v>78359693.059999987</v>
      </c>
      <c r="G14" s="554">
        <f t="shared" si="1"/>
        <v>77860914.75</v>
      </c>
      <c r="H14" s="554">
        <f t="shared" si="1"/>
        <v>4614.6500000036322</v>
      </c>
      <c r="I14" s="280"/>
    </row>
    <row r="15" spans="1:9" s="547" customFormat="1" ht="19.5" customHeight="1" x14ac:dyDescent="0.2">
      <c r="A15" s="555" t="s">
        <v>12181</v>
      </c>
      <c r="B15" s="533" t="s">
        <v>312</v>
      </c>
      <c r="C15" s="271">
        <v>13770852.050000001</v>
      </c>
      <c r="D15" s="271">
        <v>3863462.61</v>
      </c>
      <c r="E15" s="271">
        <f t="shared" ref="E15:E22" si="2">C15+D15</f>
        <v>17634314.66</v>
      </c>
      <c r="F15" s="271">
        <v>17634314.66</v>
      </c>
      <c r="G15" s="271">
        <v>17634314.66</v>
      </c>
      <c r="H15" s="271">
        <f t="shared" ref="H15:H22" si="3">E15-F15</f>
        <v>0</v>
      </c>
      <c r="I15" s="280"/>
    </row>
    <row r="16" spans="1:9" s="547" customFormat="1" ht="19.5" customHeight="1" x14ac:dyDescent="0.2">
      <c r="A16" s="555" t="s">
        <v>12182</v>
      </c>
      <c r="B16" s="533" t="s">
        <v>314</v>
      </c>
      <c r="C16" s="271">
        <v>1740000</v>
      </c>
      <c r="D16" s="271">
        <v>-290000</v>
      </c>
      <c r="E16" s="271">
        <f t="shared" si="2"/>
        <v>1450000</v>
      </c>
      <c r="F16" s="271">
        <v>1450000</v>
      </c>
      <c r="G16" s="271">
        <v>1450000</v>
      </c>
      <c r="H16" s="271">
        <f t="shared" si="3"/>
        <v>0</v>
      </c>
      <c r="I16" s="280"/>
    </row>
    <row r="17" spans="1:10" s="547" customFormat="1" ht="19.5" customHeight="1" x14ac:dyDescent="0.2">
      <c r="A17" s="555" t="s">
        <v>12183</v>
      </c>
      <c r="B17" s="533" t="s">
        <v>316</v>
      </c>
      <c r="C17" s="271">
        <v>32432005.98</v>
      </c>
      <c r="D17" s="271">
        <v>-11071769.789999999</v>
      </c>
      <c r="E17" s="271">
        <f t="shared" si="2"/>
        <v>21360236.190000001</v>
      </c>
      <c r="F17" s="271">
        <v>21360236.199999999</v>
      </c>
      <c r="G17" s="271">
        <v>21200236.210000001</v>
      </c>
      <c r="H17" s="271">
        <f t="shared" si="3"/>
        <v>-9.9999979138374329E-3</v>
      </c>
      <c r="I17" s="280"/>
    </row>
    <row r="18" spans="1:10" s="547" customFormat="1" ht="19.5" hidden="1" customHeight="1" x14ac:dyDescent="0.2">
      <c r="A18" s="555" t="s">
        <v>317</v>
      </c>
      <c r="B18" s="533" t="s">
        <v>318</v>
      </c>
      <c r="C18" s="271">
        <v>0</v>
      </c>
      <c r="D18" s="271"/>
      <c r="E18" s="271">
        <f t="shared" si="2"/>
        <v>0</v>
      </c>
      <c r="F18" s="271"/>
      <c r="G18" s="271"/>
      <c r="H18" s="271">
        <f t="shared" si="3"/>
        <v>0</v>
      </c>
      <c r="I18" s="280"/>
    </row>
    <row r="19" spans="1:10" s="547" customFormat="1" ht="19.5" customHeight="1" x14ac:dyDescent="0.2">
      <c r="A19" s="555" t="s">
        <v>12185</v>
      </c>
      <c r="B19" s="533" t="s">
        <v>320</v>
      </c>
      <c r="C19" s="271">
        <v>15014225.41</v>
      </c>
      <c r="D19" s="271">
        <v>-4011297.41</v>
      </c>
      <c r="E19" s="271">
        <f t="shared" si="2"/>
        <v>11002928</v>
      </c>
      <c r="F19" s="271">
        <v>11002920.52</v>
      </c>
      <c r="G19" s="271">
        <v>10665822.369999999</v>
      </c>
      <c r="H19" s="271">
        <f t="shared" si="3"/>
        <v>7.4800000004470348</v>
      </c>
      <c r="I19" s="280"/>
    </row>
    <row r="20" spans="1:10" s="547" customFormat="1" ht="19.5" hidden="1" customHeight="1" x14ac:dyDescent="0.2">
      <c r="A20" s="555" t="s">
        <v>321</v>
      </c>
      <c r="B20" s="533" t="s">
        <v>322</v>
      </c>
      <c r="C20" s="271">
        <v>0</v>
      </c>
      <c r="D20" s="271"/>
      <c r="E20" s="271">
        <f t="shared" si="2"/>
        <v>0</v>
      </c>
      <c r="F20" s="271"/>
      <c r="G20" s="271"/>
      <c r="H20" s="271">
        <f t="shared" si="3"/>
        <v>0</v>
      </c>
      <c r="I20" s="280"/>
    </row>
    <row r="21" spans="1:10" s="547" customFormat="1" ht="19.5" customHeight="1" x14ac:dyDescent="0.2">
      <c r="A21" s="555" t="s">
        <v>12186</v>
      </c>
      <c r="B21" s="533" t="s">
        <v>324</v>
      </c>
      <c r="C21" s="271">
        <v>5832767.6399999997</v>
      </c>
      <c r="D21" s="271">
        <v>-3947977.3</v>
      </c>
      <c r="E21" s="271">
        <f t="shared" si="2"/>
        <v>1884790.3399999999</v>
      </c>
      <c r="F21" s="271">
        <v>1880183.19</v>
      </c>
      <c r="G21" s="271">
        <v>1880183.19</v>
      </c>
      <c r="H21" s="271">
        <f t="shared" si="3"/>
        <v>4607.1499999999069</v>
      </c>
      <c r="I21" s="280"/>
    </row>
    <row r="22" spans="1:10" s="547" customFormat="1" ht="19.5" customHeight="1" x14ac:dyDescent="0.2">
      <c r="A22" s="555" t="s">
        <v>12230</v>
      </c>
      <c r="B22" s="533" t="s">
        <v>273</v>
      </c>
      <c r="C22" s="271">
        <v>40570045.82</v>
      </c>
      <c r="D22" s="271">
        <v>-15538007.300000001</v>
      </c>
      <c r="E22" s="271">
        <f t="shared" si="2"/>
        <v>25032038.52</v>
      </c>
      <c r="F22" s="271">
        <v>25032038.489999998</v>
      </c>
      <c r="G22" s="271">
        <v>25030358.32</v>
      </c>
      <c r="H22" s="271">
        <f t="shared" si="3"/>
        <v>3.0000001192092896E-2</v>
      </c>
      <c r="I22" s="280"/>
    </row>
    <row r="23" spans="1:10" s="547" customFormat="1" ht="19.5" customHeight="1" x14ac:dyDescent="0.2">
      <c r="A23" s="553" t="s">
        <v>12231</v>
      </c>
      <c r="B23" s="209" t="s">
        <v>326</v>
      </c>
      <c r="C23" s="272">
        <f t="shared" ref="C23:H23" si="4">SUM(C24:C30)</f>
        <v>109801567.01000001</v>
      </c>
      <c r="D23" s="272">
        <f t="shared" si="4"/>
        <v>-84794796.419999987</v>
      </c>
      <c r="E23" s="272">
        <f t="shared" si="4"/>
        <v>25006770.590000007</v>
      </c>
      <c r="F23" s="272">
        <f t="shared" si="4"/>
        <v>20350388.219999999</v>
      </c>
      <c r="G23" s="272">
        <f t="shared" si="4"/>
        <v>20344779.419999998</v>
      </c>
      <c r="H23" s="272">
        <f t="shared" si="4"/>
        <v>4656382.3700000104</v>
      </c>
      <c r="I23" s="280"/>
    </row>
    <row r="24" spans="1:10" s="547" customFormat="1" ht="19.5" customHeight="1" x14ac:dyDescent="0.2">
      <c r="A24" s="555" t="s">
        <v>12188</v>
      </c>
      <c r="B24" s="533" t="s">
        <v>328</v>
      </c>
      <c r="C24" s="271">
        <v>12105569.640000001</v>
      </c>
      <c r="D24" s="271">
        <v>-9155589.0700000003</v>
      </c>
      <c r="E24" s="271">
        <f t="shared" ref="E24:E29" si="5">C24+D24</f>
        <v>2949980.5700000003</v>
      </c>
      <c r="F24" s="271">
        <v>2949980.58</v>
      </c>
      <c r="G24" s="271">
        <v>2944371.78</v>
      </c>
      <c r="H24" s="271">
        <f t="shared" ref="H24:H30" si="6">E24-F24</f>
        <v>-9.9999997764825821E-3</v>
      </c>
      <c r="I24" s="280"/>
    </row>
    <row r="25" spans="1:10" s="547" customFormat="1" ht="19.5" customHeight="1" x14ac:dyDescent="0.2">
      <c r="A25" s="555" t="s">
        <v>12189</v>
      </c>
      <c r="B25" s="533" t="s">
        <v>330</v>
      </c>
      <c r="C25" s="271">
        <v>93301202.510000005</v>
      </c>
      <c r="D25" s="271">
        <v>-75989999.129999995</v>
      </c>
      <c r="E25" s="271">
        <f t="shared" si="5"/>
        <v>17311203.38000001</v>
      </c>
      <c r="F25" s="271">
        <v>12655157.42</v>
      </c>
      <c r="G25" s="271">
        <v>12655157.42</v>
      </c>
      <c r="H25" s="271">
        <f t="shared" si="6"/>
        <v>4656045.9600000102</v>
      </c>
      <c r="I25" s="280"/>
    </row>
    <row r="26" spans="1:10" s="547" customFormat="1" ht="19.5" hidden="1" customHeight="1" x14ac:dyDescent="0.2">
      <c r="A26" s="555" t="s">
        <v>331</v>
      </c>
      <c r="B26" s="533" t="s">
        <v>332</v>
      </c>
      <c r="C26" s="271">
        <v>0</v>
      </c>
      <c r="D26" s="271"/>
      <c r="E26" s="271">
        <f t="shared" si="5"/>
        <v>0</v>
      </c>
      <c r="F26" s="271"/>
      <c r="G26" s="271"/>
      <c r="H26" s="271">
        <f t="shared" si="6"/>
        <v>0</v>
      </c>
      <c r="I26" s="291"/>
    </row>
    <row r="27" spans="1:10" s="547" customFormat="1" ht="19.5" customHeight="1" x14ac:dyDescent="0.2">
      <c r="A27" s="555" t="s">
        <v>12191</v>
      </c>
      <c r="B27" s="533" t="s">
        <v>334</v>
      </c>
      <c r="C27" s="271">
        <v>2172264.08</v>
      </c>
      <c r="D27" s="271">
        <v>-934655</v>
      </c>
      <c r="E27" s="271">
        <f t="shared" si="5"/>
        <v>1237609.08</v>
      </c>
      <c r="F27" s="271">
        <v>1237609.06</v>
      </c>
      <c r="G27" s="271">
        <v>1237609.06</v>
      </c>
      <c r="H27" s="271">
        <f t="shared" si="6"/>
        <v>2.0000000018626451E-2</v>
      </c>
      <c r="I27" s="280"/>
      <c r="J27" s="620"/>
    </row>
    <row r="28" spans="1:10" s="547" customFormat="1" ht="19.5" customHeight="1" x14ac:dyDescent="0.2">
      <c r="A28" s="555" t="s">
        <v>12192</v>
      </c>
      <c r="B28" s="533" t="s">
        <v>336</v>
      </c>
      <c r="C28" s="271">
        <v>449101.43</v>
      </c>
      <c r="D28" s="271">
        <v>2623134.34</v>
      </c>
      <c r="E28" s="271">
        <f t="shared" si="5"/>
        <v>3072235.77</v>
      </c>
      <c r="F28" s="271">
        <v>3072235.77</v>
      </c>
      <c r="G28" s="271">
        <v>3072235.77</v>
      </c>
      <c r="H28" s="271">
        <f t="shared" si="6"/>
        <v>0</v>
      </c>
      <c r="I28" s="280"/>
    </row>
    <row r="29" spans="1:10" s="547" customFormat="1" ht="19.5" customHeight="1" x14ac:dyDescent="0.2">
      <c r="A29" s="555" t="s">
        <v>12193</v>
      </c>
      <c r="B29" s="533" t="s">
        <v>338</v>
      </c>
      <c r="C29" s="271">
        <v>1773429.35</v>
      </c>
      <c r="D29" s="271">
        <v>-1337687.56</v>
      </c>
      <c r="E29" s="271">
        <f t="shared" si="5"/>
        <v>435741.79000000004</v>
      </c>
      <c r="F29" s="271">
        <v>435405.39</v>
      </c>
      <c r="G29" s="271">
        <v>435405.39</v>
      </c>
      <c r="H29" s="271">
        <f t="shared" si="6"/>
        <v>336.40000000002328</v>
      </c>
      <c r="I29" s="291"/>
    </row>
    <row r="30" spans="1:10" s="547" customFormat="1" ht="19.5" hidden="1" customHeight="1" x14ac:dyDescent="0.2">
      <c r="A30" s="555" t="s">
        <v>339</v>
      </c>
      <c r="B30" s="533" t="s">
        <v>340</v>
      </c>
      <c r="C30" s="271">
        <v>0</v>
      </c>
      <c r="D30" s="271">
        <v>0</v>
      </c>
      <c r="E30" s="271">
        <v>0</v>
      </c>
      <c r="F30" s="271">
        <v>0</v>
      </c>
      <c r="G30" s="271">
        <v>0</v>
      </c>
      <c r="H30" s="271">
        <f t="shared" si="6"/>
        <v>0</v>
      </c>
      <c r="I30" s="280"/>
    </row>
    <row r="31" spans="1:10" s="547" customFormat="1" ht="19.5" customHeight="1" x14ac:dyDescent="0.2">
      <c r="A31" s="553" t="s">
        <v>12196</v>
      </c>
      <c r="B31" s="209" t="s">
        <v>341</v>
      </c>
      <c r="C31" s="272">
        <f t="shared" ref="C31:H31" si="7">SUM(C32:C40)</f>
        <v>1468536.5</v>
      </c>
      <c r="D31" s="272">
        <f t="shared" si="7"/>
        <v>-1171640.1199999999</v>
      </c>
      <c r="E31" s="272">
        <f t="shared" si="7"/>
        <v>296896.38</v>
      </c>
      <c r="F31" s="272">
        <f t="shared" si="7"/>
        <v>296896.38</v>
      </c>
      <c r="G31" s="272">
        <f t="shared" si="7"/>
        <v>296896.38</v>
      </c>
      <c r="H31" s="272">
        <f t="shared" si="7"/>
        <v>0</v>
      </c>
      <c r="I31" s="280"/>
    </row>
    <row r="32" spans="1:10" s="547" customFormat="1" ht="19.5" customHeight="1" x14ac:dyDescent="0.2">
      <c r="A32" s="555" t="s">
        <v>12197</v>
      </c>
      <c r="B32" s="533" t="s">
        <v>343</v>
      </c>
      <c r="C32" s="271">
        <v>196292.56</v>
      </c>
      <c r="D32" s="271">
        <v>-85767.21</v>
      </c>
      <c r="E32" s="271">
        <f t="shared" ref="E32:E38" si="8">C32+D32</f>
        <v>110525.34999999999</v>
      </c>
      <c r="F32" s="271">
        <v>110525.35</v>
      </c>
      <c r="G32" s="271">
        <v>110525.35</v>
      </c>
      <c r="H32" s="271">
        <f t="shared" ref="H32:H38" si="9">E32-F32</f>
        <v>0</v>
      </c>
      <c r="I32" s="280"/>
    </row>
    <row r="33" spans="1:9" s="547" customFormat="1" ht="19.5" customHeight="1" x14ac:dyDescent="0.2">
      <c r="A33" s="555" t="s">
        <v>12198</v>
      </c>
      <c r="B33" s="533" t="s">
        <v>345</v>
      </c>
      <c r="C33" s="271">
        <v>1272243.94</v>
      </c>
      <c r="D33" s="271">
        <v>-1085872.9099999999</v>
      </c>
      <c r="E33" s="271">
        <f t="shared" si="8"/>
        <v>186371.03000000003</v>
      </c>
      <c r="F33" s="271">
        <v>186371.03</v>
      </c>
      <c r="G33" s="271">
        <v>186371.03</v>
      </c>
      <c r="H33" s="271">
        <f t="shared" si="9"/>
        <v>0</v>
      </c>
      <c r="I33" s="280"/>
    </row>
    <row r="34" spans="1:9" s="547" customFormat="1" ht="19.5" hidden="1" customHeight="1" x14ac:dyDescent="0.2">
      <c r="A34" s="555" t="s">
        <v>346</v>
      </c>
      <c r="B34" s="533" t="s">
        <v>347</v>
      </c>
      <c r="C34" s="271">
        <v>0</v>
      </c>
      <c r="D34" s="271"/>
      <c r="E34" s="271">
        <f t="shared" si="8"/>
        <v>0</v>
      </c>
      <c r="F34" s="271">
        <v>0</v>
      </c>
      <c r="G34" s="271">
        <v>0</v>
      </c>
      <c r="H34" s="271">
        <f t="shared" si="9"/>
        <v>0</v>
      </c>
      <c r="I34" s="280"/>
    </row>
    <row r="35" spans="1:9" s="547" customFormat="1" ht="19.5" hidden="1" customHeight="1" x14ac:dyDescent="0.2">
      <c r="A35" s="555" t="s">
        <v>348</v>
      </c>
      <c r="B35" s="533" t="s">
        <v>349</v>
      </c>
      <c r="C35" s="271">
        <v>0</v>
      </c>
      <c r="D35" s="271"/>
      <c r="E35" s="271">
        <f t="shared" si="8"/>
        <v>0</v>
      </c>
      <c r="F35" s="271">
        <v>0</v>
      </c>
      <c r="G35" s="271">
        <v>0</v>
      </c>
      <c r="H35" s="271">
        <f t="shared" si="9"/>
        <v>0</v>
      </c>
      <c r="I35" s="291"/>
    </row>
    <row r="36" spans="1:9" s="547" customFormat="1" ht="19.5" hidden="1" customHeight="1" x14ac:dyDescent="0.2">
      <c r="A36" s="555" t="s">
        <v>350</v>
      </c>
      <c r="B36" s="533" t="s">
        <v>351</v>
      </c>
      <c r="C36" s="271">
        <v>0</v>
      </c>
      <c r="D36" s="271"/>
      <c r="E36" s="271">
        <f t="shared" si="8"/>
        <v>0</v>
      </c>
      <c r="F36" s="271">
        <v>0</v>
      </c>
      <c r="G36" s="271">
        <v>0</v>
      </c>
      <c r="H36" s="271">
        <f t="shared" si="9"/>
        <v>0</v>
      </c>
      <c r="I36" s="295"/>
    </row>
    <row r="37" spans="1:9" s="547" customFormat="1" ht="19.5" hidden="1" customHeight="1" x14ac:dyDescent="0.2">
      <c r="A37" s="555" t="s">
        <v>352</v>
      </c>
      <c r="B37" s="533" t="s">
        <v>353</v>
      </c>
      <c r="C37" s="271">
        <v>0</v>
      </c>
      <c r="D37" s="271"/>
      <c r="E37" s="271">
        <f t="shared" si="8"/>
        <v>0</v>
      </c>
      <c r="F37" s="271">
        <v>0</v>
      </c>
      <c r="G37" s="271">
        <v>0</v>
      </c>
      <c r="H37" s="271">
        <f t="shared" si="9"/>
        <v>0</v>
      </c>
      <c r="I37" s="291"/>
    </row>
    <row r="38" spans="1:9" s="547" customFormat="1" ht="19.5" customHeight="1" x14ac:dyDescent="0.2">
      <c r="A38" s="555" t="s">
        <v>12203</v>
      </c>
      <c r="B38" s="533" t="s">
        <v>355</v>
      </c>
      <c r="C38" s="271">
        <v>0</v>
      </c>
      <c r="D38" s="271">
        <v>0</v>
      </c>
      <c r="E38" s="271">
        <f t="shared" si="8"/>
        <v>0</v>
      </c>
      <c r="F38" s="271">
        <v>0</v>
      </c>
      <c r="G38" s="271">
        <v>0</v>
      </c>
      <c r="H38" s="815">
        <f t="shared" si="9"/>
        <v>0</v>
      </c>
      <c r="I38" s="280"/>
    </row>
    <row r="39" spans="1:9" s="547" customFormat="1" ht="19.5" hidden="1" customHeight="1" x14ac:dyDescent="0.2">
      <c r="A39" s="555" t="s">
        <v>356</v>
      </c>
      <c r="B39" s="533" t="s">
        <v>357</v>
      </c>
      <c r="C39" s="271">
        <v>0</v>
      </c>
      <c r="D39" s="271">
        <f>E39-C39</f>
        <v>0</v>
      </c>
      <c r="E39" s="271">
        <v>0</v>
      </c>
      <c r="F39" s="271">
        <v>0</v>
      </c>
      <c r="G39" s="271">
        <v>0</v>
      </c>
      <c r="H39" s="271">
        <v>0</v>
      </c>
      <c r="I39" s="280"/>
    </row>
    <row r="40" spans="1:9" s="547" customFormat="1" ht="19.5" hidden="1" customHeight="1" x14ac:dyDescent="0.2">
      <c r="A40" s="555" t="s">
        <v>358</v>
      </c>
      <c r="B40" s="533" t="s">
        <v>359</v>
      </c>
      <c r="C40" s="271">
        <v>0</v>
      </c>
      <c r="D40" s="271">
        <f>E40-C40</f>
        <v>0</v>
      </c>
      <c r="E40" s="271">
        <v>0</v>
      </c>
      <c r="F40" s="271">
        <v>0</v>
      </c>
      <c r="G40" s="271">
        <v>0</v>
      </c>
      <c r="H40" s="271">
        <v>0</v>
      </c>
      <c r="I40" s="280"/>
    </row>
    <row r="41" spans="1:9" s="547" customFormat="1" ht="19.5" customHeight="1" x14ac:dyDescent="0.2">
      <c r="A41" s="553" t="s">
        <v>12206</v>
      </c>
      <c r="B41" s="209" t="s">
        <v>1204</v>
      </c>
      <c r="C41" s="272">
        <f t="shared" ref="C41:H41" si="10">SUM(C42:C45)</f>
        <v>0</v>
      </c>
      <c r="D41" s="272">
        <f t="shared" si="10"/>
        <v>14261351.109999999</v>
      </c>
      <c r="E41" s="272">
        <f t="shared" si="10"/>
        <v>14261351.109999999</v>
      </c>
      <c r="F41" s="272">
        <f t="shared" si="10"/>
        <v>14261351.109999999</v>
      </c>
      <c r="G41" s="272">
        <f t="shared" si="10"/>
        <v>14261351.109999999</v>
      </c>
      <c r="H41" s="272">
        <f t="shared" si="10"/>
        <v>0</v>
      </c>
      <c r="I41" s="280"/>
    </row>
    <row r="42" spans="1:9" s="547" customFormat="1" ht="19.5" customHeight="1" x14ac:dyDescent="0.2">
      <c r="A42" s="555" t="s">
        <v>12207</v>
      </c>
      <c r="B42" s="533" t="s">
        <v>361</v>
      </c>
      <c r="C42" s="271">
        <v>0</v>
      </c>
      <c r="D42" s="271">
        <v>14261351.109999999</v>
      </c>
      <c r="E42" s="271">
        <f>C42+D42</f>
        <v>14261351.109999999</v>
      </c>
      <c r="F42" s="271">
        <v>14261351.109999999</v>
      </c>
      <c r="G42" s="271">
        <v>14261351.109999999</v>
      </c>
      <c r="H42" s="271">
        <f>E42-F42</f>
        <v>0</v>
      </c>
      <c r="I42" s="295"/>
    </row>
    <row r="43" spans="1:9" s="547" customFormat="1" ht="19.5" hidden="1" customHeight="1" x14ac:dyDescent="0.2">
      <c r="A43" s="555" t="s">
        <v>362</v>
      </c>
      <c r="B43" s="556" t="s">
        <v>363</v>
      </c>
      <c r="C43" s="271">
        <v>0</v>
      </c>
      <c r="D43" s="271">
        <v>0</v>
      </c>
      <c r="E43" s="271">
        <v>0</v>
      </c>
      <c r="F43" s="271">
        <v>0</v>
      </c>
      <c r="G43" s="271">
        <v>0</v>
      </c>
      <c r="H43" s="271">
        <v>0</v>
      </c>
      <c r="I43" s="291"/>
    </row>
    <row r="44" spans="1:9" s="547" customFormat="1" ht="19.5" hidden="1" customHeight="1" x14ac:dyDescent="0.2">
      <c r="A44" s="555" t="s">
        <v>364</v>
      </c>
      <c r="B44" s="533" t="s">
        <v>365</v>
      </c>
      <c r="C44" s="271">
        <v>0</v>
      </c>
      <c r="D44" s="271">
        <v>0</v>
      </c>
      <c r="E44" s="271">
        <v>0</v>
      </c>
      <c r="F44" s="271">
        <v>0</v>
      </c>
      <c r="G44" s="271">
        <v>0</v>
      </c>
      <c r="H44" s="271">
        <v>0</v>
      </c>
      <c r="I44" s="280"/>
    </row>
    <row r="45" spans="1:9" s="547" customFormat="1" ht="19.5" hidden="1" customHeight="1" x14ac:dyDescent="0.2">
      <c r="A45" s="555" t="s">
        <v>366</v>
      </c>
      <c r="B45" s="533" t="s">
        <v>367</v>
      </c>
      <c r="C45" s="271">
        <v>0</v>
      </c>
      <c r="D45" s="271">
        <v>0</v>
      </c>
      <c r="E45" s="271">
        <v>0</v>
      </c>
      <c r="F45" s="271">
        <v>0</v>
      </c>
      <c r="G45" s="271">
        <v>0</v>
      </c>
      <c r="H45" s="271">
        <v>0</v>
      </c>
      <c r="I45" s="280"/>
    </row>
    <row r="46" spans="1:9" s="547" customFormat="1" ht="19.5" customHeight="1" thickBot="1" x14ac:dyDescent="0.25">
      <c r="A46" s="1211"/>
      <c r="B46" s="1212"/>
      <c r="C46" s="273"/>
      <c r="D46" s="273"/>
      <c r="E46" s="273"/>
      <c r="F46" s="273"/>
      <c r="G46" s="273"/>
      <c r="H46" s="273"/>
      <c r="I46" s="291"/>
    </row>
    <row r="47" spans="1:9" x14ac:dyDescent="0.2">
      <c r="I47" s="291"/>
    </row>
    <row r="48" spans="1:9" x14ac:dyDescent="0.2">
      <c r="I48" s="291"/>
    </row>
    <row r="49" spans="1:9" x14ac:dyDescent="0.2">
      <c r="I49" s="291"/>
    </row>
    <row r="50" spans="1:9" x14ac:dyDescent="0.2">
      <c r="I50" s="291"/>
    </row>
    <row r="51" spans="1:9" x14ac:dyDescent="0.2">
      <c r="I51" s="291"/>
    </row>
    <row r="52" spans="1:9" x14ac:dyDescent="0.2">
      <c r="I52" s="291"/>
    </row>
    <row r="53" spans="1:9" x14ac:dyDescent="0.2">
      <c r="I53" s="291"/>
    </row>
    <row r="54" spans="1:9" x14ac:dyDescent="0.2">
      <c r="H54" s="539"/>
      <c r="I54" s="615"/>
    </row>
    <row r="55" spans="1:9" ht="15.75" customHeight="1" x14ac:dyDescent="0.25">
      <c r="A55" s="1198" t="s">
        <v>719</v>
      </c>
      <c r="B55" s="1198"/>
      <c r="C55" s="1198"/>
      <c r="D55" s="1198"/>
      <c r="E55" s="1198"/>
      <c r="F55" s="1198"/>
      <c r="G55" s="1198"/>
      <c r="H55" s="1198"/>
      <c r="I55" s="1185"/>
    </row>
    <row r="56" spans="1:9" ht="15.75" customHeight="1" x14ac:dyDescent="0.25">
      <c r="A56" s="1199" t="s">
        <v>10647</v>
      </c>
      <c r="B56" s="1199"/>
      <c r="C56" s="1199"/>
      <c r="D56" s="1199"/>
      <c r="E56" s="1199"/>
      <c r="F56" s="1199"/>
      <c r="G56" s="1199"/>
      <c r="H56" s="1199"/>
      <c r="I56" s="1185"/>
    </row>
    <row r="57" spans="1:9" ht="15.75" customHeight="1" x14ac:dyDescent="0.25">
      <c r="A57" s="1199" t="s">
        <v>309</v>
      </c>
      <c r="B57" s="1199"/>
      <c r="C57" s="1199"/>
      <c r="D57" s="1199"/>
      <c r="E57" s="1199"/>
      <c r="F57" s="1199"/>
      <c r="G57" s="1199"/>
      <c r="H57" s="1199"/>
      <c r="I57" s="1185"/>
    </row>
    <row r="58" spans="1:9" ht="15.75" customHeight="1" x14ac:dyDescent="0.25">
      <c r="A58" s="1199" t="s">
        <v>8659</v>
      </c>
      <c r="B58" s="1199"/>
      <c r="C58" s="1199"/>
      <c r="D58" s="1199"/>
      <c r="E58" s="1199"/>
      <c r="F58" s="1199"/>
      <c r="G58" s="1199"/>
      <c r="H58" s="1199"/>
      <c r="I58" s="1185"/>
    </row>
    <row r="59" spans="1:9" ht="15.75" customHeight="1" x14ac:dyDescent="0.25">
      <c r="A59" s="1199" t="s">
        <v>10492</v>
      </c>
      <c r="B59" s="1199"/>
      <c r="C59" s="1199"/>
      <c r="D59" s="1199"/>
      <c r="E59" s="1199"/>
      <c r="F59" s="1199"/>
      <c r="G59" s="1199"/>
      <c r="H59" s="1199"/>
      <c r="I59" s="616"/>
    </row>
    <row r="60" spans="1:9" ht="15.75" customHeight="1" x14ac:dyDescent="0.25">
      <c r="A60" s="1106"/>
      <c r="B60" s="1106"/>
      <c r="C60" s="1106"/>
      <c r="D60" s="1106"/>
      <c r="E60" s="1106"/>
      <c r="F60" s="1106"/>
      <c r="G60" s="1106"/>
      <c r="H60" s="1106"/>
      <c r="I60" s="616"/>
    </row>
    <row r="61" spans="1:9" ht="15.75" customHeight="1" x14ac:dyDescent="0.25">
      <c r="A61" s="1106"/>
      <c r="B61" s="1106"/>
      <c r="C61" s="1106"/>
      <c r="D61" s="1106"/>
      <c r="E61" s="1106"/>
      <c r="F61" s="1106"/>
      <c r="G61" s="1106"/>
      <c r="H61" s="1106"/>
      <c r="I61" s="616"/>
    </row>
    <row r="62" spans="1:9" ht="13.5" thickBot="1" x14ac:dyDescent="0.25">
      <c r="A62" s="541"/>
      <c r="G62" s="542"/>
      <c r="H62" s="539"/>
      <c r="I62" s="295"/>
    </row>
    <row r="63" spans="1:9" s="544" customFormat="1" x14ac:dyDescent="0.2">
      <c r="A63" s="1200" t="s">
        <v>201</v>
      </c>
      <c r="B63" s="1201"/>
      <c r="C63" s="1206" t="s">
        <v>241</v>
      </c>
      <c r="D63" s="1207"/>
      <c r="E63" s="1207"/>
      <c r="F63" s="1207"/>
      <c r="G63" s="1208"/>
      <c r="H63" s="1209" t="s">
        <v>242</v>
      </c>
      <c r="I63" s="291"/>
    </row>
    <row r="64" spans="1:9" ht="26.25" thickBot="1" x14ac:dyDescent="0.25">
      <c r="A64" s="1202"/>
      <c r="B64" s="1203"/>
      <c r="C64" s="1107" t="s">
        <v>243</v>
      </c>
      <c r="D64" s="1107" t="s">
        <v>244</v>
      </c>
      <c r="E64" s="1107" t="s">
        <v>245</v>
      </c>
      <c r="F64" s="1107" t="s">
        <v>220</v>
      </c>
      <c r="G64" s="1107" t="s">
        <v>246</v>
      </c>
      <c r="H64" s="1210"/>
      <c r="I64" s="280"/>
    </row>
    <row r="65" spans="1:10" ht="15" customHeight="1" thickBot="1" x14ac:dyDescent="0.25">
      <c r="A65" s="1204"/>
      <c r="B65" s="1205"/>
      <c r="C65" s="545">
        <v>1</v>
      </c>
      <c r="D65" s="545">
        <v>2</v>
      </c>
      <c r="E65" s="545" t="s">
        <v>247</v>
      </c>
      <c r="F65" s="545">
        <v>4</v>
      </c>
      <c r="G65" s="545">
        <v>5</v>
      </c>
      <c r="H65" s="545" t="s">
        <v>248</v>
      </c>
      <c r="I65" s="280"/>
    </row>
    <row r="66" spans="1:10" s="547" customFormat="1" ht="19.5" customHeight="1" x14ac:dyDescent="0.2">
      <c r="A66" s="1433" t="s">
        <v>12232</v>
      </c>
      <c r="B66" s="1434"/>
      <c r="C66" s="554">
        <f>C67+C76+C84+C94</f>
        <v>624451314.59000003</v>
      </c>
      <c r="D66" s="554">
        <f t="shared" ref="D66" si="11">D67+D76+D84+D94</f>
        <v>538898472.27999997</v>
      </c>
      <c r="E66" s="554">
        <f t="shared" ref="E66" si="12">E67+E76+E84+E94</f>
        <v>1163349786.8599999</v>
      </c>
      <c r="F66" s="554">
        <f t="shared" ref="F66" si="13">F67+F76+F84+F94</f>
        <v>1122760228.0299997</v>
      </c>
      <c r="G66" s="554">
        <f t="shared" ref="G66" si="14">G67+G76+G84+G94</f>
        <v>1085608024.7</v>
      </c>
      <c r="H66" s="554">
        <f t="shared" ref="H66" si="15">H67+H76+H84+H94</f>
        <v>40589558.829999976</v>
      </c>
      <c r="I66" s="280"/>
    </row>
    <row r="67" spans="1:10" s="547" customFormat="1" ht="19.5" customHeight="1" x14ac:dyDescent="0.2">
      <c r="A67" s="553" t="s">
        <v>12180</v>
      </c>
      <c r="B67" s="209" t="s">
        <v>310</v>
      </c>
      <c r="C67" s="554">
        <f t="shared" ref="C67:H67" si="16">SUM(C68:C75)</f>
        <v>209911601.44</v>
      </c>
      <c r="D67" s="554">
        <f t="shared" si="16"/>
        <v>151696982.18000001</v>
      </c>
      <c r="E67" s="554">
        <f t="shared" si="16"/>
        <v>361608583.60999995</v>
      </c>
      <c r="F67" s="554">
        <f t="shared" si="16"/>
        <v>360788039.44</v>
      </c>
      <c r="G67" s="554">
        <f t="shared" si="16"/>
        <v>347282931.69</v>
      </c>
      <c r="H67" s="554">
        <f t="shared" si="16"/>
        <v>820544.16999995708</v>
      </c>
      <c r="I67" s="280"/>
    </row>
    <row r="68" spans="1:10" s="547" customFormat="1" ht="19.5" customHeight="1" x14ac:dyDescent="0.2">
      <c r="A68" s="555" t="s">
        <v>12181</v>
      </c>
      <c r="B68" s="533" t="s">
        <v>312</v>
      </c>
      <c r="C68" s="271">
        <v>3823838.48</v>
      </c>
      <c r="D68" s="271">
        <v>2563454.4500000002</v>
      </c>
      <c r="E68" s="271">
        <f>C68+D68-0.01</f>
        <v>6387292.9199999999</v>
      </c>
      <c r="F68" s="271">
        <v>6387292.9199999999</v>
      </c>
      <c r="G68" s="271">
        <v>6271524</v>
      </c>
      <c r="H68" s="271">
        <f t="shared" ref="H68:H75" si="17">E68-F68</f>
        <v>0</v>
      </c>
      <c r="I68" s="280"/>
    </row>
    <row r="69" spans="1:10" s="547" customFormat="1" ht="19.5" customHeight="1" x14ac:dyDescent="0.2">
      <c r="A69" s="555" t="s">
        <v>12182</v>
      </c>
      <c r="B69" s="533" t="s">
        <v>314</v>
      </c>
      <c r="C69" s="271">
        <v>0</v>
      </c>
      <c r="D69" s="271">
        <v>290000</v>
      </c>
      <c r="E69" s="271">
        <f t="shared" ref="E69:E75" si="18">C69+D69</f>
        <v>290000</v>
      </c>
      <c r="F69" s="271">
        <v>290000</v>
      </c>
      <c r="G69" s="271">
        <v>290000</v>
      </c>
      <c r="H69" s="271">
        <f t="shared" si="17"/>
        <v>0</v>
      </c>
      <c r="I69" s="280"/>
    </row>
    <row r="70" spans="1:10" s="547" customFormat="1" ht="19.5" customHeight="1" x14ac:dyDescent="0.2">
      <c r="A70" s="555" t="s">
        <v>12183</v>
      </c>
      <c r="B70" s="533" t="s">
        <v>316</v>
      </c>
      <c r="C70" s="271">
        <v>39836442.399999999</v>
      </c>
      <c r="D70" s="271">
        <v>5722273.4299999997</v>
      </c>
      <c r="E70" s="271">
        <f t="shared" si="18"/>
        <v>45558715.829999998</v>
      </c>
      <c r="F70" s="271">
        <v>45478085.909999996</v>
      </c>
      <c r="G70" s="271">
        <v>43840981.740000002</v>
      </c>
      <c r="H70" s="271">
        <f t="shared" si="17"/>
        <v>80629.920000001788</v>
      </c>
      <c r="I70" s="280"/>
    </row>
    <row r="71" spans="1:10" s="547" customFormat="1" ht="19.5" hidden="1" customHeight="1" x14ac:dyDescent="0.2">
      <c r="A71" s="555" t="s">
        <v>317</v>
      </c>
      <c r="B71" s="533" t="s">
        <v>318</v>
      </c>
      <c r="C71" s="271">
        <v>0</v>
      </c>
      <c r="D71" s="271"/>
      <c r="E71" s="271">
        <f t="shared" si="18"/>
        <v>0</v>
      </c>
      <c r="F71" s="271"/>
      <c r="G71" s="271"/>
      <c r="H71" s="271">
        <f t="shared" si="17"/>
        <v>0</v>
      </c>
      <c r="I71" s="280"/>
    </row>
    <row r="72" spans="1:10" s="547" customFormat="1" ht="19.5" customHeight="1" x14ac:dyDescent="0.2">
      <c r="A72" s="555" t="s">
        <v>12185</v>
      </c>
      <c r="B72" s="533" t="s">
        <v>320</v>
      </c>
      <c r="C72" s="271">
        <v>31333119.699999999</v>
      </c>
      <c r="D72" s="271">
        <v>58072400.439999998</v>
      </c>
      <c r="E72" s="271">
        <f t="shared" si="18"/>
        <v>89405520.140000001</v>
      </c>
      <c r="F72" s="271">
        <f>71087593.8+17665353</f>
        <v>88752946.799999997</v>
      </c>
      <c r="G72" s="271">
        <f>70184737.46+17665353</f>
        <v>87850090.459999993</v>
      </c>
      <c r="H72" s="271">
        <f t="shared" si="17"/>
        <v>652573.34000000358</v>
      </c>
      <c r="I72" s="280"/>
    </row>
    <row r="73" spans="1:10" s="547" customFormat="1" ht="19.5" hidden="1" customHeight="1" x14ac:dyDescent="0.2">
      <c r="A73" s="555" t="s">
        <v>321</v>
      </c>
      <c r="B73" s="533" t="s">
        <v>322</v>
      </c>
      <c r="C73" s="271">
        <v>0</v>
      </c>
      <c r="D73" s="271"/>
      <c r="E73" s="271">
        <f t="shared" si="18"/>
        <v>0</v>
      </c>
      <c r="F73" s="271"/>
      <c r="G73" s="271"/>
      <c r="H73" s="271">
        <f t="shared" si="17"/>
        <v>0</v>
      </c>
      <c r="I73" s="280"/>
    </row>
    <row r="74" spans="1:10" s="547" customFormat="1" ht="19.5" customHeight="1" x14ac:dyDescent="0.2">
      <c r="A74" s="555" t="s">
        <v>12186</v>
      </c>
      <c r="B74" s="533" t="s">
        <v>324</v>
      </c>
      <c r="C74" s="271">
        <v>49174082.039999999</v>
      </c>
      <c r="D74" s="271">
        <v>9406816.8399999999</v>
      </c>
      <c r="E74" s="271">
        <f t="shared" si="18"/>
        <v>58580898.879999995</v>
      </c>
      <c r="F74" s="271">
        <v>58545543.700000003</v>
      </c>
      <c r="G74" s="271">
        <v>58048145.219999999</v>
      </c>
      <c r="H74" s="271">
        <f t="shared" si="17"/>
        <v>35355.179999992251</v>
      </c>
      <c r="I74" s="280"/>
    </row>
    <row r="75" spans="1:10" s="547" customFormat="1" ht="19.5" customHeight="1" x14ac:dyDescent="0.2">
      <c r="A75" s="555" t="s">
        <v>12230</v>
      </c>
      <c r="B75" s="533" t="s">
        <v>273</v>
      </c>
      <c r="C75" s="271">
        <v>85744118.819999993</v>
      </c>
      <c r="D75" s="271">
        <v>75642037.019999996</v>
      </c>
      <c r="E75" s="271">
        <f t="shared" si="18"/>
        <v>161386155.83999997</v>
      </c>
      <c r="F75" s="271">
        <v>161334170.11000001</v>
      </c>
      <c r="G75" s="271">
        <v>150982190.27000001</v>
      </c>
      <c r="H75" s="271">
        <f t="shared" si="17"/>
        <v>51985.729999959469</v>
      </c>
      <c r="I75" s="280"/>
    </row>
    <row r="76" spans="1:10" s="547" customFormat="1" ht="19.5" customHeight="1" x14ac:dyDescent="0.2">
      <c r="A76" s="553" t="s">
        <v>12231</v>
      </c>
      <c r="B76" s="209" t="s">
        <v>326</v>
      </c>
      <c r="C76" s="272">
        <f t="shared" ref="C76:H76" si="19">SUM(C77:C83)</f>
        <v>392087421.47000009</v>
      </c>
      <c r="D76" s="272">
        <f t="shared" si="19"/>
        <v>383854254.12</v>
      </c>
      <c r="E76" s="272">
        <f t="shared" si="19"/>
        <v>775941675.59000003</v>
      </c>
      <c r="F76" s="272">
        <f t="shared" si="19"/>
        <v>736179044.92999995</v>
      </c>
      <c r="G76" s="272">
        <f t="shared" si="19"/>
        <v>712694626.62999988</v>
      </c>
      <c r="H76" s="272">
        <f t="shared" si="19"/>
        <v>39762630.660000019</v>
      </c>
      <c r="I76" s="280"/>
    </row>
    <row r="77" spans="1:10" s="547" customFormat="1" ht="19.5" customHeight="1" x14ac:dyDescent="0.2">
      <c r="A77" s="555" t="s">
        <v>12188</v>
      </c>
      <c r="B77" s="533" t="s">
        <v>328</v>
      </c>
      <c r="C77" s="271">
        <v>113825069.31</v>
      </c>
      <c r="D77" s="271">
        <v>20423848.620000001</v>
      </c>
      <c r="E77" s="271">
        <f t="shared" ref="E77:E82" si="20">C77+D77</f>
        <v>134248917.93000001</v>
      </c>
      <c r="F77" s="271">
        <v>134211076.86</v>
      </c>
      <c r="G77" s="271">
        <v>130277121.54000001</v>
      </c>
      <c r="H77" s="271">
        <f t="shared" ref="H77:H83" si="21">E77-F77</f>
        <v>37841.070000007749</v>
      </c>
      <c r="I77" s="280"/>
    </row>
    <row r="78" spans="1:10" s="547" customFormat="1" ht="19.5" customHeight="1" x14ac:dyDescent="0.2">
      <c r="A78" s="555" t="s">
        <v>12189</v>
      </c>
      <c r="B78" s="533" t="s">
        <v>330</v>
      </c>
      <c r="C78" s="271">
        <v>208170951.90000001</v>
      </c>
      <c r="D78" s="271">
        <v>324576398.82999998</v>
      </c>
      <c r="E78" s="271">
        <f t="shared" si="20"/>
        <v>532747350.73000002</v>
      </c>
      <c r="F78" s="271">
        <f>492014797.5+1020510</f>
        <v>493035307.5</v>
      </c>
      <c r="G78" s="271">
        <f>473572376.03+1020510</f>
        <v>474592886.02999997</v>
      </c>
      <c r="H78" s="271">
        <f t="shared" si="21"/>
        <v>39712043.230000019</v>
      </c>
      <c r="I78" s="280"/>
    </row>
    <row r="79" spans="1:10" s="547" customFormat="1" ht="19.5" hidden="1" customHeight="1" x14ac:dyDescent="0.2">
      <c r="A79" s="555" t="s">
        <v>331</v>
      </c>
      <c r="B79" s="533" t="s">
        <v>332</v>
      </c>
      <c r="C79" s="271">
        <v>0</v>
      </c>
      <c r="D79" s="271"/>
      <c r="E79" s="271">
        <f t="shared" si="20"/>
        <v>0</v>
      </c>
      <c r="F79" s="271"/>
      <c r="G79" s="271"/>
      <c r="H79" s="271">
        <f t="shared" si="21"/>
        <v>0</v>
      </c>
      <c r="I79" s="291"/>
    </row>
    <row r="80" spans="1:10" s="547" customFormat="1" ht="19.5" customHeight="1" x14ac:dyDescent="0.2">
      <c r="A80" s="555" t="s">
        <v>12191</v>
      </c>
      <c r="B80" s="533" t="s">
        <v>334</v>
      </c>
      <c r="C80" s="271">
        <v>9479540.5399999991</v>
      </c>
      <c r="D80" s="271">
        <v>5820085.1100000003</v>
      </c>
      <c r="E80" s="271">
        <f t="shared" si="20"/>
        <v>15299625.649999999</v>
      </c>
      <c r="F80" s="271">
        <v>15289319.060000001</v>
      </c>
      <c r="G80" s="271">
        <v>14596109.42</v>
      </c>
      <c r="H80" s="271">
        <f t="shared" si="21"/>
        <v>10306.589999997988</v>
      </c>
      <c r="I80" s="280"/>
      <c r="J80" s="620"/>
    </row>
    <row r="81" spans="1:9" s="547" customFormat="1" ht="19.5" customHeight="1" x14ac:dyDescent="0.2">
      <c r="A81" s="555" t="s">
        <v>12192</v>
      </c>
      <c r="B81" s="533" t="s">
        <v>336</v>
      </c>
      <c r="C81" s="271">
        <v>2455927.62</v>
      </c>
      <c r="D81" s="271">
        <v>6753510.3799999999</v>
      </c>
      <c r="E81" s="271">
        <f t="shared" si="20"/>
        <v>9209438</v>
      </c>
      <c r="F81" s="271">
        <v>9209438.1400000006</v>
      </c>
      <c r="G81" s="271">
        <v>9186360.7300000004</v>
      </c>
      <c r="H81" s="271">
        <f t="shared" si="21"/>
        <v>-0.14000000059604645</v>
      </c>
      <c r="I81" s="280"/>
    </row>
    <row r="82" spans="1:9" s="547" customFormat="1" ht="19.5" customHeight="1" x14ac:dyDescent="0.2">
      <c r="A82" s="555" t="s">
        <v>12193</v>
      </c>
      <c r="B82" s="533" t="s">
        <v>338</v>
      </c>
      <c r="C82" s="271">
        <v>58155932.100000001</v>
      </c>
      <c r="D82" s="271">
        <v>26280411.18</v>
      </c>
      <c r="E82" s="271">
        <f t="shared" si="20"/>
        <v>84436343.280000001</v>
      </c>
      <c r="F82" s="271">
        <v>84433903.370000005</v>
      </c>
      <c r="G82" s="271">
        <v>84042148.909999996</v>
      </c>
      <c r="H82" s="271">
        <f t="shared" si="21"/>
        <v>2439.9099999964237</v>
      </c>
      <c r="I82" s="291"/>
    </row>
    <row r="83" spans="1:9" s="547" customFormat="1" ht="19.5" hidden="1" customHeight="1" x14ac:dyDescent="0.2">
      <c r="A83" s="555" t="s">
        <v>339</v>
      </c>
      <c r="B83" s="533" t="s">
        <v>340</v>
      </c>
      <c r="C83" s="271">
        <v>0</v>
      </c>
      <c r="D83" s="271">
        <v>0</v>
      </c>
      <c r="E83" s="271">
        <v>0</v>
      </c>
      <c r="F83" s="271">
        <v>0</v>
      </c>
      <c r="G83" s="271">
        <v>0</v>
      </c>
      <c r="H83" s="271">
        <f t="shared" si="21"/>
        <v>0</v>
      </c>
      <c r="I83" s="280"/>
    </row>
    <row r="84" spans="1:9" s="547" customFormat="1" ht="19.5" customHeight="1" x14ac:dyDescent="0.2">
      <c r="A84" s="553" t="s">
        <v>12196</v>
      </c>
      <c r="B84" s="209" t="s">
        <v>341</v>
      </c>
      <c r="C84" s="272">
        <f t="shared" ref="C84:H84" si="22">SUM(C85:C93)</f>
        <v>5735359.6500000004</v>
      </c>
      <c r="D84" s="272">
        <f t="shared" si="22"/>
        <v>3468814.97</v>
      </c>
      <c r="E84" s="272">
        <f t="shared" si="22"/>
        <v>9204174.620000001</v>
      </c>
      <c r="F84" s="272">
        <f t="shared" si="22"/>
        <v>9197790.620000001</v>
      </c>
      <c r="G84" s="272">
        <f t="shared" si="22"/>
        <v>9035113.3399999999</v>
      </c>
      <c r="H84" s="272">
        <f t="shared" si="22"/>
        <v>6384</v>
      </c>
      <c r="I84" s="280"/>
    </row>
    <row r="85" spans="1:9" s="547" customFormat="1" ht="19.5" customHeight="1" x14ac:dyDescent="0.2">
      <c r="A85" s="555" t="s">
        <v>12197</v>
      </c>
      <c r="B85" s="533" t="s">
        <v>343</v>
      </c>
      <c r="C85" s="271">
        <v>1645412.31</v>
      </c>
      <c r="D85" s="271">
        <v>1510941.78</v>
      </c>
      <c r="E85" s="271">
        <f t="shared" ref="E85:E91" si="23">C85+D85</f>
        <v>3156354.09</v>
      </c>
      <c r="F85" s="271">
        <v>3156354.09</v>
      </c>
      <c r="G85" s="271">
        <v>3115212.4</v>
      </c>
      <c r="H85" s="271">
        <f t="shared" ref="H85:H91" si="24">E85-F85</f>
        <v>0</v>
      </c>
      <c r="I85" s="280"/>
    </row>
    <row r="86" spans="1:9" s="547" customFormat="1" ht="19.5" customHeight="1" x14ac:dyDescent="0.2">
      <c r="A86" s="555" t="s">
        <v>12198</v>
      </c>
      <c r="B86" s="533" t="s">
        <v>345</v>
      </c>
      <c r="C86" s="271">
        <v>3460044.1</v>
      </c>
      <c r="D86" s="271">
        <v>2097525.88</v>
      </c>
      <c r="E86" s="271">
        <f t="shared" si="23"/>
        <v>5557569.9800000004</v>
      </c>
      <c r="F86" s="271">
        <v>5551185.9800000004</v>
      </c>
      <c r="G86" s="271">
        <v>5429650.3899999997</v>
      </c>
      <c r="H86" s="271">
        <f t="shared" si="24"/>
        <v>6384</v>
      </c>
      <c r="I86" s="280"/>
    </row>
    <row r="87" spans="1:9" s="547" customFormat="1" ht="19.5" hidden="1" customHeight="1" x14ac:dyDescent="0.2">
      <c r="A87" s="555" t="s">
        <v>346</v>
      </c>
      <c r="B87" s="533" t="s">
        <v>347</v>
      </c>
      <c r="C87" s="271">
        <v>0</v>
      </c>
      <c r="D87" s="271"/>
      <c r="E87" s="271">
        <f t="shared" si="23"/>
        <v>0</v>
      </c>
      <c r="F87" s="271">
        <v>0</v>
      </c>
      <c r="G87" s="271">
        <v>0</v>
      </c>
      <c r="H87" s="271">
        <f t="shared" si="24"/>
        <v>0</v>
      </c>
      <c r="I87" s="280"/>
    </row>
    <row r="88" spans="1:9" s="547" customFormat="1" ht="19.5" hidden="1" customHeight="1" x14ac:dyDescent="0.2">
      <c r="A88" s="555" t="s">
        <v>348</v>
      </c>
      <c r="B88" s="533" t="s">
        <v>349</v>
      </c>
      <c r="C88" s="271">
        <v>0</v>
      </c>
      <c r="D88" s="271"/>
      <c r="E88" s="271">
        <f t="shared" si="23"/>
        <v>0</v>
      </c>
      <c r="F88" s="271">
        <v>0</v>
      </c>
      <c r="G88" s="271">
        <v>0</v>
      </c>
      <c r="H88" s="271">
        <f t="shared" si="24"/>
        <v>0</v>
      </c>
      <c r="I88" s="291"/>
    </row>
    <row r="89" spans="1:9" s="547" customFormat="1" ht="19.5" hidden="1" customHeight="1" x14ac:dyDescent="0.2">
      <c r="A89" s="555" t="s">
        <v>350</v>
      </c>
      <c r="B89" s="533" t="s">
        <v>351</v>
      </c>
      <c r="C89" s="271">
        <v>0</v>
      </c>
      <c r="D89" s="271"/>
      <c r="E89" s="271">
        <f t="shared" si="23"/>
        <v>0</v>
      </c>
      <c r="F89" s="271">
        <v>0</v>
      </c>
      <c r="G89" s="271">
        <v>0</v>
      </c>
      <c r="H89" s="271">
        <f t="shared" si="24"/>
        <v>0</v>
      </c>
      <c r="I89" s="295"/>
    </row>
    <row r="90" spans="1:9" s="547" customFormat="1" ht="19.5" hidden="1" customHeight="1" x14ac:dyDescent="0.2">
      <c r="A90" s="555" t="s">
        <v>352</v>
      </c>
      <c r="B90" s="533" t="s">
        <v>353</v>
      </c>
      <c r="C90" s="271">
        <v>0</v>
      </c>
      <c r="D90" s="271"/>
      <c r="E90" s="271">
        <f t="shared" si="23"/>
        <v>0</v>
      </c>
      <c r="F90" s="271">
        <v>0</v>
      </c>
      <c r="G90" s="271">
        <v>0</v>
      </c>
      <c r="H90" s="271">
        <f t="shared" si="24"/>
        <v>0</v>
      </c>
      <c r="I90" s="291"/>
    </row>
    <row r="91" spans="1:9" s="547" customFormat="1" ht="19.5" customHeight="1" x14ac:dyDescent="0.2">
      <c r="A91" s="555" t="s">
        <v>12203</v>
      </c>
      <c r="B91" s="533" t="s">
        <v>355</v>
      </c>
      <c r="C91" s="271">
        <v>629903.24</v>
      </c>
      <c r="D91" s="271">
        <v>-139652.69</v>
      </c>
      <c r="E91" s="271">
        <f t="shared" si="23"/>
        <v>490250.55</v>
      </c>
      <c r="F91" s="271">
        <v>490250.55</v>
      </c>
      <c r="G91" s="271">
        <v>490250.55</v>
      </c>
      <c r="H91" s="815">
        <f t="shared" si="24"/>
        <v>0</v>
      </c>
      <c r="I91" s="280"/>
    </row>
    <row r="92" spans="1:9" s="547" customFormat="1" ht="19.5" hidden="1" customHeight="1" x14ac:dyDescent="0.2">
      <c r="A92" s="555" t="s">
        <v>356</v>
      </c>
      <c r="B92" s="533" t="s">
        <v>357</v>
      </c>
      <c r="C92" s="271">
        <v>0</v>
      </c>
      <c r="D92" s="271">
        <f>E92-C92</f>
        <v>0</v>
      </c>
      <c r="E92" s="271">
        <v>0</v>
      </c>
      <c r="F92" s="271">
        <v>0</v>
      </c>
      <c r="G92" s="271">
        <v>0</v>
      </c>
      <c r="H92" s="271">
        <v>0</v>
      </c>
      <c r="I92" s="280"/>
    </row>
    <row r="93" spans="1:9" s="547" customFormat="1" ht="19.5" hidden="1" customHeight="1" x14ac:dyDescent="0.2">
      <c r="A93" s="555" t="s">
        <v>358</v>
      </c>
      <c r="B93" s="533" t="s">
        <v>359</v>
      </c>
      <c r="C93" s="271">
        <v>0</v>
      </c>
      <c r="D93" s="271">
        <f>E93-C93</f>
        <v>0</v>
      </c>
      <c r="E93" s="271">
        <v>0</v>
      </c>
      <c r="F93" s="271">
        <v>0</v>
      </c>
      <c r="G93" s="271">
        <v>0</v>
      </c>
      <c r="H93" s="271">
        <v>0</v>
      </c>
      <c r="I93" s="280"/>
    </row>
    <row r="94" spans="1:9" s="547" customFormat="1" ht="19.5" customHeight="1" x14ac:dyDescent="0.2">
      <c r="A94" s="553" t="s">
        <v>12206</v>
      </c>
      <c r="B94" s="209" t="s">
        <v>1204</v>
      </c>
      <c r="C94" s="272">
        <f t="shared" ref="C94:H94" si="25">SUM(C95:C98)</f>
        <v>16716932.029999999</v>
      </c>
      <c r="D94" s="272">
        <f t="shared" si="25"/>
        <v>-121578.99</v>
      </c>
      <c r="E94" s="272">
        <f t="shared" si="25"/>
        <v>16595353.039999999</v>
      </c>
      <c r="F94" s="272">
        <f t="shared" si="25"/>
        <v>16595353.039999999</v>
      </c>
      <c r="G94" s="272">
        <f t="shared" si="25"/>
        <v>16595353.039999999</v>
      </c>
      <c r="H94" s="272">
        <f t="shared" si="25"/>
        <v>0</v>
      </c>
      <c r="I94" s="280"/>
    </row>
    <row r="95" spans="1:9" s="547" customFormat="1" ht="19.5" customHeight="1" x14ac:dyDescent="0.2">
      <c r="A95" s="555" t="s">
        <v>12207</v>
      </c>
      <c r="B95" s="533" t="s">
        <v>361</v>
      </c>
      <c r="C95" s="271">
        <v>16716932.029999999</v>
      </c>
      <c r="D95" s="271">
        <v>-121578.99</v>
      </c>
      <c r="E95" s="271">
        <f>C95+D95</f>
        <v>16595353.039999999</v>
      </c>
      <c r="F95" s="271">
        <v>16595353.039999999</v>
      </c>
      <c r="G95" s="271">
        <v>16595353.039999999</v>
      </c>
      <c r="H95" s="271">
        <f>E95-F95</f>
        <v>0</v>
      </c>
      <c r="I95" s="295"/>
    </row>
    <row r="96" spans="1:9" s="547" customFormat="1" ht="19.5" hidden="1" customHeight="1" x14ac:dyDescent="0.2">
      <c r="A96" s="555" t="s">
        <v>362</v>
      </c>
      <c r="B96" s="556" t="s">
        <v>363</v>
      </c>
      <c r="C96" s="271">
        <v>0</v>
      </c>
      <c r="D96" s="271">
        <v>0</v>
      </c>
      <c r="E96" s="271">
        <v>0</v>
      </c>
      <c r="F96" s="271">
        <v>0</v>
      </c>
      <c r="G96" s="271">
        <v>0</v>
      </c>
      <c r="H96" s="271">
        <v>0</v>
      </c>
      <c r="I96" s="291"/>
    </row>
    <row r="97" spans="1:16" s="547" customFormat="1" ht="19.5" hidden="1" customHeight="1" x14ac:dyDescent="0.2">
      <c r="A97" s="555" t="s">
        <v>364</v>
      </c>
      <c r="B97" s="533" t="s">
        <v>365</v>
      </c>
      <c r="C97" s="271">
        <v>0</v>
      </c>
      <c r="D97" s="271">
        <v>0</v>
      </c>
      <c r="E97" s="271">
        <v>0</v>
      </c>
      <c r="F97" s="271">
        <v>0</v>
      </c>
      <c r="G97" s="271">
        <v>0</v>
      </c>
      <c r="H97" s="271">
        <v>0</v>
      </c>
      <c r="I97" s="280"/>
    </row>
    <row r="98" spans="1:16" s="547" customFormat="1" ht="19.5" hidden="1" customHeight="1" x14ac:dyDescent="0.2">
      <c r="A98" s="555" t="s">
        <v>366</v>
      </c>
      <c r="B98" s="533" t="s">
        <v>367</v>
      </c>
      <c r="C98" s="271">
        <v>0</v>
      </c>
      <c r="D98" s="271">
        <v>0</v>
      </c>
      <c r="E98" s="271">
        <v>0</v>
      </c>
      <c r="F98" s="271">
        <v>0</v>
      </c>
      <c r="G98" s="271">
        <v>0</v>
      </c>
      <c r="H98" s="271">
        <v>0</v>
      </c>
      <c r="I98" s="280"/>
    </row>
    <row r="99" spans="1:16" s="547" customFormat="1" ht="19.5" customHeight="1" thickBot="1" x14ac:dyDescent="0.25">
      <c r="A99" s="1211" t="s">
        <v>300</v>
      </c>
      <c r="B99" s="1212"/>
      <c r="C99" s="273">
        <f>C13+C66</f>
        <v>845081315</v>
      </c>
      <c r="D99" s="273">
        <f t="shared" ref="D99:H99" si="26">D13+D66</f>
        <v>436197797.65999997</v>
      </c>
      <c r="E99" s="273">
        <f t="shared" si="26"/>
        <v>1281279112.6499999</v>
      </c>
      <c r="F99" s="273">
        <f t="shared" si="26"/>
        <v>1236028556.7999997</v>
      </c>
      <c r="G99" s="273">
        <f t="shared" si="26"/>
        <v>1198371966.3600001</v>
      </c>
      <c r="H99" s="273">
        <f t="shared" si="26"/>
        <v>45250555.849999994</v>
      </c>
      <c r="I99" s="291"/>
    </row>
    <row r="100" spans="1:16" x14ac:dyDescent="0.2">
      <c r="I100" s="291"/>
      <c r="J100" s="1103"/>
      <c r="K100" s="1103"/>
      <c r="L100" s="1103"/>
      <c r="M100" s="1103"/>
      <c r="N100" s="1103"/>
      <c r="O100" s="1103"/>
      <c r="P100" s="1103"/>
    </row>
    <row r="101" spans="1:16" s="19" customFormat="1" ht="8.25" customHeight="1" x14ac:dyDescent="0.2">
      <c r="A101" s="21"/>
      <c r="B101" s="21"/>
      <c r="C101" s="22"/>
      <c r="D101" s="855"/>
      <c r="E101" s="22"/>
      <c r="F101" s="22"/>
      <c r="G101" s="22"/>
      <c r="H101" s="22"/>
      <c r="I101" s="291"/>
    </row>
    <row r="102" spans="1:16" s="19" customFormat="1" x14ac:dyDescent="0.2">
      <c r="A102" s="21"/>
      <c r="B102" s="21"/>
      <c r="C102" s="22"/>
      <c r="D102" s="22"/>
      <c r="E102" s="22"/>
      <c r="F102" s="22"/>
      <c r="G102" s="22"/>
      <c r="H102" s="22"/>
      <c r="I102" s="287"/>
    </row>
    <row r="103" spans="1:16" s="19" customFormat="1" x14ac:dyDescent="0.2">
      <c r="A103" s="21"/>
      <c r="B103" s="21"/>
      <c r="C103" s="22"/>
      <c r="D103" s="22"/>
      <c r="E103" s="22"/>
      <c r="F103" s="22"/>
      <c r="G103" s="22"/>
      <c r="H103" s="22"/>
      <c r="I103" s="280"/>
    </row>
    <row r="104" spans="1:16" s="19" customFormat="1" x14ac:dyDescent="0.2">
      <c r="A104" s="21"/>
      <c r="B104" s="21"/>
      <c r="C104" s="22"/>
      <c r="D104" s="22"/>
      <c r="E104" s="22"/>
      <c r="F104" s="22"/>
      <c r="G104" s="22"/>
      <c r="H104" s="22"/>
      <c r="I104" s="280"/>
    </row>
    <row r="105" spans="1:16" s="19" customFormat="1" x14ac:dyDescent="0.2">
      <c r="A105" s="21"/>
      <c r="B105" s="21"/>
      <c r="C105" s="22"/>
      <c r="D105" s="22"/>
      <c r="E105" s="22"/>
      <c r="F105" s="22"/>
      <c r="G105" s="22"/>
      <c r="H105" s="22"/>
      <c r="I105" s="287"/>
    </row>
    <row r="106" spans="1:16" s="19" customFormat="1" ht="14.25" customHeight="1" x14ac:dyDescent="0.2">
      <c r="A106" s="21"/>
      <c r="B106" s="21"/>
      <c r="C106" s="22"/>
      <c r="D106" s="22"/>
      <c r="E106" s="22"/>
      <c r="F106" s="22"/>
      <c r="G106" s="22"/>
      <c r="H106" s="22"/>
      <c r="I106" s="307"/>
    </row>
    <row r="107" spans="1:16" x14ac:dyDescent="0.2">
      <c r="I107" s="287"/>
    </row>
    <row r="109" spans="1:16" x14ac:dyDescent="0.2">
      <c r="I109" s="306"/>
    </row>
  </sheetData>
  <mergeCells count="22">
    <mergeCell ref="A99:B99"/>
    <mergeCell ref="A46:B46"/>
    <mergeCell ref="A6:H6"/>
    <mergeCell ref="A2:H2"/>
    <mergeCell ref="I2:I5"/>
    <mergeCell ref="A3:H3"/>
    <mergeCell ref="A4:H4"/>
    <mergeCell ref="A5:H5"/>
    <mergeCell ref="A10:B12"/>
    <mergeCell ref="C10:G10"/>
    <mergeCell ref="H10:H11"/>
    <mergeCell ref="A13:B13"/>
    <mergeCell ref="A66:B66"/>
    <mergeCell ref="A55:H55"/>
    <mergeCell ref="A63:B65"/>
    <mergeCell ref="C63:G63"/>
    <mergeCell ref="H63:H64"/>
    <mergeCell ref="I55:I58"/>
    <mergeCell ref="A56:H56"/>
    <mergeCell ref="A57:H57"/>
    <mergeCell ref="A58:H58"/>
    <mergeCell ref="A59:H59"/>
  </mergeCells>
  <printOptions horizontalCentered="1"/>
  <pageMargins left="0.15748031496062992" right="0.15748031496062992" top="0.27559055118110237" bottom="0.51181102362204722" header="0.31496062992125984" footer="0.31496062992125984"/>
  <pageSetup scale="82" fitToHeight="0" orientation="landscape" r:id="rId1"/>
  <headerFooter>
    <oddFooter>&amp;C“Bajo protesta de decir verdad declaramos que los Estados Financieros y sus notas, son razonablemente correctos y son responsabilidad del emisor”</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2"/>
  <sheetViews>
    <sheetView view="pageBreakPreview" zoomScale="60" zoomScaleNormal="100" workbookViewId="0">
      <selection activeCell="G47" sqref="G47"/>
    </sheetView>
  </sheetViews>
  <sheetFormatPr baseColWidth="10" defaultRowHeight="15" x14ac:dyDescent="0.25"/>
  <cols>
    <col min="1" max="1" width="42.140625" customWidth="1"/>
    <col min="2" max="7" width="16.7109375" customWidth="1"/>
  </cols>
  <sheetData>
    <row r="1" spans="1:7" x14ac:dyDescent="0.25">
      <c r="A1" s="1438" t="s">
        <v>719</v>
      </c>
      <c r="B1" s="1438"/>
      <c r="C1" s="1438"/>
      <c r="D1" s="1438"/>
      <c r="E1" s="1438"/>
      <c r="F1" s="1438"/>
      <c r="G1" s="1438"/>
    </row>
    <row r="2" spans="1:7" x14ac:dyDescent="0.25">
      <c r="A2" s="1438" t="s">
        <v>10647</v>
      </c>
      <c r="B2" s="1438"/>
      <c r="C2" s="1438"/>
      <c r="D2" s="1438"/>
      <c r="E2" s="1438"/>
      <c r="F2" s="1438"/>
      <c r="G2" s="1438"/>
    </row>
    <row r="3" spans="1:7" x14ac:dyDescent="0.25">
      <c r="A3" s="1438" t="s">
        <v>10664</v>
      </c>
      <c r="B3" s="1438"/>
      <c r="C3" s="1438"/>
      <c r="D3" s="1438"/>
      <c r="E3" s="1438"/>
      <c r="F3" s="1438"/>
      <c r="G3" s="1438"/>
    </row>
    <row r="4" spans="1:7" x14ac:dyDescent="0.25">
      <c r="A4" s="1438" t="s">
        <v>11724</v>
      </c>
      <c r="B4" s="1438"/>
      <c r="C4" s="1438"/>
      <c r="D4" s="1438"/>
      <c r="E4" s="1438"/>
      <c r="F4" s="1438"/>
      <c r="G4" s="1438"/>
    </row>
    <row r="5" spans="1:7" ht="15.75" thickBot="1" x14ac:dyDescent="0.3">
      <c r="A5" s="1438" t="s">
        <v>10492</v>
      </c>
      <c r="B5" s="1438"/>
      <c r="C5" s="1438"/>
      <c r="D5" s="1438"/>
      <c r="E5" s="1438"/>
      <c r="F5" s="1438"/>
      <c r="G5" s="1438"/>
    </row>
    <row r="6" spans="1:7" ht="15.75" thickBot="1" x14ac:dyDescent="0.3">
      <c r="A6" s="1383" t="s">
        <v>10491</v>
      </c>
      <c r="B6" s="1435" t="s">
        <v>241</v>
      </c>
      <c r="C6" s="1436"/>
      <c r="D6" s="1436"/>
      <c r="E6" s="1436"/>
      <c r="F6" s="1437"/>
      <c r="G6" s="1383" t="s">
        <v>10645</v>
      </c>
    </row>
    <row r="7" spans="1:7" ht="23.25" thickBot="1" x14ac:dyDescent="0.3">
      <c r="A7" s="1385"/>
      <c r="B7" s="972" t="s">
        <v>10644</v>
      </c>
      <c r="C7" s="960" t="s">
        <v>10643</v>
      </c>
      <c r="D7" s="972" t="s">
        <v>219</v>
      </c>
      <c r="E7" s="972" t="s">
        <v>10663</v>
      </c>
      <c r="F7" s="972" t="s">
        <v>246</v>
      </c>
      <c r="G7" s="1385"/>
    </row>
    <row r="8" spans="1:7" x14ac:dyDescent="0.25">
      <c r="A8" s="1006" t="s">
        <v>10662</v>
      </c>
      <c r="B8" s="999">
        <f>B9+B10+B11+B14+B15+B18</f>
        <v>60827738.719999999</v>
      </c>
      <c r="C8" s="999">
        <f>C9+C10+C11+C14+C15+C18</f>
        <v>-11010734.99</v>
      </c>
      <c r="D8" s="999">
        <f>D9+D10+D11+D14+D15+D18</f>
        <v>49817003.730000004</v>
      </c>
      <c r="E8" s="999">
        <f>E9+E10+E11+E14+E15+E18</f>
        <v>49817003.719999999</v>
      </c>
      <c r="F8" s="999">
        <f>F9+F10+F11+F14+F15+F18</f>
        <v>49815323.550000004</v>
      </c>
      <c r="G8" s="1002">
        <f t="shared" ref="G8:G18" si="0">D8-E8</f>
        <v>1.000000536441803E-2</v>
      </c>
    </row>
    <row r="9" spans="1:7" x14ac:dyDescent="0.25">
      <c r="A9" s="996" t="s">
        <v>10660</v>
      </c>
      <c r="B9" s="1118">
        <v>60827738.719999999</v>
      </c>
      <c r="C9" s="995">
        <v>-11010734.99</v>
      </c>
      <c r="D9" s="995">
        <v>49817003.730000004</v>
      </c>
      <c r="E9" s="995">
        <v>49817003.719999999</v>
      </c>
      <c r="F9" s="995">
        <v>49815323.550000004</v>
      </c>
      <c r="G9" s="995">
        <f t="shared" si="0"/>
        <v>1.000000536441803E-2</v>
      </c>
    </row>
    <row r="10" spans="1:7" x14ac:dyDescent="0.25">
      <c r="A10" s="996" t="s">
        <v>10659</v>
      </c>
      <c r="B10" s="1118">
        <v>0</v>
      </c>
      <c r="C10" s="995">
        <v>0</v>
      </c>
      <c r="D10" s="995">
        <v>0</v>
      </c>
      <c r="E10" s="995">
        <v>0</v>
      </c>
      <c r="F10" s="995">
        <v>0</v>
      </c>
      <c r="G10" s="995">
        <v>0</v>
      </c>
    </row>
    <row r="11" spans="1:7" x14ac:dyDescent="0.25">
      <c r="A11" s="996" t="s">
        <v>10658</v>
      </c>
      <c r="B11" s="1118">
        <f>SUM(B12:B13)</f>
        <v>0</v>
      </c>
      <c r="C11" s="1118">
        <f>SUM(C12:C13)</f>
        <v>0</v>
      </c>
      <c r="D11" s="1118">
        <f>SUM(D12:D13)</f>
        <v>0</v>
      </c>
      <c r="E11" s="1118">
        <f>SUM(E12:E13)</f>
        <v>0</v>
      </c>
      <c r="F11" s="1118">
        <f>SUM(F12:F13)</f>
        <v>0</v>
      </c>
      <c r="G11" s="995">
        <f t="shared" si="0"/>
        <v>0</v>
      </c>
    </row>
    <row r="12" spans="1:7" x14ac:dyDescent="0.25">
      <c r="A12" s="1007" t="s">
        <v>10657</v>
      </c>
      <c r="B12" s="1118">
        <v>0</v>
      </c>
      <c r="C12" s="995">
        <v>0</v>
      </c>
      <c r="D12" s="995">
        <v>0</v>
      </c>
      <c r="E12" s="995">
        <v>0</v>
      </c>
      <c r="F12" s="995">
        <v>0</v>
      </c>
      <c r="G12" s="995">
        <f t="shared" si="0"/>
        <v>0</v>
      </c>
    </row>
    <row r="13" spans="1:7" x14ac:dyDescent="0.25">
      <c r="A13" s="1007" t="s">
        <v>10656</v>
      </c>
      <c r="B13" s="1118">
        <v>0</v>
      </c>
      <c r="C13" s="995">
        <v>0</v>
      </c>
      <c r="D13" s="995">
        <v>0</v>
      </c>
      <c r="E13" s="995">
        <v>0</v>
      </c>
      <c r="F13" s="995">
        <v>0</v>
      </c>
      <c r="G13" s="995">
        <f t="shared" si="0"/>
        <v>0</v>
      </c>
    </row>
    <row r="14" spans="1:7" x14ac:dyDescent="0.25">
      <c r="A14" s="996" t="s">
        <v>10655</v>
      </c>
      <c r="B14" s="1118">
        <v>0</v>
      </c>
      <c r="C14" s="995">
        <v>0</v>
      </c>
      <c r="D14" s="995">
        <v>0</v>
      </c>
      <c r="E14" s="995">
        <v>0</v>
      </c>
      <c r="F14" s="995">
        <v>0</v>
      </c>
      <c r="G14" s="995">
        <f t="shared" si="0"/>
        <v>0</v>
      </c>
    </row>
    <row r="15" spans="1:7" ht="22.5" x14ac:dyDescent="0.25">
      <c r="A15" s="996" t="s">
        <v>10654</v>
      </c>
      <c r="B15" s="1118">
        <f>SUM(B16:B17)</f>
        <v>0</v>
      </c>
      <c r="C15" s="1118">
        <f>SUM(C16:C17)</f>
        <v>0</v>
      </c>
      <c r="D15" s="1118">
        <f>SUM(D16:D17)</f>
        <v>0</v>
      </c>
      <c r="E15" s="1118">
        <f>SUM(E16:E17)</f>
        <v>0</v>
      </c>
      <c r="F15" s="1118">
        <f>SUM(F16:F17)</f>
        <v>0</v>
      </c>
      <c r="G15" s="995">
        <f t="shared" si="0"/>
        <v>0</v>
      </c>
    </row>
    <row r="16" spans="1:7" x14ac:dyDescent="0.25">
      <c r="A16" s="1007" t="s">
        <v>10653</v>
      </c>
      <c r="B16" s="1118">
        <v>0</v>
      </c>
      <c r="C16" s="995">
        <v>0</v>
      </c>
      <c r="D16" s="995">
        <v>0</v>
      </c>
      <c r="E16" s="995">
        <v>0</v>
      </c>
      <c r="F16" s="995">
        <v>0</v>
      </c>
      <c r="G16" s="995">
        <f t="shared" si="0"/>
        <v>0</v>
      </c>
    </row>
    <row r="17" spans="1:7" x14ac:dyDescent="0.25">
      <c r="A17" s="1007" t="s">
        <v>10652</v>
      </c>
      <c r="B17" s="1118">
        <v>0</v>
      </c>
      <c r="C17" s="995">
        <v>0</v>
      </c>
      <c r="D17" s="995">
        <v>0</v>
      </c>
      <c r="E17" s="995">
        <v>0</v>
      </c>
      <c r="F17" s="995">
        <v>0</v>
      </c>
      <c r="G17" s="995">
        <f t="shared" si="0"/>
        <v>0</v>
      </c>
    </row>
    <row r="18" spans="1:7" x14ac:dyDescent="0.25">
      <c r="A18" s="996" t="s">
        <v>10651</v>
      </c>
      <c r="B18" s="1118">
        <v>0</v>
      </c>
      <c r="C18" s="995">
        <v>0</v>
      </c>
      <c r="D18" s="995">
        <v>0</v>
      </c>
      <c r="E18" s="995">
        <v>0</v>
      </c>
      <c r="F18" s="995">
        <v>0</v>
      </c>
      <c r="G18" s="995">
        <f t="shared" si="0"/>
        <v>0</v>
      </c>
    </row>
    <row r="19" spans="1:7" x14ac:dyDescent="0.25">
      <c r="A19" s="1008"/>
      <c r="B19" s="999"/>
      <c r="C19" s="1002"/>
      <c r="D19" s="1002"/>
      <c r="E19" s="1002"/>
      <c r="F19" s="1002"/>
      <c r="G19" s="1002"/>
    </row>
    <row r="20" spans="1:7" x14ac:dyDescent="0.25">
      <c r="A20" s="1006" t="s">
        <v>10661</v>
      </c>
      <c r="B20" s="999">
        <f>B21+B22+B23+B26+B27+B30</f>
        <v>319836053.42000002</v>
      </c>
      <c r="C20" s="1002">
        <f>C21+C22+C23+C26+C27+C30</f>
        <v>68337426.430000007</v>
      </c>
      <c r="D20" s="1002">
        <f>D21+D22+D23+D26+D27+D30</f>
        <v>388173479.85000008</v>
      </c>
      <c r="E20" s="1002">
        <f>E21+E22+E23+E26+E27+E30</f>
        <v>388171931.81999999</v>
      </c>
      <c r="F20" s="1002">
        <f>F21+F22+F23+F26+F27+F30</f>
        <v>382466333.94</v>
      </c>
      <c r="G20" s="1002">
        <f t="shared" ref="G20:G31" si="1">D20-E20</f>
        <v>1548.0300000905991</v>
      </c>
    </row>
    <row r="21" spans="1:7" x14ac:dyDescent="0.25">
      <c r="A21" s="996" t="s">
        <v>10660</v>
      </c>
      <c r="B21" s="1118">
        <v>319836053.42000002</v>
      </c>
      <c r="C21" s="995">
        <v>68337426.430000007</v>
      </c>
      <c r="D21" s="995">
        <v>388173479.85000008</v>
      </c>
      <c r="E21" s="995">
        <v>388171931.81999999</v>
      </c>
      <c r="F21" s="995">
        <v>382466333.94</v>
      </c>
      <c r="G21" s="995">
        <f t="shared" si="1"/>
        <v>1548.0300000905991</v>
      </c>
    </row>
    <row r="22" spans="1:7" x14ac:dyDescent="0.25">
      <c r="A22" s="996" t="s">
        <v>10659</v>
      </c>
      <c r="B22" s="1118">
        <v>0</v>
      </c>
      <c r="C22" s="995">
        <v>0</v>
      </c>
      <c r="D22" s="995">
        <v>0</v>
      </c>
      <c r="E22" s="995">
        <v>0</v>
      </c>
      <c r="F22" s="995">
        <v>0</v>
      </c>
      <c r="G22" s="995">
        <f t="shared" si="1"/>
        <v>0</v>
      </c>
    </row>
    <row r="23" spans="1:7" x14ac:dyDescent="0.25">
      <c r="A23" s="996" t="s">
        <v>10658</v>
      </c>
      <c r="B23" s="1118">
        <f>SUM(B24:B25)</f>
        <v>0</v>
      </c>
      <c r="C23" s="1118">
        <f>SUM(C24:C25)</f>
        <v>0</v>
      </c>
      <c r="D23" s="1118">
        <f>SUM(D24:D25)</f>
        <v>0</v>
      </c>
      <c r="E23" s="1118">
        <f>SUM(E24:E25)</f>
        <v>0</v>
      </c>
      <c r="F23" s="1118">
        <f>SUM(F24:F25)</f>
        <v>0</v>
      </c>
      <c r="G23" s="995">
        <f t="shared" si="1"/>
        <v>0</v>
      </c>
    </row>
    <row r="24" spans="1:7" x14ac:dyDescent="0.25">
      <c r="A24" s="1007" t="s">
        <v>10657</v>
      </c>
      <c r="B24" s="1118">
        <v>0</v>
      </c>
      <c r="C24" s="995">
        <v>0</v>
      </c>
      <c r="D24" s="995">
        <v>0</v>
      </c>
      <c r="E24" s="995">
        <v>0</v>
      </c>
      <c r="F24" s="995">
        <v>0</v>
      </c>
      <c r="G24" s="995">
        <f t="shared" si="1"/>
        <v>0</v>
      </c>
    </row>
    <row r="25" spans="1:7" x14ac:dyDescent="0.25">
      <c r="A25" s="1007" t="s">
        <v>10656</v>
      </c>
      <c r="B25" s="1118">
        <v>0</v>
      </c>
      <c r="C25" s="995">
        <v>0</v>
      </c>
      <c r="D25" s="995">
        <v>0</v>
      </c>
      <c r="E25" s="995">
        <v>0</v>
      </c>
      <c r="F25" s="995">
        <v>0</v>
      </c>
      <c r="G25" s="995">
        <f t="shared" si="1"/>
        <v>0</v>
      </c>
    </row>
    <row r="26" spans="1:7" x14ac:dyDescent="0.25">
      <c r="A26" s="996" t="s">
        <v>10655</v>
      </c>
      <c r="B26" s="1118">
        <v>0</v>
      </c>
      <c r="C26" s="995">
        <v>0</v>
      </c>
      <c r="D26" s="995">
        <v>0</v>
      </c>
      <c r="E26" s="995">
        <v>0</v>
      </c>
      <c r="F26" s="995">
        <v>0</v>
      </c>
      <c r="G26" s="995">
        <f t="shared" si="1"/>
        <v>0</v>
      </c>
    </row>
    <row r="27" spans="1:7" ht="22.5" x14ac:dyDescent="0.25">
      <c r="A27" s="996" t="s">
        <v>10654</v>
      </c>
      <c r="B27" s="1118">
        <f>SUM(B28:B29)</f>
        <v>0</v>
      </c>
      <c r="C27" s="1118">
        <f>SUM(C28:C29)</f>
        <v>0</v>
      </c>
      <c r="D27" s="1118">
        <f>SUM(D28:D29)</f>
        <v>0</v>
      </c>
      <c r="E27" s="1118">
        <f>SUM(E28:E29)</f>
        <v>0</v>
      </c>
      <c r="F27" s="1118">
        <f>SUM(F28:F29)</f>
        <v>0</v>
      </c>
      <c r="G27" s="995">
        <f t="shared" si="1"/>
        <v>0</v>
      </c>
    </row>
    <row r="28" spans="1:7" x14ac:dyDescent="0.25">
      <c r="A28" s="1007" t="s">
        <v>10653</v>
      </c>
      <c r="B28" s="1118">
        <v>0</v>
      </c>
      <c r="C28" s="995">
        <v>0</v>
      </c>
      <c r="D28" s="995">
        <v>0</v>
      </c>
      <c r="E28" s="995">
        <v>0</v>
      </c>
      <c r="F28" s="995">
        <v>0</v>
      </c>
      <c r="G28" s="995">
        <f t="shared" si="1"/>
        <v>0</v>
      </c>
    </row>
    <row r="29" spans="1:7" x14ac:dyDescent="0.25">
      <c r="A29" s="1007" t="s">
        <v>10652</v>
      </c>
      <c r="B29" s="1118">
        <v>0</v>
      </c>
      <c r="C29" s="995">
        <v>0</v>
      </c>
      <c r="D29" s="995">
        <v>0</v>
      </c>
      <c r="E29" s="995">
        <v>0</v>
      </c>
      <c r="F29" s="995">
        <v>0</v>
      </c>
      <c r="G29" s="995">
        <f t="shared" si="1"/>
        <v>0</v>
      </c>
    </row>
    <row r="30" spans="1:7" x14ac:dyDescent="0.25">
      <c r="A30" s="996" t="s">
        <v>10651</v>
      </c>
      <c r="B30" s="1118">
        <v>0</v>
      </c>
      <c r="C30" s="995">
        <v>0</v>
      </c>
      <c r="D30" s="995">
        <v>0</v>
      </c>
      <c r="E30" s="995">
        <v>0</v>
      </c>
      <c r="F30" s="995">
        <v>0</v>
      </c>
      <c r="G30" s="995">
        <f t="shared" si="1"/>
        <v>0</v>
      </c>
    </row>
    <row r="31" spans="1:7" ht="22.5" x14ac:dyDescent="0.25">
      <c r="A31" s="1006" t="s">
        <v>10650</v>
      </c>
      <c r="B31" s="999">
        <f>B8+B20</f>
        <v>380663792.13999999</v>
      </c>
      <c r="C31" s="999">
        <f>C8+C20</f>
        <v>57326691.440000005</v>
      </c>
      <c r="D31" s="999">
        <f>D8+D20</f>
        <v>437990483.5800001</v>
      </c>
      <c r="E31" s="999">
        <f>E8+E20</f>
        <v>437988935.53999996</v>
      </c>
      <c r="F31" s="999">
        <f>F8+F20</f>
        <v>432281657.49000001</v>
      </c>
      <c r="G31" s="1002">
        <f t="shared" si="1"/>
        <v>1548.040000140667</v>
      </c>
    </row>
    <row r="32" spans="1:7" ht="15.75" thickBot="1" x14ac:dyDescent="0.3">
      <c r="A32" s="1005"/>
      <c r="B32" s="1001"/>
      <c r="C32" s="1000"/>
      <c r="D32" s="1000"/>
      <c r="E32" s="1000"/>
      <c r="F32" s="1000"/>
      <c r="G32" s="1000"/>
    </row>
    <row r="36" spans="1:9" s="540" customFormat="1" ht="12.75" x14ac:dyDescent="0.2">
      <c r="A36" s="537"/>
      <c r="B36" s="537"/>
      <c r="C36" s="538"/>
      <c r="D36" s="538"/>
      <c r="E36" s="538"/>
      <c r="F36" s="538"/>
      <c r="G36" s="538"/>
      <c r="H36" s="538"/>
      <c r="I36" s="291"/>
    </row>
    <row r="37" spans="1:9" s="19" customFormat="1" ht="8.25" customHeight="1" x14ac:dyDescent="0.2">
      <c r="A37" s="21"/>
      <c r="B37" s="21"/>
      <c r="C37" s="22"/>
      <c r="D37" s="855"/>
      <c r="E37" s="22"/>
      <c r="F37" s="22"/>
      <c r="G37" s="22"/>
      <c r="H37" s="22"/>
      <c r="I37" s="291"/>
    </row>
    <row r="38" spans="1:9" s="19" customFormat="1" ht="12.75" x14ac:dyDescent="0.2">
      <c r="A38" s="21"/>
      <c r="B38" s="21"/>
      <c r="C38" s="22"/>
      <c r="D38" s="22"/>
      <c r="E38" s="22"/>
      <c r="F38" s="22"/>
      <c r="G38" s="22"/>
      <c r="H38" s="22"/>
      <c r="I38" s="287"/>
    </row>
    <row r="39" spans="1:9" s="19" customFormat="1" ht="12.75" x14ac:dyDescent="0.2">
      <c r="A39" s="21"/>
      <c r="B39" s="21"/>
      <c r="C39" s="22"/>
      <c r="D39" s="22"/>
      <c r="E39" s="22"/>
      <c r="F39" s="22"/>
      <c r="G39" s="22"/>
      <c r="H39" s="22"/>
      <c r="I39" s="280"/>
    </row>
    <row r="40" spans="1:9" s="540" customFormat="1" ht="12.75" x14ac:dyDescent="0.2">
      <c r="A40" s="537"/>
      <c r="B40" s="537"/>
      <c r="C40" s="538"/>
      <c r="D40" s="538"/>
      <c r="E40" s="538"/>
      <c r="F40" s="538"/>
      <c r="G40" s="538"/>
      <c r="H40" s="538"/>
      <c r="I40" s="287"/>
    </row>
    <row r="41" spans="1:9" s="540" customFormat="1" ht="12.75" x14ac:dyDescent="0.2">
      <c r="A41" s="537"/>
      <c r="B41" s="537"/>
      <c r="C41" s="538"/>
      <c r="D41" s="538"/>
      <c r="E41" s="538"/>
      <c r="F41" s="538"/>
      <c r="G41" s="538"/>
      <c r="H41" s="538"/>
      <c r="I41" s="287"/>
    </row>
    <row r="42" spans="1:9" s="540" customFormat="1" ht="12.75" x14ac:dyDescent="0.2">
      <c r="A42" s="537"/>
      <c r="B42" s="537"/>
      <c r="C42" s="538"/>
      <c r="D42" s="538"/>
      <c r="E42" s="538"/>
      <c r="F42" s="538"/>
      <c r="G42" s="538"/>
      <c r="H42" s="538"/>
      <c r="I42" s="287"/>
    </row>
  </sheetData>
  <mergeCells count="8">
    <mergeCell ref="A6:A7"/>
    <mergeCell ref="B6:F6"/>
    <mergeCell ref="G6:G7"/>
    <mergeCell ref="A1:G1"/>
    <mergeCell ref="A2:G2"/>
    <mergeCell ref="A3:G3"/>
    <mergeCell ref="A4:G4"/>
    <mergeCell ref="A5:G5"/>
  </mergeCells>
  <pageMargins left="0.7" right="0.7" top="0.75" bottom="0.75" header="0.3" footer="0.3"/>
  <pageSetup scale="85" fitToHeight="0"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7"/>
  <sheetViews>
    <sheetView view="pageBreakPreview" zoomScale="60" zoomScaleNormal="100" workbookViewId="0">
      <selection sqref="A1:H1"/>
    </sheetView>
  </sheetViews>
  <sheetFormatPr baseColWidth="10" defaultRowHeight="15" x14ac:dyDescent="0.25"/>
  <cols>
    <col min="1" max="1" width="54.7109375" customWidth="1"/>
    <col min="2" max="7" width="18.7109375" customWidth="1"/>
  </cols>
  <sheetData>
    <row r="1" spans="1:7" x14ac:dyDescent="0.25">
      <c r="A1" s="1438" t="s">
        <v>719</v>
      </c>
      <c r="B1" s="1438"/>
      <c r="C1" s="1438"/>
      <c r="D1" s="1438"/>
      <c r="E1" s="1438"/>
      <c r="F1" s="1438"/>
      <c r="G1" s="1438"/>
    </row>
    <row r="2" spans="1:7" x14ac:dyDescent="0.25">
      <c r="A2" s="1438" t="s">
        <v>10692</v>
      </c>
      <c r="B2" s="1438"/>
      <c r="C2" s="1438"/>
      <c r="D2" s="1438"/>
      <c r="E2" s="1438"/>
      <c r="F2" s="1438"/>
      <c r="G2" s="1438"/>
    </row>
    <row r="3" spans="1:7" x14ac:dyDescent="0.25">
      <c r="A3" s="1438" t="s">
        <v>10492</v>
      </c>
      <c r="B3" s="1438"/>
      <c r="C3" s="1438"/>
      <c r="D3" s="1438"/>
      <c r="E3" s="1438"/>
      <c r="F3" s="1438"/>
      <c r="G3" s="1438"/>
    </row>
    <row r="4" spans="1:7" ht="15.75" thickBot="1" x14ac:dyDescent="0.3">
      <c r="A4" s="1438" t="s">
        <v>10691</v>
      </c>
      <c r="B4" s="1438"/>
      <c r="C4" s="1438"/>
      <c r="D4" s="1438"/>
      <c r="E4" s="1438"/>
      <c r="F4" s="1438"/>
      <c r="G4" s="1438"/>
    </row>
    <row r="5" spans="1:7" x14ac:dyDescent="0.25">
      <c r="A5" s="1383" t="s">
        <v>10690</v>
      </c>
      <c r="B5" s="1383">
        <v>2018</v>
      </c>
      <c r="C5" s="1383">
        <v>2019</v>
      </c>
      <c r="D5" s="1383">
        <v>2020</v>
      </c>
      <c r="E5" s="1383">
        <v>2021</v>
      </c>
      <c r="F5" s="1383">
        <v>2022</v>
      </c>
      <c r="G5" s="1383">
        <v>2023</v>
      </c>
    </row>
    <row r="6" spans="1:7" ht="15.75" thickBot="1" x14ac:dyDescent="0.3">
      <c r="A6" s="1385"/>
      <c r="B6" s="1385"/>
      <c r="C6" s="1385"/>
      <c r="D6" s="1385"/>
      <c r="E6" s="1385"/>
      <c r="F6" s="1385"/>
      <c r="G6" s="1385"/>
    </row>
    <row r="7" spans="1:7" x14ac:dyDescent="0.25">
      <c r="A7" s="1016"/>
      <c r="B7" s="1011"/>
      <c r="C7" s="1011"/>
      <c r="D7" s="1011"/>
      <c r="E7" s="1011"/>
      <c r="F7" s="1011"/>
      <c r="G7" s="1011"/>
    </row>
    <row r="8" spans="1:7" x14ac:dyDescent="0.25">
      <c r="A8" s="1012" t="s">
        <v>10689</v>
      </c>
      <c r="B8" s="1109">
        <f t="shared" ref="B8:G8" si="0">SUM(B9:B20)</f>
        <v>623377760</v>
      </c>
      <c r="C8" s="1109">
        <f t="shared" si="0"/>
        <v>638962204</v>
      </c>
      <c r="D8" s="1109">
        <f t="shared" si="0"/>
        <v>654936259</v>
      </c>
      <c r="E8" s="1109">
        <f t="shared" si="0"/>
        <v>671309666</v>
      </c>
      <c r="F8" s="1109">
        <f t="shared" si="0"/>
        <v>688092407.64999986</v>
      </c>
      <c r="G8" s="1109">
        <f t="shared" si="0"/>
        <v>705294717.84124982</v>
      </c>
    </row>
    <row r="9" spans="1:7" x14ac:dyDescent="0.25">
      <c r="A9" s="1015" t="s">
        <v>10688</v>
      </c>
      <c r="B9" s="1011">
        <v>179835000</v>
      </c>
      <c r="C9" s="1011">
        <v>184330875</v>
      </c>
      <c r="D9" s="1011">
        <v>188939147</v>
      </c>
      <c r="E9" s="1011">
        <v>193662626</v>
      </c>
      <c r="F9" s="1011">
        <f>E9*1.025</f>
        <v>198504191.64999998</v>
      </c>
      <c r="G9" s="1011">
        <f>F9*1.025</f>
        <v>203466796.44124997</v>
      </c>
    </row>
    <row r="10" spans="1:7" x14ac:dyDescent="0.25">
      <c r="A10" s="1015" t="s">
        <v>10687</v>
      </c>
      <c r="B10" s="1011">
        <v>0</v>
      </c>
      <c r="C10" s="1011">
        <v>0</v>
      </c>
      <c r="D10" s="1011">
        <v>0</v>
      </c>
      <c r="E10" s="1011">
        <v>0</v>
      </c>
      <c r="F10" s="1011">
        <v>0</v>
      </c>
      <c r="G10" s="1011">
        <v>0</v>
      </c>
    </row>
    <row r="11" spans="1:7" x14ac:dyDescent="0.25">
      <c r="A11" s="1015" t="s">
        <v>10686</v>
      </c>
      <c r="B11" s="1011">
        <v>50000</v>
      </c>
      <c r="C11" s="1011">
        <v>51250</v>
      </c>
      <c r="D11" s="1011">
        <v>52531</v>
      </c>
      <c r="E11" s="1011">
        <v>53844</v>
      </c>
      <c r="F11" s="1011">
        <f t="shared" ref="F11:G11" si="1">E11*1.025</f>
        <v>55190.1</v>
      </c>
      <c r="G11" s="1011">
        <f t="shared" si="1"/>
        <v>56569.852499999994</v>
      </c>
    </row>
    <row r="12" spans="1:7" x14ac:dyDescent="0.25">
      <c r="A12" s="1015" t="s">
        <v>10685</v>
      </c>
      <c r="B12" s="1011">
        <v>27995000</v>
      </c>
      <c r="C12" s="1011">
        <v>28694875</v>
      </c>
      <c r="D12" s="1011">
        <v>29412247</v>
      </c>
      <c r="E12" s="1011">
        <v>30147553</v>
      </c>
      <c r="F12" s="1011">
        <f t="shared" ref="F12:G12" si="2">E12*1.025</f>
        <v>30901241.824999996</v>
      </c>
      <c r="G12" s="1011">
        <f t="shared" si="2"/>
        <v>31673772.870624993</v>
      </c>
    </row>
    <row r="13" spans="1:7" x14ac:dyDescent="0.25">
      <c r="A13" s="1015" t="s">
        <v>10684</v>
      </c>
      <c r="B13" s="1011">
        <v>6400000</v>
      </c>
      <c r="C13" s="1011">
        <v>6560000</v>
      </c>
      <c r="D13" s="1011">
        <v>6724000</v>
      </c>
      <c r="E13" s="1011">
        <v>6892100</v>
      </c>
      <c r="F13" s="1011">
        <f t="shared" ref="F13:G13" si="3">E13*1.025</f>
        <v>7064402.4999999991</v>
      </c>
      <c r="G13" s="1011">
        <f t="shared" si="3"/>
        <v>7241012.5624999981</v>
      </c>
    </row>
    <row r="14" spans="1:7" x14ac:dyDescent="0.25">
      <c r="A14" s="1015" t="s">
        <v>10683</v>
      </c>
      <c r="B14" s="1011">
        <v>6350000</v>
      </c>
      <c r="C14" s="1011">
        <v>6508750</v>
      </c>
      <c r="D14" s="1011">
        <v>6671469</v>
      </c>
      <c r="E14" s="1011">
        <v>6838256</v>
      </c>
      <c r="F14" s="1011">
        <f t="shared" ref="F14:G14" si="4">E14*1.025</f>
        <v>7009212.3999999994</v>
      </c>
      <c r="G14" s="1011">
        <f t="shared" si="4"/>
        <v>7184442.709999999</v>
      </c>
    </row>
    <row r="15" spans="1:7" x14ac:dyDescent="0.25">
      <c r="A15" s="1015" t="s">
        <v>10682</v>
      </c>
      <c r="B15" s="1011">
        <v>0</v>
      </c>
      <c r="C15" s="1011">
        <v>0</v>
      </c>
      <c r="D15" s="1011">
        <v>0</v>
      </c>
      <c r="E15" s="1011">
        <v>0</v>
      </c>
      <c r="F15" s="1011">
        <v>0</v>
      </c>
      <c r="G15" s="1011">
        <v>0</v>
      </c>
    </row>
    <row r="16" spans="1:7" x14ac:dyDescent="0.25">
      <c r="A16" s="1015" t="s">
        <v>10681</v>
      </c>
      <c r="B16" s="1011">
        <v>402747760</v>
      </c>
      <c r="C16" s="1011">
        <v>412816454</v>
      </c>
      <c r="D16" s="1011">
        <v>423136865</v>
      </c>
      <c r="E16" s="1011">
        <v>433715287</v>
      </c>
      <c r="F16" s="1011">
        <f t="shared" ref="F16:G16" si="5">E16*1.025</f>
        <v>444558169.17499995</v>
      </c>
      <c r="G16" s="1011">
        <f t="shared" si="5"/>
        <v>455672123.4043749</v>
      </c>
    </row>
    <row r="17" spans="1:7" x14ac:dyDescent="0.25">
      <c r="A17" s="1015" t="s">
        <v>10680</v>
      </c>
      <c r="B17" s="1011">
        <v>0</v>
      </c>
      <c r="C17" s="1011">
        <v>0</v>
      </c>
      <c r="D17" s="1011">
        <v>0</v>
      </c>
      <c r="E17" s="1011">
        <v>0</v>
      </c>
      <c r="F17" s="1011">
        <v>0</v>
      </c>
      <c r="G17" s="1011">
        <v>0</v>
      </c>
    </row>
    <row r="18" spans="1:7" x14ac:dyDescent="0.25">
      <c r="A18" s="1015" t="s">
        <v>10679</v>
      </c>
      <c r="B18" s="1011">
        <v>0</v>
      </c>
      <c r="C18" s="1011">
        <v>0</v>
      </c>
      <c r="D18" s="1011">
        <v>0</v>
      </c>
      <c r="E18" s="1011">
        <v>0</v>
      </c>
      <c r="F18" s="1011">
        <v>0</v>
      </c>
      <c r="G18" s="1011">
        <v>0</v>
      </c>
    </row>
    <row r="19" spans="1:7" x14ac:dyDescent="0.25">
      <c r="A19" s="1015" t="s">
        <v>10678</v>
      </c>
      <c r="B19" s="1011">
        <v>0</v>
      </c>
      <c r="C19" s="1011">
        <v>0</v>
      </c>
      <c r="D19" s="1011">
        <v>0</v>
      </c>
      <c r="E19" s="1011">
        <v>0</v>
      </c>
      <c r="F19" s="1011">
        <v>0</v>
      </c>
      <c r="G19" s="1011">
        <v>0</v>
      </c>
    </row>
    <row r="20" spans="1:7" x14ac:dyDescent="0.25">
      <c r="A20" s="1015" t="s">
        <v>10677</v>
      </c>
      <c r="B20" s="1011">
        <v>0</v>
      </c>
      <c r="C20" s="1011">
        <v>0</v>
      </c>
      <c r="D20" s="1011">
        <v>0</v>
      </c>
      <c r="E20" s="1011">
        <v>0</v>
      </c>
      <c r="F20" s="1011">
        <v>0</v>
      </c>
      <c r="G20" s="1011">
        <v>0</v>
      </c>
    </row>
    <row r="21" spans="1:7" x14ac:dyDescent="0.25">
      <c r="A21" s="1014"/>
      <c r="B21" s="1011"/>
      <c r="C21" s="1011"/>
      <c r="D21" s="1011"/>
      <c r="E21" s="1011"/>
      <c r="F21" s="1011"/>
      <c r="G21" s="1011"/>
    </row>
    <row r="22" spans="1:7" x14ac:dyDescent="0.25">
      <c r="A22" s="1012" t="s">
        <v>10676</v>
      </c>
      <c r="B22" s="1109">
        <f t="shared" ref="B22:G22" si="6">SUM(B23:B27)</f>
        <v>221703555</v>
      </c>
      <c r="C22" s="1109">
        <f t="shared" si="6"/>
        <v>227246143</v>
      </c>
      <c r="D22" s="1109">
        <f t="shared" si="6"/>
        <v>232927297</v>
      </c>
      <c r="E22" s="1109">
        <f t="shared" si="6"/>
        <v>238750479</v>
      </c>
      <c r="F22" s="1109">
        <f t="shared" si="6"/>
        <v>244719240.97499996</v>
      </c>
      <c r="G22" s="1109">
        <f t="shared" si="6"/>
        <v>250837221.99937493</v>
      </c>
    </row>
    <row r="23" spans="1:7" x14ac:dyDescent="0.25">
      <c r="A23" s="1015" t="s">
        <v>10675</v>
      </c>
      <c r="B23" s="1011">
        <v>219200000</v>
      </c>
      <c r="C23" s="1011">
        <v>224680000</v>
      </c>
      <c r="D23" s="1011">
        <v>230297000</v>
      </c>
      <c r="E23" s="1011">
        <v>236054425</v>
      </c>
      <c r="F23" s="1011">
        <f t="shared" ref="F23:G23" si="7">E23*1.025</f>
        <v>241955785.62499997</v>
      </c>
      <c r="G23" s="1011">
        <f t="shared" si="7"/>
        <v>248004680.26562494</v>
      </c>
    </row>
    <row r="24" spans="1:7" x14ac:dyDescent="0.25">
      <c r="A24" s="1015" t="s">
        <v>10674</v>
      </c>
      <c r="B24" s="1011">
        <v>2503555</v>
      </c>
      <c r="C24" s="1011">
        <v>2566143</v>
      </c>
      <c r="D24" s="1011">
        <v>2630297</v>
      </c>
      <c r="E24" s="1011">
        <v>2696054</v>
      </c>
      <c r="F24" s="1011">
        <f t="shared" ref="F24:G24" si="8">E24*1.025</f>
        <v>2763455.3499999996</v>
      </c>
      <c r="G24" s="1011">
        <f t="shared" si="8"/>
        <v>2832541.7337499992</v>
      </c>
    </row>
    <row r="25" spans="1:7" x14ac:dyDescent="0.25">
      <c r="A25" s="1015" t="s">
        <v>10673</v>
      </c>
      <c r="B25" s="1011">
        <v>0</v>
      </c>
      <c r="C25" s="1011">
        <v>0</v>
      </c>
      <c r="D25" s="1011">
        <v>0</v>
      </c>
      <c r="E25" s="1011">
        <v>0</v>
      </c>
      <c r="F25" s="1011">
        <v>0</v>
      </c>
      <c r="G25" s="1011">
        <v>0</v>
      </c>
    </row>
    <row r="26" spans="1:7" ht="22.5" x14ac:dyDescent="0.25">
      <c r="A26" s="1015" t="s">
        <v>10672</v>
      </c>
      <c r="B26" s="1011">
        <v>0</v>
      </c>
      <c r="C26" s="1011">
        <v>0</v>
      </c>
      <c r="D26" s="1011">
        <v>0</v>
      </c>
      <c r="E26" s="1011">
        <v>0</v>
      </c>
      <c r="F26" s="1011">
        <v>0</v>
      </c>
      <c r="G26" s="1011">
        <v>0</v>
      </c>
    </row>
    <row r="27" spans="1:7" x14ac:dyDescent="0.25">
      <c r="A27" s="1015" t="s">
        <v>10671</v>
      </c>
      <c r="B27" s="1011">
        <v>0</v>
      </c>
      <c r="C27" s="1011">
        <v>0</v>
      </c>
      <c r="D27" s="1011">
        <v>0</v>
      </c>
      <c r="E27" s="1011">
        <v>0</v>
      </c>
      <c r="F27" s="1011">
        <v>0</v>
      </c>
      <c r="G27" s="1011">
        <v>0</v>
      </c>
    </row>
    <row r="28" spans="1:7" x14ac:dyDescent="0.25">
      <c r="A28" s="1014"/>
      <c r="B28" s="1011"/>
      <c r="C28" s="1011"/>
      <c r="D28" s="1011"/>
      <c r="E28" s="1011"/>
      <c r="F28" s="1011"/>
      <c r="G28" s="1011"/>
    </row>
    <row r="29" spans="1:7" x14ac:dyDescent="0.25">
      <c r="A29" s="1012" t="s">
        <v>10670</v>
      </c>
      <c r="B29" s="1011">
        <f t="shared" ref="B29:G29" si="9">SUM(B30)</f>
        <v>0</v>
      </c>
      <c r="C29" s="1011">
        <f t="shared" si="9"/>
        <v>0</v>
      </c>
      <c r="D29" s="1011">
        <f t="shared" si="9"/>
        <v>0</v>
      </c>
      <c r="E29" s="1011">
        <f t="shared" si="9"/>
        <v>0</v>
      </c>
      <c r="F29" s="1011">
        <f t="shared" si="9"/>
        <v>0</v>
      </c>
      <c r="G29" s="1011">
        <f t="shared" si="9"/>
        <v>0</v>
      </c>
    </row>
    <row r="30" spans="1:7" x14ac:dyDescent="0.25">
      <c r="A30" s="1015" t="s">
        <v>10669</v>
      </c>
      <c r="B30" s="1011">
        <v>0</v>
      </c>
      <c r="C30" s="1011">
        <v>0</v>
      </c>
      <c r="D30" s="1011">
        <v>0</v>
      </c>
      <c r="E30" s="1011">
        <v>0</v>
      </c>
      <c r="F30" s="1011"/>
      <c r="G30" s="1011"/>
    </row>
    <row r="31" spans="1:7" x14ac:dyDescent="0.25">
      <c r="A31" s="1014"/>
      <c r="B31" s="1011"/>
      <c r="C31" s="1011"/>
      <c r="D31" s="1011"/>
      <c r="E31" s="1011"/>
      <c r="F31" s="1011"/>
      <c r="G31" s="1011"/>
    </row>
    <row r="32" spans="1:7" x14ac:dyDescent="0.25">
      <c r="A32" s="1012" t="s">
        <v>10668</v>
      </c>
      <c r="B32" s="1109">
        <f>B8+B22+B29</f>
        <v>845081315</v>
      </c>
      <c r="C32" s="1109">
        <f t="shared" ref="C32:G32" si="10">C8+C22+C29</f>
        <v>866208347</v>
      </c>
      <c r="D32" s="1109">
        <f t="shared" si="10"/>
        <v>887863556</v>
      </c>
      <c r="E32" s="1109">
        <f t="shared" si="10"/>
        <v>910060145</v>
      </c>
      <c r="F32" s="1109">
        <f t="shared" si="10"/>
        <v>932811648.62499976</v>
      </c>
      <c r="G32" s="1109">
        <f t="shared" si="10"/>
        <v>956131939.84062481</v>
      </c>
    </row>
    <row r="33" spans="1:9" x14ac:dyDescent="0.25">
      <c r="A33" s="1014"/>
      <c r="B33" s="1011"/>
      <c r="C33" s="1011"/>
      <c r="D33" s="1011"/>
      <c r="E33" s="1011"/>
      <c r="F33" s="1011"/>
      <c r="G33" s="1011"/>
    </row>
    <row r="34" spans="1:9" x14ac:dyDescent="0.25">
      <c r="A34" s="1012" t="s">
        <v>10577</v>
      </c>
      <c r="B34" s="1011"/>
      <c r="C34" s="1011"/>
      <c r="D34" s="1011"/>
      <c r="E34" s="1011"/>
      <c r="F34" s="1011"/>
      <c r="G34" s="1011"/>
    </row>
    <row r="35" spans="1:9" ht="22.5" x14ac:dyDescent="0.25">
      <c r="A35" s="1013" t="s">
        <v>10667</v>
      </c>
      <c r="B35" s="1011">
        <v>0</v>
      </c>
      <c r="C35" s="1011">
        <v>0</v>
      </c>
      <c r="D35" s="1011">
        <v>0</v>
      </c>
      <c r="E35" s="1011">
        <v>0</v>
      </c>
      <c r="F35" s="1011">
        <v>0</v>
      </c>
      <c r="G35" s="1011">
        <v>0</v>
      </c>
    </row>
    <row r="36" spans="1:9" ht="22.5" x14ac:dyDescent="0.25">
      <c r="A36" s="1013" t="s">
        <v>10666</v>
      </c>
      <c r="B36" s="1011">
        <v>0</v>
      </c>
      <c r="C36" s="1011">
        <v>0</v>
      </c>
      <c r="D36" s="1011">
        <v>0</v>
      </c>
      <c r="E36" s="1011">
        <v>0</v>
      </c>
      <c r="F36" s="1011">
        <v>0</v>
      </c>
      <c r="G36" s="1011">
        <v>0</v>
      </c>
    </row>
    <row r="37" spans="1:9" x14ac:dyDescent="0.25">
      <c r="A37" s="1012" t="s">
        <v>10665</v>
      </c>
      <c r="B37" s="1011">
        <f>B35+B36</f>
        <v>0</v>
      </c>
      <c r="C37" s="1011">
        <f t="shared" ref="C37:G37" si="11">SUM(C35:C36)</f>
        <v>0</v>
      </c>
      <c r="D37" s="1011">
        <f t="shared" si="11"/>
        <v>0</v>
      </c>
      <c r="E37" s="1011">
        <f t="shared" si="11"/>
        <v>0</v>
      </c>
      <c r="F37" s="1011">
        <f t="shared" si="11"/>
        <v>0</v>
      </c>
      <c r="G37" s="1011">
        <f t="shared" si="11"/>
        <v>0</v>
      </c>
    </row>
    <row r="38" spans="1:9" ht="15.75" thickBot="1" x14ac:dyDescent="0.3">
      <c r="A38" s="1010"/>
      <c r="B38" s="1009"/>
      <c r="C38" s="1009"/>
      <c r="D38" s="1009"/>
      <c r="E38" s="1009"/>
      <c r="F38" s="1009"/>
      <c r="G38" s="1009"/>
    </row>
    <row r="43" spans="1:9" s="540" customFormat="1" ht="12.75" x14ac:dyDescent="0.2">
      <c r="A43" s="537"/>
      <c r="B43" s="537"/>
      <c r="C43" s="538"/>
      <c r="D43" s="538"/>
      <c r="E43" s="538"/>
      <c r="F43" s="538"/>
      <c r="G43" s="538"/>
      <c r="H43" s="538"/>
      <c r="I43" s="291"/>
    </row>
    <row r="44" spans="1:9" s="19" customFormat="1" ht="8.25" customHeight="1" x14ac:dyDescent="0.2">
      <c r="A44" s="21"/>
      <c r="B44" s="21"/>
      <c r="C44" s="22"/>
      <c r="D44" s="855"/>
      <c r="E44" s="22"/>
      <c r="F44" s="22"/>
      <c r="G44" s="22"/>
      <c r="H44" s="22"/>
      <c r="I44" s="291"/>
    </row>
    <row r="45" spans="1:9" s="19" customFormat="1" ht="12.75" x14ac:dyDescent="0.2">
      <c r="A45" s="21"/>
      <c r="B45" s="21"/>
      <c r="C45" s="22"/>
      <c r="D45" s="22"/>
      <c r="E45" s="22"/>
      <c r="F45" s="22"/>
      <c r="G45" s="22"/>
      <c r="H45" s="22"/>
      <c r="I45" s="287"/>
    </row>
    <row r="46" spans="1:9" s="19" customFormat="1" ht="12.75" x14ac:dyDescent="0.2">
      <c r="A46" s="21"/>
      <c r="B46" s="21"/>
      <c r="C46" s="22"/>
      <c r="D46" s="22"/>
      <c r="E46" s="22"/>
      <c r="F46" s="22"/>
      <c r="G46" s="22"/>
      <c r="H46" s="22"/>
      <c r="I46" s="280"/>
    </row>
    <row r="47" spans="1:9" s="540" customFormat="1" ht="12.75" x14ac:dyDescent="0.2">
      <c r="A47" s="537"/>
      <c r="B47" s="537"/>
      <c r="C47" s="538"/>
      <c r="D47" s="538"/>
      <c r="E47" s="538"/>
      <c r="F47" s="538"/>
      <c r="G47" s="538"/>
      <c r="H47" s="538"/>
      <c r="I47" s="287"/>
    </row>
  </sheetData>
  <mergeCells count="11">
    <mergeCell ref="A1:G1"/>
    <mergeCell ref="A2:G2"/>
    <mergeCell ref="A3:G3"/>
    <mergeCell ref="A4:G4"/>
    <mergeCell ref="A5:A6"/>
    <mergeCell ref="C5:C6"/>
    <mergeCell ref="D5:D6"/>
    <mergeCell ref="E5:E6"/>
    <mergeCell ref="F5:F6"/>
    <mergeCell ref="G5:G6"/>
    <mergeCell ref="B5:B6"/>
  </mergeCells>
  <pageMargins left="0.7" right="0.7" top="0.75" bottom="0.75" header="0.3" footer="0.3"/>
  <pageSetup scale="73"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8"/>
  <sheetViews>
    <sheetView view="pageBreakPreview" zoomScale="60" zoomScaleNormal="100" workbookViewId="0"/>
  </sheetViews>
  <sheetFormatPr baseColWidth="10" defaultColWidth="11.42578125" defaultRowHeight="12.75" customHeight="1" x14ac:dyDescent="0.2"/>
  <cols>
    <col min="1" max="1" width="6.7109375" style="5" customWidth="1"/>
    <col min="2" max="2" width="36.140625" style="5" customWidth="1"/>
    <col min="3" max="3" width="14.140625" style="5" bestFit="1" customWidth="1"/>
    <col min="4" max="4" width="11.5703125" style="5" customWidth="1"/>
    <col min="5" max="5" width="12.5703125" style="5" customWidth="1"/>
    <col min="6" max="6" width="13.42578125" style="5" customWidth="1"/>
    <col min="7" max="7" width="14" style="5" bestFit="1" customWidth="1"/>
    <col min="8" max="8" width="14.42578125" style="5" customWidth="1"/>
    <col min="9" max="9" width="15.5703125" style="5" bestFit="1" customWidth="1"/>
    <col min="10" max="10" width="11.85546875" style="5" customWidth="1"/>
    <col min="11" max="11" width="12.140625" style="5" customWidth="1"/>
    <col min="12" max="12" width="15.5703125" style="5" bestFit="1" customWidth="1"/>
    <col min="13" max="16384" width="11.42578125" style="5"/>
  </cols>
  <sheetData>
    <row r="1" spans="1:12" ht="12.75" customHeight="1" x14ac:dyDescent="0.2">
      <c r="L1" s="4"/>
    </row>
    <row r="2" spans="1:12" ht="12.75" customHeight="1" x14ac:dyDescent="0.2">
      <c r="A2" s="1150" t="s">
        <v>566</v>
      </c>
      <c r="B2" s="1150"/>
      <c r="C2" s="1150"/>
      <c r="D2" s="1150"/>
      <c r="E2" s="1150"/>
      <c r="F2" s="1150"/>
      <c r="G2" s="1150"/>
      <c r="H2" s="12"/>
      <c r="I2" s="12"/>
      <c r="J2" s="12"/>
      <c r="K2" s="12"/>
      <c r="L2" s="6"/>
    </row>
    <row r="3" spans="1:12" ht="12.75" customHeight="1" x14ac:dyDescent="0.2">
      <c r="A3" s="1150" t="s">
        <v>200</v>
      </c>
      <c r="B3" s="1150"/>
      <c r="C3" s="1150"/>
      <c r="D3" s="1150"/>
      <c r="E3" s="1150"/>
      <c r="F3" s="1150"/>
      <c r="G3" s="1150"/>
      <c r="H3" s="832"/>
      <c r="I3" s="832"/>
      <c r="J3" s="832"/>
      <c r="K3" s="832"/>
      <c r="L3" s="6"/>
    </row>
    <row r="4" spans="1:12" ht="12.75" customHeight="1" x14ac:dyDescent="0.2">
      <c r="A4" s="1150" t="s">
        <v>10486</v>
      </c>
      <c r="B4" s="1150"/>
      <c r="C4" s="1150"/>
      <c r="D4" s="1150"/>
      <c r="E4" s="1150"/>
      <c r="F4" s="1150"/>
      <c r="G4" s="1150"/>
      <c r="H4" s="12"/>
      <c r="I4" s="12"/>
      <c r="J4" s="12"/>
      <c r="K4" s="12"/>
      <c r="L4" s="12"/>
    </row>
    <row r="5" spans="1:12" ht="6.75" customHeight="1" x14ac:dyDescent="0.25">
      <c r="A5" s="13"/>
      <c r="B5" s="13"/>
      <c r="C5" s="13"/>
      <c r="D5" s="13"/>
      <c r="E5" s="13"/>
      <c r="F5" s="13"/>
      <c r="G5" s="13"/>
      <c r="H5" s="13"/>
      <c r="I5" s="13"/>
      <c r="J5" s="13"/>
      <c r="K5" s="13"/>
      <c r="L5" s="13"/>
    </row>
    <row r="6" spans="1:12" ht="9" customHeight="1" x14ac:dyDescent="0.2">
      <c r="G6" s="4"/>
    </row>
    <row r="7" spans="1:12" s="1" customFormat="1" ht="9.75" customHeight="1" x14ac:dyDescent="0.2">
      <c r="A7" s="1151" t="s">
        <v>664</v>
      </c>
      <c r="B7" s="1152"/>
      <c r="C7" s="1157" t="s">
        <v>665</v>
      </c>
      <c r="D7" s="1157" t="s">
        <v>666</v>
      </c>
      <c r="E7" s="1157" t="s">
        <v>667</v>
      </c>
      <c r="F7" s="1157" t="s">
        <v>668</v>
      </c>
      <c r="G7" s="1157" t="s">
        <v>8605</v>
      </c>
      <c r="H7" s="1159"/>
      <c r="I7" s="1159"/>
      <c r="J7" s="1159"/>
      <c r="K7" s="1159"/>
      <c r="L7" s="1159"/>
    </row>
    <row r="8" spans="1:12" s="1" customFormat="1" ht="9.75" customHeight="1" x14ac:dyDescent="0.2">
      <c r="A8" s="1153"/>
      <c r="B8" s="1154"/>
      <c r="C8" s="1158"/>
      <c r="D8" s="1158"/>
      <c r="E8" s="1158"/>
      <c r="F8" s="1158"/>
      <c r="G8" s="1158"/>
      <c r="H8" s="1159"/>
      <c r="I8" s="1159"/>
      <c r="J8" s="1159"/>
      <c r="K8" s="1159"/>
      <c r="L8" s="1159"/>
    </row>
    <row r="9" spans="1:12" s="1" customFormat="1" ht="9.75" customHeight="1" x14ac:dyDescent="0.2">
      <c r="A9" s="1153"/>
      <c r="B9" s="1154"/>
      <c r="C9" s="1158"/>
      <c r="D9" s="1158"/>
      <c r="E9" s="1158"/>
      <c r="F9" s="1158"/>
      <c r="G9" s="1158"/>
      <c r="H9" s="1159"/>
      <c r="I9" s="1159"/>
      <c r="J9" s="1159"/>
      <c r="K9" s="1159"/>
      <c r="L9" s="1159"/>
    </row>
    <row r="10" spans="1:12" s="1" customFormat="1" ht="9.75" customHeight="1" x14ac:dyDescent="0.2">
      <c r="A10" s="1153"/>
      <c r="B10" s="1154"/>
      <c r="C10" s="833" t="s">
        <v>670</v>
      </c>
      <c r="D10" s="1158"/>
      <c r="E10" s="1158"/>
      <c r="F10" s="833" t="s">
        <v>671</v>
      </c>
      <c r="G10" s="833" t="s">
        <v>672</v>
      </c>
      <c r="H10" s="1159"/>
      <c r="I10" s="1159"/>
      <c r="J10" s="1159"/>
      <c r="K10" s="1159"/>
      <c r="L10" s="1159"/>
    </row>
    <row r="11" spans="1:12" s="1" customFormat="1" ht="9.75" customHeight="1" x14ac:dyDescent="0.2">
      <c r="A11" s="1155"/>
      <c r="B11" s="1156"/>
      <c r="C11" s="834">
        <v>1</v>
      </c>
      <c r="D11" s="834">
        <v>2</v>
      </c>
      <c r="E11" s="834">
        <v>3</v>
      </c>
      <c r="F11" s="834" t="s">
        <v>202</v>
      </c>
      <c r="G11" s="834" t="s">
        <v>673</v>
      </c>
      <c r="H11" s="1159"/>
      <c r="I11" s="1159"/>
      <c r="J11" s="1159"/>
      <c r="K11" s="1159"/>
      <c r="L11" s="1159"/>
    </row>
    <row r="12" spans="1:12" s="15" customFormat="1" ht="14.25" customHeight="1" x14ac:dyDescent="0.25">
      <c r="A12" s="63">
        <v>1</v>
      </c>
      <c r="B12" s="64" t="s">
        <v>1</v>
      </c>
      <c r="C12" s="65">
        <f>+C13+C56</f>
        <v>1119253994.3799999</v>
      </c>
      <c r="D12" s="65">
        <f>+D13+D56</f>
        <v>239659977.66000003</v>
      </c>
      <c r="E12" s="65">
        <f>+E13+E56</f>
        <v>337060412.5</v>
      </c>
      <c r="F12" s="65">
        <f>+F13+F56</f>
        <v>1021853559.54</v>
      </c>
      <c r="G12" s="65">
        <f>+G13+G56</f>
        <v>97400434.839999974</v>
      </c>
      <c r="H12" s="14"/>
      <c r="I12" s="14"/>
      <c r="J12" s="14"/>
      <c r="K12" s="14"/>
      <c r="L12" s="14"/>
    </row>
    <row r="13" spans="1:12" s="17" customFormat="1" ht="14.25" customHeight="1" x14ac:dyDescent="0.25">
      <c r="A13" s="63">
        <v>1.1000000000000001</v>
      </c>
      <c r="B13" s="64" t="s">
        <v>567</v>
      </c>
      <c r="C13" s="65">
        <f>+C14+C23+C32+C38+C44+C47+C51</f>
        <v>89020537.11999999</v>
      </c>
      <c r="D13" s="65">
        <f>+D14+D23+D32+D38+D44+D47+D51</f>
        <v>215119363.85000002</v>
      </c>
      <c r="E13" s="65">
        <f>+E14+E23+E32+E38+E44+E47+E51</f>
        <v>252586078.26000002</v>
      </c>
      <c r="F13" s="65">
        <f>+F14+F23+F32+F38+F44+F47+F51</f>
        <v>51553822.710000016</v>
      </c>
      <c r="G13" s="65">
        <f>+G14+G23+G32+G38+G44+G47+G51</f>
        <v>37466714.409999967</v>
      </c>
      <c r="H13" s="16"/>
      <c r="I13" s="16"/>
      <c r="J13" s="16"/>
      <c r="K13" s="16"/>
      <c r="L13" s="14"/>
    </row>
    <row r="14" spans="1:12" s="17" customFormat="1" ht="14.25" customHeight="1" x14ac:dyDescent="0.25">
      <c r="A14" s="66" t="s">
        <v>5</v>
      </c>
      <c r="B14" s="64" t="s">
        <v>6</v>
      </c>
      <c r="C14" s="65">
        <f>SUM(C15:C21)</f>
        <v>67285761.389999986</v>
      </c>
      <c r="D14" s="65">
        <f>SUM(D15:D21)</f>
        <v>195821259.73000002</v>
      </c>
      <c r="E14" s="65">
        <f>SUM(E15:E21)</f>
        <v>233135505.13000003</v>
      </c>
      <c r="F14" s="65">
        <f>SUM(F15:F21)</f>
        <v>29971515.99000001</v>
      </c>
      <c r="G14" s="65">
        <f>SUM(G15:G21)</f>
        <v>37314245.399999976</v>
      </c>
      <c r="H14" s="16"/>
      <c r="I14" s="16"/>
      <c r="J14" s="16"/>
      <c r="K14" s="16"/>
      <c r="L14" s="14"/>
    </row>
    <row r="15" spans="1:12" s="17" customFormat="1" ht="14.25" customHeight="1" x14ac:dyDescent="0.25">
      <c r="A15" s="63" t="s">
        <v>569</v>
      </c>
      <c r="B15" s="67" t="s">
        <v>570</v>
      </c>
      <c r="C15" s="68">
        <v>72000</v>
      </c>
      <c r="D15" s="69">
        <v>25000.3</v>
      </c>
      <c r="E15" s="69">
        <v>59000.3</v>
      </c>
      <c r="F15" s="69">
        <f t="shared" ref="F15:F21" si="0">+C15+D15-E15</f>
        <v>38000</v>
      </c>
      <c r="G15" s="69">
        <f t="shared" ref="G15:G21" si="1">+C15-F15</f>
        <v>34000</v>
      </c>
      <c r="H15" s="16"/>
      <c r="I15" s="16"/>
      <c r="J15" s="16"/>
      <c r="K15" s="16"/>
      <c r="L15" s="14"/>
    </row>
    <row r="16" spans="1:12" s="17" customFormat="1" ht="14.25" customHeight="1" x14ac:dyDescent="0.25">
      <c r="A16" s="63" t="s">
        <v>573</v>
      </c>
      <c r="B16" s="67" t="s">
        <v>574</v>
      </c>
      <c r="C16" s="68">
        <v>3937761.3900000155</v>
      </c>
      <c r="D16" s="69">
        <v>195796259.43000001</v>
      </c>
      <c r="E16" s="69">
        <v>169800504.83000001</v>
      </c>
      <c r="F16" s="69">
        <f t="shared" si="0"/>
        <v>29933515.99000001</v>
      </c>
      <c r="G16" s="69">
        <f t="shared" si="1"/>
        <v>-25995754.599999994</v>
      </c>
      <c r="H16" s="16"/>
      <c r="I16" s="16"/>
      <c r="J16" s="16"/>
      <c r="K16" s="16"/>
      <c r="L16" s="14"/>
    </row>
    <row r="17" spans="1:12" s="17" customFormat="1" ht="14.25" hidden="1" customHeight="1" x14ac:dyDescent="0.25">
      <c r="A17" s="63" t="s">
        <v>674</v>
      </c>
      <c r="B17" s="67" t="s">
        <v>675</v>
      </c>
      <c r="C17" s="68">
        <v>0</v>
      </c>
      <c r="D17" s="69"/>
      <c r="E17" s="69"/>
      <c r="F17" s="69">
        <f t="shared" si="0"/>
        <v>0</v>
      </c>
      <c r="G17" s="69">
        <f t="shared" si="1"/>
        <v>0</v>
      </c>
      <c r="H17" s="16"/>
      <c r="I17" s="16"/>
      <c r="J17" s="16"/>
      <c r="K17" s="16"/>
      <c r="L17" s="14"/>
    </row>
    <row r="18" spans="1:12" s="15" customFormat="1" ht="14.25" customHeight="1" x14ac:dyDescent="0.25">
      <c r="A18" s="63" t="s">
        <v>577</v>
      </c>
      <c r="B18" s="67" t="s">
        <v>578</v>
      </c>
      <c r="C18" s="68">
        <v>63275999.99999997</v>
      </c>
      <c r="D18" s="69">
        <v>0</v>
      </c>
      <c r="E18" s="69">
        <v>63276000</v>
      </c>
      <c r="F18" s="69">
        <f t="shared" si="0"/>
        <v>0</v>
      </c>
      <c r="G18" s="69">
        <f t="shared" si="1"/>
        <v>63275999.99999997</v>
      </c>
      <c r="H18" s="14"/>
      <c r="I18" s="14"/>
      <c r="J18" s="14"/>
      <c r="K18" s="14"/>
      <c r="L18" s="14"/>
    </row>
    <row r="19" spans="1:12" s="17" customFormat="1" ht="14.25" hidden="1" customHeight="1" x14ac:dyDescent="0.25">
      <c r="A19" s="63" t="s">
        <v>676</v>
      </c>
      <c r="B19" s="67" t="s">
        <v>677</v>
      </c>
      <c r="C19" s="68">
        <v>0</v>
      </c>
      <c r="D19" s="69">
        <v>0</v>
      </c>
      <c r="E19" s="69">
        <v>0</v>
      </c>
      <c r="F19" s="69">
        <f t="shared" si="0"/>
        <v>0</v>
      </c>
      <c r="G19" s="69">
        <f t="shared" si="1"/>
        <v>0</v>
      </c>
      <c r="H19" s="16"/>
      <c r="I19" s="16"/>
      <c r="J19" s="16"/>
      <c r="K19" s="16"/>
      <c r="L19" s="14"/>
    </row>
    <row r="20" spans="1:12" s="17" customFormat="1" ht="24.75" hidden="1" customHeight="1" x14ac:dyDescent="0.25">
      <c r="A20" s="63" t="s">
        <v>678</v>
      </c>
      <c r="B20" s="67" t="s">
        <v>679</v>
      </c>
      <c r="C20" s="68">
        <v>0</v>
      </c>
      <c r="D20" s="69">
        <v>0</v>
      </c>
      <c r="E20" s="69">
        <v>0</v>
      </c>
      <c r="F20" s="69">
        <f t="shared" si="0"/>
        <v>0</v>
      </c>
      <c r="G20" s="69">
        <f t="shared" si="1"/>
        <v>0</v>
      </c>
      <c r="H20" s="16"/>
      <c r="I20" s="16"/>
      <c r="J20" s="16"/>
      <c r="K20" s="16"/>
      <c r="L20" s="14"/>
    </row>
    <row r="21" spans="1:12" s="17" customFormat="1" ht="12" hidden="1" customHeight="1" x14ac:dyDescent="0.25">
      <c r="A21" s="63" t="s">
        <v>680</v>
      </c>
      <c r="B21" s="67" t="s">
        <v>681</v>
      </c>
      <c r="C21" s="68">
        <v>0</v>
      </c>
      <c r="D21" s="69">
        <v>0</v>
      </c>
      <c r="E21" s="69">
        <v>0</v>
      </c>
      <c r="F21" s="69">
        <f t="shared" si="0"/>
        <v>0</v>
      </c>
      <c r="G21" s="69">
        <f t="shared" si="1"/>
        <v>0</v>
      </c>
      <c r="H21" s="16"/>
      <c r="I21" s="16"/>
      <c r="J21" s="16"/>
      <c r="K21" s="16"/>
      <c r="L21" s="14"/>
    </row>
    <row r="22" spans="1:12" s="17" customFormat="1" ht="9" customHeight="1" x14ac:dyDescent="0.25">
      <c r="A22" s="63"/>
      <c r="B22" s="67"/>
      <c r="C22" s="68"/>
      <c r="D22" s="69"/>
      <c r="E22" s="69"/>
      <c r="F22" s="69"/>
      <c r="G22" s="69"/>
      <c r="H22" s="16"/>
      <c r="I22" s="16"/>
      <c r="J22" s="16"/>
      <c r="K22" s="16"/>
      <c r="L22" s="14"/>
    </row>
    <row r="23" spans="1:12" s="17" customFormat="1" ht="12.75" customHeight="1" x14ac:dyDescent="0.25">
      <c r="A23" s="66" t="s">
        <v>9</v>
      </c>
      <c r="B23" s="70" t="s">
        <v>10</v>
      </c>
      <c r="C23" s="65">
        <f>SUM(C24:C30)</f>
        <v>20034001.329999998</v>
      </c>
      <c r="D23" s="65">
        <f>SUM(D24:D30)</f>
        <v>19298104.120000001</v>
      </c>
      <c r="E23" s="65">
        <f>SUM(E24:E30)</f>
        <v>19450573.129999999</v>
      </c>
      <c r="F23" s="65">
        <f>SUM(F24:F30)</f>
        <v>19881532.320000004</v>
      </c>
      <c r="G23" s="65">
        <f>SUM(G24:G30)</f>
        <v>152469.00999999419</v>
      </c>
      <c r="H23" s="16"/>
      <c r="I23" s="16"/>
      <c r="J23" s="16"/>
      <c r="K23" s="16"/>
      <c r="L23" s="14"/>
    </row>
    <row r="24" spans="1:12" s="17" customFormat="1" ht="12.75" hidden="1" customHeight="1" x14ac:dyDescent="0.25">
      <c r="A24" s="63" t="s">
        <v>8606</v>
      </c>
      <c r="B24" s="67" t="s">
        <v>8607</v>
      </c>
      <c r="C24" s="68">
        <v>0</v>
      </c>
      <c r="D24" s="68">
        <v>0</v>
      </c>
      <c r="E24" s="68">
        <v>0</v>
      </c>
      <c r="F24" s="69">
        <f t="shared" ref="F24:F30" si="2">+C24+D24-E24</f>
        <v>0</v>
      </c>
      <c r="G24" s="69">
        <f t="shared" ref="G24:G30" si="3">+C24-F24</f>
        <v>0</v>
      </c>
      <c r="H24" s="16"/>
      <c r="I24" s="16"/>
      <c r="J24" s="16"/>
      <c r="K24" s="16"/>
      <c r="L24" s="14"/>
    </row>
    <row r="25" spans="1:12" s="17" customFormat="1" ht="12.75" hidden="1" customHeight="1" x14ac:dyDescent="0.25">
      <c r="A25" s="63" t="s">
        <v>8608</v>
      </c>
      <c r="B25" s="67" t="s">
        <v>8609</v>
      </c>
      <c r="C25" s="68">
        <v>0</v>
      </c>
      <c r="D25" s="68">
        <v>0</v>
      </c>
      <c r="E25" s="68">
        <v>0</v>
      </c>
      <c r="F25" s="69">
        <f t="shared" si="2"/>
        <v>0</v>
      </c>
      <c r="G25" s="69">
        <f t="shared" si="3"/>
        <v>0</v>
      </c>
      <c r="H25" s="16"/>
      <c r="I25" s="16"/>
      <c r="J25" s="16"/>
      <c r="K25" s="16"/>
      <c r="L25" s="14"/>
    </row>
    <row r="26" spans="1:12" s="15" customFormat="1" ht="12.75" customHeight="1" x14ac:dyDescent="0.25">
      <c r="A26" s="63" t="s">
        <v>582</v>
      </c>
      <c r="B26" s="67" t="s">
        <v>682</v>
      </c>
      <c r="C26" s="835">
        <v>20034001.329999998</v>
      </c>
      <c r="D26" s="69">
        <v>19298104.120000001</v>
      </c>
      <c r="E26" s="69">
        <v>19450573.129999999</v>
      </c>
      <c r="F26" s="69">
        <f t="shared" si="2"/>
        <v>19881532.320000004</v>
      </c>
      <c r="G26" s="69">
        <f t="shared" si="3"/>
        <v>152469.00999999419</v>
      </c>
      <c r="H26" s="71"/>
      <c r="I26" s="71"/>
      <c r="J26" s="71"/>
      <c r="K26" s="71"/>
      <c r="L26" s="71"/>
    </row>
    <row r="27" spans="1:12" s="17" customFormat="1" ht="12.75" customHeight="1" x14ac:dyDescent="0.25">
      <c r="A27" s="63" t="s">
        <v>586</v>
      </c>
      <c r="B27" s="67" t="s">
        <v>8610</v>
      </c>
      <c r="C27" s="68">
        <v>0</v>
      </c>
      <c r="D27" s="68">
        <v>0</v>
      </c>
      <c r="E27" s="68">
        <v>0</v>
      </c>
      <c r="F27" s="69">
        <f t="shared" si="2"/>
        <v>0</v>
      </c>
      <c r="G27" s="69">
        <f t="shared" si="3"/>
        <v>0</v>
      </c>
      <c r="H27" s="836"/>
      <c r="I27" s="836"/>
      <c r="J27" s="836"/>
      <c r="K27" s="836"/>
      <c r="L27" s="837"/>
    </row>
    <row r="28" spans="1:12" s="72" customFormat="1" ht="24.75" hidden="1" customHeight="1" x14ac:dyDescent="0.25">
      <c r="A28" s="63" t="s">
        <v>8611</v>
      </c>
      <c r="B28" s="67" t="s">
        <v>8612</v>
      </c>
      <c r="C28" s="68">
        <v>0</v>
      </c>
      <c r="D28" s="68">
        <v>0</v>
      </c>
      <c r="E28" s="68">
        <v>0</v>
      </c>
      <c r="F28" s="69">
        <f t="shared" si="2"/>
        <v>0</v>
      </c>
      <c r="G28" s="69">
        <f t="shared" si="3"/>
        <v>0</v>
      </c>
      <c r="H28" s="836"/>
      <c r="I28" s="836"/>
      <c r="J28" s="836"/>
      <c r="K28" s="836"/>
      <c r="L28" s="836"/>
    </row>
    <row r="29" spans="1:12" s="72" customFormat="1" ht="13.5" hidden="1" customHeight="1" x14ac:dyDescent="0.25">
      <c r="A29" s="63" t="s">
        <v>588</v>
      </c>
      <c r="B29" s="67" t="s">
        <v>8613</v>
      </c>
      <c r="C29" s="68">
        <v>0</v>
      </c>
      <c r="D29" s="68">
        <v>0</v>
      </c>
      <c r="E29" s="68">
        <v>0</v>
      </c>
      <c r="F29" s="69">
        <f t="shared" si="2"/>
        <v>0</v>
      </c>
      <c r="G29" s="69">
        <f t="shared" si="3"/>
        <v>0</v>
      </c>
    </row>
    <row r="30" spans="1:12" s="72" customFormat="1" ht="24.75" hidden="1" customHeight="1" x14ac:dyDescent="0.25">
      <c r="A30" s="63" t="s">
        <v>590</v>
      </c>
      <c r="B30" s="67" t="s">
        <v>8614</v>
      </c>
      <c r="C30" s="68">
        <v>0</v>
      </c>
      <c r="D30" s="68">
        <v>0</v>
      </c>
      <c r="E30" s="68">
        <v>0</v>
      </c>
      <c r="F30" s="69">
        <f t="shared" si="2"/>
        <v>0</v>
      </c>
      <c r="G30" s="69">
        <f t="shared" si="3"/>
        <v>0</v>
      </c>
    </row>
    <row r="31" spans="1:12" s="72" customFormat="1" ht="7.5" customHeight="1" x14ac:dyDescent="0.25">
      <c r="A31" s="63"/>
      <c r="B31" s="67"/>
      <c r="C31" s="68"/>
      <c r="D31" s="73"/>
      <c r="E31" s="73"/>
      <c r="F31" s="73"/>
      <c r="G31" s="73"/>
    </row>
    <row r="32" spans="1:12" s="17" customFormat="1" ht="12.75" customHeight="1" x14ac:dyDescent="0.25">
      <c r="A32" s="66" t="s">
        <v>13</v>
      </c>
      <c r="B32" s="70" t="s">
        <v>14</v>
      </c>
      <c r="C32" s="65">
        <f>SUM(C33:C37)</f>
        <v>6890.4</v>
      </c>
      <c r="D32" s="65">
        <f>SUM(D33:D37)</f>
        <v>0</v>
      </c>
      <c r="E32" s="65">
        <f>SUM(E33:E37)</f>
        <v>0</v>
      </c>
      <c r="F32" s="65">
        <f>SUM(F33:F37)</f>
        <v>6890.4</v>
      </c>
      <c r="G32" s="65">
        <f>SUM(G33:G37)</f>
        <v>0</v>
      </c>
      <c r="H32" s="16"/>
      <c r="I32" s="16"/>
      <c r="J32" s="16"/>
      <c r="K32" s="16"/>
      <c r="L32" s="14"/>
    </row>
    <row r="33" spans="1:7" s="18" customFormat="1" ht="24.75" customHeight="1" x14ac:dyDescent="0.25">
      <c r="A33" s="63" t="s">
        <v>593</v>
      </c>
      <c r="B33" s="67" t="s">
        <v>683</v>
      </c>
      <c r="C33" s="68">
        <v>0</v>
      </c>
      <c r="D33" s="68">
        <v>0</v>
      </c>
      <c r="E33" s="68">
        <v>0</v>
      </c>
      <c r="F33" s="73">
        <f>+C33+D33-E33</f>
        <v>0</v>
      </c>
      <c r="G33" s="73">
        <f>+C33-F33</f>
        <v>0</v>
      </c>
    </row>
    <row r="34" spans="1:7" s="18" customFormat="1" ht="24.75" customHeight="1" x14ac:dyDescent="0.25">
      <c r="A34" s="63" t="s">
        <v>596</v>
      </c>
      <c r="B34" s="67" t="s">
        <v>684</v>
      </c>
      <c r="C34" s="68">
        <v>6890.4</v>
      </c>
      <c r="D34" s="73">
        <v>0</v>
      </c>
      <c r="E34" s="73">
        <v>0</v>
      </c>
      <c r="F34" s="73">
        <f>+C34+D34-E34</f>
        <v>6890.4</v>
      </c>
      <c r="G34" s="73">
        <f>+C34-F34</f>
        <v>0</v>
      </c>
    </row>
    <row r="35" spans="1:7" s="18" customFormat="1" ht="24.75" hidden="1" customHeight="1" x14ac:dyDescent="0.25">
      <c r="A35" s="63" t="s">
        <v>599</v>
      </c>
      <c r="B35" s="67" t="s">
        <v>8615</v>
      </c>
      <c r="C35" s="68">
        <v>0</v>
      </c>
      <c r="D35" s="68">
        <v>0</v>
      </c>
      <c r="E35" s="68">
        <v>0</v>
      </c>
      <c r="F35" s="73">
        <f>+C35+D35-E35</f>
        <v>0</v>
      </c>
      <c r="G35" s="73">
        <f>+C35-F35</f>
        <v>0</v>
      </c>
    </row>
    <row r="36" spans="1:7" s="18" customFormat="1" ht="24.75" hidden="1" customHeight="1" x14ac:dyDescent="0.25">
      <c r="A36" s="63" t="s">
        <v>8616</v>
      </c>
      <c r="B36" s="67" t="s">
        <v>8617</v>
      </c>
      <c r="C36" s="68">
        <v>0</v>
      </c>
      <c r="D36" s="68">
        <v>0</v>
      </c>
      <c r="E36" s="68">
        <v>0</v>
      </c>
      <c r="F36" s="73">
        <f>+C36+D36-E36</f>
        <v>0</v>
      </c>
      <c r="G36" s="73">
        <f>+C36-F36</f>
        <v>0</v>
      </c>
    </row>
    <row r="37" spans="1:7" s="18" customFormat="1" ht="24.75" hidden="1" customHeight="1" x14ac:dyDescent="0.25">
      <c r="A37" s="63" t="s">
        <v>8618</v>
      </c>
      <c r="B37" s="67" t="s">
        <v>8619</v>
      </c>
      <c r="C37" s="68">
        <v>0</v>
      </c>
      <c r="D37" s="68">
        <v>0</v>
      </c>
      <c r="E37" s="68">
        <v>0</v>
      </c>
      <c r="F37" s="73">
        <f>+C37+D37-E37</f>
        <v>0</v>
      </c>
      <c r="G37" s="73">
        <f>+C37-F37</f>
        <v>0</v>
      </c>
    </row>
    <row r="38" spans="1:7" s="18" customFormat="1" ht="24.75" hidden="1" customHeight="1" x14ac:dyDescent="0.25">
      <c r="A38" s="838" t="s">
        <v>17</v>
      </c>
      <c r="B38" s="839" t="s">
        <v>18</v>
      </c>
      <c r="C38" s="840">
        <f>SUM(C39:C43)</f>
        <v>0</v>
      </c>
      <c r="D38" s="840">
        <f>SUM(D39:D43)</f>
        <v>0</v>
      </c>
      <c r="E38" s="840">
        <f>SUM(E39:E43)</f>
        <v>0</v>
      </c>
      <c r="F38" s="840">
        <f>SUM(F39:F43)</f>
        <v>0</v>
      </c>
      <c r="G38" s="840">
        <f>SUM(G39:G43)</f>
        <v>0</v>
      </c>
    </row>
    <row r="39" spans="1:7" s="18" customFormat="1" ht="15" hidden="1" customHeight="1" x14ac:dyDescent="0.25">
      <c r="A39" s="63" t="s">
        <v>8620</v>
      </c>
      <c r="B39" s="67" t="s">
        <v>8621</v>
      </c>
      <c r="C39" s="68">
        <v>0</v>
      </c>
      <c r="D39" s="68">
        <v>0</v>
      </c>
      <c r="E39" s="68">
        <v>0</v>
      </c>
      <c r="F39" s="73">
        <f>+C39+D39-E39</f>
        <v>0</v>
      </c>
      <c r="G39" s="73">
        <f>+C39-F39</f>
        <v>0</v>
      </c>
    </row>
    <row r="40" spans="1:7" s="18" customFormat="1" ht="15" hidden="1" customHeight="1" x14ac:dyDescent="0.25">
      <c r="A40" s="63" t="s">
        <v>8622</v>
      </c>
      <c r="B40" s="67" t="s">
        <v>8623</v>
      </c>
      <c r="C40" s="68">
        <v>0</v>
      </c>
      <c r="D40" s="68">
        <v>0</v>
      </c>
      <c r="E40" s="68">
        <v>0</v>
      </c>
      <c r="F40" s="73">
        <f>+C40+D40-E40</f>
        <v>0</v>
      </c>
      <c r="G40" s="73">
        <f>+C40-F40</f>
        <v>0</v>
      </c>
    </row>
    <row r="41" spans="1:7" s="18" customFormat="1" ht="24.75" hidden="1" customHeight="1" x14ac:dyDescent="0.25">
      <c r="A41" s="63" t="s">
        <v>8624</v>
      </c>
      <c r="B41" s="67" t="s">
        <v>8625</v>
      </c>
      <c r="C41" s="68">
        <v>0</v>
      </c>
      <c r="D41" s="68">
        <v>0</v>
      </c>
      <c r="E41" s="68">
        <v>0</v>
      </c>
      <c r="F41" s="73">
        <f>+C41+D41-E41</f>
        <v>0</v>
      </c>
      <c r="G41" s="73">
        <f>+C41-F41</f>
        <v>0</v>
      </c>
    </row>
    <row r="42" spans="1:7" s="18" customFormat="1" ht="24.75" hidden="1" customHeight="1" x14ac:dyDescent="0.25">
      <c r="A42" s="63" t="s">
        <v>8626</v>
      </c>
      <c r="B42" s="67" t="s">
        <v>8627</v>
      </c>
      <c r="C42" s="68">
        <v>0</v>
      </c>
      <c r="D42" s="68">
        <v>0</v>
      </c>
      <c r="E42" s="68">
        <v>0</v>
      </c>
      <c r="F42" s="73">
        <f>+C42+D42-E42</f>
        <v>0</v>
      </c>
      <c r="G42" s="73">
        <f>+C42-F42</f>
        <v>0</v>
      </c>
    </row>
    <row r="43" spans="1:7" s="18" customFormat="1" ht="12" hidden="1" customHeight="1" x14ac:dyDescent="0.25">
      <c r="A43" s="841" t="s">
        <v>8628</v>
      </c>
      <c r="B43" s="842" t="s">
        <v>8629</v>
      </c>
      <c r="C43" s="843">
        <v>0</v>
      </c>
      <c r="D43" s="843">
        <v>0</v>
      </c>
      <c r="E43" s="843">
        <v>0</v>
      </c>
      <c r="F43" s="844">
        <f>+C43+D43-E43</f>
        <v>0</v>
      </c>
      <c r="G43" s="844">
        <f>+C43-F43</f>
        <v>0</v>
      </c>
    </row>
    <row r="44" spans="1:7" s="18" customFormat="1" ht="21" hidden="1" customHeight="1" x14ac:dyDescent="0.25">
      <c r="A44" s="74" t="s">
        <v>21</v>
      </c>
      <c r="B44" s="845" t="s">
        <v>22</v>
      </c>
      <c r="C44" s="65">
        <f>SUM(C45)</f>
        <v>0</v>
      </c>
      <c r="D44" s="65">
        <f>SUM(D45)</f>
        <v>0</v>
      </c>
      <c r="E44" s="65">
        <f>SUM(E45)</f>
        <v>0</v>
      </c>
      <c r="F44" s="65">
        <f>SUM(F45)</f>
        <v>0</v>
      </c>
      <c r="G44" s="65">
        <f>SUM(G45)</f>
        <v>0</v>
      </c>
    </row>
    <row r="45" spans="1:7" s="18" customFormat="1" ht="24.75" hidden="1" customHeight="1" x14ac:dyDescent="0.25">
      <c r="A45" s="75" t="s">
        <v>8630</v>
      </c>
      <c r="B45" s="846" t="s">
        <v>8631</v>
      </c>
      <c r="C45" s="68">
        <v>0</v>
      </c>
      <c r="D45" s="68">
        <v>0</v>
      </c>
      <c r="E45" s="68">
        <v>0</v>
      </c>
      <c r="F45" s="68">
        <f>+C45+D45-E45</f>
        <v>0</v>
      </c>
      <c r="G45" s="68">
        <f>+C45-F45</f>
        <v>0</v>
      </c>
    </row>
    <row r="46" spans="1:7" s="18" customFormat="1" ht="12" hidden="1" customHeight="1" x14ac:dyDescent="0.25">
      <c r="A46" s="75"/>
      <c r="B46" s="846"/>
      <c r="C46" s="76"/>
      <c r="D46" s="77"/>
      <c r="E46" s="77"/>
      <c r="F46" s="77"/>
      <c r="G46" s="77"/>
    </row>
    <row r="47" spans="1:7" s="18" customFormat="1" ht="24.75" hidden="1" customHeight="1" x14ac:dyDescent="0.25">
      <c r="A47" s="74" t="s">
        <v>24</v>
      </c>
      <c r="B47" s="845" t="s">
        <v>25</v>
      </c>
      <c r="C47" s="65">
        <f>SUM(C48:C49)</f>
        <v>0</v>
      </c>
      <c r="D47" s="65">
        <f>SUM(D48:D49)</f>
        <v>0</v>
      </c>
      <c r="E47" s="65">
        <f>SUM(E48:E49)</f>
        <v>0</v>
      </c>
      <c r="F47" s="65">
        <f>SUM(F48:F49)</f>
        <v>0</v>
      </c>
      <c r="G47" s="65">
        <f>SUM(G48:G49)</f>
        <v>0</v>
      </c>
    </row>
    <row r="48" spans="1:7" s="18" customFormat="1" ht="24.75" hidden="1" customHeight="1" x14ac:dyDescent="0.25">
      <c r="A48" s="75" t="s">
        <v>8632</v>
      </c>
      <c r="B48" s="846" t="s">
        <v>8633</v>
      </c>
      <c r="C48" s="68">
        <v>0</v>
      </c>
      <c r="D48" s="68">
        <v>0</v>
      </c>
      <c r="E48" s="68">
        <v>0</v>
      </c>
      <c r="F48" s="68">
        <v>0</v>
      </c>
      <c r="G48" s="68">
        <v>0</v>
      </c>
    </row>
    <row r="49" spans="1:12" s="18" customFormat="1" ht="21" hidden="1" customHeight="1" x14ac:dyDescent="0.25">
      <c r="A49" s="75" t="s">
        <v>8634</v>
      </c>
      <c r="B49" s="846" t="s">
        <v>8635</v>
      </c>
      <c r="C49" s="68">
        <v>0</v>
      </c>
      <c r="D49" s="68">
        <v>0</v>
      </c>
      <c r="E49" s="68">
        <v>0</v>
      </c>
      <c r="F49" s="68">
        <v>0</v>
      </c>
      <c r="G49" s="68">
        <v>0</v>
      </c>
    </row>
    <row r="50" spans="1:12" s="18" customFormat="1" ht="5.25" customHeight="1" x14ac:dyDescent="0.25">
      <c r="A50" s="74"/>
      <c r="B50" s="78"/>
      <c r="C50" s="79"/>
      <c r="D50" s="77"/>
      <c r="E50" s="77"/>
      <c r="F50" s="77"/>
      <c r="G50" s="77"/>
    </row>
    <row r="51" spans="1:12" s="18" customFormat="1" x14ac:dyDescent="0.25">
      <c r="A51" s="74" t="s">
        <v>27</v>
      </c>
      <c r="B51" s="78" t="s">
        <v>28</v>
      </c>
      <c r="C51" s="65">
        <f>SUM(C52:C54)</f>
        <v>1693884</v>
      </c>
      <c r="D51" s="65">
        <f>SUM(D52:D54)</f>
        <v>0</v>
      </c>
      <c r="E51" s="65">
        <f>SUM(E52:E54)</f>
        <v>0</v>
      </c>
      <c r="F51" s="65">
        <f>SUM(F52:F54)</f>
        <v>1693884</v>
      </c>
      <c r="G51" s="65">
        <f>SUM(G52:G54)</f>
        <v>0</v>
      </c>
    </row>
    <row r="52" spans="1:12" s="15" customFormat="1" ht="12.75" customHeight="1" x14ac:dyDescent="0.25">
      <c r="A52" s="63" t="s">
        <v>602</v>
      </c>
      <c r="B52" s="67" t="s">
        <v>603</v>
      </c>
      <c r="C52" s="68">
        <v>1693884</v>
      </c>
      <c r="D52" s="69">
        <v>0</v>
      </c>
      <c r="E52" s="69">
        <v>0</v>
      </c>
      <c r="F52" s="69">
        <f>+C52+D52-E52</f>
        <v>1693884</v>
      </c>
      <c r="G52" s="69">
        <f>+C52-F52</f>
        <v>0</v>
      </c>
      <c r="H52" s="71"/>
      <c r="I52" s="71"/>
      <c r="J52" s="71"/>
      <c r="K52" s="71"/>
      <c r="L52" s="71"/>
    </row>
    <row r="53" spans="1:12" s="18" customFormat="1" ht="25.5" hidden="1" x14ac:dyDescent="0.25">
      <c r="A53" s="75" t="s">
        <v>8636</v>
      </c>
      <c r="B53" s="67" t="s">
        <v>8637</v>
      </c>
      <c r="C53" s="68">
        <v>0</v>
      </c>
      <c r="D53" s="68">
        <v>0</v>
      </c>
      <c r="E53" s="68">
        <v>0</v>
      </c>
      <c r="F53" s="68">
        <f>+C53+D53-E53</f>
        <v>0</v>
      </c>
      <c r="G53" s="68">
        <f>+C53-F53</f>
        <v>0</v>
      </c>
    </row>
    <row r="54" spans="1:12" s="18" customFormat="1" ht="38.25" hidden="1" x14ac:dyDescent="0.25">
      <c r="A54" s="75" t="s">
        <v>8638</v>
      </c>
      <c r="B54" s="81" t="s">
        <v>8639</v>
      </c>
      <c r="C54" s="68">
        <v>0</v>
      </c>
      <c r="D54" s="68">
        <v>0</v>
      </c>
      <c r="E54" s="68">
        <v>0</v>
      </c>
      <c r="F54" s="68">
        <f>+C54+D54-E54</f>
        <v>0</v>
      </c>
      <c r="G54" s="68">
        <f>+C54-F54</f>
        <v>0</v>
      </c>
    </row>
    <row r="55" spans="1:12" s="18" customFormat="1" ht="12" customHeight="1" x14ac:dyDescent="0.25">
      <c r="A55" s="82"/>
      <c r="B55" s="83"/>
      <c r="C55" s="76"/>
      <c r="D55" s="77"/>
      <c r="E55" s="77"/>
      <c r="F55" s="77"/>
      <c r="G55" s="77"/>
    </row>
    <row r="56" spans="1:12" s="18" customFormat="1" x14ac:dyDescent="0.25">
      <c r="A56" s="84">
        <v>1.2</v>
      </c>
      <c r="B56" s="83" t="s">
        <v>606</v>
      </c>
      <c r="C56" s="65">
        <f>+C58+C61+C66+C74+C84+C89+C96</f>
        <v>1030233457.26</v>
      </c>
      <c r="D56" s="65">
        <f>+D58+D61+D66+D74+D84+D89+D96</f>
        <v>24540613.809999999</v>
      </c>
      <c r="E56" s="65">
        <f>+E58+E61+E66+E74+E84+E89+E96</f>
        <v>84474334.239999995</v>
      </c>
      <c r="F56" s="65">
        <f>+F58+F61+F66+F74+F84+F89+F96</f>
        <v>970299736.82999992</v>
      </c>
      <c r="G56" s="65">
        <f>+G58+G61+G66+G74+G84+G89+G96</f>
        <v>59933720.430000007</v>
      </c>
      <c r="H56" s="85"/>
      <c r="I56" s="85"/>
    </row>
    <row r="57" spans="1:12" s="18" customFormat="1" ht="7.5" customHeight="1" x14ac:dyDescent="0.25">
      <c r="A57" s="84"/>
      <c r="B57" s="83"/>
      <c r="C57" s="76"/>
      <c r="D57" s="77"/>
      <c r="E57" s="77"/>
      <c r="F57" s="77"/>
      <c r="G57" s="77"/>
    </row>
    <row r="58" spans="1:12" s="18" customFormat="1" hidden="1" x14ac:dyDescent="0.25">
      <c r="A58" s="74" t="s">
        <v>33</v>
      </c>
      <c r="B58" s="78" t="s">
        <v>34</v>
      </c>
      <c r="C58" s="65">
        <f>SUM(C59:C60)</f>
        <v>0</v>
      </c>
      <c r="D58" s="65">
        <f>SUM(D59:D60)</f>
        <v>0</v>
      </c>
      <c r="E58" s="65">
        <f>SUM(E59:E60)</f>
        <v>0</v>
      </c>
      <c r="F58" s="65">
        <f>SUM(F59:F60)</f>
        <v>0</v>
      </c>
      <c r="G58" s="65">
        <f>SUM(G59:G60)</f>
        <v>0</v>
      </c>
    </row>
    <row r="59" spans="1:12" s="18" customFormat="1" hidden="1" x14ac:dyDescent="0.25">
      <c r="A59" s="75" t="s">
        <v>685</v>
      </c>
      <c r="B59" s="80" t="s">
        <v>686</v>
      </c>
      <c r="C59" s="68">
        <v>0</v>
      </c>
      <c r="D59" s="68">
        <v>0</v>
      </c>
      <c r="E59" s="68">
        <v>0</v>
      </c>
      <c r="F59" s="68">
        <f>+C59+D59-E59</f>
        <v>0</v>
      </c>
      <c r="G59" s="68">
        <f>+C59-F59</f>
        <v>0</v>
      </c>
    </row>
    <row r="60" spans="1:12" s="18" customFormat="1" ht="25.5" hidden="1" x14ac:dyDescent="0.25">
      <c r="A60" s="75" t="s">
        <v>687</v>
      </c>
      <c r="B60" s="81" t="s">
        <v>688</v>
      </c>
      <c r="C60" s="68">
        <v>0</v>
      </c>
      <c r="D60" s="68">
        <v>0</v>
      </c>
      <c r="E60" s="68">
        <v>0</v>
      </c>
      <c r="F60" s="68">
        <f>+C60+D60-E60</f>
        <v>0</v>
      </c>
      <c r="G60" s="68">
        <f>+C60-F60</f>
        <v>0</v>
      </c>
    </row>
    <row r="61" spans="1:12" s="18" customFormat="1" ht="32.25" hidden="1" customHeight="1" x14ac:dyDescent="0.25">
      <c r="A61" s="82" t="s">
        <v>37</v>
      </c>
      <c r="B61" s="86" t="s">
        <v>38</v>
      </c>
      <c r="C61" s="65">
        <f>SUM(C62:C65)</f>
        <v>0</v>
      </c>
      <c r="D61" s="65">
        <f>SUM(D62:D65)</f>
        <v>0</v>
      </c>
      <c r="E61" s="65">
        <f>SUM(E62:E65)</f>
        <v>0</v>
      </c>
      <c r="F61" s="65">
        <f>SUM(F62:F65)</f>
        <v>0</v>
      </c>
      <c r="G61" s="65">
        <f>SUM(G62:G65)</f>
        <v>0</v>
      </c>
    </row>
    <row r="62" spans="1:12" s="18" customFormat="1" ht="17.25" hidden="1" customHeight="1" x14ac:dyDescent="0.25">
      <c r="A62" s="75" t="s">
        <v>689</v>
      </c>
      <c r="B62" s="80" t="s">
        <v>690</v>
      </c>
      <c r="C62" s="68">
        <v>0</v>
      </c>
      <c r="D62" s="68">
        <v>0</v>
      </c>
      <c r="E62" s="68">
        <v>0</v>
      </c>
      <c r="F62" s="68">
        <v>0</v>
      </c>
      <c r="G62" s="68">
        <v>0</v>
      </c>
    </row>
    <row r="63" spans="1:12" s="18" customFormat="1" ht="17.25" hidden="1" customHeight="1" x14ac:dyDescent="0.25">
      <c r="A63" s="75" t="s">
        <v>691</v>
      </c>
      <c r="B63" s="80" t="s">
        <v>692</v>
      </c>
      <c r="C63" s="68">
        <v>0</v>
      </c>
      <c r="D63" s="68">
        <v>0</v>
      </c>
      <c r="E63" s="68">
        <v>0</v>
      </c>
      <c r="F63" s="68">
        <v>0</v>
      </c>
      <c r="G63" s="68">
        <v>0</v>
      </c>
    </row>
    <row r="64" spans="1:12" s="18" customFormat="1" ht="17.25" hidden="1" customHeight="1" x14ac:dyDescent="0.25">
      <c r="A64" s="75" t="s">
        <v>693</v>
      </c>
      <c r="B64" s="80" t="s">
        <v>694</v>
      </c>
      <c r="C64" s="68">
        <v>0</v>
      </c>
      <c r="D64" s="68">
        <v>0</v>
      </c>
      <c r="E64" s="68">
        <v>0</v>
      </c>
      <c r="F64" s="68">
        <v>0</v>
      </c>
      <c r="G64" s="68">
        <v>0</v>
      </c>
    </row>
    <row r="65" spans="1:12" s="18" customFormat="1" ht="25.5" hidden="1" x14ac:dyDescent="0.25">
      <c r="A65" s="75" t="s">
        <v>695</v>
      </c>
      <c r="B65" s="67" t="s">
        <v>696</v>
      </c>
      <c r="C65" s="68">
        <v>0</v>
      </c>
      <c r="D65" s="68">
        <v>0</v>
      </c>
      <c r="E65" s="68">
        <v>0</v>
      </c>
      <c r="F65" s="68">
        <v>0</v>
      </c>
      <c r="G65" s="68">
        <v>0</v>
      </c>
    </row>
    <row r="66" spans="1:12" s="18" customFormat="1" ht="26.25" customHeight="1" x14ac:dyDescent="0.25">
      <c r="A66" s="74" t="s">
        <v>41</v>
      </c>
      <c r="B66" s="87" t="s">
        <v>199</v>
      </c>
      <c r="C66" s="65">
        <f>SUM(C67:C73)</f>
        <v>1004593581.73</v>
      </c>
      <c r="D66" s="65">
        <f>SUM(D67:D73)</f>
        <v>24510917.809999999</v>
      </c>
      <c r="E66" s="65">
        <f>SUM(E67:E73)</f>
        <v>82453662.219999999</v>
      </c>
      <c r="F66" s="65">
        <f>SUM(F67:F73)</f>
        <v>946650837.31999993</v>
      </c>
      <c r="G66" s="65">
        <f>SUM(G67:G73)</f>
        <v>57942744.410000004</v>
      </c>
    </row>
    <row r="67" spans="1:12" s="15" customFormat="1" ht="12.75" customHeight="1" x14ac:dyDescent="0.25">
      <c r="A67" s="63" t="s">
        <v>697</v>
      </c>
      <c r="B67" s="67" t="s">
        <v>611</v>
      </c>
      <c r="C67" s="68">
        <v>752869784.87</v>
      </c>
      <c r="D67" s="69">
        <v>0</v>
      </c>
      <c r="E67" s="69">
        <v>0</v>
      </c>
      <c r="F67" s="69">
        <f t="shared" ref="F67:F73" si="4">+C67+D67-E67</f>
        <v>752869784.87</v>
      </c>
      <c r="G67" s="69">
        <f t="shared" ref="G67:G73" si="5">C67-F67</f>
        <v>0</v>
      </c>
      <c r="H67" s="71"/>
      <c r="I67" s="71"/>
      <c r="J67" s="71"/>
      <c r="K67" s="71"/>
      <c r="L67" s="71"/>
    </row>
    <row r="68" spans="1:12" s="15" customFormat="1" ht="14.25" hidden="1" customHeight="1" x14ac:dyDescent="0.25">
      <c r="A68" s="63" t="s">
        <v>8640</v>
      </c>
      <c r="B68" s="67" t="s">
        <v>8641</v>
      </c>
      <c r="C68" s="68">
        <v>0</v>
      </c>
      <c r="D68" s="69">
        <v>0</v>
      </c>
      <c r="E68" s="69">
        <v>0</v>
      </c>
      <c r="F68" s="69">
        <f t="shared" si="4"/>
        <v>0</v>
      </c>
      <c r="G68" s="69">
        <f t="shared" si="5"/>
        <v>0</v>
      </c>
      <c r="H68" s="14"/>
      <c r="I68" s="14"/>
      <c r="J68" s="14"/>
      <c r="K68" s="14"/>
      <c r="L68" s="14"/>
    </row>
    <row r="69" spans="1:12" s="15" customFormat="1" ht="12.75" customHeight="1" x14ac:dyDescent="0.25">
      <c r="A69" s="63" t="s">
        <v>698</v>
      </c>
      <c r="B69" s="67" t="s">
        <v>699</v>
      </c>
      <c r="C69" s="68">
        <v>190994376.74000001</v>
      </c>
      <c r="D69" s="69">
        <v>0</v>
      </c>
      <c r="E69" s="69">
        <v>0</v>
      </c>
      <c r="F69" s="69">
        <f t="shared" si="4"/>
        <v>190994376.74000001</v>
      </c>
      <c r="G69" s="69">
        <f t="shared" si="5"/>
        <v>0</v>
      </c>
      <c r="H69" s="71"/>
      <c r="I69" s="71"/>
      <c r="J69" s="71"/>
      <c r="K69" s="71"/>
      <c r="L69" s="71"/>
    </row>
    <row r="70" spans="1:12" s="18" customFormat="1" ht="17.25" hidden="1" customHeight="1" x14ac:dyDescent="0.25">
      <c r="A70" s="75" t="s">
        <v>8642</v>
      </c>
      <c r="B70" s="81" t="s">
        <v>8643</v>
      </c>
      <c r="C70" s="68">
        <v>0</v>
      </c>
      <c r="D70" s="68">
        <v>0</v>
      </c>
      <c r="E70" s="68">
        <v>0</v>
      </c>
      <c r="F70" s="68">
        <f t="shared" si="4"/>
        <v>0</v>
      </c>
      <c r="G70" s="68">
        <f t="shared" si="5"/>
        <v>0</v>
      </c>
    </row>
    <row r="71" spans="1:12" s="18" customFormat="1" ht="24.75" customHeight="1" x14ac:dyDescent="0.25">
      <c r="A71" s="75" t="s">
        <v>700</v>
      </c>
      <c r="B71" s="81" t="s">
        <v>701</v>
      </c>
      <c r="C71" s="68">
        <v>60729420.119999982</v>
      </c>
      <c r="D71" s="68">
        <v>24510917.809999999</v>
      </c>
      <c r="E71" s="68">
        <v>82453662.219999999</v>
      </c>
      <c r="F71" s="68">
        <f t="shared" si="4"/>
        <v>2786675.7099999785</v>
      </c>
      <c r="G71" s="68">
        <f t="shared" si="5"/>
        <v>57942744.410000004</v>
      </c>
    </row>
    <row r="72" spans="1:12" s="18" customFormat="1" ht="17.25" hidden="1" customHeight="1" x14ac:dyDescent="0.25">
      <c r="A72" s="75" t="s">
        <v>8644</v>
      </c>
      <c r="B72" s="81" t="s">
        <v>8645</v>
      </c>
      <c r="C72" s="68">
        <v>0</v>
      </c>
      <c r="D72" s="68">
        <v>0</v>
      </c>
      <c r="E72" s="68">
        <v>0</v>
      </c>
      <c r="F72" s="68">
        <f t="shared" si="4"/>
        <v>0</v>
      </c>
      <c r="G72" s="68">
        <f t="shared" si="5"/>
        <v>0</v>
      </c>
    </row>
    <row r="73" spans="1:12" s="18" customFormat="1" ht="17.25" hidden="1" customHeight="1" x14ac:dyDescent="0.25">
      <c r="A73" s="75" t="s">
        <v>8646</v>
      </c>
      <c r="B73" s="81" t="s">
        <v>8647</v>
      </c>
      <c r="C73" s="68">
        <v>0</v>
      </c>
      <c r="D73" s="68">
        <v>0</v>
      </c>
      <c r="E73" s="68">
        <v>0</v>
      </c>
      <c r="F73" s="68">
        <f t="shared" si="4"/>
        <v>0</v>
      </c>
      <c r="G73" s="68">
        <f t="shared" si="5"/>
        <v>0</v>
      </c>
    </row>
    <row r="74" spans="1:12" s="18" customFormat="1" ht="17.25" customHeight="1" x14ac:dyDescent="0.25">
      <c r="A74" s="82" t="s">
        <v>45</v>
      </c>
      <c r="B74" s="83" t="s">
        <v>46</v>
      </c>
      <c r="C74" s="840">
        <f>SUM(C75:C83)</f>
        <v>137337693.27000001</v>
      </c>
      <c r="D74" s="840">
        <f>SUM(D75:D83)</f>
        <v>29696</v>
      </c>
      <c r="E74" s="840">
        <f>SUM(E75:E83)</f>
        <v>197639.97</v>
      </c>
      <c r="F74" s="840">
        <f>SUM(F75:F83)</f>
        <v>137169749.30000001</v>
      </c>
      <c r="G74" s="840">
        <f>SUM(G75:G83)</f>
        <v>167943.97000000032</v>
      </c>
      <c r="K74" s="614"/>
    </row>
    <row r="75" spans="1:12" s="15" customFormat="1" ht="12.75" customHeight="1" x14ac:dyDescent="0.25">
      <c r="A75" s="63" t="s">
        <v>617</v>
      </c>
      <c r="B75" s="67" t="s">
        <v>507</v>
      </c>
      <c r="C75" s="68">
        <v>13303284.549999999</v>
      </c>
      <c r="D75" s="69">
        <v>21390.400000000001</v>
      </c>
      <c r="E75" s="69">
        <v>197639.97</v>
      </c>
      <c r="F75" s="69">
        <f t="shared" ref="F75:F83" si="6">+C75+D75-E75</f>
        <v>13127034.979999999</v>
      </c>
      <c r="G75" s="69">
        <f t="shared" ref="G75:G83" si="7">+C75-F75</f>
        <v>176249.5700000003</v>
      </c>
      <c r="H75" s="71"/>
      <c r="I75" s="71"/>
      <c r="J75" s="71"/>
      <c r="K75" s="71"/>
      <c r="L75" s="71"/>
    </row>
    <row r="76" spans="1:12" s="15" customFormat="1" ht="12.75" customHeight="1" x14ac:dyDescent="0.25">
      <c r="A76" s="63" t="s">
        <v>619</v>
      </c>
      <c r="B76" s="67" t="s">
        <v>620</v>
      </c>
      <c r="C76" s="68">
        <v>633031.80000000005</v>
      </c>
      <c r="D76" s="69">
        <v>8305.6</v>
      </c>
      <c r="E76" s="69">
        <v>0</v>
      </c>
      <c r="F76" s="69">
        <f t="shared" si="6"/>
        <v>641337.4</v>
      </c>
      <c r="G76" s="69">
        <f t="shared" si="7"/>
        <v>-8305.5999999999767</v>
      </c>
      <c r="H76" s="71"/>
      <c r="I76" s="71"/>
      <c r="J76" s="71"/>
      <c r="K76" s="71"/>
      <c r="L76" s="71"/>
    </row>
    <row r="77" spans="1:12" s="15" customFormat="1" ht="25.5" x14ac:dyDescent="0.25">
      <c r="A77" s="63" t="s">
        <v>7473</v>
      </c>
      <c r="B77" s="67" t="s">
        <v>7584</v>
      </c>
      <c r="C77" s="68">
        <v>49536.77</v>
      </c>
      <c r="D77" s="69">
        <v>0</v>
      </c>
      <c r="E77" s="69">
        <v>0</v>
      </c>
      <c r="F77" s="69">
        <f t="shared" si="6"/>
        <v>49536.77</v>
      </c>
      <c r="G77" s="69">
        <f t="shared" si="7"/>
        <v>0</v>
      </c>
      <c r="H77" s="71"/>
      <c r="I77" s="71"/>
      <c r="J77" s="71"/>
      <c r="K77" s="71"/>
      <c r="L77" s="71"/>
    </row>
    <row r="78" spans="1:12" s="15" customFormat="1" ht="12.75" customHeight="1" x14ac:dyDescent="0.25">
      <c r="A78" s="63" t="s">
        <v>621</v>
      </c>
      <c r="B78" s="67" t="s">
        <v>510</v>
      </c>
      <c r="C78" s="68">
        <v>107205304.75</v>
      </c>
      <c r="D78" s="69">
        <v>0</v>
      </c>
      <c r="E78" s="69">
        <v>0</v>
      </c>
      <c r="F78" s="69">
        <f t="shared" si="6"/>
        <v>107205304.75</v>
      </c>
      <c r="G78" s="69">
        <f t="shared" si="7"/>
        <v>0</v>
      </c>
      <c r="H78" s="71"/>
      <c r="I78" s="71"/>
      <c r="J78" s="71"/>
      <c r="K78" s="71"/>
      <c r="L78" s="71"/>
    </row>
    <row r="79" spans="1:12" s="18" customFormat="1" ht="17.25" hidden="1" customHeight="1" x14ac:dyDescent="0.25">
      <c r="A79" s="75" t="s">
        <v>8648</v>
      </c>
      <c r="B79" s="80" t="s">
        <v>511</v>
      </c>
      <c r="C79" s="68">
        <v>0</v>
      </c>
      <c r="D79" s="68">
        <v>0</v>
      </c>
      <c r="E79" s="68">
        <v>0</v>
      </c>
      <c r="F79" s="68">
        <f t="shared" si="6"/>
        <v>0</v>
      </c>
      <c r="G79" s="68">
        <f t="shared" si="7"/>
        <v>0</v>
      </c>
    </row>
    <row r="80" spans="1:12" s="15" customFormat="1" ht="12.75" customHeight="1" x14ac:dyDescent="0.25">
      <c r="A80" s="63" t="s">
        <v>622</v>
      </c>
      <c r="B80" s="67" t="s">
        <v>702</v>
      </c>
      <c r="C80" s="68">
        <v>16123335.399999997</v>
      </c>
      <c r="D80" s="69">
        <v>0</v>
      </c>
      <c r="E80" s="69">
        <v>0</v>
      </c>
      <c r="F80" s="69">
        <f t="shared" si="6"/>
        <v>16123335.399999997</v>
      </c>
      <c r="G80" s="69">
        <f t="shared" si="7"/>
        <v>0</v>
      </c>
      <c r="H80" s="71"/>
      <c r="I80" s="71"/>
      <c r="J80" s="71"/>
      <c r="K80" s="71"/>
      <c r="L80" s="71"/>
    </row>
    <row r="81" spans="1:12" s="15" customFormat="1" ht="12.75" customHeight="1" x14ac:dyDescent="0.25">
      <c r="A81" s="63" t="s">
        <v>624</v>
      </c>
      <c r="B81" s="67" t="s">
        <v>625</v>
      </c>
      <c r="C81" s="68">
        <v>23200</v>
      </c>
      <c r="D81" s="69">
        <v>0</v>
      </c>
      <c r="E81" s="69">
        <v>0</v>
      </c>
      <c r="F81" s="69">
        <f t="shared" si="6"/>
        <v>23200</v>
      </c>
      <c r="G81" s="69">
        <f t="shared" si="7"/>
        <v>0</v>
      </c>
      <c r="H81" s="71"/>
      <c r="I81" s="71"/>
      <c r="J81" s="71"/>
      <c r="K81" s="71"/>
      <c r="L81" s="71"/>
    </row>
    <row r="82" spans="1:12" s="15" customFormat="1" ht="12.75" hidden="1" customHeight="1" x14ac:dyDescent="0.25">
      <c r="A82" s="63" t="s">
        <v>8649</v>
      </c>
      <c r="B82" s="67" t="s">
        <v>513</v>
      </c>
      <c r="C82" s="68">
        <v>0</v>
      </c>
      <c r="D82" s="69">
        <v>0</v>
      </c>
      <c r="E82" s="69">
        <v>0</v>
      </c>
      <c r="F82" s="69">
        <f t="shared" si="6"/>
        <v>0</v>
      </c>
      <c r="G82" s="69">
        <f t="shared" si="7"/>
        <v>0</v>
      </c>
      <c r="H82" s="71"/>
      <c r="I82" s="71"/>
      <c r="J82" s="71"/>
      <c r="K82" s="71"/>
      <c r="L82" s="71"/>
    </row>
    <row r="83" spans="1:12" s="15" customFormat="1" ht="12.75" hidden="1" customHeight="1" x14ac:dyDescent="0.25">
      <c r="A83" s="63" t="s">
        <v>8650</v>
      </c>
      <c r="B83" s="67" t="s">
        <v>8651</v>
      </c>
      <c r="C83" s="68">
        <v>0</v>
      </c>
      <c r="D83" s="69">
        <v>0</v>
      </c>
      <c r="E83" s="69">
        <v>0</v>
      </c>
      <c r="F83" s="69">
        <f t="shared" si="6"/>
        <v>0</v>
      </c>
      <c r="G83" s="69">
        <f t="shared" si="7"/>
        <v>0</v>
      </c>
      <c r="H83" s="71"/>
      <c r="I83" s="71"/>
      <c r="J83" s="71"/>
      <c r="K83" s="71"/>
      <c r="L83" s="71"/>
    </row>
    <row r="84" spans="1:12" s="18" customFormat="1" ht="17.25" customHeight="1" x14ac:dyDescent="0.25">
      <c r="A84" s="82" t="s">
        <v>48</v>
      </c>
      <c r="B84" s="83" t="s">
        <v>49</v>
      </c>
      <c r="C84" s="65">
        <f>SUM(C85:C87)</f>
        <v>285855.8</v>
      </c>
      <c r="D84" s="65">
        <f>SUM(D85:D87)</f>
        <v>0</v>
      </c>
      <c r="E84" s="65">
        <f>SUM(E85:E87)</f>
        <v>0</v>
      </c>
      <c r="F84" s="65">
        <f>SUM(F85:F87)</f>
        <v>285855.8</v>
      </c>
      <c r="G84" s="65">
        <f>SUM(G85:G87)</f>
        <v>0</v>
      </c>
    </row>
    <row r="85" spans="1:12" s="18" customFormat="1" ht="17.25" customHeight="1" x14ac:dyDescent="0.25">
      <c r="A85" s="75" t="s">
        <v>627</v>
      </c>
      <c r="B85" s="80" t="s">
        <v>628</v>
      </c>
      <c r="C85" s="68">
        <v>206697.4</v>
      </c>
      <c r="D85" s="68">
        <v>0</v>
      </c>
      <c r="E85" s="68">
        <v>0</v>
      </c>
      <c r="F85" s="68">
        <f>C85+D85-E85</f>
        <v>206697.4</v>
      </c>
      <c r="G85" s="68">
        <f>C85-F85</f>
        <v>0</v>
      </c>
    </row>
    <row r="86" spans="1:12" s="18" customFormat="1" ht="17.25" customHeight="1" x14ac:dyDescent="0.25">
      <c r="A86" s="75" t="s">
        <v>703</v>
      </c>
      <c r="B86" s="80" t="s">
        <v>704</v>
      </c>
      <c r="C86" s="68">
        <v>79158.399999999994</v>
      </c>
      <c r="D86" s="68">
        <v>0</v>
      </c>
      <c r="E86" s="68">
        <v>0</v>
      </c>
      <c r="F86" s="68">
        <f>C86+D86-E86</f>
        <v>79158.399999999994</v>
      </c>
      <c r="G86" s="68">
        <f>C86-F86</f>
        <v>0</v>
      </c>
    </row>
    <row r="87" spans="1:12" s="18" customFormat="1" ht="17.25" hidden="1" customHeight="1" x14ac:dyDescent="0.25">
      <c r="A87" s="75" t="s">
        <v>8652</v>
      </c>
      <c r="B87" s="80" t="s">
        <v>8653</v>
      </c>
      <c r="C87" s="68">
        <v>0</v>
      </c>
      <c r="D87" s="68">
        <v>0</v>
      </c>
      <c r="E87" s="68">
        <v>0</v>
      </c>
      <c r="F87" s="68">
        <f>C87+D87-E87</f>
        <v>0</v>
      </c>
      <c r="G87" s="68">
        <f>C87-F87</f>
        <v>0</v>
      </c>
    </row>
    <row r="88" spans="1:12" s="18" customFormat="1" ht="13.5" hidden="1" customHeight="1" x14ac:dyDescent="0.25">
      <c r="A88" s="75"/>
      <c r="B88" s="80"/>
      <c r="C88" s="76"/>
      <c r="D88" s="77"/>
      <c r="E88" s="77"/>
      <c r="F88" s="77"/>
      <c r="G88" s="77"/>
    </row>
    <row r="89" spans="1:12" s="18" customFormat="1" ht="27.75" customHeight="1" x14ac:dyDescent="0.25">
      <c r="A89" s="74" t="s">
        <v>51</v>
      </c>
      <c r="B89" s="87" t="s">
        <v>52</v>
      </c>
      <c r="C89" s="65">
        <f>SUM(C90:C94)</f>
        <v>-111983673.53999993</v>
      </c>
      <c r="D89" s="65">
        <f>SUM(D90:D94)</f>
        <v>0</v>
      </c>
      <c r="E89" s="65">
        <f>SUM(E90:E94)</f>
        <v>1823032.05</v>
      </c>
      <c r="F89" s="65">
        <f>SUM(F90:F94)</f>
        <v>-113806705.58999994</v>
      </c>
      <c r="G89" s="65">
        <f>SUM(G90:G94)</f>
        <v>1823032.0500000045</v>
      </c>
    </row>
    <row r="90" spans="1:12" s="18" customFormat="1" ht="17.25" customHeight="1" x14ac:dyDescent="0.25">
      <c r="A90" s="75" t="s">
        <v>705</v>
      </c>
      <c r="B90" s="88" t="s">
        <v>706</v>
      </c>
      <c r="C90" s="68">
        <v>-18383208.77999999</v>
      </c>
      <c r="D90" s="68">
        <v>0</v>
      </c>
      <c r="E90" s="68">
        <v>525234.54</v>
      </c>
      <c r="F90" s="68">
        <f>+C90+D90-E90</f>
        <v>-18908443.319999989</v>
      </c>
      <c r="G90" s="68">
        <f>+C90-F90</f>
        <v>525234.53999999911</v>
      </c>
    </row>
    <row r="91" spans="1:12" s="18" customFormat="1" ht="17.25" hidden="1" customHeight="1" x14ac:dyDescent="0.25">
      <c r="A91" s="75" t="s">
        <v>8654</v>
      </c>
      <c r="B91" s="88" t="s">
        <v>8655</v>
      </c>
      <c r="C91" s="68">
        <v>0</v>
      </c>
      <c r="D91" s="68">
        <v>0</v>
      </c>
      <c r="E91" s="68">
        <v>0</v>
      </c>
      <c r="F91" s="68">
        <f>+C91+D91-E91</f>
        <v>0</v>
      </c>
      <c r="G91" s="68">
        <f>+C91-F91</f>
        <v>0</v>
      </c>
    </row>
    <row r="92" spans="1:12" s="18" customFormat="1" ht="17.25" customHeight="1" x14ac:dyDescent="0.25">
      <c r="A92" s="75" t="s">
        <v>629</v>
      </c>
      <c r="B92" s="88" t="s">
        <v>630</v>
      </c>
      <c r="C92" s="68">
        <v>-93542928.759999946</v>
      </c>
      <c r="D92" s="68">
        <v>0</v>
      </c>
      <c r="E92" s="68">
        <v>1297797.51</v>
      </c>
      <c r="F92" s="68">
        <f>+C92+D92-E92</f>
        <v>-94840726.269999951</v>
      </c>
      <c r="G92" s="68">
        <f>+C92-F92</f>
        <v>1297797.5100000054</v>
      </c>
    </row>
    <row r="93" spans="1:12" s="18" customFormat="1" ht="17.25" hidden="1" customHeight="1" x14ac:dyDescent="0.25">
      <c r="A93" s="75" t="s">
        <v>8656</v>
      </c>
      <c r="B93" s="88" t="s">
        <v>8657</v>
      </c>
      <c r="C93" s="68">
        <v>0</v>
      </c>
      <c r="D93" s="68">
        <v>0</v>
      </c>
      <c r="E93" s="68">
        <v>0</v>
      </c>
      <c r="F93" s="68">
        <f>+C93+D93-E93</f>
        <v>0</v>
      </c>
      <c r="G93" s="68">
        <f>+C93-F93</f>
        <v>0</v>
      </c>
    </row>
    <row r="94" spans="1:12" s="18" customFormat="1" ht="17.25" customHeight="1" x14ac:dyDescent="0.25">
      <c r="A94" s="75" t="s">
        <v>707</v>
      </c>
      <c r="B94" s="88" t="s">
        <v>708</v>
      </c>
      <c r="C94" s="68">
        <v>-57536</v>
      </c>
      <c r="D94" s="68">
        <v>0</v>
      </c>
      <c r="E94" s="68">
        <v>0</v>
      </c>
      <c r="F94" s="68">
        <f>+C94+D94-E94</f>
        <v>-57536</v>
      </c>
      <c r="G94" s="68">
        <f>+C94-F94</f>
        <v>0</v>
      </c>
    </row>
    <row r="95" spans="1:12" s="18" customFormat="1" ht="6" customHeight="1" x14ac:dyDescent="0.25">
      <c r="A95" s="75"/>
      <c r="B95" s="80"/>
      <c r="C95" s="76"/>
      <c r="D95" s="77"/>
      <c r="E95" s="77"/>
      <c r="F95" s="77"/>
      <c r="G95" s="77"/>
    </row>
    <row r="96" spans="1:12" s="18" customFormat="1" ht="17.25" customHeight="1" x14ac:dyDescent="0.25">
      <c r="A96" s="74" t="s">
        <v>8601</v>
      </c>
      <c r="B96" s="78" t="s">
        <v>8658</v>
      </c>
      <c r="C96" s="65">
        <f>SUM(C97:C97)</f>
        <v>0</v>
      </c>
      <c r="D96" s="65">
        <f>SUM(D97:D97)</f>
        <v>0</v>
      </c>
      <c r="E96" s="65">
        <f>SUM(E97:E97)</f>
        <v>0</v>
      </c>
      <c r="F96" s="65">
        <f>SUM(F97:F97)</f>
        <v>0</v>
      </c>
      <c r="G96" s="65">
        <f>SUM(G97:G97)</f>
        <v>0</v>
      </c>
    </row>
    <row r="97" spans="1:7" ht="17.25" customHeight="1" x14ac:dyDescent="0.2">
      <c r="A97" s="80" t="s">
        <v>8602</v>
      </c>
      <c r="B97" s="80" t="s">
        <v>8603</v>
      </c>
      <c r="C97" s="68">
        <v>0</v>
      </c>
      <c r="D97" s="68">
        <v>0</v>
      </c>
      <c r="E97" s="68">
        <v>0</v>
      </c>
      <c r="F97" s="68">
        <f>+C97+D97-E97</f>
        <v>0</v>
      </c>
      <c r="G97" s="68">
        <f>+C97-F97</f>
        <v>0</v>
      </c>
    </row>
    <row r="98" spans="1:7" ht="12.75" customHeight="1" x14ac:dyDescent="0.2">
      <c r="A98" s="847"/>
      <c r="B98" s="848"/>
      <c r="C98" s="3"/>
      <c r="D98" s="849"/>
      <c r="E98" s="849"/>
      <c r="F98" s="849"/>
      <c r="G98" s="849"/>
    </row>
    <row r="99" spans="1:7" ht="12.75" customHeight="1" x14ac:dyDescent="0.2">
      <c r="A99" s="847"/>
      <c r="B99" s="848"/>
      <c r="C99" s="3"/>
      <c r="D99" s="849"/>
      <c r="E99" s="849"/>
      <c r="F99" s="849"/>
      <c r="G99" s="849"/>
    </row>
    <row r="100" spans="1:7" ht="12.75" customHeight="1" x14ac:dyDescent="0.2">
      <c r="A100" s="847"/>
      <c r="B100" s="848"/>
      <c r="C100" s="3"/>
      <c r="D100" s="849"/>
      <c r="E100" s="849"/>
      <c r="F100" s="849"/>
      <c r="G100" s="849"/>
    </row>
    <row r="101" spans="1:7" ht="12.75" customHeight="1" x14ac:dyDescent="0.2">
      <c r="A101" s="847"/>
      <c r="B101" s="848"/>
      <c r="C101" s="3"/>
      <c r="D101" s="849"/>
      <c r="E101" s="849"/>
      <c r="F101" s="849"/>
      <c r="G101" s="849"/>
    </row>
    <row r="102" spans="1:7" ht="12.75" customHeight="1" x14ac:dyDescent="0.2">
      <c r="A102" s="847"/>
      <c r="B102" s="848"/>
      <c r="C102" s="3"/>
      <c r="D102" s="849"/>
      <c r="E102" s="849"/>
      <c r="F102" s="849"/>
      <c r="G102" s="849"/>
    </row>
    <row r="103" spans="1:7" ht="12.75" customHeight="1" x14ac:dyDescent="0.2">
      <c r="A103" s="847"/>
      <c r="B103" s="848"/>
      <c r="C103" s="3"/>
      <c r="D103" s="849"/>
      <c r="E103" s="849"/>
      <c r="F103" s="849"/>
      <c r="G103" s="849"/>
    </row>
    <row r="104" spans="1:7" ht="12.75" customHeight="1" x14ac:dyDescent="0.2">
      <c r="A104" s="850"/>
      <c r="B104" s="850"/>
    </row>
    <row r="105" spans="1:7" ht="12.75" customHeight="1" x14ac:dyDescent="0.2">
      <c r="A105" s="850"/>
      <c r="B105" s="850"/>
    </row>
    <row r="106" spans="1:7" ht="12.75" customHeight="1" x14ac:dyDescent="0.2">
      <c r="A106" s="850"/>
      <c r="B106" s="850"/>
    </row>
    <row r="107" spans="1:7" ht="12.75" customHeight="1" x14ac:dyDescent="0.2">
      <c r="A107" s="850"/>
      <c r="B107" s="850"/>
    </row>
    <row r="108" spans="1:7" ht="12.75" customHeight="1" x14ac:dyDescent="0.2">
      <c r="A108" s="850"/>
      <c r="B108" s="850"/>
    </row>
    <row r="109" spans="1:7" ht="12.75" customHeight="1" x14ac:dyDescent="0.2">
      <c r="A109" s="850"/>
      <c r="B109" s="850"/>
    </row>
    <row r="110" spans="1:7" ht="12.75" customHeight="1" x14ac:dyDescent="0.2">
      <c r="A110" s="850"/>
      <c r="B110" s="850"/>
    </row>
    <row r="111" spans="1:7" ht="12.75" customHeight="1" x14ac:dyDescent="0.2">
      <c r="A111" s="850"/>
      <c r="B111" s="850"/>
    </row>
    <row r="112" spans="1:7" ht="12.75" customHeight="1" x14ac:dyDescent="0.2">
      <c r="A112" s="850"/>
      <c r="B112" s="850"/>
    </row>
    <row r="113" spans="1:2" ht="12.75" customHeight="1" x14ac:dyDescent="0.2">
      <c r="A113" s="850"/>
      <c r="B113" s="850"/>
    </row>
    <row r="114" spans="1:2" ht="12.75" customHeight="1" x14ac:dyDescent="0.2">
      <c r="A114" s="850"/>
      <c r="B114" s="850"/>
    </row>
    <row r="115" spans="1:2" ht="12.75" customHeight="1" x14ac:dyDescent="0.2">
      <c r="A115" s="850"/>
      <c r="B115" s="850"/>
    </row>
    <row r="116" spans="1:2" ht="12.75" customHeight="1" x14ac:dyDescent="0.2">
      <c r="A116" s="850"/>
      <c r="B116" s="850"/>
    </row>
    <row r="117" spans="1:2" ht="12.75" customHeight="1" x14ac:dyDescent="0.2">
      <c r="A117" s="850"/>
      <c r="B117" s="850"/>
    </row>
    <row r="118" spans="1:2" ht="12.75" customHeight="1" x14ac:dyDescent="0.2">
      <c r="A118" s="850"/>
      <c r="B118" s="850"/>
    </row>
    <row r="119" spans="1:2" ht="12.75" customHeight="1" x14ac:dyDescent="0.2">
      <c r="A119" s="850"/>
      <c r="B119" s="850"/>
    </row>
    <row r="120" spans="1:2" ht="12.75" customHeight="1" x14ac:dyDescent="0.2">
      <c r="A120" s="850"/>
      <c r="B120" s="850"/>
    </row>
    <row r="121" spans="1:2" ht="12.75" customHeight="1" x14ac:dyDescent="0.2">
      <c r="A121" s="850"/>
      <c r="B121" s="850"/>
    </row>
    <row r="122" spans="1:2" ht="12.75" customHeight="1" x14ac:dyDescent="0.2">
      <c r="A122" s="850"/>
      <c r="B122" s="850"/>
    </row>
    <row r="123" spans="1:2" ht="12.75" customHeight="1" x14ac:dyDescent="0.2">
      <c r="A123" s="850"/>
      <c r="B123" s="850"/>
    </row>
    <row r="124" spans="1:2" ht="12.75" customHeight="1" x14ac:dyDescent="0.2">
      <c r="A124" s="850"/>
      <c r="B124" s="850"/>
    </row>
    <row r="125" spans="1:2" ht="12.75" customHeight="1" x14ac:dyDescent="0.2">
      <c r="A125" s="850"/>
      <c r="B125" s="850"/>
    </row>
    <row r="126" spans="1:2" ht="12.75" customHeight="1" x14ac:dyDescent="0.2">
      <c r="A126" s="850"/>
      <c r="B126" s="850"/>
    </row>
    <row r="127" spans="1:2" ht="12.75" customHeight="1" x14ac:dyDescent="0.2">
      <c r="A127" s="850"/>
      <c r="B127" s="850"/>
    </row>
    <row r="128" spans="1:2" ht="12.75" customHeight="1" x14ac:dyDescent="0.2">
      <c r="A128" s="850"/>
      <c r="B128" s="850"/>
    </row>
    <row r="129" spans="1:2" ht="12.75" customHeight="1" x14ac:dyDescent="0.2">
      <c r="A129" s="850"/>
      <c r="B129" s="850"/>
    </row>
    <row r="130" spans="1:2" ht="12.75" customHeight="1" x14ac:dyDescent="0.2">
      <c r="A130" s="850"/>
      <c r="B130" s="850"/>
    </row>
    <row r="131" spans="1:2" ht="12.75" customHeight="1" x14ac:dyDescent="0.2">
      <c r="A131" s="850"/>
      <c r="B131" s="850"/>
    </row>
    <row r="132" spans="1:2" ht="12.75" customHeight="1" x14ac:dyDescent="0.2">
      <c r="A132" s="850"/>
      <c r="B132" s="850"/>
    </row>
    <row r="133" spans="1:2" ht="12.75" customHeight="1" x14ac:dyDescent="0.2">
      <c r="A133" s="850"/>
      <c r="B133" s="850"/>
    </row>
    <row r="134" spans="1:2" ht="12.75" customHeight="1" x14ac:dyDescent="0.2">
      <c r="A134" s="850"/>
      <c r="B134" s="850"/>
    </row>
    <row r="135" spans="1:2" ht="12.75" customHeight="1" x14ac:dyDescent="0.2">
      <c r="A135" s="850"/>
      <c r="B135" s="850"/>
    </row>
    <row r="136" spans="1:2" ht="12.75" customHeight="1" x14ac:dyDescent="0.2">
      <c r="A136" s="850"/>
      <c r="B136" s="850"/>
    </row>
    <row r="137" spans="1:2" ht="12.75" customHeight="1" x14ac:dyDescent="0.2">
      <c r="A137" s="850"/>
      <c r="B137" s="850"/>
    </row>
    <row r="138" spans="1:2" ht="12.75" customHeight="1" x14ac:dyDescent="0.2">
      <c r="A138" s="850"/>
      <c r="B138" s="850"/>
    </row>
    <row r="139" spans="1:2" ht="12.75" customHeight="1" x14ac:dyDescent="0.2">
      <c r="A139" s="850"/>
      <c r="B139" s="850"/>
    </row>
    <row r="140" spans="1:2" ht="12.75" customHeight="1" x14ac:dyDescent="0.2">
      <c r="A140" s="850"/>
      <c r="B140" s="850"/>
    </row>
    <row r="141" spans="1:2" ht="12.75" customHeight="1" x14ac:dyDescent="0.2">
      <c r="A141" s="850"/>
      <c r="B141" s="850"/>
    </row>
    <row r="142" spans="1:2" ht="12.75" customHeight="1" x14ac:dyDescent="0.2">
      <c r="A142" s="850"/>
      <c r="B142" s="850"/>
    </row>
    <row r="143" spans="1:2" ht="12.75" customHeight="1" x14ac:dyDescent="0.2">
      <c r="A143" s="850"/>
      <c r="B143" s="850"/>
    </row>
    <row r="144" spans="1:2" ht="12.75" customHeight="1" x14ac:dyDescent="0.2">
      <c r="A144" s="850"/>
      <c r="B144" s="850"/>
    </row>
    <row r="145" spans="1:2" ht="12.75" customHeight="1" x14ac:dyDescent="0.2">
      <c r="A145" s="850"/>
      <c r="B145" s="850"/>
    </row>
    <row r="146" spans="1:2" ht="12.75" customHeight="1" x14ac:dyDescent="0.2">
      <c r="A146" s="850"/>
      <c r="B146" s="850"/>
    </row>
    <row r="147" spans="1:2" ht="12.75" customHeight="1" x14ac:dyDescent="0.2">
      <c r="A147" s="850"/>
      <c r="B147" s="850"/>
    </row>
    <row r="148" spans="1:2" ht="12.75" customHeight="1" x14ac:dyDescent="0.2">
      <c r="A148" s="850"/>
      <c r="B148" s="850"/>
    </row>
    <row r="149" spans="1:2" ht="12.75" customHeight="1" x14ac:dyDescent="0.2">
      <c r="A149" s="850"/>
      <c r="B149" s="850"/>
    </row>
    <row r="150" spans="1:2" ht="12.75" customHeight="1" x14ac:dyDescent="0.2">
      <c r="A150" s="850"/>
      <c r="B150" s="850"/>
    </row>
    <row r="151" spans="1:2" ht="12.75" customHeight="1" x14ac:dyDescent="0.2">
      <c r="A151" s="850"/>
      <c r="B151" s="850"/>
    </row>
    <row r="152" spans="1:2" ht="12.75" customHeight="1" x14ac:dyDescent="0.2">
      <c r="A152" s="850"/>
      <c r="B152" s="850"/>
    </row>
    <row r="153" spans="1:2" ht="12.75" customHeight="1" x14ac:dyDescent="0.2">
      <c r="A153" s="850"/>
      <c r="B153" s="850"/>
    </row>
    <row r="154" spans="1:2" ht="12.75" customHeight="1" x14ac:dyDescent="0.2">
      <c r="A154" s="850"/>
      <c r="B154" s="850"/>
    </row>
    <row r="155" spans="1:2" ht="12.75" customHeight="1" x14ac:dyDescent="0.2">
      <c r="A155" s="850"/>
      <c r="B155" s="850"/>
    </row>
    <row r="156" spans="1:2" ht="12.75" customHeight="1" x14ac:dyDescent="0.2">
      <c r="A156" s="850"/>
      <c r="B156" s="850"/>
    </row>
    <row r="157" spans="1:2" ht="12.75" customHeight="1" x14ac:dyDescent="0.2">
      <c r="A157" s="850"/>
      <c r="B157" s="850"/>
    </row>
    <row r="158" spans="1:2" ht="12.75" customHeight="1" x14ac:dyDescent="0.2">
      <c r="A158" s="850"/>
      <c r="B158" s="850"/>
    </row>
    <row r="159" spans="1:2" ht="12.75" customHeight="1" x14ac:dyDescent="0.2">
      <c r="A159" s="850"/>
      <c r="B159" s="850"/>
    </row>
    <row r="160" spans="1:2" ht="12.75" customHeight="1" x14ac:dyDescent="0.2">
      <c r="A160" s="850"/>
      <c r="B160" s="850"/>
    </row>
    <row r="161" spans="1:2" ht="12.75" customHeight="1" x14ac:dyDescent="0.2">
      <c r="A161" s="850"/>
      <c r="B161" s="850"/>
    </row>
    <row r="162" spans="1:2" ht="12.75" customHeight="1" x14ac:dyDescent="0.2">
      <c r="A162" s="850"/>
      <c r="B162" s="850"/>
    </row>
    <row r="163" spans="1:2" ht="12.75" customHeight="1" x14ac:dyDescent="0.2">
      <c r="A163" s="850"/>
      <c r="B163" s="850"/>
    </row>
    <row r="164" spans="1:2" ht="12.75" customHeight="1" x14ac:dyDescent="0.2">
      <c r="A164" s="850"/>
      <c r="B164" s="850"/>
    </row>
    <row r="165" spans="1:2" ht="12.75" customHeight="1" x14ac:dyDescent="0.2">
      <c r="A165" s="850"/>
      <c r="B165" s="850"/>
    </row>
    <row r="166" spans="1:2" ht="12.75" customHeight="1" x14ac:dyDescent="0.2">
      <c r="A166" s="850"/>
      <c r="B166" s="850"/>
    </row>
    <row r="167" spans="1:2" ht="12.75" customHeight="1" x14ac:dyDescent="0.2">
      <c r="A167" s="850"/>
      <c r="B167" s="850"/>
    </row>
    <row r="168" spans="1:2" ht="12.75" customHeight="1" x14ac:dyDescent="0.2">
      <c r="A168" s="850"/>
      <c r="B168" s="850"/>
    </row>
    <row r="169" spans="1:2" ht="12.75" customHeight="1" x14ac:dyDescent="0.2">
      <c r="A169" s="850"/>
      <c r="B169" s="850"/>
    </row>
    <row r="170" spans="1:2" ht="12.75" customHeight="1" x14ac:dyDescent="0.2">
      <c r="A170" s="850"/>
      <c r="B170" s="850"/>
    </row>
    <row r="171" spans="1:2" ht="12.75" customHeight="1" x14ac:dyDescent="0.2">
      <c r="A171" s="850"/>
      <c r="B171" s="850"/>
    </row>
    <row r="172" spans="1:2" ht="12.75" customHeight="1" x14ac:dyDescent="0.2">
      <c r="A172" s="850"/>
      <c r="B172" s="850"/>
    </row>
    <row r="173" spans="1:2" ht="12.75" customHeight="1" x14ac:dyDescent="0.2">
      <c r="A173" s="850"/>
      <c r="B173" s="850"/>
    </row>
    <row r="174" spans="1:2" ht="12.75" customHeight="1" x14ac:dyDescent="0.2">
      <c r="A174" s="850"/>
      <c r="B174" s="850"/>
    </row>
    <row r="175" spans="1:2" ht="12.75" customHeight="1" x14ac:dyDescent="0.2">
      <c r="A175" s="850"/>
      <c r="B175" s="850"/>
    </row>
    <row r="176" spans="1:2" ht="12.75" customHeight="1" x14ac:dyDescent="0.2">
      <c r="A176" s="850"/>
      <c r="B176" s="850"/>
    </row>
    <row r="177" spans="1:2" ht="12.75" customHeight="1" x14ac:dyDescent="0.2">
      <c r="A177" s="850"/>
      <c r="B177" s="850"/>
    </row>
    <row r="178" spans="1:2" ht="12.75" customHeight="1" x14ac:dyDescent="0.2">
      <c r="A178" s="850"/>
      <c r="B178" s="850"/>
    </row>
    <row r="179" spans="1:2" ht="12.75" customHeight="1" x14ac:dyDescent="0.2">
      <c r="A179" s="850"/>
      <c r="B179" s="850"/>
    </row>
    <row r="180" spans="1:2" ht="12.75" customHeight="1" x14ac:dyDescent="0.2">
      <c r="A180" s="850"/>
      <c r="B180" s="850"/>
    </row>
    <row r="181" spans="1:2" ht="12.75" customHeight="1" x14ac:dyDescent="0.2">
      <c r="A181" s="850"/>
      <c r="B181" s="850"/>
    </row>
    <row r="182" spans="1:2" ht="12.75" customHeight="1" x14ac:dyDescent="0.2">
      <c r="A182" s="850"/>
      <c r="B182" s="850"/>
    </row>
    <row r="183" spans="1:2" ht="12.75" customHeight="1" x14ac:dyDescent="0.2">
      <c r="A183" s="850"/>
      <c r="B183" s="850"/>
    </row>
    <row r="184" spans="1:2" ht="12.75" customHeight="1" x14ac:dyDescent="0.2">
      <c r="A184" s="850"/>
      <c r="B184" s="850"/>
    </row>
    <row r="185" spans="1:2" ht="12.75" customHeight="1" x14ac:dyDescent="0.2">
      <c r="A185" s="850"/>
      <c r="B185" s="850"/>
    </row>
    <row r="186" spans="1:2" ht="12.75" customHeight="1" x14ac:dyDescent="0.2">
      <c r="A186" s="850"/>
      <c r="B186" s="850"/>
    </row>
    <row r="187" spans="1:2" ht="12.75" customHeight="1" x14ac:dyDescent="0.2">
      <c r="A187" s="850"/>
      <c r="B187" s="850"/>
    </row>
    <row r="188" spans="1:2" ht="12.75" customHeight="1" x14ac:dyDescent="0.2">
      <c r="A188" s="850"/>
      <c r="B188" s="850"/>
    </row>
  </sheetData>
  <mergeCells count="14">
    <mergeCell ref="H7:H11"/>
    <mergeCell ref="I7:I11"/>
    <mergeCell ref="J7:J11"/>
    <mergeCell ref="K7:K11"/>
    <mergeCell ref="L7:L11"/>
    <mergeCell ref="A2:G2"/>
    <mergeCell ref="A3:G3"/>
    <mergeCell ref="A4:G4"/>
    <mergeCell ref="A7:B11"/>
    <mergeCell ref="C7:C9"/>
    <mergeCell ref="D7:D10"/>
    <mergeCell ref="E7:E10"/>
    <mergeCell ref="F7:F9"/>
    <mergeCell ref="G7:G9"/>
  </mergeCells>
  <printOptions horizontalCentered="1"/>
  <pageMargins left="0.19685039370078741" right="0.19685039370078741" top="0.59055118110236227" bottom="0.59055118110236227" header="0.31496062992125984" footer="0.31496062992125984"/>
  <pageSetup scale="90" orientation="portrait" r:id="rId1"/>
  <headerFooter>
    <oddHeader>&amp;R&amp;"Arial,Normal"&amp;8 6</oddHeader>
    <oddFooter>&amp;C&amp;8“Bajo protesta de decir verdad declaramos que los &amp;"Arial,Normal"Estados Financieros y sus notas, son razonablemente correctos y son responsabilidad del emisor”</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8"/>
  <sheetViews>
    <sheetView view="pageBreakPreview" zoomScale="60" zoomScaleNormal="100" workbookViewId="0">
      <selection sqref="A1:H1"/>
    </sheetView>
  </sheetViews>
  <sheetFormatPr baseColWidth="10" defaultRowHeight="15" x14ac:dyDescent="0.25"/>
  <cols>
    <col min="1" max="1" width="54.7109375" customWidth="1"/>
    <col min="2" max="7" width="18.7109375" customWidth="1"/>
  </cols>
  <sheetData>
    <row r="1" spans="1:7" x14ac:dyDescent="0.25">
      <c r="A1" s="1438" t="s">
        <v>719</v>
      </c>
      <c r="B1" s="1438"/>
      <c r="C1" s="1438"/>
      <c r="D1" s="1438"/>
      <c r="E1" s="1438"/>
      <c r="F1" s="1438"/>
      <c r="G1" s="1438"/>
    </row>
    <row r="2" spans="1:7" x14ac:dyDescent="0.25">
      <c r="A2" s="1438" t="s">
        <v>10707</v>
      </c>
      <c r="B2" s="1438"/>
      <c r="C2" s="1438"/>
      <c r="D2" s="1438"/>
      <c r="E2" s="1438"/>
      <c r="F2" s="1438"/>
      <c r="G2" s="1438"/>
    </row>
    <row r="3" spans="1:7" x14ac:dyDescent="0.25">
      <c r="A3" s="1438" t="s">
        <v>10492</v>
      </c>
      <c r="B3" s="1438"/>
      <c r="C3" s="1438"/>
      <c r="D3" s="1438"/>
      <c r="E3" s="1438"/>
      <c r="F3" s="1438"/>
      <c r="G3" s="1438"/>
    </row>
    <row r="4" spans="1:7" ht="15.75" thickBot="1" x14ac:dyDescent="0.3">
      <c r="A4" s="1438" t="s">
        <v>10706</v>
      </c>
      <c r="B4" s="1438"/>
      <c r="C4" s="1438"/>
      <c r="D4" s="1438"/>
      <c r="E4" s="1438"/>
      <c r="F4" s="1438"/>
      <c r="G4" s="1438"/>
    </row>
    <row r="5" spans="1:7" ht="15.75" thickBot="1" x14ac:dyDescent="0.3">
      <c r="A5" s="998" t="s">
        <v>10690</v>
      </c>
      <c r="B5" s="959">
        <v>2018</v>
      </c>
      <c r="C5" s="998">
        <v>2019</v>
      </c>
      <c r="D5" s="998">
        <v>2020</v>
      </c>
      <c r="E5" s="998">
        <v>2021</v>
      </c>
      <c r="F5" s="998">
        <v>2022</v>
      </c>
      <c r="G5" s="998">
        <v>2023</v>
      </c>
    </row>
    <row r="6" spans="1:7" x14ac:dyDescent="0.25">
      <c r="A6" s="951" t="s">
        <v>10705</v>
      </c>
      <c r="B6" s="1110">
        <f t="shared" ref="B6:G6" si="0">SUM(B7:B15)</f>
        <v>623377760</v>
      </c>
      <c r="C6" s="1110">
        <f t="shared" si="0"/>
        <v>638962204</v>
      </c>
      <c r="D6" s="1110">
        <f t="shared" si="0"/>
        <v>654936259</v>
      </c>
      <c r="E6" s="1110">
        <f t="shared" si="0"/>
        <v>671309666</v>
      </c>
      <c r="F6" s="1122">
        <f t="shared" si="0"/>
        <v>688092407.64999998</v>
      </c>
      <c r="G6" s="1122">
        <f t="shared" si="0"/>
        <v>705294717.84124982</v>
      </c>
    </row>
    <row r="7" spans="1:7" x14ac:dyDescent="0.25">
      <c r="A7" s="949" t="s">
        <v>10702</v>
      </c>
      <c r="B7" s="1018">
        <v>380663791</v>
      </c>
      <c r="C7" s="1018">
        <v>390180387</v>
      </c>
      <c r="D7" s="1018">
        <v>399934897</v>
      </c>
      <c r="E7" s="1018">
        <v>409933269</v>
      </c>
      <c r="F7" s="1123">
        <f>E7*1.025</f>
        <v>420181600.72499996</v>
      </c>
      <c r="G7" s="1123">
        <f>F7*1.025</f>
        <v>430686140.7431249</v>
      </c>
    </row>
    <row r="8" spans="1:7" x14ac:dyDescent="0.25">
      <c r="A8" s="949" t="s">
        <v>10701</v>
      </c>
      <c r="B8" s="1018">
        <v>50020120</v>
      </c>
      <c r="C8" s="1018">
        <v>51270623</v>
      </c>
      <c r="D8" s="1018">
        <v>52552388</v>
      </c>
      <c r="E8" s="1018">
        <v>53866198</v>
      </c>
      <c r="F8" s="1123">
        <f t="shared" ref="F8:G8" si="1">E8*1.025</f>
        <v>55212852.949999996</v>
      </c>
      <c r="G8" s="1123">
        <f t="shared" si="1"/>
        <v>56593174.273749992</v>
      </c>
    </row>
    <row r="9" spans="1:7" x14ac:dyDescent="0.25">
      <c r="A9" s="949" t="s">
        <v>10700</v>
      </c>
      <c r="B9" s="1018">
        <v>47624250</v>
      </c>
      <c r="C9" s="1018">
        <v>48814856</v>
      </c>
      <c r="D9" s="1018">
        <v>50035227</v>
      </c>
      <c r="E9" s="1018">
        <v>51286108</v>
      </c>
      <c r="F9" s="1123">
        <f t="shared" ref="F9:G9" si="2">E9*1.025</f>
        <v>52568260.699999996</v>
      </c>
      <c r="G9" s="1123">
        <f t="shared" si="2"/>
        <v>53882467.217499994</v>
      </c>
    </row>
    <row r="10" spans="1:7" x14ac:dyDescent="0.25">
      <c r="A10" s="949" t="s">
        <v>10699</v>
      </c>
      <c r="B10" s="1018">
        <v>26226516</v>
      </c>
      <c r="C10" s="1018">
        <v>26882178</v>
      </c>
      <c r="D10" s="1018">
        <v>27554233</v>
      </c>
      <c r="E10" s="1018">
        <v>28243089</v>
      </c>
      <c r="F10" s="1123">
        <f t="shared" ref="F10:G10" si="3">E10*1.025</f>
        <v>28949166.224999998</v>
      </c>
      <c r="G10" s="1123">
        <f t="shared" si="3"/>
        <v>29672895.380624995</v>
      </c>
    </row>
    <row r="11" spans="1:7" x14ac:dyDescent="0.25">
      <c r="A11" s="949" t="s">
        <v>10698</v>
      </c>
      <c r="B11" s="1018">
        <v>0</v>
      </c>
      <c r="C11" s="1018">
        <v>0</v>
      </c>
      <c r="D11" s="1018">
        <v>0</v>
      </c>
      <c r="E11" s="1018">
        <v>0</v>
      </c>
      <c r="F11" s="1123">
        <v>0</v>
      </c>
      <c r="G11" s="1123">
        <v>0</v>
      </c>
    </row>
    <row r="12" spans="1:7" x14ac:dyDescent="0.25">
      <c r="A12" s="949" t="s">
        <v>10697</v>
      </c>
      <c r="B12" s="1018">
        <v>65728233</v>
      </c>
      <c r="C12" s="1018">
        <v>67371439</v>
      </c>
      <c r="D12" s="1018">
        <v>69055725</v>
      </c>
      <c r="E12" s="1018">
        <v>70782118</v>
      </c>
      <c r="F12" s="1123">
        <f t="shared" ref="F12:G12" si="4">E12*1.025</f>
        <v>72551670.949999988</v>
      </c>
      <c r="G12" s="1123">
        <f t="shared" si="4"/>
        <v>74365462.72374998</v>
      </c>
    </row>
    <row r="13" spans="1:7" x14ac:dyDescent="0.25">
      <c r="A13" s="949" t="s">
        <v>10696</v>
      </c>
      <c r="B13" s="1018">
        <v>53114850</v>
      </c>
      <c r="C13" s="1018">
        <v>54442721</v>
      </c>
      <c r="D13" s="1018">
        <v>55803789</v>
      </c>
      <c r="E13" s="1018">
        <v>57198884</v>
      </c>
      <c r="F13" s="1123">
        <f t="shared" ref="F13:G13" si="5">E13*1.025</f>
        <v>58628856.099999994</v>
      </c>
      <c r="G13" s="1123">
        <f t="shared" si="5"/>
        <v>60094577.50249999</v>
      </c>
    </row>
    <row r="14" spans="1:7" x14ac:dyDescent="0.25">
      <c r="A14" s="949" t="s">
        <v>10704</v>
      </c>
      <c r="B14" s="1018">
        <v>0</v>
      </c>
      <c r="C14" s="1018">
        <v>0</v>
      </c>
      <c r="D14" s="1018">
        <v>0</v>
      </c>
      <c r="E14" s="1018">
        <v>0</v>
      </c>
      <c r="F14" s="1123">
        <v>0</v>
      </c>
      <c r="G14" s="1123">
        <v>0</v>
      </c>
    </row>
    <row r="15" spans="1:7" x14ac:dyDescent="0.25">
      <c r="A15" s="949" t="s">
        <v>10694</v>
      </c>
      <c r="B15" s="1018">
        <v>0</v>
      </c>
      <c r="C15" s="1018">
        <v>0</v>
      </c>
      <c r="D15" s="1018">
        <v>0</v>
      </c>
      <c r="E15" s="1018">
        <v>0</v>
      </c>
      <c r="F15" s="1123">
        <v>0</v>
      </c>
      <c r="G15" s="1123">
        <v>0</v>
      </c>
    </row>
    <row r="16" spans="1:7" x14ac:dyDescent="0.25">
      <c r="A16" s="1004"/>
      <c r="B16" s="1018"/>
      <c r="C16" s="1018"/>
      <c r="D16" s="1018"/>
      <c r="E16" s="1018"/>
      <c r="F16" s="1123"/>
      <c r="G16" s="1123"/>
    </row>
    <row r="17" spans="1:11" x14ac:dyDescent="0.25">
      <c r="A17" s="951" t="s">
        <v>10703</v>
      </c>
      <c r="B17" s="1110">
        <f t="shared" ref="B17:G17" si="6">SUM(B18:B26)</f>
        <v>221703555</v>
      </c>
      <c r="C17" s="1110">
        <f t="shared" si="6"/>
        <v>227246143</v>
      </c>
      <c r="D17" s="1110">
        <f t="shared" si="6"/>
        <v>232927297</v>
      </c>
      <c r="E17" s="1110">
        <f t="shared" si="6"/>
        <v>238750479</v>
      </c>
      <c r="F17" s="1122">
        <f t="shared" si="6"/>
        <v>244719240.97499996</v>
      </c>
      <c r="G17" s="1122">
        <f t="shared" si="6"/>
        <v>250837221.99937496</v>
      </c>
    </row>
    <row r="18" spans="1:11" x14ac:dyDescent="0.25">
      <c r="A18" s="949" t="s">
        <v>10702</v>
      </c>
      <c r="B18" s="1018">
        <v>0</v>
      </c>
      <c r="C18" s="1018">
        <v>0</v>
      </c>
      <c r="D18" s="1018">
        <v>0</v>
      </c>
      <c r="E18" s="1018">
        <v>0</v>
      </c>
      <c r="F18" s="1123">
        <v>0</v>
      </c>
      <c r="G18" s="1123">
        <v>0</v>
      </c>
    </row>
    <row r="19" spans="1:11" x14ac:dyDescent="0.25">
      <c r="A19" s="949" t="s">
        <v>10701</v>
      </c>
      <c r="B19" s="1018">
        <v>25880318</v>
      </c>
      <c r="C19" s="1018">
        <v>26527326</v>
      </c>
      <c r="D19" s="1018">
        <v>27190509</v>
      </c>
      <c r="E19" s="1018">
        <v>27870271</v>
      </c>
      <c r="F19" s="1123">
        <f t="shared" ref="F19:G19" si="7">E19*1.025</f>
        <v>28567027.774999999</v>
      </c>
      <c r="G19" s="1123">
        <f t="shared" si="7"/>
        <v>29281203.469374996</v>
      </c>
    </row>
    <row r="20" spans="1:11" x14ac:dyDescent="0.25">
      <c r="A20" s="949" t="s">
        <v>10700</v>
      </c>
      <c r="B20" s="1018">
        <v>60587563</v>
      </c>
      <c r="C20" s="1018">
        <v>62102252</v>
      </c>
      <c r="D20" s="1018">
        <v>63654808</v>
      </c>
      <c r="E20" s="1018">
        <v>65246178</v>
      </c>
      <c r="F20" s="1123">
        <f t="shared" ref="F20:G20" si="8">E20*1.025</f>
        <v>66877332.449999996</v>
      </c>
      <c r="G20" s="1123">
        <f t="shared" si="8"/>
        <v>68549265.761249989</v>
      </c>
    </row>
    <row r="21" spans="1:11" x14ac:dyDescent="0.25">
      <c r="A21" s="949" t="s">
        <v>10699</v>
      </c>
      <c r="B21" s="1018">
        <v>84515187</v>
      </c>
      <c r="C21" s="1018">
        <v>86628067</v>
      </c>
      <c r="D21" s="1018">
        <v>88793769</v>
      </c>
      <c r="E21" s="1018">
        <v>91013613</v>
      </c>
      <c r="F21" s="1123">
        <f t="shared" ref="F21:G21" si="9">E21*1.025</f>
        <v>93288953.324999988</v>
      </c>
      <c r="G21" s="1123">
        <f t="shared" si="9"/>
        <v>95621177.158124983</v>
      </c>
    </row>
    <row r="22" spans="1:11" x14ac:dyDescent="0.25">
      <c r="A22" s="949" t="s">
        <v>10698</v>
      </c>
      <c r="B22" s="1018">
        <v>0</v>
      </c>
      <c r="C22" s="1018">
        <v>0</v>
      </c>
      <c r="D22" s="1018">
        <v>0</v>
      </c>
      <c r="E22" s="1018">
        <v>0</v>
      </c>
      <c r="F22" s="1123">
        <v>0</v>
      </c>
      <c r="G22" s="1123">
        <v>0</v>
      </c>
    </row>
    <row r="23" spans="1:11" x14ac:dyDescent="0.25">
      <c r="A23" s="949" t="s">
        <v>10697</v>
      </c>
      <c r="B23" s="1018">
        <v>34003555</v>
      </c>
      <c r="C23" s="1018">
        <v>44988498</v>
      </c>
      <c r="D23" s="1018">
        <v>46288211</v>
      </c>
      <c r="E23" s="1018">
        <v>47620417</v>
      </c>
      <c r="F23" s="1123">
        <f>E23*1.025+175000</f>
        <v>48985927.424999997</v>
      </c>
      <c r="G23" s="1123">
        <f>F23*1.025+175000</f>
        <v>50385575.610624991</v>
      </c>
    </row>
    <row r="24" spans="1:11" x14ac:dyDescent="0.25">
      <c r="A24" s="949" t="s">
        <v>10696</v>
      </c>
      <c r="B24" s="1018">
        <v>0</v>
      </c>
      <c r="C24" s="1018">
        <v>0</v>
      </c>
      <c r="D24" s="1018">
        <v>0</v>
      </c>
      <c r="E24" s="1018">
        <v>0</v>
      </c>
      <c r="F24" s="1123">
        <v>0</v>
      </c>
      <c r="G24" s="1123">
        <v>0</v>
      </c>
    </row>
    <row r="25" spans="1:11" x14ac:dyDescent="0.25">
      <c r="A25" s="949" t="s">
        <v>10695</v>
      </c>
      <c r="B25" s="1018">
        <v>0</v>
      </c>
      <c r="C25" s="1018">
        <v>0</v>
      </c>
      <c r="D25" s="1018">
        <v>0</v>
      </c>
      <c r="E25" s="1018">
        <v>0</v>
      </c>
      <c r="F25" s="1123">
        <v>0</v>
      </c>
      <c r="G25" s="1123">
        <v>0</v>
      </c>
    </row>
    <row r="26" spans="1:11" x14ac:dyDescent="0.25">
      <c r="A26" s="949" t="s">
        <v>10694</v>
      </c>
      <c r="B26" s="1018">
        <v>16716932</v>
      </c>
      <c r="C26" s="1018">
        <v>7000000</v>
      </c>
      <c r="D26" s="1018">
        <v>7000000</v>
      </c>
      <c r="E26" s="1018">
        <v>7000000</v>
      </c>
      <c r="F26" s="1123">
        <v>7000000</v>
      </c>
      <c r="G26" s="1123">
        <v>7000000</v>
      </c>
    </row>
    <row r="27" spans="1:11" x14ac:dyDescent="0.25">
      <c r="A27" s="1004"/>
      <c r="B27" s="1018"/>
      <c r="C27" s="1018"/>
      <c r="D27" s="1018"/>
      <c r="E27" s="1018"/>
      <c r="F27" s="1123"/>
      <c r="G27" s="1123"/>
    </row>
    <row r="28" spans="1:11" x14ac:dyDescent="0.25">
      <c r="A28" s="951" t="s">
        <v>10693</v>
      </c>
      <c r="B28" s="1110">
        <f t="shared" ref="B28:G28" si="10">B6+B17</f>
        <v>845081315</v>
      </c>
      <c r="C28" s="1110">
        <f t="shared" si="10"/>
        <v>866208347</v>
      </c>
      <c r="D28" s="1110">
        <f t="shared" si="10"/>
        <v>887863556</v>
      </c>
      <c r="E28" s="1110">
        <f t="shared" si="10"/>
        <v>910060145</v>
      </c>
      <c r="F28" s="1122">
        <f t="shared" si="10"/>
        <v>932811648.625</v>
      </c>
      <c r="G28" s="1122">
        <f t="shared" si="10"/>
        <v>956131939.84062481</v>
      </c>
    </row>
    <row r="29" spans="1:11" ht="15.75" thickBot="1" x14ac:dyDescent="0.3">
      <c r="A29" s="1003"/>
      <c r="B29" s="1017"/>
      <c r="C29" s="1017"/>
      <c r="D29" s="1017"/>
      <c r="E29" s="1017"/>
      <c r="F29" s="1017"/>
      <c r="G29" s="1017"/>
    </row>
    <row r="30" spans="1:11" x14ac:dyDescent="0.25">
      <c r="J30" s="166"/>
      <c r="K30" s="166"/>
    </row>
    <row r="34" spans="1:9" s="540" customFormat="1" ht="12.75" x14ac:dyDescent="0.2">
      <c r="A34" s="537"/>
      <c r="B34" s="537"/>
      <c r="C34" s="538"/>
      <c r="D34" s="538"/>
      <c r="E34" s="538"/>
      <c r="F34" s="538"/>
      <c r="G34" s="538"/>
      <c r="H34" s="538"/>
      <c r="I34" s="291"/>
    </row>
    <row r="35" spans="1:9" s="19" customFormat="1" ht="8.25" customHeight="1" x14ac:dyDescent="0.2">
      <c r="A35" s="21"/>
      <c r="B35" s="21"/>
      <c r="C35" s="22"/>
      <c r="D35" s="855"/>
      <c r="E35" s="22"/>
      <c r="F35" s="22"/>
      <c r="G35" s="22"/>
      <c r="H35" s="22"/>
      <c r="I35" s="291"/>
    </row>
    <row r="36" spans="1:9" s="19" customFormat="1" ht="12.75" x14ac:dyDescent="0.2">
      <c r="A36" s="21"/>
      <c r="B36" s="21"/>
      <c r="C36" s="22"/>
      <c r="D36" s="22"/>
      <c r="E36" s="22"/>
      <c r="F36" s="22"/>
      <c r="G36" s="22"/>
      <c r="H36" s="22"/>
      <c r="I36" s="287"/>
    </row>
    <row r="37" spans="1:9" s="19" customFormat="1" ht="12.75" x14ac:dyDescent="0.2">
      <c r="A37" s="21"/>
      <c r="B37" s="21"/>
      <c r="C37" s="22"/>
      <c r="D37" s="22"/>
      <c r="E37" s="22"/>
      <c r="F37" s="22"/>
      <c r="G37" s="22"/>
      <c r="H37" s="22"/>
      <c r="I37" s="280"/>
    </row>
    <row r="38" spans="1:9" s="540" customFormat="1" ht="12.75" x14ac:dyDescent="0.2">
      <c r="A38" s="537"/>
      <c r="B38" s="537"/>
      <c r="C38" s="538"/>
      <c r="D38" s="538"/>
      <c r="E38" s="538"/>
      <c r="F38" s="538"/>
      <c r="G38" s="538"/>
      <c r="H38" s="538"/>
      <c r="I38" s="287"/>
    </row>
  </sheetData>
  <mergeCells count="4">
    <mergeCell ref="A1:G1"/>
    <mergeCell ref="A2:G2"/>
    <mergeCell ref="A3:G3"/>
    <mergeCell ref="A4:G4"/>
  </mergeCells>
  <pageMargins left="0.39370078740157483" right="0.39370078740157483" top="0.39370078740157483" bottom="0.39370078740157483" header="0.31496062992125984" footer="0.31496062992125984"/>
  <pageSetup scale="77" fitToHeight="0"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6"/>
  <sheetViews>
    <sheetView view="pageBreakPreview" zoomScale="60" zoomScaleNormal="100" workbookViewId="0">
      <selection activeCell="G65" sqref="G65"/>
    </sheetView>
  </sheetViews>
  <sheetFormatPr baseColWidth="10" defaultRowHeight="15" x14ac:dyDescent="0.25"/>
  <cols>
    <col min="1" max="1" width="54.7109375" customWidth="1"/>
    <col min="2" max="7" width="18.7109375" customWidth="1"/>
  </cols>
  <sheetData>
    <row r="1" spans="1:8" x14ac:dyDescent="0.25">
      <c r="A1" s="1438" t="s">
        <v>719</v>
      </c>
      <c r="B1" s="1438"/>
      <c r="C1" s="1438"/>
      <c r="D1" s="1438"/>
      <c r="E1" s="1438"/>
      <c r="F1" s="1438"/>
      <c r="G1" s="1438"/>
    </row>
    <row r="2" spans="1:8" x14ac:dyDescent="0.25">
      <c r="A2" s="1438" t="s">
        <v>10720</v>
      </c>
      <c r="B2" s="1438"/>
      <c r="C2" s="1438"/>
      <c r="D2" s="1438"/>
      <c r="E2" s="1438"/>
      <c r="F2" s="1438"/>
      <c r="G2" s="1438"/>
    </row>
    <row r="3" spans="1:8" x14ac:dyDescent="0.25">
      <c r="A3" s="1438" t="s">
        <v>10492</v>
      </c>
      <c r="B3" s="1438"/>
      <c r="C3" s="1438"/>
      <c r="D3" s="1438"/>
      <c r="E3" s="1438"/>
      <c r="F3" s="1438"/>
      <c r="G3" s="1438"/>
    </row>
    <row r="4" spans="1:8" ht="15.75" thickBot="1" x14ac:dyDescent="0.3">
      <c r="A4" s="1071"/>
      <c r="B4" s="1071"/>
      <c r="C4" s="1071"/>
      <c r="D4" s="1071"/>
      <c r="E4" s="1071"/>
      <c r="F4" s="1071"/>
      <c r="G4" s="1071"/>
    </row>
    <row r="5" spans="1:8" ht="15.75" thickBot="1" x14ac:dyDescent="0.3">
      <c r="A5" s="958" t="s">
        <v>10690</v>
      </c>
      <c r="B5" s="959">
        <v>2013</v>
      </c>
      <c r="C5" s="959">
        <v>2014</v>
      </c>
      <c r="D5" s="959">
        <v>2015</v>
      </c>
      <c r="E5" s="959">
        <v>2016</v>
      </c>
      <c r="F5" s="959">
        <v>2017</v>
      </c>
      <c r="G5" s="959">
        <v>2018</v>
      </c>
    </row>
    <row r="6" spans="1:8" x14ac:dyDescent="0.25">
      <c r="A6" s="1024"/>
      <c r="B6" s="1021"/>
      <c r="C6" s="1021"/>
      <c r="D6" s="1021"/>
      <c r="E6" s="1021"/>
      <c r="F6" s="1021"/>
      <c r="G6" s="1021"/>
      <c r="H6" s="760"/>
    </row>
    <row r="7" spans="1:8" x14ac:dyDescent="0.25">
      <c r="A7" s="1022" t="s">
        <v>10719</v>
      </c>
      <c r="B7" s="1111">
        <f t="shared" ref="B7:G7" si="0">SUM(B8:B19)</f>
        <v>488834045.58000004</v>
      </c>
      <c r="C7" s="1111">
        <f t="shared" si="0"/>
        <v>469721611.06</v>
      </c>
      <c r="D7" s="1111">
        <f t="shared" si="0"/>
        <v>507058997.46000004</v>
      </c>
      <c r="E7" s="1111">
        <f t="shared" si="0"/>
        <v>565071534.64999998</v>
      </c>
      <c r="F7" s="1111">
        <f t="shared" si="0"/>
        <v>632185309.04999995</v>
      </c>
      <c r="G7" s="1111">
        <f t="shared" si="0"/>
        <v>642723740.80999994</v>
      </c>
      <c r="H7" s="760"/>
    </row>
    <row r="8" spans="1:8" x14ac:dyDescent="0.25">
      <c r="A8" s="1015" t="s">
        <v>10718</v>
      </c>
      <c r="B8" s="1021">
        <v>89820621.890000001</v>
      </c>
      <c r="C8" s="1021">
        <v>83549129.769999996</v>
      </c>
      <c r="D8" s="1021">
        <v>81922636.239999995</v>
      </c>
      <c r="E8" s="1021">
        <v>91738174.299999997</v>
      </c>
      <c r="F8" s="1021">
        <v>89249046.079999998</v>
      </c>
      <c r="G8" s="1021">
        <v>84649950.230000004</v>
      </c>
      <c r="H8" s="760"/>
    </row>
    <row r="9" spans="1:8" x14ac:dyDescent="0.25">
      <c r="A9" s="1015" t="s">
        <v>10717</v>
      </c>
      <c r="B9" s="1021">
        <v>0</v>
      </c>
      <c r="C9" s="1021">
        <v>0</v>
      </c>
      <c r="D9" s="1021">
        <v>0</v>
      </c>
      <c r="E9" s="1021">
        <v>0</v>
      </c>
      <c r="F9" s="1021">
        <v>0</v>
      </c>
      <c r="G9" s="1021">
        <v>0</v>
      </c>
      <c r="H9" s="760"/>
    </row>
    <row r="10" spans="1:8" x14ac:dyDescent="0.25">
      <c r="A10" s="1015" t="s">
        <v>10686</v>
      </c>
      <c r="B10" s="1021">
        <v>0</v>
      </c>
      <c r="C10" s="1021">
        <v>0</v>
      </c>
      <c r="D10" s="1021">
        <v>0</v>
      </c>
      <c r="E10" s="1021">
        <v>0</v>
      </c>
      <c r="F10" s="1021">
        <v>0</v>
      </c>
      <c r="G10" s="1021">
        <v>0</v>
      </c>
      <c r="H10" s="760"/>
    </row>
    <row r="11" spans="1:8" x14ac:dyDescent="0.25">
      <c r="A11" s="1015" t="s">
        <v>10685</v>
      </c>
      <c r="B11" s="1021">
        <v>24813443.289999999</v>
      </c>
      <c r="C11" s="1021">
        <v>20511919.920000002</v>
      </c>
      <c r="D11" s="1021">
        <v>30585936.690000001</v>
      </c>
      <c r="E11" s="1021">
        <v>31978611.66</v>
      </c>
      <c r="F11" s="1021">
        <v>48736809.829999998</v>
      </c>
      <c r="G11" s="1021">
        <v>40684787.939999998</v>
      </c>
      <c r="H11" s="760"/>
    </row>
    <row r="12" spans="1:8" x14ac:dyDescent="0.25">
      <c r="A12" s="1015" t="s">
        <v>10716</v>
      </c>
      <c r="B12" s="1021">
        <v>16927442.440000001</v>
      </c>
      <c r="C12" s="1021">
        <v>10967848.01</v>
      </c>
      <c r="D12" s="1021">
        <v>8960891.6099999994</v>
      </c>
      <c r="E12" s="1021">
        <v>4791490.3899999997</v>
      </c>
      <c r="F12" s="1021">
        <v>10217698.279999999</v>
      </c>
      <c r="G12" s="1021">
        <f>1918097+8678408.64</f>
        <v>10596505.640000001</v>
      </c>
      <c r="H12" s="760"/>
    </row>
    <row r="13" spans="1:8" x14ac:dyDescent="0.25">
      <c r="A13" s="1015" t="s">
        <v>10715</v>
      </c>
      <c r="B13" s="1021">
        <v>5810149.3499999996</v>
      </c>
      <c r="C13" s="1021">
        <v>6818544.5300000003</v>
      </c>
      <c r="D13" s="1021">
        <v>7938251.5700000003</v>
      </c>
      <c r="E13" s="1021">
        <v>7527195.1100000003</v>
      </c>
      <c r="F13" s="1021">
        <v>8154115.2199999997</v>
      </c>
      <c r="G13" s="1021">
        <v>10278752.629999999</v>
      </c>
      <c r="H13" s="760"/>
    </row>
    <row r="14" spans="1:8" x14ac:dyDescent="0.25">
      <c r="A14" s="1015" t="s">
        <v>10682</v>
      </c>
      <c r="B14" s="1021">
        <v>0</v>
      </c>
      <c r="C14" s="1021">
        <v>0</v>
      </c>
      <c r="D14" s="1021">
        <v>0</v>
      </c>
      <c r="E14" s="1021">
        <v>0</v>
      </c>
      <c r="F14" s="1021">
        <v>0</v>
      </c>
      <c r="G14" s="1021">
        <v>0</v>
      </c>
      <c r="H14" s="760"/>
    </row>
    <row r="15" spans="1:8" x14ac:dyDescent="0.25">
      <c r="A15" s="1015" t="s">
        <v>10681</v>
      </c>
      <c r="B15" s="1021">
        <v>351462388.61000001</v>
      </c>
      <c r="C15" s="1021">
        <v>347874168.82999998</v>
      </c>
      <c r="D15" s="1021">
        <v>377651281.35000002</v>
      </c>
      <c r="E15" s="1021">
        <v>429036063.19</v>
      </c>
      <c r="F15" s="1021">
        <v>475827639.63999999</v>
      </c>
      <c r="G15" s="1021">
        <f>474024202.07+22489542.3</f>
        <v>496513744.37</v>
      </c>
      <c r="H15" s="760"/>
    </row>
    <row r="16" spans="1:8" x14ac:dyDescent="0.25">
      <c r="A16" s="1015" t="s">
        <v>10714</v>
      </c>
      <c r="B16" s="1021">
        <v>0</v>
      </c>
      <c r="C16" s="1021">
        <v>0</v>
      </c>
      <c r="D16" s="1021">
        <v>0</v>
      </c>
      <c r="E16" s="1021">
        <v>0</v>
      </c>
      <c r="F16" s="1021">
        <v>0</v>
      </c>
      <c r="G16" s="1021">
        <v>0</v>
      </c>
      <c r="H16" s="760"/>
    </row>
    <row r="17" spans="1:8" x14ac:dyDescent="0.25">
      <c r="A17" s="1015" t="s">
        <v>10713</v>
      </c>
      <c r="B17" s="1021">
        <v>0</v>
      </c>
      <c r="C17" s="1021">
        <v>0</v>
      </c>
      <c r="D17" s="1021">
        <v>0</v>
      </c>
      <c r="E17" s="1021">
        <v>0</v>
      </c>
      <c r="F17" s="1021">
        <v>0</v>
      </c>
      <c r="G17" s="1021">
        <v>0</v>
      </c>
      <c r="H17" s="760"/>
    </row>
    <row r="18" spans="1:8" x14ac:dyDescent="0.25">
      <c r="A18" s="1015" t="s">
        <v>10712</v>
      </c>
      <c r="B18" s="1021">
        <v>0</v>
      </c>
      <c r="C18" s="1021">
        <v>0</v>
      </c>
      <c r="D18" s="1021">
        <v>0</v>
      </c>
      <c r="E18" s="1021">
        <v>0</v>
      </c>
      <c r="F18" s="1021">
        <v>0</v>
      </c>
      <c r="G18" s="1021">
        <v>0</v>
      </c>
      <c r="H18" s="760"/>
    </row>
    <row r="19" spans="1:8" x14ac:dyDescent="0.25">
      <c r="A19" s="1015" t="s">
        <v>10677</v>
      </c>
      <c r="B19" s="1021">
        <v>0</v>
      </c>
      <c r="C19" s="1021">
        <v>0</v>
      </c>
      <c r="D19" s="1021">
        <v>0</v>
      </c>
      <c r="E19" s="1021">
        <v>0</v>
      </c>
      <c r="F19" s="1021">
        <v>0</v>
      </c>
      <c r="G19" s="1021">
        <v>0</v>
      </c>
      <c r="H19" s="760"/>
    </row>
    <row r="20" spans="1:8" x14ac:dyDescent="0.25">
      <c r="A20" s="1023"/>
      <c r="B20" s="1021"/>
      <c r="C20" s="1021"/>
      <c r="D20" s="1021"/>
      <c r="E20" s="1021"/>
      <c r="F20" s="1021"/>
      <c r="G20" s="1021"/>
      <c r="H20" s="760"/>
    </row>
    <row r="21" spans="1:8" x14ac:dyDescent="0.25">
      <c r="A21" s="1022" t="s">
        <v>10711</v>
      </c>
      <c r="B21" s="1111">
        <f t="shared" ref="B21:G21" si="1">SUM(B22:B26)</f>
        <v>299245195.17000002</v>
      </c>
      <c r="C21" s="1111">
        <f t="shared" si="1"/>
        <v>344032284.39999998</v>
      </c>
      <c r="D21" s="1111">
        <f t="shared" si="1"/>
        <v>298852092.29000002</v>
      </c>
      <c r="E21" s="1111">
        <f t="shared" si="1"/>
        <v>284153291.76999998</v>
      </c>
      <c r="F21" s="1111">
        <f t="shared" si="1"/>
        <v>464158598.08000004</v>
      </c>
      <c r="G21" s="1111">
        <f t="shared" si="1"/>
        <v>436083691.24999994</v>
      </c>
      <c r="H21" s="760"/>
    </row>
    <row r="22" spans="1:8" x14ac:dyDescent="0.25">
      <c r="A22" s="1015" t="s">
        <v>10710</v>
      </c>
      <c r="B22" s="1021">
        <v>181367343.49000001</v>
      </c>
      <c r="C22" s="1021">
        <v>195860483</v>
      </c>
      <c r="D22" s="1021">
        <v>197933083</v>
      </c>
      <c r="E22" s="1021">
        <v>207849465</v>
      </c>
      <c r="F22" s="1021">
        <v>232577688</v>
      </c>
      <c r="G22" s="1021">
        <v>253505327</v>
      </c>
      <c r="H22" s="760"/>
    </row>
    <row r="23" spans="1:8" x14ac:dyDescent="0.25">
      <c r="A23" s="1015" t="s">
        <v>10674</v>
      </c>
      <c r="B23" s="1021">
        <v>117877851.68000001</v>
      </c>
      <c r="C23" s="1021">
        <v>148171801.40000001</v>
      </c>
      <c r="D23" s="1021">
        <v>100919009.29000001</v>
      </c>
      <c r="E23" s="1021">
        <v>76303826.769999996</v>
      </c>
      <c r="F23" s="1021">
        <v>231580910.08000001</v>
      </c>
      <c r="G23" s="1021">
        <v>171632873.47999996</v>
      </c>
      <c r="H23" s="760"/>
    </row>
    <row r="24" spans="1:8" x14ac:dyDescent="0.25">
      <c r="A24" s="1015" t="s">
        <v>10673</v>
      </c>
      <c r="B24" s="1021">
        <v>0</v>
      </c>
      <c r="C24" s="1021">
        <v>0</v>
      </c>
      <c r="D24" s="1021">
        <v>0</v>
      </c>
      <c r="E24" s="1021">
        <v>0</v>
      </c>
      <c r="F24" s="1021">
        <v>0</v>
      </c>
      <c r="G24" s="1021">
        <v>10945490.77</v>
      </c>
      <c r="H24" s="760"/>
    </row>
    <row r="25" spans="1:8" ht="22.5" x14ac:dyDescent="0.25">
      <c r="A25" s="1015" t="s">
        <v>10672</v>
      </c>
      <c r="B25" s="1021">
        <v>0</v>
      </c>
      <c r="C25" s="1021">
        <v>0</v>
      </c>
      <c r="D25" s="1021">
        <v>0</v>
      </c>
      <c r="E25" s="1021">
        <v>0</v>
      </c>
      <c r="F25" s="1021">
        <v>0</v>
      </c>
      <c r="G25" s="1021">
        <v>0</v>
      </c>
      <c r="H25" s="760"/>
    </row>
    <row r="26" spans="1:8" x14ac:dyDescent="0.25">
      <c r="A26" s="1015" t="s">
        <v>10671</v>
      </c>
      <c r="B26" s="1021">
        <v>0</v>
      </c>
      <c r="C26" s="1021">
        <v>0</v>
      </c>
      <c r="D26" s="1021">
        <v>0</v>
      </c>
      <c r="E26" s="1021">
        <v>0</v>
      </c>
      <c r="F26" s="1021">
        <v>0</v>
      </c>
      <c r="G26" s="1021">
        <v>0</v>
      </c>
      <c r="H26" s="760"/>
    </row>
    <row r="27" spans="1:8" x14ac:dyDescent="0.25">
      <c r="A27" s="1023"/>
      <c r="B27" s="1021"/>
      <c r="C27" s="1021"/>
      <c r="D27" s="1021"/>
      <c r="E27" s="1021"/>
      <c r="F27" s="1021"/>
      <c r="G27" s="1021"/>
      <c r="H27" s="760"/>
    </row>
    <row r="28" spans="1:8" x14ac:dyDescent="0.25">
      <c r="A28" s="1022" t="s">
        <v>10709</v>
      </c>
      <c r="B28" s="1111">
        <f t="shared" ref="B28:G28" si="2">B29</f>
        <v>0</v>
      </c>
      <c r="C28" s="1111">
        <f t="shared" si="2"/>
        <v>0</v>
      </c>
      <c r="D28" s="1111">
        <f t="shared" si="2"/>
        <v>0</v>
      </c>
      <c r="E28" s="1111">
        <f t="shared" si="2"/>
        <v>0</v>
      </c>
      <c r="F28" s="1111">
        <f t="shared" si="2"/>
        <v>0</v>
      </c>
      <c r="G28" s="1111">
        <f t="shared" si="2"/>
        <v>0</v>
      </c>
      <c r="H28" s="760"/>
    </row>
    <row r="29" spans="1:8" x14ac:dyDescent="0.25">
      <c r="A29" s="1015" t="s">
        <v>10579</v>
      </c>
      <c r="B29" s="1021">
        <v>0</v>
      </c>
      <c r="C29" s="1021">
        <v>0</v>
      </c>
      <c r="D29" s="1021">
        <v>0</v>
      </c>
      <c r="E29" s="1021">
        <v>0</v>
      </c>
      <c r="F29" s="1021">
        <v>0</v>
      </c>
      <c r="G29" s="1021">
        <v>0</v>
      </c>
      <c r="H29" s="760"/>
    </row>
    <row r="30" spans="1:8" x14ac:dyDescent="0.25">
      <c r="A30" s="1023"/>
      <c r="B30" s="1021"/>
      <c r="C30" s="1021"/>
      <c r="D30" s="1021"/>
      <c r="E30" s="1021"/>
      <c r="F30" s="1021"/>
      <c r="G30" s="1021"/>
      <c r="H30" s="760"/>
    </row>
    <row r="31" spans="1:8" x14ac:dyDescent="0.25">
      <c r="A31" s="1022" t="s">
        <v>10708</v>
      </c>
      <c r="B31" s="1111">
        <f t="shared" ref="B31:G31" si="3">B7+B21+B28</f>
        <v>788079240.75</v>
      </c>
      <c r="C31" s="1111">
        <f t="shared" si="3"/>
        <v>813753895.46000004</v>
      </c>
      <c r="D31" s="1111">
        <f t="shared" si="3"/>
        <v>805911089.75</v>
      </c>
      <c r="E31" s="1111">
        <f t="shared" si="3"/>
        <v>849224826.41999996</v>
      </c>
      <c r="F31" s="1111">
        <f t="shared" si="3"/>
        <v>1096343907.1300001</v>
      </c>
      <c r="G31" s="1111">
        <f t="shared" si="3"/>
        <v>1078807432.0599999</v>
      </c>
      <c r="H31" s="760"/>
    </row>
    <row r="32" spans="1:8" x14ac:dyDescent="0.25">
      <c r="A32" s="1023"/>
      <c r="B32" s="1021"/>
      <c r="C32" s="1021"/>
      <c r="D32" s="1021"/>
      <c r="E32" s="1021"/>
      <c r="F32" s="1021"/>
      <c r="G32" s="1021"/>
      <c r="H32" s="760"/>
    </row>
    <row r="33" spans="1:9" x14ac:dyDescent="0.25">
      <c r="A33" s="1022" t="s">
        <v>10577</v>
      </c>
      <c r="B33" s="1021"/>
      <c r="C33" s="1021"/>
      <c r="D33" s="1021"/>
      <c r="E33" s="1021"/>
      <c r="F33" s="1021"/>
      <c r="G33" s="1021"/>
      <c r="H33" s="760"/>
    </row>
    <row r="34" spans="1:9" ht="22.5" x14ac:dyDescent="0.25">
      <c r="A34" s="1023" t="s">
        <v>10667</v>
      </c>
      <c r="B34" s="1021">
        <v>0</v>
      </c>
      <c r="C34" s="1021">
        <v>0</v>
      </c>
      <c r="D34" s="1021">
        <v>0</v>
      </c>
      <c r="E34" s="1021">
        <v>0</v>
      </c>
      <c r="F34" s="1021">
        <v>0</v>
      </c>
      <c r="G34" s="1021">
        <v>0</v>
      </c>
      <c r="H34" s="760"/>
    </row>
    <row r="35" spans="1:9" ht="22.5" x14ac:dyDescent="0.25">
      <c r="A35" s="1023" t="s">
        <v>10666</v>
      </c>
      <c r="B35" s="1021">
        <v>0</v>
      </c>
      <c r="C35" s="1021">
        <v>0</v>
      </c>
      <c r="D35" s="1021">
        <v>0</v>
      </c>
      <c r="E35" s="1021">
        <v>0</v>
      </c>
      <c r="F35" s="1021">
        <v>0</v>
      </c>
      <c r="G35" s="1021">
        <v>0</v>
      </c>
      <c r="H35" s="760"/>
    </row>
    <row r="36" spans="1:9" x14ac:dyDescent="0.25">
      <c r="A36" s="1022" t="s">
        <v>10665</v>
      </c>
      <c r="B36" s="1111">
        <f t="shared" ref="B36:G36" si="4">B34+B34</f>
        <v>0</v>
      </c>
      <c r="C36" s="1111">
        <f t="shared" si="4"/>
        <v>0</v>
      </c>
      <c r="D36" s="1111">
        <f t="shared" si="4"/>
        <v>0</v>
      </c>
      <c r="E36" s="1111">
        <f t="shared" si="4"/>
        <v>0</v>
      </c>
      <c r="F36" s="1111">
        <f t="shared" si="4"/>
        <v>0</v>
      </c>
      <c r="G36" s="1111">
        <f t="shared" si="4"/>
        <v>0</v>
      </c>
      <c r="H36" s="760"/>
    </row>
    <row r="37" spans="1:9" ht="15.75" thickBot="1" x14ac:dyDescent="0.3">
      <c r="A37" s="1020"/>
      <c r="B37" s="1019"/>
      <c r="C37" s="1019"/>
      <c r="D37" s="1019"/>
      <c r="E37" s="1019"/>
      <c r="F37" s="1019"/>
      <c r="G37" s="1019"/>
      <c r="H37" s="760"/>
    </row>
    <row r="43" spans="1:9" s="540" customFormat="1" ht="12.75" x14ac:dyDescent="0.2">
      <c r="A43" s="537"/>
      <c r="B43" s="537"/>
      <c r="C43" s="538"/>
      <c r="D43" s="538"/>
      <c r="E43" s="538"/>
      <c r="F43" s="538"/>
      <c r="G43" s="538"/>
      <c r="H43" s="538"/>
      <c r="I43" s="291"/>
    </row>
    <row r="44" spans="1:9" s="19" customFormat="1" ht="8.25" customHeight="1" x14ac:dyDescent="0.2">
      <c r="A44" s="21"/>
      <c r="B44" s="21"/>
      <c r="C44" s="22"/>
      <c r="D44" s="855"/>
      <c r="E44" s="22"/>
      <c r="F44" s="22"/>
      <c r="G44" s="22"/>
      <c r="H44" s="22"/>
      <c r="I44" s="291"/>
    </row>
    <row r="45" spans="1:9" s="19" customFormat="1" ht="12.75" x14ac:dyDescent="0.2">
      <c r="A45" s="21"/>
      <c r="B45" s="21"/>
      <c r="C45" s="22"/>
      <c r="D45" s="22"/>
      <c r="E45" s="22"/>
      <c r="F45" s="22"/>
      <c r="G45" s="22"/>
      <c r="H45" s="22"/>
      <c r="I45" s="287"/>
    </row>
    <row r="46" spans="1:9" s="19" customFormat="1" ht="12.75" x14ac:dyDescent="0.2">
      <c r="A46" s="21"/>
      <c r="B46" s="21"/>
      <c r="C46" s="22"/>
      <c r="D46" s="22"/>
      <c r="E46" s="22"/>
      <c r="F46" s="22"/>
      <c r="G46" s="22"/>
      <c r="H46" s="22"/>
      <c r="I46" s="280"/>
    </row>
  </sheetData>
  <mergeCells count="3">
    <mergeCell ref="A1:G1"/>
    <mergeCell ref="A2:G2"/>
    <mergeCell ref="A3:G3"/>
  </mergeCells>
  <pageMargins left="0.70866141732283472" right="0.70866141732283472" top="0.74803149606299213" bottom="0.74803149606299213" header="0.31496062992125984" footer="0.31496062992125984"/>
  <pageSetup scale="73" fitToHeight="0"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5"/>
  <sheetViews>
    <sheetView view="pageBreakPreview" zoomScale="60" zoomScaleNormal="100" workbookViewId="0">
      <selection sqref="A1:H1"/>
    </sheetView>
  </sheetViews>
  <sheetFormatPr baseColWidth="10" defaultRowHeight="15" x14ac:dyDescent="0.25"/>
  <cols>
    <col min="1" max="1" width="54.7109375" customWidth="1"/>
    <col min="2" max="7" width="18.7109375" customWidth="1"/>
  </cols>
  <sheetData>
    <row r="1" spans="1:7" x14ac:dyDescent="0.25">
      <c r="A1" s="1438" t="s">
        <v>719</v>
      </c>
      <c r="B1" s="1438"/>
      <c r="C1" s="1438"/>
      <c r="D1" s="1438"/>
      <c r="E1" s="1438"/>
      <c r="F1" s="1438"/>
      <c r="G1" s="1438"/>
    </row>
    <row r="2" spans="1:7" x14ac:dyDescent="0.25">
      <c r="A2" s="1438" t="s">
        <v>10722</v>
      </c>
      <c r="B2" s="1438"/>
      <c r="C2" s="1438"/>
      <c r="D2" s="1438"/>
      <c r="E2" s="1438"/>
      <c r="F2" s="1438"/>
      <c r="G2" s="1438"/>
    </row>
    <row r="3" spans="1:7" x14ac:dyDescent="0.25">
      <c r="A3" s="1438" t="s">
        <v>10492</v>
      </c>
      <c r="B3" s="1438"/>
      <c r="C3" s="1438"/>
      <c r="D3" s="1438"/>
      <c r="E3" s="1438"/>
      <c r="F3" s="1438"/>
      <c r="G3" s="1438"/>
    </row>
    <row r="4" spans="1:7" ht="15.75" thickBot="1" x14ac:dyDescent="0.3">
      <c r="A4" s="1071"/>
      <c r="B4" s="1071"/>
      <c r="C4" s="1071"/>
      <c r="D4" s="1071"/>
      <c r="E4" s="1071"/>
      <c r="F4" s="1071"/>
      <c r="G4" s="1071"/>
    </row>
    <row r="5" spans="1:7" s="957" customFormat="1" ht="15.75" thickBot="1" x14ac:dyDescent="0.3">
      <c r="A5" s="958" t="s">
        <v>10690</v>
      </c>
      <c r="B5" s="959">
        <v>2013</v>
      </c>
      <c r="C5" s="959">
        <v>2014</v>
      </c>
      <c r="D5" s="959">
        <v>2015</v>
      </c>
      <c r="E5" s="959">
        <v>2016</v>
      </c>
      <c r="F5" s="959">
        <v>2017</v>
      </c>
      <c r="G5" s="959">
        <v>2018</v>
      </c>
    </row>
    <row r="6" spans="1:7" x14ac:dyDescent="0.25">
      <c r="A6" s="951" t="s">
        <v>10705</v>
      </c>
      <c r="B6" s="1108">
        <f t="shared" ref="B6:G6" si="0">SUM(B7:B15)</f>
        <v>495483008.35000002</v>
      </c>
      <c r="C6" s="1108">
        <f t="shared" si="0"/>
        <v>512856804</v>
      </c>
      <c r="D6" s="1108">
        <f t="shared" si="0"/>
        <v>554953768</v>
      </c>
      <c r="E6" s="1108">
        <f t="shared" si="0"/>
        <v>536573697</v>
      </c>
      <c r="F6" s="1108">
        <f t="shared" si="0"/>
        <v>661688766</v>
      </c>
      <c r="G6" s="1108">
        <f t="shared" si="0"/>
        <v>113268328.77</v>
      </c>
    </row>
    <row r="7" spans="1:7" x14ac:dyDescent="0.25">
      <c r="A7" s="949" t="s">
        <v>10702</v>
      </c>
      <c r="B7" s="954">
        <v>356661001.22000003</v>
      </c>
      <c r="C7" s="954">
        <v>276380266</v>
      </c>
      <c r="D7" s="954">
        <v>322744627</v>
      </c>
      <c r="E7" s="954">
        <v>334521466</v>
      </c>
      <c r="F7" s="954">
        <v>372900006</v>
      </c>
      <c r="G7" s="954">
        <v>49817003.719999999</v>
      </c>
    </row>
    <row r="8" spans="1:7" x14ac:dyDescent="0.25">
      <c r="A8" s="949" t="s">
        <v>10701</v>
      </c>
      <c r="B8" s="954">
        <v>25954438.949999999</v>
      </c>
      <c r="C8" s="954">
        <v>64399957</v>
      </c>
      <c r="D8" s="954">
        <v>46547091</v>
      </c>
      <c r="E8" s="954">
        <v>34720236</v>
      </c>
      <c r="F8" s="954">
        <v>43889786</v>
      </c>
      <c r="G8" s="954">
        <v>12760823.66</v>
      </c>
    </row>
    <row r="9" spans="1:7" x14ac:dyDescent="0.25">
      <c r="A9" s="949" t="s">
        <v>10700</v>
      </c>
      <c r="B9" s="954">
        <v>65601937.700000003</v>
      </c>
      <c r="C9" s="954">
        <v>110754279</v>
      </c>
      <c r="D9" s="954">
        <v>110567264</v>
      </c>
      <c r="E9" s="954">
        <v>83236999</v>
      </c>
      <c r="F9" s="954">
        <v>141867087</v>
      </c>
      <c r="G9" s="954">
        <v>29188243.170000002</v>
      </c>
    </row>
    <row r="10" spans="1:7" x14ac:dyDescent="0.25">
      <c r="A10" s="949" t="s">
        <v>10699</v>
      </c>
      <c r="B10" s="954">
        <v>27133459.239999998</v>
      </c>
      <c r="C10" s="954">
        <v>58988574</v>
      </c>
      <c r="D10" s="954">
        <v>42934698</v>
      </c>
      <c r="E10" s="954">
        <v>36481475</v>
      </c>
      <c r="F10" s="954">
        <v>42858488</v>
      </c>
      <c r="G10" s="954">
        <v>7124940.1100000003</v>
      </c>
    </row>
    <row r="11" spans="1:7" x14ac:dyDescent="0.25">
      <c r="A11" s="949" t="s">
        <v>10698</v>
      </c>
      <c r="B11" s="954">
        <v>794634.32</v>
      </c>
      <c r="C11" s="954">
        <v>1507715</v>
      </c>
      <c r="D11" s="954">
        <v>1820488</v>
      </c>
      <c r="E11" s="954">
        <v>18069990</v>
      </c>
      <c r="F11" s="954">
        <v>18854166</v>
      </c>
      <c r="G11" s="954">
        <v>115967</v>
      </c>
    </row>
    <row r="12" spans="1:7" x14ac:dyDescent="0.25">
      <c r="A12" s="949" t="s">
        <v>10697</v>
      </c>
      <c r="B12" s="954">
        <v>11904873.619999999</v>
      </c>
      <c r="C12" s="954">
        <v>826013</v>
      </c>
      <c r="D12" s="954">
        <v>566398</v>
      </c>
      <c r="E12" s="954">
        <v>19771645</v>
      </c>
      <c r="F12" s="954">
        <v>40551873</v>
      </c>
      <c r="G12" s="954">
        <v>0</v>
      </c>
    </row>
    <row r="13" spans="1:7" x14ac:dyDescent="0.25">
      <c r="A13" s="949" t="s">
        <v>10696</v>
      </c>
      <c r="B13" s="954">
        <v>0</v>
      </c>
      <c r="C13" s="954">
        <v>0</v>
      </c>
      <c r="D13" s="954">
        <v>0</v>
      </c>
      <c r="E13" s="954">
        <v>0</v>
      </c>
      <c r="F13" s="954">
        <v>0</v>
      </c>
      <c r="G13" s="954">
        <v>0</v>
      </c>
    </row>
    <row r="14" spans="1:7" x14ac:dyDescent="0.25">
      <c r="A14" s="949" t="s">
        <v>10704</v>
      </c>
      <c r="B14" s="954">
        <v>0</v>
      </c>
      <c r="C14" s="954">
        <v>0</v>
      </c>
      <c r="D14" s="954">
        <v>0</v>
      </c>
      <c r="E14" s="954">
        <v>0</v>
      </c>
      <c r="F14" s="954">
        <v>0</v>
      </c>
      <c r="G14" s="954">
        <v>0</v>
      </c>
    </row>
    <row r="15" spans="1:7" x14ac:dyDescent="0.25">
      <c r="A15" s="949" t="s">
        <v>10694</v>
      </c>
      <c r="B15" s="954">
        <v>7432663.2999999998</v>
      </c>
      <c r="C15" s="954">
        <v>0</v>
      </c>
      <c r="D15" s="954">
        <v>29773202</v>
      </c>
      <c r="E15" s="954">
        <v>9771886</v>
      </c>
      <c r="F15" s="954">
        <v>767360</v>
      </c>
      <c r="G15" s="954">
        <v>14261351.109999999</v>
      </c>
    </row>
    <row r="16" spans="1:7" x14ac:dyDescent="0.25">
      <c r="A16" s="948"/>
      <c r="B16" s="954"/>
      <c r="C16" s="954"/>
      <c r="D16" s="954"/>
      <c r="E16" s="954"/>
      <c r="F16" s="954"/>
      <c r="G16" s="954"/>
    </row>
    <row r="17" spans="1:7" x14ac:dyDescent="0.25">
      <c r="A17" s="951" t="s">
        <v>10703</v>
      </c>
      <c r="B17" s="1108">
        <f t="shared" ref="B17:G17" si="1">SUM(B18:B26)</f>
        <v>304625960.37999994</v>
      </c>
      <c r="C17" s="1108">
        <f t="shared" si="1"/>
        <v>321774214</v>
      </c>
      <c r="D17" s="1108">
        <f t="shared" si="1"/>
        <v>280089973</v>
      </c>
      <c r="E17" s="1108">
        <f t="shared" si="1"/>
        <v>303417422</v>
      </c>
      <c r="F17" s="1108">
        <f t="shared" si="1"/>
        <v>429977625</v>
      </c>
      <c r="G17" s="1108">
        <f t="shared" si="1"/>
        <v>1122760228.03</v>
      </c>
    </row>
    <row r="18" spans="1:7" x14ac:dyDescent="0.25">
      <c r="A18" s="949" t="s">
        <v>10702</v>
      </c>
      <c r="B18" s="954">
        <v>3540982.2799999714</v>
      </c>
      <c r="C18" s="954">
        <v>31543844</v>
      </c>
      <c r="D18" s="954">
        <v>13160636</v>
      </c>
      <c r="E18" s="954">
        <v>18949602</v>
      </c>
      <c r="F18" s="954">
        <v>7763786</v>
      </c>
      <c r="G18" s="954">
        <v>388171931.81999999</v>
      </c>
    </row>
    <row r="19" spans="1:7" x14ac:dyDescent="0.25">
      <c r="A19" s="949" t="s">
        <v>10701</v>
      </c>
      <c r="B19" s="954">
        <v>34898461.420000002</v>
      </c>
      <c r="C19" s="954">
        <v>17385046</v>
      </c>
      <c r="D19" s="954">
        <v>27470928</v>
      </c>
      <c r="E19" s="954">
        <v>46388367</v>
      </c>
      <c r="F19" s="954">
        <v>33167835</v>
      </c>
      <c r="G19" s="954">
        <v>61682569.31000001</v>
      </c>
    </row>
    <row r="20" spans="1:7" x14ac:dyDescent="0.25">
      <c r="A20" s="949" t="s">
        <v>10700</v>
      </c>
      <c r="B20" s="954">
        <v>86171655.779999986</v>
      </c>
      <c r="C20" s="954">
        <v>61197453</v>
      </c>
      <c r="D20" s="954">
        <v>55223289</v>
      </c>
      <c r="E20" s="954">
        <v>65647090</v>
      </c>
      <c r="F20" s="954">
        <v>52860511</v>
      </c>
      <c r="G20" s="954">
        <v>199749221.51000002</v>
      </c>
    </row>
    <row r="21" spans="1:7" x14ac:dyDescent="0.25">
      <c r="A21" s="949" t="s">
        <v>10699</v>
      </c>
      <c r="B21" s="954">
        <v>56371154.38000001</v>
      </c>
      <c r="C21" s="954">
        <v>69707782</v>
      </c>
      <c r="D21" s="954">
        <v>67690854</v>
      </c>
      <c r="E21" s="954">
        <v>39072853</v>
      </c>
      <c r="F21" s="954">
        <v>69726345</v>
      </c>
      <c r="G21" s="954">
        <v>135684394.80000001</v>
      </c>
    </row>
    <row r="22" spans="1:7" x14ac:dyDescent="0.25">
      <c r="A22" s="949" t="s">
        <v>10698</v>
      </c>
      <c r="B22" s="954">
        <v>13681210</v>
      </c>
      <c r="C22" s="954">
        <v>1014220</v>
      </c>
      <c r="D22" s="954">
        <v>2257007</v>
      </c>
      <c r="E22" s="954">
        <v>33270148</v>
      </c>
      <c r="F22" s="954">
        <v>1359410</v>
      </c>
      <c r="G22" s="954">
        <v>528874.28</v>
      </c>
    </row>
    <row r="23" spans="1:7" x14ac:dyDescent="0.25">
      <c r="A23" s="949" t="s">
        <v>10697</v>
      </c>
      <c r="B23" s="954">
        <v>109962496.52</v>
      </c>
      <c r="C23" s="954">
        <v>132142501</v>
      </c>
      <c r="D23" s="954">
        <v>98093324</v>
      </c>
      <c r="E23" s="954">
        <v>68487715</v>
      </c>
      <c r="F23" s="954">
        <v>259150166</v>
      </c>
      <c r="G23" s="954">
        <v>320347883.27000004</v>
      </c>
    </row>
    <row r="24" spans="1:7" x14ac:dyDescent="0.25">
      <c r="A24" s="949" t="s">
        <v>10696</v>
      </c>
      <c r="B24" s="954">
        <v>0</v>
      </c>
      <c r="C24" s="954">
        <v>0</v>
      </c>
      <c r="D24" s="954">
        <v>0</v>
      </c>
      <c r="E24" s="954">
        <v>0</v>
      </c>
      <c r="F24" s="954">
        <v>0</v>
      </c>
      <c r="G24" s="954">
        <v>0</v>
      </c>
    </row>
    <row r="25" spans="1:7" x14ac:dyDescent="0.25">
      <c r="A25" s="949" t="s">
        <v>10695</v>
      </c>
      <c r="B25" s="954">
        <v>0</v>
      </c>
      <c r="C25" s="954">
        <v>0</v>
      </c>
      <c r="D25" s="954">
        <v>0</v>
      </c>
      <c r="E25" s="954">
        <v>0</v>
      </c>
      <c r="F25" s="954">
        <v>0</v>
      </c>
      <c r="G25" s="954">
        <v>0</v>
      </c>
    </row>
    <row r="26" spans="1:7" x14ac:dyDescent="0.25">
      <c r="A26" s="949" t="s">
        <v>10694</v>
      </c>
      <c r="B26" s="954">
        <v>0</v>
      </c>
      <c r="C26" s="954">
        <v>8783368</v>
      </c>
      <c r="D26" s="954">
        <v>16193935</v>
      </c>
      <c r="E26" s="954">
        <v>31601647</v>
      </c>
      <c r="F26" s="954">
        <v>5949572</v>
      </c>
      <c r="G26" s="954">
        <v>16595353.039999999</v>
      </c>
    </row>
    <row r="27" spans="1:7" x14ac:dyDescent="0.25">
      <c r="A27" s="948"/>
      <c r="B27" s="954"/>
      <c r="C27" s="954"/>
      <c r="D27" s="954"/>
      <c r="E27" s="954"/>
      <c r="F27" s="954"/>
      <c r="G27" s="954"/>
    </row>
    <row r="28" spans="1:7" x14ac:dyDescent="0.25">
      <c r="A28" s="951" t="s">
        <v>10721</v>
      </c>
      <c r="B28" s="1108">
        <f t="shared" ref="B28:G28" si="2">B6+B17</f>
        <v>800108968.73000002</v>
      </c>
      <c r="C28" s="1108">
        <f t="shared" si="2"/>
        <v>834631018</v>
      </c>
      <c r="D28" s="1108">
        <f t="shared" si="2"/>
        <v>835043741</v>
      </c>
      <c r="E28" s="1108">
        <f t="shared" si="2"/>
        <v>839991119</v>
      </c>
      <c r="F28" s="1108">
        <f t="shared" si="2"/>
        <v>1091666391</v>
      </c>
      <c r="G28" s="1108">
        <f t="shared" si="2"/>
        <v>1236028556.8</v>
      </c>
    </row>
    <row r="29" spans="1:7" ht="15.75" thickBot="1" x14ac:dyDescent="0.3">
      <c r="A29" s="953"/>
      <c r="B29" s="952"/>
      <c r="C29" s="952"/>
      <c r="D29" s="952"/>
      <c r="E29" s="952"/>
      <c r="F29" s="952"/>
      <c r="G29" s="952"/>
    </row>
    <row r="42" spans="1:9" s="540" customFormat="1" ht="12.75" x14ac:dyDescent="0.2">
      <c r="A42" s="537"/>
      <c r="B42" s="537"/>
      <c r="C42" s="538"/>
      <c r="D42" s="538"/>
      <c r="E42" s="538"/>
      <c r="F42" s="538"/>
      <c r="G42" s="538"/>
      <c r="H42" s="538"/>
      <c r="I42" s="291"/>
    </row>
    <row r="43" spans="1:9" s="19" customFormat="1" ht="8.25" customHeight="1" x14ac:dyDescent="0.2">
      <c r="A43" s="21"/>
      <c r="B43" s="21"/>
      <c r="C43" s="22"/>
      <c r="D43" s="855"/>
      <c r="E43" s="22"/>
      <c r="F43" s="22"/>
      <c r="G43" s="22"/>
      <c r="H43" s="22"/>
      <c r="I43" s="291"/>
    </row>
    <row r="44" spans="1:9" s="19" customFormat="1" ht="12.75" x14ac:dyDescent="0.2">
      <c r="A44" s="21"/>
      <c r="B44" s="21"/>
      <c r="C44" s="22"/>
      <c r="D44" s="22"/>
      <c r="E44" s="22"/>
      <c r="F44" s="22"/>
      <c r="G44" s="22"/>
      <c r="H44" s="22"/>
      <c r="I44" s="287"/>
    </row>
    <row r="45" spans="1:9" s="19" customFormat="1" ht="12.75" x14ac:dyDescent="0.2">
      <c r="A45" s="21"/>
      <c r="B45" s="21"/>
      <c r="C45" s="22"/>
      <c r="D45" s="22"/>
      <c r="E45" s="22"/>
      <c r="F45" s="22"/>
      <c r="G45" s="22"/>
      <c r="H45" s="22"/>
      <c r="I45" s="280"/>
    </row>
  </sheetData>
  <mergeCells count="3">
    <mergeCell ref="A1:G1"/>
    <mergeCell ref="A2:G2"/>
    <mergeCell ref="A3:G3"/>
  </mergeCells>
  <pageMargins left="0.7" right="0.7" top="0.75" bottom="0.75" header="0.3" footer="0.3"/>
  <pageSetup scale="73" fitToHeight="0"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J76"/>
  <sheetViews>
    <sheetView view="pageBreakPreview" topLeftCell="A25" zoomScale="60" zoomScaleNormal="100" workbookViewId="0">
      <selection sqref="A1:H1"/>
    </sheetView>
  </sheetViews>
  <sheetFormatPr baseColWidth="10" defaultRowHeight="15" x14ac:dyDescent="0.25"/>
  <cols>
    <col min="1" max="1" width="54.7109375" customWidth="1"/>
    <col min="2" max="6" width="16.7109375" customWidth="1"/>
  </cols>
  <sheetData>
    <row r="2" spans="1:6" x14ac:dyDescent="0.25">
      <c r="A2" s="1439" t="s">
        <v>719</v>
      </c>
      <c r="B2" s="1439"/>
      <c r="C2" s="1439"/>
      <c r="D2" s="1439"/>
      <c r="E2" s="1439"/>
      <c r="F2" s="1439"/>
    </row>
    <row r="3" spans="1:6" x14ac:dyDescent="0.25">
      <c r="A3" s="1439" t="s">
        <v>10766</v>
      </c>
      <c r="B3" s="1439"/>
      <c r="C3" s="1439"/>
      <c r="D3" s="1439"/>
      <c r="E3" s="1439"/>
      <c r="F3" s="1439"/>
    </row>
    <row r="4" spans="1:6" ht="15.75" thickBot="1" x14ac:dyDescent="0.3">
      <c r="A4" s="1072"/>
      <c r="B4" s="1072"/>
      <c r="C4" s="1072"/>
      <c r="D4" s="1072"/>
      <c r="E4" s="1072"/>
      <c r="F4" s="1072"/>
    </row>
    <row r="5" spans="1:6" ht="23.25" thickBot="1" x14ac:dyDescent="0.3">
      <c r="A5" s="958"/>
      <c r="B5" s="958" t="s">
        <v>10765</v>
      </c>
      <c r="C5" s="958" t="s">
        <v>332</v>
      </c>
      <c r="D5" s="958" t="s">
        <v>10764</v>
      </c>
      <c r="E5" s="958" t="s">
        <v>10763</v>
      </c>
      <c r="F5" s="958" t="s">
        <v>10762</v>
      </c>
    </row>
    <row r="6" spans="1:6" x14ac:dyDescent="0.25">
      <c r="A6" s="1030" t="s">
        <v>10761</v>
      </c>
      <c r="B6" s="1032"/>
      <c r="C6" s="1031"/>
      <c r="D6" s="1031"/>
      <c r="E6" s="1031"/>
      <c r="F6" s="1031"/>
    </row>
    <row r="7" spans="1:6" ht="14.25" customHeight="1" x14ac:dyDescent="0.25">
      <c r="A7" s="996" t="s">
        <v>10760</v>
      </c>
      <c r="B7" s="1112" t="s">
        <v>12233</v>
      </c>
      <c r="C7" s="1112" t="s">
        <v>12233</v>
      </c>
      <c r="D7" s="1112" t="s">
        <v>12233</v>
      </c>
      <c r="E7" s="1112" t="s">
        <v>12233</v>
      </c>
      <c r="F7" s="1112" t="s">
        <v>12233</v>
      </c>
    </row>
    <row r="8" spans="1:6" ht="14.25" customHeight="1" x14ac:dyDescent="0.25">
      <c r="A8" s="996" t="s">
        <v>10759</v>
      </c>
      <c r="B8" s="1112" t="s">
        <v>12234</v>
      </c>
      <c r="C8" s="1112" t="s">
        <v>12234</v>
      </c>
      <c r="D8" s="1112" t="s">
        <v>12234</v>
      </c>
      <c r="E8" s="1112" t="s">
        <v>12234</v>
      </c>
      <c r="F8" s="1112" t="s">
        <v>12234</v>
      </c>
    </row>
    <row r="9" spans="1:6" ht="6.75" customHeight="1" x14ac:dyDescent="0.25">
      <c r="A9" s="1030"/>
      <c r="B9" s="1029"/>
      <c r="C9" s="1028"/>
      <c r="D9" s="1028"/>
      <c r="E9" s="1028"/>
      <c r="F9" s="1028"/>
    </row>
    <row r="10" spans="1:6" x14ac:dyDescent="0.25">
      <c r="A10" s="1030" t="s">
        <v>10758</v>
      </c>
      <c r="B10" s="1029"/>
      <c r="C10" s="1028"/>
      <c r="D10" s="1028"/>
      <c r="E10" s="1028"/>
      <c r="F10" s="1028"/>
    </row>
    <row r="11" spans="1:6" x14ac:dyDescent="0.25">
      <c r="A11" s="996" t="s">
        <v>10743</v>
      </c>
      <c r="B11" s="1029"/>
      <c r="C11" s="1028"/>
      <c r="D11" s="1028"/>
      <c r="E11" s="1028"/>
      <c r="F11" s="1028"/>
    </row>
    <row r="12" spans="1:6" ht="13.5" customHeight="1" x14ac:dyDescent="0.25">
      <c r="A12" s="1007" t="s">
        <v>10757</v>
      </c>
      <c r="B12" s="1029"/>
      <c r="C12" s="1028"/>
      <c r="D12" s="1028"/>
      <c r="E12" s="1028"/>
      <c r="F12" s="1028"/>
    </row>
    <row r="13" spans="1:6" ht="13.5" customHeight="1" x14ac:dyDescent="0.25">
      <c r="A13" s="1007" t="s">
        <v>10756</v>
      </c>
      <c r="B13" s="1029"/>
      <c r="C13" s="1028"/>
      <c r="D13" s="1028"/>
      <c r="E13" s="1028"/>
      <c r="F13" s="1028"/>
    </row>
    <row r="14" spans="1:6" ht="13.5" customHeight="1" x14ac:dyDescent="0.25">
      <c r="A14" s="1007" t="s">
        <v>10755</v>
      </c>
      <c r="B14" s="1029"/>
      <c r="C14" s="1028"/>
      <c r="D14" s="1028"/>
      <c r="E14" s="1028"/>
      <c r="F14" s="1028"/>
    </row>
    <row r="15" spans="1:6" x14ac:dyDescent="0.25">
      <c r="A15" s="996" t="s">
        <v>10742</v>
      </c>
      <c r="B15" s="1115">
        <v>209</v>
      </c>
      <c r="C15" s="1116"/>
      <c r="D15" s="1116"/>
      <c r="E15" s="1116">
        <v>114</v>
      </c>
      <c r="F15" s="1116">
        <f>B15+E15</f>
        <v>323</v>
      </c>
    </row>
    <row r="16" spans="1:6" x14ac:dyDescent="0.25">
      <c r="A16" s="996" t="s">
        <v>10757</v>
      </c>
      <c r="B16" s="1115">
        <v>93</v>
      </c>
      <c r="C16" s="1116"/>
      <c r="D16" s="1116"/>
      <c r="E16" s="1116">
        <v>93</v>
      </c>
      <c r="F16" s="1116">
        <v>93</v>
      </c>
    </row>
    <row r="17" spans="1:6" x14ac:dyDescent="0.25">
      <c r="A17" s="996" t="s">
        <v>10756</v>
      </c>
      <c r="B17" s="1115">
        <v>36</v>
      </c>
      <c r="C17" s="1116"/>
      <c r="D17" s="1116"/>
      <c r="E17" s="1116">
        <v>16</v>
      </c>
      <c r="F17" s="1116">
        <v>16</v>
      </c>
    </row>
    <row r="18" spans="1:6" x14ac:dyDescent="0.25">
      <c r="A18" s="996" t="s">
        <v>10755</v>
      </c>
      <c r="B18" s="1115">
        <v>65</v>
      </c>
      <c r="C18" s="1116"/>
      <c r="D18" s="1116"/>
      <c r="E18" s="1116">
        <v>62</v>
      </c>
      <c r="F18" s="1116">
        <v>64</v>
      </c>
    </row>
    <row r="19" spans="1:6" x14ac:dyDescent="0.25">
      <c r="A19" s="996" t="s">
        <v>10754</v>
      </c>
      <c r="B19" s="1029"/>
      <c r="C19" s="1028"/>
      <c r="D19" s="1028"/>
      <c r="E19" s="1028"/>
      <c r="F19" s="1028"/>
    </row>
    <row r="20" spans="1:6" x14ac:dyDescent="0.25">
      <c r="A20" s="996" t="s">
        <v>10753</v>
      </c>
      <c r="B20" s="1029"/>
      <c r="C20" s="1028"/>
      <c r="D20" s="1028"/>
      <c r="E20" s="1028"/>
      <c r="F20" s="1028">
        <v>10.86</v>
      </c>
    </row>
    <row r="21" spans="1:6" ht="26.25" customHeight="1" x14ac:dyDescent="0.25">
      <c r="A21" s="996" t="s">
        <v>10752</v>
      </c>
      <c r="B21" s="1029"/>
      <c r="C21" s="1028"/>
      <c r="D21" s="1028"/>
      <c r="E21" s="1028"/>
      <c r="F21" s="1113" t="s">
        <v>12235</v>
      </c>
    </row>
    <row r="22" spans="1:6" ht="22.5" x14ac:dyDescent="0.25">
      <c r="A22" s="996" t="s">
        <v>10751</v>
      </c>
      <c r="B22" s="1029"/>
      <c r="C22" s="1028"/>
      <c r="D22" s="1028"/>
      <c r="E22" s="1028"/>
      <c r="F22" s="1113" t="s">
        <v>12235</v>
      </c>
    </row>
    <row r="23" spans="1:6" x14ac:dyDescent="0.25">
      <c r="A23" s="996" t="s">
        <v>10750</v>
      </c>
      <c r="B23" s="1029"/>
      <c r="C23" s="1028"/>
      <c r="D23" s="1028"/>
      <c r="E23" s="1028"/>
      <c r="F23" s="1114">
        <v>6.9000000000000006E-2</v>
      </c>
    </row>
    <row r="24" spans="1:6" x14ac:dyDescent="0.25">
      <c r="A24" s="996" t="s">
        <v>10749</v>
      </c>
      <c r="B24" s="1029"/>
      <c r="C24" s="1028"/>
      <c r="D24" s="1028"/>
      <c r="E24" s="1028"/>
      <c r="F24" s="1114">
        <v>6.6299999999999998E-2</v>
      </c>
    </row>
    <row r="25" spans="1:6" x14ac:dyDescent="0.25">
      <c r="A25" s="996" t="s">
        <v>10748</v>
      </c>
      <c r="B25" s="1029"/>
      <c r="C25" s="1028"/>
      <c r="D25" s="1028"/>
      <c r="E25" s="1028"/>
      <c r="F25" s="1116">
        <v>48</v>
      </c>
    </row>
    <row r="26" spans="1:6" x14ac:dyDescent="0.25">
      <c r="A26" s="996" t="s">
        <v>10747</v>
      </c>
      <c r="B26" s="1029"/>
      <c r="C26" s="1028"/>
      <c r="D26" s="1028"/>
      <c r="E26" s="1028"/>
      <c r="F26" s="1116">
        <v>75</v>
      </c>
    </row>
    <row r="27" spans="1:6" ht="6.75" customHeight="1" x14ac:dyDescent="0.25">
      <c r="A27" s="1030"/>
      <c r="B27" s="1029"/>
      <c r="C27" s="1028"/>
      <c r="D27" s="1028"/>
      <c r="E27" s="1028"/>
      <c r="F27" s="1028"/>
    </row>
    <row r="28" spans="1:6" x14ac:dyDescent="0.25">
      <c r="A28" s="1006" t="s">
        <v>10746</v>
      </c>
      <c r="B28" s="1029"/>
      <c r="C28" s="1028"/>
      <c r="D28" s="1028"/>
      <c r="E28" s="1028"/>
      <c r="F28" s="1028"/>
    </row>
    <row r="29" spans="1:6" ht="22.5" x14ac:dyDescent="0.25">
      <c r="A29" s="996" t="s">
        <v>10745</v>
      </c>
      <c r="B29" s="1029"/>
      <c r="C29" s="1028"/>
      <c r="D29" s="1028"/>
      <c r="E29" s="1028"/>
      <c r="F29" s="1113" t="s">
        <v>12236</v>
      </c>
    </row>
    <row r="30" spans="1:6" ht="6.75" customHeight="1" x14ac:dyDescent="0.25">
      <c r="A30" s="1030"/>
      <c r="B30" s="1029"/>
      <c r="C30" s="1028"/>
      <c r="D30" s="1028"/>
      <c r="E30" s="1028"/>
      <c r="F30" s="1028"/>
    </row>
    <row r="31" spans="1:6" x14ac:dyDescent="0.25">
      <c r="A31" s="1006" t="s">
        <v>10744</v>
      </c>
      <c r="B31" s="1029"/>
      <c r="C31" s="1028"/>
      <c r="D31" s="1028"/>
      <c r="E31" s="1028"/>
      <c r="F31" s="1028">
        <f>SUM(F32:F34)</f>
        <v>313909622.73000002</v>
      </c>
    </row>
    <row r="32" spans="1:6" x14ac:dyDescent="0.25">
      <c r="A32" s="996" t="s">
        <v>10743</v>
      </c>
      <c r="B32" s="1029"/>
      <c r="C32" s="1028"/>
      <c r="D32" s="1028"/>
      <c r="E32" s="1028"/>
      <c r="F32" s="1028">
        <v>251692207.53999999</v>
      </c>
    </row>
    <row r="33" spans="1:6" x14ac:dyDescent="0.25">
      <c r="A33" s="996" t="s">
        <v>10742</v>
      </c>
      <c r="B33" s="1029">
        <v>42535826.560000002</v>
      </c>
      <c r="C33" s="1028">
        <v>0</v>
      </c>
      <c r="D33" s="1028">
        <v>0</v>
      </c>
      <c r="E33" s="1028">
        <v>11378841.26</v>
      </c>
      <c r="F33" s="1028">
        <f>SUM(B33:E33)</f>
        <v>53914667.82</v>
      </c>
    </row>
    <row r="34" spans="1:6" x14ac:dyDescent="0.25">
      <c r="A34" s="996" t="s">
        <v>10741</v>
      </c>
      <c r="B34" s="1029">
        <v>0</v>
      </c>
      <c r="C34" s="1028">
        <v>8302747.3700000001</v>
      </c>
      <c r="D34" s="1028">
        <v>0</v>
      </c>
      <c r="E34" s="1028">
        <v>0</v>
      </c>
      <c r="F34" s="1028">
        <f>SUM(B34:E34)</f>
        <v>8302747.3700000001</v>
      </c>
    </row>
    <row r="35" spans="1:6" ht="6.75" customHeight="1" x14ac:dyDescent="0.25">
      <c r="A35" s="1030"/>
      <c r="B35" s="1029"/>
      <c r="C35" s="1028"/>
      <c r="D35" s="1028"/>
      <c r="E35" s="1028"/>
      <c r="F35" s="1028"/>
    </row>
    <row r="36" spans="1:6" x14ac:dyDescent="0.25">
      <c r="A36" s="1006" t="s">
        <v>10740</v>
      </c>
      <c r="B36" s="1029"/>
      <c r="C36" s="1028"/>
      <c r="D36" s="1028"/>
      <c r="E36" s="1028"/>
      <c r="F36" s="1028"/>
    </row>
    <row r="37" spans="1:6" x14ac:dyDescent="0.25">
      <c r="A37" s="996" t="s">
        <v>10739</v>
      </c>
      <c r="B37" s="1029">
        <v>61852</v>
      </c>
      <c r="C37" s="1028"/>
      <c r="D37" s="1028"/>
      <c r="E37" s="1028">
        <v>17176</v>
      </c>
      <c r="F37" s="1028">
        <v>61852</v>
      </c>
    </row>
    <row r="38" spans="1:6" x14ac:dyDescent="0.25">
      <c r="A38" s="996" t="s">
        <v>10738</v>
      </c>
      <c r="B38" s="1029">
        <v>2651</v>
      </c>
      <c r="C38" s="1028"/>
      <c r="D38" s="1028"/>
      <c r="E38" s="1028">
        <v>945</v>
      </c>
      <c r="F38" s="1028">
        <v>945</v>
      </c>
    </row>
    <row r="39" spans="1:6" x14ac:dyDescent="0.25">
      <c r="A39" s="996" t="s">
        <v>10737</v>
      </c>
      <c r="B39" s="1029">
        <v>13953.23</v>
      </c>
      <c r="C39" s="1028"/>
      <c r="D39" s="1028"/>
      <c r="E39" s="1028">
        <v>7740</v>
      </c>
      <c r="F39" s="1028">
        <v>11760.45</v>
      </c>
    </row>
    <row r="40" spans="1:6" ht="6.75" customHeight="1" x14ac:dyDescent="0.25">
      <c r="A40" s="1030"/>
      <c r="B40" s="1029"/>
      <c r="C40" s="1028"/>
      <c r="D40" s="1028"/>
      <c r="E40" s="1028"/>
      <c r="F40" s="1028"/>
    </row>
    <row r="41" spans="1:6" x14ac:dyDescent="0.25">
      <c r="A41" s="1030" t="s">
        <v>10736</v>
      </c>
      <c r="B41" s="1029"/>
      <c r="C41" s="1028"/>
      <c r="D41" s="1028"/>
      <c r="E41" s="1028"/>
      <c r="F41" s="1028"/>
    </row>
    <row r="42" spans="1:6" ht="6.75" customHeight="1" x14ac:dyDescent="0.25">
      <c r="A42" s="1030"/>
      <c r="B42" s="1029"/>
      <c r="C42" s="1028"/>
      <c r="D42" s="1028"/>
      <c r="E42" s="1028"/>
      <c r="F42" s="1028"/>
    </row>
    <row r="43" spans="1:6" x14ac:dyDescent="0.25">
      <c r="A43" s="1030" t="s">
        <v>10735</v>
      </c>
      <c r="B43" s="1029"/>
      <c r="C43" s="1028"/>
      <c r="D43" s="1028"/>
      <c r="E43" s="1028"/>
      <c r="F43" s="1028">
        <f>SUM(F44:F45)</f>
        <v>13049745952.02</v>
      </c>
    </row>
    <row r="44" spans="1:6" x14ac:dyDescent="0.25">
      <c r="A44" s="996" t="s">
        <v>10734</v>
      </c>
      <c r="B44" s="1029">
        <v>1160564384.5899999</v>
      </c>
      <c r="C44" s="1028"/>
      <c r="D44" s="1028"/>
      <c r="E44" s="1028">
        <v>288279535.64999998</v>
      </c>
      <c r="F44" s="1028">
        <f>SUM(B44:E44)</f>
        <v>1448843920.2399998</v>
      </c>
    </row>
    <row r="45" spans="1:6" x14ac:dyDescent="0.25">
      <c r="A45" s="996" t="s">
        <v>10730</v>
      </c>
      <c r="B45" s="1029"/>
      <c r="C45" s="1028"/>
      <c r="D45" s="1028"/>
      <c r="E45" s="1028"/>
      <c r="F45" s="1028">
        <v>11600902031.780001</v>
      </c>
    </row>
    <row r="46" spans="1:6" x14ac:dyDescent="0.25">
      <c r="A46" s="996" t="s">
        <v>10729</v>
      </c>
      <c r="B46" s="1029"/>
      <c r="C46" s="1028"/>
      <c r="D46" s="1028"/>
      <c r="E46" s="1028"/>
      <c r="F46" s="1028"/>
    </row>
    <row r="47" spans="1:6" ht="6.75" customHeight="1" x14ac:dyDescent="0.25">
      <c r="A47" s="1030"/>
      <c r="B47" s="1029"/>
      <c r="C47" s="1028"/>
      <c r="D47" s="1028"/>
      <c r="E47" s="1028"/>
      <c r="F47" s="1028"/>
    </row>
    <row r="48" spans="1:6" ht="22.5" x14ac:dyDescent="0.25">
      <c r="A48" s="1030" t="s">
        <v>10733</v>
      </c>
      <c r="B48" s="1029"/>
      <c r="C48" s="1028"/>
      <c r="D48" s="1028"/>
      <c r="E48" s="1028"/>
      <c r="F48" s="1028"/>
    </row>
    <row r="49" spans="1:6" x14ac:dyDescent="0.25">
      <c r="A49" s="996" t="s">
        <v>10730</v>
      </c>
      <c r="B49" s="1029"/>
      <c r="C49" s="1028"/>
      <c r="D49" s="1028"/>
      <c r="E49" s="1028"/>
      <c r="F49" s="1117" t="s">
        <v>12237</v>
      </c>
    </row>
    <row r="50" spans="1:6" x14ac:dyDescent="0.25">
      <c r="A50" s="996" t="s">
        <v>10729</v>
      </c>
      <c r="B50" s="1029"/>
      <c r="C50" s="1028"/>
      <c r="D50" s="1028"/>
      <c r="E50" s="1028"/>
      <c r="F50" s="1117" t="s">
        <v>12237</v>
      </c>
    </row>
    <row r="51" spans="1:6" ht="6.75" customHeight="1" x14ac:dyDescent="0.25">
      <c r="A51" s="1030"/>
      <c r="B51" s="1029"/>
      <c r="C51" s="1028"/>
      <c r="D51" s="1028"/>
      <c r="E51" s="1028"/>
      <c r="F51" s="1028"/>
    </row>
    <row r="52" spans="1:6" x14ac:dyDescent="0.25">
      <c r="A52" s="1030" t="s">
        <v>10732</v>
      </c>
      <c r="B52" s="1029"/>
      <c r="C52" s="1028"/>
      <c r="D52" s="1028"/>
      <c r="E52" s="1028"/>
      <c r="F52" s="1028"/>
    </row>
    <row r="53" spans="1:6" ht="12.75" customHeight="1" x14ac:dyDescent="0.25">
      <c r="A53" s="996" t="s">
        <v>10730</v>
      </c>
      <c r="B53" s="1029"/>
      <c r="C53" s="1028"/>
      <c r="D53" s="1028"/>
      <c r="E53" s="1028"/>
      <c r="F53" s="1117" t="s">
        <v>12237</v>
      </c>
    </row>
    <row r="54" spans="1:6" ht="12.75" customHeight="1" x14ac:dyDescent="0.25">
      <c r="A54" s="996" t="s">
        <v>10729</v>
      </c>
      <c r="B54" s="1029"/>
      <c r="C54" s="1028"/>
      <c r="D54" s="1028"/>
      <c r="E54" s="1028"/>
      <c r="F54" s="1117" t="s">
        <v>12237</v>
      </c>
    </row>
    <row r="55" spans="1:6" ht="12.75" customHeight="1" x14ac:dyDescent="0.25">
      <c r="A55" s="996" t="s">
        <v>2426</v>
      </c>
      <c r="B55" s="1029"/>
      <c r="C55" s="1028"/>
      <c r="D55" s="1028"/>
      <c r="E55" s="1028"/>
      <c r="F55" s="1117" t="s">
        <v>12237</v>
      </c>
    </row>
    <row r="56" spans="1:6" ht="6.75" customHeight="1" x14ac:dyDescent="0.25">
      <c r="A56" s="1030"/>
      <c r="B56" s="1029"/>
      <c r="C56" s="1028"/>
      <c r="D56" s="1028"/>
      <c r="E56" s="1028"/>
      <c r="F56" s="1028"/>
    </row>
    <row r="57" spans="1:6" x14ac:dyDescent="0.25">
      <c r="A57" s="1030" t="s">
        <v>10731</v>
      </c>
      <c r="B57" s="1029"/>
      <c r="C57" s="1028"/>
      <c r="D57" s="1028"/>
      <c r="E57" s="1028"/>
      <c r="F57" s="1028"/>
    </row>
    <row r="58" spans="1:6" ht="14.25" customHeight="1" x14ac:dyDescent="0.25">
      <c r="A58" s="996" t="s">
        <v>10730</v>
      </c>
      <c r="B58" s="1029"/>
      <c r="C58" s="1028"/>
      <c r="D58" s="1028"/>
      <c r="E58" s="1028"/>
      <c r="F58" s="1028">
        <v>13049745952.02</v>
      </c>
    </row>
    <row r="59" spans="1:6" ht="14.25" customHeight="1" x14ac:dyDescent="0.25">
      <c r="A59" s="996" t="s">
        <v>10729</v>
      </c>
      <c r="B59" s="1029"/>
      <c r="C59" s="1028"/>
      <c r="D59" s="1028"/>
      <c r="E59" s="1028"/>
      <c r="F59" s="1117" t="s">
        <v>12237</v>
      </c>
    </row>
    <row r="60" spans="1:6" ht="6.75" customHeight="1" x14ac:dyDescent="0.25">
      <c r="A60" s="1030"/>
      <c r="B60" s="1029"/>
      <c r="C60" s="1028"/>
      <c r="D60" s="1028"/>
      <c r="E60" s="1028"/>
      <c r="F60" s="1028"/>
    </row>
    <row r="61" spans="1:6" x14ac:dyDescent="0.25">
      <c r="A61" s="1030" t="s">
        <v>10728</v>
      </c>
      <c r="B61" s="1029"/>
      <c r="C61" s="1028"/>
      <c r="D61" s="1028"/>
      <c r="E61" s="1028"/>
      <c r="F61" s="1116">
        <v>2018</v>
      </c>
    </row>
    <row r="62" spans="1:6" ht="13.5" customHeight="1" x14ac:dyDescent="0.25">
      <c r="A62" s="996" t="s">
        <v>10727</v>
      </c>
      <c r="B62" s="1029"/>
      <c r="C62" s="1028"/>
      <c r="D62" s="1028"/>
      <c r="E62" s="1028"/>
      <c r="F62" s="1116">
        <v>2018</v>
      </c>
    </row>
    <row r="63" spans="1:6" ht="13.5" customHeight="1" x14ac:dyDescent="0.25">
      <c r="A63" s="996" t="s">
        <v>10726</v>
      </c>
      <c r="B63" s="1029"/>
      <c r="C63" s="1028"/>
      <c r="D63" s="1028"/>
      <c r="E63" s="1028"/>
      <c r="F63" s="1116" t="s">
        <v>12237</v>
      </c>
    </row>
    <row r="64" spans="1:6" ht="6.75" customHeight="1" x14ac:dyDescent="0.25">
      <c r="A64" s="1030"/>
      <c r="B64" s="1029"/>
      <c r="C64" s="1028"/>
      <c r="D64" s="1028"/>
      <c r="E64" s="1028"/>
      <c r="F64" s="1028"/>
    </row>
    <row r="65" spans="1:10" x14ac:dyDescent="0.25">
      <c r="A65" s="1030" t="s">
        <v>10725</v>
      </c>
      <c r="B65" s="1029"/>
      <c r="C65" s="1028"/>
      <c r="D65" s="1028"/>
      <c r="E65" s="1028"/>
      <c r="F65" s="1028"/>
    </row>
    <row r="66" spans="1:10" ht="14.25" customHeight="1" x14ac:dyDescent="0.25">
      <c r="A66" s="996" t="s">
        <v>10724</v>
      </c>
      <c r="B66" s="1029"/>
      <c r="C66" s="1028"/>
      <c r="D66" s="1028"/>
      <c r="E66" s="1028"/>
      <c r="F66" s="1116">
        <v>2018</v>
      </c>
    </row>
    <row r="67" spans="1:10" ht="32.25" customHeight="1" x14ac:dyDescent="0.25">
      <c r="A67" s="996" t="s">
        <v>10723</v>
      </c>
      <c r="B67" s="1029"/>
      <c r="C67" s="1028"/>
      <c r="D67" s="1028"/>
      <c r="E67" s="1028"/>
      <c r="F67" s="1113" t="s">
        <v>12238</v>
      </c>
    </row>
    <row r="68" spans="1:10" ht="8.25" customHeight="1" thickBot="1" x14ac:dyDescent="0.3">
      <c r="A68" s="1027"/>
      <c r="B68" s="1026"/>
      <c r="C68" s="1025"/>
      <c r="D68" s="1025"/>
      <c r="E68" s="1025"/>
      <c r="F68" s="1025"/>
    </row>
    <row r="69" spans="1:10" s="390" customFormat="1" ht="12" customHeight="1" x14ac:dyDescent="0.2">
      <c r="A69" s="1138"/>
      <c r="B69" s="1138"/>
      <c r="C69" s="1138"/>
      <c r="D69" s="1138"/>
      <c r="E69" s="1138"/>
      <c r="F69" s="1138"/>
      <c r="G69" s="389"/>
      <c r="H69" s="389"/>
      <c r="I69" s="389"/>
      <c r="J69" s="306"/>
    </row>
    <row r="70" spans="1:10" s="306" customFormat="1" ht="12.75" x14ac:dyDescent="0.2"/>
    <row r="71" spans="1:10" s="306" customFormat="1" ht="12.75" x14ac:dyDescent="0.2"/>
    <row r="72" spans="1:10" s="306" customFormat="1" ht="12.75" x14ac:dyDescent="0.2"/>
    <row r="73" spans="1:10" s="306" customFormat="1" ht="12.75" x14ac:dyDescent="0.2"/>
    <row r="74" spans="1:10" s="306" customFormat="1" ht="12.75" x14ac:dyDescent="0.2"/>
    <row r="75" spans="1:10" s="306" customFormat="1" ht="12.75" x14ac:dyDescent="0.2"/>
    <row r="76" spans="1:10" s="306" customFormat="1" ht="12.75" x14ac:dyDescent="0.2"/>
  </sheetData>
  <mergeCells count="3">
    <mergeCell ref="A2:F2"/>
    <mergeCell ref="A3:F3"/>
    <mergeCell ref="A69:F69"/>
  </mergeCells>
  <pageMargins left="0.39370078740157483" right="0.39370078740157483" top="0.31496062992125984" bottom="0.31496062992125984" header="0.31496062992125984" footer="0.31496062992125984"/>
  <pageSetup scale="71"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145"/>
  <sheetViews>
    <sheetView view="pageBreakPreview" zoomScale="60" zoomScaleNormal="100" workbookViewId="0"/>
  </sheetViews>
  <sheetFormatPr baseColWidth="10" defaultColWidth="11.42578125" defaultRowHeight="12.75" x14ac:dyDescent="0.2"/>
  <cols>
    <col min="1" max="1" width="2.28515625" style="498" customWidth="1"/>
    <col min="2" max="2" width="62.28515625" style="502" customWidth="1"/>
    <col min="3" max="7" width="16.28515625" style="498" customWidth="1"/>
    <col min="8" max="8" width="19.85546875" style="498" customWidth="1"/>
    <col min="9" max="9" width="3.28515625" style="307" bestFit="1" customWidth="1"/>
    <col min="10" max="10" width="11.42578125" style="498"/>
    <col min="11" max="11" width="12.85546875" style="498" bestFit="1" customWidth="1"/>
    <col min="12" max="16384" width="11.42578125" style="498"/>
  </cols>
  <sheetData>
    <row r="1" spans="2:9" x14ac:dyDescent="0.2">
      <c r="D1" s="824"/>
      <c r="E1" s="824"/>
      <c r="F1" s="824"/>
      <c r="G1" s="824"/>
      <c r="H1" s="317"/>
      <c r="I1" s="615"/>
    </row>
    <row r="2" spans="2:9" ht="18.75" customHeight="1" x14ac:dyDescent="0.25">
      <c r="B2" s="1134" t="s">
        <v>732</v>
      </c>
      <c r="C2" s="1134"/>
      <c r="D2" s="1134"/>
      <c r="E2" s="1134"/>
      <c r="F2" s="1134"/>
      <c r="G2" s="1134"/>
      <c r="H2" s="1134"/>
      <c r="I2" s="1132" t="s">
        <v>2473</v>
      </c>
    </row>
    <row r="3" spans="2:9" ht="18.75" customHeight="1" x14ac:dyDescent="0.25">
      <c r="B3" s="1134" t="s">
        <v>213</v>
      </c>
      <c r="C3" s="1134"/>
      <c r="D3" s="1134"/>
      <c r="E3" s="1134"/>
      <c r="F3" s="1134"/>
      <c r="G3" s="1134"/>
      <c r="H3" s="1134"/>
      <c r="I3" s="1132"/>
    </row>
    <row r="4" spans="2:9" ht="18.75" customHeight="1" x14ac:dyDescent="0.25">
      <c r="B4" s="1134" t="s">
        <v>8659</v>
      </c>
      <c r="C4" s="1134"/>
      <c r="D4" s="1134"/>
      <c r="E4" s="1134"/>
      <c r="F4" s="1134"/>
      <c r="G4" s="1134"/>
      <c r="H4" s="1134"/>
      <c r="I4" s="1132"/>
    </row>
    <row r="5" spans="2:9" ht="6.75" customHeight="1" x14ac:dyDescent="0.2">
      <c r="H5" s="317"/>
      <c r="I5" s="1132"/>
    </row>
    <row r="6" spans="2:9" ht="6.75" customHeight="1" x14ac:dyDescent="0.2">
      <c r="H6" s="317"/>
      <c r="I6" s="616"/>
    </row>
    <row r="7" spans="2:9" ht="6.75" customHeight="1" x14ac:dyDescent="0.2">
      <c r="H7" s="317"/>
      <c r="I7" s="616"/>
    </row>
    <row r="8" spans="2:9" x14ac:dyDescent="0.2">
      <c r="D8" s="824"/>
      <c r="E8" s="824"/>
      <c r="F8" s="824"/>
      <c r="G8" s="824"/>
      <c r="H8" s="317"/>
      <c r="I8" s="295"/>
    </row>
    <row r="9" spans="2:9" s="505" customFormat="1" x14ac:dyDescent="0.2">
      <c r="B9" s="1160" t="s">
        <v>214</v>
      </c>
      <c r="C9" s="1163" t="s">
        <v>215</v>
      </c>
      <c r="D9" s="1164"/>
      <c r="E9" s="1164"/>
      <c r="F9" s="1164"/>
      <c r="G9" s="1165"/>
      <c r="H9" s="1166" t="s">
        <v>216</v>
      </c>
      <c r="I9" s="291"/>
    </row>
    <row r="10" spans="2:9" s="505" customFormat="1" ht="25.5" x14ac:dyDescent="0.2">
      <c r="B10" s="1161"/>
      <c r="C10" s="819" t="s">
        <v>217</v>
      </c>
      <c r="D10" s="819" t="s">
        <v>218</v>
      </c>
      <c r="E10" s="819" t="s">
        <v>219</v>
      </c>
      <c r="F10" s="819" t="s">
        <v>220</v>
      </c>
      <c r="G10" s="819" t="s">
        <v>221</v>
      </c>
      <c r="H10" s="1167"/>
      <c r="I10" s="280"/>
    </row>
    <row r="11" spans="2:9" s="505" customFormat="1" x14ac:dyDescent="0.2">
      <c r="B11" s="1162"/>
      <c r="C11" s="506" t="s">
        <v>222</v>
      </c>
      <c r="D11" s="506" t="s">
        <v>223</v>
      </c>
      <c r="E11" s="506" t="s">
        <v>224</v>
      </c>
      <c r="F11" s="506" t="s">
        <v>225</v>
      </c>
      <c r="G11" s="506" t="s">
        <v>226</v>
      </c>
      <c r="H11" s="506" t="s">
        <v>1269</v>
      </c>
      <c r="I11" s="280"/>
    </row>
    <row r="12" spans="2:9" ht="15.75" customHeight="1" x14ac:dyDescent="0.2">
      <c r="B12" s="477" t="s">
        <v>107</v>
      </c>
      <c r="C12" s="851">
        <v>179835000</v>
      </c>
      <c r="D12" s="508">
        <v>-81620294.359999999</v>
      </c>
      <c r="E12" s="509">
        <f>C12+D12</f>
        <v>98214705.640000001</v>
      </c>
      <c r="F12" s="510">
        <v>84649950.230000004</v>
      </c>
      <c r="G12" s="510">
        <v>84649950.230000004</v>
      </c>
      <c r="H12" s="617">
        <f>G12-E12</f>
        <v>-13564755.409999996</v>
      </c>
      <c r="I12" s="280"/>
    </row>
    <row r="13" spans="2:9" ht="15.75" customHeight="1" x14ac:dyDescent="0.2">
      <c r="B13" s="477" t="s">
        <v>196</v>
      </c>
      <c r="C13" s="852">
        <v>0</v>
      </c>
      <c r="D13" s="508">
        <v>0</v>
      </c>
      <c r="E13" s="509">
        <f t="shared" ref="E13:E25" si="0">C13+D13</f>
        <v>0</v>
      </c>
      <c r="F13" s="510">
        <v>0</v>
      </c>
      <c r="G13" s="510">
        <v>0</v>
      </c>
      <c r="H13" s="617">
        <f t="shared" ref="H13:H25" si="1">G13-E13</f>
        <v>0</v>
      </c>
      <c r="I13" s="280"/>
    </row>
    <row r="14" spans="2:9" ht="15.75" customHeight="1" x14ac:dyDescent="0.2">
      <c r="B14" s="477" t="s">
        <v>111</v>
      </c>
      <c r="C14" s="851">
        <v>50000</v>
      </c>
      <c r="D14" s="508">
        <v>0</v>
      </c>
      <c r="E14" s="509">
        <f t="shared" si="0"/>
        <v>50000</v>
      </c>
      <c r="F14" s="510">
        <v>0</v>
      </c>
      <c r="G14" s="510">
        <v>0</v>
      </c>
      <c r="H14" s="617">
        <f t="shared" si="1"/>
        <v>-50000</v>
      </c>
      <c r="I14" s="280"/>
    </row>
    <row r="15" spans="2:9" x14ac:dyDescent="0.2">
      <c r="B15" s="486" t="s">
        <v>113</v>
      </c>
      <c r="C15" s="851">
        <v>27995000</v>
      </c>
      <c r="D15" s="508">
        <v>17347000</v>
      </c>
      <c r="E15" s="509">
        <f t="shared" si="0"/>
        <v>45342000</v>
      </c>
      <c r="F15" s="510">
        <v>40684787.939999998</v>
      </c>
      <c r="G15" s="510">
        <v>40684787.939999998</v>
      </c>
      <c r="H15" s="617">
        <f t="shared" si="1"/>
        <v>-4657212.0600000024</v>
      </c>
      <c r="I15" s="280"/>
    </row>
    <row r="16" spans="2:9" ht="15.75" customHeight="1" x14ac:dyDescent="0.2">
      <c r="B16" s="477" t="s">
        <v>228</v>
      </c>
      <c r="C16" s="757">
        <v>0</v>
      </c>
      <c r="D16" s="508">
        <v>0</v>
      </c>
      <c r="E16" s="509">
        <f t="shared" si="0"/>
        <v>0</v>
      </c>
      <c r="F16" s="510">
        <v>0</v>
      </c>
      <c r="G16" s="510">
        <v>0</v>
      </c>
      <c r="H16" s="617">
        <f t="shared" si="1"/>
        <v>0</v>
      </c>
      <c r="I16" s="280"/>
    </row>
    <row r="17" spans="2:12" x14ac:dyDescent="0.2">
      <c r="B17" s="477" t="s">
        <v>229</v>
      </c>
      <c r="C17" s="851">
        <v>2200000</v>
      </c>
      <c r="D17" s="508">
        <v>1317512.03</v>
      </c>
      <c r="E17" s="509">
        <f t="shared" si="0"/>
        <v>3517512.0300000003</v>
      </c>
      <c r="F17" s="510">
        <v>3182445.1299999994</v>
      </c>
      <c r="G17" s="510">
        <v>3182445.1299999994</v>
      </c>
      <c r="H17" s="617">
        <f t="shared" si="1"/>
        <v>-335066.90000000084</v>
      </c>
      <c r="I17" s="280"/>
    </row>
    <row r="18" spans="2:12" x14ac:dyDescent="0.2">
      <c r="B18" s="477" t="s">
        <v>230</v>
      </c>
      <c r="C18" s="851">
        <v>4200000</v>
      </c>
      <c r="D18" s="508">
        <v>3606487.9699999997</v>
      </c>
      <c r="E18" s="509">
        <f t="shared" si="0"/>
        <v>7806487.9699999997</v>
      </c>
      <c r="F18" s="510">
        <v>7414060.5099999998</v>
      </c>
      <c r="G18" s="510">
        <v>7414060.5099999998</v>
      </c>
      <c r="H18" s="617">
        <f t="shared" si="1"/>
        <v>-392427.45999999996</v>
      </c>
      <c r="I18" s="280"/>
      <c r="L18" s="503"/>
    </row>
    <row r="19" spans="2:12" x14ac:dyDescent="0.2">
      <c r="B19" s="477" t="s">
        <v>231</v>
      </c>
      <c r="C19" s="852"/>
      <c r="D19" s="508">
        <v>0</v>
      </c>
      <c r="E19" s="509">
        <f t="shared" si="0"/>
        <v>0</v>
      </c>
      <c r="F19" s="510">
        <v>0</v>
      </c>
      <c r="G19" s="510">
        <v>0</v>
      </c>
      <c r="H19" s="617">
        <f t="shared" si="1"/>
        <v>0</v>
      </c>
      <c r="I19" s="280"/>
      <c r="L19" s="503"/>
    </row>
    <row r="20" spans="2:12" x14ac:dyDescent="0.2">
      <c r="B20" s="477" t="s">
        <v>229</v>
      </c>
      <c r="C20" s="851">
        <v>6350000</v>
      </c>
      <c r="D20" s="508">
        <v>6343000</v>
      </c>
      <c r="E20" s="509">
        <f t="shared" si="0"/>
        <v>12693000</v>
      </c>
      <c r="F20" s="510">
        <v>10278752.629999999</v>
      </c>
      <c r="G20" s="510">
        <v>10278752.629999999</v>
      </c>
      <c r="H20" s="617">
        <f t="shared" si="1"/>
        <v>-2414247.370000001</v>
      </c>
      <c r="I20" s="280"/>
      <c r="L20" s="503"/>
    </row>
    <row r="21" spans="2:12" x14ac:dyDescent="0.2">
      <c r="B21" s="477" t="s">
        <v>230</v>
      </c>
      <c r="C21" s="852">
        <v>0</v>
      </c>
      <c r="D21" s="508">
        <v>0</v>
      </c>
      <c r="E21" s="509">
        <f t="shared" si="0"/>
        <v>0</v>
      </c>
      <c r="F21" s="510">
        <v>0</v>
      </c>
      <c r="G21" s="510">
        <v>0</v>
      </c>
      <c r="H21" s="617">
        <f t="shared" si="1"/>
        <v>0</v>
      </c>
      <c r="I21" s="280"/>
      <c r="L21" s="503"/>
    </row>
    <row r="22" spans="2:12" s="513" customFormat="1" x14ac:dyDescent="0.2">
      <c r="B22" s="477" t="s">
        <v>232</v>
      </c>
      <c r="C22" s="757">
        <v>0</v>
      </c>
      <c r="D22" s="508">
        <v>0</v>
      </c>
      <c r="E22" s="509">
        <f t="shared" si="0"/>
        <v>0</v>
      </c>
      <c r="F22" s="512">
        <v>0</v>
      </c>
      <c r="G22" s="512">
        <v>0</v>
      </c>
      <c r="H22" s="511">
        <f t="shared" si="1"/>
        <v>0</v>
      </c>
      <c r="I22" s="280"/>
    </row>
    <row r="23" spans="2:12" s="513" customFormat="1" ht="15.75" customHeight="1" x14ac:dyDescent="0.2">
      <c r="B23" s="477" t="s">
        <v>121</v>
      </c>
      <c r="C23" s="851">
        <v>624451315</v>
      </c>
      <c r="D23" s="508">
        <v>333936294.35999995</v>
      </c>
      <c r="E23" s="508">
        <f t="shared" si="0"/>
        <v>958387609.3599999</v>
      </c>
      <c r="F23" s="508">
        <v>932597435.62</v>
      </c>
      <c r="G23" s="508">
        <v>932597435.62</v>
      </c>
      <c r="H23" s="617">
        <f t="shared" si="1"/>
        <v>-25790173.73999989</v>
      </c>
      <c r="I23" s="280"/>
    </row>
    <row r="24" spans="2:12" s="513" customFormat="1" ht="15.75" customHeight="1" x14ac:dyDescent="0.2">
      <c r="B24" s="477" t="s">
        <v>140</v>
      </c>
      <c r="C24" s="514">
        <v>0</v>
      </c>
      <c r="D24" s="514">
        <v>0</v>
      </c>
      <c r="E24" s="509">
        <f t="shared" si="0"/>
        <v>0</v>
      </c>
      <c r="F24" s="512">
        <v>0</v>
      </c>
      <c r="G24" s="512">
        <v>0</v>
      </c>
      <c r="H24" s="511">
        <f t="shared" si="1"/>
        <v>0</v>
      </c>
      <c r="I24" s="291"/>
      <c r="L24" s="618"/>
    </row>
    <row r="25" spans="2:12" x14ac:dyDescent="0.2">
      <c r="B25" s="477" t="s">
        <v>233</v>
      </c>
      <c r="C25" s="510">
        <v>0</v>
      </c>
      <c r="D25" s="510">
        <v>0</v>
      </c>
      <c r="E25" s="509">
        <f t="shared" si="0"/>
        <v>0</v>
      </c>
      <c r="F25" s="510">
        <v>0</v>
      </c>
      <c r="G25" s="510">
        <v>0</v>
      </c>
      <c r="H25" s="511">
        <f t="shared" si="1"/>
        <v>0</v>
      </c>
      <c r="I25" s="280"/>
    </row>
    <row r="26" spans="2:12" x14ac:dyDescent="0.2">
      <c r="B26" s="515" t="s">
        <v>234</v>
      </c>
      <c r="C26" s="516">
        <f t="shared" ref="C26:H26" si="2">SUM(C12:C25)</f>
        <v>845081315</v>
      </c>
      <c r="D26" s="516">
        <f t="shared" si="2"/>
        <v>280929999.99999994</v>
      </c>
      <c r="E26" s="516">
        <f t="shared" si="2"/>
        <v>1126011315</v>
      </c>
      <c r="F26" s="516">
        <f t="shared" si="2"/>
        <v>1078807432.0599999</v>
      </c>
      <c r="G26" s="516">
        <f t="shared" si="2"/>
        <v>1078807432.0599999</v>
      </c>
      <c r="H26" s="1175">
        <f t="shared" si="2"/>
        <v>-47203882.939999893</v>
      </c>
      <c r="I26" s="280"/>
    </row>
    <row r="27" spans="2:12" x14ac:dyDescent="0.2">
      <c r="B27" s="1177"/>
      <c r="C27" s="1178"/>
      <c r="D27" s="1178"/>
      <c r="E27" s="1179"/>
      <c r="F27" s="1180" t="s">
        <v>1270</v>
      </c>
      <c r="G27" s="1181"/>
      <c r="H27" s="1176"/>
      <c r="I27" s="291"/>
    </row>
    <row r="28" spans="2:12" x14ac:dyDescent="0.2">
      <c r="B28" s="1166" t="s">
        <v>235</v>
      </c>
      <c r="C28" s="1163" t="s">
        <v>215</v>
      </c>
      <c r="D28" s="1164"/>
      <c r="E28" s="1164"/>
      <c r="F28" s="1164"/>
      <c r="G28" s="1165"/>
      <c r="H28" s="1166" t="s">
        <v>216</v>
      </c>
      <c r="I28" s="280"/>
    </row>
    <row r="29" spans="2:12" ht="25.5" x14ac:dyDescent="0.2">
      <c r="B29" s="1182"/>
      <c r="C29" s="820" t="s">
        <v>217</v>
      </c>
      <c r="D29" s="819" t="s">
        <v>218</v>
      </c>
      <c r="E29" s="819" t="s">
        <v>219</v>
      </c>
      <c r="F29" s="819" t="s">
        <v>220</v>
      </c>
      <c r="G29" s="819" t="s">
        <v>221</v>
      </c>
      <c r="H29" s="1167"/>
      <c r="I29" s="280"/>
    </row>
    <row r="30" spans="2:12" x14ac:dyDescent="0.2">
      <c r="B30" s="1167"/>
      <c r="C30" s="517" t="s">
        <v>222</v>
      </c>
      <c r="D30" s="506" t="s">
        <v>223</v>
      </c>
      <c r="E30" s="506" t="s">
        <v>224</v>
      </c>
      <c r="F30" s="506" t="s">
        <v>225</v>
      </c>
      <c r="G30" s="506" t="s">
        <v>226</v>
      </c>
      <c r="H30" s="506" t="s">
        <v>227</v>
      </c>
      <c r="I30" s="280"/>
    </row>
    <row r="31" spans="2:12" s="522" customFormat="1" ht="15" customHeight="1" x14ac:dyDescent="0.2">
      <c r="B31" s="518" t="s">
        <v>236</v>
      </c>
      <c r="C31" s="519"/>
      <c r="D31" s="520"/>
      <c r="E31" s="520"/>
      <c r="F31" s="521"/>
      <c r="G31" s="521"/>
      <c r="H31" s="519"/>
      <c r="I31" s="280"/>
    </row>
    <row r="32" spans="2:12" x14ac:dyDescent="0.2">
      <c r="B32" s="523" t="s">
        <v>107</v>
      </c>
      <c r="C32" s="507">
        <f>C12</f>
        <v>179835000</v>
      </c>
      <c r="D32" s="757">
        <f>D12</f>
        <v>-81620294.359999999</v>
      </c>
      <c r="E32" s="509">
        <f>C32+D32</f>
        <v>98214705.640000001</v>
      </c>
      <c r="F32" s="510">
        <f>F12</f>
        <v>84649950.230000004</v>
      </c>
      <c r="G32" s="510">
        <f>G12</f>
        <v>84649950.230000004</v>
      </c>
      <c r="H32" s="511">
        <f t="shared" ref="H32:H41" si="3">G32-E32</f>
        <v>-13564755.409999996</v>
      </c>
      <c r="I32" s="280"/>
    </row>
    <row r="33" spans="2:12" x14ac:dyDescent="0.2">
      <c r="B33" s="523" t="s">
        <v>111</v>
      </c>
      <c r="C33" s="509">
        <f>C14</f>
        <v>50000</v>
      </c>
      <c r="D33" s="757">
        <f>D13</f>
        <v>0</v>
      </c>
      <c r="E33" s="509">
        <f t="shared" ref="E33:E50" si="4">C33+D33</f>
        <v>50000</v>
      </c>
      <c r="F33" s="524">
        <v>0</v>
      </c>
      <c r="G33" s="524">
        <v>0</v>
      </c>
      <c r="H33" s="511">
        <f t="shared" si="3"/>
        <v>-50000</v>
      </c>
      <c r="I33" s="291"/>
      <c r="K33" s="503"/>
    </row>
    <row r="34" spans="2:12" x14ac:dyDescent="0.2">
      <c r="B34" s="525" t="s">
        <v>113</v>
      </c>
      <c r="C34" s="507">
        <f>C15</f>
        <v>27995000</v>
      </c>
      <c r="D34" s="757">
        <f>D15</f>
        <v>17347000</v>
      </c>
      <c r="E34" s="509">
        <f t="shared" si="4"/>
        <v>45342000</v>
      </c>
      <c r="F34" s="510">
        <f>F15</f>
        <v>40684787.939999998</v>
      </c>
      <c r="G34" s="510">
        <f>G15</f>
        <v>40684787.939999998</v>
      </c>
      <c r="H34" s="511">
        <f t="shared" si="3"/>
        <v>-4657212.0600000024</v>
      </c>
      <c r="I34" s="295"/>
      <c r="K34" s="503"/>
      <c r="L34" s="503"/>
    </row>
    <row r="35" spans="2:12" x14ac:dyDescent="0.2">
      <c r="B35" s="523" t="s">
        <v>228</v>
      </c>
      <c r="C35" s="509"/>
      <c r="D35" s="758"/>
      <c r="E35" s="509">
        <f t="shared" si="4"/>
        <v>0</v>
      </c>
      <c r="F35" s="526"/>
      <c r="G35" s="526"/>
      <c r="H35" s="511">
        <f t="shared" si="3"/>
        <v>0</v>
      </c>
      <c r="I35" s="291"/>
    </row>
    <row r="36" spans="2:12" x14ac:dyDescent="0.2">
      <c r="B36" s="523" t="s">
        <v>229</v>
      </c>
      <c r="C36" s="507">
        <f>C17</f>
        <v>2200000</v>
      </c>
      <c r="D36" s="757">
        <f>D17</f>
        <v>1317512.03</v>
      </c>
      <c r="E36" s="509">
        <f>C36+D36</f>
        <v>3517512.0300000003</v>
      </c>
      <c r="F36" s="510">
        <f>F17</f>
        <v>3182445.1299999994</v>
      </c>
      <c r="G36" s="510">
        <f>G17</f>
        <v>3182445.1299999994</v>
      </c>
      <c r="H36" s="511">
        <f t="shared" si="3"/>
        <v>-335066.90000000084</v>
      </c>
      <c r="I36" s="291"/>
    </row>
    <row r="37" spans="2:12" x14ac:dyDescent="0.2">
      <c r="B37" s="523" t="s">
        <v>230</v>
      </c>
      <c r="C37" s="507">
        <f>C18</f>
        <v>4200000</v>
      </c>
      <c r="D37" s="757">
        <f>D18</f>
        <v>3606487.9699999997</v>
      </c>
      <c r="E37" s="509">
        <f>C37+D37</f>
        <v>7806487.9699999997</v>
      </c>
      <c r="F37" s="510">
        <f>F18</f>
        <v>7414060.5099999998</v>
      </c>
      <c r="G37" s="510">
        <f>G18</f>
        <v>7414060.5099999998</v>
      </c>
      <c r="H37" s="511">
        <f t="shared" si="3"/>
        <v>-392427.45999999996</v>
      </c>
      <c r="I37" s="280"/>
    </row>
    <row r="38" spans="2:12" x14ac:dyDescent="0.2">
      <c r="B38" s="523" t="s">
        <v>231</v>
      </c>
      <c r="C38" s="510"/>
      <c r="D38" s="757"/>
      <c r="E38" s="509">
        <f t="shared" si="4"/>
        <v>0</v>
      </c>
      <c r="F38" s="510"/>
      <c r="G38" s="510"/>
      <c r="H38" s="511">
        <f t="shared" si="3"/>
        <v>0</v>
      </c>
      <c r="I38" s="280"/>
    </row>
    <row r="39" spans="2:12" x14ac:dyDescent="0.2">
      <c r="B39" s="523" t="s">
        <v>229</v>
      </c>
      <c r="C39" s="507">
        <f>C20</f>
        <v>6350000</v>
      </c>
      <c r="D39" s="757">
        <f>D20</f>
        <v>6343000</v>
      </c>
      <c r="E39" s="509">
        <f t="shared" si="4"/>
        <v>12693000</v>
      </c>
      <c r="F39" s="510">
        <f>F20</f>
        <v>10278752.629999999</v>
      </c>
      <c r="G39" s="510">
        <f>G20</f>
        <v>10278752.629999999</v>
      </c>
      <c r="H39" s="511">
        <f t="shared" si="3"/>
        <v>-2414247.370000001</v>
      </c>
      <c r="I39" s="280"/>
    </row>
    <row r="40" spans="2:12" hidden="1" x14ac:dyDescent="0.2">
      <c r="B40" s="523" t="s">
        <v>230</v>
      </c>
      <c r="C40" s="510">
        <v>0</v>
      </c>
      <c r="D40" s="757">
        <v>0</v>
      </c>
      <c r="E40" s="509">
        <v>0</v>
      </c>
      <c r="F40" s="510">
        <v>0</v>
      </c>
      <c r="G40" s="510">
        <v>0</v>
      </c>
      <c r="H40" s="511">
        <f t="shared" si="3"/>
        <v>0</v>
      </c>
      <c r="I40" s="295"/>
    </row>
    <row r="41" spans="2:12" s="513" customFormat="1" x14ac:dyDescent="0.2">
      <c r="B41" s="523" t="s">
        <v>121</v>
      </c>
      <c r="C41" s="507">
        <f>C23</f>
        <v>624451315</v>
      </c>
      <c r="D41" s="508">
        <f>D23</f>
        <v>333936294.35999995</v>
      </c>
      <c r="E41" s="509">
        <f t="shared" si="4"/>
        <v>958387609.3599999</v>
      </c>
      <c r="F41" s="509">
        <f>F23</f>
        <v>932597435.62</v>
      </c>
      <c r="G41" s="509">
        <f>G23</f>
        <v>932597435.62</v>
      </c>
      <c r="H41" s="511">
        <f t="shared" si="3"/>
        <v>-25790173.73999989</v>
      </c>
      <c r="I41" s="291"/>
    </row>
    <row r="42" spans="2:12" s="513" customFormat="1" ht="15.75" customHeight="1" x14ac:dyDescent="0.2">
      <c r="B42" s="523" t="s">
        <v>140</v>
      </c>
      <c r="C42" s="512">
        <v>0</v>
      </c>
      <c r="D42" s="512">
        <v>0</v>
      </c>
      <c r="E42" s="509">
        <f t="shared" si="4"/>
        <v>0</v>
      </c>
      <c r="F42" s="512">
        <v>0</v>
      </c>
      <c r="G42" s="512">
        <v>0</v>
      </c>
      <c r="H42" s="511">
        <f t="shared" ref="H42:H49" si="5">G42-C42</f>
        <v>0</v>
      </c>
      <c r="I42" s="280"/>
    </row>
    <row r="43" spans="2:12" s="513" customFormat="1" ht="12.75" hidden="1" customHeight="1" x14ac:dyDescent="0.2">
      <c r="B43" s="527" t="s">
        <v>237</v>
      </c>
      <c r="C43" s="512"/>
      <c r="D43" s="512"/>
      <c r="E43" s="509">
        <f t="shared" si="4"/>
        <v>0</v>
      </c>
      <c r="F43" s="512"/>
      <c r="G43" s="512"/>
      <c r="H43" s="511">
        <f t="shared" si="5"/>
        <v>0</v>
      </c>
      <c r="I43" s="280"/>
    </row>
    <row r="44" spans="2:12" s="513" customFormat="1" ht="12.75" hidden="1" customHeight="1" x14ac:dyDescent="0.2">
      <c r="B44" s="523" t="s">
        <v>196</v>
      </c>
      <c r="C44" s="512"/>
      <c r="D44" s="512"/>
      <c r="E44" s="509">
        <f t="shared" si="4"/>
        <v>0</v>
      </c>
      <c r="F44" s="512"/>
      <c r="G44" s="512"/>
      <c r="H44" s="511">
        <f t="shared" si="5"/>
        <v>0</v>
      </c>
      <c r="I44" s="291"/>
    </row>
    <row r="45" spans="2:12" s="513" customFormat="1" ht="12.75" hidden="1" customHeight="1" x14ac:dyDescent="0.2">
      <c r="B45" s="523" t="s">
        <v>232</v>
      </c>
      <c r="C45" s="512"/>
      <c r="D45" s="512"/>
      <c r="E45" s="509">
        <f t="shared" si="4"/>
        <v>0</v>
      </c>
      <c r="F45" s="512"/>
      <c r="G45" s="512"/>
      <c r="H45" s="511">
        <f t="shared" si="5"/>
        <v>0</v>
      </c>
      <c r="I45" s="291"/>
    </row>
    <row r="46" spans="2:12" s="513" customFormat="1" ht="12.75" hidden="1" customHeight="1" x14ac:dyDescent="0.2">
      <c r="B46" s="523" t="s">
        <v>140</v>
      </c>
      <c r="C46" s="512"/>
      <c r="D46" s="512"/>
      <c r="E46" s="509">
        <f t="shared" si="4"/>
        <v>0</v>
      </c>
      <c r="F46" s="512"/>
      <c r="G46" s="512"/>
      <c r="H46" s="511">
        <f t="shared" si="5"/>
        <v>0</v>
      </c>
      <c r="I46" s="280"/>
    </row>
    <row r="47" spans="2:12" s="513" customFormat="1" ht="12.75" hidden="1" customHeight="1" x14ac:dyDescent="0.2">
      <c r="B47" s="528"/>
      <c r="C47" s="512"/>
      <c r="D47" s="512"/>
      <c r="E47" s="509">
        <f t="shared" si="4"/>
        <v>0</v>
      </c>
      <c r="F47" s="512"/>
      <c r="G47" s="512"/>
      <c r="H47" s="511">
        <f t="shared" si="5"/>
        <v>0</v>
      </c>
      <c r="I47" s="280"/>
    </row>
    <row r="48" spans="2:12" hidden="1" x14ac:dyDescent="0.2">
      <c r="B48" s="527" t="s">
        <v>238</v>
      </c>
      <c r="C48" s="526"/>
      <c r="D48" s="526"/>
      <c r="E48" s="509">
        <f t="shared" si="4"/>
        <v>0</v>
      </c>
      <c r="F48" s="526"/>
      <c r="G48" s="526"/>
      <c r="H48" s="511">
        <f t="shared" si="5"/>
        <v>0</v>
      </c>
      <c r="I48" s="295"/>
    </row>
    <row r="49" spans="2:9" hidden="1" x14ac:dyDescent="0.2">
      <c r="B49" s="523" t="s">
        <v>238</v>
      </c>
      <c r="C49" s="524"/>
      <c r="D49" s="524"/>
      <c r="E49" s="509">
        <f t="shared" si="4"/>
        <v>0</v>
      </c>
      <c r="F49" s="524"/>
      <c r="G49" s="524"/>
      <c r="H49" s="511">
        <f t="shared" si="5"/>
        <v>0</v>
      </c>
      <c r="I49" s="295"/>
    </row>
    <row r="50" spans="2:9" x14ac:dyDescent="0.2">
      <c r="B50" s="528"/>
      <c r="C50" s="524"/>
      <c r="D50" s="524"/>
      <c r="E50" s="509">
        <f t="shared" si="4"/>
        <v>0</v>
      </c>
      <c r="F50" s="524"/>
      <c r="G50" s="524"/>
      <c r="H50" s="511"/>
      <c r="I50" s="291"/>
    </row>
    <row r="51" spans="2:9" x14ac:dyDescent="0.2">
      <c r="B51" s="529" t="s">
        <v>234</v>
      </c>
      <c r="C51" s="530">
        <f t="shared" ref="C51:H51" si="6">SUM(C31:C50)</f>
        <v>845081315</v>
      </c>
      <c r="D51" s="530">
        <f t="shared" si="6"/>
        <v>280929999.99999994</v>
      </c>
      <c r="E51" s="530">
        <f t="shared" si="6"/>
        <v>1126011315</v>
      </c>
      <c r="F51" s="530">
        <f t="shared" si="6"/>
        <v>1078807432.0599999</v>
      </c>
      <c r="G51" s="530">
        <f t="shared" si="6"/>
        <v>1078807432.0599999</v>
      </c>
      <c r="H51" s="1168">
        <f t="shared" si="6"/>
        <v>-47203882.939999893</v>
      </c>
      <c r="I51" s="295"/>
    </row>
    <row r="52" spans="2:9" x14ac:dyDescent="0.2">
      <c r="B52" s="1170"/>
      <c r="C52" s="1171"/>
      <c r="D52" s="1171"/>
      <c r="E52" s="1172"/>
      <c r="F52" s="1173" t="s">
        <v>1270</v>
      </c>
      <c r="G52" s="1174"/>
      <c r="H52" s="1169"/>
      <c r="I52" s="295"/>
    </row>
    <row r="53" spans="2:9" x14ac:dyDescent="0.2">
      <c r="E53" s="503"/>
      <c r="F53" s="503"/>
      <c r="G53" s="503"/>
      <c r="I53" s="280"/>
    </row>
    <row r="54" spans="2:9" x14ac:dyDescent="0.2">
      <c r="I54" s="280"/>
    </row>
    <row r="55" spans="2:9" x14ac:dyDescent="0.2">
      <c r="I55" s="280"/>
    </row>
    <row r="56" spans="2:9" x14ac:dyDescent="0.2">
      <c r="I56" s="295"/>
    </row>
    <row r="57" spans="2:9" x14ac:dyDescent="0.2">
      <c r="I57" s="295"/>
    </row>
    <row r="58" spans="2:9" ht="11.25" x14ac:dyDescent="0.2">
      <c r="I58" s="300"/>
    </row>
    <row r="59" spans="2:9" ht="11.25" x14ac:dyDescent="0.2">
      <c r="I59" s="300"/>
    </row>
    <row r="60" spans="2:9" ht="11.25" x14ac:dyDescent="0.2">
      <c r="I60" s="300"/>
    </row>
    <row r="61" spans="2:9" ht="20.25" customHeight="1" x14ac:dyDescent="0.2">
      <c r="I61" s="287"/>
    </row>
    <row r="62" spans="2:9" ht="20.25" customHeight="1" x14ac:dyDescent="0.2">
      <c r="I62" s="287"/>
    </row>
    <row r="63" spans="2:9" ht="20.25" customHeight="1" x14ac:dyDescent="0.2">
      <c r="I63" s="287"/>
    </row>
    <row r="64" spans="2:9" ht="20.25" customHeight="1" x14ac:dyDescent="0.2">
      <c r="I64" s="287"/>
    </row>
    <row r="65" spans="9:9" ht="20.25" customHeight="1" x14ac:dyDescent="0.2">
      <c r="I65" s="287"/>
    </row>
    <row r="66" spans="9:9" ht="20.25" customHeight="1" x14ac:dyDescent="0.2">
      <c r="I66" s="280"/>
    </row>
    <row r="67" spans="9:9" ht="20.25" customHeight="1" x14ac:dyDescent="0.2">
      <c r="I67" s="280"/>
    </row>
    <row r="68" spans="9:9" ht="20.25" customHeight="1" x14ac:dyDescent="0.2">
      <c r="I68" s="280"/>
    </row>
    <row r="69" spans="9:9" ht="20.25" customHeight="1" x14ac:dyDescent="0.2">
      <c r="I69" s="287"/>
    </row>
    <row r="70" spans="9:9" ht="11.25" customHeight="1" x14ac:dyDescent="0.2">
      <c r="I70" s="287"/>
    </row>
    <row r="71" spans="9:9" x14ac:dyDescent="0.2">
      <c r="I71" s="287"/>
    </row>
    <row r="72" spans="9:9" x14ac:dyDescent="0.2">
      <c r="I72" s="280"/>
    </row>
    <row r="73" spans="9:9" x14ac:dyDescent="0.2">
      <c r="I73" s="287"/>
    </row>
    <row r="74" spans="9:9" x14ac:dyDescent="0.2">
      <c r="I74" s="287"/>
    </row>
    <row r="75" spans="9:9" x14ac:dyDescent="0.2">
      <c r="I75" s="287"/>
    </row>
    <row r="76" spans="9:9" x14ac:dyDescent="0.2">
      <c r="I76" s="287"/>
    </row>
    <row r="77" spans="9:9" x14ac:dyDescent="0.2">
      <c r="I77" s="287"/>
    </row>
    <row r="78" spans="9:9" x14ac:dyDescent="0.2">
      <c r="I78" s="287"/>
    </row>
    <row r="79" spans="9:9" x14ac:dyDescent="0.2">
      <c r="I79" s="287"/>
    </row>
    <row r="80" spans="9:9" x14ac:dyDescent="0.2">
      <c r="I80" s="287"/>
    </row>
    <row r="81" spans="9:9" x14ac:dyDescent="0.2">
      <c r="I81" s="287"/>
    </row>
    <row r="82" spans="9:9" x14ac:dyDescent="0.2">
      <c r="I82" s="287"/>
    </row>
    <row r="83" spans="9:9" x14ac:dyDescent="0.2">
      <c r="I83" s="287"/>
    </row>
    <row r="84" spans="9:9" x14ac:dyDescent="0.2">
      <c r="I84" s="287"/>
    </row>
    <row r="85" spans="9:9" x14ac:dyDescent="0.2">
      <c r="I85" s="280"/>
    </row>
    <row r="86" spans="9:9" x14ac:dyDescent="0.2">
      <c r="I86" s="280"/>
    </row>
    <row r="87" spans="9:9" x14ac:dyDescent="0.2">
      <c r="I87" s="287"/>
    </row>
    <row r="88" spans="9:9" x14ac:dyDescent="0.2">
      <c r="I88" s="287"/>
    </row>
    <row r="89" spans="9:9" x14ac:dyDescent="0.2">
      <c r="I89" s="291"/>
    </row>
    <row r="90" spans="9:9" x14ac:dyDescent="0.2">
      <c r="I90" s="291"/>
    </row>
    <row r="91" spans="9:9" x14ac:dyDescent="0.2">
      <c r="I91" s="291"/>
    </row>
    <row r="92" spans="9:9" x14ac:dyDescent="0.2">
      <c r="I92" s="287"/>
    </row>
    <row r="93" spans="9:9" x14ac:dyDescent="0.2">
      <c r="I93" s="280"/>
    </row>
    <row r="94" spans="9:9" x14ac:dyDescent="0.2">
      <c r="I94" s="280"/>
    </row>
    <row r="95" spans="9:9" x14ac:dyDescent="0.2">
      <c r="I95" s="287"/>
    </row>
    <row r="97" spans="9:9" x14ac:dyDescent="0.2">
      <c r="I97" s="280"/>
    </row>
    <row r="98" spans="9:9" x14ac:dyDescent="0.2">
      <c r="I98" s="306"/>
    </row>
    <row r="99" spans="9:9" x14ac:dyDescent="0.2">
      <c r="I99" s="291"/>
    </row>
    <row r="100" spans="9:9" x14ac:dyDescent="0.2">
      <c r="I100" s="280"/>
    </row>
    <row r="101" spans="9:9" x14ac:dyDescent="0.2">
      <c r="I101" s="280"/>
    </row>
    <row r="102" spans="9:9" x14ac:dyDescent="0.2">
      <c r="I102" s="280"/>
    </row>
    <row r="103" spans="9:9" x14ac:dyDescent="0.2">
      <c r="I103" s="280"/>
    </row>
    <row r="104" spans="9:9" x14ac:dyDescent="0.2">
      <c r="I104" s="280"/>
    </row>
    <row r="105" spans="9:9" x14ac:dyDescent="0.2">
      <c r="I105" s="280"/>
    </row>
    <row r="106" spans="9:9" x14ac:dyDescent="0.2">
      <c r="I106" s="312"/>
    </row>
    <row r="107" spans="9:9" x14ac:dyDescent="0.2">
      <c r="I107" s="312"/>
    </row>
    <row r="108" spans="9:9" x14ac:dyDescent="0.2">
      <c r="I108" s="818"/>
    </row>
    <row r="109" spans="9:9" x14ac:dyDescent="0.2">
      <c r="I109" s="818"/>
    </row>
    <row r="119" spans="9:9" x14ac:dyDescent="0.2">
      <c r="I119" s="306"/>
    </row>
    <row r="120" spans="9:9" x14ac:dyDescent="0.2">
      <c r="I120" s="306"/>
    </row>
    <row r="121" spans="9:9" x14ac:dyDescent="0.2">
      <c r="I121" s="306"/>
    </row>
    <row r="131" spans="9:9" x14ac:dyDescent="0.2">
      <c r="I131" s="306"/>
    </row>
    <row r="141" spans="9:9" x14ac:dyDescent="0.2">
      <c r="I141" s="306"/>
    </row>
    <row r="142" spans="9:9" x14ac:dyDescent="0.2">
      <c r="I142" s="306"/>
    </row>
    <row r="143" spans="9:9" x14ac:dyDescent="0.2">
      <c r="I143" s="306"/>
    </row>
    <row r="145" spans="9:9" x14ac:dyDescent="0.2">
      <c r="I145" s="306"/>
    </row>
  </sheetData>
  <mergeCells count="16">
    <mergeCell ref="H51:H52"/>
    <mergeCell ref="B52:E52"/>
    <mergeCell ref="F52:G52"/>
    <mergeCell ref="H26:H27"/>
    <mergeCell ref="B27:E27"/>
    <mergeCell ref="F27:G27"/>
    <mergeCell ref="B28:B30"/>
    <mergeCell ref="C28:G28"/>
    <mergeCell ref="H28:H29"/>
    <mergeCell ref="B2:H2"/>
    <mergeCell ref="I2:I5"/>
    <mergeCell ref="B3:H3"/>
    <mergeCell ref="B4:H4"/>
    <mergeCell ref="B9:B11"/>
    <mergeCell ref="C9:G9"/>
    <mergeCell ref="H9:H10"/>
  </mergeCells>
  <printOptions horizontalCentered="1"/>
  <pageMargins left="0.27559055118110237" right="0.23622047244094491" top="0.39370078740157483" bottom="0.35433070866141736" header="0.31496062992125984" footer="0.31496062992125984"/>
  <pageSetup scale="80" fitToHeight="0" orientation="landscape" r:id="rId1"/>
  <headerFooter>
    <oddFooter>&amp;C&amp;"Arial,Normal"&amp;9“Bajo protesta de decir verdad declaramos que los Estados Financieros y sus notas, son razonablemente correctos y son responsabilidad del emisor”</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31"/>
  <sheetViews>
    <sheetView view="pageBreakPreview" topLeftCell="A27" zoomScale="60" zoomScaleNormal="100" workbookViewId="0"/>
  </sheetViews>
  <sheetFormatPr baseColWidth="10" defaultColWidth="11.42578125" defaultRowHeight="12.75" x14ac:dyDescent="0.2"/>
  <cols>
    <col min="1" max="1" width="6.85546875" style="21" bestFit="1" customWidth="1"/>
    <col min="2" max="2" width="66.28515625" style="21" bestFit="1" customWidth="1"/>
    <col min="3" max="3" width="13.7109375" style="22" customWidth="1"/>
    <col min="4" max="4" width="15" style="22" customWidth="1"/>
    <col min="5" max="5" width="16.85546875" style="22" customWidth="1"/>
    <col min="6" max="6" width="14.85546875" style="22" customWidth="1"/>
    <col min="7" max="8" width="13.7109375" style="22" customWidth="1"/>
    <col min="9" max="9" width="3.5703125" style="307" customWidth="1"/>
    <col min="10" max="10" width="13.85546875" style="19" bestFit="1" customWidth="1"/>
    <col min="11" max="11" width="28.140625" style="19" bestFit="1" customWidth="1"/>
    <col min="12" max="16384" width="11.42578125" style="19"/>
  </cols>
  <sheetData>
    <row r="1" spans="1:13" ht="10.5" customHeight="1" x14ac:dyDescent="0.2">
      <c r="H1" s="531"/>
      <c r="I1" s="615"/>
    </row>
    <row r="2" spans="1:13" ht="15.75" customHeight="1" x14ac:dyDescent="0.25">
      <c r="A2" s="1184" t="s">
        <v>732</v>
      </c>
      <c r="B2" s="1184"/>
      <c r="C2" s="1184"/>
      <c r="D2" s="1184"/>
      <c r="E2" s="1184"/>
      <c r="F2" s="1184"/>
      <c r="G2" s="1184"/>
      <c r="H2" s="1184"/>
      <c r="I2" s="1185">
        <v>9.1</v>
      </c>
    </row>
    <row r="3" spans="1:13" ht="15.75" customHeight="1" x14ac:dyDescent="0.25">
      <c r="A3" s="1186" t="s">
        <v>239</v>
      </c>
      <c r="B3" s="1186"/>
      <c r="C3" s="1186"/>
      <c r="D3" s="1186"/>
      <c r="E3" s="1186"/>
      <c r="F3" s="1186"/>
      <c r="G3" s="1186"/>
      <c r="H3" s="1186"/>
      <c r="I3" s="1185"/>
    </row>
    <row r="4" spans="1:13" ht="15.75" customHeight="1" x14ac:dyDescent="0.25">
      <c r="A4" s="1186" t="s">
        <v>240</v>
      </c>
      <c r="B4" s="1186"/>
      <c r="C4" s="1186"/>
      <c r="D4" s="1186"/>
      <c r="E4" s="1186"/>
      <c r="F4" s="1186"/>
      <c r="G4" s="1186"/>
      <c r="H4" s="1186"/>
      <c r="I4" s="1185"/>
    </row>
    <row r="5" spans="1:13" ht="15.75" customHeight="1" x14ac:dyDescent="0.25">
      <c r="A5" s="1186" t="s">
        <v>8660</v>
      </c>
      <c r="B5" s="1186"/>
      <c r="C5" s="1186"/>
      <c r="D5" s="1186"/>
      <c r="E5" s="1186"/>
      <c r="F5" s="1186"/>
      <c r="G5" s="1186"/>
      <c r="H5" s="1186"/>
      <c r="I5" s="1185"/>
    </row>
    <row r="6" spans="1:13" ht="8.25" customHeight="1" thickBot="1" x14ac:dyDescent="0.25">
      <c r="A6" s="20"/>
      <c r="G6" s="23"/>
      <c r="H6" s="531"/>
      <c r="I6" s="295"/>
    </row>
    <row r="7" spans="1:13" s="24" customFormat="1" x14ac:dyDescent="0.2">
      <c r="A7" s="1187" t="s">
        <v>201</v>
      </c>
      <c r="B7" s="1188"/>
      <c r="C7" s="1193" t="s">
        <v>241</v>
      </c>
      <c r="D7" s="1194"/>
      <c r="E7" s="1194"/>
      <c r="F7" s="1194"/>
      <c r="G7" s="1195"/>
      <c r="H7" s="1196" t="s">
        <v>242</v>
      </c>
      <c r="I7" s="291"/>
    </row>
    <row r="8" spans="1:13" ht="26.25" thickBot="1" x14ac:dyDescent="0.25">
      <c r="A8" s="1189"/>
      <c r="B8" s="1190"/>
      <c r="C8" s="821" t="s">
        <v>243</v>
      </c>
      <c r="D8" s="821" t="s">
        <v>244</v>
      </c>
      <c r="E8" s="821" t="s">
        <v>245</v>
      </c>
      <c r="F8" s="821" t="s">
        <v>220</v>
      </c>
      <c r="G8" s="821" t="s">
        <v>246</v>
      </c>
      <c r="H8" s="1197"/>
      <c r="I8" s="280"/>
    </row>
    <row r="9" spans="1:13" ht="15" customHeight="1" thickBot="1" x14ac:dyDescent="0.25">
      <c r="A9" s="1191"/>
      <c r="B9" s="1192"/>
      <c r="C9" s="25">
        <v>1</v>
      </c>
      <c r="D9" s="25">
        <v>2</v>
      </c>
      <c r="E9" s="25" t="s">
        <v>247</v>
      </c>
      <c r="F9" s="25">
        <v>4</v>
      </c>
      <c r="G9" s="25">
        <v>5</v>
      </c>
      <c r="H9" s="25" t="s">
        <v>248</v>
      </c>
      <c r="I9" s="280"/>
    </row>
    <row r="10" spans="1:13" s="26" customFormat="1" ht="21" customHeight="1" x14ac:dyDescent="0.2">
      <c r="A10" s="208">
        <v>1000</v>
      </c>
      <c r="B10" s="209" t="s">
        <v>135</v>
      </c>
      <c r="C10" s="210">
        <f t="shared" ref="C10:H10" si="0">SUM(C11:C17)</f>
        <v>380663792.13999999</v>
      </c>
      <c r="D10" s="532">
        <f t="shared" si="0"/>
        <v>57326691.43999996</v>
      </c>
      <c r="E10" s="210">
        <f t="shared" si="0"/>
        <v>437990483.57999998</v>
      </c>
      <c r="F10" s="210">
        <f t="shared" si="0"/>
        <v>437988935.54000008</v>
      </c>
      <c r="G10" s="210">
        <f t="shared" si="0"/>
        <v>432281657.49000001</v>
      </c>
      <c r="H10" s="532">
        <f t="shared" si="0"/>
        <v>1548.0399999469519</v>
      </c>
      <c r="I10" s="280"/>
      <c r="J10" s="536"/>
      <c r="K10" s="536"/>
      <c r="M10" s="536"/>
    </row>
    <row r="11" spans="1:13" s="26" customFormat="1" ht="21" customHeight="1" x14ac:dyDescent="0.2">
      <c r="A11" s="211">
        <v>1100</v>
      </c>
      <c r="B11" s="533" t="s">
        <v>249</v>
      </c>
      <c r="C11" s="213">
        <v>190297081.34</v>
      </c>
      <c r="D11" s="534">
        <v>7229775.869999975</v>
      </c>
      <c r="E11" s="213">
        <f>C11+D11</f>
        <v>197526857.20999998</v>
      </c>
      <c r="F11" s="213">
        <v>197526857.19</v>
      </c>
      <c r="G11" s="213">
        <v>197526857.19</v>
      </c>
      <c r="H11" s="534">
        <f>E11-F11</f>
        <v>1.9999980926513672E-2</v>
      </c>
      <c r="I11" s="280"/>
      <c r="J11" s="536"/>
      <c r="K11" s="536"/>
      <c r="M11" s="536"/>
    </row>
    <row r="12" spans="1:13" s="26" customFormat="1" ht="21" customHeight="1" x14ac:dyDescent="0.2">
      <c r="A12" s="211">
        <v>1200</v>
      </c>
      <c r="B12" s="533" t="s">
        <v>250</v>
      </c>
      <c r="C12" s="213">
        <v>22794987.91</v>
      </c>
      <c r="D12" s="534">
        <v>1757229.5199999996</v>
      </c>
      <c r="E12" s="213">
        <f t="shared" ref="E12:E75" si="1">C12+D12</f>
        <v>24552217.43</v>
      </c>
      <c r="F12" s="213">
        <v>24552217.420000002</v>
      </c>
      <c r="G12" s="213">
        <v>24552217.420000002</v>
      </c>
      <c r="H12" s="534">
        <f t="shared" ref="H12:H44" si="2">E12-F12</f>
        <v>9.9999979138374329E-3</v>
      </c>
      <c r="I12" s="280"/>
      <c r="J12" s="536"/>
      <c r="K12" s="536"/>
      <c r="M12" s="536"/>
    </row>
    <row r="13" spans="1:13" s="26" customFormat="1" ht="21" customHeight="1" x14ac:dyDescent="0.2">
      <c r="A13" s="211">
        <v>1300</v>
      </c>
      <c r="B13" s="533" t="s">
        <v>251</v>
      </c>
      <c r="C13" s="213">
        <v>116828894.02</v>
      </c>
      <c r="D13" s="534">
        <v>32122388.559999987</v>
      </c>
      <c r="E13" s="213">
        <f t="shared" si="1"/>
        <v>148951282.57999998</v>
      </c>
      <c r="F13" s="213">
        <v>148950282.58000001</v>
      </c>
      <c r="G13" s="213">
        <v>148883781.98000002</v>
      </c>
      <c r="H13" s="534">
        <f t="shared" si="2"/>
        <v>999.99999997019768</v>
      </c>
      <c r="I13" s="280"/>
      <c r="J13" s="536"/>
      <c r="K13" s="536"/>
      <c r="M13" s="536"/>
    </row>
    <row r="14" spans="1:13" s="26" customFormat="1" ht="21" customHeight="1" x14ac:dyDescent="0.2">
      <c r="A14" s="211">
        <v>1400</v>
      </c>
      <c r="B14" s="533" t="s">
        <v>252</v>
      </c>
      <c r="C14" s="213">
        <v>1907355.68</v>
      </c>
      <c r="D14" s="534">
        <v>290924.79000000004</v>
      </c>
      <c r="E14" s="213">
        <f t="shared" si="1"/>
        <v>2198280.4699999997</v>
      </c>
      <c r="F14" s="213">
        <v>2198280.4699999997</v>
      </c>
      <c r="G14" s="213">
        <v>2198280.4699999997</v>
      </c>
      <c r="H14" s="534">
        <f t="shared" si="2"/>
        <v>0</v>
      </c>
      <c r="I14" s="280"/>
      <c r="J14" s="536"/>
      <c r="K14" s="536"/>
      <c r="M14" s="536"/>
    </row>
    <row r="15" spans="1:13" s="26" customFormat="1" ht="21" customHeight="1" x14ac:dyDescent="0.2">
      <c r="A15" s="211">
        <v>1500</v>
      </c>
      <c r="B15" s="533" t="s">
        <v>253</v>
      </c>
      <c r="C15" s="213">
        <v>44697080.329999998</v>
      </c>
      <c r="D15" s="534">
        <v>12230382.030000001</v>
      </c>
      <c r="E15" s="213">
        <f t="shared" si="1"/>
        <v>56927462.359999999</v>
      </c>
      <c r="F15" s="213">
        <v>56926914.350000001</v>
      </c>
      <c r="G15" s="213">
        <v>51286136.899999999</v>
      </c>
      <c r="H15" s="534">
        <f t="shared" si="2"/>
        <v>548.00999999791384</v>
      </c>
      <c r="I15" s="280"/>
      <c r="J15" s="536"/>
      <c r="K15" s="536"/>
      <c r="M15" s="536"/>
    </row>
    <row r="16" spans="1:13" s="26" customFormat="1" ht="12.75" hidden="1" customHeight="1" x14ac:dyDescent="0.2">
      <c r="A16" s="211">
        <v>1600</v>
      </c>
      <c r="B16" s="533" t="s">
        <v>254</v>
      </c>
      <c r="C16" s="213">
        <v>0</v>
      </c>
      <c r="D16" s="534">
        <v>0</v>
      </c>
      <c r="E16" s="213">
        <f t="shared" si="1"/>
        <v>0</v>
      </c>
      <c r="F16" s="213">
        <v>0</v>
      </c>
      <c r="G16" s="213"/>
      <c r="H16" s="534">
        <f t="shared" si="2"/>
        <v>0</v>
      </c>
      <c r="I16" s="280"/>
      <c r="J16" s="536"/>
      <c r="K16" s="536"/>
    </row>
    <row r="17" spans="1:11" s="26" customFormat="1" ht="21" customHeight="1" x14ac:dyDescent="0.2">
      <c r="A17" s="211">
        <v>1700</v>
      </c>
      <c r="B17" s="533" t="s">
        <v>255</v>
      </c>
      <c r="C17" s="213">
        <v>4138392.86</v>
      </c>
      <c r="D17" s="534">
        <v>3695990.669999999</v>
      </c>
      <c r="E17" s="213">
        <f t="shared" si="1"/>
        <v>7834383.5299999993</v>
      </c>
      <c r="F17" s="213">
        <v>7834383.5299999993</v>
      </c>
      <c r="G17" s="213">
        <v>7834383.5300000003</v>
      </c>
      <c r="H17" s="534">
        <f t="shared" si="2"/>
        <v>0</v>
      </c>
      <c r="I17" s="280"/>
      <c r="J17" s="536"/>
      <c r="K17" s="536"/>
    </row>
    <row r="18" spans="1:11" s="26" customFormat="1" ht="21" customHeight="1" x14ac:dyDescent="0.2">
      <c r="A18" s="214">
        <v>2000</v>
      </c>
      <c r="B18" s="215" t="s">
        <v>137</v>
      </c>
      <c r="C18" s="216">
        <f t="shared" ref="C18:H18" si="3">SUM(C19:C27)</f>
        <v>75900437.440000013</v>
      </c>
      <c r="D18" s="532">
        <f t="shared" si="3"/>
        <v>-1255287.129999998</v>
      </c>
      <c r="E18" s="210">
        <f t="shared" si="3"/>
        <v>74645150.310000017</v>
      </c>
      <c r="F18" s="210">
        <f t="shared" si="3"/>
        <v>74443392.969999999</v>
      </c>
      <c r="G18" s="210">
        <f t="shared" si="3"/>
        <v>69558742.170000017</v>
      </c>
      <c r="H18" s="535">
        <f t="shared" si="3"/>
        <v>201757.34000000567</v>
      </c>
      <c r="I18" s="280"/>
      <c r="J18" s="536"/>
      <c r="K18" s="536"/>
    </row>
    <row r="19" spans="1:11" s="26" customFormat="1" ht="21" customHeight="1" x14ac:dyDescent="0.2">
      <c r="A19" s="211">
        <v>2100</v>
      </c>
      <c r="B19" s="533" t="s">
        <v>256</v>
      </c>
      <c r="C19" s="213">
        <v>6353034.1299999999</v>
      </c>
      <c r="D19" s="534">
        <v>-2983219.7999999989</v>
      </c>
      <c r="E19" s="213">
        <f t="shared" si="1"/>
        <v>3369814.330000001</v>
      </c>
      <c r="F19" s="213">
        <v>3310918.7299999995</v>
      </c>
      <c r="G19" s="213">
        <v>2806795.2600000002</v>
      </c>
      <c r="H19" s="534">
        <f t="shared" si="2"/>
        <v>58895.60000000149</v>
      </c>
      <c r="I19" s="280"/>
      <c r="J19" s="536"/>
      <c r="K19" s="536"/>
    </row>
    <row r="20" spans="1:11" s="26" customFormat="1" ht="21" customHeight="1" x14ac:dyDescent="0.2">
      <c r="A20" s="211">
        <v>2200</v>
      </c>
      <c r="B20" s="533" t="s">
        <v>257</v>
      </c>
      <c r="C20" s="213">
        <v>3066760.45</v>
      </c>
      <c r="D20" s="534">
        <v>-1537285.2900000005</v>
      </c>
      <c r="E20" s="213">
        <f t="shared" si="1"/>
        <v>1529475.1599999997</v>
      </c>
      <c r="F20" s="213">
        <v>1527175.5599999998</v>
      </c>
      <c r="G20" s="534">
        <v>1476787.52</v>
      </c>
      <c r="H20" s="534">
        <f t="shared" si="2"/>
        <v>2299.5999999998603</v>
      </c>
      <c r="I20" s="280"/>
      <c r="J20" s="536"/>
      <c r="K20" s="536"/>
    </row>
    <row r="21" spans="1:11" s="26" customFormat="1" ht="21" customHeight="1" x14ac:dyDescent="0.2">
      <c r="A21" s="211">
        <v>2300</v>
      </c>
      <c r="B21" s="533" t="s">
        <v>258</v>
      </c>
      <c r="C21" s="213">
        <v>407183.47</v>
      </c>
      <c r="D21" s="534">
        <v>-323417.43</v>
      </c>
      <c r="E21" s="213">
        <f t="shared" si="1"/>
        <v>83766.039999999979</v>
      </c>
      <c r="F21" s="213">
        <v>83766.040000000008</v>
      </c>
      <c r="G21" s="213">
        <v>82840.429999999993</v>
      </c>
      <c r="H21" s="534">
        <f t="shared" si="2"/>
        <v>0</v>
      </c>
      <c r="I21" s="280"/>
      <c r="K21" s="536"/>
    </row>
    <row r="22" spans="1:11" s="26" customFormat="1" ht="21" customHeight="1" x14ac:dyDescent="0.2">
      <c r="A22" s="211">
        <v>2400</v>
      </c>
      <c r="B22" s="533" t="s">
        <v>259</v>
      </c>
      <c r="C22" s="213">
        <v>6729578.2400000002</v>
      </c>
      <c r="D22" s="534">
        <v>-4590769.6999999993</v>
      </c>
      <c r="E22" s="213">
        <f t="shared" si="1"/>
        <v>2138808.540000001</v>
      </c>
      <c r="F22" s="213">
        <v>2091116.2999999998</v>
      </c>
      <c r="G22" s="213">
        <v>2012390.79</v>
      </c>
      <c r="H22" s="534">
        <f t="shared" si="2"/>
        <v>47692.240000001155</v>
      </c>
      <c r="I22" s="280"/>
      <c r="K22" s="536"/>
    </row>
    <row r="23" spans="1:11" s="26" customFormat="1" ht="21" customHeight="1" x14ac:dyDescent="0.2">
      <c r="A23" s="211">
        <v>2500</v>
      </c>
      <c r="B23" s="533" t="s">
        <v>260</v>
      </c>
      <c r="C23" s="213">
        <v>18506661.940000001</v>
      </c>
      <c r="D23" s="534">
        <v>-798336.53999999911</v>
      </c>
      <c r="E23" s="213">
        <f t="shared" si="1"/>
        <v>17708325.400000002</v>
      </c>
      <c r="F23" s="213">
        <v>17681798.939999998</v>
      </c>
      <c r="G23" s="213">
        <v>17316428.27</v>
      </c>
      <c r="H23" s="534">
        <f t="shared" si="2"/>
        <v>26526.460000004619</v>
      </c>
      <c r="I23" s="280"/>
      <c r="K23" s="536"/>
    </row>
    <row r="24" spans="1:11" s="26" customFormat="1" ht="21" customHeight="1" x14ac:dyDescent="0.2">
      <c r="A24" s="211">
        <v>2600</v>
      </c>
      <c r="B24" s="533" t="s">
        <v>261</v>
      </c>
      <c r="C24" s="213">
        <v>34101834.719999999</v>
      </c>
      <c r="D24" s="534">
        <v>6383443.29</v>
      </c>
      <c r="E24" s="213">
        <f t="shared" si="1"/>
        <v>40485278.009999998</v>
      </c>
      <c r="F24" s="213">
        <v>40485278.010000005</v>
      </c>
      <c r="G24" s="213">
        <v>37204021.100000001</v>
      </c>
      <c r="H24" s="534">
        <f t="shared" si="2"/>
        <v>0</v>
      </c>
      <c r="I24" s="280"/>
      <c r="K24" s="536"/>
    </row>
    <row r="25" spans="1:11" s="26" customFormat="1" ht="21" customHeight="1" x14ac:dyDescent="0.2">
      <c r="A25" s="211">
        <v>2700</v>
      </c>
      <c r="B25" s="533" t="s">
        <v>262</v>
      </c>
      <c r="C25" s="213">
        <v>4550484.87</v>
      </c>
      <c r="D25" s="534">
        <v>376501.81000000052</v>
      </c>
      <c r="E25" s="213">
        <f t="shared" si="1"/>
        <v>4926986.6800000006</v>
      </c>
      <c r="F25" s="213">
        <v>4914226.6800000006</v>
      </c>
      <c r="G25" s="213">
        <v>4368800.4800000004</v>
      </c>
      <c r="H25" s="534">
        <f t="shared" si="2"/>
        <v>12760</v>
      </c>
      <c r="I25" s="280"/>
      <c r="K25" s="536"/>
    </row>
    <row r="26" spans="1:11" s="26" customFormat="1" ht="21" hidden="1" customHeight="1" x14ac:dyDescent="0.2">
      <c r="A26" s="211">
        <v>2800</v>
      </c>
      <c r="B26" s="533" t="s">
        <v>263</v>
      </c>
      <c r="C26" s="213">
        <v>0</v>
      </c>
      <c r="D26" s="534">
        <v>0</v>
      </c>
      <c r="E26" s="213">
        <f t="shared" si="1"/>
        <v>0</v>
      </c>
      <c r="F26" s="213">
        <v>0</v>
      </c>
      <c r="G26" s="213"/>
      <c r="H26" s="534">
        <f t="shared" si="2"/>
        <v>0</v>
      </c>
      <c r="I26" s="280"/>
      <c r="K26" s="536"/>
    </row>
    <row r="27" spans="1:11" s="26" customFormat="1" ht="21" customHeight="1" x14ac:dyDescent="0.2">
      <c r="A27" s="211">
        <v>2900</v>
      </c>
      <c r="B27" s="533" t="s">
        <v>264</v>
      </c>
      <c r="C27" s="213">
        <v>2184899.62</v>
      </c>
      <c r="D27" s="534">
        <v>2217796.5299999993</v>
      </c>
      <c r="E27" s="213">
        <f t="shared" si="1"/>
        <v>4402696.1499999994</v>
      </c>
      <c r="F27" s="213">
        <v>4349112.7100000009</v>
      </c>
      <c r="G27" s="213">
        <v>4290678.32</v>
      </c>
      <c r="H27" s="534">
        <f t="shared" si="2"/>
        <v>53583.439999998547</v>
      </c>
      <c r="I27" s="280"/>
      <c r="K27" s="536"/>
    </row>
    <row r="28" spans="1:11" s="26" customFormat="1" ht="21" customHeight="1" x14ac:dyDescent="0.2">
      <c r="A28" s="214">
        <v>3000</v>
      </c>
      <c r="B28" s="215" t="s">
        <v>139</v>
      </c>
      <c r="C28" s="216">
        <f t="shared" ref="C28:H28" si="4">SUM(C29:C37)</f>
        <v>108211812.15000001</v>
      </c>
      <c r="D28" s="532">
        <f t="shared" si="4"/>
        <v>120774606.53</v>
      </c>
      <c r="E28" s="210">
        <f t="shared" si="4"/>
        <v>228986418.68000001</v>
      </c>
      <c r="F28" s="210">
        <f t="shared" si="4"/>
        <v>228937464.68000001</v>
      </c>
      <c r="G28" s="210">
        <f t="shared" si="4"/>
        <v>212870109.71000001</v>
      </c>
      <c r="H28" s="535">
        <f t="shared" si="4"/>
        <v>48954</v>
      </c>
      <c r="I28" s="280"/>
      <c r="J28" s="536"/>
      <c r="K28" s="536"/>
    </row>
    <row r="29" spans="1:11" s="26" customFormat="1" ht="21" customHeight="1" x14ac:dyDescent="0.2">
      <c r="A29" s="211">
        <v>3100</v>
      </c>
      <c r="B29" s="533" t="s">
        <v>265</v>
      </c>
      <c r="C29" s="213">
        <v>60919239.020000003</v>
      </c>
      <c r="D29" s="534">
        <v>24390287.59</v>
      </c>
      <c r="E29" s="213">
        <f t="shared" si="1"/>
        <v>85309526.609999999</v>
      </c>
      <c r="F29" s="213">
        <v>85309526.609999999</v>
      </c>
      <c r="G29" s="213">
        <v>85309526.609999999</v>
      </c>
      <c r="H29" s="534">
        <f t="shared" si="2"/>
        <v>0</v>
      </c>
      <c r="I29" s="280"/>
      <c r="J29" s="536"/>
      <c r="K29" s="536"/>
    </row>
    <row r="30" spans="1:11" s="26" customFormat="1" ht="21" customHeight="1" x14ac:dyDescent="0.2">
      <c r="A30" s="211">
        <v>3200</v>
      </c>
      <c r="B30" s="533" t="s">
        <v>266</v>
      </c>
      <c r="C30" s="213">
        <v>9120936.4000000004</v>
      </c>
      <c r="D30" s="534">
        <v>9610840.2699999996</v>
      </c>
      <c r="E30" s="213">
        <f t="shared" si="1"/>
        <v>18731776.670000002</v>
      </c>
      <c r="F30" s="213">
        <v>18731776.640000001</v>
      </c>
      <c r="G30" s="213">
        <v>16550788.539999999</v>
      </c>
      <c r="H30" s="534">
        <f t="shared" si="2"/>
        <v>3.0000001192092896E-2</v>
      </c>
      <c r="I30" s="280"/>
      <c r="J30" s="536"/>
      <c r="K30" s="536"/>
    </row>
    <row r="31" spans="1:11" s="26" customFormat="1" ht="21" customHeight="1" x14ac:dyDescent="0.2">
      <c r="A31" s="211">
        <v>3300</v>
      </c>
      <c r="B31" s="533" t="s">
        <v>267</v>
      </c>
      <c r="C31" s="213">
        <v>0</v>
      </c>
      <c r="D31" s="534">
        <v>18937376.970000003</v>
      </c>
      <c r="E31" s="213">
        <f t="shared" si="1"/>
        <v>18937376.970000003</v>
      </c>
      <c r="F31" s="213">
        <v>18937376.960000001</v>
      </c>
      <c r="G31" s="213">
        <v>16969816.02</v>
      </c>
      <c r="H31" s="534">
        <f t="shared" si="2"/>
        <v>1.0000001639127731E-2</v>
      </c>
      <c r="I31" s="280"/>
      <c r="J31" s="536"/>
      <c r="K31" s="536"/>
    </row>
    <row r="32" spans="1:11" s="26" customFormat="1" ht="21" customHeight="1" x14ac:dyDescent="0.2">
      <c r="A32" s="211">
        <v>3400</v>
      </c>
      <c r="B32" s="533" t="s">
        <v>268</v>
      </c>
      <c r="C32" s="213">
        <v>4134227.3</v>
      </c>
      <c r="D32" s="534">
        <v>802613.12999999989</v>
      </c>
      <c r="E32" s="213">
        <f t="shared" si="1"/>
        <v>4936840.43</v>
      </c>
      <c r="F32" s="213">
        <v>4936840.43</v>
      </c>
      <c r="G32" s="213">
        <v>4215707.63</v>
      </c>
      <c r="H32" s="534">
        <f t="shared" si="2"/>
        <v>0</v>
      </c>
      <c r="I32" s="280"/>
      <c r="J32" s="536"/>
      <c r="K32" s="536"/>
    </row>
    <row r="33" spans="1:11" s="26" customFormat="1" ht="21" customHeight="1" x14ac:dyDescent="0.2">
      <c r="A33" s="211">
        <v>3500</v>
      </c>
      <c r="B33" s="533" t="s">
        <v>269</v>
      </c>
      <c r="C33" s="213">
        <v>1740</v>
      </c>
      <c r="D33" s="534">
        <v>37849351.189999998</v>
      </c>
      <c r="E33" s="213">
        <f t="shared" si="1"/>
        <v>37851091.189999998</v>
      </c>
      <c r="F33" s="213">
        <v>37846484.039999999</v>
      </c>
      <c r="G33" s="213">
        <v>31578597.400000002</v>
      </c>
      <c r="H33" s="534">
        <f t="shared" si="2"/>
        <v>4607.1499999985099</v>
      </c>
      <c r="I33" s="280"/>
      <c r="J33" s="536"/>
      <c r="K33" s="536"/>
    </row>
    <row r="34" spans="1:11" s="26" customFormat="1" ht="21" customHeight="1" x14ac:dyDescent="0.2">
      <c r="A34" s="211">
        <v>3600</v>
      </c>
      <c r="B34" s="533" t="s">
        <v>270</v>
      </c>
      <c r="C34" s="213">
        <v>20084125.23</v>
      </c>
      <c r="D34" s="534">
        <v>12722682.699999999</v>
      </c>
      <c r="E34" s="213">
        <f t="shared" si="1"/>
        <v>32806807.93</v>
      </c>
      <c r="F34" s="213">
        <v>32806807.93</v>
      </c>
      <c r="G34" s="213">
        <v>32801007.93</v>
      </c>
      <c r="H34" s="534">
        <f t="shared" si="2"/>
        <v>0</v>
      </c>
      <c r="I34" s="280"/>
      <c r="J34" s="536"/>
      <c r="K34" s="536"/>
    </row>
    <row r="35" spans="1:11" s="26" customFormat="1" ht="21" customHeight="1" x14ac:dyDescent="0.2">
      <c r="A35" s="211">
        <v>3700</v>
      </c>
      <c r="B35" s="533" t="s">
        <v>271</v>
      </c>
      <c r="C35" s="213">
        <v>654895.57999999996</v>
      </c>
      <c r="D35" s="534">
        <v>11243.109999999986</v>
      </c>
      <c r="E35" s="213">
        <f t="shared" si="1"/>
        <v>666138.68999999994</v>
      </c>
      <c r="F35" s="213">
        <v>666138.69000000006</v>
      </c>
      <c r="G35" s="213">
        <v>654236.69000000006</v>
      </c>
      <c r="H35" s="534">
        <f t="shared" si="2"/>
        <v>0</v>
      </c>
      <c r="I35" s="280"/>
      <c r="J35" s="536"/>
      <c r="K35" s="536"/>
    </row>
    <row r="36" spans="1:11" s="26" customFormat="1" ht="21" customHeight="1" x14ac:dyDescent="0.2">
      <c r="A36" s="211">
        <v>3800</v>
      </c>
      <c r="B36" s="533" t="s">
        <v>272</v>
      </c>
      <c r="C36" s="213">
        <v>25177.360000000001</v>
      </c>
      <c r="D36" s="534">
        <v>15919207.030000001</v>
      </c>
      <c r="E36" s="213">
        <f t="shared" si="1"/>
        <v>15944384.390000001</v>
      </c>
      <c r="F36" s="213">
        <v>15937487.34</v>
      </c>
      <c r="G36" s="213">
        <v>11039000.860000001</v>
      </c>
      <c r="H36" s="534">
        <f t="shared" si="2"/>
        <v>6897.0500000007451</v>
      </c>
      <c r="I36" s="280"/>
      <c r="J36" s="536"/>
      <c r="K36" s="536"/>
    </row>
    <row r="37" spans="1:11" s="26" customFormat="1" ht="21" customHeight="1" x14ac:dyDescent="0.2">
      <c r="A37" s="853">
        <v>3900</v>
      </c>
      <c r="B37" s="814" t="s">
        <v>273</v>
      </c>
      <c r="C37" s="534">
        <v>13271471.26</v>
      </c>
      <c r="D37" s="534">
        <v>531004.53999999911</v>
      </c>
      <c r="E37" s="534">
        <f t="shared" si="1"/>
        <v>13802475.799999999</v>
      </c>
      <c r="F37" s="534">
        <v>13765026.040000001</v>
      </c>
      <c r="G37" s="534">
        <v>13751428.029999999</v>
      </c>
      <c r="H37" s="534">
        <f t="shared" si="2"/>
        <v>37449.759999997914</v>
      </c>
      <c r="I37" s="280"/>
      <c r="J37" s="536"/>
      <c r="K37" s="536"/>
    </row>
    <row r="38" spans="1:11" s="26" customFormat="1" ht="21" customHeight="1" x14ac:dyDescent="0.2">
      <c r="A38" s="214">
        <v>4000</v>
      </c>
      <c r="B38" s="215" t="s">
        <v>140</v>
      </c>
      <c r="C38" s="216">
        <f t="shared" ref="C38:H38" si="5">SUM(C39:C47)</f>
        <v>110741703.44999999</v>
      </c>
      <c r="D38" s="532">
        <f t="shared" si="5"/>
        <v>32758170.969999995</v>
      </c>
      <c r="E38" s="210">
        <f t="shared" si="5"/>
        <v>143499874.41999999</v>
      </c>
      <c r="F38" s="210">
        <f t="shared" si="5"/>
        <v>142809334.91000003</v>
      </c>
      <c r="G38" s="210">
        <f t="shared" si="5"/>
        <v>142604894.92000002</v>
      </c>
      <c r="H38" s="535">
        <f t="shared" si="5"/>
        <v>690539.5100000035</v>
      </c>
      <c r="I38" s="295"/>
      <c r="K38" s="536"/>
    </row>
    <row r="39" spans="1:11" s="26" customFormat="1" ht="21" customHeight="1" x14ac:dyDescent="0.2">
      <c r="A39" s="211">
        <v>4100</v>
      </c>
      <c r="B39" s="533" t="s">
        <v>142</v>
      </c>
      <c r="C39" s="217">
        <v>48705865.840000004</v>
      </c>
      <c r="D39" s="534">
        <v>637892.20999999717</v>
      </c>
      <c r="E39" s="213">
        <f t="shared" si="1"/>
        <v>49343758.049999997</v>
      </c>
      <c r="F39" s="213">
        <v>49343758.050000004</v>
      </c>
      <c r="G39" s="213">
        <v>49343758.049999997</v>
      </c>
      <c r="H39" s="534">
        <f t="shared" si="2"/>
        <v>0</v>
      </c>
      <c r="I39" s="291"/>
      <c r="K39" s="536"/>
    </row>
    <row r="40" spans="1:11" s="26" customFormat="1" ht="21" customHeight="1" x14ac:dyDescent="0.2">
      <c r="A40" s="211">
        <v>4200</v>
      </c>
      <c r="B40" s="533" t="s">
        <v>144</v>
      </c>
      <c r="C40" s="217">
        <v>8365188.2199999997</v>
      </c>
      <c r="D40" s="534">
        <v>28964353.700000003</v>
      </c>
      <c r="E40" s="213">
        <f t="shared" si="1"/>
        <v>37329541.920000002</v>
      </c>
      <c r="F40" s="213">
        <v>36679281.100000001</v>
      </c>
      <c r="G40" s="213">
        <v>36679281.100000009</v>
      </c>
      <c r="H40" s="534">
        <f t="shared" si="2"/>
        <v>650260.8200000003</v>
      </c>
      <c r="I40" s="291"/>
      <c r="K40" s="536"/>
    </row>
    <row r="41" spans="1:11" s="26" customFormat="1" ht="12.75" hidden="1" customHeight="1" x14ac:dyDescent="0.2">
      <c r="A41" s="211">
        <v>4300</v>
      </c>
      <c r="B41" s="533" t="s">
        <v>145</v>
      </c>
      <c r="C41" s="217">
        <v>0</v>
      </c>
      <c r="D41" s="534">
        <v>0</v>
      </c>
      <c r="E41" s="213">
        <f t="shared" si="1"/>
        <v>0</v>
      </c>
      <c r="F41" s="213">
        <v>0</v>
      </c>
      <c r="G41" s="213"/>
      <c r="H41" s="534">
        <f t="shared" si="2"/>
        <v>0</v>
      </c>
      <c r="I41" s="291"/>
      <c r="K41" s="536"/>
    </row>
    <row r="42" spans="1:11" s="26" customFormat="1" ht="21" customHeight="1" x14ac:dyDescent="0.2">
      <c r="A42" s="211">
        <v>4400</v>
      </c>
      <c r="B42" s="533" t="s">
        <v>274</v>
      </c>
      <c r="C42" s="217">
        <v>12211080.85</v>
      </c>
      <c r="D42" s="534">
        <v>-4038726.799999997</v>
      </c>
      <c r="E42" s="213">
        <f t="shared" si="1"/>
        <v>8172354.0500000026</v>
      </c>
      <c r="F42" s="213">
        <v>8132075.3599999994</v>
      </c>
      <c r="G42" s="213">
        <v>7927635.370000001</v>
      </c>
      <c r="H42" s="534">
        <f t="shared" si="2"/>
        <v>40278.690000003204</v>
      </c>
      <c r="I42" s="291"/>
      <c r="K42" s="536"/>
    </row>
    <row r="43" spans="1:11" s="26" customFormat="1" ht="21" customHeight="1" x14ac:dyDescent="0.2">
      <c r="A43" s="211">
        <v>4500</v>
      </c>
      <c r="B43" s="533" t="s">
        <v>149</v>
      </c>
      <c r="C43" s="217">
        <v>41459568.539999999</v>
      </c>
      <c r="D43" s="534">
        <v>7194651.859999992</v>
      </c>
      <c r="E43" s="213">
        <f t="shared" si="1"/>
        <v>48654220.399999991</v>
      </c>
      <c r="F43" s="213">
        <v>48654220.400000006</v>
      </c>
      <c r="G43" s="213">
        <v>48654220.399999999</v>
      </c>
      <c r="H43" s="534">
        <f t="shared" si="2"/>
        <v>0</v>
      </c>
      <c r="I43" s="291"/>
      <c r="K43" s="536"/>
    </row>
    <row r="44" spans="1:11" s="26" customFormat="1" ht="21" hidden="1" customHeight="1" x14ac:dyDescent="0.2">
      <c r="A44" s="211">
        <v>4600</v>
      </c>
      <c r="B44" s="212" t="s">
        <v>275</v>
      </c>
      <c r="C44" s="217">
        <v>0</v>
      </c>
      <c r="D44" s="534">
        <v>0</v>
      </c>
      <c r="E44" s="213">
        <f t="shared" si="1"/>
        <v>0</v>
      </c>
      <c r="F44" s="213">
        <v>0</v>
      </c>
      <c r="G44" s="213">
        <v>0</v>
      </c>
      <c r="H44" s="534">
        <f t="shared" si="2"/>
        <v>0</v>
      </c>
      <c r="I44" s="280"/>
      <c r="K44" s="536"/>
    </row>
    <row r="45" spans="1:11" s="26" customFormat="1" ht="21" hidden="1" customHeight="1" x14ac:dyDescent="0.2">
      <c r="A45" s="211">
        <v>4700</v>
      </c>
      <c r="B45" s="212" t="s">
        <v>153</v>
      </c>
      <c r="C45" s="217">
        <v>0</v>
      </c>
      <c r="D45" s="534">
        <v>0</v>
      </c>
      <c r="E45" s="213">
        <f t="shared" si="1"/>
        <v>0</v>
      </c>
      <c r="F45" s="213">
        <v>0</v>
      </c>
      <c r="G45" s="213">
        <v>0</v>
      </c>
      <c r="H45" s="759">
        <v>0</v>
      </c>
      <c r="I45" s="280"/>
      <c r="K45" s="536"/>
    </row>
    <row r="46" spans="1:11" s="26" customFormat="1" ht="21" hidden="1" customHeight="1" x14ac:dyDescent="0.2">
      <c r="A46" s="211">
        <v>4800</v>
      </c>
      <c r="B46" s="212" t="s">
        <v>155</v>
      </c>
      <c r="C46" s="217">
        <v>0</v>
      </c>
      <c r="D46" s="534">
        <v>0</v>
      </c>
      <c r="E46" s="213">
        <f t="shared" si="1"/>
        <v>0</v>
      </c>
      <c r="F46" s="213">
        <v>0</v>
      </c>
      <c r="G46" s="213">
        <v>0</v>
      </c>
      <c r="H46" s="759">
        <v>0</v>
      </c>
      <c r="I46" s="295"/>
      <c r="K46" s="536"/>
    </row>
    <row r="47" spans="1:11" s="26" customFormat="1" ht="21" hidden="1" customHeight="1" x14ac:dyDescent="0.2">
      <c r="A47" s="211">
        <v>4900</v>
      </c>
      <c r="B47" s="212" t="s">
        <v>276</v>
      </c>
      <c r="C47" s="217">
        <v>0</v>
      </c>
      <c r="D47" s="534">
        <v>0</v>
      </c>
      <c r="E47" s="213">
        <f t="shared" si="1"/>
        <v>0</v>
      </c>
      <c r="F47" s="213">
        <v>0</v>
      </c>
      <c r="G47" s="213">
        <v>0</v>
      </c>
      <c r="H47" s="759">
        <v>0</v>
      </c>
      <c r="I47" s="295"/>
      <c r="K47" s="536"/>
    </row>
    <row r="48" spans="1:11" s="26" customFormat="1" ht="21" customHeight="1" x14ac:dyDescent="0.2">
      <c r="A48" s="214">
        <v>5000</v>
      </c>
      <c r="B48" s="215" t="s">
        <v>277</v>
      </c>
      <c r="C48" s="216">
        <f t="shared" ref="C48:H48" si="6">SUM(C49:C57)</f>
        <v>0</v>
      </c>
      <c r="D48" s="532">
        <f t="shared" si="6"/>
        <v>654498.27999999991</v>
      </c>
      <c r="E48" s="210">
        <f t="shared" si="6"/>
        <v>654498.27999999991</v>
      </c>
      <c r="F48" s="210">
        <f t="shared" si="6"/>
        <v>644841.28</v>
      </c>
      <c r="G48" s="210">
        <f t="shared" si="6"/>
        <v>628516.6</v>
      </c>
      <c r="H48" s="535">
        <f t="shared" si="6"/>
        <v>9656.9999999999418</v>
      </c>
      <c r="I48" s="295"/>
      <c r="K48" s="536"/>
    </row>
    <row r="49" spans="1:11" s="26" customFormat="1" ht="21" customHeight="1" x14ac:dyDescent="0.2">
      <c r="A49" s="211">
        <v>5100</v>
      </c>
      <c r="B49" s="533" t="s">
        <v>278</v>
      </c>
      <c r="C49" s="217">
        <v>0</v>
      </c>
      <c r="D49" s="534">
        <v>326413.38999999996</v>
      </c>
      <c r="E49" s="213">
        <f t="shared" si="1"/>
        <v>326413.38999999996</v>
      </c>
      <c r="F49" s="213">
        <v>316756.39</v>
      </c>
      <c r="G49" s="213">
        <v>308737.31</v>
      </c>
      <c r="H49" s="534">
        <f t="shared" ref="H49:H69" si="7">E49-F49</f>
        <v>9656.9999999999418</v>
      </c>
      <c r="I49" s="291"/>
      <c r="K49" s="536"/>
    </row>
    <row r="50" spans="1:11" s="26" customFormat="1" ht="21" customHeight="1" x14ac:dyDescent="0.2">
      <c r="A50" s="211">
        <v>5200</v>
      </c>
      <c r="B50" s="533" t="s">
        <v>279</v>
      </c>
      <c r="C50" s="217">
        <v>0</v>
      </c>
      <c r="D50" s="534">
        <v>10704.85</v>
      </c>
      <c r="E50" s="213">
        <f t="shared" si="1"/>
        <v>10704.85</v>
      </c>
      <c r="F50" s="213">
        <v>10704.85</v>
      </c>
      <c r="G50" s="213">
        <v>2399.25</v>
      </c>
      <c r="H50" s="534">
        <f t="shared" si="7"/>
        <v>0</v>
      </c>
      <c r="I50" s="291"/>
      <c r="K50" s="536"/>
    </row>
    <row r="51" spans="1:11" s="26" customFormat="1" ht="21" customHeight="1" x14ac:dyDescent="0.2">
      <c r="A51" s="211">
        <v>5300</v>
      </c>
      <c r="B51" s="533" t="s">
        <v>280</v>
      </c>
      <c r="C51" s="217">
        <v>0</v>
      </c>
      <c r="D51" s="534">
        <v>0</v>
      </c>
      <c r="E51" s="213">
        <f t="shared" si="1"/>
        <v>0</v>
      </c>
      <c r="F51" s="213">
        <v>0</v>
      </c>
      <c r="G51" s="213"/>
      <c r="H51" s="534">
        <f t="shared" si="7"/>
        <v>0</v>
      </c>
      <c r="I51" s="291"/>
      <c r="K51" s="536"/>
    </row>
    <row r="52" spans="1:11" s="26" customFormat="1" ht="21" customHeight="1" x14ac:dyDescent="0.2">
      <c r="A52" s="211">
        <v>5400</v>
      </c>
      <c r="B52" s="533" t="s">
        <v>281</v>
      </c>
      <c r="C52" s="217">
        <v>0</v>
      </c>
      <c r="D52" s="534">
        <v>25500</v>
      </c>
      <c r="E52" s="213">
        <f t="shared" si="1"/>
        <v>25500</v>
      </c>
      <c r="F52" s="213">
        <v>25500</v>
      </c>
      <c r="G52" s="213">
        <v>25500</v>
      </c>
      <c r="H52" s="534">
        <f t="shared" si="7"/>
        <v>0</v>
      </c>
      <c r="I52" s="291"/>
      <c r="K52" s="536"/>
    </row>
    <row r="53" spans="1:11" s="26" customFormat="1" ht="12.75" hidden="1" customHeight="1" x14ac:dyDescent="0.2">
      <c r="A53" s="211">
        <v>5500</v>
      </c>
      <c r="B53" s="533" t="s">
        <v>282</v>
      </c>
      <c r="C53" s="217">
        <v>0</v>
      </c>
      <c r="D53" s="534">
        <v>0</v>
      </c>
      <c r="E53" s="213">
        <f t="shared" si="1"/>
        <v>0</v>
      </c>
      <c r="F53" s="213">
        <v>0</v>
      </c>
      <c r="G53" s="213"/>
      <c r="H53" s="213">
        <f t="shared" si="7"/>
        <v>0</v>
      </c>
      <c r="I53" s="291"/>
      <c r="K53" s="536"/>
    </row>
    <row r="54" spans="1:11" s="26" customFormat="1" ht="21" customHeight="1" x14ac:dyDescent="0.2">
      <c r="A54" s="853">
        <v>5600</v>
      </c>
      <c r="B54" s="814" t="s">
        <v>283</v>
      </c>
      <c r="C54" s="759">
        <v>0</v>
      </c>
      <c r="D54" s="534">
        <v>291880.03999999998</v>
      </c>
      <c r="E54" s="534">
        <f t="shared" si="1"/>
        <v>291880.03999999998</v>
      </c>
      <c r="F54" s="534">
        <v>291880.03999999998</v>
      </c>
      <c r="G54" s="534">
        <v>291880.03999999998</v>
      </c>
      <c r="H54" s="534">
        <f t="shared" si="7"/>
        <v>0</v>
      </c>
      <c r="I54" s="291"/>
      <c r="K54" s="536"/>
    </row>
    <row r="55" spans="1:11" s="26" customFormat="1" ht="12.75" hidden="1" customHeight="1" x14ac:dyDescent="0.2">
      <c r="A55" s="211">
        <v>5700</v>
      </c>
      <c r="B55" s="533" t="s">
        <v>284</v>
      </c>
      <c r="C55" s="217">
        <v>0</v>
      </c>
      <c r="D55" s="534">
        <v>0</v>
      </c>
      <c r="E55" s="213">
        <f t="shared" si="1"/>
        <v>0</v>
      </c>
      <c r="F55" s="213">
        <v>0</v>
      </c>
      <c r="G55" s="213"/>
      <c r="H55" s="213">
        <f t="shared" si="7"/>
        <v>0</v>
      </c>
      <c r="I55" s="291"/>
      <c r="K55" s="536"/>
    </row>
    <row r="56" spans="1:11" s="26" customFormat="1" ht="12.75" hidden="1" customHeight="1" x14ac:dyDescent="0.2">
      <c r="A56" s="211">
        <v>5800</v>
      </c>
      <c r="B56" s="533" t="s">
        <v>285</v>
      </c>
      <c r="C56" s="217">
        <v>0</v>
      </c>
      <c r="D56" s="534">
        <v>0</v>
      </c>
      <c r="E56" s="213">
        <f t="shared" si="1"/>
        <v>0</v>
      </c>
      <c r="F56" s="213">
        <v>0</v>
      </c>
      <c r="G56" s="213"/>
      <c r="H56" s="213">
        <f t="shared" si="7"/>
        <v>0</v>
      </c>
      <c r="I56" s="291"/>
      <c r="K56" s="536"/>
    </row>
    <row r="57" spans="1:11" s="26" customFormat="1" ht="21" customHeight="1" x14ac:dyDescent="0.2">
      <c r="A57" s="211">
        <v>5900</v>
      </c>
      <c r="B57" s="533" t="s">
        <v>49</v>
      </c>
      <c r="C57" s="217">
        <v>0</v>
      </c>
      <c r="D57" s="534">
        <v>0</v>
      </c>
      <c r="E57" s="213">
        <f t="shared" si="1"/>
        <v>0</v>
      </c>
      <c r="F57" s="213">
        <v>0</v>
      </c>
      <c r="G57" s="213"/>
      <c r="H57" s="213">
        <f t="shared" si="7"/>
        <v>0</v>
      </c>
      <c r="I57" s="291"/>
      <c r="K57" s="536"/>
    </row>
    <row r="58" spans="1:11" s="26" customFormat="1" ht="21" customHeight="1" x14ac:dyDescent="0.2">
      <c r="A58" s="214">
        <v>6000</v>
      </c>
      <c r="B58" s="215" t="s">
        <v>183</v>
      </c>
      <c r="C58" s="216">
        <f t="shared" ref="C58:H58" si="8">SUM(C59:C61)</f>
        <v>99731787.900000006</v>
      </c>
      <c r="D58" s="535">
        <f t="shared" si="8"/>
        <v>264914195.34</v>
      </c>
      <c r="E58" s="216">
        <f t="shared" si="8"/>
        <v>364645983.24000007</v>
      </c>
      <c r="F58" s="210">
        <f t="shared" si="8"/>
        <v>320347883.27000004</v>
      </c>
      <c r="G58" s="210">
        <f t="shared" si="8"/>
        <v>309571341.31999999</v>
      </c>
      <c r="H58" s="216">
        <f t="shared" si="8"/>
        <v>44298099.970000029</v>
      </c>
      <c r="I58" s="295"/>
      <c r="K58" s="536"/>
    </row>
    <row r="59" spans="1:11" s="26" customFormat="1" ht="21" customHeight="1" x14ac:dyDescent="0.2">
      <c r="A59" s="211">
        <v>6100</v>
      </c>
      <c r="B59" s="533" t="s">
        <v>286</v>
      </c>
      <c r="C59" s="217">
        <v>71486077.650000006</v>
      </c>
      <c r="D59" s="534">
        <f>291393903.08-0.03</f>
        <v>291393903.05000001</v>
      </c>
      <c r="E59" s="213">
        <f t="shared" si="1"/>
        <v>362879980.70000005</v>
      </c>
      <c r="F59" s="213">
        <v>318581880.73000002</v>
      </c>
      <c r="G59" s="213">
        <v>307805338.77999997</v>
      </c>
      <c r="H59" s="213">
        <f t="shared" si="7"/>
        <v>44298099.970000029</v>
      </c>
      <c r="I59" s="300"/>
      <c r="K59" s="536"/>
    </row>
    <row r="60" spans="1:11" s="26" customFormat="1" ht="21" hidden="1" customHeight="1" x14ac:dyDescent="0.2">
      <c r="A60" s="211">
        <v>6200</v>
      </c>
      <c r="B60" s="212" t="s">
        <v>287</v>
      </c>
      <c r="C60" s="217">
        <v>0</v>
      </c>
      <c r="D60" s="534">
        <v>0</v>
      </c>
      <c r="E60" s="213">
        <f t="shared" si="1"/>
        <v>0</v>
      </c>
      <c r="F60" s="213">
        <v>0</v>
      </c>
      <c r="G60" s="213">
        <v>0</v>
      </c>
      <c r="H60" s="213">
        <f t="shared" si="7"/>
        <v>0</v>
      </c>
      <c r="I60" s="300"/>
      <c r="K60" s="536"/>
    </row>
    <row r="61" spans="1:11" s="26" customFormat="1" ht="21" customHeight="1" x14ac:dyDescent="0.2">
      <c r="A61" s="211">
        <v>6300</v>
      </c>
      <c r="B61" s="533" t="s">
        <v>288</v>
      </c>
      <c r="C61" s="217">
        <v>28245710.25</v>
      </c>
      <c r="D61" s="534">
        <v>-26479707.710000001</v>
      </c>
      <c r="E61" s="213">
        <f t="shared" si="1"/>
        <v>1766002.5399999991</v>
      </c>
      <c r="F61" s="213">
        <v>1766002.54</v>
      </c>
      <c r="G61" s="213">
        <v>1766002.54</v>
      </c>
      <c r="H61" s="213">
        <f t="shared" si="7"/>
        <v>0</v>
      </c>
      <c r="I61" s="300"/>
      <c r="K61" s="854"/>
    </row>
    <row r="62" spans="1:11" s="26" customFormat="1" ht="21" customHeight="1" x14ac:dyDescent="0.2">
      <c r="A62" s="214">
        <v>7000</v>
      </c>
      <c r="B62" s="215" t="s">
        <v>289</v>
      </c>
      <c r="C62" s="216">
        <f>SUM(C63:C69)</f>
        <v>53114849.890000001</v>
      </c>
      <c r="D62" s="532">
        <f>SUM(D63:D69)</f>
        <v>-53114849.889999993</v>
      </c>
      <c r="E62" s="210">
        <f>SUM(E63:E69)</f>
        <v>0</v>
      </c>
      <c r="F62" s="210">
        <f>SUM(F63:F69)</f>
        <v>0</v>
      </c>
      <c r="G62" s="210">
        <f>SUM(G63:G69)</f>
        <v>0</v>
      </c>
      <c r="H62" s="213">
        <f t="shared" si="7"/>
        <v>0</v>
      </c>
      <c r="I62" s="300"/>
      <c r="K62" s="536"/>
    </row>
    <row r="63" spans="1:11" s="26" customFormat="1" ht="21" hidden="1" customHeight="1" x14ac:dyDescent="0.2">
      <c r="A63" s="211">
        <v>7100</v>
      </c>
      <c r="B63" s="212" t="s">
        <v>290</v>
      </c>
      <c r="C63" s="217">
        <v>0</v>
      </c>
      <c r="D63" s="534">
        <v>0</v>
      </c>
      <c r="E63" s="213">
        <f t="shared" si="1"/>
        <v>0</v>
      </c>
      <c r="F63" s="213">
        <v>0</v>
      </c>
      <c r="G63" s="213">
        <v>0</v>
      </c>
      <c r="H63" s="213">
        <f t="shared" si="7"/>
        <v>0</v>
      </c>
      <c r="I63" s="300"/>
      <c r="K63" s="536"/>
    </row>
    <row r="64" spans="1:11" s="26" customFormat="1" ht="21" hidden="1" customHeight="1" x14ac:dyDescent="0.2">
      <c r="A64" s="211">
        <v>7200</v>
      </c>
      <c r="B64" s="212" t="s">
        <v>291</v>
      </c>
      <c r="C64" s="217">
        <v>0</v>
      </c>
      <c r="D64" s="534">
        <v>0</v>
      </c>
      <c r="E64" s="213">
        <f t="shared" si="1"/>
        <v>0</v>
      </c>
      <c r="F64" s="213">
        <v>0</v>
      </c>
      <c r="G64" s="213">
        <v>0</v>
      </c>
      <c r="H64" s="213">
        <f t="shared" si="7"/>
        <v>0</v>
      </c>
      <c r="I64" s="287"/>
      <c r="K64" s="536"/>
    </row>
    <row r="65" spans="1:11" s="26" customFormat="1" ht="21" hidden="1" customHeight="1" x14ac:dyDescent="0.2">
      <c r="A65" s="211">
        <v>7300</v>
      </c>
      <c r="B65" s="212" t="s">
        <v>292</v>
      </c>
      <c r="C65" s="217">
        <v>0</v>
      </c>
      <c r="D65" s="534">
        <v>0</v>
      </c>
      <c r="E65" s="213">
        <f t="shared" si="1"/>
        <v>0</v>
      </c>
      <c r="F65" s="213">
        <v>0</v>
      </c>
      <c r="G65" s="213">
        <v>0</v>
      </c>
      <c r="H65" s="213">
        <f t="shared" si="7"/>
        <v>0</v>
      </c>
      <c r="I65" s="287"/>
      <c r="K65" s="536"/>
    </row>
    <row r="66" spans="1:11" s="26" customFormat="1" ht="21" hidden="1" customHeight="1" x14ac:dyDescent="0.2">
      <c r="A66" s="211">
        <v>7400</v>
      </c>
      <c r="B66" s="212" t="s">
        <v>293</v>
      </c>
      <c r="C66" s="217">
        <v>0</v>
      </c>
      <c r="D66" s="534">
        <v>0</v>
      </c>
      <c r="E66" s="213">
        <f t="shared" si="1"/>
        <v>0</v>
      </c>
      <c r="F66" s="213">
        <v>0</v>
      </c>
      <c r="G66" s="213">
        <v>0</v>
      </c>
      <c r="H66" s="213">
        <f t="shared" si="7"/>
        <v>0</v>
      </c>
      <c r="I66" s="287"/>
      <c r="K66" s="536"/>
    </row>
    <row r="67" spans="1:11" s="26" customFormat="1" ht="21" hidden="1" customHeight="1" x14ac:dyDescent="0.2">
      <c r="A67" s="211">
        <v>7500</v>
      </c>
      <c r="B67" s="212" t="s">
        <v>294</v>
      </c>
      <c r="C67" s="217">
        <v>0</v>
      </c>
      <c r="D67" s="534">
        <v>0</v>
      </c>
      <c r="E67" s="213">
        <f t="shared" si="1"/>
        <v>0</v>
      </c>
      <c r="F67" s="213">
        <v>0</v>
      </c>
      <c r="G67" s="213">
        <v>0</v>
      </c>
      <c r="H67" s="213">
        <f t="shared" si="7"/>
        <v>0</v>
      </c>
      <c r="I67" s="287"/>
      <c r="K67" s="536"/>
    </row>
    <row r="68" spans="1:11" s="26" customFormat="1" ht="21" hidden="1" customHeight="1" x14ac:dyDescent="0.2">
      <c r="A68" s="211">
        <v>7600</v>
      </c>
      <c r="B68" s="212" t="s">
        <v>295</v>
      </c>
      <c r="C68" s="217">
        <v>0</v>
      </c>
      <c r="D68" s="534">
        <v>0</v>
      </c>
      <c r="E68" s="213">
        <f t="shared" si="1"/>
        <v>0</v>
      </c>
      <c r="F68" s="213">
        <v>0</v>
      </c>
      <c r="G68" s="213">
        <v>0</v>
      </c>
      <c r="H68" s="213">
        <f t="shared" si="7"/>
        <v>0</v>
      </c>
      <c r="I68" s="287"/>
      <c r="K68" s="536"/>
    </row>
    <row r="69" spans="1:11" s="26" customFormat="1" ht="21" customHeight="1" x14ac:dyDescent="0.2">
      <c r="A69" s="211">
        <v>7900</v>
      </c>
      <c r="B69" s="533" t="s">
        <v>296</v>
      </c>
      <c r="C69" s="217">
        <v>53114849.890000001</v>
      </c>
      <c r="D69" s="534">
        <v>-53114849.889999993</v>
      </c>
      <c r="E69" s="213">
        <f t="shared" si="1"/>
        <v>0</v>
      </c>
      <c r="F69" s="213">
        <v>0</v>
      </c>
      <c r="G69" s="213">
        <v>0</v>
      </c>
      <c r="H69" s="213">
        <f t="shared" si="7"/>
        <v>0</v>
      </c>
      <c r="I69" s="287"/>
      <c r="K69" s="536"/>
    </row>
    <row r="70" spans="1:11" s="26" customFormat="1" ht="21" hidden="1" customHeight="1" x14ac:dyDescent="0.2">
      <c r="A70" s="214">
        <v>8000</v>
      </c>
      <c r="B70" s="215" t="s">
        <v>121</v>
      </c>
      <c r="C70" s="216">
        <f t="shared" ref="C70:H70" si="9">SUM(C71:C73)</f>
        <v>0</v>
      </c>
      <c r="D70" s="532">
        <f t="shared" si="9"/>
        <v>0</v>
      </c>
      <c r="E70" s="210">
        <f t="shared" si="9"/>
        <v>0</v>
      </c>
      <c r="F70" s="210">
        <f t="shared" si="9"/>
        <v>0</v>
      </c>
      <c r="G70" s="210">
        <f t="shared" si="9"/>
        <v>0</v>
      </c>
      <c r="H70" s="216">
        <f t="shared" si="9"/>
        <v>0</v>
      </c>
      <c r="I70" s="280"/>
      <c r="K70" s="536"/>
    </row>
    <row r="71" spans="1:11" s="26" customFormat="1" ht="21" hidden="1" customHeight="1" x14ac:dyDescent="0.2">
      <c r="A71" s="211">
        <v>8100</v>
      </c>
      <c r="B71" s="212" t="s">
        <v>198</v>
      </c>
      <c r="C71" s="217">
        <v>0</v>
      </c>
      <c r="D71" s="534">
        <v>0</v>
      </c>
      <c r="E71" s="213">
        <f t="shared" si="1"/>
        <v>0</v>
      </c>
      <c r="F71" s="213">
        <v>0</v>
      </c>
      <c r="G71" s="213">
        <v>0</v>
      </c>
      <c r="H71" s="217">
        <v>0</v>
      </c>
      <c r="I71" s="280"/>
      <c r="K71" s="536"/>
    </row>
    <row r="72" spans="1:11" s="26" customFormat="1" ht="21" hidden="1" customHeight="1" x14ac:dyDescent="0.2">
      <c r="A72" s="211">
        <v>8300</v>
      </c>
      <c r="B72" s="212" t="s">
        <v>59</v>
      </c>
      <c r="C72" s="217">
        <v>0</v>
      </c>
      <c r="D72" s="534">
        <v>0</v>
      </c>
      <c r="E72" s="213">
        <f t="shared" si="1"/>
        <v>0</v>
      </c>
      <c r="F72" s="213">
        <v>0</v>
      </c>
      <c r="G72" s="213">
        <v>0</v>
      </c>
      <c r="H72" s="217">
        <v>0</v>
      </c>
      <c r="I72" s="280"/>
      <c r="K72" s="536"/>
    </row>
    <row r="73" spans="1:11" s="26" customFormat="1" ht="21" hidden="1" customHeight="1" x14ac:dyDescent="0.2">
      <c r="A73" s="211">
        <v>8500</v>
      </c>
      <c r="B73" s="212" t="s">
        <v>162</v>
      </c>
      <c r="C73" s="217">
        <v>0</v>
      </c>
      <c r="D73" s="534">
        <v>0</v>
      </c>
      <c r="E73" s="213">
        <f t="shared" si="1"/>
        <v>0</v>
      </c>
      <c r="F73" s="213">
        <v>0</v>
      </c>
      <c r="G73" s="213">
        <v>0</v>
      </c>
      <c r="H73" s="213">
        <f t="shared" ref="H73:H81" si="10">E73-F73</f>
        <v>0</v>
      </c>
      <c r="I73" s="287"/>
      <c r="K73" s="536"/>
    </row>
    <row r="74" spans="1:11" s="26" customFormat="1" ht="21" customHeight="1" x14ac:dyDescent="0.2">
      <c r="A74" s="214">
        <v>9000</v>
      </c>
      <c r="B74" s="215" t="s">
        <v>297</v>
      </c>
      <c r="C74" s="216">
        <f t="shared" ref="C74:H74" si="11">SUM(C75:C81)</f>
        <v>16716932.030000001</v>
      </c>
      <c r="D74" s="532">
        <f t="shared" si="11"/>
        <v>14139772.120000003</v>
      </c>
      <c r="E74" s="210">
        <f t="shared" si="11"/>
        <v>30856704.150000002</v>
      </c>
      <c r="F74" s="210">
        <f t="shared" si="11"/>
        <v>30856704.150000002</v>
      </c>
      <c r="G74" s="210">
        <f t="shared" si="11"/>
        <v>30856704.150000002</v>
      </c>
      <c r="H74" s="216">
        <f t="shared" si="11"/>
        <v>0</v>
      </c>
      <c r="I74" s="287"/>
      <c r="K74" s="536"/>
    </row>
    <row r="75" spans="1:11" s="26" customFormat="1" ht="21" customHeight="1" x14ac:dyDescent="0.2">
      <c r="A75" s="211">
        <v>9100</v>
      </c>
      <c r="B75" s="212" t="s">
        <v>298</v>
      </c>
      <c r="C75" s="217">
        <v>5000000.04</v>
      </c>
      <c r="D75" s="534">
        <v>0</v>
      </c>
      <c r="E75" s="213">
        <f t="shared" si="1"/>
        <v>5000000.04</v>
      </c>
      <c r="F75" s="213">
        <v>5000000.04</v>
      </c>
      <c r="G75" s="213">
        <v>5000000.04</v>
      </c>
      <c r="H75" s="213">
        <f t="shared" si="10"/>
        <v>0</v>
      </c>
      <c r="I75" s="287"/>
      <c r="K75" s="536"/>
    </row>
    <row r="76" spans="1:11" s="26" customFormat="1" ht="21" customHeight="1" x14ac:dyDescent="0.2">
      <c r="A76" s="211">
        <v>9200</v>
      </c>
      <c r="B76" s="533" t="s">
        <v>164</v>
      </c>
      <c r="C76" s="217">
        <v>1625071.61</v>
      </c>
      <c r="D76" s="534">
        <v>-347527.55</v>
      </c>
      <c r="E76" s="213">
        <f t="shared" ref="E76:E81" si="12">C76+D76</f>
        <v>1277544.06</v>
      </c>
      <c r="F76" s="213">
        <v>1277544.06</v>
      </c>
      <c r="G76" s="213">
        <v>1277544.06</v>
      </c>
      <c r="H76" s="213">
        <f t="shared" si="10"/>
        <v>0</v>
      </c>
      <c r="I76" s="280"/>
      <c r="K76" s="536"/>
    </row>
    <row r="77" spans="1:11" s="26" customFormat="1" ht="12.75" hidden="1" customHeight="1" x14ac:dyDescent="0.2">
      <c r="A77" s="211">
        <v>9300</v>
      </c>
      <c r="B77" s="533" t="s">
        <v>166</v>
      </c>
      <c r="C77" s="217">
        <v>0</v>
      </c>
      <c r="D77" s="534">
        <v>0</v>
      </c>
      <c r="E77" s="213">
        <f t="shared" si="12"/>
        <v>0</v>
      </c>
      <c r="F77" s="213">
        <v>0</v>
      </c>
      <c r="G77" s="213"/>
      <c r="H77" s="213">
        <f t="shared" si="10"/>
        <v>0</v>
      </c>
      <c r="I77" s="287"/>
      <c r="K77" s="536"/>
    </row>
    <row r="78" spans="1:11" s="26" customFormat="1" ht="21" customHeight="1" x14ac:dyDescent="0.2">
      <c r="A78" s="211">
        <v>9400</v>
      </c>
      <c r="B78" s="533" t="s">
        <v>168</v>
      </c>
      <c r="C78" s="217">
        <v>91860.38</v>
      </c>
      <c r="D78" s="534">
        <v>104303.9</v>
      </c>
      <c r="E78" s="213">
        <f t="shared" si="12"/>
        <v>196164.28</v>
      </c>
      <c r="F78" s="213">
        <v>196164.28</v>
      </c>
      <c r="G78" s="213">
        <v>196164.28</v>
      </c>
      <c r="H78" s="534">
        <f t="shared" si="10"/>
        <v>0</v>
      </c>
      <c r="I78" s="287"/>
      <c r="K78" s="536"/>
    </row>
    <row r="79" spans="1:11" s="26" customFormat="1" ht="21" hidden="1" customHeight="1" x14ac:dyDescent="0.2">
      <c r="A79" s="211">
        <v>9500</v>
      </c>
      <c r="B79" s="533" t="s">
        <v>170</v>
      </c>
      <c r="C79" s="217">
        <v>0</v>
      </c>
      <c r="D79" s="534">
        <v>0</v>
      </c>
      <c r="E79" s="213">
        <f t="shared" si="12"/>
        <v>0</v>
      </c>
      <c r="F79" s="213">
        <v>0</v>
      </c>
      <c r="G79" s="213"/>
      <c r="H79" s="213">
        <f t="shared" si="10"/>
        <v>0</v>
      </c>
      <c r="I79" s="287"/>
      <c r="K79" s="536"/>
    </row>
    <row r="80" spans="1:11" s="26" customFormat="1" ht="12.75" hidden="1" customHeight="1" x14ac:dyDescent="0.2">
      <c r="A80" s="211">
        <v>9600</v>
      </c>
      <c r="B80" s="533" t="s">
        <v>172</v>
      </c>
      <c r="C80" s="217">
        <v>0</v>
      </c>
      <c r="D80" s="534">
        <v>0</v>
      </c>
      <c r="E80" s="213">
        <f t="shared" si="12"/>
        <v>0</v>
      </c>
      <c r="F80" s="213">
        <v>0</v>
      </c>
      <c r="G80" s="213"/>
      <c r="H80" s="213">
        <f t="shared" si="10"/>
        <v>0</v>
      </c>
      <c r="I80" s="287"/>
      <c r="K80" s="536"/>
    </row>
    <row r="81" spans="1:11" s="26" customFormat="1" ht="21" customHeight="1" x14ac:dyDescent="0.2">
      <c r="A81" s="211">
        <v>9900</v>
      </c>
      <c r="B81" s="533" t="s">
        <v>299</v>
      </c>
      <c r="C81" s="217">
        <v>10000000</v>
      </c>
      <c r="D81" s="534">
        <v>14382995.770000003</v>
      </c>
      <c r="E81" s="213">
        <f t="shared" si="12"/>
        <v>24382995.770000003</v>
      </c>
      <c r="F81" s="213">
        <v>24382995.770000003</v>
      </c>
      <c r="G81" s="213">
        <v>24382995.770000003</v>
      </c>
      <c r="H81" s="534">
        <f t="shared" si="10"/>
        <v>0</v>
      </c>
      <c r="I81" s="287"/>
      <c r="K81" s="536"/>
    </row>
    <row r="82" spans="1:11" s="26" customFormat="1" ht="17.25" customHeight="1" x14ac:dyDescent="0.2">
      <c r="A82" s="1183" t="s">
        <v>300</v>
      </c>
      <c r="B82" s="1183"/>
      <c r="C82" s="216">
        <f t="shared" ref="C82:H82" si="13">C10+C18+C28+C38+C58+C62+C74+C70+C48</f>
        <v>845081315</v>
      </c>
      <c r="D82" s="535">
        <f t="shared" si="13"/>
        <v>436197797.65999997</v>
      </c>
      <c r="E82" s="216">
        <f t="shared" si="13"/>
        <v>1281279112.6600001</v>
      </c>
      <c r="F82" s="535">
        <f t="shared" si="13"/>
        <v>1236028556.8000002</v>
      </c>
      <c r="G82" s="535">
        <f t="shared" si="13"/>
        <v>1198371966.3599999</v>
      </c>
      <c r="H82" s="216">
        <f t="shared" si="13"/>
        <v>45250555.859999985</v>
      </c>
      <c r="I82" s="287"/>
      <c r="K82" s="536"/>
    </row>
    <row r="83" spans="1:11" ht="8.25" customHeight="1" x14ac:dyDescent="0.2">
      <c r="D83" s="855"/>
      <c r="I83" s="291"/>
    </row>
    <row r="84" spans="1:11" x14ac:dyDescent="0.2">
      <c r="I84" s="287"/>
    </row>
    <row r="85" spans="1:11" x14ac:dyDescent="0.2">
      <c r="I85" s="280"/>
    </row>
    <row r="86" spans="1:11" x14ac:dyDescent="0.2">
      <c r="I86" s="280"/>
    </row>
    <row r="87" spans="1:11" x14ac:dyDescent="0.2">
      <c r="I87" s="287"/>
    </row>
    <row r="88" spans="1:11" ht="14.25" customHeight="1" x14ac:dyDescent="0.2"/>
    <row r="89" spans="1:11" s="21" customFormat="1" ht="12.75" customHeight="1" x14ac:dyDescent="0.2">
      <c r="C89" s="22"/>
      <c r="D89" s="22"/>
      <c r="E89" s="22"/>
      <c r="F89" s="22"/>
      <c r="G89" s="22"/>
      <c r="H89" s="22"/>
      <c r="I89" s="280"/>
    </row>
    <row r="90" spans="1:11" s="21" customFormat="1" ht="12.75" customHeight="1" x14ac:dyDescent="0.2">
      <c r="C90" s="22"/>
      <c r="D90" s="22"/>
      <c r="E90" s="22"/>
      <c r="F90" s="22"/>
      <c r="G90" s="22"/>
      <c r="H90" s="22"/>
      <c r="I90" s="280"/>
    </row>
    <row r="91" spans="1:11" s="21" customFormat="1" ht="12.75" customHeight="1" x14ac:dyDescent="0.2">
      <c r="C91" s="22"/>
      <c r="D91" s="22"/>
      <c r="E91" s="22"/>
      <c r="F91" s="22"/>
      <c r="G91" s="22"/>
      <c r="H91" s="22"/>
      <c r="I91" s="280"/>
    </row>
    <row r="92" spans="1:11" x14ac:dyDescent="0.2">
      <c r="I92" s="312"/>
    </row>
    <row r="93" spans="1:11" x14ac:dyDescent="0.2">
      <c r="I93" s="312"/>
    </row>
    <row r="94" spans="1:11" x14ac:dyDescent="0.2">
      <c r="I94" s="818"/>
    </row>
    <row r="95" spans="1:11" x14ac:dyDescent="0.2">
      <c r="I95" s="818"/>
    </row>
    <row r="105" spans="9:9" x14ac:dyDescent="0.2">
      <c r="I105" s="306"/>
    </row>
    <row r="106" spans="9:9" x14ac:dyDescent="0.2">
      <c r="I106" s="306"/>
    </row>
    <row r="107" spans="9:9" x14ac:dyDescent="0.2">
      <c r="I107" s="306"/>
    </row>
    <row r="117" spans="9:9" x14ac:dyDescent="0.2">
      <c r="I117" s="306"/>
    </row>
    <row r="127" spans="9:9" x14ac:dyDescent="0.2">
      <c r="I127" s="306"/>
    </row>
    <row r="128" spans="9:9" x14ac:dyDescent="0.2">
      <c r="I128" s="306"/>
    </row>
    <row r="129" spans="9:9" x14ac:dyDescent="0.2">
      <c r="I129" s="306"/>
    </row>
    <row r="131" spans="9:9" x14ac:dyDescent="0.2">
      <c r="I131" s="306"/>
    </row>
  </sheetData>
  <mergeCells count="9">
    <mergeCell ref="A82:B82"/>
    <mergeCell ref="A2:H2"/>
    <mergeCell ref="I2:I5"/>
    <mergeCell ref="A3:H3"/>
    <mergeCell ref="A4:H4"/>
    <mergeCell ref="A5:H5"/>
    <mergeCell ref="A7:B9"/>
    <mergeCell ref="C7:G7"/>
    <mergeCell ref="H7:H8"/>
  </mergeCells>
  <printOptions horizontalCentered="1"/>
  <pageMargins left="0.15748031496062992" right="0.15748031496062992" top="0.27559055118110237" bottom="0.51181102362204722" header="0.31496062992125984" footer="0.31496062992125984"/>
  <pageSetup scale="82" fitToHeight="0" orientation="landscape" r:id="rId1"/>
  <headerFooter>
    <oddFooter>&amp;C“Bajo protesta de decir verdad declaramos que los Estados Financieros y sus notas, son razonablemente correctos y son responsabilidad del emisor”</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73</vt:i4>
      </vt:variant>
      <vt:variant>
        <vt:lpstr>Rangos con nombre</vt:lpstr>
      </vt:variant>
      <vt:variant>
        <vt:i4>92</vt:i4>
      </vt:variant>
    </vt:vector>
  </HeadingPairs>
  <TitlesOfParts>
    <vt:vector size="165" baseType="lpstr">
      <vt:lpstr>INDICE</vt:lpstr>
      <vt:lpstr>1</vt:lpstr>
      <vt:lpstr>2</vt:lpstr>
      <vt:lpstr>3</vt:lpstr>
      <vt:lpstr>4</vt:lpstr>
      <vt:lpstr>5</vt:lpstr>
      <vt:lpstr>6</vt:lpstr>
      <vt:lpstr>8 </vt:lpstr>
      <vt:lpstr>9.1</vt:lpstr>
      <vt:lpstr>9.2</vt:lpstr>
      <vt:lpstr>9.3</vt:lpstr>
      <vt:lpstr>9.4</vt:lpstr>
      <vt:lpstr>9.5</vt:lpstr>
      <vt:lpstr>A1</vt:lpstr>
      <vt:lpstr>A2 faltan numeros de inventario</vt:lpstr>
      <vt:lpstr>A3</vt:lpstr>
      <vt:lpstr>A4</vt:lpstr>
      <vt:lpstr>A5a</vt:lpstr>
      <vt:lpstr>A5b</vt:lpstr>
      <vt:lpstr>A6</vt:lpstr>
      <vt:lpstr>7.I.1</vt:lpstr>
      <vt:lpstr>7.I.2</vt:lpstr>
      <vt:lpstr>7.I.3</vt:lpstr>
      <vt:lpstr>7.I.4</vt:lpstr>
      <vt:lpstr>7.I.5</vt:lpstr>
      <vt:lpstr>7.I.6-7</vt:lpstr>
      <vt:lpstr>7.I.8</vt:lpstr>
      <vt:lpstr>7.I.9</vt:lpstr>
      <vt:lpstr>7.I.10</vt:lpstr>
      <vt:lpstr>7.I.11</vt:lpstr>
      <vt:lpstr>7.I.12</vt:lpstr>
      <vt:lpstr>7.I.13</vt:lpstr>
      <vt:lpstr>7.I.14</vt:lpstr>
      <vt:lpstr>7.II.1</vt:lpstr>
      <vt:lpstr>7.II.2</vt:lpstr>
      <vt:lpstr>7.II.3</vt:lpstr>
      <vt:lpstr>7.III.2</vt:lpstr>
      <vt:lpstr>7.IV.1</vt:lpstr>
      <vt:lpstr>7.IV.2</vt:lpstr>
      <vt:lpstr>7.IV.3</vt:lpstr>
      <vt:lpstr>7.V.1</vt:lpstr>
      <vt:lpstr>7.V.2</vt:lpstr>
      <vt:lpstr>7.GA.1</vt:lpstr>
      <vt:lpstr>7.GA.2</vt:lpstr>
      <vt:lpstr>7.GA.3</vt:lpstr>
      <vt:lpstr>7.GA.4</vt:lpstr>
      <vt:lpstr>7.GA.5</vt:lpstr>
      <vt:lpstr>7.GA.6</vt:lpstr>
      <vt:lpstr>7.GA.7</vt:lpstr>
      <vt:lpstr>7.GA.8.1</vt:lpstr>
      <vt:lpstr>7.GA.8.2</vt:lpstr>
      <vt:lpstr>7.GA.9</vt:lpstr>
      <vt:lpstr>7.GA.10</vt:lpstr>
      <vt:lpstr>7.GA.11</vt:lpstr>
      <vt:lpstr>7.GA.12</vt:lpstr>
      <vt:lpstr>7.GA.13</vt:lpstr>
      <vt:lpstr>7.GA.14</vt:lpstr>
      <vt:lpstr>7.GA.15</vt:lpstr>
      <vt:lpstr>7.GA.16</vt:lpstr>
      <vt:lpstr>Formato 1</vt:lpstr>
      <vt:lpstr>Formato 2</vt:lpstr>
      <vt:lpstr>Formato 3</vt:lpstr>
      <vt:lpstr>Formato 4</vt:lpstr>
      <vt:lpstr>Formato 5</vt:lpstr>
      <vt:lpstr>Formato 6 a)</vt:lpstr>
      <vt:lpstr>Formato 6 b)</vt:lpstr>
      <vt:lpstr>Formato 6 c)</vt:lpstr>
      <vt:lpstr>Formato 6 d) falta </vt:lpstr>
      <vt:lpstr>Formato 7 a)</vt:lpstr>
      <vt:lpstr>Formato 7 b)</vt:lpstr>
      <vt:lpstr>Formato 7 c)</vt:lpstr>
      <vt:lpstr>Formato 7 d)</vt:lpstr>
      <vt:lpstr>Formato 8</vt:lpstr>
      <vt:lpstr>'1'!Área_de_impresión</vt:lpstr>
      <vt:lpstr>'2'!Área_de_impresión</vt:lpstr>
      <vt:lpstr>'3'!Área_de_impresión</vt:lpstr>
      <vt:lpstr>'4'!Área_de_impresión</vt:lpstr>
      <vt:lpstr>'5'!Área_de_impresión</vt:lpstr>
      <vt:lpstr>'6'!Área_de_impresión</vt:lpstr>
      <vt:lpstr>'7.GA.1'!Área_de_impresión</vt:lpstr>
      <vt:lpstr>'7.GA.10'!Área_de_impresión</vt:lpstr>
      <vt:lpstr>'7.GA.11'!Área_de_impresión</vt:lpstr>
      <vt:lpstr>'7.GA.12'!Área_de_impresión</vt:lpstr>
      <vt:lpstr>'7.GA.13'!Área_de_impresión</vt:lpstr>
      <vt:lpstr>'7.GA.14'!Área_de_impresión</vt:lpstr>
      <vt:lpstr>'7.GA.15'!Área_de_impresión</vt:lpstr>
      <vt:lpstr>'7.GA.16'!Área_de_impresión</vt:lpstr>
      <vt:lpstr>'7.GA.2'!Área_de_impresión</vt:lpstr>
      <vt:lpstr>'7.GA.3'!Área_de_impresión</vt:lpstr>
      <vt:lpstr>'7.GA.4'!Área_de_impresión</vt:lpstr>
      <vt:lpstr>'7.GA.5'!Área_de_impresión</vt:lpstr>
      <vt:lpstr>'7.GA.6'!Área_de_impresión</vt:lpstr>
      <vt:lpstr>'7.GA.7'!Área_de_impresión</vt:lpstr>
      <vt:lpstr>'7.GA.8.1'!Área_de_impresión</vt:lpstr>
      <vt:lpstr>'7.GA.8.2'!Área_de_impresión</vt:lpstr>
      <vt:lpstr>'7.GA.9'!Área_de_impresión</vt:lpstr>
      <vt:lpstr>'7.I.10'!Área_de_impresión</vt:lpstr>
      <vt:lpstr>'7.I.11'!Área_de_impresión</vt:lpstr>
      <vt:lpstr>'7.I.12'!Área_de_impresión</vt:lpstr>
      <vt:lpstr>'7.I.13'!Área_de_impresión</vt:lpstr>
      <vt:lpstr>'7.I.14'!Área_de_impresión</vt:lpstr>
      <vt:lpstr>'7.I.2'!Área_de_impresión</vt:lpstr>
      <vt:lpstr>'7.I.3'!Área_de_impresión</vt:lpstr>
      <vt:lpstr>'7.I.4'!Área_de_impresión</vt:lpstr>
      <vt:lpstr>'7.I.5'!Área_de_impresión</vt:lpstr>
      <vt:lpstr>'7.I.6-7'!Área_de_impresión</vt:lpstr>
      <vt:lpstr>'7.I.8'!Área_de_impresión</vt:lpstr>
      <vt:lpstr>'7.I.9'!Área_de_impresión</vt:lpstr>
      <vt:lpstr>'7.II.1'!Área_de_impresión</vt:lpstr>
      <vt:lpstr>'7.II.2'!Área_de_impresión</vt:lpstr>
      <vt:lpstr>'7.II.3'!Área_de_impresión</vt:lpstr>
      <vt:lpstr>'7.III.2'!Área_de_impresión</vt:lpstr>
      <vt:lpstr>'7.IV.1'!Área_de_impresión</vt:lpstr>
      <vt:lpstr>'7.IV.3'!Área_de_impresión</vt:lpstr>
      <vt:lpstr>'7.V.1'!Área_de_impresión</vt:lpstr>
      <vt:lpstr>'7.V.2'!Área_de_impresión</vt:lpstr>
      <vt:lpstr>'8 '!Área_de_impresión</vt:lpstr>
      <vt:lpstr>'9.1'!Área_de_impresión</vt:lpstr>
      <vt:lpstr>'9.2'!Área_de_impresión</vt:lpstr>
      <vt:lpstr>'9.3'!Área_de_impresión</vt:lpstr>
      <vt:lpstr>'9.4'!Área_de_impresión</vt:lpstr>
      <vt:lpstr>'9.5'!Área_de_impresión</vt:lpstr>
      <vt:lpstr>'A1'!Área_de_impresión</vt:lpstr>
      <vt:lpstr>'A2 faltan numeros de inventario'!Área_de_impresión</vt:lpstr>
      <vt:lpstr>'A3'!Área_de_impresión</vt:lpstr>
      <vt:lpstr>'A4'!Área_de_impresión</vt:lpstr>
      <vt:lpstr>A5a!Área_de_impresión</vt:lpstr>
      <vt:lpstr>A5b!Área_de_impresión</vt:lpstr>
      <vt:lpstr>'Formato 1'!Área_de_impresión</vt:lpstr>
      <vt:lpstr>'Formato 3'!Área_de_impresión</vt:lpstr>
      <vt:lpstr>'Formato 6 a)'!Área_de_impresión</vt:lpstr>
      <vt:lpstr>'Formato 6 b)'!Área_de_impresión</vt:lpstr>
      <vt:lpstr>'Formato 6 c)'!Área_de_impresión</vt:lpstr>
      <vt:lpstr>'Formato 6 d) falta '!Área_de_impresión</vt:lpstr>
      <vt:lpstr>'Formato 7 a)'!Área_de_impresión</vt:lpstr>
      <vt:lpstr>'Formato 7 c)'!Área_de_impresión</vt:lpstr>
      <vt:lpstr>'Formato 7 d)'!Área_de_impresión</vt:lpstr>
      <vt:lpstr>'Formato 8'!Área_de_impresión</vt:lpstr>
      <vt:lpstr>'1'!Títulos_a_imprimir</vt:lpstr>
      <vt:lpstr>'2'!Títulos_a_imprimir</vt:lpstr>
      <vt:lpstr>'4'!Títulos_a_imprimir</vt:lpstr>
      <vt:lpstr>'5'!Títulos_a_imprimir</vt:lpstr>
      <vt:lpstr>'6'!Títulos_a_imprimir</vt:lpstr>
      <vt:lpstr>'7.GA.10'!Títulos_a_imprimir</vt:lpstr>
      <vt:lpstr>'7.GA.8.1'!Títulos_a_imprimir</vt:lpstr>
      <vt:lpstr>'7.I.12'!Títulos_a_imprimir</vt:lpstr>
      <vt:lpstr>'7.II.1'!Títulos_a_imprimir</vt:lpstr>
      <vt:lpstr>'7.II.2'!Títulos_a_imprimir</vt:lpstr>
      <vt:lpstr>'7.IV.1'!Títulos_a_imprimir</vt:lpstr>
      <vt:lpstr>'8 '!Títulos_a_imprimir</vt:lpstr>
      <vt:lpstr>'9.1'!Títulos_a_imprimir</vt:lpstr>
      <vt:lpstr>'9.2'!Títulos_a_imprimir</vt:lpstr>
      <vt:lpstr>'9.3'!Títulos_a_imprimir</vt:lpstr>
      <vt:lpstr>'9.4'!Títulos_a_imprimir</vt:lpstr>
      <vt:lpstr>'9.5'!Títulos_a_imprimir</vt:lpstr>
      <vt:lpstr>'A1'!Títulos_a_imprimir</vt:lpstr>
      <vt:lpstr>'A2 faltan numeros de inventario'!Títulos_a_imprimir</vt:lpstr>
      <vt:lpstr>'A4'!Títulos_a_imprimir</vt:lpstr>
      <vt:lpstr>A5a!Títulos_a_imprimir</vt:lpstr>
      <vt:lpstr>A5b!Títulos_a_imprimir</vt:lpstr>
      <vt:lpstr>'Formato 1'!Títulos_a_imprimir</vt:lpstr>
      <vt:lpstr>'Formato 5'!Títulos_a_imprimir</vt:lpstr>
      <vt:lpstr>'Formato 6 b)'!Títulos_a_imprimir</vt:lpstr>
      <vt:lpstr>'Formato 7 c)'!Títulos_a_imprimir</vt:lpstr>
      <vt:lpstr>'Formato 8'!Títulos_a_imprimir</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Angel López Rodríguez</dc:creator>
  <cp:lastModifiedBy>C.P. Lupita</cp:lastModifiedBy>
  <cp:lastPrinted>2019-04-24T21:16:58Z</cp:lastPrinted>
  <dcterms:created xsi:type="dcterms:W3CDTF">2014-11-06T23:32:06Z</dcterms:created>
  <dcterms:modified xsi:type="dcterms:W3CDTF">2019-04-30T20:12:09Z</dcterms:modified>
</cp:coreProperties>
</file>